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6900" yWindow="1470" windowWidth="10815" windowHeight="8805" tabRatio="944" firstSheet="3" activeTab="10"/>
  </bookViews>
  <sheets>
    <sheet name="caratula" sheetId="34" r:id="rId1"/>
    <sheet name="Contenido" sheetId="33" r:id="rId2"/>
    <sheet name="Información Macroeconómica" sheetId="62" r:id="rId3"/>
    <sheet name="Cifras Sobresalientes" sheetId="63" r:id="rId4"/>
    <sheet name="Comparativo de resultados hist" sheetId="64" r:id="rId5"/>
    <sheet name="Balance y Razones" sheetId="65" r:id="rId6"/>
    <sheet name="Balance ejer ant" sheetId="68" state="hidden" r:id="rId7"/>
    <sheet name="Volumen Presupuesto" sheetId="53" r:id="rId8"/>
    <sheet name="Personal y KMS Recorridos" sheetId="66" r:id="rId9"/>
    <sheet name="Inversiones" sheetId="89" r:id="rId10"/>
    <sheet name="Edo.Res.detalle" sheetId="1" r:id="rId11"/>
    <sheet name="balance_detalle" sheetId="38" state="hidden" r:id="rId12"/>
    <sheet name="Presup. de Flujo de Caja" sheetId="86" r:id="rId13"/>
    <sheet name="MovFondos" sheetId="6" state="hidden" r:id="rId14"/>
    <sheet name="Premisas Presupuesto 2014" sheetId="55" r:id="rId15"/>
    <sheet name="inversion-detalle" sheetId="22" state="hidden" r:id="rId16"/>
    <sheet name="Balance2013" sheetId="4" r:id="rId17"/>
    <sheet name="Cuentas de Balance" sheetId="61" state="hidden" r:id="rId18"/>
    <sheet name="Mov.Fondoshoja7" sheetId="14" state="hidden" r:id="rId19"/>
    <sheet name="detalle-indicadores" sheetId="11" state="hidden" r:id="rId20"/>
    <sheet name="Ind.Finan.hoja8" sheetId="8" state="hidden" r:id="rId21"/>
    <sheet name="ind.oper.-detalle" sheetId="10" state="hidden" r:id="rId22"/>
    <sheet name="ind.operaciónhoja9" sheetId="18" state="hidden" r:id="rId23"/>
    <sheet name="compras-presup." sheetId="7" state="hidden" r:id="rId24"/>
    <sheet name="inversiónhoja10" sheetId="9" state="hidden" r:id="rId25"/>
    <sheet name="ronoa(2010)" sheetId="41" state="hidden" r:id="rId26"/>
    <sheet name="ronoa(pres2011)" sheetId="39" state="hidden" r:id="rId27"/>
    <sheet name="activo-detalle" sheetId="15" state="hidden" r:id="rId28"/>
    <sheet name="activohoja11" sheetId="19" state="hidden" r:id="rId29"/>
    <sheet name="antiguedad2011" sheetId="16" state="hidden" r:id="rId30"/>
    <sheet name="antig.trim" sheetId="26" state="hidden" r:id="rId31"/>
    <sheet name="Precio Ton ruta" sheetId="45" state="hidden" r:id="rId32"/>
    <sheet name="base Ingresos 2012 Reales" sheetId="48" state="hidden" r:id="rId33"/>
    <sheet name="Depreciación 2014" sheetId="75" state="hidden" r:id="rId34"/>
    <sheet name="Gtos financieros 2014" sheetId="74" state="hidden" r:id="rId35"/>
    <sheet name="Costos  de Operación" sheetId="91" r:id="rId36"/>
    <sheet name="Productos financieros 2014" sheetId="82" r:id="rId37"/>
    <sheet name="Edo rdo ejercicio ante" sheetId="67" r:id="rId38"/>
    <sheet name="Otros Gastos y Productos" sheetId="83" r:id="rId39"/>
    <sheet name="Inversiones 2014" sheetId="84" r:id="rId40"/>
    <sheet name="Hoja2" sheetId="85" state="hidden" r:id="rId41"/>
    <sheet name="Plan de inversiones" sheetId="87" state="hidden" r:id="rId42"/>
  </sheets>
  <externalReferences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</externalReferences>
  <definedNames>
    <definedName name="_xlnm._FilterDatabase" localSheetId="39" hidden="1">'Inversiones 2014'!$A$11:$W$98</definedName>
    <definedName name="_xlnm.Print_Area" localSheetId="6">'Balance ejer ant'!$A$1:$B$61</definedName>
    <definedName name="_xlnm.Print_Area" localSheetId="11">balance_detalle!$A$1:$O$67</definedName>
    <definedName name="_xlnm.Print_Area" localSheetId="23">'compras-presup.'!$B$2:$D$24</definedName>
    <definedName name="_xlnm.Print_Area" localSheetId="37">'Edo rdo ejercicio ante'!$A$1:$E$76</definedName>
    <definedName name="_xlnm.Print_Area" localSheetId="10">Edo.Res.detalle!$A$1:$O$72</definedName>
    <definedName name="_xlnm.Print_Area" localSheetId="22">ind.operaciónhoja9!$A$1:$E$50</definedName>
    <definedName name="_xlnm.Print_Area" localSheetId="9">Inversiones!$A$2:$N$80</definedName>
    <definedName name="_xlnm.Print_Area" localSheetId="39">'Inversiones 2014'!$A$1:$W$102</definedName>
    <definedName name="_xlnm.Print_Area" localSheetId="13">MovFondos!$A$1:$O$52</definedName>
    <definedName name="_xlnm.Print_Area" localSheetId="12">'Presup. de Flujo de Caja'!$A$1:$N$83</definedName>
    <definedName name="_xlnm.Print_Area" localSheetId="25">'ronoa(2010)'!$A$77:$R$109</definedName>
    <definedName name="_xlnm.Print_Area" localSheetId="26">'ronoa(pres2011)'!$A$89:$R$127</definedName>
    <definedName name="co">[1]INPC!$C$2</definedName>
    <definedName name="CREDITO" localSheetId="9">#REF!</definedName>
    <definedName name="CREDITO" localSheetId="12">#REF!</definedName>
    <definedName name="CREDITO">#REF!</definedName>
    <definedName name="IMSSP">'[1]Sueldos 2008'!$C$109</definedName>
    <definedName name="IncrementoTarifa" localSheetId="35">'[2]Premisas Presupuesto 2014'!$C$9</definedName>
    <definedName name="IncrementoTarifa" localSheetId="12">'Premisas Presupuesto 2014'!$C$12</definedName>
    <definedName name="IncrementoTarifa">'Premisas Presupuesto 2014'!$C$12</definedName>
    <definedName name="IngPorKm" localSheetId="35">'[2]Premisas Presupuesto 2014'!#REF!</definedName>
    <definedName name="IngPorKm" localSheetId="12">'Premisas Presupuesto 2014'!#REF!</definedName>
    <definedName name="IngPorKm">'Premisas Presupuesto 2014'!#REF!</definedName>
    <definedName name="Ingresos_por_viaje" localSheetId="35">'[2]Premisas Presupuesto 2014'!#REF!</definedName>
    <definedName name="Ingresos_por_viaje" localSheetId="12">'Premisas Presupuesto 2014'!#REF!</definedName>
    <definedName name="Ingresos_por_viaje">'Premisas Presupuesto 2014'!#REF!</definedName>
    <definedName name="IngresosPresup" localSheetId="35">#REF!</definedName>
    <definedName name="IngresosPresup" localSheetId="12">#REF!</definedName>
    <definedName name="IngresosPresup">#REF!</definedName>
    <definedName name="IngresoXKmOtrosRA">'[3]Presupuesto Otros'!$G$49</definedName>
    <definedName name="ISPT" localSheetId="9">#REF!</definedName>
    <definedName name="ISPT" localSheetId="12">#REF!</definedName>
    <definedName name="ISPT">#REF!</definedName>
    <definedName name="Km_Por_viaje" localSheetId="35">'[2]Premisas Presupuesto 2014'!#REF!</definedName>
    <definedName name="Km_Por_viaje" localSheetId="12">'Premisas Presupuesto 2014'!#REF!</definedName>
    <definedName name="Km_Por_viaje">'Premisas Presupuesto 2014'!#REF!</definedName>
    <definedName name="KmsXViajeRedondoRA">'[3]Presupuesto Otros'!$G$51</definedName>
    <definedName name="MESACUMULADO" localSheetId="35">#REF!</definedName>
    <definedName name="MESACUMULADO" localSheetId="12">Edo.Res.detalle!$G$3</definedName>
    <definedName name="MESACUMULADO">Edo.Res.detalle!$G$3</definedName>
    <definedName name="PEAJES">'[1]Bases Macroeconomicas'!$E$86</definedName>
    <definedName name="PISTE">'[1]Bases Macroeconomicas'!$E$57</definedName>
    <definedName name="Playa">[1]VOLUMENES!$B$300</definedName>
    <definedName name="rendi">[1]VOLUMENES!$D$196</definedName>
    <definedName name="RotacionTercerosRA">'[3]Presupuesto Otros'!$G$50</definedName>
    <definedName name="SINDI">[1]Plantilla!$E$111:$F$134</definedName>
    <definedName name="sqldatos_bonampakdb_Bon_v_ingresos2012" localSheetId="32" hidden="1">'base Ingresos 2012 Reales'!$A$1:$W$7498</definedName>
    <definedName name="SUBSIDIO" localSheetId="9">#REF!</definedName>
    <definedName name="SUBSIDIO" localSheetId="12">#REF!</definedName>
    <definedName name="SUBSIDIO">#REF!</definedName>
    <definedName name="TCProm">'[1]Bases Macroeconomicas'!$R$46</definedName>
    <definedName name="Toneladas_por_viaje" localSheetId="35">'[2]Premisas Presupuesto 2014'!#REF!</definedName>
    <definedName name="Toneladas_por_viaje" localSheetId="12">'Premisas Presupuesto 2014'!#REF!</definedName>
    <definedName name="Toneladas_por_viaje">'Premisas Presupuesto 2014'!#REF!</definedName>
    <definedName name="VACA">[1]Plantilla!$E$105:$G$107</definedName>
    <definedName name="VolumenAjustado" localSheetId="35">#REF!</definedName>
    <definedName name="VolumenAjustado" localSheetId="12">#REF!</definedName>
    <definedName name="VolumenAjustado">#REF!</definedName>
    <definedName name="Volumenes" localSheetId="35">#REF!</definedName>
    <definedName name="Volumenes" localSheetId="12">#REF!</definedName>
    <definedName name="Volumenes">#REF!</definedName>
    <definedName name="XCAN">'[1]Bases Macroeconomicas'!$E$61</definedName>
  </definedNames>
  <calcPr calcId="144525"/>
</workbook>
</file>

<file path=xl/calcChain.xml><?xml version="1.0" encoding="utf-8"?>
<calcChain xmlns="http://schemas.openxmlformats.org/spreadsheetml/2006/main">
  <c r="M34" i="53" l="1"/>
  <c r="L34" i="53"/>
  <c r="K34" i="53"/>
  <c r="J34" i="53"/>
  <c r="I34" i="53"/>
  <c r="H34" i="53"/>
  <c r="G34" i="53"/>
  <c r="F34" i="53"/>
  <c r="E34" i="53"/>
  <c r="D34" i="53"/>
  <c r="C34" i="53"/>
  <c r="B34" i="53"/>
  <c r="M31" i="53"/>
  <c r="L31" i="53"/>
  <c r="K31" i="53"/>
  <c r="J31" i="53"/>
  <c r="I31" i="53"/>
  <c r="H31" i="53"/>
  <c r="G31" i="53"/>
  <c r="F31" i="53"/>
  <c r="E31" i="53"/>
  <c r="D31" i="53"/>
  <c r="C31" i="53"/>
  <c r="B31" i="53"/>
  <c r="M30" i="53"/>
  <c r="L30" i="53"/>
  <c r="K30" i="53"/>
  <c r="K36" i="53" s="1"/>
  <c r="J30" i="53"/>
  <c r="J36" i="53" s="1"/>
  <c r="I30" i="53"/>
  <c r="I36" i="53" s="1"/>
  <c r="H30" i="53"/>
  <c r="G30" i="53"/>
  <c r="G36" i="53" s="1"/>
  <c r="F30" i="53"/>
  <c r="E30" i="53"/>
  <c r="E36" i="53" s="1"/>
  <c r="D30" i="53"/>
  <c r="C30" i="53"/>
  <c r="C36" i="53" s="1"/>
  <c r="B30" i="53"/>
  <c r="N35" i="53"/>
  <c r="N33" i="53"/>
  <c r="N32" i="53"/>
  <c r="M25" i="53"/>
  <c r="L25" i="53"/>
  <c r="K25" i="53"/>
  <c r="J25" i="53"/>
  <c r="I25" i="53"/>
  <c r="H25" i="53"/>
  <c r="G25" i="53"/>
  <c r="F25" i="53"/>
  <c r="E25" i="53"/>
  <c r="D25" i="53"/>
  <c r="C25" i="53"/>
  <c r="B25" i="53"/>
  <c r="M24" i="53"/>
  <c r="L24" i="53"/>
  <c r="K24" i="53"/>
  <c r="J24" i="53"/>
  <c r="I24" i="53"/>
  <c r="H24" i="53"/>
  <c r="G24" i="53"/>
  <c r="F24" i="53"/>
  <c r="E24" i="53"/>
  <c r="D24" i="53"/>
  <c r="C24" i="53"/>
  <c r="B24" i="53"/>
  <c r="M23" i="53"/>
  <c r="L23" i="53"/>
  <c r="K23" i="53"/>
  <c r="J23" i="53"/>
  <c r="I23" i="53"/>
  <c r="H23" i="53"/>
  <c r="G23" i="53"/>
  <c r="F23" i="53"/>
  <c r="E23" i="53"/>
  <c r="D23" i="53"/>
  <c r="C23" i="53"/>
  <c r="B23" i="53"/>
  <c r="M22" i="53"/>
  <c r="L22" i="53"/>
  <c r="K22" i="53"/>
  <c r="J22" i="53"/>
  <c r="I22" i="53"/>
  <c r="H22" i="53"/>
  <c r="G22" i="53"/>
  <c r="F22" i="53"/>
  <c r="E22" i="53"/>
  <c r="D22" i="53"/>
  <c r="C22" i="53"/>
  <c r="B22" i="53"/>
  <c r="M21" i="53"/>
  <c r="L21" i="53"/>
  <c r="K21" i="53"/>
  <c r="J21" i="53"/>
  <c r="I21" i="53"/>
  <c r="H21" i="53"/>
  <c r="G21" i="53"/>
  <c r="F21" i="53"/>
  <c r="E21" i="53"/>
  <c r="D21" i="53"/>
  <c r="C21" i="53"/>
  <c r="B21" i="53"/>
  <c r="M20" i="53"/>
  <c r="L20" i="53"/>
  <c r="K20" i="53"/>
  <c r="J20" i="53"/>
  <c r="J26" i="53" s="1"/>
  <c r="I20" i="53"/>
  <c r="H20" i="53"/>
  <c r="G20" i="53"/>
  <c r="G26" i="53" s="1"/>
  <c r="F20" i="53"/>
  <c r="F26" i="53" s="1"/>
  <c r="E20" i="53"/>
  <c r="E26" i="53" s="1"/>
  <c r="D20" i="53"/>
  <c r="C20" i="53"/>
  <c r="B20" i="53"/>
  <c r="I26" i="53" l="1"/>
  <c r="N22" i="53"/>
  <c r="C26" i="53"/>
  <c r="N23" i="53"/>
  <c r="F36" i="53"/>
  <c r="N25" i="53"/>
  <c r="N24" i="53"/>
  <c r="B36" i="53"/>
  <c r="N34" i="53"/>
  <c r="N21" i="53"/>
  <c r="N31" i="53"/>
  <c r="H26" i="53"/>
  <c r="L36" i="53"/>
  <c r="M26" i="53"/>
  <c r="M36" i="53"/>
  <c r="D26" i="53"/>
  <c r="H36" i="53"/>
  <c r="K26" i="53"/>
  <c r="D36" i="53"/>
  <c r="N30" i="53"/>
  <c r="L26" i="53"/>
  <c r="B26" i="53"/>
  <c r="N20" i="53"/>
  <c r="N26" i="53" l="1"/>
  <c r="N36" i="53"/>
  <c r="AF64" i="1" l="1"/>
  <c r="S80" i="86" l="1"/>
  <c r="S70" i="86"/>
  <c r="P33" i="53"/>
  <c r="P32" i="53"/>
  <c r="P35" i="53"/>
  <c r="P21" i="53"/>
  <c r="P20" i="53"/>
  <c r="P22" i="53"/>
  <c r="P23" i="53"/>
  <c r="P30" i="53"/>
  <c r="P31" i="53"/>
  <c r="P25" i="53"/>
  <c r="P34" i="53"/>
  <c r="P24" i="53"/>
  <c r="P36" i="53"/>
  <c r="C35" i="38"/>
  <c r="C34" i="38"/>
  <c r="K33" i="38"/>
  <c r="E33" i="38"/>
  <c r="B11" i="4"/>
  <c r="B10" i="4"/>
  <c r="M12" i="66"/>
  <c r="L12" i="66"/>
  <c r="K12" i="66"/>
  <c r="J12" i="66"/>
  <c r="I12" i="66"/>
  <c r="H12" i="66"/>
  <c r="G12" i="66"/>
  <c r="F12" i="66"/>
  <c r="E12" i="66"/>
  <c r="D12" i="66"/>
  <c r="P26" i="53" l="1"/>
  <c r="M14" i="53"/>
  <c r="L14" i="53"/>
  <c r="K14" i="53"/>
  <c r="J14" i="53"/>
  <c r="I14" i="53"/>
  <c r="H14" i="53"/>
  <c r="G14" i="53"/>
  <c r="F14" i="53"/>
  <c r="E14" i="53"/>
  <c r="D14" i="53"/>
  <c r="C14" i="53"/>
  <c r="B14" i="53"/>
  <c r="M13" i="53"/>
  <c r="L13" i="53"/>
  <c r="K13" i="53"/>
  <c r="J13" i="53"/>
  <c r="I13" i="53"/>
  <c r="H13" i="53"/>
  <c r="G13" i="53"/>
  <c r="F13" i="53"/>
  <c r="E13" i="53"/>
  <c r="D13" i="53"/>
  <c r="C13" i="53"/>
  <c r="B13" i="53"/>
  <c r="M11" i="53"/>
  <c r="L11" i="53"/>
  <c r="K11" i="53"/>
  <c r="J11" i="53"/>
  <c r="I11" i="53"/>
  <c r="H11" i="53"/>
  <c r="G11" i="53"/>
  <c r="F11" i="53"/>
  <c r="E11" i="53"/>
  <c r="D11" i="53"/>
  <c r="C11" i="53"/>
  <c r="B11" i="53"/>
  <c r="M12" i="53"/>
  <c r="L12" i="53"/>
  <c r="K12" i="53"/>
  <c r="J12" i="53"/>
  <c r="I12" i="53"/>
  <c r="H12" i="53"/>
  <c r="G12" i="53"/>
  <c r="F12" i="53"/>
  <c r="E12" i="53"/>
  <c r="D12" i="53"/>
  <c r="C12" i="53"/>
  <c r="B12" i="53"/>
  <c r="L22" i="87"/>
  <c r="L18" i="87"/>
  <c r="G18" i="87"/>
  <c r="Q140" i="91"/>
  <c r="P140" i="91"/>
  <c r="O140" i="91"/>
  <c r="N140" i="91"/>
  <c r="M140" i="91"/>
  <c r="L140" i="91"/>
  <c r="K140" i="91"/>
  <c r="J140" i="91"/>
  <c r="I140" i="91"/>
  <c r="H140" i="91"/>
  <c r="G140" i="91"/>
  <c r="F140" i="91"/>
  <c r="Q139" i="91"/>
  <c r="P139" i="91"/>
  <c r="O139" i="91"/>
  <c r="N139" i="91"/>
  <c r="M139" i="91"/>
  <c r="L139" i="91"/>
  <c r="K139" i="91"/>
  <c r="J139" i="91"/>
  <c r="I139" i="91"/>
  <c r="H139" i="91"/>
  <c r="G139" i="91"/>
  <c r="F139" i="91"/>
  <c r="Q138" i="91"/>
  <c r="P138" i="91"/>
  <c r="O138" i="91"/>
  <c r="N138" i="91"/>
  <c r="M138" i="91"/>
  <c r="L138" i="91"/>
  <c r="K138" i="91"/>
  <c r="J138" i="91"/>
  <c r="I138" i="91"/>
  <c r="H138" i="91"/>
  <c r="G138" i="91"/>
  <c r="F138" i="91"/>
  <c r="Q137" i="91"/>
  <c r="P137" i="91"/>
  <c r="O137" i="91"/>
  <c r="N137" i="91"/>
  <c r="M137" i="91"/>
  <c r="L137" i="91"/>
  <c r="K137" i="91"/>
  <c r="J137" i="91"/>
  <c r="I137" i="91"/>
  <c r="H137" i="91"/>
  <c r="G137" i="91"/>
  <c r="F137" i="91"/>
  <c r="Q136" i="91"/>
  <c r="P136" i="91"/>
  <c r="O136" i="91"/>
  <c r="N136" i="91"/>
  <c r="M136" i="91"/>
  <c r="L136" i="91"/>
  <c r="K136" i="91"/>
  <c r="J136" i="91"/>
  <c r="I136" i="91"/>
  <c r="H136" i="91"/>
  <c r="G136" i="91"/>
  <c r="F136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Q126" i="91"/>
  <c r="P126" i="91"/>
  <c r="O126" i="91"/>
  <c r="N126" i="91"/>
  <c r="M126" i="91"/>
  <c r="L126" i="91"/>
  <c r="K126" i="91"/>
  <c r="J126" i="91"/>
  <c r="I126" i="91"/>
  <c r="H126" i="91"/>
  <c r="G126" i="91"/>
  <c r="F126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Q118" i="91"/>
  <c r="P118" i="91"/>
  <c r="O118" i="91"/>
  <c r="N118" i="91"/>
  <c r="M118" i="91"/>
  <c r="L118" i="91"/>
  <c r="K118" i="91"/>
  <c r="J118" i="91"/>
  <c r="I118" i="91"/>
  <c r="H118" i="91"/>
  <c r="G118" i="91"/>
  <c r="F118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Q116" i="91"/>
  <c r="P116" i="91"/>
  <c r="O116" i="91"/>
  <c r="N116" i="91"/>
  <c r="M116" i="91"/>
  <c r="L116" i="91"/>
  <c r="K116" i="91"/>
  <c r="J116" i="91"/>
  <c r="I116" i="91"/>
  <c r="H116" i="91"/>
  <c r="G116" i="91"/>
  <c r="F116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Q114" i="91"/>
  <c r="P114" i="91"/>
  <c r="O114" i="91"/>
  <c r="N114" i="91"/>
  <c r="M114" i="91"/>
  <c r="L114" i="91"/>
  <c r="K114" i="91"/>
  <c r="J114" i="91"/>
  <c r="I114" i="91"/>
  <c r="H114" i="91"/>
  <c r="G114" i="91"/>
  <c r="F114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H112" i="91"/>
  <c r="G112" i="91"/>
  <c r="F112" i="91"/>
  <c r="H106" i="91"/>
  <c r="G106" i="91"/>
  <c r="F106" i="91"/>
  <c r="H105" i="91"/>
  <c r="G105" i="91"/>
  <c r="F105" i="91"/>
  <c r="H104" i="91"/>
  <c r="G104" i="91"/>
  <c r="F104" i="91"/>
  <c r="H103" i="91"/>
  <c r="G103" i="91"/>
  <c r="F103" i="91"/>
  <c r="H102" i="91"/>
  <c r="G102" i="91"/>
  <c r="F102" i="91"/>
  <c r="H101" i="91"/>
  <c r="G101" i="91"/>
  <c r="F101" i="91"/>
  <c r="H100" i="91"/>
  <c r="G100" i="91"/>
  <c r="F100" i="91"/>
  <c r="H99" i="91"/>
  <c r="G99" i="91"/>
  <c r="F99" i="91"/>
  <c r="H98" i="91"/>
  <c r="G98" i="91"/>
  <c r="F98" i="91"/>
  <c r="H97" i="91"/>
  <c r="G97" i="91"/>
  <c r="F97" i="91"/>
  <c r="H96" i="91"/>
  <c r="G96" i="91"/>
  <c r="F96" i="91"/>
  <c r="H95" i="91"/>
  <c r="G95" i="91"/>
  <c r="F95" i="91"/>
  <c r="H94" i="91"/>
  <c r="G94" i="91"/>
  <c r="F94" i="91"/>
  <c r="Q83" i="91"/>
  <c r="P83" i="91"/>
  <c r="O83" i="91"/>
  <c r="N83" i="91"/>
  <c r="M83" i="91"/>
  <c r="L83" i="91"/>
  <c r="K83" i="91"/>
  <c r="J83" i="91"/>
  <c r="I83" i="91"/>
  <c r="H83" i="91"/>
  <c r="G83" i="91"/>
  <c r="F83" i="91"/>
  <c r="Q82" i="91"/>
  <c r="P82" i="91"/>
  <c r="O82" i="91"/>
  <c r="N82" i="91"/>
  <c r="M82" i="91"/>
  <c r="L82" i="91"/>
  <c r="K82" i="91"/>
  <c r="J82" i="91"/>
  <c r="I82" i="91"/>
  <c r="H82" i="91"/>
  <c r="G82" i="91"/>
  <c r="F82" i="91"/>
  <c r="Q81" i="91"/>
  <c r="P81" i="91"/>
  <c r="O81" i="91"/>
  <c r="N81" i="91"/>
  <c r="M81" i="91"/>
  <c r="L81" i="91"/>
  <c r="K81" i="91"/>
  <c r="J81" i="91"/>
  <c r="I81" i="91"/>
  <c r="H81" i="91"/>
  <c r="G81" i="91"/>
  <c r="F81" i="91"/>
  <c r="Q80" i="91"/>
  <c r="P80" i="91"/>
  <c r="O80" i="91"/>
  <c r="N80" i="91"/>
  <c r="M80" i="91"/>
  <c r="L80" i="91"/>
  <c r="K80" i="91"/>
  <c r="J80" i="91"/>
  <c r="I80" i="91"/>
  <c r="H80" i="91"/>
  <c r="G80" i="91"/>
  <c r="F80" i="91"/>
  <c r="Q79" i="91"/>
  <c r="P79" i="91"/>
  <c r="O79" i="91"/>
  <c r="N79" i="91"/>
  <c r="M79" i="91"/>
  <c r="L79" i="91"/>
  <c r="K79" i="91"/>
  <c r="J79" i="91"/>
  <c r="I79" i="91"/>
  <c r="H79" i="91"/>
  <c r="G79" i="91"/>
  <c r="F79" i="91"/>
  <c r="Q78" i="91"/>
  <c r="P78" i="91"/>
  <c r="O78" i="91"/>
  <c r="N78" i="91"/>
  <c r="M78" i="91"/>
  <c r="L78" i="91"/>
  <c r="K78" i="91"/>
  <c r="J78" i="91"/>
  <c r="I78" i="91"/>
  <c r="H78" i="91"/>
  <c r="G78" i="91"/>
  <c r="F78" i="91"/>
  <c r="Q77" i="91"/>
  <c r="P77" i="91"/>
  <c r="O77" i="91"/>
  <c r="N77" i="91"/>
  <c r="M77" i="91"/>
  <c r="L77" i="91"/>
  <c r="K77" i="91"/>
  <c r="J77" i="91"/>
  <c r="I77" i="91"/>
  <c r="H77" i="91"/>
  <c r="G77" i="91"/>
  <c r="F77" i="91"/>
  <c r="Q76" i="91"/>
  <c r="P76" i="91"/>
  <c r="O76" i="91"/>
  <c r="N76" i="91"/>
  <c r="M76" i="91"/>
  <c r="L76" i="91"/>
  <c r="K76" i="91"/>
  <c r="J76" i="91"/>
  <c r="I76" i="91"/>
  <c r="H76" i="91"/>
  <c r="G76" i="91"/>
  <c r="F76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Q72" i="91"/>
  <c r="P72" i="91"/>
  <c r="O72" i="91"/>
  <c r="N72" i="91"/>
  <c r="M72" i="91"/>
  <c r="L72" i="91"/>
  <c r="K72" i="91"/>
  <c r="J72" i="91"/>
  <c r="I72" i="91"/>
  <c r="H72" i="91"/>
  <c r="G72" i="91"/>
  <c r="F72" i="91"/>
  <c r="Q71" i="91"/>
  <c r="P71" i="91"/>
  <c r="O71" i="91"/>
  <c r="N71" i="91"/>
  <c r="M71" i="91"/>
  <c r="L71" i="91"/>
  <c r="K71" i="91"/>
  <c r="J71" i="91"/>
  <c r="I71" i="91"/>
  <c r="H71" i="91"/>
  <c r="G71" i="91"/>
  <c r="F71" i="91"/>
  <c r="Q70" i="91"/>
  <c r="P70" i="91"/>
  <c r="O70" i="91"/>
  <c r="N70" i="91"/>
  <c r="M70" i="91"/>
  <c r="L70" i="91"/>
  <c r="K70" i="91"/>
  <c r="J70" i="91"/>
  <c r="I70" i="91"/>
  <c r="H70" i="91"/>
  <c r="G70" i="91"/>
  <c r="F70" i="91"/>
  <c r="Q69" i="91"/>
  <c r="P69" i="91"/>
  <c r="O69" i="91"/>
  <c r="N69" i="91"/>
  <c r="M69" i="91"/>
  <c r="L69" i="91"/>
  <c r="K69" i="91"/>
  <c r="J69" i="91"/>
  <c r="I69" i="91"/>
  <c r="H69" i="91"/>
  <c r="G69" i="91"/>
  <c r="F69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Q61" i="91"/>
  <c r="P61" i="91"/>
  <c r="O61" i="91"/>
  <c r="N61" i="91"/>
  <c r="M61" i="91"/>
  <c r="L61" i="91"/>
  <c r="K61" i="91"/>
  <c r="J61" i="91"/>
  <c r="I61" i="91"/>
  <c r="H61" i="91"/>
  <c r="G61" i="91"/>
  <c r="F61" i="91"/>
  <c r="Q60" i="91"/>
  <c r="P60" i="91"/>
  <c r="O60" i="91"/>
  <c r="N60" i="91"/>
  <c r="M60" i="91"/>
  <c r="L60" i="91"/>
  <c r="K60" i="91"/>
  <c r="J60" i="91"/>
  <c r="I60" i="91"/>
  <c r="H60" i="91"/>
  <c r="G60" i="91"/>
  <c r="F60" i="91"/>
  <c r="Q59" i="91"/>
  <c r="P59" i="91"/>
  <c r="O59" i="91"/>
  <c r="N59" i="91"/>
  <c r="M59" i="91"/>
  <c r="L59" i="91"/>
  <c r="K59" i="91"/>
  <c r="J59" i="91"/>
  <c r="I59" i="91"/>
  <c r="H59" i="91"/>
  <c r="G59" i="91"/>
  <c r="F59" i="91"/>
  <c r="Q58" i="91"/>
  <c r="P58" i="91"/>
  <c r="O58" i="91"/>
  <c r="N58" i="91"/>
  <c r="M58" i="91"/>
  <c r="L58" i="91"/>
  <c r="K58" i="91"/>
  <c r="J58" i="91"/>
  <c r="I58" i="91"/>
  <c r="H58" i="91"/>
  <c r="G58" i="91"/>
  <c r="F58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H49" i="91"/>
  <c r="G49" i="91"/>
  <c r="F49" i="91"/>
  <c r="H48" i="91"/>
  <c r="G48" i="91"/>
  <c r="F48" i="91"/>
  <c r="H47" i="91"/>
  <c r="G47" i="91"/>
  <c r="F47" i="91"/>
  <c r="N46" i="91"/>
  <c r="L46" i="91"/>
  <c r="K46" i="91"/>
  <c r="J46" i="91"/>
  <c r="I46" i="91"/>
  <c r="H46" i="91"/>
  <c r="G46" i="91"/>
  <c r="F46" i="91"/>
  <c r="H45" i="91"/>
  <c r="G45" i="91"/>
  <c r="F45" i="91"/>
  <c r="H44" i="91"/>
  <c r="G44" i="91"/>
  <c r="F44" i="91"/>
  <c r="H43" i="91"/>
  <c r="G43" i="91"/>
  <c r="F43" i="91"/>
  <c r="H42" i="91"/>
  <c r="G42" i="91"/>
  <c r="F42" i="91"/>
  <c r="H41" i="91"/>
  <c r="G41" i="91"/>
  <c r="F41" i="91"/>
  <c r="H40" i="91"/>
  <c r="G40" i="91"/>
  <c r="F40" i="91"/>
  <c r="H39" i="91"/>
  <c r="G39" i="91"/>
  <c r="F39" i="91"/>
  <c r="H38" i="91"/>
  <c r="G38" i="91"/>
  <c r="F38" i="91"/>
  <c r="H37" i="91"/>
  <c r="G37" i="91"/>
  <c r="F37" i="91"/>
  <c r="H36" i="91"/>
  <c r="G36" i="91"/>
  <c r="F36" i="91"/>
  <c r="H35" i="91"/>
  <c r="G35" i="91"/>
  <c r="F35" i="91"/>
  <c r="Q34" i="91"/>
  <c r="P34" i="91"/>
  <c r="O34" i="91"/>
  <c r="N34" i="91"/>
  <c r="M34" i="91"/>
  <c r="L34" i="91"/>
  <c r="K34" i="91"/>
  <c r="J34" i="91"/>
  <c r="I34" i="91"/>
  <c r="H34" i="91"/>
  <c r="G34" i="91"/>
  <c r="F34" i="91"/>
  <c r="H33" i="91"/>
  <c r="G33" i="91"/>
  <c r="F33" i="91"/>
  <c r="H32" i="91"/>
  <c r="G32" i="91"/>
  <c r="F32" i="91"/>
  <c r="Q31" i="91"/>
  <c r="P31" i="91"/>
  <c r="O31" i="91"/>
  <c r="N31" i="91"/>
  <c r="M31" i="91"/>
  <c r="L31" i="91"/>
  <c r="K31" i="91"/>
  <c r="J31" i="91"/>
  <c r="I31" i="91"/>
  <c r="H31" i="91"/>
  <c r="G31" i="91"/>
  <c r="F31" i="91"/>
  <c r="Q30" i="91"/>
  <c r="P30" i="91"/>
  <c r="O30" i="91"/>
  <c r="N30" i="91"/>
  <c r="M30" i="91"/>
  <c r="L30" i="91"/>
  <c r="K30" i="91"/>
  <c r="J30" i="91"/>
  <c r="I30" i="91"/>
  <c r="H30" i="91"/>
  <c r="G30" i="91"/>
  <c r="F30" i="91"/>
  <c r="H29" i="91"/>
  <c r="G29" i="91"/>
  <c r="F29" i="91"/>
  <c r="H28" i="91"/>
  <c r="G28" i="91"/>
  <c r="F28" i="91"/>
  <c r="H27" i="91"/>
  <c r="G27" i="91"/>
  <c r="F27" i="91"/>
  <c r="H26" i="91"/>
  <c r="G26" i="91"/>
  <c r="F26" i="91"/>
  <c r="H25" i="91"/>
  <c r="G25" i="91"/>
  <c r="F25" i="91"/>
  <c r="Q24" i="91"/>
  <c r="P24" i="91"/>
  <c r="O24" i="91"/>
  <c r="N24" i="91"/>
  <c r="M24" i="91"/>
  <c r="L24" i="91"/>
  <c r="K24" i="91"/>
  <c r="J24" i="91"/>
  <c r="I24" i="91"/>
  <c r="H24" i="91"/>
  <c r="G24" i="91"/>
  <c r="F24" i="91"/>
  <c r="H23" i="91"/>
  <c r="G23" i="91"/>
  <c r="F23" i="91"/>
  <c r="H22" i="91"/>
  <c r="G22" i="91"/>
  <c r="F22" i="91"/>
  <c r="Q21" i="91"/>
  <c r="P21" i="91"/>
  <c r="O21" i="91"/>
  <c r="N21" i="91"/>
  <c r="M21" i="91"/>
  <c r="L21" i="91"/>
  <c r="K21" i="91"/>
  <c r="J21" i="91"/>
  <c r="I21" i="91"/>
  <c r="H21" i="91"/>
  <c r="G21" i="91"/>
  <c r="F21" i="91"/>
  <c r="D21" i="91"/>
  <c r="W70" i="84"/>
  <c r="V70" i="84"/>
  <c r="U70" i="84"/>
  <c r="T70" i="84"/>
  <c r="S70" i="84"/>
  <c r="R70" i="84"/>
  <c r="Q70" i="84"/>
  <c r="P70" i="84"/>
  <c r="O70" i="84"/>
  <c r="N70" i="84"/>
  <c r="M70" i="84"/>
  <c r="L70" i="84"/>
  <c r="K26" i="84"/>
  <c r="F70" i="84"/>
  <c r="H70" i="84" s="1"/>
  <c r="I70" i="84" s="1"/>
  <c r="H26" i="84"/>
  <c r="I26" i="84" s="1"/>
  <c r="F26" i="84"/>
  <c r="P12" i="53" l="1"/>
  <c r="P11" i="53"/>
  <c r="P13" i="53"/>
  <c r="P14" i="53"/>
  <c r="H151" i="91"/>
  <c r="G151" i="91"/>
  <c r="F151" i="91"/>
  <c r="K70" i="84"/>
  <c r="D40" i="1" l="1"/>
  <c r="O37" i="1"/>
  <c r="N37" i="1"/>
  <c r="M37" i="1"/>
  <c r="L37" i="1"/>
  <c r="K37" i="1"/>
  <c r="J37" i="1"/>
  <c r="I37" i="1"/>
  <c r="H37" i="1"/>
  <c r="G37" i="1"/>
  <c r="F37" i="1"/>
  <c r="E37" i="1"/>
  <c r="F29" i="1" l="1"/>
  <c r="E29" i="1"/>
  <c r="D29" i="1"/>
  <c r="F28" i="1"/>
  <c r="E28" i="1"/>
  <c r="D28" i="1"/>
  <c r="F26" i="1"/>
  <c r="E26" i="1"/>
  <c r="D26" i="1"/>
  <c r="O25" i="1"/>
  <c r="N25" i="1"/>
  <c r="M25" i="1"/>
  <c r="L25" i="1"/>
  <c r="K25" i="1"/>
  <c r="J25" i="1"/>
  <c r="I25" i="1"/>
  <c r="H25" i="1"/>
  <c r="G25" i="1"/>
  <c r="F25" i="1"/>
  <c r="E25" i="1"/>
  <c r="D25" i="1"/>
  <c r="F18" i="1"/>
  <c r="E18" i="1"/>
  <c r="D18" i="1"/>
  <c r="O16" i="1"/>
  <c r="N16" i="1"/>
  <c r="M16" i="1"/>
  <c r="L16" i="1"/>
  <c r="K16" i="1"/>
  <c r="J16" i="1"/>
  <c r="I16" i="1"/>
  <c r="H16" i="1"/>
  <c r="G16" i="1"/>
  <c r="F16" i="1"/>
  <c r="E16" i="1"/>
  <c r="D16" i="1"/>
  <c r="F13" i="1"/>
  <c r="E13" i="1"/>
  <c r="D13" i="1"/>
  <c r="F11" i="1"/>
  <c r="E11" i="1"/>
  <c r="D11" i="1"/>
  <c r="O9" i="1"/>
  <c r="N9" i="1"/>
  <c r="M9" i="1"/>
  <c r="L9" i="1"/>
  <c r="K9" i="1"/>
  <c r="J9" i="1"/>
  <c r="I9" i="1"/>
  <c r="H9" i="1"/>
  <c r="G9" i="1"/>
  <c r="F9" i="1"/>
  <c r="E9" i="1"/>
  <c r="D9" i="1"/>
  <c r="O8" i="1"/>
  <c r="N8" i="1"/>
  <c r="M8" i="1"/>
  <c r="L8" i="1"/>
  <c r="K8" i="1"/>
  <c r="J8" i="1"/>
  <c r="I8" i="1"/>
  <c r="H8" i="1"/>
  <c r="G8" i="1"/>
  <c r="F8" i="1"/>
  <c r="E8" i="1"/>
  <c r="D8" i="1"/>
  <c r="O7" i="1"/>
  <c r="N7" i="1"/>
  <c r="M7" i="1"/>
  <c r="L7" i="1"/>
  <c r="K7" i="1"/>
  <c r="J7" i="1"/>
  <c r="I7" i="1"/>
  <c r="H7" i="1"/>
  <c r="G7" i="1"/>
  <c r="F7" i="1"/>
  <c r="E7" i="1"/>
  <c r="D7" i="1"/>
  <c r="M10" i="53"/>
  <c r="L10" i="53"/>
  <c r="K10" i="53"/>
  <c r="J10" i="53"/>
  <c r="I10" i="53"/>
  <c r="H10" i="53"/>
  <c r="G10" i="53"/>
  <c r="F10" i="53"/>
  <c r="E10" i="53"/>
  <c r="D10" i="53"/>
  <c r="C10" i="53"/>
  <c r="B10" i="53"/>
  <c r="M9" i="53"/>
  <c r="L9" i="53"/>
  <c r="K9" i="53"/>
  <c r="J9" i="53"/>
  <c r="I9" i="53"/>
  <c r="H9" i="53"/>
  <c r="G9" i="53"/>
  <c r="F9" i="53"/>
  <c r="E9" i="53"/>
  <c r="D9" i="53"/>
  <c r="C9" i="53"/>
  <c r="B9" i="53"/>
  <c r="P10" i="53" l="1"/>
  <c r="P9" i="53"/>
  <c r="H153" i="91"/>
  <c r="H154" i="91"/>
  <c r="H152" i="91"/>
  <c r="F153" i="91"/>
  <c r="F154" i="91"/>
  <c r="F152" i="91"/>
  <c r="G154" i="91"/>
  <c r="G153" i="91"/>
  <c r="G152" i="91"/>
  <c r="AF16" i="1"/>
  <c r="D22" i="1"/>
  <c r="AF8" i="1"/>
  <c r="AF9" i="1"/>
  <c r="E22" i="1"/>
  <c r="F22" i="1"/>
  <c r="P58" i="75"/>
  <c r="O58" i="75"/>
  <c r="N58" i="75"/>
  <c r="M58" i="75"/>
  <c r="L58" i="75"/>
  <c r="K58" i="75"/>
  <c r="J58" i="75"/>
  <c r="I58" i="75"/>
  <c r="H58" i="75"/>
  <c r="G58" i="75"/>
  <c r="F58" i="75"/>
  <c r="E58" i="75"/>
  <c r="G84" i="84" l="1"/>
  <c r="G71" i="84"/>
  <c r="G40" i="84"/>
  <c r="G27" i="84"/>
  <c r="G56" i="84"/>
  <c r="G12" i="84"/>
  <c r="A4" i="83" l="1"/>
  <c r="A2" i="83"/>
  <c r="D35" i="38"/>
  <c r="E35" i="38" s="1"/>
  <c r="F35" i="38" s="1"/>
  <c r="G35" i="38" s="1"/>
  <c r="H35" i="38" s="1"/>
  <c r="I35" i="38" s="1"/>
  <c r="J35" i="38" s="1"/>
  <c r="K35" i="38" s="1"/>
  <c r="L35" i="38" s="1"/>
  <c r="N22" i="82"/>
  <c r="M22" i="82"/>
  <c r="L22" i="82"/>
  <c r="K22" i="82"/>
  <c r="J22" i="82"/>
  <c r="I22" i="82"/>
  <c r="H22" i="82"/>
  <c r="G22" i="82"/>
  <c r="F22" i="82"/>
  <c r="E22" i="82"/>
  <c r="D22" i="82"/>
  <c r="C22" i="82"/>
  <c r="B22" i="82"/>
  <c r="M35" i="38" l="1"/>
  <c r="F108" i="91"/>
  <c r="N35" i="38" l="1"/>
  <c r="G108" i="91"/>
  <c r="H108" i="91"/>
  <c r="B4" i="91" l="1"/>
  <c r="E104" i="91"/>
  <c r="E95" i="91"/>
  <c r="R57" i="91"/>
  <c r="E54" i="91"/>
  <c r="R51" i="91"/>
  <c r="R16" i="91"/>
  <c r="R15" i="91"/>
  <c r="R14" i="91"/>
  <c r="R13" i="91"/>
  <c r="R12" i="91"/>
  <c r="R82" i="91" l="1"/>
  <c r="V73" i="84"/>
  <c r="U73" i="84"/>
  <c r="R73" i="84"/>
  <c r="Q73" i="84"/>
  <c r="N73" i="84"/>
  <c r="M73" i="84"/>
  <c r="W65" i="84"/>
  <c r="V65" i="84"/>
  <c r="U65" i="84"/>
  <c r="T65" i="84"/>
  <c r="S65" i="84"/>
  <c r="R65" i="84"/>
  <c r="Q65" i="84"/>
  <c r="P65" i="84"/>
  <c r="O65" i="84"/>
  <c r="N65" i="84"/>
  <c r="M65" i="84"/>
  <c r="L65" i="84"/>
  <c r="W64" i="84"/>
  <c r="V64" i="84"/>
  <c r="U64" i="84"/>
  <c r="T64" i="84"/>
  <c r="S64" i="84"/>
  <c r="R64" i="84"/>
  <c r="Q64" i="84"/>
  <c r="P64" i="84"/>
  <c r="O64" i="84"/>
  <c r="N64" i="84"/>
  <c r="M64" i="84"/>
  <c r="L64" i="84"/>
  <c r="V60" i="84"/>
  <c r="U60" i="84"/>
  <c r="R60" i="84"/>
  <c r="Q60" i="84"/>
  <c r="N60" i="84"/>
  <c r="M60" i="84"/>
  <c r="I96" i="84"/>
  <c r="F96" i="84" s="1"/>
  <c r="V96" i="84" s="1"/>
  <c r="V112" i="84" s="1"/>
  <c r="I95" i="84"/>
  <c r="F95" i="84" s="1"/>
  <c r="V95" i="84" s="1"/>
  <c r="I94" i="84"/>
  <c r="F94" i="84" s="1"/>
  <c r="W94" i="84" s="1"/>
  <c r="H93" i="84"/>
  <c r="I93" i="84" s="1"/>
  <c r="F93" i="84" s="1"/>
  <c r="R93" i="84" s="1"/>
  <c r="I92" i="84"/>
  <c r="F92" i="84" s="1"/>
  <c r="N92" i="84" s="1"/>
  <c r="I91" i="84"/>
  <c r="F91" i="84" s="1"/>
  <c r="V91" i="84" s="1"/>
  <c r="V111" i="84" s="1"/>
  <c r="I90" i="84"/>
  <c r="F90" i="84" s="1"/>
  <c r="W90" i="84" s="1"/>
  <c r="I89" i="84"/>
  <c r="F89" i="84" s="1"/>
  <c r="I88" i="84"/>
  <c r="F88" i="84" s="1"/>
  <c r="V88" i="84" s="1"/>
  <c r="I87" i="84"/>
  <c r="F87" i="84" s="1"/>
  <c r="V87" i="84" s="1"/>
  <c r="I86" i="84"/>
  <c r="F86" i="84" s="1"/>
  <c r="G85" i="84"/>
  <c r="I85" i="84" s="1"/>
  <c r="F85" i="84" s="1"/>
  <c r="S85" i="84" s="1"/>
  <c r="I84" i="84"/>
  <c r="F84" i="84" s="1"/>
  <c r="R84" i="84" s="1"/>
  <c r="I83" i="84"/>
  <c r="F83" i="84" s="1"/>
  <c r="W83" i="84" s="1"/>
  <c r="I82" i="84"/>
  <c r="F82" i="84" s="1"/>
  <c r="W82" i="84" s="1"/>
  <c r="I81" i="84"/>
  <c r="F81" i="84" s="1"/>
  <c r="R81" i="84" s="1"/>
  <c r="I80" i="84"/>
  <c r="F80" i="84" s="1"/>
  <c r="I79" i="84"/>
  <c r="F79" i="84" s="1"/>
  <c r="S79" i="84" s="1"/>
  <c r="I78" i="84"/>
  <c r="F78" i="84" s="1"/>
  <c r="W78" i="84" s="1"/>
  <c r="I77" i="84"/>
  <c r="F77" i="84" s="1"/>
  <c r="V77" i="84" s="1"/>
  <c r="I76" i="84"/>
  <c r="F76" i="84" s="1"/>
  <c r="N76" i="84" s="1"/>
  <c r="H75" i="84"/>
  <c r="F75" i="84" s="1"/>
  <c r="U75" i="84" s="1"/>
  <c r="F74" i="84"/>
  <c r="H74" i="84" s="1"/>
  <c r="I74" i="84" s="1"/>
  <c r="F73" i="84"/>
  <c r="H73" i="84" s="1"/>
  <c r="I73" i="84" s="1"/>
  <c r="G72" i="84"/>
  <c r="I72" i="84" s="1"/>
  <c r="F72" i="84" s="1"/>
  <c r="N72" i="84" s="1"/>
  <c r="I71" i="84"/>
  <c r="F71" i="84" s="1"/>
  <c r="V71" i="84" s="1"/>
  <c r="I69" i="84"/>
  <c r="F69" i="84" s="1"/>
  <c r="U69" i="84" s="1"/>
  <c r="I68" i="84"/>
  <c r="F68" i="84" s="1"/>
  <c r="T68" i="84" s="1"/>
  <c r="I67" i="84"/>
  <c r="F67" i="84" s="1"/>
  <c r="S67" i="84" s="1"/>
  <c r="I66" i="84"/>
  <c r="F66" i="84" s="1"/>
  <c r="N66" i="84" s="1"/>
  <c r="I65" i="84"/>
  <c r="I64" i="84"/>
  <c r="I63" i="84"/>
  <c r="F63" i="84" s="1"/>
  <c r="S63" i="84" s="1"/>
  <c r="I62" i="84"/>
  <c r="F62" i="84" s="1"/>
  <c r="S62" i="84" s="1"/>
  <c r="I61" i="84"/>
  <c r="F61" i="84" s="1"/>
  <c r="U61" i="84" s="1"/>
  <c r="F60" i="84"/>
  <c r="T60" i="84" s="1"/>
  <c r="I59" i="84"/>
  <c r="F59" i="84"/>
  <c r="T59" i="84" s="1"/>
  <c r="H58" i="84"/>
  <c r="I58" i="84" s="1"/>
  <c r="F58" i="84"/>
  <c r="G57" i="84"/>
  <c r="I57" i="84" s="1"/>
  <c r="F57" i="84" s="1"/>
  <c r="I56" i="84"/>
  <c r="F56" i="84" s="1"/>
  <c r="M59" i="84" l="1"/>
  <c r="Q59" i="84"/>
  <c r="U59" i="84"/>
  <c r="M74" i="84"/>
  <c r="Q74" i="84"/>
  <c r="U74" i="84"/>
  <c r="O59" i="84"/>
  <c r="S59" i="84"/>
  <c r="W59" i="84"/>
  <c r="O60" i="84"/>
  <c r="S60" i="84"/>
  <c r="W60" i="84"/>
  <c r="O73" i="84"/>
  <c r="S73" i="84"/>
  <c r="W73" i="84"/>
  <c r="O74" i="84"/>
  <c r="S74" i="84"/>
  <c r="W74" i="84"/>
  <c r="N59" i="84"/>
  <c r="R59" i="84"/>
  <c r="V59" i="84"/>
  <c r="N74" i="84"/>
  <c r="R74" i="84"/>
  <c r="V74" i="84"/>
  <c r="H60" i="84"/>
  <c r="I60" i="84" s="1"/>
  <c r="L59" i="84"/>
  <c r="P59" i="84"/>
  <c r="L60" i="84"/>
  <c r="P60" i="84"/>
  <c r="L73" i="84"/>
  <c r="P73" i="84"/>
  <c r="T73" i="84"/>
  <c r="L74" i="84"/>
  <c r="P74" i="84"/>
  <c r="T74" i="84"/>
  <c r="V68" i="84"/>
  <c r="W61" i="84"/>
  <c r="N75" i="84"/>
  <c r="R62" i="84"/>
  <c r="N68" i="84"/>
  <c r="R69" i="84"/>
  <c r="T75" i="84"/>
  <c r="V66" i="84"/>
  <c r="V62" i="84"/>
  <c r="Q68" i="84"/>
  <c r="N71" i="84"/>
  <c r="V75" i="84"/>
  <c r="O61" i="84"/>
  <c r="R66" i="84"/>
  <c r="S68" i="84"/>
  <c r="L75" i="84"/>
  <c r="O82" i="84"/>
  <c r="R87" i="84"/>
  <c r="R91" i="84"/>
  <c r="S71" i="84"/>
  <c r="P75" i="84"/>
  <c r="S77" i="84"/>
  <c r="V84" i="84"/>
  <c r="N84" i="84"/>
  <c r="W71" i="84"/>
  <c r="R75" i="84"/>
  <c r="O78" i="84"/>
  <c r="R85" i="84"/>
  <c r="R95" i="84"/>
  <c r="W86" i="84"/>
  <c r="V86" i="84"/>
  <c r="O86" i="84"/>
  <c r="W67" i="84"/>
  <c r="R79" i="84"/>
  <c r="O83" i="84"/>
  <c r="O90" i="84"/>
  <c r="O94" i="84"/>
  <c r="R61" i="84"/>
  <c r="N62" i="84"/>
  <c r="O63" i="84"/>
  <c r="S66" i="84"/>
  <c r="M68" i="84"/>
  <c r="R68" i="84"/>
  <c r="W68" i="84"/>
  <c r="S69" i="84"/>
  <c r="O71" i="84"/>
  <c r="R72" i="84"/>
  <c r="O75" i="84"/>
  <c r="S75" i="84"/>
  <c r="W75" i="84"/>
  <c r="N78" i="84"/>
  <c r="N82" i="84"/>
  <c r="R83" i="84"/>
  <c r="O84" i="84"/>
  <c r="S87" i="84"/>
  <c r="S90" i="84"/>
  <c r="S91" i="84"/>
  <c r="S94" i="84"/>
  <c r="S95" i="84"/>
  <c r="S61" i="84"/>
  <c r="W63" i="84"/>
  <c r="N69" i="84"/>
  <c r="V69" i="84"/>
  <c r="V76" i="84"/>
  <c r="S83" i="84"/>
  <c r="N88" i="84"/>
  <c r="V90" i="84"/>
  <c r="V94" i="84"/>
  <c r="N96" i="84"/>
  <c r="N112" i="84" s="1"/>
  <c r="N61" i="84"/>
  <c r="V61" i="84"/>
  <c r="K64" i="84"/>
  <c r="K65" i="84"/>
  <c r="O67" i="84"/>
  <c r="O68" i="84"/>
  <c r="U68" i="84"/>
  <c r="O69" i="84"/>
  <c r="W69" i="84"/>
  <c r="M75" i="84"/>
  <c r="Q75" i="84"/>
  <c r="R77" i="84"/>
  <c r="W84" i="84"/>
  <c r="N90" i="84"/>
  <c r="N94" i="84"/>
  <c r="U80" i="84"/>
  <c r="Q80" i="84"/>
  <c r="M80" i="84"/>
  <c r="T80" i="84"/>
  <c r="P80" i="84"/>
  <c r="L80" i="84"/>
  <c r="S80" i="84"/>
  <c r="R80" i="84"/>
  <c r="V80" i="84"/>
  <c r="R63" i="84"/>
  <c r="R67" i="84"/>
  <c r="S72" i="84"/>
  <c r="W76" i="84"/>
  <c r="W80" i="84"/>
  <c r="U62" i="84"/>
  <c r="Q62" i="84"/>
  <c r="M62" i="84"/>
  <c r="T62" i="84"/>
  <c r="P62" i="84"/>
  <c r="L62" i="84"/>
  <c r="U66" i="84"/>
  <c r="Q66" i="84"/>
  <c r="M66" i="84"/>
  <c r="T66" i="84"/>
  <c r="P66" i="84"/>
  <c r="L66" i="84"/>
  <c r="U71" i="84"/>
  <c r="Q71" i="84"/>
  <c r="M71" i="84"/>
  <c r="T71" i="84"/>
  <c r="P71" i="84"/>
  <c r="L71" i="84"/>
  <c r="U78" i="84"/>
  <c r="Q78" i="84"/>
  <c r="M78" i="84"/>
  <c r="T78" i="84"/>
  <c r="P78" i="84"/>
  <c r="L78" i="84"/>
  <c r="S78" i="84"/>
  <c r="R78" i="84"/>
  <c r="U82" i="84"/>
  <c r="Q82" i="84"/>
  <c r="M82" i="84"/>
  <c r="T82" i="84"/>
  <c r="P82" i="84"/>
  <c r="L82" i="84"/>
  <c r="S82" i="84"/>
  <c r="R82" i="84"/>
  <c r="U86" i="84"/>
  <c r="Q86" i="84"/>
  <c r="M86" i="84"/>
  <c r="T86" i="84"/>
  <c r="P86" i="84"/>
  <c r="L86" i="84"/>
  <c r="S86" i="84"/>
  <c r="R86" i="84"/>
  <c r="U89" i="84"/>
  <c r="Q89" i="84"/>
  <c r="M89" i="84"/>
  <c r="T89" i="84"/>
  <c r="P89" i="84"/>
  <c r="L89" i="84"/>
  <c r="W89" i="84"/>
  <c r="O89" i="84"/>
  <c r="V89" i="84"/>
  <c r="N89" i="84"/>
  <c r="S89" i="84"/>
  <c r="U93" i="84"/>
  <c r="Q93" i="84"/>
  <c r="M93" i="84"/>
  <c r="T93" i="84"/>
  <c r="P93" i="84"/>
  <c r="L93" i="84"/>
  <c r="W93" i="84"/>
  <c r="O93" i="84"/>
  <c r="V93" i="84"/>
  <c r="N93" i="84"/>
  <c r="S93" i="84"/>
  <c r="O62" i="84"/>
  <c r="W62" i="84"/>
  <c r="O66" i="84"/>
  <c r="W66" i="84"/>
  <c r="R71" i="84"/>
  <c r="V78" i="84"/>
  <c r="N80" i="84"/>
  <c r="V82" i="84"/>
  <c r="N86" i="84"/>
  <c r="R89" i="84"/>
  <c r="U81" i="84"/>
  <c r="Q81" i="84"/>
  <c r="M81" i="84"/>
  <c r="T81" i="84"/>
  <c r="P81" i="84"/>
  <c r="L81" i="84"/>
  <c r="W81" i="84"/>
  <c r="O81" i="84"/>
  <c r="V81" i="84"/>
  <c r="N81" i="84"/>
  <c r="U85" i="84"/>
  <c r="Q85" i="84"/>
  <c r="M85" i="84"/>
  <c r="T85" i="84"/>
  <c r="P85" i="84"/>
  <c r="L85" i="84"/>
  <c r="W85" i="84"/>
  <c r="O85" i="84"/>
  <c r="V85" i="84"/>
  <c r="N85" i="84"/>
  <c r="U88" i="84"/>
  <c r="Q88" i="84"/>
  <c r="M88" i="84"/>
  <c r="T88" i="84"/>
  <c r="P88" i="84"/>
  <c r="L88" i="84"/>
  <c r="S88" i="84"/>
  <c r="R88" i="84"/>
  <c r="W88" i="84"/>
  <c r="O88" i="84"/>
  <c r="U92" i="84"/>
  <c r="Q92" i="84"/>
  <c r="M92" i="84"/>
  <c r="T92" i="84"/>
  <c r="P92" i="84"/>
  <c r="L92" i="84"/>
  <c r="S92" i="84"/>
  <c r="R92" i="84"/>
  <c r="W92" i="84"/>
  <c r="O92" i="84"/>
  <c r="U96" i="84"/>
  <c r="U112" i="84" s="1"/>
  <c r="Q96" i="84"/>
  <c r="Q112" i="84" s="1"/>
  <c r="M96" i="84"/>
  <c r="M112" i="84" s="1"/>
  <c r="T96" i="84"/>
  <c r="T112" i="84" s="1"/>
  <c r="P96" i="84"/>
  <c r="P112" i="84" s="1"/>
  <c r="L96" i="84"/>
  <c r="S96" i="84"/>
  <c r="S112" i="84" s="1"/>
  <c r="R96" i="84"/>
  <c r="R112" i="84" s="1"/>
  <c r="W96" i="84"/>
  <c r="W112" i="84" s="1"/>
  <c r="O96" i="84"/>
  <c r="O112" i="84" s="1"/>
  <c r="U63" i="84"/>
  <c r="Q63" i="84"/>
  <c r="M63" i="84"/>
  <c r="T63" i="84"/>
  <c r="P63" i="84"/>
  <c r="L63" i="84"/>
  <c r="U67" i="84"/>
  <c r="Q67" i="84"/>
  <c r="M67" i="84"/>
  <c r="T67" i="84"/>
  <c r="P67" i="84"/>
  <c r="L67" i="84"/>
  <c r="U72" i="84"/>
  <c r="T72" i="84"/>
  <c r="W72" i="84"/>
  <c r="Q72" i="84"/>
  <c r="M72" i="84"/>
  <c r="V72" i="84"/>
  <c r="P72" i="84"/>
  <c r="L72" i="84"/>
  <c r="U76" i="84"/>
  <c r="Q76" i="84"/>
  <c r="M76" i="84"/>
  <c r="T76" i="84"/>
  <c r="P76" i="84"/>
  <c r="L76" i="84"/>
  <c r="S76" i="84"/>
  <c r="R76" i="84"/>
  <c r="U79" i="84"/>
  <c r="Q79" i="84"/>
  <c r="M79" i="84"/>
  <c r="T79" i="84"/>
  <c r="P79" i="84"/>
  <c r="L79" i="84"/>
  <c r="W79" i="84"/>
  <c r="O79" i="84"/>
  <c r="V79" i="84"/>
  <c r="N79" i="84"/>
  <c r="N63" i="84"/>
  <c r="V63" i="84"/>
  <c r="N67" i="84"/>
  <c r="V67" i="84"/>
  <c r="V107" i="84" s="1"/>
  <c r="O72" i="84"/>
  <c r="O76" i="84"/>
  <c r="O80" i="84"/>
  <c r="S81" i="84"/>
  <c r="V92" i="84"/>
  <c r="U83" i="84"/>
  <c r="Q83" i="84"/>
  <c r="M83" i="84"/>
  <c r="T83" i="84"/>
  <c r="P83" i="84"/>
  <c r="L83" i="84"/>
  <c r="U90" i="84"/>
  <c r="Q90" i="84"/>
  <c r="M90" i="84"/>
  <c r="T90" i="84"/>
  <c r="P90" i="84"/>
  <c r="L90" i="84"/>
  <c r="U94" i="84"/>
  <c r="Q94" i="84"/>
  <c r="M94" i="84"/>
  <c r="T94" i="84"/>
  <c r="P94" i="84"/>
  <c r="L94" i="84"/>
  <c r="L61" i="84"/>
  <c r="P61" i="84"/>
  <c r="T61" i="84"/>
  <c r="L68" i="84"/>
  <c r="P68" i="84"/>
  <c r="L69" i="84"/>
  <c r="P69" i="84"/>
  <c r="T69" i="84"/>
  <c r="N77" i="84"/>
  <c r="N83" i="84"/>
  <c r="V83" i="84"/>
  <c r="N87" i="84"/>
  <c r="R90" i="84"/>
  <c r="N91" i="84"/>
  <c r="R94" i="84"/>
  <c r="N95" i="84"/>
  <c r="U77" i="84"/>
  <c r="Q77" i="84"/>
  <c r="M77" i="84"/>
  <c r="T77" i="84"/>
  <c r="P77" i="84"/>
  <c r="L77" i="84"/>
  <c r="U84" i="84"/>
  <c r="Q84" i="84"/>
  <c r="M84" i="84"/>
  <c r="T84" i="84"/>
  <c r="P84" i="84"/>
  <c r="L84" i="84"/>
  <c r="U87" i="84"/>
  <c r="Q87" i="84"/>
  <c r="M87" i="84"/>
  <c r="T87" i="84"/>
  <c r="P87" i="84"/>
  <c r="L87" i="84"/>
  <c r="U91" i="84"/>
  <c r="Q91" i="84"/>
  <c r="M91" i="84"/>
  <c r="T91" i="84"/>
  <c r="P91" i="84"/>
  <c r="L91" i="84"/>
  <c r="U95" i="84"/>
  <c r="Q95" i="84"/>
  <c r="M95" i="84"/>
  <c r="T95" i="84"/>
  <c r="P95" i="84"/>
  <c r="L95" i="84"/>
  <c r="M61" i="84"/>
  <c r="Q61" i="84"/>
  <c r="M69" i="84"/>
  <c r="Q69" i="84"/>
  <c r="O77" i="84"/>
  <c r="W77" i="84"/>
  <c r="S84" i="84"/>
  <c r="O87" i="84"/>
  <c r="W87" i="84"/>
  <c r="O91" i="84"/>
  <c r="W91" i="84"/>
  <c r="O95" i="84"/>
  <c r="W95" i="84"/>
  <c r="I75" i="84"/>
  <c r="K31" i="84"/>
  <c r="K30" i="84"/>
  <c r="H31" i="84"/>
  <c r="I31" i="84" s="1"/>
  <c r="F30" i="84"/>
  <c r="H30" i="84" s="1"/>
  <c r="I30" i="84" s="1"/>
  <c r="K16" i="84"/>
  <c r="K15" i="84"/>
  <c r="U110" i="84" l="1"/>
  <c r="R111" i="84"/>
  <c r="R110" i="84"/>
  <c r="O111" i="84"/>
  <c r="P111" i="84"/>
  <c r="U111" i="84"/>
  <c r="W110" i="84"/>
  <c r="W109" i="84"/>
  <c r="Q110" i="84"/>
  <c r="N107" i="84"/>
  <c r="N110" i="84"/>
  <c r="M110" i="84"/>
  <c r="O110" i="84"/>
  <c r="V110" i="84"/>
  <c r="N108" i="84"/>
  <c r="S110" i="84"/>
  <c r="W108" i="84"/>
  <c r="R108" i="84"/>
  <c r="S108" i="84"/>
  <c r="T107" i="84"/>
  <c r="S111" i="84"/>
  <c r="L110" i="84"/>
  <c r="O108" i="84"/>
  <c r="S109" i="84"/>
  <c r="R107" i="84"/>
  <c r="L111" i="84"/>
  <c r="Q111" i="84"/>
  <c r="K84" i="84"/>
  <c r="V108" i="84"/>
  <c r="O109" i="84"/>
  <c r="T110" i="84"/>
  <c r="P109" i="84"/>
  <c r="S107" i="84"/>
  <c r="P107" i="84"/>
  <c r="U107" i="84"/>
  <c r="M108" i="84"/>
  <c r="N109" i="84"/>
  <c r="U109" i="84"/>
  <c r="T109" i="84"/>
  <c r="L108" i="84"/>
  <c r="R109" i="84"/>
  <c r="K95" i="84"/>
  <c r="T111" i="84"/>
  <c r="N111" i="84"/>
  <c r="P110" i="84"/>
  <c r="M109" i="84"/>
  <c r="W107" i="84"/>
  <c r="M107" i="84"/>
  <c r="P108" i="84"/>
  <c r="U108" i="84"/>
  <c r="K96" i="84"/>
  <c r="L112" i="84"/>
  <c r="Q108" i="84"/>
  <c r="W111" i="84"/>
  <c r="M111" i="84"/>
  <c r="V109" i="84"/>
  <c r="K63" i="84"/>
  <c r="L109" i="84"/>
  <c r="Q109" i="84"/>
  <c r="K85" i="84"/>
  <c r="O107" i="84"/>
  <c r="L107" i="84"/>
  <c r="Q107" i="84"/>
  <c r="T108" i="84"/>
  <c r="F31" i="84"/>
  <c r="I21" i="84"/>
  <c r="I20" i="84"/>
  <c r="F16" i="84"/>
  <c r="H16" i="84" s="1"/>
  <c r="I16" i="84" s="1"/>
  <c r="I15" i="84"/>
  <c r="F15" i="84"/>
  <c r="H14" i="84"/>
  <c r="A4" i="86" l="1"/>
  <c r="N19" i="82"/>
  <c r="B19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N18" i="82" s="1"/>
  <c r="N12" i="82"/>
  <c r="N11" i="82"/>
  <c r="A4" i="82"/>
  <c r="A2" i="82"/>
  <c r="B13" i="82"/>
  <c r="C13" i="82"/>
  <c r="D13" i="82"/>
  <c r="E13" i="82"/>
  <c r="F13" i="82"/>
  <c r="G13" i="82"/>
  <c r="H13" i="82"/>
  <c r="I13" i="82"/>
  <c r="J13" i="82"/>
  <c r="K13" i="82"/>
  <c r="L13" i="82"/>
  <c r="M13" i="82"/>
  <c r="N13" i="82" s="1"/>
  <c r="J60" i="89" l="1"/>
  <c r="J59" i="89"/>
  <c r="J58" i="89"/>
  <c r="J57" i="89"/>
  <c r="J56" i="89"/>
  <c r="J55" i="89"/>
  <c r="J54" i="89"/>
  <c r="J53" i="89"/>
  <c r="J52" i="89"/>
  <c r="J51" i="89"/>
  <c r="J50" i="89"/>
  <c r="J70" i="89"/>
  <c r="H70" i="89"/>
  <c r="A4" i="89"/>
  <c r="A2" i="89"/>
  <c r="J97" i="89"/>
  <c r="J96" i="89"/>
  <c r="J93" i="89"/>
  <c r="J92" i="89"/>
  <c r="J91" i="89"/>
  <c r="J90" i="89"/>
  <c r="J89" i="89"/>
  <c r="J88" i="89"/>
  <c r="J87" i="89"/>
  <c r="J94" i="89" s="1"/>
  <c r="K70" i="89"/>
  <c r="I70" i="89"/>
  <c r="G70" i="89"/>
  <c r="F70" i="89"/>
  <c r="J67" i="89"/>
  <c r="J66" i="89"/>
  <c r="J65" i="89"/>
  <c r="H64" i="89"/>
  <c r="J61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6" i="89"/>
  <c r="J35" i="89"/>
  <c r="K30" i="89"/>
  <c r="I30" i="89"/>
  <c r="G30" i="89"/>
  <c r="F30" i="89"/>
  <c r="J28" i="89"/>
  <c r="J27" i="89"/>
  <c r="H26" i="89"/>
  <c r="J26" i="89" s="1"/>
  <c r="B26" i="89"/>
  <c r="J25" i="89"/>
  <c r="A25" i="89"/>
  <c r="A26" i="89" s="1"/>
  <c r="A27" i="89" s="1"/>
  <c r="A28" i="89" s="1"/>
  <c r="J24" i="89"/>
  <c r="H23" i="89"/>
  <c r="J23" i="89" s="1"/>
  <c r="H22" i="89"/>
  <c r="J22" i="89" s="1"/>
  <c r="J21" i="89"/>
  <c r="A17" i="89"/>
  <c r="A18" i="89" s="1"/>
  <c r="A19" i="89" s="1"/>
  <c r="A20" i="89" s="1"/>
  <c r="A21" i="89" s="1"/>
  <c r="A22" i="89" s="1"/>
  <c r="A23" i="89" s="1"/>
  <c r="J34" i="89" l="1"/>
  <c r="J37" i="89"/>
  <c r="J64" i="89"/>
  <c r="D21" i="63"/>
  <c r="J77" i="89" l="1"/>
  <c r="D64" i="67"/>
  <c r="D40" i="67"/>
  <c r="D49" i="67"/>
  <c r="D48" i="67"/>
  <c r="D39" i="67"/>
  <c r="D38" i="67"/>
  <c r="D37" i="67"/>
  <c r="D28" i="67"/>
  <c r="D27" i="67"/>
  <c r="D25" i="67"/>
  <c r="D24" i="67"/>
  <c r="D16" i="67"/>
  <c r="D14" i="67"/>
  <c r="D13" i="67"/>
  <c r="D10" i="67"/>
  <c r="B15" i="63" s="1"/>
  <c r="D9" i="67"/>
  <c r="B20" i="63" s="1"/>
  <c r="D8" i="67"/>
  <c r="B13" i="63" s="1"/>
  <c r="B14" i="64"/>
  <c r="B13" i="64"/>
  <c r="B12" i="64"/>
  <c r="M21" i="6"/>
  <c r="L21" i="6"/>
  <c r="K21" i="6"/>
  <c r="J21" i="6"/>
  <c r="I21" i="6"/>
  <c r="H21" i="6"/>
  <c r="G21" i="6"/>
  <c r="F21" i="6"/>
  <c r="E21" i="6"/>
  <c r="D21" i="6"/>
  <c r="C21" i="6"/>
  <c r="B21" i="6"/>
  <c r="B16" i="38"/>
  <c r="N63" i="38"/>
  <c r="M63" i="38"/>
  <c r="L63" i="38"/>
  <c r="K63" i="38"/>
  <c r="J63" i="38"/>
  <c r="I63" i="38"/>
  <c r="H63" i="38"/>
  <c r="G63" i="38"/>
  <c r="F63" i="38"/>
  <c r="E63" i="38"/>
  <c r="D63" i="38"/>
  <c r="J52" i="61"/>
  <c r="K52" i="61" s="1"/>
  <c r="M52" i="61" s="1"/>
  <c r="N52" i="61" s="1"/>
  <c r="O52" i="61" s="1"/>
  <c r="P52" i="61" s="1"/>
  <c r="I52" i="61"/>
  <c r="H52" i="61"/>
  <c r="F52" i="61"/>
  <c r="E52" i="61"/>
  <c r="C63" i="38"/>
  <c r="C64" i="38"/>
  <c r="P43" i="61"/>
  <c r="O43" i="61"/>
  <c r="N43" i="61"/>
  <c r="M43" i="61"/>
  <c r="L43" i="61"/>
  <c r="K43" i="61"/>
  <c r="J43" i="61"/>
  <c r="I43" i="61"/>
  <c r="H43" i="61"/>
  <c r="G43" i="61"/>
  <c r="F43" i="61"/>
  <c r="B32" i="4"/>
  <c r="B32" i="63" l="1"/>
  <c r="C34" i="61"/>
  <c r="B34" i="61"/>
  <c r="E14" i="9"/>
  <c r="E13" i="9"/>
  <c r="N40" i="38"/>
  <c r="M40" i="38"/>
  <c r="L40" i="38"/>
  <c r="K40" i="38"/>
  <c r="J40" i="38"/>
  <c r="I40" i="38"/>
  <c r="H40" i="38"/>
  <c r="G40" i="38"/>
  <c r="F40" i="38"/>
  <c r="E40" i="38"/>
  <c r="D40" i="38"/>
  <c r="C40" i="38"/>
  <c r="B59" i="61"/>
  <c r="C46" i="38"/>
  <c r="D46" i="38" s="1"/>
  <c r="E46" i="38" s="1"/>
  <c r="F46" i="38" s="1"/>
  <c r="G46" i="38" s="1"/>
  <c r="H46" i="38" s="1"/>
  <c r="I46" i="38" s="1"/>
  <c r="J46" i="38" s="1"/>
  <c r="K46" i="38" s="1"/>
  <c r="L46" i="38" s="1"/>
  <c r="M46" i="38" s="1"/>
  <c r="N46" i="38" s="1"/>
  <c r="B46" i="38"/>
  <c r="B41" i="38"/>
  <c r="C41" i="38" s="1"/>
  <c r="E34" i="61" l="1"/>
  <c r="F34" i="61"/>
  <c r="D44" i="4" l="1"/>
  <c r="B45" i="4"/>
  <c r="B22" i="4"/>
  <c r="B19" i="4"/>
  <c r="K21" i="84" l="1"/>
  <c r="K66" i="84" l="1"/>
  <c r="B24" i="65"/>
  <c r="B22" i="65" l="1"/>
  <c r="B46" i="4"/>
  <c r="K22" i="87" l="1"/>
  <c r="J22" i="87"/>
  <c r="J23" i="87"/>
  <c r="I23" i="87"/>
  <c r="K18" i="87"/>
  <c r="J18" i="87"/>
  <c r="K10" i="87"/>
  <c r="K8" i="87" l="1"/>
  <c r="F18" i="87"/>
  <c r="D20" i="87"/>
  <c r="D18" i="87"/>
  <c r="D16" i="87"/>
  <c r="I12" i="87"/>
  <c r="F10" i="87"/>
  <c r="E10" i="87"/>
  <c r="D10" i="87"/>
  <c r="H19" i="89"/>
  <c r="J19" i="89" s="1"/>
  <c r="H18" i="89" l="1"/>
  <c r="J18" i="89" s="1"/>
  <c r="C32" i="66" l="1"/>
  <c r="D32" i="66"/>
  <c r="B32" i="66"/>
  <c r="L19" i="87" l="1"/>
  <c r="E72" i="75" l="1"/>
  <c r="E68" i="75"/>
  <c r="Q58" i="75"/>
  <c r="E48" i="75" l="1"/>
  <c r="P40" i="75"/>
  <c r="O40" i="75"/>
  <c r="N40" i="75"/>
  <c r="M40" i="75"/>
  <c r="L40" i="75"/>
  <c r="K40" i="75"/>
  <c r="J40" i="75"/>
  <c r="I40" i="75"/>
  <c r="H40" i="75"/>
  <c r="G40" i="75"/>
  <c r="F40" i="75"/>
  <c r="F29" i="84" l="1"/>
  <c r="F14" i="84"/>
  <c r="S58" i="84" s="1"/>
  <c r="S106" i="84" s="1"/>
  <c r="K52" i="84"/>
  <c r="K51" i="84"/>
  <c r="K50" i="84"/>
  <c r="K49" i="84"/>
  <c r="K48" i="84"/>
  <c r="K47" i="84"/>
  <c r="K46" i="84"/>
  <c r="K45" i="84"/>
  <c r="K44" i="84"/>
  <c r="K43" i="84"/>
  <c r="K42" i="84"/>
  <c r="K41" i="84"/>
  <c r="K40" i="84"/>
  <c r="K39" i="84"/>
  <c r="K38" i="84"/>
  <c r="K37" i="84"/>
  <c r="K36" i="84"/>
  <c r="K35" i="84"/>
  <c r="K34" i="84"/>
  <c r="K33" i="84"/>
  <c r="K32" i="84"/>
  <c r="K29" i="84"/>
  <c r="K28" i="84"/>
  <c r="K27" i="84"/>
  <c r="K25" i="84"/>
  <c r="K24" i="84"/>
  <c r="K23" i="84"/>
  <c r="K22" i="84"/>
  <c r="K20" i="84"/>
  <c r="K19" i="84"/>
  <c r="K18" i="84"/>
  <c r="K17" i="84"/>
  <c r="K14" i="84"/>
  <c r="K13" i="84"/>
  <c r="K12" i="84"/>
  <c r="B111" i="86"/>
  <c r="C110" i="86"/>
  <c r="D110" i="86" s="1"/>
  <c r="E110" i="86" s="1"/>
  <c r="F110" i="86" s="1"/>
  <c r="G110" i="86" s="1"/>
  <c r="H110" i="86" s="1"/>
  <c r="I110" i="86" s="1"/>
  <c r="J110" i="86" s="1"/>
  <c r="K110" i="86" s="1"/>
  <c r="L110" i="86" s="1"/>
  <c r="M110" i="86" s="1"/>
  <c r="N110" i="86" s="1"/>
  <c r="M80" i="86"/>
  <c r="L80" i="86"/>
  <c r="K80" i="86"/>
  <c r="J80" i="86"/>
  <c r="I80" i="86"/>
  <c r="H80" i="86"/>
  <c r="G80" i="86"/>
  <c r="F80" i="86"/>
  <c r="E80" i="86"/>
  <c r="D80" i="86"/>
  <c r="C80" i="86"/>
  <c r="B80" i="86"/>
  <c r="N76" i="86"/>
  <c r="J70" i="86"/>
  <c r="F70" i="86"/>
  <c r="B70" i="86"/>
  <c r="M68" i="86"/>
  <c r="M70" i="86" s="1"/>
  <c r="L68" i="86"/>
  <c r="L70" i="86" s="1"/>
  <c r="K68" i="86"/>
  <c r="K70" i="86" s="1"/>
  <c r="J68" i="86"/>
  <c r="I68" i="86"/>
  <c r="I70" i="86" s="1"/>
  <c r="H68" i="86"/>
  <c r="H70" i="86" s="1"/>
  <c r="G68" i="86"/>
  <c r="G70" i="86" s="1"/>
  <c r="F68" i="86"/>
  <c r="E68" i="86"/>
  <c r="E70" i="86" s="1"/>
  <c r="D68" i="86"/>
  <c r="D70" i="86" s="1"/>
  <c r="C68" i="86"/>
  <c r="C70" i="86" s="1"/>
  <c r="B68" i="86"/>
  <c r="N67" i="86"/>
  <c r="N66" i="86"/>
  <c r="N65" i="86"/>
  <c r="C60" i="86"/>
  <c r="N58" i="86"/>
  <c r="C57" i="86"/>
  <c r="N56" i="86"/>
  <c r="P55" i="86"/>
  <c r="C55" i="86"/>
  <c r="N54" i="86"/>
  <c r="N53" i="86"/>
  <c r="M53" i="86"/>
  <c r="L53" i="86"/>
  <c r="K53" i="86"/>
  <c r="J53" i="86"/>
  <c r="I53" i="86"/>
  <c r="H53" i="86"/>
  <c r="G53" i="86"/>
  <c r="E53" i="86"/>
  <c r="D53" i="86"/>
  <c r="M52" i="86"/>
  <c r="L52" i="86"/>
  <c r="K52" i="86"/>
  <c r="J52" i="86"/>
  <c r="I52" i="86"/>
  <c r="H52" i="86"/>
  <c r="G52" i="86"/>
  <c r="E52" i="86"/>
  <c r="D52" i="86"/>
  <c r="P51" i="86"/>
  <c r="J51" i="86"/>
  <c r="G51" i="86"/>
  <c r="F51" i="86"/>
  <c r="B51" i="86"/>
  <c r="N50" i="86"/>
  <c r="P49" i="86"/>
  <c r="N49" i="86"/>
  <c r="N48" i="86"/>
  <c r="N52" i="86" s="1"/>
  <c r="N47" i="86"/>
  <c r="N46" i="86"/>
  <c r="N45" i="86"/>
  <c r="N51" i="86" s="1"/>
  <c r="M44" i="86"/>
  <c r="L44" i="86"/>
  <c r="K44" i="86"/>
  <c r="J44" i="86"/>
  <c r="I44" i="86"/>
  <c r="H44" i="86"/>
  <c r="G44" i="86"/>
  <c r="F44" i="86"/>
  <c r="E44" i="86"/>
  <c r="D44" i="86"/>
  <c r="C44" i="86"/>
  <c r="B44" i="86"/>
  <c r="Q43" i="86"/>
  <c r="F32" i="86"/>
  <c r="N32" i="86" s="1"/>
  <c r="I31" i="86"/>
  <c r="N31" i="86" s="1"/>
  <c r="G31" i="86"/>
  <c r="D31" i="86"/>
  <c r="N30" i="86"/>
  <c r="N29" i="86"/>
  <c r="M17" i="86"/>
  <c r="L17" i="86"/>
  <c r="K17" i="86"/>
  <c r="J17" i="86"/>
  <c r="I17" i="86"/>
  <c r="H17" i="86"/>
  <c r="G17" i="86"/>
  <c r="F17" i="86"/>
  <c r="E17" i="86"/>
  <c r="D17" i="86"/>
  <c r="C17" i="86"/>
  <c r="B17" i="86"/>
  <c r="D14" i="86"/>
  <c r="H20" i="89" l="1"/>
  <c r="J20" i="89" s="1"/>
  <c r="H29" i="84"/>
  <c r="N17" i="86"/>
  <c r="N79" i="86"/>
  <c r="Q58" i="84"/>
  <c r="Q106" i="84" s="1"/>
  <c r="R58" i="84"/>
  <c r="R106" i="84" s="1"/>
  <c r="M58" i="84"/>
  <c r="M106" i="84" s="1"/>
  <c r="U58" i="84"/>
  <c r="U106" i="84" s="1"/>
  <c r="N58" i="84"/>
  <c r="N106" i="84" s="1"/>
  <c r="V58" i="84"/>
  <c r="V106" i="84" s="1"/>
  <c r="O58" i="84"/>
  <c r="O106" i="84" s="1"/>
  <c r="W58" i="84"/>
  <c r="W106" i="84" s="1"/>
  <c r="L58" i="84"/>
  <c r="P58" i="84"/>
  <c r="P106" i="84" s="1"/>
  <c r="T58" i="84"/>
  <c r="T106" i="84" s="1"/>
  <c r="M55" i="86"/>
  <c r="I55" i="86"/>
  <c r="E55" i="86"/>
  <c r="J55" i="86"/>
  <c r="F55" i="86"/>
  <c r="B55" i="86"/>
  <c r="L55" i="86"/>
  <c r="D55" i="86"/>
  <c r="L51" i="86"/>
  <c r="H51" i="86"/>
  <c r="D51" i="86"/>
  <c r="M51" i="86"/>
  <c r="I51" i="86"/>
  <c r="E51" i="86"/>
  <c r="K51" i="86"/>
  <c r="C51" i="86"/>
  <c r="K55" i="86"/>
  <c r="E14" i="86"/>
  <c r="G55" i="86"/>
  <c r="H55" i="86"/>
  <c r="N80" i="86"/>
  <c r="Q42" i="86" s="1"/>
  <c r="N68" i="86"/>
  <c r="N70" i="86" s="1"/>
  <c r="Q41" i="86" s="1"/>
  <c r="O110" i="86"/>
  <c r="D57" i="86"/>
  <c r="E57" i="86" s="1"/>
  <c r="F57" i="86" s="1"/>
  <c r="G57" i="86" s="1"/>
  <c r="F60" i="86"/>
  <c r="J60" i="86" s="1"/>
  <c r="K60" i="86" s="1"/>
  <c r="L106" i="84" l="1"/>
  <c r="F62" i="75" s="1"/>
  <c r="G62" i="75" s="1"/>
  <c r="H62" i="75" s="1"/>
  <c r="I62" i="75" s="1"/>
  <c r="J62" i="75" s="1"/>
  <c r="K62" i="75" s="1"/>
  <c r="L62" i="75" s="1"/>
  <c r="M62" i="75" s="1"/>
  <c r="N62" i="75" s="1"/>
  <c r="O62" i="75" s="1"/>
  <c r="P62" i="75" s="1"/>
  <c r="C111" i="86"/>
  <c r="N60" i="86"/>
  <c r="N57" i="86"/>
  <c r="F14" i="86"/>
  <c r="N55" i="86"/>
  <c r="G14" i="86" l="1"/>
  <c r="H14" i="86" l="1"/>
  <c r="I14" i="86" l="1"/>
  <c r="J14" i="86" l="1"/>
  <c r="K14" i="86" l="1"/>
  <c r="L14" i="86" l="1"/>
  <c r="M14" i="86" l="1"/>
  <c r="N14" i="86" l="1"/>
  <c r="K73" i="84" l="1"/>
  <c r="K58" i="84"/>
  <c r="M56" i="84" l="1"/>
  <c r="K60" i="84" l="1"/>
  <c r="K67" i="84"/>
  <c r="K77" i="84"/>
  <c r="F28" i="75"/>
  <c r="G28" i="75" s="1"/>
  <c r="H28" i="75" s="1"/>
  <c r="I28" i="75" s="1"/>
  <c r="J28" i="75" s="1"/>
  <c r="K28" i="75" s="1"/>
  <c r="L28" i="75" s="1"/>
  <c r="M28" i="75" s="1"/>
  <c r="N28" i="75" s="1"/>
  <c r="O28" i="75" s="1"/>
  <c r="P28" i="75" s="1"/>
  <c r="F63" i="75"/>
  <c r="G63" i="75" s="1"/>
  <c r="H63" i="75" s="1"/>
  <c r="I63" i="75" s="1"/>
  <c r="J63" i="75" s="1"/>
  <c r="K63" i="75" s="1"/>
  <c r="L63" i="75" s="1"/>
  <c r="M63" i="75" s="1"/>
  <c r="N63" i="75" s="1"/>
  <c r="O63" i="75" s="1"/>
  <c r="P63" i="75" s="1"/>
  <c r="K62" i="84"/>
  <c r="K86" i="84"/>
  <c r="K81" i="84"/>
  <c r="K90" i="84"/>
  <c r="K87" i="84"/>
  <c r="K91" i="84"/>
  <c r="K79" i="84"/>
  <c r="K72" i="84"/>
  <c r="K92" i="84"/>
  <c r="K80" i="84"/>
  <c r="K76" i="84"/>
  <c r="K68" i="84"/>
  <c r="K82" i="84"/>
  <c r="K75" i="84"/>
  <c r="K69" i="84"/>
  <c r="K71" i="84"/>
  <c r="K61" i="84"/>
  <c r="K88" i="84"/>
  <c r="K74" i="84"/>
  <c r="K59" i="84"/>
  <c r="U56" i="84"/>
  <c r="Q56" i="84"/>
  <c r="T56" i="84"/>
  <c r="O56" i="84"/>
  <c r="S56" i="84"/>
  <c r="N56" i="84"/>
  <c r="V56" i="84"/>
  <c r="P56" i="84"/>
  <c r="W56" i="84"/>
  <c r="R56" i="84"/>
  <c r="L56" i="84"/>
  <c r="K78" i="84"/>
  <c r="K89" i="84"/>
  <c r="K94" i="84"/>
  <c r="K93" i="84"/>
  <c r="U57" i="84"/>
  <c r="Q57" i="84"/>
  <c r="M57" i="84"/>
  <c r="M100" i="84" s="1"/>
  <c r="V57" i="84"/>
  <c r="P57" i="84"/>
  <c r="T57" i="84"/>
  <c r="O57" i="84"/>
  <c r="W57" i="84"/>
  <c r="R57" i="84"/>
  <c r="L57" i="84"/>
  <c r="S57" i="84"/>
  <c r="N57" i="84"/>
  <c r="F27" i="75"/>
  <c r="G27" i="75" s="1"/>
  <c r="H27" i="75" s="1"/>
  <c r="I14" i="84"/>
  <c r="I52" i="84"/>
  <c r="F52" i="84" s="1"/>
  <c r="I51" i="84"/>
  <c r="F51" i="84" s="1"/>
  <c r="I50" i="84"/>
  <c r="F50" i="84" s="1"/>
  <c r="H49" i="84"/>
  <c r="I49" i="84" s="1"/>
  <c r="F49" i="84" s="1"/>
  <c r="I48" i="84"/>
  <c r="F48" i="84" s="1"/>
  <c r="I47" i="84"/>
  <c r="F47" i="84" s="1"/>
  <c r="I46" i="84"/>
  <c r="F46" i="84" s="1"/>
  <c r="I45" i="84"/>
  <c r="F45" i="84" s="1"/>
  <c r="I44" i="84"/>
  <c r="F44" i="84" s="1"/>
  <c r="I43" i="84"/>
  <c r="F43" i="84" s="1"/>
  <c r="I42" i="84"/>
  <c r="F42" i="84" s="1"/>
  <c r="G41" i="84"/>
  <c r="I41" i="84" s="1"/>
  <c r="F41" i="84" s="1"/>
  <c r="I39" i="84"/>
  <c r="F39" i="84" s="1"/>
  <c r="I38" i="84"/>
  <c r="F38" i="84" s="1"/>
  <c r="I37" i="84"/>
  <c r="F37" i="84" s="1"/>
  <c r="I36" i="84"/>
  <c r="F36" i="84" s="1"/>
  <c r="I35" i="84"/>
  <c r="F35" i="84" s="1"/>
  <c r="I34" i="84"/>
  <c r="F34" i="84" s="1"/>
  <c r="I33" i="84"/>
  <c r="F33" i="84" s="1"/>
  <c r="I32" i="84"/>
  <c r="F32" i="84" s="1"/>
  <c r="I29" i="84"/>
  <c r="G28" i="84"/>
  <c r="I28" i="84" s="1"/>
  <c r="F28" i="84" s="1"/>
  <c r="I25" i="84"/>
  <c r="F25" i="84" s="1"/>
  <c r="I24" i="84"/>
  <c r="F24" i="84" s="1"/>
  <c r="I23" i="84"/>
  <c r="F23" i="84" s="1"/>
  <c r="I22" i="84"/>
  <c r="F22" i="84" s="1"/>
  <c r="I19" i="84"/>
  <c r="F19" i="84" s="1"/>
  <c r="I18" i="84"/>
  <c r="F18" i="84" s="1"/>
  <c r="I17" i="84"/>
  <c r="F17" i="84" s="1"/>
  <c r="G13" i="84"/>
  <c r="I12" i="84"/>
  <c r="F12" i="84" s="1"/>
  <c r="M105" i="84" l="1"/>
  <c r="M113" i="84" s="1"/>
  <c r="V100" i="84"/>
  <c r="V105" i="84"/>
  <c r="V113" i="84" s="1"/>
  <c r="W100" i="84"/>
  <c r="W105" i="84"/>
  <c r="W113" i="84" s="1"/>
  <c r="S100" i="84"/>
  <c r="S105" i="84"/>
  <c r="S113" i="84" s="1"/>
  <c r="U100" i="84"/>
  <c r="U105" i="84"/>
  <c r="U113" i="84" s="1"/>
  <c r="P100" i="84"/>
  <c r="P105" i="84"/>
  <c r="O100" i="84"/>
  <c r="O105" i="84"/>
  <c r="O113" i="84" s="1"/>
  <c r="L100" i="84"/>
  <c r="L105" i="84"/>
  <c r="T100" i="84"/>
  <c r="T105" i="84"/>
  <c r="T113" i="84" s="1"/>
  <c r="R100" i="84"/>
  <c r="R105" i="84"/>
  <c r="R113" i="84" s="1"/>
  <c r="N100" i="84"/>
  <c r="N105" i="84"/>
  <c r="N113" i="84" s="1"/>
  <c r="D59" i="86" s="1"/>
  <c r="Q100" i="84"/>
  <c r="Q105" i="84"/>
  <c r="Q113" i="84" s="1"/>
  <c r="F29" i="75"/>
  <c r="F48" i="75" s="1"/>
  <c r="F64" i="75"/>
  <c r="G64" i="75" s="1"/>
  <c r="H64" i="75" s="1"/>
  <c r="I64" i="75" s="1"/>
  <c r="J64" i="75" s="1"/>
  <c r="K64" i="75" s="1"/>
  <c r="L64" i="75" s="1"/>
  <c r="M64" i="75" s="1"/>
  <c r="N64" i="75" s="1"/>
  <c r="O64" i="75" s="1"/>
  <c r="P64" i="75" s="1"/>
  <c r="F32" i="75"/>
  <c r="G32" i="75" s="1"/>
  <c r="H32" i="75" s="1"/>
  <c r="I32" i="75" s="1"/>
  <c r="J32" i="75" s="1"/>
  <c r="K32" i="75" s="1"/>
  <c r="L32" i="75" s="1"/>
  <c r="M32" i="75" s="1"/>
  <c r="N32" i="75" s="1"/>
  <c r="O32" i="75" s="1"/>
  <c r="P32" i="75" s="1"/>
  <c r="F67" i="75"/>
  <c r="G67" i="75" s="1"/>
  <c r="H67" i="75" s="1"/>
  <c r="I67" i="75" s="1"/>
  <c r="J67" i="75" s="1"/>
  <c r="K67" i="75" s="1"/>
  <c r="L67" i="75" s="1"/>
  <c r="M67" i="75" s="1"/>
  <c r="N67" i="75" s="1"/>
  <c r="O67" i="75" s="1"/>
  <c r="P67" i="75" s="1"/>
  <c r="F31" i="75"/>
  <c r="F49" i="75" s="1"/>
  <c r="F66" i="75"/>
  <c r="G66" i="75" s="1"/>
  <c r="H66" i="75" s="1"/>
  <c r="I66" i="75" s="1"/>
  <c r="J66" i="75" s="1"/>
  <c r="K66" i="75" s="1"/>
  <c r="L66" i="75" s="1"/>
  <c r="M66" i="75" s="1"/>
  <c r="N66" i="75" s="1"/>
  <c r="O66" i="75" s="1"/>
  <c r="P66" i="75" s="1"/>
  <c r="F30" i="75"/>
  <c r="G30" i="75" s="1"/>
  <c r="H30" i="75" s="1"/>
  <c r="I30" i="75" s="1"/>
  <c r="J30" i="75" s="1"/>
  <c r="K30" i="75" s="1"/>
  <c r="L30" i="75" s="1"/>
  <c r="M30" i="75" s="1"/>
  <c r="N30" i="75" s="1"/>
  <c r="O30" i="75" s="1"/>
  <c r="P30" i="75" s="1"/>
  <c r="F65" i="75"/>
  <c r="G65" i="75" s="1"/>
  <c r="H65" i="75" s="1"/>
  <c r="I65" i="75" s="1"/>
  <c r="J65" i="75" s="1"/>
  <c r="K65" i="75" s="1"/>
  <c r="L65" i="75" s="1"/>
  <c r="M65" i="75" s="1"/>
  <c r="N65" i="75" s="1"/>
  <c r="O65" i="75" s="1"/>
  <c r="P65" i="75" s="1"/>
  <c r="G29" i="75"/>
  <c r="G48" i="75" s="1"/>
  <c r="K83" i="84"/>
  <c r="K57" i="84"/>
  <c r="K56" i="84"/>
  <c r="I27" i="75"/>
  <c r="J27" i="75" s="1"/>
  <c r="K27" i="75" s="1"/>
  <c r="L27" i="75" s="1"/>
  <c r="M27" i="75" s="1"/>
  <c r="N27" i="75" s="1"/>
  <c r="O27" i="75" s="1"/>
  <c r="P27" i="75" s="1"/>
  <c r="K108" i="84"/>
  <c r="K107" i="84"/>
  <c r="K111" i="84"/>
  <c r="K109" i="84"/>
  <c r="K112" i="84"/>
  <c r="K106" i="84"/>
  <c r="K110" i="84"/>
  <c r="I13" i="84"/>
  <c r="F13" i="84" s="1"/>
  <c r="H17" i="89" s="1"/>
  <c r="J17" i="89" s="1"/>
  <c r="I27" i="84"/>
  <c r="F27" i="84" s="1"/>
  <c r="I40" i="84"/>
  <c r="F40" i="84" s="1"/>
  <c r="G59" i="86" l="1"/>
  <c r="G61" i="86" s="1"/>
  <c r="E44" i="6"/>
  <c r="E59" i="86"/>
  <c r="E61" i="86" s="1"/>
  <c r="K59" i="86"/>
  <c r="K61" i="86" s="1"/>
  <c r="J59" i="86"/>
  <c r="J61" i="86" s="1"/>
  <c r="G44" i="6"/>
  <c r="I44" i="6"/>
  <c r="I59" i="86"/>
  <c r="I61" i="86" s="1"/>
  <c r="P113" i="84"/>
  <c r="F59" i="86" s="1"/>
  <c r="F61" i="86" s="1"/>
  <c r="H59" i="86"/>
  <c r="H61" i="86" s="1"/>
  <c r="H16" i="89"/>
  <c r="L157" i="89" s="1"/>
  <c r="L158" i="89" s="1"/>
  <c r="K100" i="84"/>
  <c r="D44" i="6"/>
  <c r="D61" i="86"/>
  <c r="H30" i="89"/>
  <c r="M59" i="86"/>
  <c r="M61" i="86" s="1"/>
  <c r="M44" i="6"/>
  <c r="L59" i="86"/>
  <c r="L61" i="86" s="1"/>
  <c r="L44" i="6"/>
  <c r="C59" i="86"/>
  <c r="C61" i="86" s="1"/>
  <c r="C44" i="6"/>
  <c r="H44" i="6"/>
  <c r="K44" i="6"/>
  <c r="J44" i="6"/>
  <c r="G31" i="75"/>
  <c r="H31" i="75" s="1"/>
  <c r="H29" i="75"/>
  <c r="I29" i="75" s="1"/>
  <c r="F26" i="75"/>
  <c r="F61" i="75"/>
  <c r="G61" i="75" s="1"/>
  <c r="K105" i="84"/>
  <c r="L113" i="84"/>
  <c r="S61" i="86" l="1"/>
  <c r="F44" i="6"/>
  <c r="K113" i="84"/>
  <c r="F46" i="75"/>
  <c r="G26" i="75"/>
  <c r="G46" i="75" s="1"/>
  <c r="K75" i="89"/>
  <c r="J16" i="89"/>
  <c r="J30" i="89" s="1"/>
  <c r="J75" i="89" s="1"/>
  <c r="J79" i="89" s="1"/>
  <c r="J157" i="89" s="1"/>
  <c r="J159" i="89" s="1"/>
  <c r="J161" i="89" s="1"/>
  <c r="J162" i="89" s="1"/>
  <c r="K162" i="89" s="1"/>
  <c r="B30" i="66"/>
  <c r="B59" i="86"/>
  <c r="B61" i="86" s="1"/>
  <c r="B44" i="6"/>
  <c r="G49" i="75"/>
  <c r="H48" i="75"/>
  <c r="C104" i="86"/>
  <c r="C105" i="86" s="1"/>
  <c r="D97" i="86"/>
  <c r="E97" i="86"/>
  <c r="E98" i="86" s="1"/>
  <c r="C97" i="86"/>
  <c r="F68" i="75"/>
  <c r="F72" i="75" s="1"/>
  <c r="H49" i="75"/>
  <c r="I31" i="75"/>
  <c r="J29" i="75"/>
  <c r="I48" i="75"/>
  <c r="D27" i="86"/>
  <c r="M27" i="86"/>
  <c r="L27" i="86"/>
  <c r="K27" i="86"/>
  <c r="J27" i="86"/>
  <c r="I27" i="86"/>
  <c r="H27" i="86"/>
  <c r="G27" i="86"/>
  <c r="F27" i="86"/>
  <c r="E27" i="86"/>
  <c r="N59" i="86" l="1"/>
  <c r="N61" i="86" s="1"/>
  <c r="H26" i="75"/>
  <c r="I26" i="75" s="1"/>
  <c r="J26" i="75" s="1"/>
  <c r="C98" i="86"/>
  <c r="C100" i="86" s="1"/>
  <c r="D98" i="86"/>
  <c r="D106" i="86"/>
  <c r="F99" i="86"/>
  <c r="H61" i="75"/>
  <c r="G68" i="75"/>
  <c r="G72" i="75" s="1"/>
  <c r="K29" i="75"/>
  <c r="J48" i="75"/>
  <c r="J31" i="75"/>
  <c r="I49" i="75"/>
  <c r="I46" i="75" l="1"/>
  <c r="I33" i="75"/>
  <c r="H46" i="75"/>
  <c r="D99" i="86"/>
  <c r="D100" i="86" s="1"/>
  <c r="C15" i="86" s="1"/>
  <c r="C109" i="86"/>
  <c r="C107" i="86"/>
  <c r="B15" i="86"/>
  <c r="E99" i="86"/>
  <c r="E100" i="86" s="1"/>
  <c r="D15" i="86" s="1"/>
  <c r="I61" i="75"/>
  <c r="H68" i="75"/>
  <c r="H72" i="75" s="1"/>
  <c r="L29" i="75"/>
  <c r="K48" i="75"/>
  <c r="K31" i="75"/>
  <c r="J49" i="75"/>
  <c r="K26" i="75"/>
  <c r="J46" i="75"/>
  <c r="C27" i="86"/>
  <c r="D37" i="1"/>
  <c r="B27" i="86" s="1"/>
  <c r="N27" i="86" l="1"/>
  <c r="B16" i="86"/>
  <c r="C115" i="86"/>
  <c r="J61" i="75"/>
  <c r="I68" i="75"/>
  <c r="I72" i="75" s="1"/>
  <c r="M29" i="75"/>
  <c r="L48" i="75"/>
  <c r="L31" i="75"/>
  <c r="K49" i="75"/>
  <c r="L26" i="75"/>
  <c r="K46" i="75"/>
  <c r="K14" i="83"/>
  <c r="N16" i="83"/>
  <c r="M18" i="86" s="1"/>
  <c r="M16" i="83"/>
  <c r="L18" i="86" s="1"/>
  <c r="L16" i="83"/>
  <c r="K18" i="86" s="1"/>
  <c r="K16" i="83"/>
  <c r="J18" i="86" s="1"/>
  <c r="J16" i="83"/>
  <c r="I18" i="86" s="1"/>
  <c r="I16" i="83"/>
  <c r="H18" i="86" s="1"/>
  <c r="H16" i="83"/>
  <c r="G18" i="86" s="1"/>
  <c r="G16" i="83"/>
  <c r="F18" i="86" s="1"/>
  <c r="F16" i="83"/>
  <c r="E16" i="83"/>
  <c r="D18" i="86" s="1"/>
  <c r="D16" i="83"/>
  <c r="C18" i="86" s="1"/>
  <c r="C16" i="83"/>
  <c r="B18" i="86" s="1"/>
  <c r="G39" i="1" l="1"/>
  <c r="E18" i="86"/>
  <c r="N18" i="86"/>
  <c r="Q105" i="86"/>
  <c r="B21" i="86"/>
  <c r="K61" i="75"/>
  <c r="J68" i="75"/>
  <c r="J72" i="75" s="1"/>
  <c r="N29" i="75"/>
  <c r="M48" i="75"/>
  <c r="M31" i="75"/>
  <c r="L49" i="75"/>
  <c r="M26" i="75"/>
  <c r="L46" i="75"/>
  <c r="N23" i="83"/>
  <c r="O39" i="1" s="1"/>
  <c r="M23" i="83"/>
  <c r="N39" i="1" s="1"/>
  <c r="L23" i="83"/>
  <c r="M39" i="1" s="1"/>
  <c r="K23" i="83"/>
  <c r="L39" i="1" s="1"/>
  <c r="J23" i="83"/>
  <c r="K39" i="1" s="1"/>
  <c r="I23" i="83"/>
  <c r="J39" i="1" s="1"/>
  <c r="H23" i="83"/>
  <c r="I39" i="1" s="1"/>
  <c r="G23" i="83"/>
  <c r="H39" i="1" s="1"/>
  <c r="F23" i="83"/>
  <c r="E23" i="83"/>
  <c r="F39" i="1" s="1"/>
  <c r="D23" i="83"/>
  <c r="E39" i="1" s="1"/>
  <c r="C23" i="83"/>
  <c r="D39" i="1" s="1"/>
  <c r="L61" i="75" l="1"/>
  <c r="K68" i="75"/>
  <c r="K72" i="75" s="1"/>
  <c r="O29" i="75"/>
  <c r="N48" i="75"/>
  <c r="N31" i="75"/>
  <c r="M49" i="75"/>
  <c r="N26" i="75"/>
  <c r="M46" i="75"/>
  <c r="O48" i="1"/>
  <c r="N48" i="1"/>
  <c r="M48" i="1"/>
  <c r="L48" i="1"/>
  <c r="K48" i="1"/>
  <c r="J48" i="1"/>
  <c r="I48" i="1"/>
  <c r="H48" i="1"/>
  <c r="G48" i="1"/>
  <c r="F48" i="1"/>
  <c r="E48" i="1"/>
  <c r="D48" i="1"/>
  <c r="Q50" i="74"/>
  <c r="P50" i="74"/>
  <c r="O50" i="74"/>
  <c r="N50" i="74"/>
  <c r="M50" i="74"/>
  <c r="L50" i="74"/>
  <c r="K50" i="74"/>
  <c r="J50" i="74"/>
  <c r="I50" i="74"/>
  <c r="H50" i="74"/>
  <c r="G50" i="74"/>
  <c r="F50" i="74"/>
  <c r="C49" i="74"/>
  <c r="C48" i="74"/>
  <c r="C47" i="74"/>
  <c r="Q45" i="74"/>
  <c r="P45" i="74"/>
  <c r="O45" i="74"/>
  <c r="N45" i="74"/>
  <c r="M45" i="74"/>
  <c r="L45" i="74"/>
  <c r="K45" i="74"/>
  <c r="J45" i="74"/>
  <c r="I45" i="74"/>
  <c r="H45" i="74"/>
  <c r="G45" i="74"/>
  <c r="F45" i="74"/>
  <c r="C45" i="74"/>
  <c r="C44" i="74"/>
  <c r="Q40" i="74"/>
  <c r="P40" i="74"/>
  <c r="P54" i="74" s="1"/>
  <c r="O40" i="74"/>
  <c r="O54" i="74" s="1"/>
  <c r="N40" i="74"/>
  <c r="N54" i="74" s="1"/>
  <c r="M40" i="74"/>
  <c r="L40" i="74"/>
  <c r="L54" i="74" s="1"/>
  <c r="K40" i="74"/>
  <c r="K54" i="74" s="1"/>
  <c r="J40" i="74"/>
  <c r="J54" i="74" s="1"/>
  <c r="I40" i="74"/>
  <c r="H40" i="74"/>
  <c r="H54" i="74" s="1"/>
  <c r="G40" i="74"/>
  <c r="G54" i="74" s="1"/>
  <c r="F40" i="74"/>
  <c r="F54" i="74" s="1"/>
  <c r="Q39" i="74"/>
  <c r="Q53" i="74" s="1"/>
  <c r="P39" i="74"/>
  <c r="P53" i="74" s="1"/>
  <c r="O39" i="74"/>
  <c r="O53" i="74" s="1"/>
  <c r="N39" i="74"/>
  <c r="N53" i="74" s="1"/>
  <c r="M39" i="74"/>
  <c r="M53" i="74" s="1"/>
  <c r="L39" i="74"/>
  <c r="L53" i="74" s="1"/>
  <c r="K39" i="74"/>
  <c r="K53" i="74" s="1"/>
  <c r="J39" i="74"/>
  <c r="J53" i="74" s="1"/>
  <c r="I39" i="74"/>
  <c r="I53" i="74" s="1"/>
  <c r="H39" i="74"/>
  <c r="H53" i="74" s="1"/>
  <c r="G39" i="74"/>
  <c r="G53" i="74" s="1"/>
  <c r="F39" i="74"/>
  <c r="Q38" i="74"/>
  <c r="Q52" i="74" s="1"/>
  <c r="P38" i="74"/>
  <c r="P52" i="74" s="1"/>
  <c r="O38" i="74"/>
  <c r="N38" i="74"/>
  <c r="N41" i="74" s="1"/>
  <c r="J17" i="82" s="1"/>
  <c r="J20" i="82" s="1"/>
  <c r="M38" i="74"/>
  <c r="M52" i="74" s="1"/>
  <c r="L38" i="74"/>
  <c r="L52" i="74" s="1"/>
  <c r="K38" i="74"/>
  <c r="J38" i="74"/>
  <c r="J41" i="74" s="1"/>
  <c r="F17" i="82" s="1"/>
  <c r="F20" i="82" s="1"/>
  <c r="I38" i="74"/>
  <c r="I52" i="74" s="1"/>
  <c r="H38" i="74"/>
  <c r="H52" i="74" s="1"/>
  <c r="G38" i="74"/>
  <c r="F38" i="74"/>
  <c r="F41" i="74" s="1"/>
  <c r="B17" i="82" s="1"/>
  <c r="C25" i="74"/>
  <c r="C24" i="74"/>
  <c r="F24" i="74" s="1"/>
  <c r="F23" i="74"/>
  <c r="C23" i="74"/>
  <c r="F22" i="74"/>
  <c r="C22" i="74"/>
  <c r="C18" i="74"/>
  <c r="B18" i="74"/>
  <c r="Q12" i="74"/>
  <c r="P12" i="74"/>
  <c r="O12" i="74"/>
  <c r="N12" i="74"/>
  <c r="M12" i="74"/>
  <c r="L12" i="74"/>
  <c r="K12" i="74"/>
  <c r="J12" i="74"/>
  <c r="I12" i="74"/>
  <c r="H12" i="74"/>
  <c r="G12" i="74"/>
  <c r="F12" i="74"/>
  <c r="Q11" i="74"/>
  <c r="P11" i="74"/>
  <c r="O11" i="74"/>
  <c r="N11" i="74"/>
  <c r="M11" i="74"/>
  <c r="L11" i="74"/>
  <c r="K11" i="74"/>
  <c r="J11" i="74"/>
  <c r="I11" i="74"/>
  <c r="H11" i="74"/>
  <c r="G11" i="74"/>
  <c r="F11" i="74"/>
  <c r="Q10" i="74"/>
  <c r="P10" i="74"/>
  <c r="O10" i="74"/>
  <c r="N10" i="74"/>
  <c r="M10" i="74"/>
  <c r="L10" i="74"/>
  <c r="K10" i="74"/>
  <c r="J10" i="74"/>
  <c r="I10" i="74"/>
  <c r="H10" i="74"/>
  <c r="G10" i="74"/>
  <c r="F10" i="74"/>
  <c r="C8" i="74"/>
  <c r="Q7" i="74"/>
  <c r="P7" i="74"/>
  <c r="O7" i="74"/>
  <c r="N7" i="74"/>
  <c r="M7" i="74"/>
  <c r="L7" i="74"/>
  <c r="K7" i="74"/>
  <c r="J7" i="74"/>
  <c r="I7" i="74"/>
  <c r="H7" i="74"/>
  <c r="G7" i="74"/>
  <c r="F7" i="74"/>
  <c r="B7" i="74"/>
  <c r="Q6" i="74"/>
  <c r="P6" i="74"/>
  <c r="O6" i="74"/>
  <c r="N6" i="74"/>
  <c r="N16" i="74" s="1"/>
  <c r="M6" i="74"/>
  <c r="L6" i="74"/>
  <c r="K6" i="74"/>
  <c r="J6" i="74"/>
  <c r="J16" i="74" s="1"/>
  <c r="I6" i="74"/>
  <c r="H6" i="74"/>
  <c r="G6" i="74"/>
  <c r="G23" i="74" s="1"/>
  <c r="F6" i="74"/>
  <c r="F16" i="74" s="1"/>
  <c r="B6" i="74"/>
  <c r="Q5" i="74"/>
  <c r="P5" i="74"/>
  <c r="O5" i="74"/>
  <c r="N5" i="74"/>
  <c r="N15" i="74" s="1"/>
  <c r="M5" i="74"/>
  <c r="L5" i="74"/>
  <c r="K5" i="74"/>
  <c r="J5" i="74"/>
  <c r="J15" i="74" s="1"/>
  <c r="I5" i="74"/>
  <c r="H5" i="74"/>
  <c r="G5" i="74"/>
  <c r="F5" i="74"/>
  <c r="F15" i="74" s="1"/>
  <c r="B5" i="74"/>
  <c r="I17" i="74" l="1"/>
  <c r="M17" i="74"/>
  <c r="Q17" i="74"/>
  <c r="L15" i="74"/>
  <c r="I16" i="74"/>
  <c r="M16" i="74"/>
  <c r="Q16" i="74"/>
  <c r="H17" i="74"/>
  <c r="L17" i="74"/>
  <c r="P17" i="74"/>
  <c r="H15" i="74"/>
  <c r="P15" i="74"/>
  <c r="I15" i="74"/>
  <c r="M15" i="74"/>
  <c r="Q15" i="74"/>
  <c r="Q18" i="74" s="1"/>
  <c r="H16" i="74"/>
  <c r="L16" i="74"/>
  <c r="P16" i="74"/>
  <c r="B20" i="82"/>
  <c r="G15" i="74"/>
  <c r="K15" i="74"/>
  <c r="O15" i="74"/>
  <c r="H23" i="74"/>
  <c r="I23" i="74" s="1"/>
  <c r="J23" i="74" s="1"/>
  <c r="K23" i="74" s="1"/>
  <c r="L23" i="74" s="1"/>
  <c r="M23" i="74" s="1"/>
  <c r="N23" i="74" s="1"/>
  <c r="O23" i="74" s="1"/>
  <c r="P23" i="74" s="1"/>
  <c r="Q23" i="74" s="1"/>
  <c r="K16" i="74"/>
  <c r="M18" i="74"/>
  <c r="O17" i="74"/>
  <c r="O8" i="74"/>
  <c r="G24" i="74"/>
  <c r="H24" i="74" s="1"/>
  <c r="I24" i="74" s="1"/>
  <c r="J24" i="74" s="1"/>
  <c r="K24" i="74" s="1"/>
  <c r="L24" i="74" s="1"/>
  <c r="M24" i="74" s="1"/>
  <c r="N24" i="74" s="1"/>
  <c r="O24" i="74" s="1"/>
  <c r="P24" i="74" s="1"/>
  <c r="Q24" i="74" s="1"/>
  <c r="P41" i="74"/>
  <c r="L17" i="82" s="1"/>
  <c r="L20" i="82" s="1"/>
  <c r="J52" i="74"/>
  <c r="G16" i="74"/>
  <c r="O16" i="74"/>
  <c r="H41" i="74"/>
  <c r="D17" i="82" s="1"/>
  <c r="D20" i="82" s="1"/>
  <c r="F52" i="74"/>
  <c r="N52" i="74"/>
  <c r="N55" i="74" s="1"/>
  <c r="G8" i="74"/>
  <c r="L41" i="74"/>
  <c r="H17" i="82" s="1"/>
  <c r="H20" i="82" s="1"/>
  <c r="M61" i="75"/>
  <c r="L68" i="75"/>
  <c r="L72" i="75" s="1"/>
  <c r="O31" i="75"/>
  <c r="N49" i="75"/>
  <c r="P29" i="75"/>
  <c r="P48" i="75" s="1"/>
  <c r="O48" i="75"/>
  <c r="O26" i="75"/>
  <c r="N46" i="75"/>
  <c r="C50" i="74"/>
  <c r="P55" i="74"/>
  <c r="H55" i="74"/>
  <c r="L55" i="74"/>
  <c r="J55" i="74"/>
  <c r="P18" i="74"/>
  <c r="I18" i="74"/>
  <c r="J8" i="74"/>
  <c r="I41" i="74"/>
  <c r="E17" i="82" s="1"/>
  <c r="E20" i="82" s="1"/>
  <c r="I54" i="74"/>
  <c r="M54" i="74"/>
  <c r="M55" i="74" s="1"/>
  <c r="M41" i="74"/>
  <c r="I17" i="82" s="1"/>
  <c r="I20" i="82" s="1"/>
  <c r="L8" i="74"/>
  <c r="F17" i="74"/>
  <c r="F25" i="74"/>
  <c r="G41" i="74"/>
  <c r="C17" i="82" s="1"/>
  <c r="C20" i="82" s="1"/>
  <c r="G52" i="74"/>
  <c r="K41" i="74"/>
  <c r="G17" i="82" s="1"/>
  <c r="G20" i="82" s="1"/>
  <c r="K52" i="74"/>
  <c r="K55" i="74" s="1"/>
  <c r="O41" i="74"/>
  <c r="K17" i="82" s="1"/>
  <c r="K20" i="82" s="1"/>
  <c r="O52" i="74"/>
  <c r="O55" i="74" s="1"/>
  <c r="C53" i="74"/>
  <c r="C39" i="74"/>
  <c r="F53" i="74"/>
  <c r="F55" i="74" s="1"/>
  <c r="C40" i="74"/>
  <c r="Q41" i="74"/>
  <c r="M17" i="82" s="1"/>
  <c r="M20" i="82" s="1"/>
  <c r="Q54" i="74"/>
  <c r="Q55" i="74" s="1"/>
  <c r="H8" i="74"/>
  <c r="P8" i="74"/>
  <c r="J17" i="74"/>
  <c r="J18" i="74" s="1"/>
  <c r="N17" i="74"/>
  <c r="N18" i="74" s="1"/>
  <c r="K8" i="74"/>
  <c r="B8" i="74"/>
  <c r="I8" i="74"/>
  <c r="M8" i="74"/>
  <c r="Q8" i="74"/>
  <c r="G17" i="74"/>
  <c r="K17" i="74"/>
  <c r="F8" i="74"/>
  <c r="N8" i="74"/>
  <c r="G22" i="74"/>
  <c r="C38" i="74"/>
  <c r="L18" i="74" l="1"/>
  <c r="G18" i="74"/>
  <c r="E15" i="74"/>
  <c r="D15" i="74" s="1"/>
  <c r="N17" i="82"/>
  <c r="N20" i="82" s="1"/>
  <c r="K18" i="74"/>
  <c r="H18" i="74"/>
  <c r="E16" i="74"/>
  <c r="C28" i="74" s="1"/>
  <c r="F28" i="74" s="1"/>
  <c r="G28" i="74" s="1"/>
  <c r="H28" i="74" s="1"/>
  <c r="I28" i="74" s="1"/>
  <c r="J28" i="74" s="1"/>
  <c r="K28" i="74" s="1"/>
  <c r="L28" i="74" s="1"/>
  <c r="M28" i="74" s="1"/>
  <c r="N28" i="74" s="1"/>
  <c r="O28" i="74" s="1"/>
  <c r="P28" i="74" s="1"/>
  <c r="Q28" i="74" s="1"/>
  <c r="O18" i="74"/>
  <c r="L49" i="1"/>
  <c r="F49" i="1"/>
  <c r="O49" i="1"/>
  <c r="M49" i="1"/>
  <c r="N49" i="1"/>
  <c r="H49" i="1"/>
  <c r="K49" i="1"/>
  <c r="I49" i="1"/>
  <c r="J49" i="1"/>
  <c r="N61" i="75"/>
  <c r="M68" i="75"/>
  <c r="M72" i="75" s="1"/>
  <c r="P31" i="75"/>
  <c r="P49" i="75" s="1"/>
  <c r="O49" i="75"/>
  <c r="P26" i="75"/>
  <c r="P46" i="75" s="1"/>
  <c r="O46" i="75"/>
  <c r="D49" i="1"/>
  <c r="C54" i="74"/>
  <c r="C52" i="74"/>
  <c r="E17" i="74"/>
  <c r="I55" i="74"/>
  <c r="C41" i="74"/>
  <c r="G55" i="74"/>
  <c r="C27" i="74"/>
  <c r="F18" i="74"/>
  <c r="G25" i="74"/>
  <c r="H22" i="74"/>
  <c r="D16" i="74" l="1"/>
  <c r="C33" i="74" s="1"/>
  <c r="F33" i="74" s="1"/>
  <c r="G33" i="74" s="1"/>
  <c r="H33" i="74" s="1"/>
  <c r="I33" i="74" s="1"/>
  <c r="J33" i="74" s="1"/>
  <c r="K33" i="74" s="1"/>
  <c r="L33" i="74" s="1"/>
  <c r="M33" i="74" s="1"/>
  <c r="N33" i="74" s="1"/>
  <c r="O33" i="74" s="1"/>
  <c r="P33" i="74" s="1"/>
  <c r="Q33" i="74" s="1"/>
  <c r="E49" i="1"/>
  <c r="G49" i="1"/>
  <c r="O61" i="75"/>
  <c r="N68" i="75"/>
  <c r="N72" i="75" s="1"/>
  <c r="C55" i="74"/>
  <c r="F27" i="74"/>
  <c r="D17" i="74"/>
  <c r="C34" i="74" s="1"/>
  <c r="F34" i="74" s="1"/>
  <c r="G34" i="74" s="1"/>
  <c r="H34" i="74" s="1"/>
  <c r="I34" i="74" s="1"/>
  <c r="J34" i="74" s="1"/>
  <c r="K34" i="74" s="1"/>
  <c r="L34" i="74" s="1"/>
  <c r="M34" i="74" s="1"/>
  <c r="N34" i="74" s="1"/>
  <c r="O34" i="74" s="1"/>
  <c r="P34" i="74" s="1"/>
  <c r="Q34" i="74" s="1"/>
  <c r="C29" i="74"/>
  <c r="F29" i="74" s="1"/>
  <c r="G29" i="74" s="1"/>
  <c r="H29" i="74" s="1"/>
  <c r="I29" i="74" s="1"/>
  <c r="J29" i="74" s="1"/>
  <c r="K29" i="74" s="1"/>
  <c r="L29" i="74" s="1"/>
  <c r="M29" i="74" s="1"/>
  <c r="N29" i="74" s="1"/>
  <c r="O29" i="74" s="1"/>
  <c r="P29" i="74" s="1"/>
  <c r="Q29" i="74" s="1"/>
  <c r="E18" i="74"/>
  <c r="I22" i="74"/>
  <c r="H25" i="74"/>
  <c r="C32" i="74"/>
  <c r="D18" i="74" l="1"/>
  <c r="P61" i="75"/>
  <c r="P68" i="75" s="1"/>
  <c r="P72" i="75" s="1"/>
  <c r="O68" i="75"/>
  <c r="O72" i="75" s="1"/>
  <c r="F30" i="74"/>
  <c r="G27" i="74"/>
  <c r="F32" i="74"/>
  <c r="C35" i="74"/>
  <c r="J22" i="74"/>
  <c r="I25" i="74"/>
  <c r="C30" i="74"/>
  <c r="Q72" i="75" l="1"/>
  <c r="J25" i="74"/>
  <c r="K22" i="74"/>
  <c r="F35" i="74"/>
  <c r="G32" i="74"/>
  <c r="G30" i="74"/>
  <c r="H27" i="74"/>
  <c r="G35" i="74" l="1"/>
  <c r="H32" i="74"/>
  <c r="I27" i="74"/>
  <c r="H30" i="74"/>
  <c r="K25" i="74"/>
  <c r="L22" i="74"/>
  <c r="J27" i="74" l="1"/>
  <c r="I30" i="74"/>
  <c r="M22" i="74"/>
  <c r="L25" i="74"/>
  <c r="I32" i="74"/>
  <c r="H35" i="74"/>
  <c r="J32" i="74" l="1"/>
  <c r="I35" i="74"/>
  <c r="J30" i="74"/>
  <c r="K27" i="74"/>
  <c r="N22" i="74"/>
  <c r="M25" i="74"/>
  <c r="N25" i="74" l="1"/>
  <c r="O22" i="74"/>
  <c r="J35" i="74"/>
  <c r="K32" i="74"/>
  <c r="K30" i="74"/>
  <c r="L27" i="74"/>
  <c r="K35" i="74" l="1"/>
  <c r="L32" i="74"/>
  <c r="M27" i="74"/>
  <c r="L30" i="74"/>
  <c r="O25" i="74"/>
  <c r="P22" i="74"/>
  <c r="N27" i="74" l="1"/>
  <c r="M30" i="74"/>
  <c r="Q22" i="74"/>
  <c r="Q25" i="74" s="1"/>
  <c r="P25" i="74"/>
  <c r="M32" i="74"/>
  <c r="L35" i="74"/>
  <c r="N32" i="74" l="1"/>
  <c r="M35" i="74"/>
  <c r="N30" i="74"/>
  <c r="O27" i="74"/>
  <c r="N35" i="74" l="1"/>
  <c r="O32" i="74"/>
  <c r="O30" i="74"/>
  <c r="P27" i="74"/>
  <c r="O35" i="74" l="1"/>
  <c r="P32" i="74"/>
  <c r="Q27" i="74"/>
  <c r="Q30" i="74" s="1"/>
  <c r="P30" i="74"/>
  <c r="Q32" i="74" l="1"/>
  <c r="Q35" i="74" s="1"/>
  <c r="P35" i="74"/>
  <c r="E46" i="75" l="1"/>
  <c r="P43" i="75"/>
  <c r="O43" i="75"/>
  <c r="N43" i="75"/>
  <c r="M43" i="75"/>
  <c r="L43" i="75"/>
  <c r="K43" i="75"/>
  <c r="J43" i="75"/>
  <c r="I43" i="75"/>
  <c r="H43" i="75"/>
  <c r="G43" i="75"/>
  <c r="F43" i="75"/>
  <c r="E43" i="75"/>
  <c r="P41" i="75"/>
  <c r="O41" i="75"/>
  <c r="N41" i="75"/>
  <c r="M41" i="75"/>
  <c r="L41" i="75"/>
  <c r="K41" i="75"/>
  <c r="J41" i="75"/>
  <c r="I41" i="75"/>
  <c r="H41" i="75"/>
  <c r="G41" i="75"/>
  <c r="F41" i="75"/>
  <c r="E41" i="75"/>
  <c r="P51" i="75"/>
  <c r="O51" i="75"/>
  <c r="N51" i="75"/>
  <c r="M51" i="75"/>
  <c r="L51" i="75"/>
  <c r="K51" i="75"/>
  <c r="J51" i="75"/>
  <c r="I51" i="75"/>
  <c r="H51" i="75"/>
  <c r="G51" i="75"/>
  <c r="F51" i="75"/>
  <c r="Q51" i="75" s="1"/>
  <c r="E51" i="75"/>
  <c r="P50" i="75"/>
  <c r="O50" i="75"/>
  <c r="N50" i="75"/>
  <c r="M50" i="75"/>
  <c r="L50" i="75"/>
  <c r="K50" i="75"/>
  <c r="J50" i="75"/>
  <c r="I50" i="75"/>
  <c r="H50" i="75"/>
  <c r="G50" i="75"/>
  <c r="F50" i="75"/>
  <c r="Q50" i="75" s="1"/>
  <c r="E50" i="75"/>
  <c r="E49" i="75"/>
  <c r="Q49" i="75" s="1"/>
  <c r="P47" i="75"/>
  <c r="O47" i="75"/>
  <c r="N47" i="75"/>
  <c r="M47" i="75"/>
  <c r="L47" i="75"/>
  <c r="K47" i="75"/>
  <c r="J47" i="75"/>
  <c r="I47" i="75"/>
  <c r="H47" i="75"/>
  <c r="G47" i="75"/>
  <c r="F47" i="75"/>
  <c r="E47" i="75"/>
  <c r="P45" i="75"/>
  <c r="O45" i="75"/>
  <c r="N45" i="75"/>
  <c r="M45" i="75"/>
  <c r="L45" i="75"/>
  <c r="K45" i="75"/>
  <c r="J45" i="75"/>
  <c r="I45" i="75"/>
  <c r="H45" i="75"/>
  <c r="G45" i="75"/>
  <c r="F45" i="75"/>
  <c r="E45" i="75"/>
  <c r="Q45" i="75" s="1"/>
  <c r="P44" i="75"/>
  <c r="O44" i="75"/>
  <c r="N44" i="75"/>
  <c r="M44" i="75"/>
  <c r="L44" i="75"/>
  <c r="K44" i="75"/>
  <c r="J44" i="75"/>
  <c r="I44" i="75"/>
  <c r="H44" i="75"/>
  <c r="G44" i="75"/>
  <c r="F44" i="75"/>
  <c r="E44" i="75"/>
  <c r="P42" i="75"/>
  <c r="O42" i="75"/>
  <c r="N42" i="75"/>
  <c r="M42" i="75"/>
  <c r="L42" i="75"/>
  <c r="K42" i="75"/>
  <c r="J42" i="75"/>
  <c r="I42" i="75"/>
  <c r="H42" i="75"/>
  <c r="G42" i="75"/>
  <c r="F42" i="75"/>
  <c r="E42" i="75"/>
  <c r="Q48" i="75"/>
  <c r="E40" i="75"/>
  <c r="Q20" i="75"/>
  <c r="Q19" i="75"/>
  <c r="Q18" i="75"/>
  <c r="Q17" i="75"/>
  <c r="Q16" i="75"/>
  <c r="Q15" i="75"/>
  <c r="Q14" i="75"/>
  <c r="Q13" i="75"/>
  <c r="Q12" i="75"/>
  <c r="Q11" i="75"/>
  <c r="Q10" i="75"/>
  <c r="Q9" i="75"/>
  <c r="P21" i="75"/>
  <c r="O21" i="75"/>
  <c r="N21" i="75"/>
  <c r="M21" i="75"/>
  <c r="L21" i="75"/>
  <c r="K21" i="75"/>
  <c r="J21" i="75"/>
  <c r="I21" i="75"/>
  <c r="H21" i="75"/>
  <c r="G21" i="75"/>
  <c r="F21" i="75"/>
  <c r="E21" i="75"/>
  <c r="N52" i="75" l="1"/>
  <c r="M38" i="1" s="1"/>
  <c r="Q21" i="75"/>
  <c r="Q42" i="75"/>
  <c r="Q44" i="75"/>
  <c r="Q47" i="75"/>
  <c r="I52" i="75"/>
  <c r="H38" i="1" s="1"/>
  <c r="M52" i="75"/>
  <c r="L38" i="1" s="1"/>
  <c r="Q46" i="75"/>
  <c r="G52" i="75"/>
  <c r="O52" i="75"/>
  <c r="K52" i="75"/>
  <c r="Q43" i="75"/>
  <c r="H52" i="75"/>
  <c r="P52" i="75"/>
  <c r="L52" i="75"/>
  <c r="F52" i="75"/>
  <c r="J52" i="75"/>
  <c r="Q40" i="75"/>
  <c r="G38" i="1" l="1"/>
  <c r="F38" i="1"/>
  <c r="J38" i="1"/>
  <c r="I38" i="1"/>
  <c r="E38" i="1"/>
  <c r="K38" i="1"/>
  <c r="O38" i="1"/>
  <c r="N38" i="1"/>
  <c r="B12" i="1"/>
  <c r="D19" i="6" l="1"/>
  <c r="N125" i="6"/>
  <c r="N48" i="6" l="1"/>
  <c r="C19" i="6" l="1"/>
  <c r="M19" i="6" l="1"/>
  <c r="L19" i="6"/>
  <c r="K19" i="6"/>
  <c r="J19" i="6"/>
  <c r="I19" i="6"/>
  <c r="H19" i="6"/>
  <c r="G19" i="6"/>
  <c r="F19" i="6"/>
  <c r="E19" i="6"/>
  <c r="B30" i="61" l="1"/>
  <c r="B55" i="61" l="1"/>
  <c r="E53" i="61"/>
  <c r="F53" i="61" s="1"/>
  <c r="G53" i="61" s="1"/>
  <c r="H53" i="61" s="1"/>
  <c r="I53" i="61" s="1"/>
  <c r="J53" i="61" s="1"/>
  <c r="K53" i="61" s="1"/>
  <c r="L53" i="61" s="1"/>
  <c r="M53" i="61" s="1"/>
  <c r="N53" i="61" s="1"/>
  <c r="O53" i="61" s="1"/>
  <c r="P53" i="61" s="1"/>
  <c r="B60" i="61"/>
  <c r="G52" i="61" l="1"/>
  <c r="B111" i="6" l="1"/>
  <c r="C111" i="6" s="1"/>
  <c r="D111" i="6" s="1"/>
  <c r="E111" i="6" s="1"/>
  <c r="F111" i="6" s="1"/>
  <c r="G111" i="6" s="1"/>
  <c r="H111" i="6" s="1"/>
  <c r="I111" i="6" s="1"/>
  <c r="J111" i="6" s="1"/>
  <c r="K111" i="6" s="1"/>
  <c r="L111" i="6" s="1"/>
  <c r="M111" i="6" s="1"/>
  <c r="D120" i="6"/>
  <c r="D121" i="6" s="1"/>
  <c r="D122" i="6" s="1"/>
  <c r="C120" i="6"/>
  <c r="C121" i="6" s="1"/>
  <c r="C122" i="6" s="1"/>
  <c r="B112" i="6" s="1"/>
  <c r="C112" i="6" s="1"/>
  <c r="D112" i="6" s="1"/>
  <c r="E112" i="6" s="1"/>
  <c r="F112" i="6" s="1"/>
  <c r="G112" i="6" s="1"/>
  <c r="H112" i="6" s="1"/>
  <c r="I112" i="6" s="1"/>
  <c r="J112" i="6" s="1"/>
  <c r="K112" i="6" s="1"/>
  <c r="L112" i="6" s="1"/>
  <c r="M112" i="6" s="1"/>
  <c r="B121" i="6"/>
  <c r="B122" i="6" s="1"/>
  <c r="B110" i="6" s="1"/>
  <c r="C110" i="6" s="1"/>
  <c r="D110" i="6" s="1"/>
  <c r="E110" i="6" s="1"/>
  <c r="F110" i="6" s="1"/>
  <c r="G110" i="6" s="1"/>
  <c r="H110" i="6" s="1"/>
  <c r="I110" i="6" s="1"/>
  <c r="J110" i="6" s="1"/>
  <c r="K110" i="6" s="1"/>
  <c r="L110" i="6" s="1"/>
  <c r="M110" i="6" s="1"/>
  <c r="B120" i="6"/>
  <c r="B35" i="64" l="1"/>
  <c r="D67" i="67"/>
  <c r="D42" i="67"/>
  <c r="D51" i="67"/>
  <c r="B30" i="64" s="1"/>
  <c r="D26" i="67"/>
  <c r="D18" i="67"/>
  <c r="E37" i="67" s="1"/>
  <c r="D23" i="67"/>
  <c r="D30" i="67" l="1"/>
  <c r="D32" i="67" s="1"/>
  <c r="E42" i="67"/>
  <c r="E49" i="67"/>
  <c r="E38" i="67"/>
  <c r="E39" i="67"/>
  <c r="E40" i="67"/>
  <c r="E48" i="67"/>
  <c r="G33" i="75"/>
  <c r="F33" i="75"/>
  <c r="H33" i="75"/>
  <c r="O33" i="75"/>
  <c r="K33" i="75"/>
  <c r="J33" i="75"/>
  <c r="M33" i="75"/>
  <c r="L33" i="75"/>
  <c r="N33" i="75"/>
  <c r="E33" i="75"/>
  <c r="D44" i="67" l="1"/>
  <c r="P33" i="75"/>
  <c r="D59" i="67" l="1"/>
  <c r="D69" i="67" s="1"/>
  <c r="D73" i="67" s="1"/>
  <c r="D75" i="67" s="1"/>
  <c r="Q33" i="75"/>
  <c r="C27" i="55"/>
  <c r="C38" i="55" l="1"/>
  <c r="C37" i="55"/>
  <c r="C30" i="55" l="1"/>
  <c r="C20" i="55"/>
  <c r="C29" i="55"/>
  <c r="C26" i="55"/>
  <c r="C10" i="55" l="1"/>
  <c r="C24" i="55" l="1"/>
  <c r="C34" i="55" l="1"/>
  <c r="C35" i="55"/>
  <c r="C52" i="55"/>
  <c r="C54" i="55"/>
  <c r="C56" i="55"/>
  <c r="C58" i="55"/>
  <c r="C60" i="55"/>
  <c r="C62" i="55"/>
  <c r="C53" i="55"/>
  <c r="C55" i="55"/>
  <c r="C57" i="55"/>
  <c r="C59" i="55"/>
  <c r="C61" i="55"/>
  <c r="C63" i="55"/>
  <c r="C51" i="55"/>
  <c r="P47" i="55" l="1"/>
  <c r="C14" i="55" s="1"/>
  <c r="E49" i="55" l="1"/>
  <c r="E48" i="55" s="1"/>
  <c r="G49" i="55"/>
  <c r="G48" i="55" s="1"/>
  <c r="I49" i="55"/>
  <c r="I48" i="55" s="1"/>
  <c r="K49" i="55"/>
  <c r="K48" i="55" s="1"/>
  <c r="M49" i="55"/>
  <c r="M48" i="55" s="1"/>
  <c r="O49" i="55"/>
  <c r="O48" i="55" s="1"/>
  <c r="O54" i="55" s="1"/>
  <c r="F49" i="55"/>
  <c r="F48" i="55" s="1"/>
  <c r="H49" i="55"/>
  <c r="H48" i="55" s="1"/>
  <c r="J49" i="55"/>
  <c r="J48" i="55" s="1"/>
  <c r="L49" i="55"/>
  <c r="L48" i="55" s="1"/>
  <c r="N49" i="55"/>
  <c r="N48" i="55" s="1"/>
  <c r="O60" i="55" l="1"/>
  <c r="O58" i="55"/>
  <c r="O63" i="55"/>
  <c r="O55" i="55"/>
  <c r="O52" i="55"/>
  <c r="O59" i="55"/>
  <c r="O51" i="55"/>
  <c r="O57" i="55"/>
  <c r="O53" i="55"/>
  <c r="O56" i="55"/>
  <c r="O62" i="55"/>
  <c r="O61" i="55"/>
  <c r="D49" i="55"/>
  <c r="D48" i="55" s="1"/>
  <c r="P49" i="55"/>
  <c r="M58" i="55"/>
  <c r="M53" i="55"/>
  <c r="M55" i="55"/>
  <c r="M57" i="55"/>
  <c r="M52" i="55"/>
  <c r="M62" i="55"/>
  <c r="M59" i="55"/>
  <c r="M61" i="55"/>
  <c r="M63" i="55"/>
  <c r="M54" i="55"/>
  <c r="M56" i="55"/>
  <c r="M60" i="55"/>
  <c r="M51" i="55"/>
  <c r="E62" i="55"/>
  <c r="E53" i="55"/>
  <c r="E55" i="55"/>
  <c r="E57" i="55"/>
  <c r="E52" i="55"/>
  <c r="E60" i="55"/>
  <c r="E59" i="55"/>
  <c r="E61" i="55"/>
  <c r="E63" i="55"/>
  <c r="E54" i="55"/>
  <c r="E58" i="55"/>
  <c r="E56" i="55"/>
  <c r="E51" i="55"/>
  <c r="L52" i="55"/>
  <c r="L56" i="55"/>
  <c r="L61" i="55"/>
  <c r="L62" i="55"/>
  <c r="L53" i="55"/>
  <c r="L54" i="55"/>
  <c r="L58" i="55"/>
  <c r="L60" i="55"/>
  <c r="L51" i="55"/>
  <c r="L55" i="55"/>
  <c r="L59" i="55"/>
  <c r="L57" i="55"/>
  <c r="L63" i="55"/>
  <c r="K59" i="55"/>
  <c r="K61" i="55"/>
  <c r="K63" i="55"/>
  <c r="K54" i="55"/>
  <c r="K60" i="55"/>
  <c r="K53" i="55"/>
  <c r="K55" i="55"/>
  <c r="K57" i="55"/>
  <c r="K52" i="55"/>
  <c r="K56" i="55"/>
  <c r="K62" i="55"/>
  <c r="K58" i="55"/>
  <c r="K51" i="55"/>
  <c r="G60" i="55"/>
  <c r="G59" i="55"/>
  <c r="G61" i="55"/>
  <c r="G63" i="55"/>
  <c r="G54" i="55"/>
  <c r="G58" i="55"/>
  <c r="G53" i="55"/>
  <c r="G55" i="55"/>
  <c r="G57" i="55"/>
  <c r="G52" i="55"/>
  <c r="G56" i="55"/>
  <c r="G62" i="55"/>
  <c r="G51" i="55"/>
  <c r="N53" i="55"/>
  <c r="N57" i="55"/>
  <c r="N52" i="55"/>
  <c r="N56" i="55"/>
  <c r="N59" i="55"/>
  <c r="N58" i="55"/>
  <c r="N60" i="55"/>
  <c r="N55" i="55"/>
  <c r="N54" i="55"/>
  <c r="N63" i="55"/>
  <c r="N62" i="55"/>
  <c r="N61" i="55"/>
  <c r="N51" i="55"/>
  <c r="J54" i="55"/>
  <c r="J58" i="55"/>
  <c r="J63" i="55"/>
  <c r="J60" i="55"/>
  <c r="J51" i="55"/>
  <c r="J55" i="55"/>
  <c r="J61" i="55"/>
  <c r="J52" i="55"/>
  <c r="J56" i="55"/>
  <c r="J59" i="55"/>
  <c r="J62" i="55"/>
  <c r="J53" i="55"/>
  <c r="J57" i="55"/>
  <c r="F52" i="55"/>
  <c r="F56" i="55"/>
  <c r="F59" i="55"/>
  <c r="F60" i="55"/>
  <c r="F51" i="55"/>
  <c r="F54" i="55"/>
  <c r="F58" i="55"/>
  <c r="F63" i="55"/>
  <c r="F62" i="55"/>
  <c r="F53" i="55"/>
  <c r="F57" i="55"/>
  <c r="F61" i="55"/>
  <c r="F55" i="55"/>
  <c r="I53" i="55"/>
  <c r="I55" i="55"/>
  <c r="I57" i="55"/>
  <c r="I52" i="55"/>
  <c r="I56" i="55"/>
  <c r="I62" i="55"/>
  <c r="I59" i="55"/>
  <c r="I61" i="55"/>
  <c r="I63" i="55"/>
  <c r="I54" i="55"/>
  <c r="I58" i="55"/>
  <c r="I60" i="55"/>
  <c r="I51" i="55"/>
  <c r="H54" i="55"/>
  <c r="H62" i="55"/>
  <c r="H53" i="55"/>
  <c r="H57" i="55"/>
  <c r="H59" i="55"/>
  <c r="H52" i="55"/>
  <c r="H56" i="55"/>
  <c r="H58" i="55"/>
  <c r="H61" i="55"/>
  <c r="H60" i="55"/>
  <c r="H51" i="55"/>
  <c r="H55" i="55"/>
  <c r="H63" i="55"/>
  <c r="E69" i="55" l="1"/>
  <c r="F69" i="55" s="1"/>
  <c r="G69" i="55" s="1"/>
  <c r="H69" i="55" s="1"/>
  <c r="I69" i="55" s="1"/>
  <c r="J69" i="55" s="1"/>
  <c r="K69" i="55" s="1"/>
  <c r="L69" i="55" s="1"/>
  <c r="M69" i="55" s="1"/>
  <c r="N69" i="55" s="1"/>
  <c r="O69" i="55" s="1"/>
  <c r="C11" i="55" s="1"/>
  <c r="O13" i="45" l="1"/>
  <c r="O15" i="45"/>
  <c r="O17" i="45"/>
  <c r="O19" i="45"/>
  <c r="O21" i="45"/>
  <c r="O23" i="45"/>
  <c r="O25" i="45"/>
  <c r="O27" i="45"/>
  <c r="O29" i="45"/>
  <c r="O31" i="45"/>
  <c r="O33" i="45"/>
  <c r="O35" i="45"/>
  <c r="O37" i="45"/>
  <c r="O39" i="45"/>
  <c r="O41" i="45"/>
  <c r="O43" i="45"/>
  <c r="O45" i="45"/>
  <c r="O47" i="45"/>
  <c r="O49" i="45"/>
  <c r="O51" i="45"/>
  <c r="O53" i="45"/>
  <c r="O55" i="45"/>
  <c r="O57" i="45"/>
  <c r="O59" i="45"/>
  <c r="O61" i="45"/>
  <c r="O63" i="45"/>
  <c r="O65" i="45"/>
  <c r="O67" i="45"/>
  <c r="O69" i="45"/>
  <c r="O71" i="45"/>
  <c r="O73" i="45"/>
  <c r="O75" i="45"/>
  <c r="O77" i="45"/>
  <c r="O79" i="45"/>
  <c r="O81" i="45"/>
  <c r="O83" i="45"/>
  <c r="O85" i="45"/>
  <c r="O87" i="45"/>
  <c r="O89" i="45"/>
  <c r="O91" i="45"/>
  <c r="O93" i="45"/>
  <c r="O95" i="45"/>
  <c r="O97" i="45"/>
  <c r="O99" i="45"/>
  <c r="O101" i="45"/>
  <c r="O103" i="45"/>
  <c r="O105" i="45"/>
  <c r="O107" i="45"/>
  <c r="O109" i="45"/>
  <c r="O111" i="45"/>
  <c r="O113" i="45"/>
  <c r="O115" i="45"/>
  <c r="O117" i="45"/>
  <c r="O119" i="45"/>
  <c r="O121" i="45"/>
  <c r="O123" i="45"/>
  <c r="O125" i="45"/>
  <c r="O127" i="45"/>
  <c r="O129" i="45"/>
  <c r="O131" i="45"/>
  <c r="O133" i="45"/>
  <c r="O135" i="45"/>
  <c r="O137" i="45"/>
  <c r="O139" i="45"/>
  <c r="O141" i="45"/>
  <c r="O143" i="45"/>
  <c r="O145" i="45"/>
  <c r="O147" i="45"/>
  <c r="O149" i="45"/>
  <c r="O151" i="45"/>
  <c r="O153" i="45"/>
  <c r="O155" i="45"/>
  <c r="O157" i="45"/>
  <c r="O159" i="45"/>
  <c r="O161" i="45"/>
  <c r="O163" i="45"/>
  <c r="O165" i="45"/>
  <c r="O167" i="45"/>
  <c r="O169" i="45"/>
  <c r="O171" i="45"/>
  <c r="O173" i="45"/>
  <c r="O175" i="45"/>
  <c r="O177" i="45"/>
  <c r="O179" i="45"/>
  <c r="O181" i="45"/>
  <c r="O14" i="45"/>
  <c r="O16" i="45"/>
  <c r="O18" i="45"/>
  <c r="O20" i="45"/>
  <c r="O22" i="45"/>
  <c r="O24" i="45"/>
  <c r="O26" i="45"/>
  <c r="O28" i="45"/>
  <c r="O30" i="45"/>
  <c r="O32" i="45"/>
  <c r="O34" i="45"/>
  <c r="O36" i="45"/>
  <c r="O38" i="45"/>
  <c r="O40" i="45"/>
  <c r="O42" i="45"/>
  <c r="O44" i="45"/>
  <c r="O46" i="45"/>
  <c r="O48" i="45"/>
  <c r="O50" i="45"/>
  <c r="O52" i="45"/>
  <c r="O54" i="45"/>
  <c r="O56" i="45"/>
  <c r="O58" i="45"/>
  <c r="O60" i="45"/>
  <c r="O62" i="45"/>
  <c r="O64" i="45"/>
  <c r="O66" i="45"/>
  <c r="O70" i="45"/>
  <c r="O74" i="45"/>
  <c r="O78" i="45"/>
  <c r="O82" i="45"/>
  <c r="O86" i="45"/>
  <c r="O90" i="45"/>
  <c r="O94" i="45"/>
  <c r="O98" i="45"/>
  <c r="O102" i="45"/>
  <c r="O106" i="45"/>
  <c r="O110" i="45"/>
  <c r="O114" i="45"/>
  <c r="O118" i="45"/>
  <c r="O122" i="45"/>
  <c r="O126" i="45"/>
  <c r="O130" i="45"/>
  <c r="O134" i="45"/>
  <c r="O138" i="45"/>
  <c r="O142" i="45"/>
  <c r="O146" i="45"/>
  <c r="O150" i="45"/>
  <c r="O154" i="45"/>
  <c r="O158" i="45"/>
  <c r="O162" i="45"/>
  <c r="O166" i="45"/>
  <c r="O170" i="45"/>
  <c r="O174" i="45"/>
  <c r="O178" i="45"/>
  <c r="O182" i="45"/>
  <c r="O184" i="45"/>
  <c r="O186" i="45"/>
  <c r="O188" i="45"/>
  <c r="O190" i="45"/>
  <c r="O192" i="45"/>
  <c r="O194" i="45"/>
  <c r="O196" i="45"/>
  <c r="O198" i="45"/>
  <c r="O200" i="45"/>
  <c r="O202" i="45"/>
  <c r="O204" i="45"/>
  <c r="O206" i="45"/>
  <c r="O208" i="45"/>
  <c r="O210" i="45"/>
  <c r="O212" i="45"/>
  <c r="O214" i="45"/>
  <c r="O216" i="45"/>
  <c r="O218" i="45"/>
  <c r="O220" i="45"/>
  <c r="O222" i="45"/>
  <c r="O224" i="45"/>
  <c r="O226" i="45"/>
  <c r="O228" i="45"/>
  <c r="O230" i="45"/>
  <c r="O232" i="45"/>
  <c r="O234" i="45"/>
  <c r="O236" i="45"/>
  <c r="O238" i="45"/>
  <c r="O240" i="45"/>
  <c r="O242" i="45"/>
  <c r="O244" i="45"/>
  <c r="O246" i="45"/>
  <c r="O248" i="45"/>
  <c r="O250" i="45"/>
  <c r="O252" i="45"/>
  <c r="O254" i="45"/>
  <c r="O256" i="45"/>
  <c r="O258" i="45"/>
  <c r="O260" i="45"/>
  <c r="O262" i="45"/>
  <c r="O264" i="45"/>
  <c r="O266" i="45"/>
  <c r="O268" i="45"/>
  <c r="O270" i="45"/>
  <c r="O272" i="45"/>
  <c r="O274" i="45"/>
  <c r="O276" i="45"/>
  <c r="O278" i="45"/>
  <c r="O280" i="45"/>
  <c r="O282" i="45"/>
  <c r="O284" i="45"/>
  <c r="O286" i="45"/>
  <c r="O288" i="45"/>
  <c r="O290" i="45"/>
  <c r="O292" i="45"/>
  <c r="O294" i="45"/>
  <c r="O68" i="45"/>
  <c r="O72" i="45"/>
  <c r="O76" i="45"/>
  <c r="O80" i="45"/>
  <c r="O84" i="45"/>
  <c r="O88" i="45"/>
  <c r="O92" i="45"/>
  <c r="O96" i="45"/>
  <c r="O100" i="45"/>
  <c r="O104" i="45"/>
  <c r="O108" i="45"/>
  <c r="O112" i="45"/>
  <c r="O116" i="45"/>
  <c r="O120" i="45"/>
  <c r="O124" i="45"/>
  <c r="O128" i="45"/>
  <c r="O132" i="45"/>
  <c r="O136" i="45"/>
  <c r="O140" i="45"/>
  <c r="O144" i="45"/>
  <c r="O148" i="45"/>
  <c r="O152" i="45"/>
  <c r="O156" i="45"/>
  <c r="O160" i="45"/>
  <c r="O164" i="45"/>
  <c r="O168" i="45"/>
  <c r="O172" i="45"/>
  <c r="O176" i="45"/>
  <c r="O180" i="45"/>
  <c r="O183" i="45"/>
  <c r="O185" i="45"/>
  <c r="O187" i="45"/>
  <c r="O189" i="45"/>
  <c r="O191" i="45"/>
  <c r="O193" i="45"/>
  <c r="O195" i="45"/>
  <c r="O197" i="45"/>
  <c r="O199" i="45"/>
  <c r="O201" i="45"/>
  <c r="O203" i="45"/>
  <c r="O205" i="45"/>
  <c r="O207" i="45"/>
  <c r="O209" i="45"/>
  <c r="O211" i="45"/>
  <c r="O213" i="45"/>
  <c r="O215" i="45"/>
  <c r="O217" i="45"/>
  <c r="O219" i="45"/>
  <c r="O221" i="45"/>
  <c r="O223" i="45"/>
  <c r="O225" i="45"/>
  <c r="O227" i="45"/>
  <c r="O229" i="45"/>
  <c r="O231" i="45"/>
  <c r="O233" i="45"/>
  <c r="O235" i="45"/>
  <c r="O237" i="45"/>
  <c r="O239" i="45"/>
  <c r="O241" i="45"/>
  <c r="O243" i="45"/>
  <c r="O245" i="45"/>
  <c r="O247" i="45"/>
  <c r="O249" i="45"/>
  <c r="O251" i="45"/>
  <c r="O253" i="45"/>
  <c r="O255" i="45"/>
  <c r="O257" i="45"/>
  <c r="O259" i="45"/>
  <c r="O261" i="45"/>
  <c r="O263" i="45"/>
  <c r="O265" i="45"/>
  <c r="O267" i="45"/>
  <c r="O269" i="45"/>
  <c r="O271" i="45"/>
  <c r="O273" i="45"/>
  <c r="O275" i="45"/>
  <c r="O277" i="45"/>
  <c r="O279" i="45"/>
  <c r="O281" i="45"/>
  <c r="O283" i="45"/>
  <c r="O285" i="45"/>
  <c r="O287" i="45"/>
  <c r="O289" i="45"/>
  <c r="O291" i="45"/>
  <c r="O293" i="45"/>
  <c r="O295" i="45"/>
  <c r="O297" i="45"/>
  <c r="O299" i="45"/>
  <c r="O301" i="45"/>
  <c r="O303" i="45"/>
  <c r="O305" i="45"/>
  <c r="O307" i="45"/>
  <c r="O309" i="45"/>
  <c r="O311" i="45"/>
  <c r="O313" i="45"/>
  <c r="O315" i="45"/>
  <c r="O317" i="45"/>
  <c r="O319" i="45"/>
  <c r="O321" i="45"/>
  <c r="O323" i="45"/>
  <c r="O325" i="45"/>
  <c r="O327" i="45"/>
  <c r="O329" i="45"/>
  <c r="O331" i="45"/>
  <c r="O333" i="45"/>
  <c r="O335" i="45"/>
  <c r="O337" i="45"/>
  <c r="O339" i="45"/>
  <c r="O341" i="45"/>
  <c r="O343" i="45"/>
  <c r="O345" i="45"/>
  <c r="O347" i="45"/>
  <c r="O349" i="45"/>
  <c r="O351" i="45"/>
  <c r="O353" i="45"/>
  <c r="O355" i="45"/>
  <c r="O357" i="45"/>
  <c r="O359" i="45"/>
  <c r="O361" i="45"/>
  <c r="O363" i="45"/>
  <c r="O365" i="45"/>
  <c r="O367" i="45"/>
  <c r="O369" i="45"/>
  <c r="O371" i="45"/>
  <c r="O373" i="45"/>
  <c r="O375" i="45"/>
  <c r="O377" i="45"/>
  <c r="O379" i="45"/>
  <c r="O381" i="45"/>
  <c r="O383" i="45"/>
  <c r="O385" i="45"/>
  <c r="O387" i="45"/>
  <c r="O389" i="45"/>
  <c r="O391" i="45"/>
  <c r="O393" i="45"/>
  <c r="O395" i="45"/>
  <c r="O397" i="45"/>
  <c r="O399" i="45"/>
  <c r="O401" i="45"/>
  <c r="O403" i="45"/>
  <c r="O405" i="45"/>
  <c r="O407" i="45"/>
  <c r="O409" i="45"/>
  <c r="O411" i="45"/>
  <c r="O413" i="45"/>
  <c r="O415" i="45"/>
  <c r="O417" i="45"/>
  <c r="O419" i="45"/>
  <c r="O421" i="45"/>
  <c r="O423" i="45"/>
  <c r="O425" i="45"/>
  <c r="O427" i="45"/>
  <c r="O429" i="45"/>
  <c r="O431" i="45"/>
  <c r="O433" i="45"/>
  <c r="O435" i="45"/>
  <c r="O437" i="45"/>
  <c r="O439" i="45"/>
  <c r="O441" i="45"/>
  <c r="O443" i="45"/>
  <c r="O445" i="45"/>
  <c r="O447" i="45"/>
  <c r="O449" i="45"/>
  <c r="O451" i="45"/>
  <c r="O453" i="45"/>
  <c r="O455" i="45"/>
  <c r="O457" i="45"/>
  <c r="O459" i="45"/>
  <c r="O461" i="45"/>
  <c r="O463" i="45"/>
  <c r="O465" i="45"/>
  <c r="O467" i="45"/>
  <c r="O469" i="45"/>
  <c r="O471" i="45"/>
  <c r="O473" i="45"/>
  <c r="O475" i="45"/>
  <c r="O477" i="45"/>
  <c r="O479" i="45"/>
  <c r="O481" i="45"/>
  <c r="O483" i="45"/>
  <c r="O485" i="45"/>
  <c r="O487" i="45"/>
  <c r="O489" i="45"/>
  <c r="O491" i="45"/>
  <c r="O493" i="45"/>
  <c r="O495" i="45"/>
  <c r="O497" i="45"/>
  <c r="O499" i="45"/>
  <c r="O501" i="45"/>
  <c r="O503" i="45"/>
  <c r="O505" i="45"/>
  <c r="O507" i="45"/>
  <c r="O509" i="45"/>
  <c r="O511" i="45"/>
  <c r="O513" i="45"/>
  <c r="O515" i="45"/>
  <c r="O517" i="45"/>
  <c r="O519" i="45"/>
  <c r="O521" i="45"/>
  <c r="O523" i="45"/>
  <c r="O525" i="45"/>
  <c r="O527" i="45"/>
  <c r="O529" i="45"/>
  <c r="O531" i="45"/>
  <c r="O533" i="45"/>
  <c r="O535" i="45"/>
  <c r="O537" i="45"/>
  <c r="O539" i="45"/>
  <c r="O541" i="45"/>
  <c r="O543" i="45"/>
  <c r="O545" i="45"/>
  <c r="O547" i="45"/>
  <c r="O549" i="45"/>
  <c r="O551" i="45"/>
  <c r="O553" i="45"/>
  <c r="O555" i="45"/>
  <c r="O557" i="45"/>
  <c r="O559" i="45"/>
  <c r="O561" i="45"/>
  <c r="O563" i="45"/>
  <c r="O565" i="45"/>
  <c r="O567" i="45"/>
  <c r="O569" i="45"/>
  <c r="O571" i="45"/>
  <c r="O573" i="45"/>
  <c r="O575" i="45"/>
  <c r="O577" i="45"/>
  <c r="O579" i="45"/>
  <c r="O581" i="45"/>
  <c r="O583" i="45"/>
  <c r="O585" i="45"/>
  <c r="O587" i="45"/>
  <c r="O589" i="45"/>
  <c r="O591" i="45"/>
  <c r="O593" i="45"/>
  <c r="O595" i="45"/>
  <c r="O597" i="45"/>
  <c r="O599" i="45"/>
  <c r="O601" i="45"/>
  <c r="O603" i="45"/>
  <c r="O605" i="45"/>
  <c r="O607" i="45"/>
  <c r="O609" i="45"/>
  <c r="O611" i="45"/>
  <c r="O613" i="45"/>
  <c r="O615" i="45"/>
  <c r="O617" i="45"/>
  <c r="O619" i="45"/>
  <c r="O621" i="45"/>
  <c r="O623" i="45"/>
  <c r="O625" i="45"/>
  <c r="O627" i="45"/>
  <c r="O629" i="45"/>
  <c r="O631" i="45"/>
  <c r="O633" i="45"/>
  <c r="O296" i="45"/>
  <c r="O298" i="45"/>
  <c r="O300" i="45"/>
  <c r="O302" i="45"/>
  <c r="O304" i="45"/>
  <c r="O306" i="45"/>
  <c r="O308" i="45"/>
  <c r="O310" i="45"/>
  <c r="O312" i="45"/>
  <c r="O314" i="45"/>
  <c r="O316" i="45"/>
  <c r="O318" i="45"/>
  <c r="O320" i="45"/>
  <c r="O322" i="45"/>
  <c r="O324" i="45"/>
  <c r="O326" i="45"/>
  <c r="O328" i="45"/>
  <c r="O330" i="45"/>
  <c r="O332" i="45"/>
  <c r="O334" i="45"/>
  <c r="O336" i="45"/>
  <c r="O338" i="45"/>
  <c r="O340" i="45"/>
  <c r="O342" i="45"/>
  <c r="O344" i="45"/>
  <c r="O346" i="45"/>
  <c r="O348" i="45"/>
  <c r="O350" i="45"/>
  <c r="O352" i="45"/>
  <c r="O354" i="45"/>
  <c r="O356" i="45"/>
  <c r="O358" i="45"/>
  <c r="O360" i="45"/>
  <c r="O362" i="45"/>
  <c r="O364" i="45"/>
  <c r="O366" i="45"/>
  <c r="O368" i="45"/>
  <c r="O370" i="45"/>
  <c r="O372" i="45"/>
  <c r="O374" i="45"/>
  <c r="O376" i="45"/>
  <c r="O378" i="45"/>
  <c r="O380" i="45"/>
  <c r="O382" i="45"/>
  <c r="O384" i="45"/>
  <c r="O386" i="45"/>
  <c r="O388" i="45"/>
  <c r="O390" i="45"/>
  <c r="O392" i="45"/>
  <c r="O394" i="45"/>
  <c r="O396" i="45"/>
  <c r="O398" i="45"/>
  <c r="O400" i="45"/>
  <c r="O402" i="45"/>
  <c r="O404" i="45"/>
  <c r="O406" i="45"/>
  <c r="O408" i="45"/>
  <c r="O410" i="45"/>
  <c r="O412" i="45"/>
  <c r="O414" i="45"/>
  <c r="O416" i="45"/>
  <c r="O418" i="45"/>
  <c r="O420" i="45"/>
  <c r="O422" i="45"/>
  <c r="O424" i="45"/>
  <c r="O426" i="45"/>
  <c r="O428" i="45"/>
  <c r="O430" i="45"/>
  <c r="O432" i="45"/>
  <c r="O434" i="45"/>
  <c r="O436" i="45"/>
  <c r="O438" i="45"/>
  <c r="O440" i="45"/>
  <c r="O442" i="45"/>
  <c r="O444" i="45"/>
  <c r="O446" i="45"/>
  <c r="O448" i="45"/>
  <c r="O450" i="45"/>
  <c r="O452" i="45"/>
  <c r="O454" i="45"/>
  <c r="O456" i="45"/>
  <c r="O458" i="45"/>
  <c r="O460" i="45"/>
  <c r="O462" i="45"/>
  <c r="O464" i="45"/>
  <c r="O466" i="45"/>
  <c r="O468" i="45"/>
  <c r="O470" i="45"/>
  <c r="O472" i="45"/>
  <c r="O474" i="45"/>
  <c r="O476" i="45"/>
  <c r="O478" i="45"/>
  <c r="O480" i="45"/>
  <c r="O482" i="45"/>
  <c r="O484" i="45"/>
  <c r="O486" i="45"/>
  <c r="O488" i="45"/>
  <c r="O490" i="45"/>
  <c r="O492" i="45"/>
  <c r="O494" i="45"/>
  <c r="O496" i="45"/>
  <c r="O498" i="45"/>
  <c r="O500" i="45"/>
  <c r="O502" i="45"/>
  <c r="O504" i="45"/>
  <c r="O506" i="45"/>
  <c r="O508" i="45"/>
  <c r="O510" i="45"/>
  <c r="O512" i="45"/>
  <c r="O514" i="45"/>
  <c r="O516" i="45"/>
  <c r="O518" i="45"/>
  <c r="O520" i="45"/>
  <c r="O522" i="45"/>
  <c r="O524" i="45"/>
  <c r="O526" i="45"/>
  <c r="O528" i="45"/>
  <c r="O530" i="45"/>
  <c r="O532" i="45"/>
  <c r="O534" i="45"/>
  <c r="O536" i="45"/>
  <c r="O538" i="45"/>
  <c r="O540" i="45"/>
  <c r="O542" i="45"/>
  <c r="O544" i="45"/>
  <c r="O546" i="45"/>
  <c r="O548" i="45"/>
  <c r="O550" i="45"/>
  <c r="O552" i="45"/>
  <c r="O554" i="45"/>
  <c r="O556" i="45"/>
  <c r="O558" i="45"/>
  <c r="O560" i="45"/>
  <c r="O562" i="45"/>
  <c r="O564" i="45"/>
  <c r="O566" i="45"/>
  <c r="O568" i="45"/>
  <c r="O570" i="45"/>
  <c r="O572" i="45"/>
  <c r="O574" i="45"/>
  <c r="O576" i="45"/>
  <c r="O578" i="45"/>
  <c r="O580" i="45"/>
  <c r="O582" i="45"/>
  <c r="O584" i="45"/>
  <c r="O586" i="45"/>
  <c r="O588" i="45"/>
  <c r="O590" i="45"/>
  <c r="O592" i="45"/>
  <c r="O594" i="45"/>
  <c r="O596" i="45"/>
  <c r="O598" i="45"/>
  <c r="O600" i="45"/>
  <c r="O602" i="45"/>
  <c r="O604" i="45"/>
  <c r="O606" i="45"/>
  <c r="O608" i="45"/>
  <c r="O610" i="45"/>
  <c r="O612" i="45"/>
  <c r="O614" i="45"/>
  <c r="O616" i="45"/>
  <c r="O618" i="45"/>
  <c r="O620" i="45"/>
  <c r="O622" i="45"/>
  <c r="O624" i="45"/>
  <c r="O626" i="45"/>
  <c r="O628" i="45"/>
  <c r="O630" i="45"/>
  <c r="O632" i="45"/>
  <c r="O634" i="45"/>
  <c r="O635" i="45"/>
  <c r="O637" i="45"/>
  <c r="O639" i="45"/>
  <c r="O641" i="45"/>
  <c r="O643" i="45"/>
  <c r="O645" i="45"/>
  <c r="O647" i="45"/>
  <c r="O649" i="45"/>
  <c r="O651" i="45"/>
  <c r="O653" i="45"/>
  <c r="O655" i="45"/>
  <c r="O657" i="45"/>
  <c r="O659" i="45"/>
  <c r="O661" i="45"/>
  <c r="O663" i="45"/>
  <c r="O665" i="45"/>
  <c r="O667" i="45"/>
  <c r="O669" i="45"/>
  <c r="O671" i="45"/>
  <c r="O673" i="45"/>
  <c r="O675" i="45"/>
  <c r="O677" i="45"/>
  <c r="O679" i="45"/>
  <c r="O681" i="45"/>
  <c r="O683" i="45"/>
  <c r="O685" i="45"/>
  <c r="O687" i="45"/>
  <c r="O689" i="45"/>
  <c r="O691" i="45"/>
  <c r="O693" i="45"/>
  <c r="O695" i="45"/>
  <c r="O697" i="45"/>
  <c r="O699" i="45"/>
  <c r="O701" i="45"/>
  <c r="O703" i="45"/>
  <c r="O705" i="45"/>
  <c r="O707" i="45"/>
  <c r="O709" i="45"/>
  <c r="O711" i="45"/>
  <c r="O713" i="45"/>
  <c r="O715" i="45"/>
  <c r="O636" i="45"/>
  <c r="O638" i="45"/>
  <c r="O640" i="45"/>
  <c r="O642" i="45"/>
  <c r="O644" i="45"/>
  <c r="O646" i="45"/>
  <c r="O648" i="45"/>
  <c r="O650" i="45"/>
  <c r="O652" i="45"/>
  <c r="O654" i="45"/>
  <c r="O656" i="45"/>
  <c r="O658" i="45"/>
  <c r="O660" i="45"/>
  <c r="O662" i="45"/>
  <c r="O664" i="45"/>
  <c r="O666" i="45"/>
  <c r="O668" i="45"/>
  <c r="O670" i="45"/>
  <c r="O672" i="45"/>
  <c r="O674" i="45"/>
  <c r="O676" i="45"/>
  <c r="O678" i="45"/>
  <c r="O680" i="45"/>
  <c r="O682" i="45"/>
  <c r="O684" i="45"/>
  <c r="O686" i="45"/>
  <c r="O688" i="45"/>
  <c r="O690" i="45"/>
  <c r="O692" i="45"/>
  <c r="O694" i="45"/>
  <c r="O696" i="45"/>
  <c r="O698" i="45"/>
  <c r="O700" i="45"/>
  <c r="O702" i="45"/>
  <c r="O704" i="45"/>
  <c r="O706" i="45"/>
  <c r="O708" i="45"/>
  <c r="O710" i="45"/>
  <c r="O712" i="45"/>
  <c r="O714" i="45"/>
  <c r="AF39" i="1" l="1"/>
  <c r="O13" i="6" l="1"/>
  <c r="O9" i="6" l="1"/>
  <c r="O27" i="6" l="1"/>
  <c r="M47" i="22" l="1"/>
  <c r="D19" i="22"/>
  <c r="D18" i="22"/>
  <c r="D17" i="22"/>
  <c r="D16" i="22"/>
  <c r="D15" i="22"/>
  <c r="D14" i="22"/>
  <c r="D13" i="22"/>
  <c r="D12" i="22"/>
  <c r="D11" i="22"/>
  <c r="E47" i="22"/>
  <c r="E15" i="22" l="1"/>
  <c r="L36" i="22"/>
  <c r="K36" i="22"/>
  <c r="E36" i="22" s="1"/>
  <c r="R36" i="22" s="1"/>
  <c r="K39" i="22" l="1"/>
  <c r="J39" i="22"/>
  <c r="I39" i="22"/>
  <c r="K1" i="22" l="1"/>
  <c r="L1" i="22" s="1"/>
  <c r="B47" i="4" l="1"/>
  <c r="B16" i="4" l="1"/>
  <c r="B35" i="4"/>
  <c r="B40" i="4" s="1"/>
  <c r="C113" i="6" l="1"/>
  <c r="B113" i="6"/>
  <c r="E54" i="61" s="1"/>
  <c r="F54" i="61" s="1"/>
  <c r="G54" i="61" s="1"/>
  <c r="H54" i="61" s="1"/>
  <c r="I54" i="61" s="1"/>
  <c r="J54" i="61" s="1"/>
  <c r="K54" i="61" s="1"/>
  <c r="L54" i="61" s="1"/>
  <c r="M54" i="61" s="1"/>
  <c r="N54" i="61" s="1"/>
  <c r="O54" i="61" s="1"/>
  <c r="I96" i="22" l="1"/>
  <c r="H96" i="22"/>
  <c r="G96" i="22"/>
  <c r="F96" i="22"/>
  <c r="I95" i="22"/>
  <c r="H95" i="22"/>
  <c r="G95" i="22"/>
  <c r="F95" i="22"/>
  <c r="I94" i="22"/>
  <c r="H94" i="22"/>
  <c r="G94" i="22"/>
  <c r="F94" i="22"/>
  <c r="I93" i="22"/>
  <c r="H93" i="22"/>
  <c r="G93" i="22"/>
  <c r="F93" i="22"/>
  <c r="I92" i="22"/>
  <c r="H92" i="22"/>
  <c r="G92" i="22"/>
  <c r="F92" i="22"/>
  <c r="I91" i="22"/>
  <c r="H91" i="22"/>
  <c r="G91" i="22"/>
  <c r="F91" i="22"/>
  <c r="I74" i="22"/>
  <c r="H74" i="22"/>
  <c r="G74" i="22"/>
  <c r="F74" i="22"/>
  <c r="I73" i="22"/>
  <c r="H73" i="22"/>
  <c r="G73" i="22"/>
  <c r="F73" i="22"/>
  <c r="F72" i="22"/>
  <c r="I71" i="22"/>
  <c r="H71" i="22"/>
  <c r="G71" i="22"/>
  <c r="F71" i="22"/>
  <c r="F70" i="22"/>
  <c r="G69" i="22"/>
  <c r="F69" i="22"/>
  <c r="I68" i="22"/>
  <c r="H68" i="22"/>
  <c r="G68" i="22"/>
  <c r="F68" i="22"/>
  <c r="G105" i="6" l="1"/>
  <c r="F105" i="6"/>
  <c r="H105" i="6" l="1"/>
  <c r="N12" i="22"/>
  <c r="O12" i="22" s="1"/>
  <c r="E12" i="22" l="1"/>
  <c r="E69" i="22" s="1"/>
  <c r="I105" i="6"/>
  <c r="H69" i="22"/>
  <c r="I69" i="22"/>
  <c r="J105" i="6" l="1"/>
  <c r="O26" i="22"/>
  <c r="E44" i="22"/>
  <c r="E96" i="22" s="1"/>
  <c r="E18" i="22"/>
  <c r="E74" i="22" s="1"/>
  <c r="E17" i="22"/>
  <c r="E73" i="22" s="1"/>
  <c r="E16" i="22"/>
  <c r="E71" i="22" s="1"/>
  <c r="E43" i="22"/>
  <c r="E95" i="22" s="1"/>
  <c r="E42" i="22"/>
  <c r="E94" i="22" s="1"/>
  <c r="E41" i="22"/>
  <c r="E93" i="22" s="1"/>
  <c r="E11" i="22"/>
  <c r="E68" i="22" s="1"/>
  <c r="I46" i="22"/>
  <c r="I47" i="22" s="1"/>
  <c r="E40" i="22"/>
  <c r="E92" i="22" s="1"/>
  <c r="E39" i="22"/>
  <c r="E91" i="22" s="1"/>
  <c r="J25" i="22"/>
  <c r="J14" i="22"/>
  <c r="B26" i="65"/>
  <c r="B26" i="64"/>
  <c r="B34" i="64"/>
  <c r="B25" i="64"/>
  <c r="B24" i="64"/>
  <c r="B20" i="64"/>
  <c r="B19" i="64"/>
  <c r="I48" i="22" l="1"/>
  <c r="K105" i="6"/>
  <c r="H72" i="22"/>
  <c r="I72" i="22"/>
  <c r="G72" i="22"/>
  <c r="H70" i="22"/>
  <c r="I70" i="22"/>
  <c r="G70" i="22"/>
  <c r="R14" i="22"/>
  <c r="A3" i="33"/>
  <c r="A4" i="62" s="1"/>
  <c r="A4" i="63" s="1"/>
  <c r="A4" i="64" s="1"/>
  <c r="A4" i="65" s="1"/>
  <c r="M31" i="66"/>
  <c r="L31" i="66"/>
  <c r="K31" i="66"/>
  <c r="J31" i="66"/>
  <c r="I31" i="66"/>
  <c r="H31" i="66"/>
  <c r="G31" i="66"/>
  <c r="F31" i="66"/>
  <c r="E31" i="66"/>
  <c r="D31" i="66"/>
  <c r="C31" i="66"/>
  <c r="B31" i="66"/>
  <c r="J26" i="65"/>
  <c r="J24" i="65"/>
  <c r="L24" i="65" s="1"/>
  <c r="J22" i="65"/>
  <c r="L22" i="65" s="1"/>
  <c r="M15" i="65"/>
  <c r="M13" i="65"/>
  <c r="J35" i="64"/>
  <c r="L35" i="64" s="1"/>
  <c r="J30" i="64"/>
  <c r="L30" i="64" s="1"/>
  <c r="J26" i="64"/>
  <c r="L26" i="64" s="1"/>
  <c r="J25" i="64"/>
  <c r="L25" i="64" s="1"/>
  <c r="J24" i="64"/>
  <c r="L24" i="64" s="1"/>
  <c r="K22" i="64"/>
  <c r="K28" i="64" s="1"/>
  <c r="K38" i="64" s="1"/>
  <c r="J20" i="64"/>
  <c r="L20" i="64" s="1"/>
  <c r="J19" i="64"/>
  <c r="C30" i="64"/>
  <c r="D44" i="63"/>
  <c r="D41" i="63"/>
  <c r="D40" i="63"/>
  <c r="A2" i="63"/>
  <c r="A2" i="64" s="1"/>
  <c r="A2" i="65" s="1"/>
  <c r="B43" i="63"/>
  <c r="B45" i="63" s="1"/>
  <c r="C21" i="63"/>
  <c r="C33" i="63" s="1"/>
  <c r="D14" i="63"/>
  <c r="N31" i="66" l="1"/>
  <c r="C43" i="63"/>
  <c r="C45" i="63" s="1"/>
  <c r="D45" i="63" s="1"/>
  <c r="N16" i="66"/>
  <c r="A2" i="53"/>
  <c r="A2" i="66" s="1"/>
  <c r="A4" i="53"/>
  <c r="A4" i="66" s="1"/>
  <c r="A3" i="38" s="1"/>
  <c r="A3" i="6" s="1"/>
  <c r="L105" i="6"/>
  <c r="J22" i="64"/>
  <c r="L22" i="64" s="1"/>
  <c r="L19" i="64"/>
  <c r="D18" i="66"/>
  <c r="D24" i="66" s="1"/>
  <c r="H18" i="66"/>
  <c r="H24" i="66" s="1"/>
  <c r="L18" i="66"/>
  <c r="L24" i="66" s="1"/>
  <c r="N15" i="66"/>
  <c r="F18" i="66"/>
  <c r="F24" i="66" s="1"/>
  <c r="J18" i="66"/>
  <c r="J24" i="66" s="1"/>
  <c r="C18" i="66"/>
  <c r="C24" i="66" s="1"/>
  <c r="E18" i="66"/>
  <c r="E24" i="66" s="1"/>
  <c r="G18" i="66"/>
  <c r="G24" i="66" s="1"/>
  <c r="I18" i="66"/>
  <c r="I24" i="66" s="1"/>
  <c r="K18" i="66"/>
  <c r="K24" i="66" s="1"/>
  <c r="M18" i="66"/>
  <c r="M24" i="66" s="1"/>
  <c r="N12" i="66"/>
  <c r="C24" i="64"/>
  <c r="C26" i="64"/>
  <c r="C34" i="64"/>
  <c r="C35" i="64"/>
  <c r="C20" i="64"/>
  <c r="B22" i="64"/>
  <c r="C25" i="64"/>
  <c r="D43" i="63"/>
  <c r="C27" i="63"/>
  <c r="D27" i="63" s="1"/>
  <c r="D33" i="63"/>
  <c r="D39" i="63"/>
  <c r="B23" i="63"/>
  <c r="J28" i="64" l="1"/>
  <c r="J38" i="64" s="1"/>
  <c r="L38" i="64" s="1"/>
  <c r="M105" i="6"/>
  <c r="N18" i="66"/>
  <c r="N24" i="66" s="1"/>
  <c r="B18" i="66"/>
  <c r="B24" i="66" s="1"/>
  <c r="B28" i="64"/>
  <c r="C22" i="64"/>
  <c r="B35" i="63"/>
  <c r="L28" i="64" l="1"/>
  <c r="B38" i="64"/>
  <c r="B40" i="64" s="1"/>
  <c r="B32" i="64"/>
  <c r="C28" i="64"/>
  <c r="C40" i="64" l="1"/>
  <c r="C38" i="64"/>
  <c r="E31" i="22" l="1"/>
  <c r="E30" i="22"/>
  <c r="E26" i="22"/>
  <c r="E24" i="22"/>
  <c r="E23" i="22"/>
  <c r="E14" i="22"/>
  <c r="E72" i="22" s="1"/>
  <c r="E70" i="22"/>
  <c r="E10" i="22"/>
  <c r="E35" i="22"/>
  <c r="E82" i="61"/>
  <c r="E81" i="61"/>
  <c r="E80" i="61"/>
  <c r="E83" i="61" s="1"/>
  <c r="P78" i="61"/>
  <c r="O78" i="61"/>
  <c r="N78" i="61"/>
  <c r="M78" i="61"/>
  <c r="L78" i="61"/>
  <c r="K78" i="61"/>
  <c r="J78" i="61"/>
  <c r="I78" i="61"/>
  <c r="H78" i="61"/>
  <c r="G78" i="61"/>
  <c r="F78" i="61"/>
  <c r="E78" i="61"/>
  <c r="B77" i="61"/>
  <c r="B76" i="61"/>
  <c r="B75" i="61"/>
  <c r="P72" i="61"/>
  <c r="P82" i="61" s="1"/>
  <c r="O72" i="61"/>
  <c r="O82" i="61" s="1"/>
  <c r="N72" i="61"/>
  <c r="N82" i="61" s="1"/>
  <c r="M72" i="61"/>
  <c r="M82" i="61" s="1"/>
  <c r="L72" i="61"/>
  <c r="L82" i="61" s="1"/>
  <c r="K72" i="61"/>
  <c r="K82" i="61" s="1"/>
  <c r="J72" i="61"/>
  <c r="J82" i="61" s="1"/>
  <c r="I72" i="61"/>
  <c r="I82" i="61" s="1"/>
  <c r="H72" i="61"/>
  <c r="H82" i="61" s="1"/>
  <c r="G72" i="61"/>
  <c r="G82" i="61" s="1"/>
  <c r="F72" i="61"/>
  <c r="F82" i="61" s="1"/>
  <c r="P71" i="61"/>
  <c r="P81" i="61" s="1"/>
  <c r="O71" i="61"/>
  <c r="O81" i="61" s="1"/>
  <c r="N71" i="61"/>
  <c r="N81" i="61" s="1"/>
  <c r="M71" i="61"/>
  <c r="M81" i="61" s="1"/>
  <c r="L71" i="61"/>
  <c r="L81" i="61" s="1"/>
  <c r="K71" i="61"/>
  <c r="K81" i="61" s="1"/>
  <c r="J71" i="61"/>
  <c r="J81" i="61" s="1"/>
  <c r="I71" i="61"/>
  <c r="I81" i="61" s="1"/>
  <c r="H71" i="61"/>
  <c r="H81" i="61" s="1"/>
  <c r="G71" i="61"/>
  <c r="G81" i="61" s="1"/>
  <c r="F71" i="61"/>
  <c r="P70" i="61"/>
  <c r="P80" i="61" s="1"/>
  <c r="P83" i="61" s="1"/>
  <c r="O70" i="61"/>
  <c r="O73" i="61" s="1"/>
  <c r="N70" i="61"/>
  <c r="N80" i="61" s="1"/>
  <c r="N83" i="61" s="1"/>
  <c r="M70" i="61"/>
  <c r="L70" i="61"/>
  <c r="L80" i="61" s="1"/>
  <c r="L83" i="61" s="1"/>
  <c r="K70" i="61"/>
  <c r="J70" i="61"/>
  <c r="J80" i="61" s="1"/>
  <c r="J83" i="61" s="1"/>
  <c r="I70" i="61"/>
  <c r="H70" i="61"/>
  <c r="H80" i="61" s="1"/>
  <c r="H83" i="61" s="1"/>
  <c r="G70" i="61"/>
  <c r="F70" i="61"/>
  <c r="F80" i="61" s="1"/>
  <c r="G34" i="61"/>
  <c r="H34" i="61" s="1"/>
  <c r="I34" i="61" s="1"/>
  <c r="J34" i="61" s="1"/>
  <c r="K34" i="61" s="1"/>
  <c r="L34" i="61" s="1"/>
  <c r="M34" i="61" s="1"/>
  <c r="N34" i="61" s="1"/>
  <c r="O34" i="61" s="1"/>
  <c r="P34" i="61" s="1"/>
  <c r="D21" i="61"/>
  <c r="B21" i="61"/>
  <c r="C20" i="61"/>
  <c r="C19" i="61"/>
  <c r="C18" i="61"/>
  <c r="B9" i="61"/>
  <c r="B36" i="61" s="1"/>
  <c r="P8" i="61"/>
  <c r="P20" i="61" s="1"/>
  <c r="O8" i="61"/>
  <c r="O20" i="61" s="1"/>
  <c r="N8" i="61"/>
  <c r="N20" i="61" s="1"/>
  <c r="M8" i="61"/>
  <c r="M20" i="61" s="1"/>
  <c r="L8" i="61"/>
  <c r="L20" i="61" s="1"/>
  <c r="K8" i="61"/>
  <c r="K20" i="61" s="1"/>
  <c r="J8" i="61"/>
  <c r="J20" i="61" s="1"/>
  <c r="I8" i="61"/>
  <c r="I20" i="61" s="1"/>
  <c r="H8" i="61"/>
  <c r="H20" i="61" s="1"/>
  <c r="G8" i="61"/>
  <c r="G20" i="61" s="1"/>
  <c r="F8" i="61"/>
  <c r="F20" i="61" s="1"/>
  <c r="P7" i="61"/>
  <c r="P19" i="61" s="1"/>
  <c r="O7" i="61"/>
  <c r="O19" i="61" s="1"/>
  <c r="N7" i="61"/>
  <c r="N19" i="61" s="1"/>
  <c r="M7" i="61"/>
  <c r="M19" i="61" s="1"/>
  <c r="L7" i="61"/>
  <c r="L19" i="61" s="1"/>
  <c r="K7" i="61"/>
  <c r="K19" i="61" s="1"/>
  <c r="J7" i="61"/>
  <c r="J19" i="61" s="1"/>
  <c r="I7" i="61"/>
  <c r="I19" i="61" s="1"/>
  <c r="H7" i="61"/>
  <c r="H19" i="61" s="1"/>
  <c r="G7" i="61"/>
  <c r="G19" i="61" s="1"/>
  <c r="F7" i="61"/>
  <c r="F19" i="61" s="1"/>
  <c r="P6" i="61"/>
  <c r="P18" i="61" s="1"/>
  <c r="O6" i="61"/>
  <c r="O18" i="61" s="1"/>
  <c r="N6" i="61"/>
  <c r="N18" i="61" s="1"/>
  <c r="M6" i="61"/>
  <c r="M18" i="61" s="1"/>
  <c r="L6" i="61"/>
  <c r="L18" i="61" s="1"/>
  <c r="L21" i="61" s="1"/>
  <c r="K6" i="61"/>
  <c r="K18" i="61" s="1"/>
  <c r="J6" i="61"/>
  <c r="J18" i="61" s="1"/>
  <c r="J21" i="61" s="1"/>
  <c r="I6" i="61"/>
  <c r="I18" i="61" s="1"/>
  <c r="H6" i="61"/>
  <c r="H18" i="61" s="1"/>
  <c r="H21" i="61" s="1"/>
  <c r="G6" i="61"/>
  <c r="G18" i="61" s="1"/>
  <c r="F6" i="61"/>
  <c r="F18" i="61" s="1"/>
  <c r="F21" i="61" s="1"/>
  <c r="B25" i="38"/>
  <c r="G46" i="22"/>
  <c r="G47" i="22" s="1"/>
  <c r="L56" i="6"/>
  <c r="P40" i="86" l="1"/>
  <c r="G48" i="22"/>
  <c r="G21" i="61"/>
  <c r="I21" i="61"/>
  <c r="K21" i="61"/>
  <c r="M21" i="61"/>
  <c r="O21" i="61"/>
  <c r="G73" i="61"/>
  <c r="I73" i="61"/>
  <c r="K73" i="61"/>
  <c r="M73" i="61"/>
  <c r="B71" i="61"/>
  <c r="B78" i="61"/>
  <c r="B42" i="61"/>
  <c r="A43" i="61" s="1"/>
  <c r="A44" i="61" s="1"/>
  <c r="B70" i="61"/>
  <c r="N21" i="61"/>
  <c r="P21" i="61"/>
  <c r="E30" i="61"/>
  <c r="E36" i="61" s="1"/>
  <c r="C25" i="38" s="1"/>
  <c r="B82" i="61"/>
  <c r="G9" i="61"/>
  <c r="I9" i="61"/>
  <c r="K9" i="61"/>
  <c r="M9" i="61"/>
  <c r="O9" i="61"/>
  <c r="F73" i="61"/>
  <c r="H73" i="61"/>
  <c r="J73" i="61"/>
  <c r="L73" i="61"/>
  <c r="N73" i="61"/>
  <c r="P73" i="61"/>
  <c r="G80" i="61"/>
  <c r="G83" i="61" s="1"/>
  <c r="I80" i="61"/>
  <c r="I83" i="61" s="1"/>
  <c r="K80" i="61"/>
  <c r="K83" i="61" s="1"/>
  <c r="M80" i="61"/>
  <c r="M83" i="61" s="1"/>
  <c r="O80" i="61"/>
  <c r="O83" i="61" s="1"/>
  <c r="F81" i="61"/>
  <c r="B81" i="61" s="1"/>
  <c r="F9" i="61"/>
  <c r="H9" i="61"/>
  <c r="J9" i="61"/>
  <c r="L9" i="61"/>
  <c r="N9" i="61"/>
  <c r="P9" i="61"/>
  <c r="C21" i="61"/>
  <c r="B72" i="61"/>
  <c r="F99" i="6"/>
  <c r="K54" i="22"/>
  <c r="L54" i="22" s="1"/>
  <c r="M54" i="22" s="1"/>
  <c r="H25" i="22"/>
  <c r="I55" i="22" s="1"/>
  <c r="E22" i="22"/>
  <c r="K55" i="22" l="1"/>
  <c r="E25" i="22"/>
  <c r="J55" i="22"/>
  <c r="B73" i="61"/>
  <c r="F30" i="61"/>
  <c r="F36" i="61" s="1"/>
  <c r="D25" i="38" s="1"/>
  <c r="B80" i="61"/>
  <c r="B83" i="61" s="1"/>
  <c r="E42" i="61"/>
  <c r="D41" i="38"/>
  <c r="E41" i="38" s="1"/>
  <c r="F41" i="38" s="1"/>
  <c r="G41" i="38" s="1"/>
  <c r="H41" i="38" s="1"/>
  <c r="I41" i="38" s="1"/>
  <c r="J41" i="38" s="1"/>
  <c r="K41" i="38" s="1"/>
  <c r="L41" i="38" s="1"/>
  <c r="M41" i="38" s="1"/>
  <c r="N41" i="38" s="1"/>
  <c r="C39" i="4" s="1"/>
  <c r="F83" i="61"/>
  <c r="N54" i="22"/>
  <c r="M55" i="22"/>
  <c r="L55" i="22"/>
  <c r="AF48" i="1" l="1"/>
  <c r="E52" i="22"/>
  <c r="E53" i="22" s="1"/>
  <c r="F42" i="61"/>
  <c r="D64" i="38" s="1"/>
  <c r="E64" i="38" s="1"/>
  <c r="F64" i="38" s="1"/>
  <c r="G64" i="38" s="1"/>
  <c r="H64" i="38" s="1"/>
  <c r="I64" i="38" s="1"/>
  <c r="J64" i="38" s="1"/>
  <c r="K64" i="38" s="1"/>
  <c r="L64" i="38" s="1"/>
  <c r="M64" i="38" s="1"/>
  <c r="N64" i="38" s="1"/>
  <c r="G30" i="61"/>
  <c r="G36" i="61" s="1"/>
  <c r="E25" i="38" s="1"/>
  <c r="O54" i="22"/>
  <c r="N55" i="22"/>
  <c r="D42" i="61" l="1"/>
  <c r="H30" i="61"/>
  <c r="H36" i="61" s="1"/>
  <c r="F25" i="38" s="1"/>
  <c r="G42" i="61"/>
  <c r="P54" i="22"/>
  <c r="O55" i="22"/>
  <c r="D44" i="61" l="1"/>
  <c r="B44" i="61" s="1"/>
  <c r="E43" i="61"/>
  <c r="H42" i="61"/>
  <c r="I30" i="61"/>
  <c r="I36" i="61" s="1"/>
  <c r="G25" i="38" s="1"/>
  <c r="Q54" i="22"/>
  <c r="Q55" i="22" s="1"/>
  <c r="P55" i="22"/>
  <c r="J30" i="61" l="1"/>
  <c r="J36" i="61" s="1"/>
  <c r="H25" i="38" s="1"/>
  <c r="I42" i="61"/>
  <c r="AF49" i="1" l="1"/>
  <c r="J42" i="61"/>
  <c r="K30" i="61"/>
  <c r="K36" i="61" s="1"/>
  <c r="I25" i="38" s="1"/>
  <c r="L30" i="61" l="1"/>
  <c r="L36" i="61" s="1"/>
  <c r="J25" i="38" s="1"/>
  <c r="K42" i="61"/>
  <c r="L42" i="61" l="1"/>
  <c r="M30" i="61"/>
  <c r="M36" i="61" s="1"/>
  <c r="K25" i="38" s="1"/>
  <c r="N30" i="61" l="1"/>
  <c r="N36" i="61" s="1"/>
  <c r="L25" i="38" s="1"/>
  <c r="M42" i="61"/>
  <c r="N42" i="61" l="1"/>
  <c r="O30" i="61"/>
  <c r="O36" i="61" s="1"/>
  <c r="M25" i="38" s="1"/>
  <c r="P30" i="61"/>
  <c r="P36" i="61" l="1"/>
  <c r="N25" i="38" s="1"/>
  <c r="D30" i="61"/>
  <c r="O42" i="61"/>
  <c r="P42" i="61"/>
  <c r="M113" i="6" l="1"/>
  <c r="I113" i="6" l="1"/>
  <c r="L113" i="6"/>
  <c r="D113" i="6"/>
  <c r="K113" i="6"/>
  <c r="G113" i="6"/>
  <c r="J113" i="6"/>
  <c r="F113" i="6"/>
  <c r="E113" i="6"/>
  <c r="H113" i="6"/>
  <c r="N113" i="6" l="1"/>
  <c r="C6" i="55" l="1"/>
  <c r="D2" i="48" l="1"/>
  <c r="D3" i="48"/>
  <c r="D4" i="48"/>
  <c r="D5" i="48"/>
  <c r="D6" i="48"/>
  <c r="D7" i="48"/>
  <c r="D8" i="48"/>
  <c r="D9" i="48"/>
  <c r="D10" i="48"/>
  <c r="D11" i="48"/>
  <c r="D12" i="48"/>
  <c r="D13" i="48"/>
  <c r="D14" i="48"/>
  <c r="D15" i="48"/>
  <c r="D16" i="48"/>
  <c r="D17" i="48"/>
  <c r="D18" i="48"/>
  <c r="D19" i="48"/>
  <c r="D20" i="48"/>
  <c r="D21" i="48"/>
  <c r="D22" i="48"/>
  <c r="D23" i="48"/>
  <c r="D24" i="48"/>
  <c r="D25" i="48"/>
  <c r="D26" i="48"/>
  <c r="D27" i="48"/>
  <c r="D28" i="48"/>
  <c r="D29" i="48"/>
  <c r="D30" i="48"/>
  <c r="D31" i="48"/>
  <c r="D32" i="48"/>
  <c r="D33" i="48"/>
  <c r="D34" i="48"/>
  <c r="D35" i="48"/>
  <c r="D36" i="48"/>
  <c r="D37" i="48"/>
  <c r="D38" i="48"/>
  <c r="D39" i="48"/>
  <c r="D40" i="48"/>
  <c r="D41" i="48"/>
  <c r="D42" i="48"/>
  <c r="D43" i="48"/>
  <c r="D44" i="48"/>
  <c r="D45" i="48"/>
  <c r="D46" i="48"/>
  <c r="D47" i="48"/>
  <c r="D48" i="48"/>
  <c r="D49" i="48"/>
  <c r="D50" i="48"/>
  <c r="D51" i="48"/>
  <c r="D52" i="48"/>
  <c r="D53" i="48"/>
  <c r="D54" i="48"/>
  <c r="D55" i="48"/>
  <c r="D56" i="48"/>
  <c r="D57" i="48"/>
  <c r="D58" i="48"/>
  <c r="D59" i="48"/>
  <c r="D60" i="48"/>
  <c r="D61" i="48"/>
  <c r="D62" i="48"/>
  <c r="D63" i="48"/>
  <c r="D64" i="48"/>
  <c r="D65" i="48"/>
  <c r="D66" i="48"/>
  <c r="D67" i="48"/>
  <c r="D68" i="48"/>
  <c r="D69" i="48"/>
  <c r="D70" i="48"/>
  <c r="D71" i="48"/>
  <c r="D72" i="48"/>
  <c r="D73" i="48"/>
  <c r="D74" i="48"/>
  <c r="D75" i="48"/>
  <c r="D76" i="48"/>
  <c r="D77" i="48"/>
  <c r="D78" i="48"/>
  <c r="D79" i="48"/>
  <c r="D80" i="48"/>
  <c r="D81" i="48"/>
  <c r="D82" i="48"/>
  <c r="D83" i="48"/>
  <c r="D84" i="48"/>
  <c r="D85" i="48"/>
  <c r="D86" i="48"/>
  <c r="D87" i="48"/>
  <c r="D88" i="48"/>
  <c r="D89" i="48"/>
  <c r="D90" i="48"/>
  <c r="D91" i="48"/>
  <c r="D92" i="48"/>
  <c r="D93" i="48"/>
  <c r="D94" i="48"/>
  <c r="D95" i="48"/>
  <c r="D96" i="48"/>
  <c r="D97" i="48"/>
  <c r="D98" i="48"/>
  <c r="D99" i="48"/>
  <c r="D100" i="48"/>
  <c r="D101" i="48"/>
  <c r="D102" i="48"/>
  <c r="D103" i="48"/>
  <c r="D104" i="48"/>
  <c r="D105" i="48"/>
  <c r="D106" i="48"/>
  <c r="D107" i="48"/>
  <c r="D108" i="48"/>
  <c r="D109" i="48"/>
  <c r="D110" i="48"/>
  <c r="D111" i="48"/>
  <c r="D112" i="48"/>
  <c r="D113" i="48"/>
  <c r="D114" i="48"/>
  <c r="D115" i="48"/>
  <c r="D116" i="48"/>
  <c r="D117" i="48"/>
  <c r="D118" i="48"/>
  <c r="D119" i="48"/>
  <c r="D120" i="48"/>
  <c r="D121" i="48"/>
  <c r="D122" i="48"/>
  <c r="D123" i="48"/>
  <c r="D124" i="48"/>
  <c r="D125" i="48"/>
  <c r="D126" i="48"/>
  <c r="D127" i="48"/>
  <c r="D128" i="48"/>
  <c r="D129" i="48"/>
  <c r="D130" i="48"/>
  <c r="D131" i="48"/>
  <c r="D132" i="48"/>
  <c r="D133" i="48"/>
  <c r="D134" i="48"/>
  <c r="D135" i="48"/>
  <c r="D136" i="48"/>
  <c r="D137" i="48"/>
  <c r="D138" i="48"/>
  <c r="D139" i="48"/>
  <c r="D140" i="48"/>
  <c r="D141" i="48"/>
  <c r="D142" i="48"/>
  <c r="D143" i="48"/>
  <c r="D144" i="48"/>
  <c r="D145" i="48"/>
  <c r="D146" i="48"/>
  <c r="D147" i="48"/>
  <c r="D148" i="48"/>
  <c r="D149" i="48"/>
  <c r="D150" i="48"/>
  <c r="D151" i="48"/>
  <c r="D152" i="48"/>
  <c r="D153" i="48"/>
  <c r="D154" i="48"/>
  <c r="D155" i="48"/>
  <c r="D156" i="48"/>
  <c r="D157" i="48"/>
  <c r="D158" i="48"/>
  <c r="D159" i="48"/>
  <c r="D160" i="48"/>
  <c r="D161" i="48"/>
  <c r="D162" i="48"/>
  <c r="D163" i="48"/>
  <c r="D164" i="48"/>
  <c r="D165" i="48"/>
  <c r="D166" i="48"/>
  <c r="D167" i="48"/>
  <c r="D168" i="48"/>
  <c r="D169" i="48"/>
  <c r="D170" i="48"/>
  <c r="D171" i="48"/>
  <c r="D172" i="48"/>
  <c r="D173" i="48"/>
  <c r="D174" i="48"/>
  <c r="D175" i="48"/>
  <c r="D176" i="48"/>
  <c r="D177" i="48"/>
  <c r="D178" i="48"/>
  <c r="D179" i="48"/>
  <c r="D180" i="48"/>
  <c r="D181" i="48"/>
  <c r="D182" i="48"/>
  <c r="D183" i="48"/>
  <c r="D184" i="48"/>
  <c r="D185" i="48"/>
  <c r="D186" i="48"/>
  <c r="D187" i="48"/>
  <c r="D188" i="48"/>
  <c r="D189" i="48"/>
  <c r="D190" i="48"/>
  <c r="D191" i="48"/>
  <c r="D192" i="48"/>
  <c r="D193" i="48"/>
  <c r="D194" i="48"/>
  <c r="D195" i="48"/>
  <c r="D196" i="48"/>
  <c r="D197" i="48"/>
  <c r="D198" i="48"/>
  <c r="D199" i="48"/>
  <c r="D200" i="48"/>
  <c r="D201" i="48"/>
  <c r="D202" i="48"/>
  <c r="D203" i="48"/>
  <c r="D204" i="48"/>
  <c r="D205" i="48"/>
  <c r="D206" i="48"/>
  <c r="D207" i="48"/>
  <c r="D208" i="48"/>
  <c r="D209" i="48"/>
  <c r="D210" i="48"/>
  <c r="D211" i="48"/>
  <c r="D212" i="48"/>
  <c r="D213" i="48"/>
  <c r="D214" i="48"/>
  <c r="D215" i="48"/>
  <c r="D216" i="48"/>
  <c r="D217" i="48"/>
  <c r="D218" i="48"/>
  <c r="D219" i="48"/>
  <c r="D220" i="48"/>
  <c r="D221" i="48"/>
  <c r="D222" i="48"/>
  <c r="D223" i="48"/>
  <c r="D224" i="48"/>
  <c r="D225" i="48"/>
  <c r="D226" i="48"/>
  <c r="D227" i="48"/>
  <c r="D228" i="48"/>
  <c r="D229" i="48"/>
  <c r="D230" i="48"/>
  <c r="D231" i="48"/>
  <c r="D232" i="48"/>
  <c r="D233" i="48"/>
  <c r="D234" i="48"/>
  <c r="D235" i="48"/>
  <c r="D236" i="48"/>
  <c r="D237" i="48"/>
  <c r="D238" i="48"/>
  <c r="D239" i="48"/>
  <c r="D240" i="48"/>
  <c r="D241" i="48"/>
  <c r="D242" i="48"/>
  <c r="D243" i="48"/>
  <c r="D244" i="48"/>
  <c r="D245" i="48"/>
  <c r="D246" i="48"/>
  <c r="D247" i="48"/>
  <c r="D248" i="48"/>
  <c r="D249" i="48"/>
  <c r="D250" i="48"/>
  <c r="D251" i="48"/>
  <c r="D252" i="48"/>
  <c r="D253" i="48"/>
  <c r="D254" i="48"/>
  <c r="D255" i="48"/>
  <c r="D256" i="48"/>
  <c r="D257" i="48"/>
  <c r="D258" i="48"/>
  <c r="D259" i="48"/>
  <c r="D260" i="48"/>
  <c r="D261" i="48"/>
  <c r="D262" i="48"/>
  <c r="D263" i="48"/>
  <c r="D264" i="48"/>
  <c r="D265" i="48"/>
  <c r="D266" i="48"/>
  <c r="D267" i="48"/>
  <c r="D268" i="48"/>
  <c r="D269" i="48"/>
  <c r="D270" i="48"/>
  <c r="D271" i="48"/>
  <c r="D272" i="48"/>
  <c r="D273" i="48"/>
  <c r="D274" i="48"/>
  <c r="D275" i="48"/>
  <c r="D276" i="48"/>
  <c r="D277" i="48"/>
  <c r="D278" i="48"/>
  <c r="D279" i="48"/>
  <c r="D280" i="48"/>
  <c r="D281" i="48"/>
  <c r="D282" i="48"/>
  <c r="D283" i="48"/>
  <c r="D284" i="48"/>
  <c r="D285" i="48"/>
  <c r="D286" i="48"/>
  <c r="D287" i="48"/>
  <c r="D288" i="48"/>
  <c r="D289" i="48"/>
  <c r="D290" i="48"/>
  <c r="D291" i="48"/>
  <c r="D292" i="48"/>
  <c r="D293" i="48"/>
  <c r="D294" i="48"/>
  <c r="D295" i="48"/>
  <c r="D296" i="48"/>
  <c r="D297" i="48"/>
  <c r="D298" i="48"/>
  <c r="D299" i="48"/>
  <c r="D300" i="48"/>
  <c r="D301" i="48"/>
  <c r="D302" i="48"/>
  <c r="D303" i="48"/>
  <c r="D304" i="48"/>
  <c r="D305" i="48"/>
  <c r="D306" i="48"/>
  <c r="D307" i="48"/>
  <c r="D308" i="48"/>
  <c r="D309" i="48"/>
  <c r="D310" i="48"/>
  <c r="D311" i="48"/>
  <c r="D312" i="48"/>
  <c r="D313" i="48"/>
  <c r="D314" i="48"/>
  <c r="D315" i="48"/>
  <c r="D316" i="48"/>
  <c r="D317" i="48"/>
  <c r="D318" i="48"/>
  <c r="D319" i="48"/>
  <c r="D320" i="48"/>
  <c r="D321" i="48"/>
  <c r="D322" i="48"/>
  <c r="D323" i="48"/>
  <c r="D324" i="48"/>
  <c r="D325" i="48"/>
  <c r="D326" i="48"/>
  <c r="D327" i="48"/>
  <c r="D328" i="48"/>
  <c r="D329" i="48"/>
  <c r="D330" i="48"/>
  <c r="D331" i="48"/>
  <c r="D332" i="48"/>
  <c r="D333" i="48"/>
  <c r="D334" i="48"/>
  <c r="D335" i="48"/>
  <c r="D336" i="48"/>
  <c r="D337" i="48"/>
  <c r="D338" i="48"/>
  <c r="D339" i="48"/>
  <c r="D340" i="48"/>
  <c r="D341" i="48"/>
  <c r="D342" i="48"/>
  <c r="D343" i="48"/>
  <c r="D344" i="48"/>
  <c r="D345" i="48"/>
  <c r="D346" i="48"/>
  <c r="D347" i="48"/>
  <c r="D348" i="48"/>
  <c r="D349" i="48"/>
  <c r="D350" i="48"/>
  <c r="D351" i="48"/>
  <c r="D352" i="48"/>
  <c r="D353" i="48"/>
  <c r="D354" i="48"/>
  <c r="D355" i="48"/>
  <c r="D356" i="48"/>
  <c r="D357" i="48"/>
  <c r="D358" i="48"/>
  <c r="D359" i="48"/>
  <c r="D360" i="48"/>
  <c r="D361" i="48"/>
  <c r="D362" i="48"/>
  <c r="D363" i="48"/>
  <c r="D364" i="48"/>
  <c r="D365" i="48"/>
  <c r="D366" i="48"/>
  <c r="D367" i="48"/>
  <c r="D368" i="48"/>
  <c r="D369" i="48"/>
  <c r="D370" i="48"/>
  <c r="D371" i="48"/>
  <c r="D372" i="48"/>
  <c r="D373" i="48"/>
  <c r="D374" i="48"/>
  <c r="D375" i="48"/>
  <c r="D376" i="48"/>
  <c r="D377" i="48"/>
  <c r="D378" i="48"/>
  <c r="D379" i="48"/>
  <c r="D380" i="48"/>
  <c r="D381" i="48"/>
  <c r="D382" i="48"/>
  <c r="D383" i="48"/>
  <c r="D384" i="48"/>
  <c r="D385" i="48"/>
  <c r="D386" i="48"/>
  <c r="D387" i="48"/>
  <c r="D388" i="48"/>
  <c r="D389" i="48"/>
  <c r="D390" i="48"/>
  <c r="D391" i="48"/>
  <c r="D392" i="48"/>
  <c r="D393" i="48"/>
  <c r="D394" i="48"/>
  <c r="D395" i="48"/>
  <c r="D396" i="48"/>
  <c r="D397" i="48"/>
  <c r="D398" i="48"/>
  <c r="D399" i="48"/>
  <c r="D400" i="48"/>
  <c r="D401" i="48"/>
  <c r="D402" i="48"/>
  <c r="D403" i="48"/>
  <c r="D404" i="48"/>
  <c r="D405" i="48"/>
  <c r="D406" i="48"/>
  <c r="D407" i="48"/>
  <c r="D408" i="48"/>
  <c r="D409" i="48"/>
  <c r="D410" i="48"/>
  <c r="D411" i="48"/>
  <c r="D412" i="48"/>
  <c r="D413" i="48"/>
  <c r="D414" i="48"/>
  <c r="D415" i="48"/>
  <c r="D416" i="48"/>
  <c r="D417" i="48"/>
  <c r="D418" i="48"/>
  <c r="D419" i="48"/>
  <c r="D420" i="48"/>
  <c r="D421" i="48"/>
  <c r="D422" i="48"/>
  <c r="D423" i="48"/>
  <c r="D424" i="48"/>
  <c r="D425" i="48"/>
  <c r="D426" i="48"/>
  <c r="D427" i="48"/>
  <c r="D428" i="48"/>
  <c r="D429" i="48"/>
  <c r="D430" i="48"/>
  <c r="D431" i="48"/>
  <c r="D432" i="48"/>
  <c r="D433" i="48"/>
  <c r="D434" i="48"/>
  <c r="D435" i="48"/>
  <c r="D436" i="48"/>
  <c r="D437" i="48"/>
  <c r="D438" i="48"/>
  <c r="D439" i="48"/>
  <c r="D440" i="48"/>
  <c r="D441" i="48"/>
  <c r="D442" i="48"/>
  <c r="D443" i="48"/>
  <c r="D444" i="48"/>
  <c r="D445" i="48"/>
  <c r="D446" i="48"/>
  <c r="D447" i="48"/>
  <c r="D448" i="48"/>
  <c r="D449" i="48"/>
  <c r="D450" i="48"/>
  <c r="D451" i="48"/>
  <c r="D452" i="48"/>
  <c r="D453" i="48"/>
  <c r="D454" i="48"/>
  <c r="D455" i="48"/>
  <c r="D456" i="48"/>
  <c r="D457" i="48"/>
  <c r="D458" i="48"/>
  <c r="D459" i="48"/>
  <c r="D460" i="48"/>
  <c r="D461" i="48"/>
  <c r="D462" i="48"/>
  <c r="D463" i="48"/>
  <c r="D464" i="48"/>
  <c r="D465" i="48"/>
  <c r="D466" i="48"/>
  <c r="D467" i="48"/>
  <c r="D468" i="48"/>
  <c r="D469" i="48"/>
  <c r="D470" i="48"/>
  <c r="D471" i="48"/>
  <c r="D472" i="48"/>
  <c r="D473" i="48"/>
  <c r="D474" i="48"/>
  <c r="D475" i="48"/>
  <c r="D476" i="48"/>
  <c r="D477" i="48"/>
  <c r="D478" i="48"/>
  <c r="D479" i="48"/>
  <c r="D480" i="48"/>
  <c r="D481" i="48"/>
  <c r="D482" i="48"/>
  <c r="D483" i="48"/>
  <c r="D484" i="48"/>
  <c r="D485" i="48"/>
  <c r="D486" i="48"/>
  <c r="D487" i="48"/>
  <c r="D488" i="48"/>
  <c r="D489" i="48"/>
  <c r="D490" i="48"/>
  <c r="D491" i="48"/>
  <c r="D492" i="48"/>
  <c r="D493" i="48"/>
  <c r="D494" i="48"/>
  <c r="D495" i="48"/>
  <c r="D496" i="48"/>
  <c r="D497" i="48"/>
  <c r="D498" i="48"/>
  <c r="D499" i="48"/>
  <c r="D500" i="48"/>
  <c r="D501" i="48"/>
  <c r="D502" i="48"/>
  <c r="D503" i="48"/>
  <c r="D504" i="48"/>
  <c r="D505" i="48"/>
  <c r="D506" i="48"/>
  <c r="D507" i="48"/>
  <c r="D508" i="48"/>
  <c r="D509" i="48"/>
  <c r="D510" i="48"/>
  <c r="D511" i="48"/>
  <c r="D512" i="48"/>
  <c r="D513" i="48"/>
  <c r="D514" i="48"/>
  <c r="D515" i="48"/>
  <c r="D516" i="48"/>
  <c r="D517" i="48"/>
  <c r="D518" i="48"/>
  <c r="D519" i="48"/>
  <c r="D520" i="48"/>
  <c r="D521" i="48"/>
  <c r="D522" i="48"/>
  <c r="D523" i="48"/>
  <c r="D524" i="48"/>
  <c r="D525" i="48"/>
  <c r="D526" i="48"/>
  <c r="D527" i="48"/>
  <c r="D528" i="48"/>
  <c r="D529" i="48"/>
  <c r="D530" i="48"/>
  <c r="D531" i="48"/>
  <c r="D532" i="48"/>
  <c r="D533" i="48"/>
  <c r="D534" i="48"/>
  <c r="D535" i="48"/>
  <c r="D536" i="48"/>
  <c r="D537" i="48"/>
  <c r="D538" i="48"/>
  <c r="D539" i="48"/>
  <c r="D540" i="48"/>
  <c r="D541" i="48"/>
  <c r="D542" i="48"/>
  <c r="D543" i="48"/>
  <c r="D544" i="48"/>
  <c r="D545" i="48"/>
  <c r="D546" i="48"/>
  <c r="D547" i="48"/>
  <c r="D548" i="48"/>
  <c r="D549" i="48"/>
  <c r="D550" i="48"/>
  <c r="D551" i="48"/>
  <c r="D552" i="48"/>
  <c r="D553" i="48"/>
  <c r="D554" i="48"/>
  <c r="D555" i="48"/>
  <c r="D556" i="48"/>
  <c r="D557" i="48"/>
  <c r="D558" i="48"/>
  <c r="D559" i="48"/>
  <c r="D560" i="48"/>
  <c r="D561" i="48"/>
  <c r="D562" i="48"/>
  <c r="D563" i="48"/>
  <c r="D564" i="48"/>
  <c r="D565" i="48"/>
  <c r="D566" i="48"/>
  <c r="D567" i="48"/>
  <c r="D568" i="48"/>
  <c r="D569" i="48"/>
  <c r="D570" i="48"/>
  <c r="D571" i="48"/>
  <c r="D572" i="48"/>
  <c r="D573" i="48"/>
  <c r="D574" i="48"/>
  <c r="D575" i="48"/>
  <c r="D576" i="48"/>
  <c r="D577" i="48"/>
  <c r="D578" i="48"/>
  <c r="D579" i="48"/>
  <c r="D580" i="48"/>
  <c r="D581" i="48"/>
  <c r="D582" i="48"/>
  <c r="D583" i="48"/>
  <c r="D584" i="48"/>
  <c r="D585" i="48"/>
  <c r="D586" i="48"/>
  <c r="D587" i="48"/>
  <c r="D588" i="48"/>
  <c r="D589" i="48"/>
  <c r="D590" i="48"/>
  <c r="D591" i="48"/>
  <c r="D592" i="48"/>
  <c r="D593" i="48"/>
  <c r="D594" i="48"/>
  <c r="D595" i="48"/>
  <c r="D596" i="48"/>
  <c r="D597" i="48"/>
  <c r="D598" i="48"/>
  <c r="D599" i="48"/>
  <c r="D600" i="48"/>
  <c r="D601" i="48"/>
  <c r="D602" i="48"/>
  <c r="D603" i="48"/>
  <c r="D604" i="48"/>
  <c r="D605" i="48"/>
  <c r="D606" i="48"/>
  <c r="D607" i="48"/>
  <c r="D608" i="48"/>
  <c r="D609" i="48"/>
  <c r="D610" i="48"/>
  <c r="D611" i="48"/>
  <c r="D612" i="48"/>
  <c r="D613" i="48"/>
  <c r="D614" i="48"/>
  <c r="D615" i="48"/>
  <c r="D616" i="48"/>
  <c r="D617" i="48"/>
  <c r="D618" i="48"/>
  <c r="D619" i="48"/>
  <c r="D620" i="48"/>
  <c r="D621" i="48"/>
  <c r="D622" i="48"/>
  <c r="D623" i="48"/>
  <c r="D624" i="48"/>
  <c r="D625" i="48"/>
  <c r="D626" i="48"/>
  <c r="D627" i="48"/>
  <c r="D628" i="48"/>
  <c r="D629" i="48"/>
  <c r="D630" i="48"/>
  <c r="D631" i="48"/>
  <c r="D632" i="48"/>
  <c r="D633" i="48"/>
  <c r="D634" i="48"/>
  <c r="D635" i="48"/>
  <c r="D636" i="48"/>
  <c r="D637" i="48"/>
  <c r="D638" i="48"/>
  <c r="D639" i="48"/>
  <c r="D640" i="48"/>
  <c r="D641" i="48"/>
  <c r="D642" i="48"/>
  <c r="D643" i="48"/>
  <c r="D644" i="48"/>
  <c r="D645" i="48"/>
  <c r="D646" i="48"/>
  <c r="D647" i="48"/>
  <c r="D648" i="48"/>
  <c r="D649" i="48"/>
  <c r="D650" i="48"/>
  <c r="D651" i="48"/>
  <c r="D652" i="48"/>
  <c r="D653" i="48"/>
  <c r="D654" i="48"/>
  <c r="D655" i="48"/>
  <c r="D656" i="48"/>
  <c r="D657" i="48"/>
  <c r="D658" i="48"/>
  <c r="D659" i="48"/>
  <c r="D660" i="48"/>
  <c r="D661" i="48"/>
  <c r="D662" i="48"/>
  <c r="D663" i="48"/>
  <c r="D664" i="48"/>
  <c r="D665" i="48"/>
  <c r="D666" i="48"/>
  <c r="D667" i="48"/>
  <c r="D668" i="48"/>
  <c r="D669" i="48"/>
  <c r="D670" i="48"/>
  <c r="D671" i="48"/>
  <c r="D672" i="48"/>
  <c r="D673" i="48"/>
  <c r="D674" i="48"/>
  <c r="D675" i="48"/>
  <c r="D676" i="48"/>
  <c r="D677" i="48"/>
  <c r="D678" i="48"/>
  <c r="D679" i="48"/>
  <c r="D680" i="48"/>
  <c r="D681" i="48"/>
  <c r="D682" i="48"/>
  <c r="D683" i="48"/>
  <c r="D684" i="48"/>
  <c r="D685" i="48"/>
  <c r="D686" i="48"/>
  <c r="D687" i="48"/>
  <c r="D688" i="48"/>
  <c r="D689" i="48"/>
  <c r="D690" i="48"/>
  <c r="D691" i="48"/>
  <c r="D692" i="48"/>
  <c r="D693" i="48"/>
  <c r="D694" i="48"/>
  <c r="D695" i="48"/>
  <c r="D696" i="48"/>
  <c r="D697" i="48"/>
  <c r="D698" i="48"/>
  <c r="D699" i="48"/>
  <c r="D700" i="48"/>
  <c r="D701" i="48"/>
  <c r="D702" i="48"/>
  <c r="D703" i="48"/>
  <c r="D704" i="48"/>
  <c r="D705" i="48"/>
  <c r="D706" i="48"/>
  <c r="D707" i="48"/>
  <c r="D708" i="48"/>
  <c r="D709" i="48"/>
  <c r="D710" i="48"/>
  <c r="D711" i="48"/>
  <c r="D712" i="48"/>
  <c r="D713" i="48"/>
  <c r="D714" i="48"/>
  <c r="D715" i="48"/>
  <c r="D716" i="48"/>
  <c r="D717" i="48"/>
  <c r="D718" i="48"/>
  <c r="D719" i="48"/>
  <c r="D720" i="48"/>
  <c r="D721" i="48"/>
  <c r="D722" i="48"/>
  <c r="D723" i="48"/>
  <c r="D724" i="48"/>
  <c r="D725" i="48"/>
  <c r="D726" i="48"/>
  <c r="D727" i="48"/>
  <c r="D728" i="48"/>
  <c r="D729" i="48"/>
  <c r="D730" i="48"/>
  <c r="D731" i="48"/>
  <c r="D732" i="48"/>
  <c r="D733" i="48"/>
  <c r="D734" i="48"/>
  <c r="D735" i="48"/>
  <c r="D736" i="48"/>
  <c r="D737" i="48"/>
  <c r="D738" i="48"/>
  <c r="D739" i="48"/>
  <c r="D740" i="48"/>
  <c r="D741" i="48"/>
  <c r="D742" i="48"/>
  <c r="D743" i="48"/>
  <c r="D744" i="48"/>
  <c r="D745" i="48"/>
  <c r="D746" i="48"/>
  <c r="D747" i="48"/>
  <c r="D748" i="48"/>
  <c r="D749" i="48"/>
  <c r="D750" i="48"/>
  <c r="D751" i="48"/>
  <c r="D752" i="48"/>
  <c r="D753" i="48"/>
  <c r="D754" i="48"/>
  <c r="D755" i="48"/>
  <c r="D756" i="48"/>
  <c r="D757" i="48"/>
  <c r="D758" i="48"/>
  <c r="D759" i="48"/>
  <c r="D760" i="48"/>
  <c r="D761" i="48"/>
  <c r="D762" i="48"/>
  <c r="D763" i="48"/>
  <c r="D764" i="48"/>
  <c r="D765" i="48"/>
  <c r="D766" i="48"/>
  <c r="D767" i="48"/>
  <c r="D768" i="48"/>
  <c r="D769" i="48"/>
  <c r="D770" i="48"/>
  <c r="D771" i="48"/>
  <c r="D772" i="48"/>
  <c r="D773" i="48"/>
  <c r="D774" i="48"/>
  <c r="D775" i="48"/>
  <c r="D776" i="48"/>
  <c r="D777" i="48"/>
  <c r="D778" i="48"/>
  <c r="D779" i="48"/>
  <c r="D780" i="48"/>
  <c r="D781" i="48"/>
  <c r="D782" i="48"/>
  <c r="D783" i="48"/>
  <c r="D784" i="48"/>
  <c r="D785" i="48"/>
  <c r="D786" i="48"/>
  <c r="D787" i="48"/>
  <c r="D788" i="48"/>
  <c r="D789" i="48"/>
  <c r="D790" i="48"/>
  <c r="D791" i="48"/>
  <c r="D792" i="48"/>
  <c r="D793" i="48"/>
  <c r="D794" i="48"/>
  <c r="D795" i="48"/>
  <c r="D796" i="48"/>
  <c r="D797" i="48"/>
  <c r="D798" i="48"/>
  <c r="D799" i="48"/>
  <c r="D800" i="48"/>
  <c r="D801" i="48"/>
  <c r="D802" i="48"/>
  <c r="D803" i="48"/>
  <c r="D804" i="48"/>
  <c r="D805" i="48"/>
  <c r="D806" i="48"/>
  <c r="D807" i="48"/>
  <c r="D808" i="48"/>
  <c r="D809" i="48"/>
  <c r="D810" i="48"/>
  <c r="D811" i="48"/>
  <c r="D812" i="48"/>
  <c r="D813" i="48"/>
  <c r="D814" i="48"/>
  <c r="D815" i="48"/>
  <c r="D816" i="48"/>
  <c r="D817" i="48"/>
  <c r="D818" i="48"/>
  <c r="D819" i="48"/>
  <c r="D820" i="48"/>
  <c r="D821" i="48"/>
  <c r="D822" i="48"/>
  <c r="D823" i="48"/>
  <c r="D824" i="48"/>
  <c r="D825" i="48"/>
  <c r="D826" i="48"/>
  <c r="D827" i="48"/>
  <c r="D828" i="48"/>
  <c r="D829" i="48"/>
  <c r="D830" i="48"/>
  <c r="D831" i="48"/>
  <c r="D832" i="48"/>
  <c r="D833" i="48"/>
  <c r="D834" i="48"/>
  <c r="D835" i="48"/>
  <c r="D836" i="48"/>
  <c r="D837" i="48"/>
  <c r="D838" i="48"/>
  <c r="D839" i="48"/>
  <c r="D840" i="48"/>
  <c r="D841" i="48"/>
  <c r="D842" i="48"/>
  <c r="D843" i="48"/>
  <c r="D844" i="48"/>
  <c r="D845" i="48"/>
  <c r="D846" i="48"/>
  <c r="D847" i="48"/>
  <c r="D848" i="48"/>
  <c r="D849" i="48"/>
  <c r="D850" i="48"/>
  <c r="D851" i="48"/>
  <c r="D852" i="48"/>
  <c r="D853" i="48"/>
  <c r="D854" i="48"/>
  <c r="D855" i="48"/>
  <c r="D856" i="48"/>
  <c r="D857" i="48"/>
  <c r="D858" i="48"/>
  <c r="D859" i="48"/>
  <c r="D860" i="48"/>
  <c r="D861" i="48"/>
  <c r="D862" i="48"/>
  <c r="D863" i="48"/>
  <c r="D864" i="48"/>
  <c r="D865" i="48"/>
  <c r="D866" i="48"/>
  <c r="D867" i="48"/>
  <c r="D868" i="48"/>
  <c r="D869" i="48"/>
  <c r="D870" i="48"/>
  <c r="D871" i="48"/>
  <c r="D872" i="48"/>
  <c r="D873" i="48"/>
  <c r="D874" i="48"/>
  <c r="D875" i="48"/>
  <c r="D876" i="48"/>
  <c r="D877" i="48"/>
  <c r="D878" i="48"/>
  <c r="D879" i="48"/>
  <c r="D880" i="48"/>
  <c r="D881" i="48"/>
  <c r="D882" i="48"/>
  <c r="D883" i="48"/>
  <c r="D884" i="48"/>
  <c r="D885" i="48"/>
  <c r="D886" i="48"/>
  <c r="D887" i="48"/>
  <c r="D888" i="48"/>
  <c r="D889" i="48"/>
  <c r="D890" i="48"/>
  <c r="D891" i="48"/>
  <c r="D892" i="48"/>
  <c r="D893" i="48"/>
  <c r="D894" i="48"/>
  <c r="D895" i="48"/>
  <c r="D896" i="48"/>
  <c r="D897" i="48"/>
  <c r="D898" i="48"/>
  <c r="D899" i="48"/>
  <c r="D900" i="48"/>
  <c r="D901" i="48"/>
  <c r="D902" i="48"/>
  <c r="D903" i="48"/>
  <c r="D904" i="48"/>
  <c r="D905" i="48"/>
  <c r="D906" i="48"/>
  <c r="D907" i="48"/>
  <c r="D908" i="48"/>
  <c r="D909" i="48"/>
  <c r="D910" i="48"/>
  <c r="D911" i="48"/>
  <c r="D912" i="48"/>
  <c r="D913" i="48"/>
  <c r="D914" i="48"/>
  <c r="D915" i="48"/>
  <c r="D916" i="48"/>
  <c r="D917" i="48"/>
  <c r="D918" i="48"/>
  <c r="D919" i="48"/>
  <c r="D920" i="48"/>
  <c r="D921" i="48"/>
  <c r="D922" i="48"/>
  <c r="D923" i="48"/>
  <c r="D924" i="48"/>
  <c r="D925" i="48"/>
  <c r="D926" i="48"/>
  <c r="D927" i="48"/>
  <c r="D928" i="48"/>
  <c r="D929" i="48"/>
  <c r="D930" i="48"/>
  <c r="D931" i="48"/>
  <c r="D932" i="48"/>
  <c r="D933" i="48"/>
  <c r="D934" i="48"/>
  <c r="D935" i="48"/>
  <c r="D936" i="48"/>
  <c r="D937" i="48"/>
  <c r="D938" i="48"/>
  <c r="D939" i="48"/>
  <c r="D940" i="48"/>
  <c r="D941" i="48"/>
  <c r="D942" i="48"/>
  <c r="D943" i="48"/>
  <c r="D944" i="48"/>
  <c r="D945" i="48"/>
  <c r="D946" i="48"/>
  <c r="D947" i="48"/>
  <c r="D948" i="48"/>
  <c r="D949" i="48"/>
  <c r="D950" i="48"/>
  <c r="D951" i="48"/>
  <c r="D952" i="48"/>
  <c r="D953" i="48"/>
  <c r="D954" i="48"/>
  <c r="D955" i="48"/>
  <c r="D956" i="48"/>
  <c r="D957" i="48"/>
  <c r="D958" i="48"/>
  <c r="D959" i="48"/>
  <c r="D960" i="48"/>
  <c r="D961" i="48"/>
  <c r="D962" i="48"/>
  <c r="D963" i="48"/>
  <c r="D964" i="48"/>
  <c r="D965" i="48"/>
  <c r="D966" i="48"/>
  <c r="D967" i="48"/>
  <c r="D968" i="48"/>
  <c r="D969" i="48"/>
  <c r="D970" i="48"/>
  <c r="D971" i="48"/>
  <c r="D972" i="48"/>
  <c r="D973" i="48"/>
  <c r="D974" i="48"/>
  <c r="D975" i="48"/>
  <c r="D976" i="48"/>
  <c r="D977" i="48"/>
  <c r="D978" i="48"/>
  <c r="D979" i="48"/>
  <c r="D980" i="48"/>
  <c r="D981" i="48"/>
  <c r="D982" i="48"/>
  <c r="D983" i="48"/>
  <c r="D984" i="48"/>
  <c r="D985" i="48"/>
  <c r="D986" i="48"/>
  <c r="D987" i="48"/>
  <c r="D988" i="48"/>
  <c r="D989" i="48"/>
  <c r="D990" i="48"/>
  <c r="D991" i="48"/>
  <c r="D992" i="48"/>
  <c r="D993" i="48"/>
  <c r="D994" i="48"/>
  <c r="D995" i="48"/>
  <c r="D996" i="48"/>
  <c r="D997" i="48"/>
  <c r="D998" i="48"/>
  <c r="D999" i="48"/>
  <c r="D1000" i="48"/>
  <c r="D1001" i="48"/>
  <c r="D1002" i="48"/>
  <c r="D1003" i="48"/>
  <c r="D1004" i="48"/>
  <c r="D1005" i="48"/>
  <c r="D1006" i="48"/>
  <c r="D1007" i="48"/>
  <c r="D1008" i="48"/>
  <c r="D1009" i="48"/>
  <c r="D1010" i="48"/>
  <c r="D1011" i="48"/>
  <c r="D1012" i="48"/>
  <c r="D1013" i="48"/>
  <c r="D1014" i="48"/>
  <c r="D1015" i="48"/>
  <c r="D1016" i="48"/>
  <c r="D1017" i="48"/>
  <c r="D1018" i="48"/>
  <c r="D1019" i="48"/>
  <c r="D1020" i="48"/>
  <c r="D1021" i="48"/>
  <c r="D1022" i="48"/>
  <c r="D1023" i="48"/>
  <c r="D1024" i="48"/>
  <c r="D1025" i="48"/>
  <c r="D1026" i="48"/>
  <c r="D1027" i="48"/>
  <c r="D1028" i="48"/>
  <c r="D1029" i="48"/>
  <c r="D1030" i="48"/>
  <c r="D1031" i="48"/>
  <c r="D1032" i="48"/>
  <c r="D1033" i="48"/>
  <c r="D1034" i="48"/>
  <c r="D1035" i="48"/>
  <c r="D1036" i="48"/>
  <c r="D1037" i="48"/>
  <c r="D1038" i="48"/>
  <c r="D1039" i="48"/>
  <c r="D1040" i="48"/>
  <c r="D1041" i="48"/>
  <c r="D1042" i="48"/>
  <c r="D1043" i="48"/>
  <c r="D1044" i="48"/>
  <c r="D1045" i="48"/>
  <c r="D1046" i="48"/>
  <c r="D1047" i="48"/>
  <c r="D1048" i="48"/>
  <c r="D1049" i="48"/>
  <c r="D1050" i="48"/>
  <c r="D1051" i="48"/>
  <c r="D1052" i="48"/>
  <c r="D1053" i="48"/>
  <c r="D1054" i="48"/>
  <c r="D1055" i="48"/>
  <c r="D1056" i="48"/>
  <c r="D1057" i="48"/>
  <c r="D1058" i="48"/>
  <c r="D1059" i="48"/>
  <c r="D1060" i="48"/>
  <c r="D1061" i="48"/>
  <c r="D1062" i="48"/>
  <c r="D1063" i="48"/>
  <c r="D1064" i="48"/>
  <c r="D1065" i="48"/>
  <c r="D1066" i="48"/>
  <c r="D1067" i="48"/>
  <c r="D1068" i="48"/>
  <c r="D1069" i="48"/>
  <c r="D1070" i="48"/>
  <c r="D1071" i="48"/>
  <c r="D1072" i="48"/>
  <c r="D1073" i="48"/>
  <c r="D1074" i="48"/>
  <c r="D1075" i="48"/>
  <c r="D1076" i="48"/>
  <c r="D1077" i="48"/>
  <c r="D1078" i="48"/>
  <c r="D1079" i="48"/>
  <c r="D1080" i="48"/>
  <c r="D1081" i="48"/>
  <c r="D1082" i="48"/>
  <c r="D1083" i="48"/>
  <c r="D1084" i="48"/>
  <c r="D1085" i="48"/>
  <c r="D1086" i="48"/>
  <c r="D1087" i="48"/>
  <c r="D1088" i="48"/>
  <c r="D1089" i="48"/>
  <c r="D1090" i="48"/>
  <c r="D1091" i="48"/>
  <c r="D1092" i="48"/>
  <c r="D1093" i="48"/>
  <c r="D1094" i="48"/>
  <c r="D1095" i="48"/>
  <c r="D1096" i="48"/>
  <c r="D1097" i="48"/>
  <c r="D1098" i="48"/>
  <c r="D1099" i="48"/>
  <c r="D1100" i="48"/>
  <c r="D1101" i="48"/>
  <c r="D1102" i="48"/>
  <c r="D1103" i="48"/>
  <c r="D1104" i="48"/>
  <c r="D1105" i="48"/>
  <c r="D1106" i="48"/>
  <c r="D1107" i="48"/>
  <c r="D1108" i="48"/>
  <c r="D1109" i="48"/>
  <c r="D1110" i="48"/>
  <c r="D1111" i="48"/>
  <c r="D1112" i="48"/>
  <c r="D1113" i="48"/>
  <c r="D1114" i="48"/>
  <c r="D1115" i="48"/>
  <c r="D1116" i="48"/>
  <c r="D1117" i="48"/>
  <c r="D1118" i="48"/>
  <c r="D1119" i="48"/>
  <c r="D1120" i="48"/>
  <c r="D1121" i="48"/>
  <c r="D1122" i="48"/>
  <c r="D1123" i="48"/>
  <c r="D1124" i="48"/>
  <c r="D1125" i="48"/>
  <c r="D1126" i="48"/>
  <c r="D1127" i="48"/>
  <c r="D1128" i="48"/>
  <c r="D1129" i="48"/>
  <c r="D1130" i="48"/>
  <c r="D1131" i="48"/>
  <c r="D1132" i="48"/>
  <c r="D1133" i="48"/>
  <c r="D1134" i="48"/>
  <c r="D1135" i="48"/>
  <c r="D1136" i="48"/>
  <c r="D1137" i="48"/>
  <c r="D1138" i="48"/>
  <c r="D1139" i="48"/>
  <c r="D1140" i="48"/>
  <c r="D1141" i="48"/>
  <c r="D1142" i="48"/>
  <c r="D1143" i="48"/>
  <c r="D1144" i="48"/>
  <c r="D1145" i="48"/>
  <c r="D1146" i="48"/>
  <c r="D1147" i="48"/>
  <c r="D1148" i="48"/>
  <c r="D1149" i="48"/>
  <c r="D1150" i="48"/>
  <c r="D1151" i="48"/>
  <c r="D1152" i="48"/>
  <c r="D1153" i="48"/>
  <c r="D1154" i="48"/>
  <c r="D1155" i="48"/>
  <c r="D1156" i="48"/>
  <c r="D1157" i="48"/>
  <c r="D1158" i="48"/>
  <c r="D1159" i="48"/>
  <c r="D1160" i="48"/>
  <c r="D1161" i="48"/>
  <c r="D1162" i="48"/>
  <c r="D1163" i="48"/>
  <c r="D1164" i="48"/>
  <c r="D1165" i="48"/>
  <c r="D1166" i="48"/>
  <c r="D1167" i="48"/>
  <c r="D1168" i="48"/>
  <c r="D1169" i="48"/>
  <c r="D1170" i="48"/>
  <c r="D1171" i="48"/>
  <c r="D1172" i="48"/>
  <c r="D1173" i="48"/>
  <c r="D1174" i="48"/>
  <c r="D1175" i="48"/>
  <c r="D1176" i="48"/>
  <c r="D1177" i="48"/>
  <c r="D1178" i="48"/>
  <c r="D1179" i="48"/>
  <c r="D1180" i="48"/>
  <c r="D1181" i="48"/>
  <c r="D1182" i="48"/>
  <c r="D1183" i="48"/>
  <c r="D1184" i="48"/>
  <c r="D1185" i="48"/>
  <c r="D1186" i="48"/>
  <c r="D1187" i="48"/>
  <c r="D1188" i="48"/>
  <c r="D1189" i="48"/>
  <c r="D1190" i="48"/>
  <c r="D1191" i="48"/>
  <c r="D1192" i="48"/>
  <c r="D1193" i="48"/>
  <c r="D1194" i="48"/>
  <c r="D1195" i="48"/>
  <c r="D1196" i="48"/>
  <c r="D1197" i="48"/>
  <c r="D1198" i="48"/>
  <c r="D1199" i="48"/>
  <c r="D1200" i="48"/>
  <c r="D1201" i="48"/>
  <c r="D1202" i="48"/>
  <c r="D1203" i="48"/>
  <c r="D1204" i="48"/>
  <c r="D1205" i="48"/>
  <c r="D1206" i="48"/>
  <c r="D1207" i="48"/>
  <c r="D1208" i="48"/>
  <c r="D1209" i="48"/>
  <c r="D1210" i="48"/>
  <c r="D1211" i="48"/>
  <c r="D1212" i="48"/>
  <c r="D1213" i="48"/>
  <c r="D1214" i="48"/>
  <c r="D1215" i="48"/>
  <c r="D1216" i="48"/>
  <c r="D1217" i="48"/>
  <c r="D1218" i="48"/>
  <c r="D1219" i="48"/>
  <c r="D1220" i="48"/>
  <c r="D1221" i="48"/>
  <c r="D1222" i="48"/>
  <c r="D1223" i="48"/>
  <c r="D1224" i="48"/>
  <c r="D1225" i="48"/>
  <c r="D1226" i="48"/>
  <c r="D1227" i="48"/>
  <c r="D1228" i="48"/>
  <c r="D1229" i="48"/>
  <c r="D1230" i="48"/>
  <c r="D1231" i="48"/>
  <c r="D1232" i="48"/>
  <c r="D1233" i="48"/>
  <c r="D1234" i="48"/>
  <c r="D1235" i="48"/>
  <c r="D1236" i="48"/>
  <c r="D1237" i="48"/>
  <c r="D1238" i="48"/>
  <c r="D1239" i="48"/>
  <c r="D1240" i="48"/>
  <c r="D1241" i="48"/>
  <c r="D1242" i="48"/>
  <c r="D1243" i="48"/>
  <c r="D1244" i="48"/>
  <c r="D1245" i="48"/>
  <c r="D1246" i="48"/>
  <c r="D1247" i="48"/>
  <c r="D1248" i="48"/>
  <c r="D1249" i="48"/>
  <c r="D1250" i="48"/>
  <c r="D1251" i="48"/>
  <c r="D1252" i="48"/>
  <c r="D1253" i="48"/>
  <c r="D1254" i="48"/>
  <c r="D1255" i="48"/>
  <c r="D1256" i="48"/>
  <c r="D1257" i="48"/>
  <c r="D1258" i="48"/>
  <c r="D1259" i="48"/>
  <c r="D1260" i="48"/>
  <c r="D1261" i="48"/>
  <c r="D1262" i="48"/>
  <c r="D1263" i="48"/>
  <c r="D1264" i="48"/>
  <c r="D1265" i="48"/>
  <c r="D1266" i="48"/>
  <c r="D1267" i="48"/>
  <c r="D1268" i="48"/>
  <c r="D1269" i="48"/>
  <c r="D1270" i="48"/>
  <c r="D1271" i="48"/>
  <c r="D1272" i="48"/>
  <c r="D1273" i="48"/>
  <c r="D1274" i="48"/>
  <c r="D1275" i="48"/>
  <c r="D1276" i="48"/>
  <c r="D1277" i="48"/>
  <c r="D1278" i="48"/>
  <c r="D1279" i="48"/>
  <c r="D1280" i="48"/>
  <c r="D1281" i="48"/>
  <c r="D1282" i="48"/>
  <c r="D1283" i="48"/>
  <c r="D1284" i="48"/>
  <c r="D1285" i="48"/>
  <c r="D1286" i="48"/>
  <c r="D1287" i="48"/>
  <c r="D1288" i="48"/>
  <c r="D1289" i="48"/>
  <c r="D1290" i="48"/>
  <c r="D1291" i="48"/>
  <c r="D1292" i="48"/>
  <c r="D1293" i="48"/>
  <c r="D1294" i="48"/>
  <c r="D1295" i="48"/>
  <c r="D1296" i="48"/>
  <c r="D1297" i="48"/>
  <c r="D1298" i="48"/>
  <c r="D1299" i="48"/>
  <c r="D1300" i="48"/>
  <c r="D1301" i="48"/>
  <c r="D1302" i="48"/>
  <c r="D1303" i="48"/>
  <c r="D1304" i="48"/>
  <c r="D1305" i="48"/>
  <c r="D1306" i="48"/>
  <c r="D1307" i="48"/>
  <c r="D1308" i="48"/>
  <c r="D1309" i="48"/>
  <c r="D1310" i="48"/>
  <c r="D1311" i="48"/>
  <c r="D1312" i="48"/>
  <c r="D1313" i="48"/>
  <c r="D1314" i="48"/>
  <c r="D1315" i="48"/>
  <c r="D1316" i="48"/>
  <c r="D1317" i="48"/>
  <c r="D1318" i="48"/>
  <c r="D1319" i="48"/>
  <c r="D1320" i="48"/>
  <c r="D1321" i="48"/>
  <c r="D1322" i="48"/>
  <c r="D1323" i="48"/>
  <c r="D1324" i="48"/>
  <c r="D1325" i="48"/>
  <c r="D1326" i="48"/>
  <c r="D1327" i="48"/>
  <c r="D1328" i="48"/>
  <c r="D1329" i="48"/>
  <c r="D1330" i="48"/>
  <c r="D1331" i="48"/>
  <c r="D1332" i="48"/>
  <c r="D1333" i="48"/>
  <c r="D1334" i="48"/>
  <c r="D1335" i="48"/>
  <c r="D1336" i="48"/>
  <c r="D1337" i="48"/>
  <c r="D1338" i="48"/>
  <c r="D1339" i="48"/>
  <c r="D1340" i="48"/>
  <c r="D1341" i="48"/>
  <c r="D1342" i="48"/>
  <c r="D1343" i="48"/>
  <c r="D1344" i="48"/>
  <c r="D1345" i="48"/>
  <c r="D1346" i="48"/>
  <c r="D1347" i="48"/>
  <c r="D1348" i="48"/>
  <c r="D1349" i="48"/>
  <c r="D1350" i="48"/>
  <c r="D1351" i="48"/>
  <c r="D1352" i="48"/>
  <c r="D1353" i="48"/>
  <c r="D1354" i="48"/>
  <c r="D1355" i="48"/>
  <c r="D1356" i="48"/>
  <c r="D1357" i="48"/>
  <c r="D1358" i="48"/>
  <c r="D1359" i="48"/>
  <c r="D1360" i="48"/>
  <c r="D1361" i="48"/>
  <c r="D1362" i="48"/>
  <c r="D1363" i="48"/>
  <c r="D1364" i="48"/>
  <c r="D1365" i="48"/>
  <c r="D1366" i="48"/>
  <c r="D1367" i="48"/>
  <c r="D1368" i="48"/>
  <c r="D1369" i="48"/>
  <c r="D1370" i="48"/>
  <c r="D1371" i="48"/>
  <c r="D1372" i="48"/>
  <c r="D1373" i="48"/>
  <c r="D1374" i="48"/>
  <c r="D1375" i="48"/>
  <c r="D1376" i="48"/>
  <c r="D1377" i="48"/>
  <c r="D1378" i="48"/>
  <c r="D1379" i="48"/>
  <c r="D1380" i="48"/>
  <c r="D1381" i="48"/>
  <c r="D1382" i="48"/>
  <c r="D1383" i="48"/>
  <c r="D1384" i="48"/>
  <c r="D1385" i="48"/>
  <c r="D1386" i="48"/>
  <c r="D1387" i="48"/>
  <c r="D1388" i="48"/>
  <c r="D1389" i="48"/>
  <c r="D1390" i="48"/>
  <c r="D1391" i="48"/>
  <c r="D1392" i="48"/>
  <c r="D1393" i="48"/>
  <c r="D1394" i="48"/>
  <c r="D1395" i="48"/>
  <c r="D1396" i="48"/>
  <c r="D1397" i="48"/>
  <c r="D1398" i="48"/>
  <c r="D1399" i="48"/>
  <c r="D1400" i="48"/>
  <c r="D1401" i="48"/>
  <c r="D1402" i="48"/>
  <c r="D1403" i="48"/>
  <c r="D1404" i="48"/>
  <c r="D1405" i="48"/>
  <c r="D1406" i="48"/>
  <c r="D1407" i="48"/>
  <c r="D1408" i="48"/>
  <c r="D1409" i="48"/>
  <c r="D1410" i="48"/>
  <c r="D1411" i="48"/>
  <c r="D1412" i="48"/>
  <c r="D1413" i="48"/>
  <c r="D1414" i="48"/>
  <c r="D1415" i="48"/>
  <c r="D1416" i="48"/>
  <c r="D1417" i="48"/>
  <c r="D1418" i="48"/>
  <c r="D1419" i="48"/>
  <c r="D1420" i="48"/>
  <c r="D1421" i="48"/>
  <c r="D1422" i="48"/>
  <c r="D1423" i="48"/>
  <c r="D1424" i="48"/>
  <c r="D1425" i="48"/>
  <c r="D1426" i="48"/>
  <c r="D1427" i="48"/>
  <c r="D1428" i="48"/>
  <c r="D1429" i="48"/>
  <c r="D1430" i="48"/>
  <c r="D1431" i="48"/>
  <c r="D1432" i="48"/>
  <c r="D1433" i="48"/>
  <c r="D1434" i="48"/>
  <c r="D1435" i="48"/>
  <c r="D1436" i="48"/>
  <c r="D1437" i="48"/>
  <c r="D1438" i="48"/>
  <c r="D1439" i="48"/>
  <c r="D1440" i="48"/>
  <c r="D1441" i="48"/>
  <c r="D1442" i="48"/>
  <c r="D1443" i="48"/>
  <c r="D1444" i="48"/>
  <c r="D1445" i="48"/>
  <c r="D1446" i="48"/>
  <c r="D1447" i="48"/>
  <c r="D1448" i="48"/>
  <c r="D1449" i="48"/>
  <c r="D1450" i="48"/>
  <c r="D1451" i="48"/>
  <c r="D1452" i="48"/>
  <c r="D1453" i="48"/>
  <c r="D1454" i="48"/>
  <c r="D1455" i="48"/>
  <c r="D1456" i="48"/>
  <c r="D1457" i="48"/>
  <c r="D1458" i="48"/>
  <c r="D1459" i="48"/>
  <c r="D1460" i="48"/>
  <c r="D1461" i="48"/>
  <c r="D1462" i="48"/>
  <c r="D1463" i="48"/>
  <c r="D1464" i="48"/>
  <c r="D1465" i="48"/>
  <c r="D1466" i="48"/>
  <c r="D1467" i="48"/>
  <c r="D1468" i="48"/>
  <c r="D1469" i="48"/>
  <c r="D1470" i="48"/>
  <c r="D1471" i="48"/>
  <c r="D1472" i="48"/>
  <c r="D1473" i="48"/>
  <c r="D1474" i="48"/>
  <c r="D1475" i="48"/>
  <c r="D1476" i="48"/>
  <c r="D1477" i="48"/>
  <c r="D1478" i="48"/>
  <c r="D1479" i="48"/>
  <c r="D1480" i="48"/>
  <c r="D1481" i="48"/>
  <c r="D1482" i="48"/>
  <c r="D1483" i="48"/>
  <c r="D1484" i="48"/>
  <c r="D1485" i="48"/>
  <c r="D1486" i="48"/>
  <c r="D1487" i="48"/>
  <c r="D1488" i="48"/>
  <c r="D1489" i="48"/>
  <c r="D1490" i="48"/>
  <c r="D1491" i="48"/>
  <c r="D1492" i="48"/>
  <c r="D1493" i="48"/>
  <c r="D1494" i="48"/>
  <c r="D1495" i="48"/>
  <c r="D1496" i="48"/>
  <c r="D1497" i="48"/>
  <c r="D1498" i="48"/>
  <c r="D1499" i="48"/>
  <c r="D1500" i="48"/>
  <c r="D1501" i="48"/>
  <c r="D1502" i="48"/>
  <c r="D1503" i="48"/>
  <c r="D1504" i="48"/>
  <c r="D1505" i="48"/>
  <c r="D1506" i="48"/>
  <c r="D1507" i="48"/>
  <c r="D1508" i="48"/>
  <c r="D1509" i="48"/>
  <c r="D1510" i="48"/>
  <c r="D1511" i="48"/>
  <c r="D1512" i="48"/>
  <c r="D1513" i="48"/>
  <c r="D1514" i="48"/>
  <c r="D1515" i="48"/>
  <c r="D1516" i="48"/>
  <c r="D1517" i="48"/>
  <c r="D1518" i="48"/>
  <c r="D1519" i="48"/>
  <c r="D1520" i="48"/>
  <c r="D1521" i="48"/>
  <c r="D1522" i="48"/>
  <c r="D1523" i="48"/>
  <c r="D1524" i="48"/>
  <c r="D1525" i="48"/>
  <c r="D1526" i="48"/>
  <c r="D1527" i="48"/>
  <c r="D1528" i="48"/>
  <c r="D1529" i="48"/>
  <c r="D1530" i="48"/>
  <c r="D1531" i="48"/>
  <c r="D1532" i="48"/>
  <c r="D1533" i="48"/>
  <c r="D1534" i="48"/>
  <c r="D1535" i="48"/>
  <c r="D1536" i="48"/>
  <c r="D1537" i="48"/>
  <c r="D1538" i="48"/>
  <c r="D1539" i="48"/>
  <c r="D1540" i="48"/>
  <c r="D1541" i="48"/>
  <c r="D1542" i="48"/>
  <c r="D1543" i="48"/>
  <c r="D1544" i="48"/>
  <c r="D1545" i="48"/>
  <c r="D1546" i="48"/>
  <c r="D1547" i="48"/>
  <c r="D1548" i="48"/>
  <c r="D1549" i="48"/>
  <c r="D1550" i="48"/>
  <c r="D1551" i="48"/>
  <c r="D1552" i="48"/>
  <c r="D1553" i="48"/>
  <c r="D1554" i="48"/>
  <c r="D1555" i="48"/>
  <c r="D1556" i="48"/>
  <c r="D1557" i="48"/>
  <c r="D1558" i="48"/>
  <c r="D1559" i="48"/>
  <c r="D1560" i="48"/>
  <c r="D1561" i="48"/>
  <c r="D1562" i="48"/>
  <c r="D1563" i="48"/>
  <c r="D1564" i="48"/>
  <c r="D1565" i="48"/>
  <c r="D1566" i="48"/>
  <c r="D1567" i="48"/>
  <c r="D1568" i="48"/>
  <c r="D1569" i="48"/>
  <c r="D1570" i="48"/>
  <c r="D1571" i="48"/>
  <c r="D1572" i="48"/>
  <c r="D1573" i="48"/>
  <c r="D1574" i="48"/>
  <c r="D1575" i="48"/>
  <c r="D1576" i="48"/>
  <c r="D1577" i="48"/>
  <c r="D1578" i="48"/>
  <c r="D1579" i="48"/>
  <c r="D1580" i="48"/>
  <c r="D1581" i="48"/>
  <c r="D1582" i="48"/>
  <c r="D1583" i="48"/>
  <c r="D1584" i="48"/>
  <c r="D1585" i="48"/>
  <c r="D1586" i="48"/>
  <c r="D1587" i="48"/>
  <c r="D1588" i="48"/>
  <c r="D1589" i="48"/>
  <c r="D1590" i="48"/>
  <c r="D1591" i="48"/>
  <c r="D1592" i="48"/>
  <c r="D1593" i="48"/>
  <c r="D1594" i="48"/>
  <c r="D1595" i="48"/>
  <c r="D1596" i="48"/>
  <c r="D1597" i="48"/>
  <c r="D1598" i="48"/>
  <c r="D1599" i="48"/>
  <c r="D1600" i="48"/>
  <c r="D1601" i="48"/>
  <c r="D1602" i="48"/>
  <c r="D1603" i="48"/>
  <c r="D1604" i="48"/>
  <c r="D1605" i="48"/>
  <c r="D1606" i="48"/>
  <c r="D1607" i="48"/>
  <c r="D1608" i="48"/>
  <c r="D1609" i="48"/>
  <c r="D1610" i="48"/>
  <c r="D1611" i="48"/>
  <c r="D1612" i="48"/>
  <c r="D1613" i="48"/>
  <c r="D1614" i="48"/>
  <c r="D1615" i="48"/>
  <c r="D1616" i="48"/>
  <c r="D1617" i="48"/>
  <c r="D1618" i="48"/>
  <c r="D1619" i="48"/>
  <c r="D1620" i="48"/>
  <c r="D1621" i="48"/>
  <c r="D1622" i="48"/>
  <c r="D1623" i="48"/>
  <c r="D1624" i="48"/>
  <c r="D1625" i="48"/>
  <c r="D1626" i="48"/>
  <c r="D1627" i="48"/>
  <c r="D1628" i="48"/>
  <c r="D1629" i="48"/>
  <c r="D1630" i="48"/>
  <c r="D1631" i="48"/>
  <c r="D1632" i="48"/>
  <c r="D1633" i="48"/>
  <c r="D1634" i="48"/>
  <c r="D1635" i="48"/>
  <c r="D1636" i="48"/>
  <c r="D1637" i="48"/>
  <c r="D1638" i="48"/>
  <c r="D1639" i="48"/>
  <c r="D1640" i="48"/>
  <c r="D1641" i="48"/>
  <c r="D1642" i="48"/>
  <c r="D1643" i="48"/>
  <c r="D1644" i="48"/>
  <c r="D1645" i="48"/>
  <c r="D1646" i="48"/>
  <c r="D1647" i="48"/>
  <c r="D1648" i="48"/>
  <c r="D1649" i="48"/>
  <c r="D1650" i="48"/>
  <c r="D1651" i="48"/>
  <c r="D1652" i="48"/>
  <c r="D1653" i="48"/>
  <c r="D1654" i="48"/>
  <c r="D1655" i="48"/>
  <c r="D1656" i="48"/>
  <c r="D1657" i="48"/>
  <c r="D1658" i="48"/>
  <c r="D1659" i="48"/>
  <c r="D1660" i="48"/>
  <c r="D1661" i="48"/>
  <c r="D1662" i="48"/>
  <c r="D1663" i="48"/>
  <c r="D1664" i="48"/>
  <c r="D1665" i="48"/>
  <c r="D1666" i="48"/>
  <c r="D1667" i="48"/>
  <c r="D1668" i="48"/>
  <c r="D1669" i="48"/>
  <c r="D1670" i="48"/>
  <c r="D1671" i="48"/>
  <c r="D1672" i="48"/>
  <c r="D1673" i="48"/>
  <c r="D1674" i="48"/>
  <c r="D1675" i="48"/>
  <c r="D1676" i="48"/>
  <c r="D1677" i="48"/>
  <c r="D1678" i="48"/>
  <c r="D1679" i="48"/>
  <c r="D1680" i="48"/>
  <c r="D1681" i="48"/>
  <c r="D1682" i="48"/>
  <c r="D1683" i="48"/>
  <c r="D1684" i="48"/>
  <c r="D1685" i="48"/>
  <c r="D1686" i="48"/>
  <c r="D1687" i="48"/>
  <c r="D1688" i="48"/>
  <c r="D1689" i="48"/>
  <c r="D1690" i="48"/>
  <c r="D1691" i="48"/>
  <c r="D1692" i="48"/>
  <c r="D1693" i="48"/>
  <c r="D1694" i="48"/>
  <c r="D1695" i="48"/>
  <c r="D1696" i="48"/>
  <c r="D1697" i="48"/>
  <c r="D1698" i="48"/>
  <c r="D1699" i="48"/>
  <c r="D1700" i="48"/>
  <c r="D1701" i="48"/>
  <c r="D1702" i="48"/>
  <c r="D1703" i="48"/>
  <c r="D1704" i="48"/>
  <c r="D1705" i="48"/>
  <c r="D1706" i="48"/>
  <c r="D1707" i="48"/>
  <c r="D1708" i="48"/>
  <c r="D1709" i="48"/>
  <c r="D1710" i="48"/>
  <c r="D1711" i="48"/>
  <c r="D1712" i="48"/>
  <c r="D1713" i="48"/>
  <c r="D1714" i="48"/>
  <c r="D1715" i="48"/>
  <c r="D1716" i="48"/>
  <c r="D1717" i="48"/>
  <c r="D1718" i="48"/>
  <c r="D1719" i="48"/>
  <c r="D1720" i="48"/>
  <c r="D1721" i="48"/>
  <c r="D1722" i="48"/>
  <c r="D1723" i="48"/>
  <c r="D1724" i="48"/>
  <c r="D1725" i="48"/>
  <c r="D1726" i="48"/>
  <c r="D1727" i="48"/>
  <c r="D1728" i="48"/>
  <c r="D1729" i="48"/>
  <c r="D1730" i="48"/>
  <c r="D1731" i="48"/>
  <c r="D1732" i="48"/>
  <c r="D1733" i="48"/>
  <c r="D1734" i="48"/>
  <c r="D1735" i="48"/>
  <c r="D1736" i="48"/>
  <c r="D1737" i="48"/>
  <c r="D1738" i="48"/>
  <c r="D1739" i="48"/>
  <c r="D1740" i="48"/>
  <c r="D1741" i="48"/>
  <c r="D1742" i="48"/>
  <c r="D1743" i="48"/>
  <c r="D1744" i="48"/>
  <c r="D1745" i="48"/>
  <c r="D1746" i="48"/>
  <c r="D1747" i="48"/>
  <c r="D1748" i="48"/>
  <c r="D1749" i="48"/>
  <c r="D1750" i="48"/>
  <c r="D1751" i="48"/>
  <c r="D1752" i="48"/>
  <c r="D1753" i="48"/>
  <c r="D1754" i="48"/>
  <c r="D1755" i="48"/>
  <c r="D1756" i="48"/>
  <c r="D1757" i="48"/>
  <c r="D1758" i="48"/>
  <c r="D1759" i="48"/>
  <c r="D1760" i="48"/>
  <c r="D1761" i="48"/>
  <c r="D1762" i="48"/>
  <c r="D1763" i="48"/>
  <c r="D1764" i="48"/>
  <c r="D1765" i="48"/>
  <c r="D1766" i="48"/>
  <c r="D1767" i="48"/>
  <c r="D1768" i="48"/>
  <c r="D1769" i="48"/>
  <c r="D1770" i="48"/>
  <c r="D1771" i="48"/>
  <c r="D1772" i="48"/>
  <c r="D1773" i="48"/>
  <c r="D1774" i="48"/>
  <c r="D1775" i="48"/>
  <c r="D1776" i="48"/>
  <c r="D1777" i="48"/>
  <c r="D1778" i="48"/>
  <c r="D1779" i="48"/>
  <c r="D1780" i="48"/>
  <c r="D1781" i="48"/>
  <c r="D1782" i="48"/>
  <c r="D1783" i="48"/>
  <c r="D1784" i="48"/>
  <c r="D1785" i="48"/>
  <c r="D1786" i="48"/>
  <c r="D1787" i="48"/>
  <c r="D1788" i="48"/>
  <c r="D1789" i="48"/>
  <c r="D1790" i="48"/>
  <c r="D1791" i="48"/>
  <c r="D1792" i="48"/>
  <c r="D1793" i="48"/>
  <c r="D1794" i="48"/>
  <c r="D1795" i="48"/>
  <c r="D1796" i="48"/>
  <c r="D1797" i="48"/>
  <c r="D1798" i="48"/>
  <c r="D1799" i="48"/>
  <c r="D1800" i="48"/>
  <c r="D1801" i="48"/>
  <c r="D1802" i="48"/>
  <c r="D1803" i="48"/>
  <c r="D1804" i="48"/>
  <c r="D1805" i="48"/>
  <c r="D1806" i="48"/>
  <c r="D1807" i="48"/>
  <c r="D1808" i="48"/>
  <c r="D1809" i="48"/>
  <c r="D1810" i="48"/>
  <c r="D1811" i="48"/>
  <c r="D1812" i="48"/>
  <c r="D1813" i="48"/>
  <c r="D1814" i="48"/>
  <c r="D1815" i="48"/>
  <c r="D1816" i="48"/>
  <c r="D1817" i="48"/>
  <c r="D1818" i="48"/>
  <c r="D1819" i="48"/>
  <c r="D1820" i="48"/>
  <c r="D1821" i="48"/>
  <c r="D1822" i="48"/>
  <c r="D1823" i="48"/>
  <c r="D1824" i="48"/>
  <c r="D1825" i="48"/>
  <c r="D1826" i="48"/>
  <c r="D1827" i="48"/>
  <c r="D1828" i="48"/>
  <c r="D1829" i="48"/>
  <c r="D1830" i="48"/>
  <c r="D1831" i="48"/>
  <c r="D1832" i="48"/>
  <c r="D1833" i="48"/>
  <c r="D1834" i="48"/>
  <c r="D1835" i="48"/>
  <c r="D1836" i="48"/>
  <c r="D1837" i="48"/>
  <c r="D1838" i="48"/>
  <c r="D1839" i="48"/>
  <c r="D1840" i="48"/>
  <c r="D1841" i="48"/>
  <c r="D1842" i="48"/>
  <c r="D1843" i="48"/>
  <c r="D1844" i="48"/>
  <c r="D1845" i="48"/>
  <c r="D1846" i="48"/>
  <c r="D1847" i="48"/>
  <c r="D1848" i="48"/>
  <c r="D1849" i="48"/>
  <c r="D1850" i="48"/>
  <c r="D1851" i="48"/>
  <c r="D1852" i="48"/>
  <c r="D1853" i="48"/>
  <c r="D1854" i="48"/>
  <c r="D1855" i="48"/>
  <c r="D1856" i="48"/>
  <c r="D1857" i="48"/>
  <c r="D1858" i="48"/>
  <c r="D1859" i="48"/>
  <c r="D1860" i="48"/>
  <c r="D1861" i="48"/>
  <c r="D1862" i="48"/>
  <c r="D1863" i="48"/>
  <c r="D1864" i="48"/>
  <c r="D1865" i="48"/>
  <c r="D1866" i="48"/>
  <c r="D1867" i="48"/>
  <c r="D1868" i="48"/>
  <c r="D1869" i="48"/>
  <c r="D1870" i="48"/>
  <c r="D1871" i="48"/>
  <c r="D1872" i="48"/>
  <c r="D1873" i="48"/>
  <c r="D1874" i="48"/>
  <c r="D1875" i="48"/>
  <c r="D1876" i="48"/>
  <c r="D1877" i="48"/>
  <c r="D1878" i="48"/>
  <c r="D1879" i="48"/>
  <c r="D1880" i="48"/>
  <c r="D1881" i="48"/>
  <c r="D1882" i="48"/>
  <c r="D1883" i="48"/>
  <c r="D1884" i="48"/>
  <c r="D1885" i="48"/>
  <c r="D1886" i="48"/>
  <c r="D1887" i="48"/>
  <c r="D1888" i="48"/>
  <c r="D1889" i="48"/>
  <c r="D1890" i="48"/>
  <c r="D1891" i="48"/>
  <c r="D1892" i="48"/>
  <c r="D1893" i="48"/>
  <c r="D1894" i="48"/>
  <c r="D1895" i="48"/>
  <c r="D1896" i="48"/>
  <c r="D1897" i="48"/>
  <c r="D1898" i="48"/>
  <c r="D1899" i="48"/>
  <c r="D1900" i="48"/>
  <c r="D1901" i="48"/>
  <c r="D1902" i="48"/>
  <c r="D1903" i="48"/>
  <c r="D1904" i="48"/>
  <c r="D1905" i="48"/>
  <c r="D1906" i="48"/>
  <c r="D1907" i="48"/>
  <c r="D1908" i="48"/>
  <c r="D1909" i="48"/>
  <c r="D1910" i="48"/>
  <c r="D1911" i="48"/>
  <c r="D1912" i="48"/>
  <c r="D1913" i="48"/>
  <c r="D1914" i="48"/>
  <c r="D1915" i="48"/>
  <c r="D1916" i="48"/>
  <c r="D1917" i="48"/>
  <c r="D1918" i="48"/>
  <c r="D1919" i="48"/>
  <c r="D1920" i="48"/>
  <c r="D1921" i="48"/>
  <c r="D1922" i="48"/>
  <c r="D1923" i="48"/>
  <c r="D1924" i="48"/>
  <c r="D1925" i="48"/>
  <c r="D1926" i="48"/>
  <c r="D1927" i="48"/>
  <c r="D1928" i="48"/>
  <c r="D1929" i="48"/>
  <c r="D1930" i="48"/>
  <c r="D1931" i="48"/>
  <c r="D1932" i="48"/>
  <c r="D1933" i="48"/>
  <c r="D1934" i="48"/>
  <c r="D1935" i="48"/>
  <c r="D1936" i="48"/>
  <c r="D1937" i="48"/>
  <c r="D1938" i="48"/>
  <c r="D1939" i="48"/>
  <c r="D1940" i="48"/>
  <c r="D1941" i="48"/>
  <c r="D1942" i="48"/>
  <c r="D1943" i="48"/>
  <c r="D1944" i="48"/>
  <c r="D1945" i="48"/>
  <c r="D1946" i="48"/>
  <c r="D1947" i="48"/>
  <c r="D1948" i="48"/>
  <c r="D1949" i="48"/>
  <c r="D1950" i="48"/>
  <c r="D1951" i="48"/>
  <c r="D1952" i="48"/>
  <c r="D1953" i="48"/>
  <c r="D1954" i="48"/>
  <c r="D1955" i="48"/>
  <c r="D1956" i="48"/>
  <c r="D1957" i="48"/>
  <c r="D1958" i="48"/>
  <c r="D1959" i="48"/>
  <c r="D1960" i="48"/>
  <c r="D1961" i="48"/>
  <c r="D1962" i="48"/>
  <c r="D1963" i="48"/>
  <c r="D1964" i="48"/>
  <c r="D1965" i="48"/>
  <c r="D1966" i="48"/>
  <c r="D1967" i="48"/>
  <c r="D1968" i="48"/>
  <c r="D1969" i="48"/>
  <c r="D1970" i="48"/>
  <c r="D1971" i="48"/>
  <c r="D1972" i="48"/>
  <c r="D1973" i="48"/>
  <c r="D1974" i="48"/>
  <c r="D1975" i="48"/>
  <c r="D1976" i="48"/>
  <c r="D1977" i="48"/>
  <c r="D1978" i="48"/>
  <c r="D1979" i="48"/>
  <c r="D1980" i="48"/>
  <c r="D1981" i="48"/>
  <c r="D1982" i="48"/>
  <c r="D1983" i="48"/>
  <c r="D1984" i="48"/>
  <c r="D1985" i="48"/>
  <c r="D1986" i="48"/>
  <c r="D1987" i="48"/>
  <c r="D1988" i="48"/>
  <c r="D1989" i="48"/>
  <c r="D1990" i="48"/>
  <c r="D1991" i="48"/>
  <c r="D1992" i="48"/>
  <c r="D1993" i="48"/>
  <c r="D1994" i="48"/>
  <c r="D1995" i="48"/>
  <c r="D1996" i="48"/>
  <c r="D1997" i="48"/>
  <c r="D1998" i="48"/>
  <c r="D1999" i="48"/>
  <c r="D2000" i="48"/>
  <c r="D2001" i="48"/>
  <c r="D2002" i="48"/>
  <c r="D2003" i="48"/>
  <c r="D2004" i="48"/>
  <c r="D2005" i="48"/>
  <c r="D2006" i="48"/>
  <c r="D2007" i="48"/>
  <c r="D2008" i="48"/>
  <c r="D2009" i="48"/>
  <c r="D2010" i="48"/>
  <c r="D2011" i="48"/>
  <c r="D2012" i="48"/>
  <c r="D2013" i="48"/>
  <c r="D2014" i="48"/>
  <c r="D2015" i="48"/>
  <c r="D2016" i="48"/>
  <c r="D2017" i="48"/>
  <c r="D2018" i="48"/>
  <c r="D2019" i="48"/>
  <c r="D2020" i="48"/>
  <c r="D2021" i="48"/>
  <c r="D2022" i="48"/>
  <c r="D2023" i="48"/>
  <c r="D2024" i="48"/>
  <c r="D2025" i="48"/>
  <c r="D2026" i="48"/>
  <c r="D2027" i="48"/>
  <c r="D2028" i="48"/>
  <c r="D2029" i="48"/>
  <c r="D2030" i="48"/>
  <c r="D2031" i="48"/>
  <c r="D2032" i="48"/>
  <c r="D2033" i="48"/>
  <c r="D2034" i="48"/>
  <c r="D2035" i="48"/>
  <c r="D2036" i="48"/>
  <c r="D2037" i="48"/>
  <c r="D2038" i="48"/>
  <c r="D2039" i="48"/>
  <c r="D2040" i="48"/>
  <c r="D2041" i="48"/>
  <c r="D2042" i="48"/>
  <c r="D2043" i="48"/>
  <c r="D2044" i="48"/>
  <c r="D2045" i="48"/>
  <c r="D2046" i="48"/>
  <c r="D2047" i="48"/>
  <c r="D2048" i="48"/>
  <c r="D2049" i="48"/>
  <c r="D2050" i="48"/>
  <c r="D2051" i="48"/>
  <c r="D2052" i="48"/>
  <c r="D2053" i="48"/>
  <c r="D2054" i="48"/>
  <c r="D2055" i="48"/>
  <c r="D2056" i="48"/>
  <c r="D2057" i="48"/>
  <c r="D2058" i="48"/>
  <c r="D2059" i="48"/>
  <c r="D2060" i="48"/>
  <c r="D2061" i="48"/>
  <c r="D2062" i="48"/>
  <c r="D2063" i="48"/>
  <c r="D2064" i="48"/>
  <c r="D2065" i="48"/>
  <c r="D2066" i="48"/>
  <c r="D2067" i="48"/>
  <c r="D2068" i="48"/>
  <c r="D2069" i="48"/>
  <c r="D2070" i="48"/>
  <c r="D2071" i="48"/>
  <c r="D2072" i="48"/>
  <c r="D2073" i="48"/>
  <c r="D2074" i="48"/>
  <c r="D2075" i="48"/>
  <c r="D2076" i="48"/>
  <c r="D2077" i="48"/>
  <c r="D2078" i="48"/>
  <c r="D2079" i="48"/>
  <c r="D2080" i="48"/>
  <c r="D2081" i="48"/>
  <c r="D2082" i="48"/>
  <c r="D2083" i="48"/>
  <c r="D2084" i="48"/>
  <c r="D2085" i="48"/>
  <c r="D2086" i="48"/>
  <c r="D2087" i="48"/>
  <c r="D2088" i="48"/>
  <c r="D2089" i="48"/>
  <c r="D2090" i="48"/>
  <c r="D2091" i="48"/>
  <c r="D2092" i="48"/>
  <c r="D2093" i="48"/>
  <c r="D2094" i="48"/>
  <c r="D2095" i="48"/>
  <c r="D2096" i="48"/>
  <c r="D2097" i="48"/>
  <c r="D2098" i="48"/>
  <c r="D2099" i="48"/>
  <c r="D2100" i="48"/>
  <c r="D2101" i="48"/>
  <c r="D2102" i="48"/>
  <c r="D2103" i="48"/>
  <c r="D2104" i="48"/>
  <c r="D2105" i="48"/>
  <c r="D2106" i="48"/>
  <c r="D2107" i="48"/>
  <c r="D2108" i="48"/>
  <c r="D2109" i="48"/>
  <c r="D2110" i="48"/>
  <c r="D2111" i="48"/>
  <c r="D2112" i="48"/>
  <c r="D2113" i="48"/>
  <c r="D2114" i="48"/>
  <c r="D2115" i="48"/>
  <c r="D2116" i="48"/>
  <c r="D2117" i="48"/>
  <c r="D2118" i="48"/>
  <c r="D2119" i="48"/>
  <c r="D2120" i="48"/>
  <c r="D2121" i="48"/>
  <c r="D2122" i="48"/>
  <c r="D2123" i="48"/>
  <c r="D2124" i="48"/>
  <c r="D2125" i="48"/>
  <c r="D2126" i="48"/>
  <c r="D2127" i="48"/>
  <c r="D2128" i="48"/>
  <c r="D2129" i="48"/>
  <c r="D2130" i="48"/>
  <c r="D2131" i="48"/>
  <c r="D2132" i="48"/>
  <c r="D2133" i="48"/>
  <c r="D2134" i="48"/>
  <c r="D2135" i="48"/>
  <c r="D2136" i="48"/>
  <c r="D2137" i="48"/>
  <c r="D2138" i="48"/>
  <c r="D2139" i="48"/>
  <c r="D2140" i="48"/>
  <c r="D2141" i="48"/>
  <c r="D2142" i="48"/>
  <c r="D2143" i="48"/>
  <c r="D2144" i="48"/>
  <c r="D2145" i="48"/>
  <c r="D2146" i="48"/>
  <c r="D2147" i="48"/>
  <c r="D2148" i="48"/>
  <c r="D2149" i="48"/>
  <c r="D2150" i="48"/>
  <c r="D2151" i="48"/>
  <c r="D2152" i="48"/>
  <c r="D2153" i="48"/>
  <c r="D2154" i="48"/>
  <c r="D2155" i="48"/>
  <c r="D2156" i="48"/>
  <c r="D2157" i="48"/>
  <c r="D2158" i="48"/>
  <c r="D2159" i="48"/>
  <c r="D2160" i="48"/>
  <c r="D2161" i="48"/>
  <c r="D2162" i="48"/>
  <c r="D2163" i="48"/>
  <c r="D2164" i="48"/>
  <c r="D2165" i="48"/>
  <c r="D2166" i="48"/>
  <c r="D2167" i="48"/>
  <c r="D2168" i="48"/>
  <c r="D2169" i="48"/>
  <c r="D2170" i="48"/>
  <c r="D2171" i="48"/>
  <c r="D2172" i="48"/>
  <c r="D2173" i="48"/>
  <c r="D2174" i="48"/>
  <c r="D2175" i="48"/>
  <c r="D2176" i="48"/>
  <c r="D2177" i="48"/>
  <c r="D2178" i="48"/>
  <c r="D2179" i="48"/>
  <c r="D2180" i="48"/>
  <c r="D2181" i="48"/>
  <c r="D2182" i="48"/>
  <c r="D2183" i="48"/>
  <c r="D2184" i="48"/>
  <c r="D2185" i="48"/>
  <c r="D2186" i="48"/>
  <c r="D2187" i="48"/>
  <c r="D2188" i="48"/>
  <c r="D2189" i="48"/>
  <c r="D2190" i="48"/>
  <c r="D2191" i="48"/>
  <c r="D2192" i="48"/>
  <c r="D2193" i="48"/>
  <c r="D2194" i="48"/>
  <c r="D2195" i="48"/>
  <c r="D2196" i="48"/>
  <c r="D2197" i="48"/>
  <c r="D2198" i="48"/>
  <c r="D2199" i="48"/>
  <c r="D2200" i="48"/>
  <c r="D2201" i="48"/>
  <c r="D2202" i="48"/>
  <c r="D2203" i="48"/>
  <c r="D2204" i="48"/>
  <c r="D2205" i="48"/>
  <c r="D2206" i="48"/>
  <c r="D2207" i="48"/>
  <c r="D2208" i="48"/>
  <c r="D2209" i="48"/>
  <c r="D2210" i="48"/>
  <c r="D2211" i="48"/>
  <c r="D2212" i="48"/>
  <c r="D2213" i="48"/>
  <c r="D2214" i="48"/>
  <c r="D2215" i="48"/>
  <c r="D2216" i="48"/>
  <c r="D2217" i="48"/>
  <c r="D2218" i="48"/>
  <c r="D2219" i="48"/>
  <c r="D2220" i="48"/>
  <c r="D2221" i="48"/>
  <c r="D2222" i="48"/>
  <c r="D2223" i="48"/>
  <c r="D2224" i="48"/>
  <c r="D2225" i="48"/>
  <c r="D2226" i="48"/>
  <c r="D2227" i="48"/>
  <c r="D2228" i="48"/>
  <c r="D2229" i="48"/>
  <c r="D2230" i="48"/>
  <c r="D2231" i="48"/>
  <c r="D2232" i="48"/>
  <c r="D2233" i="48"/>
  <c r="D2234" i="48"/>
  <c r="D2235" i="48"/>
  <c r="D2236" i="48"/>
  <c r="D2237" i="48"/>
  <c r="D2238" i="48"/>
  <c r="D2239" i="48"/>
  <c r="D2240" i="48"/>
  <c r="D2241" i="48"/>
  <c r="D2242" i="48"/>
  <c r="D2243" i="48"/>
  <c r="D2244" i="48"/>
  <c r="D2245" i="48"/>
  <c r="D2246" i="48"/>
  <c r="D2247" i="48"/>
  <c r="D2248" i="48"/>
  <c r="D2249" i="48"/>
  <c r="D2250" i="48"/>
  <c r="D2251" i="48"/>
  <c r="D2252" i="48"/>
  <c r="D2253" i="48"/>
  <c r="D2254" i="48"/>
  <c r="D2255" i="48"/>
  <c r="D2256" i="48"/>
  <c r="D2257" i="48"/>
  <c r="D2258" i="48"/>
  <c r="D2259" i="48"/>
  <c r="D2260" i="48"/>
  <c r="D2261" i="48"/>
  <c r="D2262" i="48"/>
  <c r="D2263" i="48"/>
  <c r="D2264" i="48"/>
  <c r="D2265" i="48"/>
  <c r="D2266" i="48"/>
  <c r="D2267" i="48"/>
  <c r="D2268" i="48"/>
  <c r="D2269" i="48"/>
  <c r="D2270" i="48"/>
  <c r="D2271" i="48"/>
  <c r="D2272" i="48"/>
  <c r="D2273" i="48"/>
  <c r="D2274" i="48"/>
  <c r="D2275" i="48"/>
  <c r="D2276" i="48"/>
  <c r="D2277" i="48"/>
  <c r="D2278" i="48"/>
  <c r="D2279" i="48"/>
  <c r="D2280" i="48"/>
  <c r="D2281" i="48"/>
  <c r="D2282" i="48"/>
  <c r="D2283" i="48"/>
  <c r="D2284" i="48"/>
  <c r="D2285" i="48"/>
  <c r="D2286" i="48"/>
  <c r="D2287" i="48"/>
  <c r="D2288" i="48"/>
  <c r="D2289" i="48"/>
  <c r="D2290" i="48"/>
  <c r="D2291" i="48"/>
  <c r="D2292" i="48"/>
  <c r="D2293" i="48"/>
  <c r="D2294" i="48"/>
  <c r="D2295" i="48"/>
  <c r="D2296" i="48"/>
  <c r="D2297" i="48"/>
  <c r="D2298" i="48"/>
  <c r="D2299" i="48"/>
  <c r="D2300" i="48"/>
  <c r="D2301" i="48"/>
  <c r="D2302" i="48"/>
  <c r="D2303" i="48"/>
  <c r="D2304" i="48"/>
  <c r="D2305" i="48"/>
  <c r="D2306" i="48"/>
  <c r="D2307" i="48"/>
  <c r="D2308" i="48"/>
  <c r="D2309" i="48"/>
  <c r="D2310" i="48"/>
  <c r="D2311" i="48"/>
  <c r="D2312" i="48"/>
  <c r="D2313" i="48"/>
  <c r="D2314" i="48"/>
  <c r="D2315" i="48"/>
  <c r="D2316" i="48"/>
  <c r="D2317" i="48"/>
  <c r="D2318" i="48"/>
  <c r="D2319" i="48"/>
  <c r="D2320" i="48"/>
  <c r="D2321" i="48"/>
  <c r="D2322" i="48"/>
  <c r="D2323" i="48"/>
  <c r="D2324" i="48"/>
  <c r="D2325" i="48"/>
  <c r="D2326" i="48"/>
  <c r="D2327" i="48"/>
  <c r="D2328" i="48"/>
  <c r="D2329" i="48"/>
  <c r="D2330" i="48"/>
  <c r="D2331" i="48"/>
  <c r="D2332" i="48"/>
  <c r="D2333" i="48"/>
  <c r="D2334" i="48"/>
  <c r="D2335" i="48"/>
  <c r="D2336" i="48"/>
  <c r="D2337" i="48"/>
  <c r="D2338" i="48"/>
  <c r="D2339" i="48"/>
  <c r="D2340" i="48"/>
  <c r="D2341" i="48"/>
  <c r="D2342" i="48"/>
  <c r="D2343" i="48"/>
  <c r="D2344" i="48"/>
  <c r="D2345" i="48"/>
  <c r="D2346" i="48"/>
  <c r="D2347" i="48"/>
  <c r="D2348" i="48"/>
  <c r="D2349" i="48"/>
  <c r="D2350" i="48"/>
  <c r="D2351" i="48"/>
  <c r="D2352" i="48"/>
  <c r="D2353" i="48"/>
  <c r="D2354" i="48"/>
  <c r="D2355" i="48"/>
  <c r="D2356" i="48"/>
  <c r="D2357" i="48"/>
  <c r="D2358" i="48"/>
  <c r="D2359" i="48"/>
  <c r="D2360" i="48"/>
  <c r="D2361" i="48"/>
  <c r="D2362" i="48"/>
  <c r="D2363" i="48"/>
  <c r="D2364" i="48"/>
  <c r="D2365" i="48"/>
  <c r="D2366" i="48"/>
  <c r="D2367" i="48"/>
  <c r="D2368" i="48"/>
  <c r="D2369" i="48"/>
  <c r="D2370" i="48"/>
  <c r="D2371" i="48"/>
  <c r="D2372" i="48"/>
  <c r="D2373" i="48"/>
  <c r="D2374" i="48"/>
  <c r="D2375" i="48"/>
  <c r="D2376" i="48"/>
  <c r="D2377" i="48"/>
  <c r="D2378" i="48"/>
  <c r="D2379" i="48"/>
  <c r="D2380" i="48"/>
  <c r="D2381" i="48"/>
  <c r="D2382" i="48"/>
  <c r="D2383" i="48"/>
  <c r="D2384" i="48"/>
  <c r="D2385" i="48"/>
  <c r="D2386" i="48"/>
  <c r="D2387" i="48"/>
  <c r="D2388" i="48"/>
  <c r="D2389" i="48"/>
  <c r="D2390" i="48"/>
  <c r="D2391" i="48"/>
  <c r="D2392" i="48"/>
  <c r="D2393" i="48"/>
  <c r="D2394" i="48"/>
  <c r="D2395" i="48"/>
  <c r="D2396" i="48"/>
  <c r="D2397" i="48"/>
  <c r="D2398" i="48"/>
  <c r="D2399" i="48"/>
  <c r="D2400" i="48"/>
  <c r="D2401" i="48"/>
  <c r="D2402" i="48"/>
  <c r="D2403" i="48"/>
  <c r="D2404" i="48"/>
  <c r="D2405" i="48"/>
  <c r="D2406" i="48"/>
  <c r="D2407" i="48"/>
  <c r="D2408" i="48"/>
  <c r="D2409" i="48"/>
  <c r="D2410" i="48"/>
  <c r="D2411" i="48"/>
  <c r="D2412" i="48"/>
  <c r="D2413" i="48"/>
  <c r="D2414" i="48"/>
  <c r="D2415" i="48"/>
  <c r="D2416" i="48"/>
  <c r="D2417" i="48"/>
  <c r="D2418" i="48"/>
  <c r="D2419" i="48"/>
  <c r="D2420" i="48"/>
  <c r="D2421" i="48"/>
  <c r="D2422" i="48"/>
  <c r="D2423" i="48"/>
  <c r="D2424" i="48"/>
  <c r="D2425" i="48"/>
  <c r="D2426" i="48"/>
  <c r="D2427" i="48"/>
  <c r="D2428" i="48"/>
  <c r="D2429" i="48"/>
  <c r="D2430" i="48"/>
  <c r="D2431" i="48"/>
  <c r="D2432" i="48"/>
  <c r="D2433" i="48"/>
  <c r="D2434" i="48"/>
  <c r="D2435" i="48"/>
  <c r="D2436" i="48"/>
  <c r="D2437" i="48"/>
  <c r="D2438" i="48"/>
  <c r="D2439" i="48"/>
  <c r="D2440" i="48"/>
  <c r="D2441" i="48"/>
  <c r="D2442" i="48"/>
  <c r="D2443" i="48"/>
  <c r="D2444" i="48"/>
  <c r="D2445" i="48"/>
  <c r="D2446" i="48"/>
  <c r="D2447" i="48"/>
  <c r="D2448" i="48"/>
  <c r="D2449" i="48"/>
  <c r="D2450" i="48"/>
  <c r="D2451" i="48"/>
  <c r="D2452" i="48"/>
  <c r="D2453" i="48"/>
  <c r="D2454" i="48"/>
  <c r="D2455" i="48"/>
  <c r="D2456" i="48"/>
  <c r="D2457" i="48"/>
  <c r="D2458" i="48"/>
  <c r="D2459" i="48"/>
  <c r="D2460" i="48"/>
  <c r="D2461" i="48"/>
  <c r="D2462" i="48"/>
  <c r="D2463" i="48"/>
  <c r="D2464" i="48"/>
  <c r="D2465" i="48"/>
  <c r="D2466" i="48"/>
  <c r="D2467" i="48"/>
  <c r="D2468" i="48"/>
  <c r="D2469" i="48"/>
  <c r="D2470" i="48"/>
  <c r="D2471" i="48"/>
  <c r="D2472" i="48"/>
  <c r="D2473" i="48"/>
  <c r="D2474" i="48"/>
  <c r="D2475" i="48"/>
  <c r="D2476" i="48"/>
  <c r="D2477" i="48"/>
  <c r="D2478" i="48"/>
  <c r="D2479" i="48"/>
  <c r="D2480" i="48"/>
  <c r="D2481" i="48"/>
  <c r="D2482" i="48"/>
  <c r="D2483" i="48"/>
  <c r="D2484" i="48"/>
  <c r="D2485" i="48"/>
  <c r="D2486" i="48"/>
  <c r="D2487" i="48"/>
  <c r="D2488" i="48"/>
  <c r="D2489" i="48"/>
  <c r="D2490" i="48"/>
  <c r="D2491" i="48"/>
  <c r="D2492" i="48"/>
  <c r="D2493" i="48"/>
  <c r="D2494" i="48"/>
  <c r="D2495" i="48"/>
  <c r="D2496" i="48"/>
  <c r="D2497" i="48"/>
  <c r="D2498" i="48"/>
  <c r="D2499" i="48"/>
  <c r="D2500" i="48"/>
  <c r="D2501" i="48"/>
  <c r="D2502" i="48"/>
  <c r="D2503" i="48"/>
  <c r="D2504" i="48"/>
  <c r="D2505" i="48"/>
  <c r="D2506" i="48"/>
  <c r="D2507" i="48"/>
  <c r="D2508" i="48"/>
  <c r="D2509" i="48"/>
  <c r="D2510" i="48"/>
  <c r="D2511" i="48"/>
  <c r="D2512" i="48"/>
  <c r="D2513" i="48"/>
  <c r="D2514" i="48"/>
  <c r="D2515" i="48"/>
  <c r="D2516" i="48"/>
  <c r="D2517" i="48"/>
  <c r="D2518" i="48"/>
  <c r="D2519" i="48"/>
  <c r="D2520" i="48"/>
  <c r="D2521" i="48"/>
  <c r="D2522" i="48"/>
  <c r="D2523" i="48"/>
  <c r="D2524" i="48"/>
  <c r="D2525" i="48"/>
  <c r="D2526" i="48"/>
  <c r="D2527" i="48"/>
  <c r="D2528" i="48"/>
  <c r="D2529" i="48"/>
  <c r="D2530" i="48"/>
  <c r="D2531" i="48"/>
  <c r="D2532" i="48"/>
  <c r="D2533" i="48"/>
  <c r="D2534" i="48"/>
  <c r="D2535" i="48"/>
  <c r="D2536" i="48"/>
  <c r="D2537" i="48"/>
  <c r="D2538" i="48"/>
  <c r="D2539" i="48"/>
  <c r="D2540" i="48"/>
  <c r="D2541" i="48"/>
  <c r="D2542" i="48"/>
  <c r="D2543" i="48"/>
  <c r="D2544" i="48"/>
  <c r="D2545" i="48"/>
  <c r="D2546" i="48"/>
  <c r="D2547" i="48"/>
  <c r="D2548" i="48"/>
  <c r="D2549" i="48"/>
  <c r="D2550" i="48"/>
  <c r="D2551" i="48"/>
  <c r="D2552" i="48"/>
  <c r="D2553" i="48"/>
  <c r="D2554" i="48"/>
  <c r="D2555" i="48"/>
  <c r="D2556" i="48"/>
  <c r="D2557" i="48"/>
  <c r="D2558" i="48"/>
  <c r="D2559" i="48"/>
  <c r="D2560" i="48"/>
  <c r="D2561" i="48"/>
  <c r="D2562" i="48"/>
  <c r="D2563" i="48"/>
  <c r="D2564" i="48"/>
  <c r="D2565" i="48"/>
  <c r="D2566" i="48"/>
  <c r="D2567" i="48"/>
  <c r="D2568" i="48"/>
  <c r="D2569" i="48"/>
  <c r="D2570" i="48"/>
  <c r="D2571" i="48"/>
  <c r="D2572" i="48"/>
  <c r="D2573" i="48"/>
  <c r="D2574" i="48"/>
  <c r="D2575" i="48"/>
  <c r="D2576" i="48"/>
  <c r="D2577" i="48"/>
  <c r="D2578" i="48"/>
  <c r="D2579" i="48"/>
  <c r="D2580" i="48"/>
  <c r="D2581" i="48"/>
  <c r="D2582" i="48"/>
  <c r="D2583" i="48"/>
  <c r="D2584" i="48"/>
  <c r="D2585" i="48"/>
  <c r="D2586" i="48"/>
  <c r="D2587" i="48"/>
  <c r="D2588" i="48"/>
  <c r="D2589" i="48"/>
  <c r="D2590" i="48"/>
  <c r="D2591" i="48"/>
  <c r="D2592" i="48"/>
  <c r="D2593" i="48"/>
  <c r="D2594" i="48"/>
  <c r="D2595" i="48"/>
  <c r="D2596" i="48"/>
  <c r="D2597" i="48"/>
  <c r="D2598" i="48"/>
  <c r="D2599" i="48"/>
  <c r="D2600" i="48"/>
  <c r="D2601" i="48"/>
  <c r="D2602" i="48"/>
  <c r="D2603" i="48"/>
  <c r="D2604" i="48"/>
  <c r="D2605" i="48"/>
  <c r="D2606" i="48"/>
  <c r="D2607" i="48"/>
  <c r="D2608" i="48"/>
  <c r="D2609" i="48"/>
  <c r="D2610" i="48"/>
  <c r="D2611" i="48"/>
  <c r="D2612" i="48"/>
  <c r="D2613" i="48"/>
  <c r="D2614" i="48"/>
  <c r="D2615" i="48"/>
  <c r="D2616" i="48"/>
  <c r="D2617" i="48"/>
  <c r="D2618" i="48"/>
  <c r="D2619" i="48"/>
  <c r="D2620" i="48"/>
  <c r="D2621" i="48"/>
  <c r="D2622" i="48"/>
  <c r="D2623" i="48"/>
  <c r="D2624" i="48"/>
  <c r="D2625" i="48"/>
  <c r="D2626" i="48"/>
  <c r="D2627" i="48"/>
  <c r="D2628" i="48"/>
  <c r="D2629" i="48"/>
  <c r="D2630" i="48"/>
  <c r="D2631" i="48"/>
  <c r="D2632" i="48"/>
  <c r="D2633" i="48"/>
  <c r="D2634" i="48"/>
  <c r="D2635" i="48"/>
  <c r="D2636" i="48"/>
  <c r="D2637" i="48"/>
  <c r="D2638" i="48"/>
  <c r="D2639" i="48"/>
  <c r="D2640" i="48"/>
  <c r="D2641" i="48"/>
  <c r="D2642" i="48"/>
  <c r="D2643" i="48"/>
  <c r="D2644" i="48"/>
  <c r="D2645" i="48"/>
  <c r="D2646" i="48"/>
  <c r="D2647" i="48"/>
  <c r="D2648" i="48"/>
  <c r="D2649" i="48"/>
  <c r="D2650" i="48"/>
  <c r="D2651" i="48"/>
  <c r="D2652" i="48"/>
  <c r="D2653" i="48"/>
  <c r="D2654" i="48"/>
  <c r="D2655" i="48"/>
  <c r="D2656" i="48"/>
  <c r="D2657" i="48"/>
  <c r="D2658" i="48"/>
  <c r="D2659" i="48"/>
  <c r="D2660" i="48"/>
  <c r="D2661" i="48"/>
  <c r="D2662" i="48"/>
  <c r="D2663" i="48"/>
  <c r="D2664" i="48"/>
  <c r="D2665" i="48"/>
  <c r="D2666" i="48"/>
  <c r="D2667" i="48"/>
  <c r="D2668" i="48"/>
  <c r="D2669" i="48"/>
  <c r="D2670" i="48"/>
  <c r="D2671" i="48"/>
  <c r="D2672" i="48"/>
  <c r="D2673" i="48"/>
  <c r="D2674" i="48"/>
  <c r="D2675" i="48"/>
  <c r="D2676" i="48"/>
  <c r="D2677" i="48"/>
  <c r="D2678" i="48"/>
  <c r="D2679" i="48"/>
  <c r="D2680" i="48"/>
  <c r="D2681" i="48"/>
  <c r="D2682" i="48"/>
  <c r="D2683" i="48"/>
  <c r="D2684" i="48"/>
  <c r="D2685" i="48"/>
  <c r="D2686" i="48"/>
  <c r="D2687" i="48"/>
  <c r="D2688" i="48"/>
  <c r="D2689" i="48"/>
  <c r="D2690" i="48"/>
  <c r="D2691" i="48"/>
  <c r="D2692" i="48"/>
  <c r="D2693" i="48"/>
  <c r="D2694" i="48"/>
  <c r="D2695" i="48"/>
  <c r="D2696" i="48"/>
  <c r="D2697" i="48"/>
  <c r="D2698" i="48"/>
  <c r="D2699" i="48"/>
  <c r="D2700" i="48"/>
  <c r="D2701" i="48"/>
  <c r="D2702" i="48"/>
  <c r="D2703" i="48"/>
  <c r="D2704" i="48"/>
  <c r="D2705" i="48"/>
  <c r="D2706" i="48"/>
  <c r="D2707" i="48"/>
  <c r="D2708" i="48"/>
  <c r="D2709" i="48"/>
  <c r="D2710" i="48"/>
  <c r="D2711" i="48"/>
  <c r="D2712" i="48"/>
  <c r="D2713" i="48"/>
  <c r="D2714" i="48"/>
  <c r="D2715" i="48"/>
  <c r="D2716" i="48"/>
  <c r="D2717" i="48"/>
  <c r="D2718" i="48"/>
  <c r="D2719" i="48"/>
  <c r="D2720" i="48"/>
  <c r="D2721" i="48"/>
  <c r="D2722" i="48"/>
  <c r="D2723" i="48"/>
  <c r="D2724" i="48"/>
  <c r="D2725" i="48"/>
  <c r="D2726" i="48"/>
  <c r="D2727" i="48"/>
  <c r="D2728" i="48"/>
  <c r="D2729" i="48"/>
  <c r="D2730" i="48"/>
  <c r="D2731" i="48"/>
  <c r="D2732" i="48"/>
  <c r="D2733" i="48"/>
  <c r="D2734" i="48"/>
  <c r="D2735" i="48"/>
  <c r="D2736" i="48"/>
  <c r="D2737" i="48"/>
  <c r="D2738" i="48"/>
  <c r="D2739" i="48"/>
  <c r="D2740" i="48"/>
  <c r="D2741" i="48"/>
  <c r="D2742" i="48"/>
  <c r="D2743" i="48"/>
  <c r="D2744" i="48"/>
  <c r="D2745" i="48"/>
  <c r="D2746" i="48"/>
  <c r="D2747" i="48"/>
  <c r="D2748" i="48"/>
  <c r="D2749" i="48"/>
  <c r="D2750" i="48"/>
  <c r="D2751" i="48"/>
  <c r="D2752" i="48"/>
  <c r="D2753" i="48"/>
  <c r="D2754" i="48"/>
  <c r="D2755" i="48"/>
  <c r="D2756" i="48"/>
  <c r="D2757" i="48"/>
  <c r="D2758" i="48"/>
  <c r="D2759" i="48"/>
  <c r="D2760" i="48"/>
  <c r="D2761" i="48"/>
  <c r="D2762" i="48"/>
  <c r="D2763" i="48"/>
  <c r="D2764" i="48"/>
  <c r="D2765" i="48"/>
  <c r="D2766" i="48"/>
  <c r="D2767" i="48"/>
  <c r="D2768" i="48"/>
  <c r="D2769" i="48"/>
  <c r="D2770" i="48"/>
  <c r="D2771" i="48"/>
  <c r="D2772" i="48"/>
  <c r="D2773" i="48"/>
  <c r="D2774" i="48"/>
  <c r="D2775" i="48"/>
  <c r="D2776" i="48"/>
  <c r="D2777" i="48"/>
  <c r="D2778" i="48"/>
  <c r="D2779" i="48"/>
  <c r="D2780" i="48"/>
  <c r="D2781" i="48"/>
  <c r="D2782" i="48"/>
  <c r="D2783" i="48"/>
  <c r="D2784" i="48"/>
  <c r="D2785" i="48"/>
  <c r="D2786" i="48"/>
  <c r="D2787" i="48"/>
  <c r="D2788" i="48"/>
  <c r="D2789" i="48"/>
  <c r="D2790" i="48"/>
  <c r="D2791" i="48"/>
  <c r="D2792" i="48"/>
  <c r="D2793" i="48"/>
  <c r="D2794" i="48"/>
  <c r="D2795" i="48"/>
  <c r="D2796" i="48"/>
  <c r="D2797" i="48"/>
  <c r="D2798" i="48"/>
  <c r="D2799" i="48"/>
  <c r="D2800" i="48"/>
  <c r="D2801" i="48"/>
  <c r="D2802" i="48"/>
  <c r="D2803" i="48"/>
  <c r="D2804" i="48"/>
  <c r="D2805" i="48"/>
  <c r="D2806" i="48"/>
  <c r="D2807" i="48"/>
  <c r="D2808" i="48"/>
  <c r="D2809" i="48"/>
  <c r="D2810" i="48"/>
  <c r="D2811" i="48"/>
  <c r="D2812" i="48"/>
  <c r="D2813" i="48"/>
  <c r="D2814" i="48"/>
  <c r="D2815" i="48"/>
  <c r="D2816" i="48"/>
  <c r="D2817" i="48"/>
  <c r="D2818" i="48"/>
  <c r="D2819" i="48"/>
  <c r="D2820" i="48"/>
  <c r="D2821" i="48"/>
  <c r="D2822" i="48"/>
  <c r="D2823" i="48"/>
  <c r="D2824" i="48"/>
  <c r="D2825" i="48"/>
  <c r="D2826" i="48"/>
  <c r="D2827" i="48"/>
  <c r="D2828" i="48"/>
  <c r="D2829" i="48"/>
  <c r="D2830" i="48"/>
  <c r="D2831" i="48"/>
  <c r="D2832" i="48"/>
  <c r="D2833" i="48"/>
  <c r="D2834" i="48"/>
  <c r="D2835" i="48"/>
  <c r="D2836" i="48"/>
  <c r="D2837" i="48"/>
  <c r="D2838" i="48"/>
  <c r="D2839" i="48"/>
  <c r="D2840" i="48"/>
  <c r="D2841" i="48"/>
  <c r="D2842" i="48"/>
  <c r="D2843" i="48"/>
  <c r="D2844" i="48"/>
  <c r="D2845" i="48"/>
  <c r="D2846" i="48"/>
  <c r="D2847" i="48"/>
  <c r="D2848" i="48"/>
  <c r="D2849" i="48"/>
  <c r="D2850" i="48"/>
  <c r="D2851" i="48"/>
  <c r="D2852" i="48"/>
  <c r="D2853" i="48"/>
  <c r="D2854" i="48"/>
  <c r="D2855" i="48"/>
  <c r="D2856" i="48"/>
  <c r="D2857" i="48"/>
  <c r="D2858" i="48"/>
  <c r="D2859" i="48"/>
  <c r="D2860" i="48"/>
  <c r="D2861" i="48"/>
  <c r="D2862" i="48"/>
  <c r="D2863" i="48"/>
  <c r="D2864" i="48"/>
  <c r="D2865" i="48"/>
  <c r="D2866" i="48"/>
  <c r="D2867" i="48"/>
  <c r="D2868" i="48"/>
  <c r="D2869" i="48"/>
  <c r="D2870" i="48"/>
  <c r="D2871" i="48"/>
  <c r="D2872" i="48"/>
  <c r="D2873" i="48"/>
  <c r="D2874" i="48"/>
  <c r="D2875" i="48"/>
  <c r="D2876" i="48"/>
  <c r="D2877" i="48"/>
  <c r="D2878" i="48"/>
  <c r="D2879" i="48"/>
  <c r="D2880" i="48"/>
  <c r="D2881" i="48"/>
  <c r="D2882" i="48"/>
  <c r="D2883" i="48"/>
  <c r="D2884" i="48"/>
  <c r="D2885" i="48"/>
  <c r="D2886" i="48"/>
  <c r="D2887" i="48"/>
  <c r="D2888" i="48"/>
  <c r="D2889" i="48"/>
  <c r="D2890" i="48"/>
  <c r="D2891" i="48"/>
  <c r="D2892" i="48"/>
  <c r="D2893" i="48"/>
  <c r="D2894" i="48"/>
  <c r="D2895" i="48"/>
  <c r="D2896" i="48"/>
  <c r="D2897" i="48"/>
  <c r="D2898" i="48"/>
  <c r="D2899" i="48"/>
  <c r="D2900" i="48"/>
  <c r="D2901" i="48"/>
  <c r="D2902" i="48"/>
  <c r="D2903" i="48"/>
  <c r="D2904" i="48"/>
  <c r="D2905" i="48"/>
  <c r="D2906" i="48"/>
  <c r="D2907" i="48"/>
  <c r="D2908" i="48"/>
  <c r="D2909" i="48"/>
  <c r="D2910" i="48"/>
  <c r="D2911" i="48"/>
  <c r="D2912" i="48"/>
  <c r="D2913" i="48"/>
  <c r="D2914" i="48"/>
  <c r="D2915" i="48"/>
  <c r="D2916" i="48"/>
  <c r="D2917" i="48"/>
  <c r="D2918" i="48"/>
  <c r="D2919" i="48"/>
  <c r="D2920" i="48"/>
  <c r="D2921" i="48"/>
  <c r="D2922" i="48"/>
  <c r="D2923" i="48"/>
  <c r="D2924" i="48"/>
  <c r="D2925" i="48"/>
  <c r="D2926" i="48"/>
  <c r="D2927" i="48"/>
  <c r="D2928" i="48"/>
  <c r="D2929" i="48"/>
  <c r="D2930" i="48"/>
  <c r="D2931" i="48"/>
  <c r="D2932" i="48"/>
  <c r="D2933" i="48"/>
  <c r="D2934" i="48"/>
  <c r="D2935" i="48"/>
  <c r="D2936" i="48"/>
  <c r="D2937" i="48"/>
  <c r="D2938" i="48"/>
  <c r="D2939" i="48"/>
  <c r="D2940" i="48"/>
  <c r="D2941" i="48"/>
  <c r="D2942" i="48"/>
  <c r="D2943" i="48"/>
  <c r="D2944" i="48"/>
  <c r="D2945" i="48"/>
  <c r="D2946" i="48"/>
  <c r="D2947" i="48"/>
  <c r="D2948" i="48"/>
  <c r="D2949" i="48"/>
  <c r="D2950" i="48"/>
  <c r="D2951" i="48"/>
  <c r="D2952" i="48"/>
  <c r="D2953" i="48"/>
  <c r="D2954" i="48"/>
  <c r="D2955" i="48"/>
  <c r="D2956" i="48"/>
  <c r="D2957" i="48"/>
  <c r="D2958" i="48"/>
  <c r="D2959" i="48"/>
  <c r="D2960" i="48"/>
  <c r="D2961" i="48"/>
  <c r="D2962" i="48"/>
  <c r="D2963" i="48"/>
  <c r="D2964" i="48"/>
  <c r="D2965" i="48"/>
  <c r="D2966" i="48"/>
  <c r="D2967" i="48"/>
  <c r="D2968" i="48"/>
  <c r="D2969" i="48"/>
  <c r="D2970" i="48"/>
  <c r="D2971" i="48"/>
  <c r="D2972" i="48"/>
  <c r="D2973" i="48"/>
  <c r="D2974" i="48"/>
  <c r="D2975" i="48"/>
  <c r="D2976" i="48"/>
  <c r="D2977" i="48"/>
  <c r="D2978" i="48"/>
  <c r="D2979" i="48"/>
  <c r="D2980" i="48"/>
  <c r="D2981" i="48"/>
  <c r="D2982" i="48"/>
  <c r="D2983" i="48"/>
  <c r="D2984" i="48"/>
  <c r="D2985" i="48"/>
  <c r="D2986" i="48"/>
  <c r="D2987" i="48"/>
  <c r="D2988" i="48"/>
  <c r="D2989" i="48"/>
  <c r="D2990" i="48"/>
  <c r="D2991" i="48"/>
  <c r="D2992" i="48"/>
  <c r="D2993" i="48"/>
  <c r="D2994" i="48"/>
  <c r="D2995" i="48"/>
  <c r="D2996" i="48"/>
  <c r="D2997" i="48"/>
  <c r="D2998" i="48"/>
  <c r="D2999" i="48"/>
  <c r="D3000" i="48"/>
  <c r="D3001" i="48"/>
  <c r="D3002" i="48"/>
  <c r="D3003" i="48"/>
  <c r="D3004" i="48"/>
  <c r="D3005" i="48"/>
  <c r="D3006" i="48"/>
  <c r="D3007" i="48"/>
  <c r="D3008" i="48"/>
  <c r="D3009" i="48"/>
  <c r="D3010" i="48"/>
  <c r="D3011" i="48"/>
  <c r="D3012" i="48"/>
  <c r="D3013" i="48"/>
  <c r="D3014" i="48"/>
  <c r="D3015" i="48"/>
  <c r="D3016" i="48"/>
  <c r="D3017" i="48"/>
  <c r="D3018" i="48"/>
  <c r="D3019" i="48"/>
  <c r="D3020" i="48"/>
  <c r="D3021" i="48"/>
  <c r="D3022" i="48"/>
  <c r="D3023" i="48"/>
  <c r="D3024" i="48"/>
  <c r="D3025" i="48"/>
  <c r="D3026" i="48"/>
  <c r="D3027" i="48"/>
  <c r="D3028" i="48"/>
  <c r="D3029" i="48"/>
  <c r="D3030" i="48"/>
  <c r="D3031" i="48"/>
  <c r="D3032" i="48"/>
  <c r="D3033" i="48"/>
  <c r="D3034" i="48"/>
  <c r="D3035" i="48"/>
  <c r="D3036" i="48"/>
  <c r="D3037" i="48"/>
  <c r="D3038" i="48"/>
  <c r="D3039" i="48"/>
  <c r="D3040" i="48"/>
  <c r="D3041" i="48"/>
  <c r="D3042" i="48"/>
  <c r="D3043" i="48"/>
  <c r="D3044" i="48"/>
  <c r="D3045" i="48"/>
  <c r="D3046" i="48"/>
  <c r="D3047" i="48"/>
  <c r="D3048" i="48"/>
  <c r="D3049" i="48"/>
  <c r="D3050" i="48"/>
  <c r="D3051" i="48"/>
  <c r="D3052" i="48"/>
  <c r="D3053" i="48"/>
  <c r="D3054" i="48"/>
  <c r="D3055" i="48"/>
  <c r="D3056" i="48"/>
  <c r="D3057" i="48"/>
  <c r="D3058" i="48"/>
  <c r="D3059" i="48"/>
  <c r="D3060" i="48"/>
  <c r="D3061" i="48"/>
  <c r="D3062" i="48"/>
  <c r="D3063" i="48"/>
  <c r="D3064" i="48"/>
  <c r="D3065" i="48"/>
  <c r="D3066" i="48"/>
  <c r="D3067" i="48"/>
  <c r="D3068" i="48"/>
  <c r="D3069" i="48"/>
  <c r="D3070" i="48"/>
  <c r="D3071" i="48"/>
  <c r="D3072" i="48"/>
  <c r="D3073" i="48"/>
  <c r="D3074" i="48"/>
  <c r="D3075" i="48"/>
  <c r="D3076" i="48"/>
  <c r="D3077" i="48"/>
  <c r="D3078" i="48"/>
  <c r="D3079" i="48"/>
  <c r="D3080" i="48"/>
  <c r="D3081" i="48"/>
  <c r="D3082" i="48"/>
  <c r="D3083" i="48"/>
  <c r="D3084" i="48"/>
  <c r="D3085" i="48"/>
  <c r="D3086" i="48"/>
  <c r="D3087" i="48"/>
  <c r="D3088" i="48"/>
  <c r="D3089" i="48"/>
  <c r="D3090" i="48"/>
  <c r="D3091" i="48"/>
  <c r="D3092" i="48"/>
  <c r="D3093" i="48"/>
  <c r="D3094" i="48"/>
  <c r="D3095" i="48"/>
  <c r="D3096" i="48"/>
  <c r="D3097" i="48"/>
  <c r="D3098" i="48"/>
  <c r="D3099" i="48"/>
  <c r="D3100" i="48"/>
  <c r="D3101" i="48"/>
  <c r="D3102" i="48"/>
  <c r="D3103" i="48"/>
  <c r="D3104" i="48"/>
  <c r="D3105" i="48"/>
  <c r="D3106" i="48"/>
  <c r="D3107" i="48"/>
  <c r="D3108" i="48"/>
  <c r="D3109" i="48"/>
  <c r="D3110" i="48"/>
  <c r="D3111" i="48"/>
  <c r="D3112" i="48"/>
  <c r="D3113" i="48"/>
  <c r="D3114" i="48"/>
  <c r="D3115" i="48"/>
  <c r="D3116" i="48"/>
  <c r="D3117" i="48"/>
  <c r="D3118" i="48"/>
  <c r="D3119" i="48"/>
  <c r="D3120" i="48"/>
  <c r="D3121" i="48"/>
  <c r="D3122" i="48"/>
  <c r="D3123" i="48"/>
  <c r="D3124" i="48"/>
  <c r="D3125" i="48"/>
  <c r="D3126" i="48"/>
  <c r="D3127" i="48"/>
  <c r="D3128" i="48"/>
  <c r="D3129" i="48"/>
  <c r="D3130" i="48"/>
  <c r="D3131" i="48"/>
  <c r="D3132" i="48"/>
  <c r="D3133" i="48"/>
  <c r="D3134" i="48"/>
  <c r="D3135" i="48"/>
  <c r="D3136" i="48"/>
  <c r="D3137" i="48"/>
  <c r="D3138" i="48"/>
  <c r="D3139" i="48"/>
  <c r="D3140" i="48"/>
  <c r="D3141" i="48"/>
  <c r="D3142" i="48"/>
  <c r="D3143" i="48"/>
  <c r="D3144" i="48"/>
  <c r="D3145" i="48"/>
  <c r="D3146" i="48"/>
  <c r="D3147" i="48"/>
  <c r="D3148" i="48"/>
  <c r="D3149" i="48"/>
  <c r="D3150" i="48"/>
  <c r="D3151" i="48"/>
  <c r="D3152" i="48"/>
  <c r="D3153" i="48"/>
  <c r="D3154" i="48"/>
  <c r="D3155" i="48"/>
  <c r="D3156" i="48"/>
  <c r="D3157" i="48"/>
  <c r="D3158" i="48"/>
  <c r="D3159" i="48"/>
  <c r="D3160" i="48"/>
  <c r="D3161" i="48"/>
  <c r="D3162" i="48"/>
  <c r="D3163" i="48"/>
  <c r="D3164" i="48"/>
  <c r="D3165" i="48"/>
  <c r="D3166" i="48"/>
  <c r="D3167" i="48"/>
  <c r="D3168" i="48"/>
  <c r="D3169" i="48"/>
  <c r="D3170" i="48"/>
  <c r="D3171" i="48"/>
  <c r="D3172" i="48"/>
  <c r="D3173" i="48"/>
  <c r="D3174" i="48"/>
  <c r="D3175" i="48"/>
  <c r="D3176" i="48"/>
  <c r="D3177" i="48"/>
  <c r="D3178" i="48"/>
  <c r="D3179" i="48"/>
  <c r="D3180" i="48"/>
  <c r="D3181" i="48"/>
  <c r="D3182" i="48"/>
  <c r="D3183" i="48"/>
  <c r="D3184" i="48"/>
  <c r="D3185" i="48"/>
  <c r="D3186" i="48"/>
  <c r="D3187" i="48"/>
  <c r="D3188" i="48"/>
  <c r="D3189" i="48"/>
  <c r="D3190" i="48"/>
  <c r="D3191" i="48"/>
  <c r="D3192" i="48"/>
  <c r="D3193" i="48"/>
  <c r="D3194" i="48"/>
  <c r="D3195" i="48"/>
  <c r="D3196" i="48"/>
  <c r="D3197" i="48"/>
  <c r="D3198" i="48"/>
  <c r="D3199" i="48"/>
  <c r="D3200" i="48"/>
  <c r="D3201" i="48"/>
  <c r="D3202" i="48"/>
  <c r="D3203" i="48"/>
  <c r="D3204" i="48"/>
  <c r="D3205" i="48"/>
  <c r="D3206" i="48"/>
  <c r="D3207" i="48"/>
  <c r="D3208" i="48"/>
  <c r="D3209" i="48"/>
  <c r="D3210" i="48"/>
  <c r="D3211" i="48"/>
  <c r="D3212" i="48"/>
  <c r="D3213" i="48"/>
  <c r="D3214" i="48"/>
  <c r="D3215" i="48"/>
  <c r="D3216" i="48"/>
  <c r="D3217" i="48"/>
  <c r="D3218" i="48"/>
  <c r="D3219" i="48"/>
  <c r="D3220" i="48"/>
  <c r="D3221" i="48"/>
  <c r="D3222" i="48"/>
  <c r="D3223" i="48"/>
  <c r="D3224" i="48"/>
  <c r="D3225" i="48"/>
  <c r="D3226" i="48"/>
  <c r="D3227" i="48"/>
  <c r="D3228" i="48"/>
  <c r="D3229" i="48"/>
  <c r="D3230" i="48"/>
  <c r="D3231" i="48"/>
  <c r="D3232" i="48"/>
  <c r="D3233" i="48"/>
  <c r="D3234" i="48"/>
  <c r="D3235" i="48"/>
  <c r="D3236" i="48"/>
  <c r="D3237" i="48"/>
  <c r="D3238" i="48"/>
  <c r="D3239" i="48"/>
  <c r="D3240" i="48"/>
  <c r="D3241" i="48"/>
  <c r="D3242" i="48"/>
  <c r="D3243" i="48"/>
  <c r="D3244" i="48"/>
  <c r="D3245" i="48"/>
  <c r="D3246" i="48"/>
  <c r="D3247" i="48"/>
  <c r="D3248" i="48"/>
  <c r="D3249" i="48"/>
  <c r="D3250" i="48"/>
  <c r="D3251" i="48"/>
  <c r="D3252" i="48"/>
  <c r="D3253" i="48"/>
  <c r="D3254" i="48"/>
  <c r="D3255" i="48"/>
  <c r="D3256" i="48"/>
  <c r="D3257" i="48"/>
  <c r="D3258" i="48"/>
  <c r="D3259" i="48"/>
  <c r="D3260" i="48"/>
  <c r="D3261" i="48"/>
  <c r="D3262" i="48"/>
  <c r="D3263" i="48"/>
  <c r="D3264" i="48"/>
  <c r="D3265" i="48"/>
  <c r="D3266" i="48"/>
  <c r="D3267" i="48"/>
  <c r="D3268" i="48"/>
  <c r="D3269" i="48"/>
  <c r="D3270" i="48"/>
  <c r="D3271" i="48"/>
  <c r="D3272" i="48"/>
  <c r="D3273" i="48"/>
  <c r="D3274" i="48"/>
  <c r="D3275" i="48"/>
  <c r="D3276" i="48"/>
  <c r="D3277" i="48"/>
  <c r="D3278" i="48"/>
  <c r="D3279" i="48"/>
  <c r="D3280" i="48"/>
  <c r="D3281" i="48"/>
  <c r="D3282" i="48"/>
  <c r="D3283" i="48"/>
  <c r="D3284" i="48"/>
  <c r="D3285" i="48"/>
  <c r="D3286" i="48"/>
  <c r="D3287" i="48"/>
  <c r="D3288" i="48"/>
  <c r="D3289" i="48"/>
  <c r="D3290" i="48"/>
  <c r="D3291" i="48"/>
  <c r="D3292" i="48"/>
  <c r="D3293" i="48"/>
  <c r="D3294" i="48"/>
  <c r="D3295" i="48"/>
  <c r="D3296" i="48"/>
  <c r="D3297" i="48"/>
  <c r="D3298" i="48"/>
  <c r="D3299" i="48"/>
  <c r="D3300" i="48"/>
  <c r="D3301" i="48"/>
  <c r="D3302" i="48"/>
  <c r="D3303" i="48"/>
  <c r="D3304" i="48"/>
  <c r="D3305" i="48"/>
  <c r="D3306" i="48"/>
  <c r="D3307" i="48"/>
  <c r="D3308" i="48"/>
  <c r="D3309" i="48"/>
  <c r="D3310" i="48"/>
  <c r="D3311" i="48"/>
  <c r="D3312" i="48"/>
  <c r="D3313" i="48"/>
  <c r="D3314" i="48"/>
  <c r="D3315" i="48"/>
  <c r="D3316" i="48"/>
  <c r="D3317" i="48"/>
  <c r="D3318" i="48"/>
  <c r="D3319" i="48"/>
  <c r="D3320" i="48"/>
  <c r="D3321" i="48"/>
  <c r="D3322" i="48"/>
  <c r="D3323" i="48"/>
  <c r="D3324" i="48"/>
  <c r="D3325" i="48"/>
  <c r="D3326" i="48"/>
  <c r="D3327" i="48"/>
  <c r="D3328" i="48"/>
  <c r="D3329" i="48"/>
  <c r="D3330" i="48"/>
  <c r="D3331" i="48"/>
  <c r="D3332" i="48"/>
  <c r="D3333" i="48"/>
  <c r="D3334" i="48"/>
  <c r="D3335" i="48"/>
  <c r="D3336" i="48"/>
  <c r="D3337" i="48"/>
  <c r="D3338" i="48"/>
  <c r="D3339" i="48"/>
  <c r="D3340" i="48"/>
  <c r="D3341" i="48"/>
  <c r="D3342" i="48"/>
  <c r="D3343" i="48"/>
  <c r="D3344" i="48"/>
  <c r="D3345" i="48"/>
  <c r="D3346" i="48"/>
  <c r="D3347" i="48"/>
  <c r="D3348" i="48"/>
  <c r="D3349" i="48"/>
  <c r="D3350" i="48"/>
  <c r="D3351" i="48"/>
  <c r="D3352" i="48"/>
  <c r="D3353" i="48"/>
  <c r="D3354" i="48"/>
  <c r="D3355" i="48"/>
  <c r="D3356" i="48"/>
  <c r="D3357" i="48"/>
  <c r="D3358" i="48"/>
  <c r="D3359" i="48"/>
  <c r="D3360" i="48"/>
  <c r="D3361" i="48"/>
  <c r="D3362" i="48"/>
  <c r="D3363" i="48"/>
  <c r="D3364" i="48"/>
  <c r="D3365" i="48"/>
  <c r="D3366" i="48"/>
  <c r="D3367" i="48"/>
  <c r="D3368" i="48"/>
  <c r="D3369" i="48"/>
  <c r="D3370" i="48"/>
  <c r="D3371" i="48"/>
  <c r="D3372" i="48"/>
  <c r="D3373" i="48"/>
  <c r="D3374" i="48"/>
  <c r="D3375" i="48"/>
  <c r="D3376" i="48"/>
  <c r="D3377" i="48"/>
  <c r="D3378" i="48"/>
  <c r="D3379" i="48"/>
  <c r="D3380" i="48"/>
  <c r="D3381" i="48"/>
  <c r="D3382" i="48"/>
  <c r="D3383" i="48"/>
  <c r="D3384" i="48"/>
  <c r="D3385" i="48"/>
  <c r="D3386" i="48"/>
  <c r="D3387" i="48"/>
  <c r="D3388" i="48"/>
  <c r="D3389" i="48"/>
  <c r="D3390" i="48"/>
  <c r="D3391" i="48"/>
  <c r="D3392" i="48"/>
  <c r="D3393" i="48"/>
  <c r="D3394" i="48"/>
  <c r="D3395" i="48"/>
  <c r="D3396" i="48"/>
  <c r="D3397" i="48"/>
  <c r="D3398" i="48"/>
  <c r="D3399" i="48"/>
  <c r="D3400" i="48"/>
  <c r="D3401" i="48"/>
  <c r="D3402" i="48"/>
  <c r="D3403" i="48"/>
  <c r="D3404" i="48"/>
  <c r="D3405" i="48"/>
  <c r="D3406" i="48"/>
  <c r="D3407" i="48"/>
  <c r="D3408" i="48"/>
  <c r="D3409" i="48"/>
  <c r="D3410" i="48"/>
  <c r="D3411" i="48"/>
  <c r="D3412" i="48"/>
  <c r="D3413" i="48"/>
  <c r="D3414" i="48"/>
  <c r="D3415" i="48"/>
  <c r="D3416" i="48"/>
  <c r="D3417" i="48"/>
  <c r="D3418" i="48"/>
  <c r="D3419" i="48"/>
  <c r="D3420" i="48"/>
  <c r="D3421" i="48"/>
  <c r="D3422" i="48"/>
  <c r="D3423" i="48"/>
  <c r="D3424" i="48"/>
  <c r="D3425" i="48"/>
  <c r="D3426" i="48"/>
  <c r="D3427" i="48"/>
  <c r="D3428" i="48"/>
  <c r="D3429" i="48"/>
  <c r="D3430" i="48"/>
  <c r="D3431" i="48"/>
  <c r="D3432" i="48"/>
  <c r="D3433" i="48"/>
  <c r="D3434" i="48"/>
  <c r="D3435" i="48"/>
  <c r="D3436" i="48"/>
  <c r="D3437" i="48"/>
  <c r="D3438" i="48"/>
  <c r="D3439" i="48"/>
  <c r="D3440" i="48"/>
  <c r="D3441" i="48"/>
  <c r="D3442" i="48"/>
  <c r="D3443" i="48"/>
  <c r="D3444" i="48"/>
  <c r="D3445" i="48"/>
  <c r="D3446" i="48"/>
  <c r="D3447" i="48"/>
  <c r="D3448" i="48"/>
  <c r="D3449" i="48"/>
  <c r="D3450" i="48"/>
  <c r="D3451" i="48"/>
  <c r="D3452" i="48"/>
  <c r="D3453" i="48"/>
  <c r="D3454" i="48"/>
  <c r="D3455" i="48"/>
  <c r="D3456" i="48"/>
  <c r="D3457" i="48"/>
  <c r="D3458" i="48"/>
  <c r="D3459" i="48"/>
  <c r="D3460" i="48"/>
  <c r="D3461" i="48"/>
  <c r="D3462" i="48"/>
  <c r="D3463" i="48"/>
  <c r="D3464" i="48"/>
  <c r="D3465" i="48"/>
  <c r="D3466" i="48"/>
  <c r="D3467" i="48"/>
  <c r="D3468" i="48"/>
  <c r="D3469" i="48"/>
  <c r="D3470" i="48"/>
  <c r="D3471" i="48"/>
  <c r="D3472" i="48"/>
  <c r="D3473" i="48"/>
  <c r="D3474" i="48"/>
  <c r="D3475" i="48"/>
  <c r="D3476" i="48"/>
  <c r="D3477" i="48"/>
  <c r="D3478" i="48"/>
  <c r="D3479" i="48"/>
  <c r="D3480" i="48"/>
  <c r="D3481" i="48"/>
  <c r="D3482" i="48"/>
  <c r="D3483" i="48"/>
  <c r="D3484" i="48"/>
  <c r="D3485" i="48"/>
  <c r="D3486" i="48"/>
  <c r="D3487" i="48"/>
  <c r="D3488" i="48"/>
  <c r="D3489" i="48"/>
  <c r="D3490" i="48"/>
  <c r="D3491" i="48"/>
  <c r="D3492" i="48"/>
  <c r="D3493" i="48"/>
  <c r="D3494" i="48"/>
  <c r="D3495" i="48"/>
  <c r="D3496" i="48"/>
  <c r="D3497" i="48"/>
  <c r="D3498" i="48"/>
  <c r="D3499" i="48"/>
  <c r="D3500" i="48"/>
  <c r="D3501" i="48"/>
  <c r="D3502" i="48"/>
  <c r="D3503" i="48"/>
  <c r="D3504" i="48"/>
  <c r="D3505" i="48"/>
  <c r="D3506" i="48"/>
  <c r="D3507" i="48"/>
  <c r="D3508" i="48"/>
  <c r="D3509" i="48"/>
  <c r="D3510" i="48"/>
  <c r="D3511" i="48"/>
  <c r="D3512" i="48"/>
  <c r="D3513" i="48"/>
  <c r="D3514" i="48"/>
  <c r="D3515" i="48"/>
  <c r="D3516" i="48"/>
  <c r="D3517" i="48"/>
  <c r="D3518" i="48"/>
  <c r="D3519" i="48"/>
  <c r="D3520" i="48"/>
  <c r="D3521" i="48"/>
  <c r="D3522" i="48"/>
  <c r="D3523" i="48"/>
  <c r="D3524" i="48"/>
  <c r="D3525" i="48"/>
  <c r="D3526" i="48"/>
  <c r="D3527" i="48"/>
  <c r="D3528" i="48"/>
  <c r="D3529" i="48"/>
  <c r="D3530" i="48"/>
  <c r="D3531" i="48"/>
  <c r="D3532" i="48"/>
  <c r="D3533" i="48"/>
  <c r="D3534" i="48"/>
  <c r="D3535" i="48"/>
  <c r="D3536" i="48"/>
  <c r="D3537" i="48"/>
  <c r="D3538" i="48"/>
  <c r="D3539" i="48"/>
  <c r="D3540" i="48"/>
  <c r="D3541" i="48"/>
  <c r="D3542" i="48"/>
  <c r="D3543" i="48"/>
  <c r="D3544" i="48"/>
  <c r="D3545" i="48"/>
  <c r="D3546" i="48"/>
  <c r="D3547" i="48"/>
  <c r="D3548" i="48"/>
  <c r="D3549" i="48"/>
  <c r="D3550" i="48"/>
  <c r="D3551" i="48"/>
  <c r="D3552" i="48"/>
  <c r="D3553" i="48"/>
  <c r="D3554" i="48"/>
  <c r="D3555" i="48"/>
  <c r="D3556" i="48"/>
  <c r="D3557" i="48"/>
  <c r="D3558" i="48"/>
  <c r="D3559" i="48"/>
  <c r="D3560" i="48"/>
  <c r="D3561" i="48"/>
  <c r="D3562" i="48"/>
  <c r="D3563" i="48"/>
  <c r="D3564" i="48"/>
  <c r="D3565" i="48"/>
  <c r="D3566" i="48"/>
  <c r="D3567" i="48"/>
  <c r="D3568" i="48"/>
  <c r="D3569" i="48"/>
  <c r="D3570" i="48"/>
  <c r="D3571" i="48"/>
  <c r="D3572" i="48"/>
  <c r="D3573" i="48"/>
  <c r="D3574" i="48"/>
  <c r="D3575" i="48"/>
  <c r="D3576" i="48"/>
  <c r="D3577" i="48"/>
  <c r="D3578" i="48"/>
  <c r="D3579" i="48"/>
  <c r="D3580" i="48"/>
  <c r="D3581" i="48"/>
  <c r="D3582" i="48"/>
  <c r="D3583" i="48"/>
  <c r="D3584" i="48"/>
  <c r="D3585" i="48"/>
  <c r="D3586" i="48"/>
  <c r="D3587" i="48"/>
  <c r="D3588" i="48"/>
  <c r="D3589" i="48"/>
  <c r="D3590" i="48"/>
  <c r="D3591" i="48"/>
  <c r="D3592" i="48"/>
  <c r="D3593" i="48"/>
  <c r="D3594" i="48"/>
  <c r="D3595" i="48"/>
  <c r="D3596" i="48"/>
  <c r="D3597" i="48"/>
  <c r="D3598" i="48"/>
  <c r="D3599" i="48"/>
  <c r="D3600" i="48"/>
  <c r="D3601" i="48"/>
  <c r="D3602" i="48"/>
  <c r="D3603" i="48"/>
  <c r="D3604" i="48"/>
  <c r="D3605" i="48"/>
  <c r="D3606" i="48"/>
  <c r="D3607" i="48"/>
  <c r="D3608" i="48"/>
  <c r="D3609" i="48"/>
  <c r="D3610" i="48"/>
  <c r="D3611" i="48"/>
  <c r="D3612" i="48"/>
  <c r="D3613" i="48"/>
  <c r="D3614" i="48"/>
  <c r="D3615" i="48"/>
  <c r="D3616" i="48"/>
  <c r="D3617" i="48"/>
  <c r="D3618" i="48"/>
  <c r="D3619" i="48"/>
  <c r="D3620" i="48"/>
  <c r="D3621" i="48"/>
  <c r="D3622" i="48"/>
  <c r="D3623" i="48"/>
  <c r="D3624" i="48"/>
  <c r="D3625" i="48"/>
  <c r="D3626" i="48"/>
  <c r="D3627" i="48"/>
  <c r="D3628" i="48"/>
  <c r="D3629" i="48"/>
  <c r="D3630" i="48"/>
  <c r="D3631" i="48"/>
  <c r="D3632" i="48"/>
  <c r="D3633" i="48"/>
  <c r="D3634" i="48"/>
  <c r="D3635" i="48"/>
  <c r="D3636" i="48"/>
  <c r="D3637" i="48"/>
  <c r="D3638" i="48"/>
  <c r="D3639" i="48"/>
  <c r="D3640" i="48"/>
  <c r="D3641" i="48"/>
  <c r="D3642" i="48"/>
  <c r="D3643" i="48"/>
  <c r="D3644" i="48"/>
  <c r="D3645" i="48"/>
  <c r="D3646" i="48"/>
  <c r="D3647" i="48"/>
  <c r="D3648" i="48"/>
  <c r="D3649" i="48"/>
  <c r="D3650" i="48"/>
  <c r="D3651" i="48"/>
  <c r="D3652" i="48"/>
  <c r="D3653" i="48"/>
  <c r="D3654" i="48"/>
  <c r="D3655" i="48"/>
  <c r="D3656" i="48"/>
  <c r="D3657" i="48"/>
  <c r="D3658" i="48"/>
  <c r="D3659" i="48"/>
  <c r="D3660" i="48"/>
  <c r="D3661" i="48"/>
  <c r="D3662" i="48"/>
  <c r="D3663" i="48"/>
  <c r="D3664" i="48"/>
  <c r="D3665" i="48"/>
  <c r="D3666" i="48"/>
  <c r="D3667" i="48"/>
  <c r="D3668" i="48"/>
  <c r="D3669" i="48"/>
  <c r="D3670" i="48"/>
  <c r="D3671" i="48"/>
  <c r="D3672" i="48"/>
  <c r="D3673" i="48"/>
  <c r="D3674" i="48"/>
  <c r="D3675" i="48"/>
  <c r="D3676" i="48"/>
  <c r="D3677" i="48"/>
  <c r="D3678" i="48"/>
  <c r="D3679" i="48"/>
  <c r="D3680" i="48"/>
  <c r="D3681" i="48"/>
  <c r="D3682" i="48"/>
  <c r="D3683" i="48"/>
  <c r="D3684" i="48"/>
  <c r="D3685" i="48"/>
  <c r="D3686" i="48"/>
  <c r="D3687" i="48"/>
  <c r="D3688" i="48"/>
  <c r="D3689" i="48"/>
  <c r="D3690" i="48"/>
  <c r="D3691" i="48"/>
  <c r="D3692" i="48"/>
  <c r="D3693" i="48"/>
  <c r="D3694" i="48"/>
  <c r="D3695" i="48"/>
  <c r="D3696" i="48"/>
  <c r="D3697" i="48"/>
  <c r="D3698" i="48"/>
  <c r="D3699" i="48"/>
  <c r="D3700" i="48"/>
  <c r="D3701" i="48"/>
  <c r="D3702" i="48"/>
  <c r="D3703" i="48"/>
  <c r="D3704" i="48"/>
  <c r="D3705" i="48"/>
  <c r="D3706" i="48"/>
  <c r="D3707" i="48"/>
  <c r="D3708" i="48"/>
  <c r="D3709" i="48"/>
  <c r="D3710" i="48"/>
  <c r="D3711" i="48"/>
  <c r="D3712" i="48"/>
  <c r="D3713" i="48"/>
  <c r="D3714" i="48"/>
  <c r="D3715" i="48"/>
  <c r="D3716" i="48"/>
  <c r="D3717" i="48"/>
  <c r="D3718" i="48"/>
  <c r="D3719" i="48"/>
  <c r="D3720" i="48"/>
  <c r="D3721" i="48"/>
  <c r="D3722" i="48"/>
  <c r="D3723" i="48"/>
  <c r="D3724" i="48"/>
  <c r="D3725" i="48"/>
  <c r="D3726" i="48"/>
  <c r="D3727" i="48"/>
  <c r="D3728" i="48"/>
  <c r="D3729" i="48"/>
  <c r="D3730" i="48"/>
  <c r="D3731" i="48"/>
  <c r="D3732" i="48"/>
  <c r="D3733" i="48"/>
  <c r="D3734" i="48"/>
  <c r="D3735" i="48"/>
  <c r="D3736" i="48"/>
  <c r="D3737" i="48"/>
  <c r="D3738" i="48"/>
  <c r="D3739" i="48"/>
  <c r="D3740" i="48"/>
  <c r="D3741" i="48"/>
  <c r="D3742" i="48"/>
  <c r="D3743" i="48"/>
  <c r="D3744" i="48"/>
  <c r="D3745" i="48"/>
  <c r="D3746" i="48"/>
  <c r="D3747" i="48"/>
  <c r="D3748" i="48"/>
  <c r="D3749" i="48"/>
  <c r="D3750" i="48"/>
  <c r="D3751" i="48"/>
  <c r="D3752" i="48"/>
  <c r="D3753" i="48"/>
  <c r="D3754" i="48"/>
  <c r="D3755" i="48"/>
  <c r="D3756" i="48"/>
  <c r="D3757" i="48"/>
  <c r="D3758" i="48"/>
  <c r="D3759" i="48"/>
  <c r="D3760" i="48"/>
  <c r="D3761" i="48"/>
  <c r="D3762" i="48"/>
  <c r="D3763" i="48"/>
  <c r="D3764" i="48"/>
  <c r="D3765" i="48"/>
  <c r="D3766" i="48"/>
  <c r="D3767" i="48"/>
  <c r="D3768" i="48"/>
  <c r="D3769" i="48"/>
  <c r="D3770" i="48"/>
  <c r="D3771" i="48"/>
  <c r="D3772" i="48"/>
  <c r="D3773" i="48"/>
  <c r="D3774" i="48"/>
  <c r="D3775" i="48"/>
  <c r="D3776" i="48"/>
  <c r="D3777" i="48"/>
  <c r="D3778" i="48"/>
  <c r="D3779" i="48"/>
  <c r="D3780" i="48"/>
  <c r="D3781" i="48"/>
  <c r="D3782" i="48"/>
  <c r="D3783" i="48"/>
  <c r="D3784" i="48"/>
  <c r="D3785" i="48"/>
  <c r="D3786" i="48"/>
  <c r="D3787" i="48"/>
  <c r="D3788" i="48"/>
  <c r="D3789" i="48"/>
  <c r="D3790" i="48"/>
  <c r="D3791" i="48"/>
  <c r="D3792" i="48"/>
  <c r="D3793" i="48"/>
  <c r="D3794" i="48"/>
  <c r="D3795" i="48"/>
  <c r="D3796" i="48"/>
  <c r="D3797" i="48"/>
  <c r="D3798" i="48"/>
  <c r="D3799" i="48"/>
  <c r="D3800" i="48"/>
  <c r="D3801" i="48"/>
  <c r="D3802" i="48"/>
  <c r="D3803" i="48"/>
  <c r="D3804" i="48"/>
  <c r="D3805" i="48"/>
  <c r="D3806" i="48"/>
  <c r="D3807" i="48"/>
  <c r="D3808" i="48"/>
  <c r="D3809" i="48"/>
  <c r="D3810" i="48"/>
  <c r="D3811" i="48"/>
  <c r="D3812" i="48"/>
  <c r="D3813" i="48"/>
  <c r="D3814" i="48"/>
  <c r="D3815" i="48"/>
  <c r="D3816" i="48"/>
  <c r="D3817" i="48"/>
  <c r="D3818" i="48"/>
  <c r="D3819" i="48"/>
  <c r="D3820" i="48"/>
  <c r="D3821" i="48"/>
  <c r="D3822" i="48"/>
  <c r="D3823" i="48"/>
  <c r="D3824" i="48"/>
  <c r="D3825" i="48"/>
  <c r="D3826" i="48"/>
  <c r="D3827" i="48"/>
  <c r="D3828" i="48"/>
  <c r="D3829" i="48"/>
  <c r="D3830" i="48"/>
  <c r="D3831" i="48"/>
  <c r="D3832" i="48"/>
  <c r="D3833" i="48"/>
  <c r="D3834" i="48"/>
  <c r="D3835" i="48"/>
  <c r="D3836" i="48"/>
  <c r="D3837" i="48"/>
  <c r="D3838" i="48"/>
  <c r="D3839" i="48"/>
  <c r="D3840" i="48"/>
  <c r="D3841" i="48"/>
  <c r="D3842" i="48"/>
  <c r="D3843" i="48"/>
  <c r="D3844" i="48"/>
  <c r="D3845" i="48"/>
  <c r="D3846" i="48"/>
  <c r="D3847" i="48"/>
  <c r="D3848" i="48"/>
  <c r="D3849" i="48"/>
  <c r="D3850" i="48"/>
  <c r="D3851" i="48"/>
  <c r="D3852" i="48"/>
  <c r="D3853" i="48"/>
  <c r="D3854" i="48"/>
  <c r="D3855" i="48"/>
  <c r="D3856" i="48"/>
  <c r="D3857" i="48"/>
  <c r="D3858" i="48"/>
  <c r="D3859" i="48"/>
  <c r="D3860" i="48"/>
  <c r="D3861" i="48"/>
  <c r="D3862" i="48"/>
  <c r="D3863" i="48"/>
  <c r="D3864" i="48"/>
  <c r="D3865" i="48"/>
  <c r="D3866" i="48"/>
  <c r="D3867" i="48"/>
  <c r="D3868" i="48"/>
  <c r="D3869" i="48"/>
  <c r="D3870" i="48"/>
  <c r="D3871" i="48"/>
  <c r="D3872" i="48"/>
  <c r="D3873" i="48"/>
  <c r="D3874" i="48"/>
  <c r="D3875" i="48"/>
  <c r="D3876" i="48"/>
  <c r="D3877" i="48"/>
  <c r="D3878" i="48"/>
  <c r="D3879" i="48"/>
  <c r="D3880" i="48"/>
  <c r="D3881" i="48"/>
  <c r="D3882" i="48"/>
  <c r="D3883" i="48"/>
  <c r="D3884" i="48"/>
  <c r="D3885" i="48"/>
  <c r="D3886" i="48"/>
  <c r="D3887" i="48"/>
  <c r="D3888" i="48"/>
  <c r="D3889" i="48"/>
  <c r="D3890" i="48"/>
  <c r="D3891" i="48"/>
  <c r="D3892" i="48"/>
  <c r="D3893" i="48"/>
  <c r="D3894" i="48"/>
  <c r="D3895" i="48"/>
  <c r="D3896" i="48"/>
  <c r="D3897" i="48"/>
  <c r="D3898" i="48"/>
  <c r="D3899" i="48"/>
  <c r="D3900" i="48"/>
  <c r="D3901" i="48"/>
  <c r="D3902" i="48"/>
  <c r="D3903" i="48"/>
  <c r="D3904" i="48"/>
  <c r="D3905" i="48"/>
  <c r="D3906" i="48"/>
  <c r="D3907" i="48"/>
  <c r="D3908" i="48"/>
  <c r="D3909" i="48"/>
  <c r="D3910" i="48"/>
  <c r="D3911" i="48"/>
  <c r="D3912" i="48"/>
  <c r="D3913" i="48"/>
  <c r="D3914" i="48"/>
  <c r="D3915" i="48"/>
  <c r="D3916" i="48"/>
  <c r="D3917" i="48"/>
  <c r="D3918" i="48"/>
  <c r="D3919" i="48"/>
  <c r="D3920" i="48"/>
  <c r="D3921" i="48"/>
  <c r="D3922" i="48"/>
  <c r="D3923" i="48"/>
  <c r="D3924" i="48"/>
  <c r="D3925" i="48"/>
  <c r="D3926" i="48"/>
  <c r="D3927" i="48"/>
  <c r="D3928" i="48"/>
  <c r="D3929" i="48"/>
  <c r="D3930" i="48"/>
  <c r="D3931" i="48"/>
  <c r="D3932" i="48"/>
  <c r="D3933" i="48"/>
  <c r="D3934" i="48"/>
  <c r="D3935" i="48"/>
  <c r="D3936" i="48"/>
  <c r="D3937" i="48"/>
  <c r="D3938" i="48"/>
  <c r="D3939" i="48"/>
  <c r="D3940" i="48"/>
  <c r="D3941" i="48"/>
  <c r="D3942" i="48"/>
  <c r="D3943" i="48"/>
  <c r="D3944" i="48"/>
  <c r="D3945" i="48"/>
  <c r="D3946" i="48"/>
  <c r="D3947" i="48"/>
  <c r="D3948" i="48"/>
  <c r="D3949" i="48"/>
  <c r="D3950" i="48"/>
  <c r="D3951" i="48"/>
  <c r="D3952" i="48"/>
  <c r="D3953" i="48"/>
  <c r="D3954" i="48"/>
  <c r="D3955" i="48"/>
  <c r="D3956" i="48"/>
  <c r="D3957" i="48"/>
  <c r="D3958" i="48"/>
  <c r="D3959" i="48"/>
  <c r="D3960" i="48"/>
  <c r="D3961" i="48"/>
  <c r="D3962" i="48"/>
  <c r="D3963" i="48"/>
  <c r="D3964" i="48"/>
  <c r="D3965" i="48"/>
  <c r="D3966" i="48"/>
  <c r="D3967" i="48"/>
  <c r="D3968" i="48"/>
  <c r="D3969" i="48"/>
  <c r="D3970" i="48"/>
  <c r="D3971" i="48"/>
  <c r="D3972" i="48"/>
  <c r="D3973" i="48"/>
  <c r="D3974" i="48"/>
  <c r="D3975" i="48"/>
  <c r="D3976" i="48"/>
  <c r="D3977" i="48"/>
  <c r="D3978" i="48"/>
  <c r="D3979" i="48"/>
  <c r="D3980" i="48"/>
  <c r="D3981" i="48"/>
  <c r="D3982" i="48"/>
  <c r="D3983" i="48"/>
  <c r="D3984" i="48"/>
  <c r="D3985" i="48"/>
  <c r="D3986" i="48"/>
  <c r="D3987" i="48"/>
  <c r="D3988" i="48"/>
  <c r="D3989" i="48"/>
  <c r="D3990" i="48"/>
  <c r="D3991" i="48"/>
  <c r="D3992" i="48"/>
  <c r="D3993" i="48"/>
  <c r="D3994" i="48"/>
  <c r="D3995" i="48"/>
  <c r="D3996" i="48"/>
  <c r="D3997" i="48"/>
  <c r="D3998" i="48"/>
  <c r="D3999" i="48"/>
  <c r="D4000" i="48"/>
  <c r="D4001" i="48"/>
  <c r="D4002" i="48"/>
  <c r="D4003" i="48"/>
  <c r="D4004" i="48"/>
  <c r="D4005" i="48"/>
  <c r="D4006" i="48"/>
  <c r="D4007" i="48"/>
  <c r="D4008" i="48"/>
  <c r="D4009" i="48"/>
  <c r="D4010" i="48"/>
  <c r="D4011" i="48"/>
  <c r="D4012" i="48"/>
  <c r="D4013" i="48"/>
  <c r="D4014" i="48"/>
  <c r="D4015" i="48"/>
  <c r="D4016" i="48"/>
  <c r="D4017" i="48"/>
  <c r="D4018" i="48"/>
  <c r="D4019" i="48"/>
  <c r="D4020" i="48"/>
  <c r="D4021" i="48"/>
  <c r="D4022" i="48"/>
  <c r="D4023" i="48"/>
  <c r="D4024" i="48"/>
  <c r="D4025" i="48"/>
  <c r="D4026" i="48"/>
  <c r="D4027" i="48"/>
  <c r="D4028" i="48"/>
  <c r="D4029" i="48"/>
  <c r="D4030" i="48"/>
  <c r="D4031" i="48"/>
  <c r="D4032" i="48"/>
  <c r="D4033" i="48"/>
  <c r="D4034" i="48"/>
  <c r="D4035" i="48"/>
  <c r="D4036" i="48"/>
  <c r="D4037" i="48"/>
  <c r="D4038" i="48"/>
  <c r="D4039" i="48"/>
  <c r="D4040" i="48"/>
  <c r="D4041" i="48"/>
  <c r="D4042" i="48"/>
  <c r="D4043" i="48"/>
  <c r="D4044" i="48"/>
  <c r="D4045" i="48"/>
  <c r="D4046" i="48"/>
  <c r="D4047" i="48"/>
  <c r="D4048" i="48"/>
  <c r="D4049" i="48"/>
  <c r="D4050" i="48"/>
  <c r="D4051" i="48"/>
  <c r="D4052" i="48"/>
  <c r="D4053" i="48"/>
  <c r="D4054" i="48"/>
  <c r="D4055" i="48"/>
  <c r="D4056" i="48"/>
  <c r="D4057" i="48"/>
  <c r="D4058" i="48"/>
  <c r="D4059" i="48"/>
  <c r="D4060" i="48"/>
  <c r="D4061" i="48"/>
  <c r="D4062" i="48"/>
  <c r="D4063" i="48"/>
  <c r="D4064" i="48"/>
  <c r="D4065" i="48"/>
  <c r="D4066" i="48"/>
  <c r="D4067" i="48"/>
  <c r="D4068" i="48"/>
  <c r="D4069" i="48"/>
  <c r="D4070" i="48"/>
  <c r="D4071" i="48"/>
  <c r="D4072" i="48"/>
  <c r="D4073" i="48"/>
  <c r="D4074" i="48"/>
  <c r="D4075" i="48"/>
  <c r="D4076" i="48"/>
  <c r="D4077" i="48"/>
  <c r="D4078" i="48"/>
  <c r="D4079" i="48"/>
  <c r="D4080" i="48"/>
  <c r="D4081" i="48"/>
  <c r="D4082" i="48"/>
  <c r="D4083" i="48"/>
  <c r="D4084" i="48"/>
  <c r="D4085" i="48"/>
  <c r="D4086" i="48"/>
  <c r="D4087" i="48"/>
  <c r="D4088" i="48"/>
  <c r="D4089" i="48"/>
  <c r="D4090" i="48"/>
  <c r="D4091" i="48"/>
  <c r="D4092" i="48"/>
  <c r="D4093" i="48"/>
  <c r="D4094" i="48"/>
  <c r="D4095" i="48"/>
  <c r="D4096" i="48"/>
  <c r="D4097" i="48"/>
  <c r="D4098" i="48"/>
  <c r="D4099" i="48"/>
  <c r="D4100" i="48"/>
  <c r="D4101" i="48"/>
  <c r="D4102" i="48"/>
  <c r="D4103" i="48"/>
  <c r="D4104" i="48"/>
  <c r="D4105" i="48"/>
  <c r="D4106" i="48"/>
  <c r="D4107" i="48"/>
  <c r="D4108" i="48"/>
  <c r="D4109" i="48"/>
  <c r="D4110" i="48"/>
  <c r="D4111" i="48"/>
  <c r="D4112" i="48"/>
  <c r="D4113" i="48"/>
  <c r="D4114" i="48"/>
  <c r="D4115" i="48"/>
  <c r="D4116" i="48"/>
  <c r="D4117" i="48"/>
  <c r="D4118" i="48"/>
  <c r="D4119" i="48"/>
  <c r="D4120" i="48"/>
  <c r="D4121" i="48"/>
  <c r="D4122" i="48"/>
  <c r="D4123" i="48"/>
  <c r="D4124" i="48"/>
  <c r="D4125" i="48"/>
  <c r="D4126" i="48"/>
  <c r="D4127" i="48"/>
  <c r="D4128" i="48"/>
  <c r="D4129" i="48"/>
  <c r="D4130" i="48"/>
  <c r="D4131" i="48"/>
  <c r="D4132" i="48"/>
  <c r="D4133" i="48"/>
  <c r="D4134" i="48"/>
  <c r="D4135" i="48"/>
  <c r="D4136" i="48"/>
  <c r="D4137" i="48"/>
  <c r="D4138" i="48"/>
  <c r="D4139" i="48"/>
  <c r="D4140" i="48"/>
  <c r="D4141" i="48"/>
  <c r="D4142" i="48"/>
  <c r="D4143" i="48"/>
  <c r="D4144" i="48"/>
  <c r="D4145" i="48"/>
  <c r="D4146" i="48"/>
  <c r="D4147" i="48"/>
  <c r="D4148" i="48"/>
  <c r="D4149" i="48"/>
  <c r="D4150" i="48"/>
  <c r="D4151" i="48"/>
  <c r="D4152" i="48"/>
  <c r="D4153" i="48"/>
  <c r="D4154" i="48"/>
  <c r="D4155" i="48"/>
  <c r="D4156" i="48"/>
  <c r="D4157" i="48"/>
  <c r="D4158" i="48"/>
  <c r="D4159" i="48"/>
  <c r="D4160" i="48"/>
  <c r="D4161" i="48"/>
  <c r="D4162" i="48"/>
  <c r="D4163" i="48"/>
  <c r="D4164" i="48"/>
  <c r="D4165" i="48"/>
  <c r="D4166" i="48"/>
  <c r="D4167" i="48"/>
  <c r="D4168" i="48"/>
  <c r="D4169" i="48"/>
  <c r="D4170" i="48"/>
  <c r="D4171" i="48"/>
  <c r="D4172" i="48"/>
  <c r="D4173" i="48"/>
  <c r="D4174" i="48"/>
  <c r="D4175" i="48"/>
  <c r="D4176" i="48"/>
  <c r="D4177" i="48"/>
  <c r="D4178" i="48"/>
  <c r="D4179" i="48"/>
  <c r="D4180" i="48"/>
  <c r="D4181" i="48"/>
  <c r="D4182" i="48"/>
  <c r="D4183" i="48"/>
  <c r="D4184" i="48"/>
  <c r="D4185" i="48"/>
  <c r="D4186" i="48"/>
  <c r="D4187" i="48"/>
  <c r="D4188" i="48"/>
  <c r="D4189" i="48"/>
  <c r="D4190" i="48"/>
  <c r="D4191" i="48"/>
  <c r="D4192" i="48"/>
  <c r="D4193" i="48"/>
  <c r="D4194" i="48"/>
  <c r="D4195" i="48"/>
  <c r="D4196" i="48"/>
  <c r="D4197" i="48"/>
  <c r="D4198" i="48"/>
  <c r="D4199" i="48"/>
  <c r="D4200" i="48"/>
  <c r="D4201" i="48"/>
  <c r="D4202" i="48"/>
  <c r="D4203" i="48"/>
  <c r="D4204" i="48"/>
  <c r="D4205" i="48"/>
  <c r="D4206" i="48"/>
  <c r="D4207" i="48"/>
  <c r="D4208" i="48"/>
  <c r="D4209" i="48"/>
  <c r="D4210" i="48"/>
  <c r="D4211" i="48"/>
  <c r="D4212" i="48"/>
  <c r="D4213" i="48"/>
  <c r="D4214" i="48"/>
  <c r="D4215" i="48"/>
  <c r="D4216" i="48"/>
  <c r="D4217" i="48"/>
  <c r="D4218" i="48"/>
  <c r="D4219" i="48"/>
  <c r="D4220" i="48"/>
  <c r="D4221" i="48"/>
  <c r="D4222" i="48"/>
  <c r="D4223" i="48"/>
  <c r="D4224" i="48"/>
  <c r="D4225" i="48"/>
  <c r="D4226" i="48"/>
  <c r="D4227" i="48"/>
  <c r="D4228" i="48"/>
  <c r="D4229" i="48"/>
  <c r="D4230" i="48"/>
  <c r="D4231" i="48"/>
  <c r="D4232" i="48"/>
  <c r="D4233" i="48"/>
  <c r="D4234" i="48"/>
  <c r="D4235" i="48"/>
  <c r="D4236" i="48"/>
  <c r="D4237" i="48"/>
  <c r="D4238" i="48"/>
  <c r="D4239" i="48"/>
  <c r="D4240" i="48"/>
  <c r="D4241" i="48"/>
  <c r="D4242" i="48"/>
  <c r="D4243" i="48"/>
  <c r="D4244" i="48"/>
  <c r="D4245" i="48"/>
  <c r="D4246" i="48"/>
  <c r="D4247" i="48"/>
  <c r="D4248" i="48"/>
  <c r="D4249" i="48"/>
  <c r="D4250" i="48"/>
  <c r="D4251" i="48"/>
  <c r="D4252" i="48"/>
  <c r="D4253" i="48"/>
  <c r="D4254" i="48"/>
  <c r="D4255" i="48"/>
  <c r="D4256" i="48"/>
  <c r="D4257" i="48"/>
  <c r="D4258" i="48"/>
  <c r="D4259" i="48"/>
  <c r="D4260" i="48"/>
  <c r="D4261" i="48"/>
  <c r="D4262" i="48"/>
  <c r="D4263" i="48"/>
  <c r="D4264" i="48"/>
  <c r="D4265" i="48"/>
  <c r="D4266" i="48"/>
  <c r="D4267" i="48"/>
  <c r="D4268" i="48"/>
  <c r="D4269" i="48"/>
  <c r="D4270" i="48"/>
  <c r="D4271" i="48"/>
  <c r="D4272" i="48"/>
  <c r="D4273" i="48"/>
  <c r="D4274" i="48"/>
  <c r="D4275" i="48"/>
  <c r="D4276" i="48"/>
  <c r="D4277" i="48"/>
  <c r="D4278" i="48"/>
  <c r="D4279" i="48"/>
  <c r="D4280" i="48"/>
  <c r="D4281" i="48"/>
  <c r="D4282" i="48"/>
  <c r="D4283" i="48"/>
  <c r="D4284" i="48"/>
  <c r="D4285" i="48"/>
  <c r="D4286" i="48"/>
  <c r="D4287" i="48"/>
  <c r="D4288" i="48"/>
  <c r="D4289" i="48"/>
  <c r="D4290" i="48"/>
  <c r="D4291" i="48"/>
  <c r="D4292" i="48"/>
  <c r="D4293" i="48"/>
  <c r="D4294" i="48"/>
  <c r="D4295" i="48"/>
  <c r="D4296" i="48"/>
  <c r="D4297" i="48"/>
  <c r="D4298" i="48"/>
  <c r="D4299" i="48"/>
  <c r="D4300" i="48"/>
  <c r="D4301" i="48"/>
  <c r="D4302" i="48"/>
  <c r="D4303" i="48"/>
  <c r="D4304" i="48"/>
  <c r="D4305" i="48"/>
  <c r="D4306" i="48"/>
  <c r="D4307" i="48"/>
  <c r="D4308" i="48"/>
  <c r="D4309" i="48"/>
  <c r="D4310" i="48"/>
  <c r="D4311" i="48"/>
  <c r="D4312" i="48"/>
  <c r="D4313" i="48"/>
  <c r="D4314" i="48"/>
  <c r="D4315" i="48"/>
  <c r="D4316" i="48"/>
  <c r="D4317" i="48"/>
  <c r="D4318" i="48"/>
  <c r="D4319" i="48"/>
  <c r="D4320" i="48"/>
  <c r="D4321" i="48"/>
  <c r="D4322" i="48"/>
  <c r="D4323" i="48"/>
  <c r="D4324" i="48"/>
  <c r="D4325" i="48"/>
  <c r="D4326" i="48"/>
  <c r="D4327" i="48"/>
  <c r="D4328" i="48"/>
  <c r="D4329" i="48"/>
  <c r="D4330" i="48"/>
  <c r="D4331" i="48"/>
  <c r="D4332" i="48"/>
  <c r="D4333" i="48"/>
  <c r="D4334" i="48"/>
  <c r="D4335" i="48"/>
  <c r="D4336" i="48"/>
  <c r="D4337" i="48"/>
  <c r="D4338" i="48"/>
  <c r="D4339" i="48"/>
  <c r="D4340" i="48"/>
  <c r="D4341" i="48"/>
  <c r="D4342" i="48"/>
  <c r="D4343" i="48"/>
  <c r="D4344" i="48"/>
  <c r="D4345" i="48"/>
  <c r="D4346" i="48"/>
  <c r="D4347" i="48"/>
  <c r="D4348" i="48"/>
  <c r="D4349" i="48"/>
  <c r="D4350" i="48"/>
  <c r="D4351" i="48"/>
  <c r="D4352" i="48"/>
  <c r="D4353" i="48"/>
  <c r="D4354" i="48"/>
  <c r="D4355" i="48"/>
  <c r="D4356" i="48"/>
  <c r="D4357" i="48"/>
  <c r="D4358" i="48"/>
  <c r="D4359" i="48"/>
  <c r="D4360" i="48"/>
  <c r="D4361" i="48"/>
  <c r="D4362" i="48"/>
  <c r="D4363" i="48"/>
  <c r="D4364" i="48"/>
  <c r="D4365" i="48"/>
  <c r="D4366" i="48"/>
  <c r="D4367" i="48"/>
  <c r="D4368" i="48"/>
  <c r="D4369" i="48"/>
  <c r="D4370" i="48"/>
  <c r="D4371" i="48"/>
  <c r="D4372" i="48"/>
  <c r="D4373" i="48"/>
  <c r="D4374" i="48"/>
  <c r="D4375" i="48"/>
  <c r="D4376" i="48"/>
  <c r="D4377" i="48"/>
  <c r="D4378" i="48"/>
  <c r="D4379" i="48"/>
  <c r="D4380" i="48"/>
  <c r="D4381" i="48"/>
  <c r="D4382" i="48"/>
  <c r="D4383" i="48"/>
  <c r="D4384" i="48"/>
  <c r="D4385" i="48"/>
  <c r="D4386" i="48"/>
  <c r="D4387" i="48"/>
  <c r="D4388" i="48"/>
  <c r="D4389" i="48"/>
  <c r="D4390" i="48"/>
  <c r="D4391" i="48"/>
  <c r="D4392" i="48"/>
  <c r="D4393" i="48"/>
  <c r="D4394" i="48"/>
  <c r="D4395" i="48"/>
  <c r="D4396" i="48"/>
  <c r="D4397" i="48"/>
  <c r="D4398" i="48"/>
  <c r="D4399" i="48"/>
  <c r="D4400" i="48"/>
  <c r="D4401" i="48"/>
  <c r="D4402" i="48"/>
  <c r="D4403" i="48"/>
  <c r="D4404" i="48"/>
  <c r="D4405" i="48"/>
  <c r="D4406" i="48"/>
  <c r="D4407" i="48"/>
  <c r="D4408" i="48"/>
  <c r="D4409" i="48"/>
  <c r="D4410" i="48"/>
  <c r="D4411" i="48"/>
  <c r="D4412" i="48"/>
  <c r="D4413" i="48"/>
  <c r="D4414" i="48"/>
  <c r="D4415" i="48"/>
  <c r="D4416" i="48"/>
  <c r="D4417" i="48"/>
  <c r="D4418" i="48"/>
  <c r="D4419" i="48"/>
  <c r="D4420" i="48"/>
  <c r="D4421" i="48"/>
  <c r="D4422" i="48"/>
  <c r="D4423" i="48"/>
  <c r="D4424" i="48"/>
  <c r="D4425" i="48"/>
  <c r="D4426" i="48"/>
  <c r="D4427" i="48"/>
  <c r="D4428" i="48"/>
  <c r="D4429" i="48"/>
  <c r="D4430" i="48"/>
  <c r="D4431" i="48"/>
  <c r="D4432" i="48"/>
  <c r="D4433" i="48"/>
  <c r="D4434" i="48"/>
  <c r="D4435" i="48"/>
  <c r="D4436" i="48"/>
  <c r="D4437" i="48"/>
  <c r="D4438" i="48"/>
  <c r="D4439" i="48"/>
  <c r="D4440" i="48"/>
  <c r="D4441" i="48"/>
  <c r="D4442" i="48"/>
  <c r="D4443" i="48"/>
  <c r="D4444" i="48"/>
  <c r="D4445" i="48"/>
  <c r="D4446" i="48"/>
  <c r="D4447" i="48"/>
  <c r="D4448" i="48"/>
  <c r="D4449" i="48"/>
  <c r="D4450" i="48"/>
  <c r="D4451" i="48"/>
  <c r="D4452" i="48"/>
  <c r="D4453" i="48"/>
  <c r="D4454" i="48"/>
  <c r="D4455" i="48"/>
  <c r="D4456" i="48"/>
  <c r="D4457" i="48"/>
  <c r="D4458" i="48"/>
  <c r="D4459" i="48"/>
  <c r="D4460" i="48"/>
  <c r="D4461" i="48"/>
  <c r="D4462" i="48"/>
  <c r="D4463" i="48"/>
  <c r="D4464" i="48"/>
  <c r="D4465" i="48"/>
  <c r="D4466" i="48"/>
  <c r="D4467" i="48"/>
  <c r="D4468" i="48"/>
  <c r="D4469" i="48"/>
  <c r="D4470" i="48"/>
  <c r="D4471" i="48"/>
  <c r="D4472" i="48"/>
  <c r="D4473" i="48"/>
  <c r="D4474" i="48"/>
  <c r="D4475" i="48"/>
  <c r="D4476" i="48"/>
  <c r="D4477" i="48"/>
  <c r="D4478" i="48"/>
  <c r="D4479" i="48"/>
  <c r="D4480" i="48"/>
  <c r="D4481" i="48"/>
  <c r="D4482" i="48"/>
  <c r="D4483" i="48"/>
  <c r="D4484" i="48"/>
  <c r="D4485" i="48"/>
  <c r="D4486" i="48"/>
  <c r="D4487" i="48"/>
  <c r="D4488" i="48"/>
  <c r="D4489" i="48"/>
  <c r="D4490" i="48"/>
  <c r="D4491" i="48"/>
  <c r="D4492" i="48"/>
  <c r="D4493" i="48"/>
  <c r="D4494" i="48"/>
  <c r="D4495" i="48"/>
  <c r="D4496" i="48"/>
  <c r="D4497" i="48"/>
  <c r="D4498" i="48"/>
  <c r="D4499" i="48"/>
  <c r="D4500" i="48"/>
  <c r="D4501" i="48"/>
  <c r="D4502" i="48"/>
  <c r="D4503" i="48"/>
  <c r="D4504" i="48"/>
  <c r="D4505" i="48"/>
  <c r="D4506" i="48"/>
  <c r="D4507" i="48"/>
  <c r="D4508" i="48"/>
  <c r="D4509" i="48"/>
  <c r="D4510" i="48"/>
  <c r="D4511" i="48"/>
  <c r="D4512" i="48"/>
  <c r="D4513" i="48"/>
  <c r="D4514" i="48"/>
  <c r="D4515" i="48"/>
  <c r="D4516" i="48"/>
  <c r="D4517" i="48"/>
  <c r="D4518" i="48"/>
  <c r="D4519" i="48"/>
  <c r="D4520" i="48"/>
  <c r="D4521" i="48"/>
  <c r="D4522" i="48"/>
  <c r="D4523" i="48"/>
  <c r="D4524" i="48"/>
  <c r="D4525" i="48"/>
  <c r="D4526" i="48"/>
  <c r="D4527" i="48"/>
  <c r="D4528" i="48"/>
  <c r="D4529" i="48"/>
  <c r="D4530" i="48"/>
  <c r="D4531" i="48"/>
  <c r="D4532" i="48"/>
  <c r="D4533" i="48"/>
  <c r="D4534" i="48"/>
  <c r="D4535" i="48"/>
  <c r="D4536" i="48"/>
  <c r="D4537" i="48"/>
  <c r="D4538" i="48"/>
  <c r="D4539" i="48"/>
  <c r="D4540" i="48"/>
  <c r="D4541" i="48"/>
  <c r="D4542" i="48"/>
  <c r="D4543" i="48"/>
  <c r="D4544" i="48"/>
  <c r="D4545" i="48"/>
  <c r="D4546" i="48"/>
  <c r="D4547" i="48"/>
  <c r="D4548" i="48"/>
  <c r="D4549" i="48"/>
  <c r="D4550" i="48"/>
  <c r="D4551" i="48"/>
  <c r="D4552" i="48"/>
  <c r="D4553" i="48"/>
  <c r="D4554" i="48"/>
  <c r="D4555" i="48"/>
  <c r="D4556" i="48"/>
  <c r="D4557" i="48"/>
  <c r="D4558" i="48"/>
  <c r="D4559" i="48"/>
  <c r="D4560" i="48"/>
  <c r="D4561" i="48"/>
  <c r="D4562" i="48"/>
  <c r="D4563" i="48"/>
  <c r="D4564" i="48"/>
  <c r="D4565" i="48"/>
  <c r="D4566" i="48"/>
  <c r="D4567" i="48"/>
  <c r="D4568" i="48"/>
  <c r="D4569" i="48"/>
  <c r="D4570" i="48"/>
  <c r="D4571" i="48"/>
  <c r="D4572" i="48"/>
  <c r="D4573" i="48"/>
  <c r="D4574" i="48"/>
  <c r="D4575" i="48"/>
  <c r="D4576" i="48"/>
  <c r="D4577" i="48"/>
  <c r="D4578" i="48"/>
  <c r="D4579" i="48"/>
  <c r="D4580" i="48"/>
  <c r="D4581" i="48"/>
  <c r="D4582" i="48"/>
  <c r="D4583" i="48"/>
  <c r="D4584" i="48"/>
  <c r="D4585" i="48"/>
  <c r="D4586" i="48"/>
  <c r="D4587" i="48"/>
  <c r="D4588" i="48"/>
  <c r="D4589" i="48"/>
  <c r="D4590" i="48"/>
  <c r="D4591" i="48"/>
  <c r="D4592" i="48"/>
  <c r="D4593" i="48"/>
  <c r="D4594" i="48"/>
  <c r="D4595" i="48"/>
  <c r="D4596" i="48"/>
  <c r="D4597" i="48"/>
  <c r="D4598" i="48"/>
  <c r="D4599" i="48"/>
  <c r="D4600" i="48"/>
  <c r="D4601" i="48"/>
  <c r="D4602" i="48"/>
  <c r="D4603" i="48"/>
  <c r="D4604" i="48"/>
  <c r="D4605" i="48"/>
  <c r="D4606" i="48"/>
  <c r="D4607" i="48"/>
  <c r="D4608" i="48"/>
  <c r="D4609" i="48"/>
  <c r="D4610" i="48"/>
  <c r="D4611" i="48"/>
  <c r="D4612" i="48"/>
  <c r="D4613" i="48"/>
  <c r="D4614" i="48"/>
  <c r="D4615" i="48"/>
  <c r="D4616" i="48"/>
  <c r="D4617" i="48"/>
  <c r="D4618" i="48"/>
  <c r="D4619" i="48"/>
  <c r="D4620" i="48"/>
  <c r="D4621" i="48"/>
  <c r="D4622" i="48"/>
  <c r="D4623" i="48"/>
  <c r="D4624" i="48"/>
  <c r="D4625" i="48"/>
  <c r="D4626" i="48"/>
  <c r="D4627" i="48"/>
  <c r="D4628" i="48"/>
  <c r="D4629" i="48"/>
  <c r="D4630" i="48"/>
  <c r="D4631" i="48"/>
  <c r="D4632" i="48"/>
  <c r="D4633" i="48"/>
  <c r="D4634" i="48"/>
  <c r="D4635" i="48"/>
  <c r="D4636" i="48"/>
  <c r="D4637" i="48"/>
  <c r="D4638" i="48"/>
  <c r="D4639" i="48"/>
  <c r="D4640" i="48"/>
  <c r="D4641" i="48"/>
  <c r="D4642" i="48"/>
  <c r="D4643" i="48"/>
  <c r="D4644" i="48"/>
  <c r="D4645" i="48"/>
  <c r="D4646" i="48"/>
  <c r="D4647" i="48"/>
  <c r="D4648" i="48"/>
  <c r="D4649" i="48"/>
  <c r="D4650" i="48"/>
  <c r="D4651" i="48"/>
  <c r="D4652" i="48"/>
  <c r="D4653" i="48"/>
  <c r="D4654" i="48"/>
  <c r="D4655" i="48"/>
  <c r="D4656" i="48"/>
  <c r="D4657" i="48"/>
  <c r="D4658" i="48"/>
  <c r="D4659" i="48"/>
  <c r="D4660" i="48"/>
  <c r="D4661" i="48"/>
  <c r="D4662" i="48"/>
  <c r="D4663" i="48"/>
  <c r="D4664" i="48"/>
  <c r="D4665" i="48"/>
  <c r="D4666" i="48"/>
  <c r="D4667" i="48"/>
  <c r="D4668" i="48"/>
  <c r="D4669" i="48"/>
  <c r="D4670" i="48"/>
  <c r="D4671" i="48"/>
  <c r="D4672" i="48"/>
  <c r="D4673" i="48"/>
  <c r="D4674" i="48"/>
  <c r="D4675" i="48"/>
  <c r="D4676" i="48"/>
  <c r="D4677" i="48"/>
  <c r="D4678" i="48"/>
  <c r="D4679" i="48"/>
  <c r="D4680" i="48"/>
  <c r="D4681" i="48"/>
  <c r="D4682" i="48"/>
  <c r="D4683" i="48"/>
  <c r="D4684" i="48"/>
  <c r="D4685" i="48"/>
  <c r="D4686" i="48"/>
  <c r="D4687" i="48"/>
  <c r="D4688" i="48"/>
  <c r="D4689" i="48"/>
  <c r="D4690" i="48"/>
  <c r="D4691" i="48"/>
  <c r="D4692" i="48"/>
  <c r="D4693" i="48"/>
  <c r="D4694" i="48"/>
  <c r="D4695" i="48"/>
  <c r="D4696" i="48"/>
  <c r="D4697" i="48"/>
  <c r="D4698" i="48"/>
  <c r="D4699" i="48"/>
  <c r="D4700" i="48"/>
  <c r="D4701" i="48"/>
  <c r="D4702" i="48"/>
  <c r="D4703" i="48"/>
  <c r="D4704" i="48"/>
  <c r="D4705" i="48"/>
  <c r="D4706" i="48"/>
  <c r="D4707" i="48"/>
  <c r="D4708" i="48"/>
  <c r="D4709" i="48"/>
  <c r="D4710" i="48"/>
  <c r="D4711" i="48"/>
  <c r="D4712" i="48"/>
  <c r="D4713" i="48"/>
  <c r="D4714" i="48"/>
  <c r="D4715" i="48"/>
  <c r="D4716" i="48"/>
  <c r="D4717" i="48"/>
  <c r="D4718" i="48"/>
  <c r="D4719" i="48"/>
  <c r="D4720" i="48"/>
  <c r="D4721" i="48"/>
  <c r="D4722" i="48"/>
  <c r="D4723" i="48"/>
  <c r="D4724" i="48"/>
  <c r="D4725" i="48"/>
  <c r="D4726" i="48"/>
  <c r="D4727" i="48"/>
  <c r="D4728" i="48"/>
  <c r="D4729" i="48"/>
  <c r="D4730" i="48"/>
  <c r="D4731" i="48"/>
  <c r="D4732" i="48"/>
  <c r="D4733" i="48"/>
  <c r="D4734" i="48"/>
  <c r="D4735" i="48"/>
  <c r="D4736" i="48"/>
  <c r="D4737" i="48"/>
  <c r="D4738" i="48"/>
  <c r="D4739" i="48"/>
  <c r="D4740" i="48"/>
  <c r="D4741" i="48"/>
  <c r="D4742" i="48"/>
  <c r="D4743" i="48"/>
  <c r="D4744" i="48"/>
  <c r="D4745" i="48"/>
  <c r="D4746" i="48"/>
  <c r="D4747" i="48"/>
  <c r="D4748" i="48"/>
  <c r="D4749" i="48"/>
  <c r="D4750" i="48"/>
  <c r="D4751" i="48"/>
  <c r="D4752" i="48"/>
  <c r="D4753" i="48"/>
  <c r="D4754" i="48"/>
  <c r="D4755" i="48"/>
  <c r="D4756" i="48"/>
  <c r="D4757" i="48"/>
  <c r="D4758" i="48"/>
  <c r="D4759" i="48"/>
  <c r="D4760" i="48"/>
  <c r="D4761" i="48"/>
  <c r="D4762" i="48"/>
  <c r="D4763" i="48"/>
  <c r="D4764" i="48"/>
  <c r="D4765" i="48"/>
  <c r="D4766" i="48"/>
  <c r="D4767" i="48"/>
  <c r="D4768" i="48"/>
  <c r="D4769" i="48"/>
  <c r="D4770" i="48"/>
  <c r="D4771" i="48"/>
  <c r="D4772" i="48"/>
  <c r="D4773" i="48"/>
  <c r="D4774" i="48"/>
  <c r="D4775" i="48"/>
  <c r="D4776" i="48"/>
  <c r="D4777" i="48"/>
  <c r="D4778" i="48"/>
  <c r="D4779" i="48"/>
  <c r="D4780" i="48"/>
  <c r="D4781" i="48"/>
  <c r="D4782" i="48"/>
  <c r="D4783" i="48"/>
  <c r="D4784" i="48"/>
  <c r="D4785" i="48"/>
  <c r="D4786" i="48"/>
  <c r="D4787" i="48"/>
  <c r="D4788" i="48"/>
  <c r="D4789" i="48"/>
  <c r="D4790" i="48"/>
  <c r="D4791" i="48"/>
  <c r="D4792" i="48"/>
  <c r="D4793" i="48"/>
  <c r="D4794" i="48"/>
  <c r="D4795" i="48"/>
  <c r="D4796" i="48"/>
  <c r="D4797" i="48"/>
  <c r="D4798" i="48"/>
  <c r="D4799" i="48"/>
  <c r="D4800" i="48"/>
  <c r="D4801" i="48"/>
  <c r="D4802" i="48"/>
  <c r="D4803" i="48"/>
  <c r="D4804" i="48"/>
  <c r="D4805" i="48"/>
  <c r="D4806" i="48"/>
  <c r="D4807" i="48"/>
  <c r="D4808" i="48"/>
  <c r="D4809" i="48"/>
  <c r="D4810" i="48"/>
  <c r="D4811" i="48"/>
  <c r="D4812" i="48"/>
  <c r="D4813" i="48"/>
  <c r="D4814" i="48"/>
  <c r="D4815" i="48"/>
  <c r="D4816" i="48"/>
  <c r="D4817" i="48"/>
  <c r="D4818" i="48"/>
  <c r="D4819" i="48"/>
  <c r="D4820" i="48"/>
  <c r="D4821" i="48"/>
  <c r="D4822" i="48"/>
  <c r="D4823" i="48"/>
  <c r="D4824" i="48"/>
  <c r="D4825" i="48"/>
  <c r="D4826" i="48"/>
  <c r="D4827" i="48"/>
  <c r="D4828" i="48"/>
  <c r="D4829" i="48"/>
  <c r="D4830" i="48"/>
  <c r="D4831" i="48"/>
  <c r="D4832" i="48"/>
  <c r="D4833" i="48"/>
  <c r="D4834" i="48"/>
  <c r="D4835" i="48"/>
  <c r="D4836" i="48"/>
  <c r="D4837" i="48"/>
  <c r="D4838" i="48"/>
  <c r="D4839" i="48"/>
  <c r="D4840" i="48"/>
  <c r="D4841" i="48"/>
  <c r="D4842" i="48"/>
  <c r="D4843" i="48"/>
  <c r="D4844" i="48"/>
  <c r="D4845" i="48"/>
  <c r="D4846" i="48"/>
  <c r="D4847" i="48"/>
  <c r="D4848" i="48"/>
  <c r="D4849" i="48"/>
  <c r="D4850" i="48"/>
  <c r="D4851" i="48"/>
  <c r="D4852" i="48"/>
  <c r="D4853" i="48"/>
  <c r="D4854" i="48"/>
  <c r="D4855" i="48"/>
  <c r="D4856" i="48"/>
  <c r="D4857" i="48"/>
  <c r="D4858" i="48"/>
  <c r="D4859" i="48"/>
  <c r="D4860" i="48"/>
  <c r="D4861" i="48"/>
  <c r="D4862" i="48"/>
  <c r="D4863" i="48"/>
  <c r="D4864" i="48"/>
  <c r="D4865" i="48"/>
  <c r="D4866" i="48"/>
  <c r="D4867" i="48"/>
  <c r="D4868" i="48"/>
  <c r="D4869" i="48"/>
  <c r="D4870" i="48"/>
  <c r="D4871" i="48"/>
  <c r="D4872" i="48"/>
  <c r="D4873" i="48"/>
  <c r="D4874" i="48"/>
  <c r="D4875" i="48"/>
  <c r="D4876" i="48"/>
  <c r="D4877" i="48"/>
  <c r="D4878" i="48"/>
  <c r="D4879" i="48"/>
  <c r="D4880" i="48"/>
  <c r="D4881" i="48"/>
  <c r="D4882" i="48"/>
  <c r="D4883" i="48"/>
  <c r="D4884" i="48"/>
  <c r="D4885" i="48"/>
  <c r="D4886" i="48"/>
  <c r="D4887" i="48"/>
  <c r="D4888" i="48"/>
  <c r="D4889" i="48"/>
  <c r="D4890" i="48"/>
  <c r="D4891" i="48"/>
  <c r="D4892" i="48"/>
  <c r="D4893" i="48"/>
  <c r="D4894" i="48"/>
  <c r="D4895" i="48"/>
  <c r="D4896" i="48"/>
  <c r="D4897" i="48"/>
  <c r="D4898" i="48"/>
  <c r="D4899" i="48"/>
  <c r="D4900" i="48"/>
  <c r="D4901" i="48"/>
  <c r="D4902" i="48"/>
  <c r="D4903" i="48"/>
  <c r="D4904" i="48"/>
  <c r="D4905" i="48"/>
  <c r="D4906" i="48"/>
  <c r="D4907" i="48"/>
  <c r="D4908" i="48"/>
  <c r="D4909" i="48"/>
  <c r="D4910" i="48"/>
  <c r="D4911" i="48"/>
  <c r="D4912" i="48"/>
  <c r="D4913" i="48"/>
  <c r="D4914" i="48"/>
  <c r="D4915" i="48"/>
  <c r="D4916" i="48"/>
  <c r="D4917" i="48"/>
  <c r="D4918" i="48"/>
  <c r="D4919" i="48"/>
  <c r="D4920" i="48"/>
  <c r="D4921" i="48"/>
  <c r="D4922" i="48"/>
  <c r="D4923" i="48"/>
  <c r="D4924" i="48"/>
  <c r="D4925" i="48"/>
  <c r="D4926" i="48"/>
  <c r="D4927" i="48"/>
  <c r="D4928" i="48"/>
  <c r="D4929" i="48"/>
  <c r="D4930" i="48"/>
  <c r="D4931" i="48"/>
  <c r="D4932" i="48"/>
  <c r="D4933" i="48"/>
  <c r="D4934" i="48"/>
  <c r="D4935" i="48"/>
  <c r="D4936" i="48"/>
  <c r="D4937" i="48"/>
  <c r="D4938" i="48"/>
  <c r="D4939" i="48"/>
  <c r="D4940" i="48"/>
  <c r="D4941" i="48"/>
  <c r="D4942" i="48"/>
  <c r="D4943" i="48"/>
  <c r="D4944" i="48"/>
  <c r="D4945" i="48"/>
  <c r="D4946" i="48"/>
  <c r="D4947" i="48"/>
  <c r="D4948" i="48"/>
  <c r="D4949" i="48"/>
  <c r="D4950" i="48"/>
  <c r="D4951" i="48"/>
  <c r="D4952" i="48"/>
  <c r="D4953" i="48"/>
  <c r="D4954" i="48"/>
  <c r="D4955" i="48"/>
  <c r="D4956" i="48"/>
  <c r="D4957" i="48"/>
  <c r="D4958" i="48"/>
  <c r="D4959" i="48"/>
  <c r="D4960" i="48"/>
  <c r="D4961" i="48"/>
  <c r="D4962" i="48"/>
  <c r="D4963" i="48"/>
  <c r="D4964" i="48"/>
  <c r="D4965" i="48"/>
  <c r="D4966" i="48"/>
  <c r="D4967" i="48"/>
  <c r="D4968" i="48"/>
  <c r="D4969" i="48"/>
  <c r="D4970" i="48"/>
  <c r="D4971" i="48"/>
  <c r="D4972" i="48"/>
  <c r="D4973" i="48"/>
  <c r="D4974" i="48"/>
  <c r="D4975" i="48"/>
  <c r="D4976" i="48"/>
  <c r="D4977" i="48"/>
  <c r="D4978" i="48"/>
  <c r="D4979" i="48"/>
  <c r="D4980" i="48"/>
  <c r="D4981" i="48"/>
  <c r="D4982" i="48"/>
  <c r="D4983" i="48"/>
  <c r="D4984" i="48"/>
  <c r="D4985" i="48"/>
  <c r="D4986" i="48"/>
  <c r="D4987" i="48"/>
  <c r="D4988" i="48"/>
  <c r="D4989" i="48"/>
  <c r="D4990" i="48"/>
  <c r="D4991" i="48"/>
  <c r="D4992" i="48"/>
  <c r="D4993" i="48"/>
  <c r="D4994" i="48"/>
  <c r="D4995" i="48"/>
  <c r="D4996" i="48"/>
  <c r="D4997" i="48"/>
  <c r="D4998" i="48"/>
  <c r="D4999" i="48"/>
  <c r="D5000" i="48"/>
  <c r="D5001" i="48"/>
  <c r="D5002" i="48"/>
  <c r="D5003" i="48"/>
  <c r="D5004" i="48"/>
  <c r="D5005" i="48"/>
  <c r="D5006" i="48"/>
  <c r="D5007" i="48"/>
  <c r="D5008" i="48"/>
  <c r="D5009" i="48"/>
  <c r="D5010" i="48"/>
  <c r="D5011" i="48"/>
  <c r="D5012" i="48"/>
  <c r="D5013" i="48"/>
  <c r="D5014" i="48"/>
  <c r="D5015" i="48"/>
  <c r="D5016" i="48"/>
  <c r="D5017" i="48"/>
  <c r="D5018" i="48"/>
  <c r="D5019" i="48"/>
  <c r="D5020" i="48"/>
  <c r="D5021" i="48"/>
  <c r="D5022" i="48"/>
  <c r="D5023" i="48"/>
  <c r="D5024" i="48"/>
  <c r="D5025" i="48"/>
  <c r="D5026" i="48"/>
  <c r="D5027" i="48"/>
  <c r="D5028" i="48"/>
  <c r="D5029" i="48"/>
  <c r="D5030" i="48"/>
  <c r="D5031" i="48"/>
  <c r="D5032" i="48"/>
  <c r="D5033" i="48"/>
  <c r="D5034" i="48"/>
  <c r="D5035" i="48"/>
  <c r="D5036" i="48"/>
  <c r="D5037" i="48"/>
  <c r="D5038" i="48"/>
  <c r="D5039" i="48"/>
  <c r="D5040" i="48"/>
  <c r="D5041" i="48"/>
  <c r="D5042" i="48"/>
  <c r="D5043" i="48"/>
  <c r="D5044" i="48"/>
  <c r="D5045" i="48"/>
  <c r="D5046" i="48"/>
  <c r="D5047" i="48"/>
  <c r="D5048" i="48"/>
  <c r="D5049" i="48"/>
  <c r="D5050" i="48"/>
  <c r="D5051" i="48"/>
  <c r="D5052" i="48"/>
  <c r="D5053" i="48"/>
  <c r="D5054" i="48"/>
  <c r="D5055" i="48"/>
  <c r="D5056" i="48"/>
  <c r="D5057" i="48"/>
  <c r="D5058" i="48"/>
  <c r="D5059" i="48"/>
  <c r="D5060" i="48"/>
  <c r="D5061" i="48"/>
  <c r="D5062" i="48"/>
  <c r="D5063" i="48"/>
  <c r="D5064" i="48"/>
  <c r="D5065" i="48"/>
  <c r="D5066" i="48"/>
  <c r="D5067" i="48"/>
  <c r="D5068" i="48"/>
  <c r="D5069" i="48"/>
  <c r="D5070" i="48"/>
  <c r="D5071" i="48"/>
  <c r="D5072" i="48"/>
  <c r="D5073" i="48"/>
  <c r="D5074" i="48"/>
  <c r="D5075" i="48"/>
  <c r="D5076" i="48"/>
  <c r="D5077" i="48"/>
  <c r="D5078" i="48"/>
  <c r="D5079" i="48"/>
  <c r="D5080" i="48"/>
  <c r="D5081" i="48"/>
  <c r="D5082" i="48"/>
  <c r="D5083" i="48"/>
  <c r="D5084" i="48"/>
  <c r="D5085" i="48"/>
  <c r="D5086" i="48"/>
  <c r="D5087" i="48"/>
  <c r="D5088" i="48"/>
  <c r="D5089" i="48"/>
  <c r="D5090" i="48"/>
  <c r="D5091" i="48"/>
  <c r="D5092" i="48"/>
  <c r="D5093" i="48"/>
  <c r="D5094" i="48"/>
  <c r="D5095" i="48"/>
  <c r="D5096" i="48"/>
  <c r="D5097" i="48"/>
  <c r="D5098" i="48"/>
  <c r="D5099" i="48"/>
  <c r="D5100" i="48"/>
  <c r="D5101" i="48"/>
  <c r="D5102" i="48"/>
  <c r="D5103" i="48"/>
  <c r="D5104" i="48"/>
  <c r="D5105" i="48"/>
  <c r="D5106" i="48"/>
  <c r="D5107" i="48"/>
  <c r="D5108" i="48"/>
  <c r="D5109" i="48"/>
  <c r="D5110" i="48"/>
  <c r="D5111" i="48"/>
  <c r="D5112" i="48"/>
  <c r="D5113" i="48"/>
  <c r="D5114" i="48"/>
  <c r="D5115" i="48"/>
  <c r="D5116" i="48"/>
  <c r="D5117" i="48"/>
  <c r="D5118" i="48"/>
  <c r="D5119" i="48"/>
  <c r="D5120" i="48"/>
  <c r="D5121" i="48"/>
  <c r="D5122" i="48"/>
  <c r="D5123" i="48"/>
  <c r="D5124" i="48"/>
  <c r="D5125" i="48"/>
  <c r="D5126" i="48"/>
  <c r="D5127" i="48"/>
  <c r="D5128" i="48"/>
  <c r="D5129" i="48"/>
  <c r="D5130" i="48"/>
  <c r="D5131" i="48"/>
  <c r="D5132" i="48"/>
  <c r="D5133" i="48"/>
  <c r="D5134" i="48"/>
  <c r="D5135" i="48"/>
  <c r="D5136" i="48"/>
  <c r="D5137" i="48"/>
  <c r="D5138" i="48"/>
  <c r="D5139" i="48"/>
  <c r="D5140" i="48"/>
  <c r="D5141" i="48"/>
  <c r="D5142" i="48"/>
  <c r="D5143" i="48"/>
  <c r="D5144" i="48"/>
  <c r="D5145" i="48"/>
  <c r="D5146" i="48"/>
  <c r="D5147" i="48"/>
  <c r="D5148" i="48"/>
  <c r="D5149" i="48"/>
  <c r="D5150" i="48"/>
  <c r="D5151" i="48"/>
  <c r="D5152" i="48"/>
  <c r="D5153" i="48"/>
  <c r="D5154" i="48"/>
  <c r="D5155" i="48"/>
  <c r="D5156" i="48"/>
  <c r="D5157" i="48"/>
  <c r="D5158" i="48"/>
  <c r="D5159" i="48"/>
  <c r="D5160" i="48"/>
  <c r="D5161" i="48"/>
  <c r="D5162" i="48"/>
  <c r="D5163" i="48"/>
  <c r="D5164" i="48"/>
  <c r="D5165" i="48"/>
  <c r="D5166" i="48"/>
  <c r="D5167" i="48"/>
  <c r="D5168" i="48"/>
  <c r="D5169" i="48"/>
  <c r="D5170" i="48"/>
  <c r="D5171" i="48"/>
  <c r="D5172" i="48"/>
  <c r="D5173" i="48"/>
  <c r="D5174" i="48"/>
  <c r="D5175" i="48"/>
  <c r="D5176" i="48"/>
  <c r="D5177" i="48"/>
  <c r="D5178" i="48"/>
  <c r="D5179" i="48"/>
  <c r="D5180" i="48"/>
  <c r="D5181" i="48"/>
  <c r="D5182" i="48"/>
  <c r="D5183" i="48"/>
  <c r="D5184" i="48"/>
  <c r="D5185" i="48"/>
  <c r="D5186" i="48"/>
  <c r="D5187" i="48"/>
  <c r="D5188" i="48"/>
  <c r="D5189" i="48"/>
  <c r="D5190" i="48"/>
  <c r="D5191" i="48"/>
  <c r="D5192" i="48"/>
  <c r="D5193" i="48"/>
  <c r="D5194" i="48"/>
  <c r="D5195" i="48"/>
  <c r="D5196" i="48"/>
  <c r="D5197" i="48"/>
  <c r="D5198" i="48"/>
  <c r="D5199" i="48"/>
  <c r="D5200" i="48"/>
  <c r="D5201" i="48"/>
  <c r="D5202" i="48"/>
  <c r="D5203" i="48"/>
  <c r="D5204" i="48"/>
  <c r="D5205" i="48"/>
  <c r="D5206" i="48"/>
  <c r="D5207" i="48"/>
  <c r="D5208" i="48"/>
  <c r="D5209" i="48"/>
  <c r="D5210" i="48"/>
  <c r="D5211" i="48"/>
  <c r="D5212" i="48"/>
  <c r="D5213" i="48"/>
  <c r="D5214" i="48"/>
  <c r="D5215" i="48"/>
  <c r="D5216" i="48"/>
  <c r="D5217" i="48"/>
  <c r="D5218" i="48"/>
  <c r="D5219" i="48"/>
  <c r="D5220" i="48"/>
  <c r="D5221" i="48"/>
  <c r="D5222" i="48"/>
  <c r="D5223" i="48"/>
  <c r="D5224" i="48"/>
  <c r="D5225" i="48"/>
  <c r="D5226" i="48"/>
  <c r="D5227" i="48"/>
  <c r="D5228" i="48"/>
  <c r="D5229" i="48"/>
  <c r="D5230" i="48"/>
  <c r="D5231" i="48"/>
  <c r="D5232" i="48"/>
  <c r="D5233" i="48"/>
  <c r="D5234" i="48"/>
  <c r="D5235" i="48"/>
  <c r="D5236" i="48"/>
  <c r="D5237" i="48"/>
  <c r="D5238" i="48"/>
  <c r="D5239" i="48"/>
  <c r="D5240" i="48"/>
  <c r="D5241" i="48"/>
  <c r="D5242" i="48"/>
  <c r="D5243" i="48"/>
  <c r="D5244" i="48"/>
  <c r="D5245" i="48"/>
  <c r="D5246" i="48"/>
  <c r="D5247" i="48"/>
  <c r="D5248" i="48"/>
  <c r="D5249" i="48"/>
  <c r="D5250" i="48"/>
  <c r="D5251" i="48"/>
  <c r="D5252" i="48"/>
  <c r="D5253" i="48"/>
  <c r="D5254" i="48"/>
  <c r="D5255" i="48"/>
  <c r="D5256" i="48"/>
  <c r="D5257" i="48"/>
  <c r="D5258" i="48"/>
  <c r="D5259" i="48"/>
  <c r="D5260" i="48"/>
  <c r="D5261" i="48"/>
  <c r="D5262" i="48"/>
  <c r="D5263" i="48"/>
  <c r="D5264" i="48"/>
  <c r="D5265" i="48"/>
  <c r="D5266" i="48"/>
  <c r="D5267" i="48"/>
  <c r="D5268" i="48"/>
  <c r="D5269" i="48"/>
  <c r="D5270" i="48"/>
  <c r="D5271" i="48"/>
  <c r="D5272" i="48"/>
  <c r="D5273" i="48"/>
  <c r="D5274" i="48"/>
  <c r="D5275" i="48"/>
  <c r="D5276" i="48"/>
  <c r="D5277" i="48"/>
  <c r="D5278" i="48"/>
  <c r="D5279" i="48"/>
  <c r="D5280" i="48"/>
  <c r="D5281" i="48"/>
  <c r="D5282" i="48"/>
  <c r="D5283" i="48"/>
  <c r="D5284" i="48"/>
  <c r="D5285" i="48"/>
  <c r="D5286" i="48"/>
  <c r="D5287" i="48"/>
  <c r="D5288" i="48"/>
  <c r="D5289" i="48"/>
  <c r="D5290" i="48"/>
  <c r="D5291" i="48"/>
  <c r="D5292" i="48"/>
  <c r="D5293" i="48"/>
  <c r="D5294" i="48"/>
  <c r="D5295" i="48"/>
  <c r="D5296" i="48"/>
  <c r="D5297" i="48"/>
  <c r="D5298" i="48"/>
  <c r="D5299" i="48"/>
  <c r="D5300" i="48"/>
  <c r="D5301" i="48"/>
  <c r="D5302" i="48"/>
  <c r="D5303" i="48"/>
  <c r="D5304" i="48"/>
  <c r="D5305" i="48"/>
  <c r="D5306" i="48"/>
  <c r="D5307" i="48"/>
  <c r="D5308" i="48"/>
  <c r="D5309" i="48"/>
  <c r="D5310" i="48"/>
  <c r="D5311" i="48"/>
  <c r="D5312" i="48"/>
  <c r="D5313" i="48"/>
  <c r="D5314" i="48"/>
  <c r="D5315" i="48"/>
  <c r="D5316" i="48"/>
  <c r="D5317" i="48"/>
  <c r="D5318" i="48"/>
  <c r="D5319" i="48"/>
  <c r="D5320" i="48"/>
  <c r="D5321" i="48"/>
  <c r="D5322" i="48"/>
  <c r="D5323" i="48"/>
  <c r="D5324" i="48"/>
  <c r="D5325" i="48"/>
  <c r="D5326" i="48"/>
  <c r="D5327" i="48"/>
  <c r="D5328" i="48"/>
  <c r="D5329" i="48"/>
  <c r="D5330" i="48"/>
  <c r="D5331" i="48"/>
  <c r="D5332" i="48"/>
  <c r="D5333" i="48"/>
  <c r="D5334" i="48"/>
  <c r="D5335" i="48"/>
  <c r="D5336" i="48"/>
  <c r="D5337" i="48"/>
  <c r="D5338" i="48"/>
  <c r="D5339" i="48"/>
  <c r="D5340" i="48"/>
  <c r="D5341" i="48"/>
  <c r="D5342" i="48"/>
  <c r="D5343" i="48"/>
  <c r="D5344" i="48"/>
  <c r="D5345" i="48"/>
  <c r="D5346" i="48"/>
  <c r="D5347" i="48"/>
  <c r="D5348" i="48"/>
  <c r="D5349" i="48"/>
  <c r="D5350" i="48"/>
  <c r="D5351" i="48"/>
  <c r="D5352" i="48"/>
  <c r="D5353" i="48"/>
  <c r="D5354" i="48"/>
  <c r="D5355" i="48"/>
  <c r="D5356" i="48"/>
  <c r="D5357" i="48"/>
  <c r="D5358" i="48"/>
  <c r="D5359" i="48"/>
  <c r="D5360" i="48"/>
  <c r="D5361" i="48"/>
  <c r="D5362" i="48"/>
  <c r="D5363" i="48"/>
  <c r="D5364" i="48"/>
  <c r="D5365" i="48"/>
  <c r="D5366" i="48"/>
  <c r="D5367" i="48"/>
  <c r="D5368" i="48"/>
  <c r="D5369" i="48"/>
  <c r="D5370" i="48"/>
  <c r="D5371" i="48"/>
  <c r="D5372" i="48"/>
  <c r="D5373" i="48"/>
  <c r="D5374" i="48"/>
  <c r="D5375" i="48"/>
  <c r="D5376" i="48"/>
  <c r="D5377" i="48"/>
  <c r="D5378" i="48"/>
  <c r="D5379" i="48"/>
  <c r="D5380" i="48"/>
  <c r="D5381" i="48"/>
  <c r="D5382" i="48"/>
  <c r="D5383" i="48"/>
  <c r="D5384" i="48"/>
  <c r="D5385" i="48"/>
  <c r="D5386" i="48"/>
  <c r="D5387" i="48"/>
  <c r="D5388" i="48"/>
  <c r="D5389" i="48"/>
  <c r="D5390" i="48"/>
  <c r="D5391" i="48"/>
  <c r="D5392" i="48"/>
  <c r="D5393" i="48"/>
  <c r="D5394" i="48"/>
  <c r="D5395" i="48"/>
  <c r="D5396" i="48"/>
  <c r="D5397" i="48"/>
  <c r="D5398" i="48"/>
  <c r="D5399" i="48"/>
  <c r="D5400" i="48"/>
  <c r="D5401" i="48"/>
  <c r="D5402" i="48"/>
  <c r="D5403" i="48"/>
  <c r="D5404" i="48"/>
  <c r="D5405" i="48"/>
  <c r="D5406" i="48"/>
  <c r="D5407" i="48"/>
  <c r="D5408" i="48"/>
  <c r="D5409" i="48"/>
  <c r="D5410" i="48"/>
  <c r="D5411" i="48"/>
  <c r="D5412" i="48"/>
  <c r="D5413" i="48"/>
  <c r="D5414" i="48"/>
  <c r="D5415" i="48"/>
  <c r="D5416" i="48"/>
  <c r="D5417" i="48"/>
  <c r="D5418" i="48"/>
  <c r="D5419" i="48"/>
  <c r="D5420" i="48"/>
  <c r="D5421" i="48"/>
  <c r="D5422" i="48"/>
  <c r="D5423" i="48"/>
  <c r="D5424" i="48"/>
  <c r="D5425" i="48"/>
  <c r="D5426" i="48"/>
  <c r="D5427" i="48"/>
  <c r="D5428" i="48"/>
  <c r="D5429" i="48"/>
  <c r="D5430" i="48"/>
  <c r="D5431" i="48"/>
  <c r="D5432" i="48"/>
  <c r="D5433" i="48"/>
  <c r="D5434" i="48"/>
  <c r="D5435" i="48"/>
  <c r="D5436" i="48"/>
  <c r="D5437" i="48"/>
  <c r="D5438" i="48"/>
  <c r="D5439" i="48"/>
  <c r="D5440" i="48"/>
  <c r="D5441" i="48"/>
  <c r="D5442" i="48"/>
  <c r="D5443" i="48"/>
  <c r="D5444" i="48"/>
  <c r="D5445" i="48"/>
  <c r="D5446" i="48"/>
  <c r="D5447" i="48"/>
  <c r="D5448" i="48"/>
  <c r="D5449" i="48"/>
  <c r="D5450" i="48"/>
  <c r="D5451" i="48"/>
  <c r="D5452" i="48"/>
  <c r="D5453" i="48"/>
  <c r="D5454" i="48"/>
  <c r="D5455" i="48"/>
  <c r="D5456" i="48"/>
  <c r="D5457" i="48"/>
  <c r="D5458" i="48"/>
  <c r="D5459" i="48"/>
  <c r="D5460" i="48"/>
  <c r="D5461" i="48"/>
  <c r="D5462" i="48"/>
  <c r="D5463" i="48"/>
  <c r="D5464" i="48"/>
  <c r="D5465" i="48"/>
  <c r="D5466" i="48"/>
  <c r="D5467" i="48"/>
  <c r="D5468" i="48"/>
  <c r="D5469" i="48"/>
  <c r="D5470" i="48"/>
  <c r="D5471" i="48"/>
  <c r="D5472" i="48"/>
  <c r="D5473" i="48"/>
  <c r="D5474" i="48"/>
  <c r="D5475" i="48"/>
  <c r="D5476" i="48"/>
  <c r="D5477" i="48"/>
  <c r="D5478" i="48"/>
  <c r="D5479" i="48"/>
  <c r="D5480" i="48"/>
  <c r="D5481" i="48"/>
  <c r="D5482" i="48"/>
  <c r="D5483" i="48"/>
  <c r="D5484" i="48"/>
  <c r="D5485" i="48"/>
  <c r="D5486" i="48"/>
  <c r="D5487" i="48"/>
  <c r="D5488" i="48"/>
  <c r="D5489" i="48"/>
  <c r="D5490" i="48"/>
  <c r="D5491" i="48"/>
  <c r="D5492" i="48"/>
  <c r="D5493" i="48"/>
  <c r="D5494" i="48"/>
  <c r="D5495" i="48"/>
  <c r="D5496" i="48"/>
  <c r="D5497" i="48"/>
  <c r="D5498" i="48"/>
  <c r="D5499" i="48"/>
  <c r="D5500" i="48"/>
  <c r="D5501" i="48"/>
  <c r="D5502" i="48"/>
  <c r="D5503" i="48"/>
  <c r="D5504" i="48"/>
  <c r="D5505" i="48"/>
  <c r="D5506" i="48"/>
  <c r="D5507" i="48"/>
  <c r="D5508" i="48"/>
  <c r="D5509" i="48"/>
  <c r="D5510" i="48"/>
  <c r="D5511" i="48"/>
  <c r="D5512" i="48"/>
  <c r="D5513" i="48"/>
  <c r="D5514" i="48"/>
  <c r="D5515" i="48"/>
  <c r="D5516" i="48"/>
  <c r="D5517" i="48"/>
  <c r="D5518" i="48"/>
  <c r="D5519" i="48"/>
  <c r="D5520" i="48"/>
  <c r="D5521" i="48"/>
  <c r="D5522" i="48"/>
  <c r="D5523" i="48"/>
  <c r="D5524" i="48"/>
  <c r="D5525" i="48"/>
  <c r="D5526" i="48"/>
  <c r="D5527" i="48"/>
  <c r="D5528" i="48"/>
  <c r="D5529" i="48"/>
  <c r="D5530" i="48"/>
  <c r="D5531" i="48"/>
  <c r="D5532" i="48"/>
  <c r="D5533" i="48"/>
  <c r="D5534" i="48"/>
  <c r="D5535" i="48"/>
  <c r="D5536" i="48"/>
  <c r="D5537" i="48"/>
  <c r="D5538" i="48"/>
  <c r="D5539" i="48"/>
  <c r="D5540" i="48"/>
  <c r="D5541" i="48"/>
  <c r="D5542" i="48"/>
  <c r="D5543" i="48"/>
  <c r="D5544" i="48"/>
  <c r="D5545" i="48"/>
  <c r="D5546" i="48"/>
  <c r="D5547" i="48"/>
  <c r="D5548" i="48"/>
  <c r="D5549" i="48"/>
  <c r="D5550" i="48"/>
  <c r="D5551" i="48"/>
  <c r="D5552" i="48"/>
  <c r="D5553" i="48"/>
  <c r="D5554" i="48"/>
  <c r="D5555" i="48"/>
  <c r="D5556" i="48"/>
  <c r="D5557" i="48"/>
  <c r="D5558" i="48"/>
  <c r="D5559" i="48"/>
  <c r="D5560" i="48"/>
  <c r="D5561" i="48"/>
  <c r="D5562" i="48"/>
  <c r="D5563" i="48"/>
  <c r="D5564" i="48"/>
  <c r="D5565" i="48"/>
  <c r="D5566" i="48"/>
  <c r="D5567" i="48"/>
  <c r="D5568" i="48"/>
  <c r="D5569" i="48"/>
  <c r="D5570" i="48"/>
  <c r="D5571" i="48"/>
  <c r="D5572" i="48"/>
  <c r="D5573" i="48"/>
  <c r="D5574" i="48"/>
  <c r="D5575" i="48"/>
  <c r="D5576" i="48"/>
  <c r="D5577" i="48"/>
  <c r="D5578" i="48"/>
  <c r="D5579" i="48"/>
  <c r="D5580" i="48"/>
  <c r="D5581" i="48"/>
  <c r="D5582" i="48"/>
  <c r="D5583" i="48"/>
  <c r="D5584" i="48"/>
  <c r="D5585" i="48"/>
  <c r="D5586" i="48"/>
  <c r="D5587" i="48"/>
  <c r="D5588" i="48"/>
  <c r="D5589" i="48"/>
  <c r="D5590" i="48"/>
  <c r="D5591" i="48"/>
  <c r="D5592" i="48"/>
  <c r="D5593" i="48"/>
  <c r="D5594" i="48"/>
  <c r="D5595" i="48"/>
  <c r="D5596" i="48"/>
  <c r="D5597" i="48"/>
  <c r="D5598" i="48"/>
  <c r="D5599" i="48"/>
  <c r="D5600" i="48"/>
  <c r="D5601" i="48"/>
  <c r="D5602" i="48"/>
  <c r="D5603" i="48"/>
  <c r="D5604" i="48"/>
  <c r="D5605" i="48"/>
  <c r="D5606" i="48"/>
  <c r="D5607" i="48"/>
  <c r="D5608" i="48"/>
  <c r="D5609" i="48"/>
  <c r="D5610" i="48"/>
  <c r="D5611" i="48"/>
  <c r="D5612" i="48"/>
  <c r="D5613" i="48"/>
  <c r="D5614" i="48"/>
  <c r="D5615" i="48"/>
  <c r="D5616" i="48"/>
  <c r="D5617" i="48"/>
  <c r="D5618" i="48"/>
  <c r="D5619" i="48"/>
  <c r="D5620" i="48"/>
  <c r="D5621" i="48"/>
  <c r="D5622" i="48"/>
  <c r="D5623" i="48"/>
  <c r="D5624" i="48"/>
  <c r="D5625" i="48"/>
  <c r="D5626" i="48"/>
  <c r="D5627" i="48"/>
  <c r="D5628" i="48"/>
  <c r="D5629" i="48"/>
  <c r="D5630" i="48"/>
  <c r="D5631" i="48"/>
  <c r="D5632" i="48"/>
  <c r="D5633" i="48"/>
  <c r="D5634" i="48"/>
  <c r="D5635" i="48"/>
  <c r="D5636" i="48"/>
  <c r="D5637" i="48"/>
  <c r="D5638" i="48"/>
  <c r="D5639" i="48"/>
  <c r="D5640" i="48"/>
  <c r="D5641" i="48"/>
  <c r="D5642" i="48"/>
  <c r="D5643" i="48"/>
  <c r="D5644" i="48"/>
  <c r="D5645" i="48"/>
  <c r="D5646" i="48"/>
  <c r="D5647" i="48"/>
  <c r="D5648" i="48"/>
  <c r="D5649" i="48"/>
  <c r="D5650" i="48"/>
  <c r="D5651" i="48"/>
  <c r="D5652" i="48"/>
  <c r="D5653" i="48"/>
  <c r="D5654" i="48"/>
  <c r="D5655" i="48"/>
  <c r="D5656" i="48"/>
  <c r="D5657" i="48"/>
  <c r="D5658" i="48"/>
  <c r="D5659" i="48"/>
  <c r="D5660" i="48"/>
  <c r="D5661" i="48"/>
  <c r="D5662" i="48"/>
  <c r="D5663" i="48"/>
  <c r="D5664" i="48"/>
  <c r="D5665" i="48"/>
  <c r="D5666" i="48"/>
  <c r="D5667" i="48"/>
  <c r="D5668" i="48"/>
  <c r="D5669" i="48"/>
  <c r="D5670" i="48"/>
  <c r="D5671" i="48"/>
  <c r="D5672" i="48"/>
  <c r="D5673" i="48"/>
  <c r="D5674" i="48"/>
  <c r="D5675" i="48"/>
  <c r="D5676" i="48"/>
  <c r="D5677" i="48"/>
  <c r="D5678" i="48"/>
  <c r="D5679" i="48"/>
  <c r="D5680" i="48"/>
  <c r="D5681" i="48"/>
  <c r="D5682" i="48"/>
  <c r="D5683" i="48"/>
  <c r="D5684" i="48"/>
  <c r="D5685" i="48"/>
  <c r="D5686" i="48"/>
  <c r="D5687" i="48"/>
  <c r="D5688" i="48"/>
  <c r="D5689" i="48"/>
  <c r="D5690" i="48"/>
  <c r="D5691" i="48"/>
  <c r="D5692" i="48"/>
  <c r="D5693" i="48"/>
  <c r="D5694" i="48"/>
  <c r="D5695" i="48"/>
  <c r="D5696" i="48"/>
  <c r="D5697" i="48"/>
  <c r="D5698" i="48"/>
  <c r="D5699" i="48"/>
  <c r="D5700" i="48"/>
  <c r="D5701" i="48"/>
  <c r="D5702" i="48"/>
  <c r="D5703" i="48"/>
  <c r="D5704" i="48"/>
  <c r="D5705" i="48"/>
  <c r="D5706" i="48"/>
  <c r="D5707" i="48"/>
  <c r="D5708" i="48"/>
  <c r="D5709" i="48"/>
  <c r="D5710" i="48"/>
  <c r="D5711" i="48"/>
  <c r="D5712" i="48"/>
  <c r="D5713" i="48"/>
  <c r="D5714" i="48"/>
  <c r="D5715" i="48"/>
  <c r="D5716" i="48"/>
  <c r="D5717" i="48"/>
  <c r="D5718" i="48"/>
  <c r="D5719" i="48"/>
  <c r="D5720" i="48"/>
  <c r="D5721" i="48"/>
  <c r="D5722" i="48"/>
  <c r="D5723" i="48"/>
  <c r="D5724" i="48"/>
  <c r="D5725" i="48"/>
  <c r="D5726" i="48"/>
  <c r="D5727" i="48"/>
  <c r="D5728" i="48"/>
  <c r="D5729" i="48"/>
  <c r="D5730" i="48"/>
  <c r="D5731" i="48"/>
  <c r="D5732" i="48"/>
  <c r="D5733" i="48"/>
  <c r="D5734" i="48"/>
  <c r="D5735" i="48"/>
  <c r="D5736" i="48"/>
  <c r="D5737" i="48"/>
  <c r="D5738" i="48"/>
  <c r="D5739" i="48"/>
  <c r="D5740" i="48"/>
  <c r="D5741" i="48"/>
  <c r="D5742" i="48"/>
  <c r="D5743" i="48"/>
  <c r="D5744" i="48"/>
  <c r="D5745" i="48"/>
  <c r="D5746" i="48"/>
  <c r="D5747" i="48"/>
  <c r="D5748" i="48"/>
  <c r="D5749" i="48"/>
  <c r="D5750" i="48"/>
  <c r="D5751" i="48"/>
  <c r="D5752" i="48"/>
  <c r="D5753" i="48"/>
  <c r="D5754" i="48"/>
  <c r="D5755" i="48"/>
  <c r="D5756" i="48"/>
  <c r="D5757" i="48"/>
  <c r="D5758" i="48"/>
  <c r="D5759" i="48"/>
  <c r="D5760" i="48"/>
  <c r="D5761" i="48"/>
  <c r="D5762" i="48"/>
  <c r="D5763" i="48"/>
  <c r="D5764" i="48"/>
  <c r="D5765" i="48"/>
  <c r="D5766" i="48"/>
  <c r="D5767" i="48"/>
  <c r="D5768" i="48"/>
  <c r="D5769" i="48"/>
  <c r="D5770" i="48"/>
  <c r="D5771" i="48"/>
  <c r="D5772" i="48"/>
  <c r="D5773" i="48"/>
  <c r="D5774" i="48"/>
  <c r="D5775" i="48"/>
  <c r="D5776" i="48"/>
  <c r="D5777" i="48"/>
  <c r="D5778" i="48"/>
  <c r="D5779" i="48"/>
  <c r="D5780" i="48"/>
  <c r="D5781" i="48"/>
  <c r="D5782" i="48"/>
  <c r="D5783" i="48"/>
  <c r="D5784" i="48"/>
  <c r="D5785" i="48"/>
  <c r="D5786" i="48"/>
  <c r="D5787" i="48"/>
  <c r="D5788" i="48"/>
  <c r="D5789" i="48"/>
  <c r="D5790" i="48"/>
  <c r="D5791" i="48"/>
  <c r="D5792" i="48"/>
  <c r="D5793" i="48"/>
  <c r="D5794" i="48"/>
  <c r="D5795" i="48"/>
  <c r="D5796" i="48"/>
  <c r="D5797" i="48"/>
  <c r="D5798" i="48"/>
  <c r="D5799" i="48"/>
  <c r="D5800" i="48"/>
  <c r="D5801" i="48"/>
  <c r="D5802" i="48"/>
  <c r="D5803" i="48"/>
  <c r="D5804" i="48"/>
  <c r="D5805" i="48"/>
  <c r="D5806" i="48"/>
  <c r="D5807" i="48"/>
  <c r="D5808" i="48"/>
  <c r="D5809" i="48"/>
  <c r="D5810" i="48"/>
  <c r="D5811" i="48"/>
  <c r="D5812" i="48"/>
  <c r="D5813" i="48"/>
  <c r="D5814" i="48"/>
  <c r="D5815" i="48"/>
  <c r="D5816" i="48"/>
  <c r="D5817" i="48"/>
  <c r="D5818" i="48"/>
  <c r="D5819" i="48"/>
  <c r="D5820" i="48"/>
  <c r="D5821" i="48"/>
  <c r="D5822" i="48"/>
  <c r="D5823" i="48"/>
  <c r="D5824" i="48"/>
  <c r="D5825" i="48"/>
  <c r="D5826" i="48"/>
  <c r="D5827" i="48"/>
  <c r="D5828" i="48"/>
  <c r="D5829" i="48"/>
  <c r="D5830" i="48"/>
  <c r="D5831" i="48"/>
  <c r="D5832" i="48"/>
  <c r="D5833" i="48"/>
  <c r="D5834" i="48"/>
  <c r="D5835" i="48"/>
  <c r="D5836" i="48"/>
  <c r="D5837" i="48"/>
  <c r="D5838" i="48"/>
  <c r="D5839" i="48"/>
  <c r="D5840" i="48"/>
  <c r="D5841" i="48"/>
  <c r="D5842" i="48"/>
  <c r="D5843" i="48"/>
  <c r="D5844" i="48"/>
  <c r="D5845" i="48"/>
  <c r="D5846" i="48"/>
  <c r="D5847" i="48"/>
  <c r="D5848" i="48"/>
  <c r="D5849" i="48"/>
  <c r="D5850" i="48"/>
  <c r="D5851" i="48"/>
  <c r="D5852" i="48"/>
  <c r="D5853" i="48"/>
  <c r="D5854" i="48"/>
  <c r="D5855" i="48"/>
  <c r="D5856" i="48"/>
  <c r="D5857" i="48"/>
  <c r="D5858" i="48"/>
  <c r="D5859" i="48"/>
  <c r="D5860" i="48"/>
  <c r="D5861" i="48"/>
  <c r="D5862" i="48"/>
  <c r="D5863" i="48"/>
  <c r="D5864" i="48"/>
  <c r="D5865" i="48"/>
  <c r="D5866" i="48"/>
  <c r="D5867" i="48"/>
  <c r="D5868" i="48"/>
  <c r="D5869" i="48"/>
  <c r="D5870" i="48"/>
  <c r="D5871" i="48"/>
  <c r="D5872" i="48"/>
  <c r="D5873" i="48"/>
  <c r="D5874" i="48"/>
  <c r="D5875" i="48"/>
  <c r="D5876" i="48"/>
  <c r="D5877" i="48"/>
  <c r="D5878" i="48"/>
  <c r="D5879" i="48"/>
  <c r="D5880" i="48"/>
  <c r="D5881" i="48"/>
  <c r="D5882" i="48"/>
  <c r="D5883" i="48"/>
  <c r="D5884" i="48"/>
  <c r="D5885" i="48"/>
  <c r="D5886" i="48"/>
  <c r="D5887" i="48"/>
  <c r="D5888" i="48"/>
  <c r="D5889" i="48"/>
  <c r="D5890" i="48"/>
  <c r="D5891" i="48"/>
  <c r="D5892" i="48"/>
  <c r="D5893" i="48"/>
  <c r="D5894" i="48"/>
  <c r="D5895" i="48"/>
  <c r="D5896" i="48"/>
  <c r="D5897" i="48"/>
  <c r="D5898" i="48"/>
  <c r="D5899" i="48"/>
  <c r="D5900" i="48"/>
  <c r="D5901" i="48"/>
  <c r="D5902" i="48"/>
  <c r="D5903" i="48"/>
  <c r="D5904" i="48"/>
  <c r="D5905" i="48"/>
  <c r="D5906" i="48"/>
  <c r="D5907" i="48"/>
  <c r="D5908" i="48"/>
  <c r="D5909" i="48"/>
  <c r="D5910" i="48"/>
  <c r="D5911" i="48"/>
  <c r="D5912" i="48"/>
  <c r="D5913" i="48"/>
  <c r="D5914" i="48"/>
  <c r="D5915" i="48"/>
  <c r="D5916" i="48"/>
  <c r="D5917" i="48"/>
  <c r="D5918" i="48"/>
  <c r="D5919" i="48"/>
  <c r="D5920" i="48"/>
  <c r="D5921" i="48"/>
  <c r="D5922" i="48"/>
  <c r="D5923" i="48"/>
  <c r="D5924" i="48"/>
  <c r="D5925" i="48"/>
  <c r="D5926" i="48"/>
  <c r="D5927" i="48"/>
  <c r="D5928" i="48"/>
  <c r="D5929" i="48"/>
  <c r="D5930" i="48"/>
  <c r="D5931" i="48"/>
  <c r="D5932" i="48"/>
  <c r="D5933" i="48"/>
  <c r="D5934" i="48"/>
  <c r="D5935" i="48"/>
  <c r="D5936" i="48"/>
  <c r="D5937" i="48"/>
  <c r="D5938" i="48"/>
  <c r="D5939" i="48"/>
  <c r="D5940" i="48"/>
  <c r="D5941" i="48"/>
  <c r="D5942" i="48"/>
  <c r="D5943" i="48"/>
  <c r="D5944" i="48"/>
  <c r="D5945" i="48"/>
  <c r="D5946" i="48"/>
  <c r="D5947" i="48"/>
  <c r="D5948" i="48"/>
  <c r="D5949" i="48"/>
  <c r="D5950" i="48"/>
  <c r="D5951" i="48"/>
  <c r="D5952" i="48"/>
  <c r="D5953" i="48"/>
  <c r="D5954" i="48"/>
  <c r="D5955" i="48"/>
  <c r="D5956" i="48"/>
  <c r="D5957" i="48"/>
  <c r="D5958" i="48"/>
  <c r="D5959" i="48"/>
  <c r="D5960" i="48"/>
  <c r="D5961" i="48"/>
  <c r="D5962" i="48"/>
  <c r="D5963" i="48"/>
  <c r="D5964" i="48"/>
  <c r="D5965" i="48"/>
  <c r="D5966" i="48"/>
  <c r="D5967" i="48"/>
  <c r="D5968" i="48"/>
  <c r="D5969" i="48"/>
  <c r="D5970" i="48"/>
  <c r="D5971" i="48"/>
  <c r="D5972" i="48"/>
  <c r="D5973" i="48"/>
  <c r="D5974" i="48"/>
  <c r="D5975" i="48"/>
  <c r="D5976" i="48"/>
  <c r="D5977" i="48"/>
  <c r="D5978" i="48"/>
  <c r="D5979" i="48"/>
  <c r="D5980" i="48"/>
  <c r="D5981" i="48"/>
  <c r="D5982" i="48"/>
  <c r="D5983" i="48"/>
  <c r="D5984" i="48"/>
  <c r="D5985" i="48"/>
  <c r="D5986" i="48"/>
  <c r="D5987" i="48"/>
  <c r="D5988" i="48"/>
  <c r="D5989" i="48"/>
  <c r="D5990" i="48"/>
  <c r="D5991" i="48"/>
  <c r="D5992" i="48"/>
  <c r="D5993" i="48"/>
  <c r="D5994" i="48"/>
  <c r="D5995" i="48"/>
  <c r="D5996" i="48"/>
  <c r="D5997" i="48"/>
  <c r="D5998" i="48"/>
  <c r="D5999" i="48"/>
  <c r="D6000" i="48"/>
  <c r="D6001" i="48"/>
  <c r="D6002" i="48"/>
  <c r="D6003" i="48"/>
  <c r="D6004" i="48"/>
  <c r="D6005" i="48"/>
  <c r="D6006" i="48"/>
  <c r="D6007" i="48"/>
  <c r="D6008" i="48"/>
  <c r="D6009" i="48"/>
  <c r="D6010" i="48"/>
  <c r="D6011" i="48"/>
  <c r="D6012" i="48"/>
  <c r="D6013" i="48"/>
  <c r="D6014" i="48"/>
  <c r="D6015" i="48"/>
  <c r="D6016" i="48"/>
  <c r="D6017" i="48"/>
  <c r="D6018" i="48"/>
  <c r="D6019" i="48"/>
  <c r="D6020" i="48"/>
  <c r="D6021" i="48"/>
  <c r="D6022" i="48"/>
  <c r="D6023" i="48"/>
  <c r="D6024" i="48"/>
  <c r="D6025" i="48"/>
  <c r="D6026" i="48"/>
  <c r="D6027" i="48"/>
  <c r="D6028" i="48"/>
  <c r="D6029" i="48"/>
  <c r="D6030" i="48"/>
  <c r="D6031" i="48"/>
  <c r="D6032" i="48"/>
  <c r="D6033" i="48"/>
  <c r="D6034" i="48"/>
  <c r="D6035" i="48"/>
  <c r="D6036" i="48"/>
  <c r="D6037" i="48"/>
  <c r="D6038" i="48"/>
  <c r="D6039" i="48"/>
  <c r="D6040" i="48"/>
  <c r="D6041" i="48"/>
  <c r="D6042" i="48"/>
  <c r="D6043" i="48"/>
  <c r="D6044" i="48"/>
  <c r="D6045" i="48"/>
  <c r="D6046" i="48"/>
  <c r="D6047" i="48"/>
  <c r="D6048" i="48"/>
  <c r="D6049" i="48"/>
  <c r="D6050" i="48"/>
  <c r="D6051" i="48"/>
  <c r="D6052" i="48"/>
  <c r="D6053" i="48"/>
  <c r="D6054" i="48"/>
  <c r="D6055" i="48"/>
  <c r="D6056" i="48"/>
  <c r="D6057" i="48"/>
  <c r="D6058" i="48"/>
  <c r="D6059" i="48"/>
  <c r="D6060" i="48"/>
  <c r="D6061" i="48"/>
  <c r="D6062" i="48"/>
  <c r="D6063" i="48"/>
  <c r="D6064" i="48"/>
  <c r="D6065" i="48"/>
  <c r="D6066" i="48"/>
  <c r="D6067" i="48"/>
  <c r="D6068" i="48"/>
  <c r="D6069" i="48"/>
  <c r="D6070" i="48"/>
  <c r="D6071" i="48"/>
  <c r="D6072" i="48"/>
  <c r="D6073" i="48"/>
  <c r="D6074" i="48"/>
  <c r="D6075" i="48"/>
  <c r="D6076" i="48"/>
  <c r="D6077" i="48"/>
  <c r="D6078" i="48"/>
  <c r="D6079" i="48"/>
  <c r="D6080" i="48"/>
  <c r="D6081" i="48"/>
  <c r="D6082" i="48"/>
  <c r="D6083" i="48"/>
  <c r="D6084" i="48"/>
  <c r="D6085" i="48"/>
  <c r="D6086" i="48"/>
  <c r="D6087" i="48"/>
  <c r="D6088" i="48"/>
  <c r="D6089" i="48"/>
  <c r="D6090" i="48"/>
  <c r="D6091" i="48"/>
  <c r="D6092" i="48"/>
  <c r="D6093" i="48"/>
  <c r="D6094" i="48"/>
  <c r="D6095" i="48"/>
  <c r="D6096" i="48"/>
  <c r="D6097" i="48"/>
  <c r="D6098" i="48"/>
  <c r="D6099" i="48"/>
  <c r="D6100" i="48"/>
  <c r="D6101" i="48"/>
  <c r="D6102" i="48"/>
  <c r="D6103" i="48"/>
  <c r="D6104" i="48"/>
  <c r="D6105" i="48"/>
  <c r="D6106" i="48"/>
  <c r="D6107" i="48"/>
  <c r="D6108" i="48"/>
  <c r="D6109" i="48"/>
  <c r="D6110" i="48"/>
  <c r="D6111" i="48"/>
  <c r="D6112" i="48"/>
  <c r="D6113" i="48"/>
  <c r="D6114" i="48"/>
  <c r="D6115" i="48"/>
  <c r="D6116" i="48"/>
  <c r="D6117" i="48"/>
  <c r="D6118" i="48"/>
  <c r="D6119" i="48"/>
  <c r="D6120" i="48"/>
  <c r="D6121" i="48"/>
  <c r="D6122" i="48"/>
  <c r="D6123" i="48"/>
  <c r="D6124" i="48"/>
  <c r="D6125" i="48"/>
  <c r="D6126" i="48"/>
  <c r="D6127" i="48"/>
  <c r="D6128" i="48"/>
  <c r="D6129" i="48"/>
  <c r="D6130" i="48"/>
  <c r="D6131" i="48"/>
  <c r="D6132" i="48"/>
  <c r="D6133" i="48"/>
  <c r="D6134" i="48"/>
  <c r="D6135" i="48"/>
  <c r="D6136" i="48"/>
  <c r="D6137" i="48"/>
  <c r="D6138" i="48"/>
  <c r="D6139" i="48"/>
  <c r="D6140" i="48"/>
  <c r="D6141" i="48"/>
  <c r="D6142" i="48"/>
  <c r="D6143" i="48"/>
  <c r="D6144" i="48"/>
  <c r="D6145" i="48"/>
  <c r="D6146" i="48"/>
  <c r="D6147" i="48"/>
  <c r="D6148" i="48"/>
  <c r="D6149" i="48"/>
  <c r="D6150" i="48"/>
  <c r="D6151" i="48"/>
  <c r="D6152" i="48"/>
  <c r="D6153" i="48"/>
  <c r="D6154" i="48"/>
  <c r="D6155" i="48"/>
  <c r="D6156" i="48"/>
  <c r="D6157" i="48"/>
  <c r="D6158" i="48"/>
  <c r="D6159" i="48"/>
  <c r="D6160" i="48"/>
  <c r="D6161" i="48"/>
  <c r="D6162" i="48"/>
  <c r="D6163" i="48"/>
  <c r="D6164" i="48"/>
  <c r="D6165" i="48"/>
  <c r="D6166" i="48"/>
  <c r="D6167" i="48"/>
  <c r="D6168" i="48"/>
  <c r="D6169" i="48"/>
  <c r="D6170" i="48"/>
  <c r="D6171" i="48"/>
  <c r="D6172" i="48"/>
  <c r="D6173" i="48"/>
  <c r="D6174" i="48"/>
  <c r="D6175" i="48"/>
  <c r="D6176" i="48"/>
  <c r="D6177" i="48"/>
  <c r="D6178" i="48"/>
  <c r="D6179" i="48"/>
  <c r="D6180" i="48"/>
  <c r="D6181" i="48"/>
  <c r="D6182" i="48"/>
  <c r="D6183" i="48"/>
  <c r="D6184" i="48"/>
  <c r="D6185" i="48"/>
  <c r="D6186" i="48"/>
  <c r="D6187" i="48"/>
  <c r="D6188" i="48"/>
  <c r="D6189" i="48"/>
  <c r="D6190" i="48"/>
  <c r="D6191" i="48"/>
  <c r="D6192" i="48"/>
  <c r="D6193" i="48"/>
  <c r="D6194" i="48"/>
  <c r="D6195" i="48"/>
  <c r="D6196" i="48"/>
  <c r="D6197" i="48"/>
  <c r="D6198" i="48"/>
  <c r="D6199" i="48"/>
  <c r="D6200" i="48"/>
  <c r="D6201" i="48"/>
  <c r="D6202" i="48"/>
  <c r="D6203" i="48"/>
  <c r="D6204" i="48"/>
  <c r="D6205" i="48"/>
  <c r="D6206" i="48"/>
  <c r="D6207" i="48"/>
  <c r="D6208" i="48"/>
  <c r="D6209" i="48"/>
  <c r="D6210" i="48"/>
  <c r="D6211" i="48"/>
  <c r="D6212" i="48"/>
  <c r="D6213" i="48"/>
  <c r="D6214" i="48"/>
  <c r="D6215" i="48"/>
  <c r="D6216" i="48"/>
  <c r="D6217" i="48"/>
  <c r="D6218" i="48"/>
  <c r="D6219" i="48"/>
  <c r="D6220" i="48"/>
  <c r="D6221" i="48"/>
  <c r="D6222" i="48"/>
  <c r="D6223" i="48"/>
  <c r="D6224" i="48"/>
  <c r="D6225" i="48"/>
  <c r="D6226" i="48"/>
  <c r="D6227" i="48"/>
  <c r="D6228" i="48"/>
  <c r="D6229" i="48"/>
  <c r="D6230" i="48"/>
  <c r="D6231" i="48"/>
  <c r="D6232" i="48"/>
  <c r="D6233" i="48"/>
  <c r="D6234" i="48"/>
  <c r="D6235" i="48"/>
  <c r="D6236" i="48"/>
  <c r="D6237" i="48"/>
  <c r="D6238" i="48"/>
  <c r="D6239" i="48"/>
  <c r="D6240" i="48"/>
  <c r="D6241" i="48"/>
  <c r="D6242" i="48"/>
  <c r="D6243" i="48"/>
  <c r="D6244" i="48"/>
  <c r="D6245" i="48"/>
  <c r="D6246" i="48"/>
  <c r="D6247" i="48"/>
  <c r="D6248" i="48"/>
  <c r="D6249" i="48"/>
  <c r="D6250" i="48"/>
  <c r="D6251" i="48"/>
  <c r="D6252" i="48"/>
  <c r="D6253" i="48"/>
  <c r="D6254" i="48"/>
  <c r="D6255" i="48"/>
  <c r="D6256" i="48"/>
  <c r="D6257" i="48"/>
  <c r="D6258" i="48"/>
  <c r="D6259" i="48"/>
  <c r="D6260" i="48"/>
  <c r="D6261" i="48"/>
  <c r="D6262" i="48"/>
  <c r="D6263" i="48"/>
  <c r="D6264" i="48"/>
  <c r="D6265" i="48"/>
  <c r="D6266" i="48"/>
  <c r="D6267" i="48"/>
  <c r="D6268" i="48"/>
  <c r="D6269" i="48"/>
  <c r="D6270" i="48"/>
  <c r="D6271" i="48"/>
  <c r="D6272" i="48"/>
  <c r="D6273" i="48"/>
  <c r="D6274" i="48"/>
  <c r="D6275" i="48"/>
  <c r="D6276" i="48"/>
  <c r="D6277" i="48"/>
  <c r="D6278" i="48"/>
  <c r="D6279" i="48"/>
  <c r="D6280" i="48"/>
  <c r="D6281" i="48"/>
  <c r="D6282" i="48"/>
  <c r="D6283" i="48"/>
  <c r="D6284" i="48"/>
  <c r="D6285" i="48"/>
  <c r="D6286" i="48"/>
  <c r="D6287" i="48"/>
  <c r="D6288" i="48"/>
  <c r="D6289" i="48"/>
  <c r="D6290" i="48"/>
  <c r="D6291" i="48"/>
  <c r="D6292" i="48"/>
  <c r="D6293" i="48"/>
  <c r="D6294" i="48"/>
  <c r="D6295" i="48"/>
  <c r="D6296" i="48"/>
  <c r="D6297" i="48"/>
  <c r="D6298" i="48"/>
  <c r="D6299" i="48"/>
  <c r="D6300" i="48"/>
  <c r="D6301" i="48"/>
  <c r="D6302" i="48"/>
  <c r="D6303" i="48"/>
  <c r="D6304" i="48"/>
  <c r="D6305" i="48"/>
  <c r="D6306" i="48"/>
  <c r="D6307" i="48"/>
  <c r="D6308" i="48"/>
  <c r="D6309" i="48"/>
  <c r="D6310" i="48"/>
  <c r="D6311" i="48"/>
  <c r="D6312" i="48"/>
  <c r="D6313" i="48"/>
  <c r="D6314" i="48"/>
  <c r="D6315" i="48"/>
  <c r="D6316" i="48"/>
  <c r="D6317" i="48"/>
  <c r="D6318" i="48"/>
  <c r="D6319" i="48"/>
  <c r="D6320" i="48"/>
  <c r="D6321" i="48"/>
  <c r="D6322" i="48"/>
  <c r="D6323" i="48"/>
  <c r="D6324" i="48"/>
  <c r="D6325" i="48"/>
  <c r="D6326" i="48"/>
  <c r="D6327" i="48"/>
  <c r="D6328" i="48"/>
  <c r="D6329" i="48"/>
  <c r="D6330" i="48"/>
  <c r="D6331" i="48"/>
  <c r="D6332" i="48"/>
  <c r="D6333" i="48"/>
  <c r="D6334" i="48"/>
  <c r="D6335" i="48"/>
  <c r="D6336" i="48"/>
  <c r="D6337" i="48"/>
  <c r="D6338" i="48"/>
  <c r="D6339" i="48"/>
  <c r="D6340" i="48"/>
  <c r="D6341" i="48"/>
  <c r="D6342" i="48"/>
  <c r="D6343" i="48"/>
  <c r="D6344" i="48"/>
  <c r="D6345" i="48"/>
  <c r="D6346" i="48"/>
  <c r="D6347" i="48"/>
  <c r="D6348" i="48"/>
  <c r="D6349" i="48"/>
  <c r="D6350" i="48"/>
  <c r="D6351" i="48"/>
  <c r="D6352" i="48"/>
  <c r="D6353" i="48"/>
  <c r="D6354" i="48"/>
  <c r="D6355" i="48"/>
  <c r="D6356" i="48"/>
  <c r="D6357" i="48"/>
  <c r="D6358" i="48"/>
  <c r="D6359" i="48"/>
  <c r="D6360" i="48"/>
  <c r="D6361" i="48"/>
  <c r="D6362" i="48"/>
  <c r="D6363" i="48"/>
  <c r="D6364" i="48"/>
  <c r="D6365" i="48"/>
  <c r="D6366" i="48"/>
  <c r="D6367" i="48"/>
  <c r="D6368" i="48"/>
  <c r="D6369" i="48"/>
  <c r="D6370" i="48"/>
  <c r="D6371" i="48"/>
  <c r="D6372" i="48"/>
  <c r="D6373" i="48"/>
  <c r="D6374" i="48"/>
  <c r="D6375" i="48"/>
  <c r="D6376" i="48"/>
  <c r="D6377" i="48"/>
  <c r="D6378" i="48"/>
  <c r="D6379" i="48"/>
  <c r="D6380" i="48"/>
  <c r="D6381" i="48"/>
  <c r="D6382" i="48"/>
  <c r="D6383" i="48"/>
  <c r="D6384" i="48"/>
  <c r="D6385" i="48"/>
  <c r="D6386" i="48"/>
  <c r="D6387" i="48"/>
  <c r="D6388" i="48"/>
  <c r="D6389" i="48"/>
  <c r="D6390" i="48"/>
  <c r="D6391" i="48"/>
  <c r="D6392" i="48"/>
  <c r="D6393" i="48"/>
  <c r="D6394" i="48"/>
  <c r="D6395" i="48"/>
  <c r="D6396" i="48"/>
  <c r="D6397" i="48"/>
  <c r="D6398" i="48"/>
  <c r="D6399" i="48"/>
  <c r="D6400" i="48"/>
  <c r="D6401" i="48"/>
  <c r="D6402" i="48"/>
  <c r="D6403" i="48"/>
  <c r="D6404" i="48"/>
  <c r="D6405" i="48"/>
  <c r="D6406" i="48"/>
  <c r="D6407" i="48"/>
  <c r="D6408" i="48"/>
  <c r="D6409" i="48"/>
  <c r="D6410" i="48"/>
  <c r="D6411" i="48"/>
  <c r="D6412" i="48"/>
  <c r="D6413" i="48"/>
  <c r="D6414" i="48"/>
  <c r="D6415" i="48"/>
  <c r="D6416" i="48"/>
  <c r="D6417" i="48"/>
  <c r="D6418" i="48"/>
  <c r="D6419" i="48"/>
  <c r="D6420" i="48"/>
  <c r="D6421" i="48"/>
  <c r="D6422" i="48"/>
  <c r="D6423" i="48"/>
  <c r="D6424" i="48"/>
  <c r="D6425" i="48"/>
  <c r="D6426" i="48"/>
  <c r="D6427" i="48"/>
  <c r="D6428" i="48"/>
  <c r="D6429" i="48"/>
  <c r="D6430" i="48"/>
  <c r="D6431" i="48"/>
  <c r="D6432" i="48"/>
  <c r="D6433" i="48"/>
  <c r="D6434" i="48"/>
  <c r="D6435" i="48"/>
  <c r="D6436" i="48"/>
  <c r="D6437" i="48"/>
  <c r="D6438" i="48"/>
  <c r="D6439" i="48"/>
  <c r="D6440" i="48"/>
  <c r="D6441" i="48"/>
  <c r="D6442" i="48"/>
  <c r="D6443" i="48"/>
  <c r="D6444" i="48"/>
  <c r="D6445" i="48"/>
  <c r="D6446" i="48"/>
  <c r="D6447" i="48"/>
  <c r="D6448" i="48"/>
  <c r="D6449" i="48"/>
  <c r="D6450" i="48"/>
  <c r="D6451" i="48"/>
  <c r="D6452" i="48"/>
  <c r="D6453" i="48"/>
  <c r="D6454" i="48"/>
  <c r="D6455" i="48"/>
  <c r="D6456" i="48"/>
  <c r="D6457" i="48"/>
  <c r="D6458" i="48"/>
  <c r="D6459" i="48"/>
  <c r="D6460" i="48"/>
  <c r="D6461" i="48"/>
  <c r="D6462" i="48"/>
  <c r="D6463" i="48"/>
  <c r="D6464" i="48"/>
  <c r="D6465" i="48"/>
  <c r="D6466" i="48"/>
  <c r="D6467" i="48"/>
  <c r="D6468" i="48"/>
  <c r="D6469" i="48"/>
  <c r="D6470" i="48"/>
  <c r="D6471" i="48"/>
  <c r="D6472" i="48"/>
  <c r="D6473" i="48"/>
  <c r="D6474" i="48"/>
  <c r="D6475" i="48"/>
  <c r="D6476" i="48"/>
  <c r="D6477" i="48"/>
  <c r="D6478" i="48"/>
  <c r="D6479" i="48"/>
  <c r="D6480" i="48"/>
  <c r="D6481" i="48"/>
  <c r="D6482" i="48"/>
  <c r="D6483" i="48"/>
  <c r="D6484" i="48"/>
  <c r="D6485" i="48"/>
  <c r="D6486" i="48"/>
  <c r="D6487" i="48"/>
  <c r="D6488" i="48"/>
  <c r="D6489" i="48"/>
  <c r="D6490" i="48"/>
  <c r="D6491" i="48"/>
  <c r="D6492" i="48"/>
  <c r="D6493" i="48"/>
  <c r="D6494" i="48"/>
  <c r="D6495" i="48"/>
  <c r="D6496" i="48"/>
  <c r="D6497" i="48"/>
  <c r="D6498" i="48"/>
  <c r="D6499" i="48"/>
  <c r="D6500" i="48"/>
  <c r="D6501" i="48"/>
  <c r="D6502" i="48"/>
  <c r="D6503" i="48"/>
  <c r="D6504" i="48"/>
  <c r="D6505" i="48"/>
  <c r="D6506" i="48"/>
  <c r="D6507" i="48"/>
  <c r="D6508" i="48"/>
  <c r="D6509" i="48"/>
  <c r="D6510" i="48"/>
  <c r="D6511" i="48"/>
  <c r="D6512" i="48"/>
  <c r="D6513" i="48"/>
  <c r="D6514" i="48"/>
  <c r="D6515" i="48"/>
  <c r="D6516" i="48"/>
  <c r="D6517" i="48"/>
  <c r="D6518" i="48"/>
  <c r="D6519" i="48"/>
  <c r="D6520" i="48"/>
  <c r="D6521" i="48"/>
  <c r="D6522" i="48"/>
  <c r="D6523" i="48"/>
  <c r="D6524" i="48"/>
  <c r="D6525" i="48"/>
  <c r="D6526" i="48"/>
  <c r="D6527" i="48"/>
  <c r="D6528" i="48"/>
  <c r="D6529" i="48"/>
  <c r="D6530" i="48"/>
  <c r="D6531" i="48"/>
  <c r="D6532" i="48"/>
  <c r="D6533" i="48"/>
  <c r="D6534" i="48"/>
  <c r="D6535" i="48"/>
  <c r="D6536" i="48"/>
  <c r="D6537" i="48"/>
  <c r="D6538" i="48"/>
  <c r="D6539" i="48"/>
  <c r="D6540" i="48"/>
  <c r="D6541" i="48"/>
  <c r="D6542" i="48"/>
  <c r="D6543" i="48"/>
  <c r="D6544" i="48"/>
  <c r="D6545" i="48"/>
  <c r="D6546" i="48"/>
  <c r="D6547" i="48"/>
  <c r="D6548" i="48"/>
  <c r="D6549" i="48"/>
  <c r="D6550" i="48"/>
  <c r="D6551" i="48"/>
  <c r="D6552" i="48"/>
  <c r="D6553" i="48"/>
  <c r="D6554" i="48"/>
  <c r="D6555" i="48"/>
  <c r="D6556" i="48"/>
  <c r="D6557" i="48"/>
  <c r="D6558" i="48"/>
  <c r="D6559" i="48"/>
  <c r="D6560" i="48"/>
  <c r="D6561" i="48"/>
  <c r="D6562" i="48"/>
  <c r="D6563" i="48"/>
  <c r="D6564" i="48"/>
  <c r="D6565" i="48"/>
  <c r="D6566" i="48"/>
  <c r="D6567" i="48"/>
  <c r="D6568" i="48"/>
  <c r="D6569" i="48"/>
  <c r="D6570" i="48"/>
  <c r="D6571" i="48"/>
  <c r="D6572" i="48"/>
  <c r="D6573" i="48"/>
  <c r="D6574" i="48"/>
  <c r="D6575" i="48"/>
  <c r="D6576" i="48"/>
  <c r="D6577" i="48"/>
  <c r="D6578" i="48"/>
  <c r="D6579" i="48"/>
  <c r="D6580" i="48"/>
  <c r="D6581" i="48"/>
  <c r="D6582" i="48"/>
  <c r="D6583" i="48"/>
  <c r="D6584" i="48"/>
  <c r="D6585" i="48"/>
  <c r="D6586" i="48"/>
  <c r="D6587" i="48"/>
  <c r="D6588" i="48"/>
  <c r="D6589" i="48"/>
  <c r="D6590" i="48"/>
  <c r="D6591" i="48"/>
  <c r="D6592" i="48"/>
  <c r="D6593" i="48"/>
  <c r="D6594" i="48"/>
  <c r="D6595" i="48"/>
  <c r="D6596" i="48"/>
  <c r="D6597" i="48"/>
  <c r="D6598" i="48"/>
  <c r="D6599" i="48"/>
  <c r="D6600" i="48"/>
  <c r="D6601" i="48"/>
  <c r="D6602" i="48"/>
  <c r="D6603" i="48"/>
  <c r="D6604" i="48"/>
  <c r="D6605" i="48"/>
  <c r="D6606" i="48"/>
  <c r="D6607" i="48"/>
  <c r="D6608" i="48"/>
  <c r="D6609" i="48"/>
  <c r="D6610" i="48"/>
  <c r="D6611" i="48"/>
  <c r="D6612" i="48"/>
  <c r="D6613" i="48"/>
  <c r="D6614" i="48"/>
  <c r="D6615" i="48"/>
  <c r="D6616" i="48"/>
  <c r="D6617" i="48"/>
  <c r="D6618" i="48"/>
  <c r="D6619" i="48"/>
  <c r="D6620" i="48"/>
  <c r="D6621" i="48"/>
  <c r="D6622" i="48"/>
  <c r="D6623" i="48"/>
  <c r="D6624" i="48"/>
  <c r="D6625" i="48"/>
  <c r="D6626" i="48"/>
  <c r="D6627" i="48"/>
  <c r="D6628" i="48"/>
  <c r="D6629" i="48"/>
  <c r="D6630" i="48"/>
  <c r="D6631" i="48"/>
  <c r="D6632" i="48"/>
  <c r="D6633" i="48"/>
  <c r="D6634" i="48"/>
  <c r="D6635" i="48"/>
  <c r="D6636" i="48"/>
  <c r="D6637" i="48"/>
  <c r="D6638" i="48"/>
  <c r="D6639" i="48"/>
  <c r="D6640" i="48"/>
  <c r="D6641" i="48"/>
  <c r="D6642" i="48"/>
  <c r="D6643" i="48"/>
  <c r="D6644" i="48"/>
  <c r="D6645" i="48"/>
  <c r="D6646" i="48"/>
  <c r="D6647" i="48"/>
  <c r="D6648" i="48"/>
  <c r="D6649" i="48"/>
  <c r="D6650" i="48"/>
  <c r="D6651" i="48"/>
  <c r="D6652" i="48"/>
  <c r="D6653" i="48"/>
  <c r="D6654" i="48"/>
  <c r="D6655" i="48"/>
  <c r="D6656" i="48"/>
  <c r="D6657" i="48"/>
  <c r="D6658" i="48"/>
  <c r="D6659" i="48"/>
  <c r="D6660" i="48"/>
  <c r="D6661" i="48"/>
  <c r="D6662" i="48"/>
  <c r="D6663" i="48"/>
  <c r="D6664" i="48"/>
  <c r="D6665" i="48"/>
  <c r="D6666" i="48"/>
  <c r="D6667" i="48"/>
  <c r="D6668" i="48"/>
  <c r="D6669" i="48"/>
  <c r="D6670" i="48"/>
  <c r="D6671" i="48"/>
  <c r="D6672" i="48"/>
  <c r="D6673" i="48"/>
  <c r="D6674" i="48"/>
  <c r="D6675" i="48"/>
  <c r="D6676" i="48"/>
  <c r="D6677" i="48"/>
  <c r="D6678" i="48"/>
  <c r="D6679" i="48"/>
  <c r="D6680" i="48"/>
  <c r="D6681" i="48"/>
  <c r="D6682" i="48"/>
  <c r="D6683" i="48"/>
  <c r="D6684" i="48"/>
  <c r="D6685" i="48"/>
  <c r="D6686" i="48"/>
  <c r="D6687" i="48"/>
  <c r="D6688" i="48"/>
  <c r="D6689" i="48"/>
  <c r="D6690" i="48"/>
  <c r="D6691" i="48"/>
  <c r="D6692" i="48"/>
  <c r="D6693" i="48"/>
  <c r="D6694" i="48"/>
  <c r="D6695" i="48"/>
  <c r="D6696" i="48"/>
  <c r="D6697" i="48"/>
  <c r="D6698" i="48"/>
  <c r="D6699" i="48"/>
  <c r="D6700" i="48"/>
  <c r="D6701" i="48"/>
  <c r="D6702" i="48"/>
  <c r="D6703" i="48"/>
  <c r="D6704" i="48"/>
  <c r="D6705" i="48"/>
  <c r="D6706" i="48"/>
  <c r="D6707" i="48"/>
  <c r="D6708" i="48"/>
  <c r="D6709" i="48"/>
  <c r="D6710" i="48"/>
  <c r="D6711" i="48"/>
  <c r="D6712" i="48"/>
  <c r="D6713" i="48"/>
  <c r="D6714" i="48"/>
  <c r="D6715" i="48"/>
  <c r="D6716" i="48"/>
  <c r="D6717" i="48"/>
  <c r="D6718" i="48"/>
  <c r="D6719" i="48"/>
  <c r="D6720" i="48"/>
  <c r="D6721" i="48"/>
  <c r="D6722" i="48"/>
  <c r="D6723" i="48"/>
  <c r="D6724" i="48"/>
  <c r="D6725" i="48"/>
  <c r="D6726" i="48"/>
  <c r="D6727" i="48"/>
  <c r="D6728" i="48"/>
  <c r="D6729" i="48"/>
  <c r="D6730" i="48"/>
  <c r="D6731" i="48"/>
  <c r="D6732" i="48"/>
  <c r="D6733" i="48"/>
  <c r="D6734" i="48"/>
  <c r="D6735" i="48"/>
  <c r="D6736" i="48"/>
  <c r="D6737" i="48"/>
  <c r="D6738" i="48"/>
  <c r="D6739" i="48"/>
  <c r="D6740" i="48"/>
  <c r="D6741" i="48"/>
  <c r="D6742" i="48"/>
  <c r="D6743" i="48"/>
  <c r="D6744" i="48"/>
  <c r="D6745" i="48"/>
  <c r="D6746" i="48"/>
  <c r="D6747" i="48"/>
  <c r="D6748" i="48"/>
  <c r="D6749" i="48"/>
  <c r="D6750" i="48"/>
  <c r="D6751" i="48"/>
  <c r="D6752" i="48"/>
  <c r="D6753" i="48"/>
  <c r="D6754" i="48"/>
  <c r="D6755" i="48"/>
  <c r="D6756" i="48"/>
  <c r="D6757" i="48"/>
  <c r="D6758" i="48"/>
  <c r="D6759" i="48"/>
  <c r="D6760" i="48"/>
  <c r="D6761" i="48"/>
  <c r="D6762" i="48"/>
  <c r="D6763" i="48"/>
  <c r="D6764" i="48"/>
  <c r="D6765" i="48"/>
  <c r="D6766" i="48"/>
  <c r="D6767" i="48"/>
  <c r="D6768" i="48"/>
  <c r="D6769" i="48"/>
  <c r="D6770" i="48"/>
  <c r="D6771" i="48"/>
  <c r="D6772" i="48"/>
  <c r="D6773" i="48"/>
  <c r="D6774" i="48"/>
  <c r="D6775" i="48"/>
  <c r="D6776" i="48"/>
  <c r="D6777" i="48"/>
  <c r="D6778" i="48"/>
  <c r="D6779" i="48"/>
  <c r="D6780" i="48"/>
  <c r="D6781" i="48"/>
  <c r="D6782" i="48"/>
  <c r="D6783" i="48"/>
  <c r="D6784" i="48"/>
  <c r="D6785" i="48"/>
  <c r="D6786" i="48"/>
  <c r="D6787" i="48"/>
  <c r="D6788" i="48"/>
  <c r="D6789" i="48"/>
  <c r="D6790" i="48"/>
  <c r="D6791" i="48"/>
  <c r="D6792" i="48"/>
  <c r="D6793" i="48"/>
  <c r="D6794" i="48"/>
  <c r="D6795" i="48"/>
  <c r="D6796" i="48"/>
  <c r="D6797" i="48"/>
  <c r="D6798" i="48"/>
  <c r="D6799" i="48"/>
  <c r="D6800" i="48"/>
  <c r="D6801" i="48"/>
  <c r="D6802" i="48"/>
  <c r="D6803" i="48"/>
  <c r="D6804" i="48"/>
  <c r="D6805" i="48"/>
  <c r="D6806" i="48"/>
  <c r="D6807" i="48"/>
  <c r="D6808" i="48"/>
  <c r="D6809" i="48"/>
  <c r="D6810" i="48"/>
  <c r="D6811" i="48"/>
  <c r="D6812" i="48"/>
  <c r="D6813" i="48"/>
  <c r="D6814" i="48"/>
  <c r="D6815" i="48"/>
  <c r="D6816" i="48"/>
  <c r="D6817" i="48"/>
  <c r="D6818" i="48"/>
  <c r="D6819" i="48"/>
  <c r="D6820" i="48"/>
  <c r="D6821" i="48"/>
  <c r="D6822" i="48"/>
  <c r="D6823" i="48"/>
  <c r="D6824" i="48"/>
  <c r="D6825" i="48"/>
  <c r="D6826" i="48"/>
  <c r="D6827" i="48"/>
  <c r="D6828" i="48"/>
  <c r="D6829" i="48"/>
  <c r="D6830" i="48"/>
  <c r="D6831" i="48"/>
  <c r="D6832" i="48"/>
  <c r="D6833" i="48"/>
  <c r="D6834" i="48"/>
  <c r="D6835" i="48"/>
  <c r="D6836" i="48"/>
  <c r="D6837" i="48"/>
  <c r="D6838" i="48"/>
  <c r="D6839" i="48"/>
  <c r="D6840" i="48"/>
  <c r="D6841" i="48"/>
  <c r="D6842" i="48"/>
  <c r="D6843" i="48"/>
  <c r="D6844" i="48"/>
  <c r="D6845" i="48"/>
  <c r="D6846" i="48"/>
  <c r="D6847" i="48"/>
  <c r="D6848" i="48"/>
  <c r="D6849" i="48"/>
  <c r="D6850" i="48"/>
  <c r="D6851" i="48"/>
  <c r="D6852" i="48"/>
  <c r="D6853" i="48"/>
  <c r="D6854" i="48"/>
  <c r="D6855" i="48"/>
  <c r="D6856" i="48"/>
  <c r="D6857" i="48"/>
  <c r="D6858" i="48"/>
  <c r="D6859" i="48"/>
  <c r="D6860" i="48"/>
  <c r="D6861" i="48"/>
  <c r="D6862" i="48"/>
  <c r="D6863" i="48"/>
  <c r="D6864" i="48"/>
  <c r="D6865" i="48"/>
  <c r="D6866" i="48"/>
  <c r="D6867" i="48"/>
  <c r="D6868" i="48"/>
  <c r="D6869" i="48"/>
  <c r="D6870" i="48"/>
  <c r="D6871" i="48"/>
  <c r="D6872" i="48"/>
  <c r="D6873" i="48"/>
  <c r="D6874" i="48"/>
  <c r="D6875" i="48"/>
  <c r="D6876" i="48"/>
  <c r="D6877" i="48"/>
  <c r="D6878" i="48"/>
  <c r="D6879" i="48"/>
  <c r="D6880" i="48"/>
  <c r="D6881" i="48"/>
  <c r="D6882" i="48"/>
  <c r="D6883" i="48"/>
  <c r="D6884" i="48"/>
  <c r="D6885" i="48"/>
  <c r="D6886" i="48"/>
  <c r="D6887" i="48"/>
  <c r="D6888" i="48"/>
  <c r="D6889" i="48"/>
  <c r="D6890" i="48"/>
  <c r="D6891" i="48"/>
  <c r="D6892" i="48"/>
  <c r="D6893" i="48"/>
  <c r="D6894" i="48"/>
  <c r="D6895" i="48"/>
  <c r="D6896" i="48"/>
  <c r="D6897" i="48"/>
  <c r="D6898" i="48"/>
  <c r="D6899" i="48"/>
  <c r="D6900" i="48"/>
  <c r="D6901" i="48"/>
  <c r="D6902" i="48"/>
  <c r="D6903" i="48"/>
  <c r="D6904" i="48"/>
  <c r="D6905" i="48"/>
  <c r="D6906" i="48"/>
  <c r="D6907" i="48"/>
  <c r="D6908" i="48"/>
  <c r="D6909" i="48"/>
  <c r="D6910" i="48"/>
  <c r="D6911" i="48"/>
  <c r="D6912" i="48"/>
  <c r="D6913" i="48"/>
  <c r="D6914" i="48"/>
  <c r="D6915" i="48"/>
  <c r="D6916" i="48"/>
  <c r="D6917" i="48"/>
  <c r="D6918" i="48"/>
  <c r="D6919" i="48"/>
  <c r="D6920" i="48"/>
  <c r="D6921" i="48"/>
  <c r="D6922" i="48"/>
  <c r="D6923" i="48"/>
  <c r="D6924" i="48"/>
  <c r="D6925" i="48"/>
  <c r="D6926" i="48"/>
  <c r="D6927" i="48"/>
  <c r="D6928" i="48"/>
  <c r="D6929" i="48"/>
  <c r="D6930" i="48"/>
  <c r="D6931" i="48"/>
  <c r="D6932" i="48"/>
  <c r="D6933" i="48"/>
  <c r="D6934" i="48"/>
  <c r="D6935" i="48"/>
  <c r="D6936" i="48"/>
  <c r="D6937" i="48"/>
  <c r="D6938" i="48"/>
  <c r="D6939" i="48"/>
  <c r="D6940" i="48"/>
  <c r="D6941" i="48"/>
  <c r="D6942" i="48"/>
  <c r="D6943" i="48"/>
  <c r="D6944" i="48"/>
  <c r="D6945" i="48"/>
  <c r="D6946" i="48"/>
  <c r="D6947" i="48"/>
  <c r="D6948" i="48"/>
  <c r="D6949" i="48"/>
  <c r="D6950" i="48"/>
  <c r="D6951" i="48"/>
  <c r="D6952" i="48"/>
  <c r="D6953" i="48"/>
  <c r="D6954" i="48"/>
  <c r="D6955" i="48"/>
  <c r="D6956" i="48"/>
  <c r="D6957" i="48"/>
  <c r="D6958" i="48"/>
  <c r="D6959" i="48"/>
  <c r="D6960" i="48"/>
  <c r="D6961" i="48"/>
  <c r="D6962" i="48"/>
  <c r="D6963" i="48"/>
  <c r="D6964" i="48"/>
  <c r="D6965" i="48"/>
  <c r="D6966" i="48"/>
  <c r="D6967" i="48"/>
  <c r="D6968" i="48"/>
  <c r="D6969" i="48"/>
  <c r="D6970" i="48"/>
  <c r="D6971" i="48"/>
  <c r="D6972" i="48"/>
  <c r="D6973" i="48"/>
  <c r="D6974" i="48"/>
  <c r="D6975" i="48"/>
  <c r="D6976" i="48"/>
  <c r="D6977" i="48"/>
  <c r="D6978" i="48"/>
  <c r="D6979" i="48"/>
  <c r="D6980" i="48"/>
  <c r="D6981" i="48"/>
  <c r="D6982" i="48"/>
  <c r="D6983" i="48"/>
  <c r="D6984" i="48"/>
  <c r="D6985" i="48"/>
  <c r="D6986" i="48"/>
  <c r="D6987" i="48"/>
  <c r="D6988" i="48"/>
  <c r="D6989" i="48"/>
  <c r="D6990" i="48"/>
  <c r="D6991" i="48"/>
  <c r="D6992" i="48"/>
  <c r="D6993" i="48"/>
  <c r="D6994" i="48"/>
  <c r="D6995" i="48"/>
  <c r="D6996" i="48"/>
  <c r="D6997" i="48"/>
  <c r="D6998" i="48"/>
  <c r="D6999" i="48"/>
  <c r="D7000" i="48"/>
  <c r="D7001" i="48"/>
  <c r="D7002" i="48"/>
  <c r="D7003" i="48"/>
  <c r="D7004" i="48"/>
  <c r="D7005" i="48"/>
  <c r="D7006" i="48"/>
  <c r="D7007" i="48"/>
  <c r="D7008" i="48"/>
  <c r="D7009" i="48"/>
  <c r="D7010" i="48"/>
  <c r="D7011" i="48"/>
  <c r="D7012" i="48"/>
  <c r="D7013" i="48"/>
  <c r="D7014" i="48"/>
  <c r="D7015" i="48"/>
  <c r="D7016" i="48"/>
  <c r="D7017" i="48"/>
  <c r="D7018" i="48"/>
  <c r="D7019" i="48"/>
  <c r="D7020" i="48"/>
  <c r="D7021" i="48"/>
  <c r="D7022" i="48"/>
  <c r="D7023" i="48"/>
  <c r="D7024" i="48"/>
  <c r="D7025" i="48"/>
  <c r="D7026" i="48"/>
  <c r="D7027" i="48"/>
  <c r="D7028" i="48"/>
  <c r="D7029" i="48"/>
  <c r="D7030" i="48"/>
  <c r="D7031" i="48"/>
  <c r="D7032" i="48"/>
  <c r="D7033" i="48"/>
  <c r="D7034" i="48"/>
  <c r="D7035" i="48"/>
  <c r="D7036" i="48"/>
  <c r="D7037" i="48"/>
  <c r="D7038" i="48"/>
  <c r="D7039" i="48"/>
  <c r="D7040" i="48"/>
  <c r="D7041" i="48"/>
  <c r="D7042" i="48"/>
  <c r="D7043" i="48"/>
  <c r="D7044" i="48"/>
  <c r="D7045" i="48"/>
  <c r="D7046" i="48"/>
  <c r="D7047" i="48"/>
  <c r="D7048" i="48"/>
  <c r="D7049" i="48"/>
  <c r="D7050" i="48"/>
  <c r="D7051" i="48"/>
  <c r="D7052" i="48"/>
  <c r="D7053" i="48"/>
  <c r="D7054" i="48"/>
  <c r="D7055" i="48"/>
  <c r="D7056" i="48"/>
  <c r="D7057" i="48"/>
  <c r="D7058" i="48"/>
  <c r="D7059" i="48"/>
  <c r="D7060" i="48"/>
  <c r="D7061" i="48"/>
  <c r="D7062" i="48"/>
  <c r="D7063" i="48"/>
  <c r="D7064" i="48"/>
  <c r="D7065" i="48"/>
  <c r="D7066" i="48"/>
  <c r="D7067" i="48"/>
  <c r="D7068" i="48"/>
  <c r="D7069" i="48"/>
  <c r="D7070" i="48"/>
  <c r="D7071" i="48"/>
  <c r="D7072" i="48"/>
  <c r="D7073" i="48"/>
  <c r="D7074" i="48"/>
  <c r="D7075" i="48"/>
  <c r="D7076" i="48"/>
  <c r="D7077" i="48"/>
  <c r="D7078" i="48"/>
  <c r="D7079" i="48"/>
  <c r="D7080" i="48"/>
  <c r="D7081" i="48"/>
  <c r="D7082" i="48"/>
  <c r="D7083" i="48"/>
  <c r="D7084" i="48"/>
  <c r="D7085" i="48"/>
  <c r="D7086" i="48"/>
  <c r="D7087" i="48"/>
  <c r="D7088" i="48"/>
  <c r="D7089" i="48"/>
  <c r="D7090" i="48"/>
  <c r="D7091" i="48"/>
  <c r="D7092" i="48"/>
  <c r="D7093" i="48"/>
  <c r="D7094" i="48"/>
  <c r="D7095" i="48"/>
  <c r="D7096" i="48"/>
  <c r="D7097" i="48"/>
  <c r="D7098" i="48"/>
  <c r="D7099" i="48"/>
  <c r="D7100" i="48"/>
  <c r="D7101" i="48"/>
  <c r="D7102" i="48"/>
  <c r="D7103" i="48"/>
  <c r="D7104" i="48"/>
  <c r="D7105" i="48"/>
  <c r="D7106" i="48"/>
  <c r="D7107" i="48"/>
  <c r="D7108" i="48"/>
  <c r="D7109" i="48"/>
  <c r="D7110" i="48"/>
  <c r="D7111" i="48"/>
  <c r="D7112" i="48"/>
  <c r="D7113" i="48"/>
  <c r="D7114" i="48"/>
  <c r="D7115" i="48"/>
  <c r="D7116" i="48"/>
  <c r="D7117" i="48"/>
  <c r="D7118" i="48"/>
  <c r="D7119" i="48"/>
  <c r="D7120" i="48"/>
  <c r="D7121" i="48"/>
  <c r="D7122" i="48"/>
  <c r="D7123" i="48"/>
  <c r="D7124" i="48"/>
  <c r="D7125" i="48"/>
  <c r="D7126" i="48"/>
  <c r="D7127" i="48"/>
  <c r="D7128" i="48"/>
  <c r="D7129" i="48"/>
  <c r="D7130" i="48"/>
  <c r="D7131" i="48"/>
  <c r="D7132" i="48"/>
  <c r="D7133" i="48"/>
  <c r="D7134" i="48"/>
  <c r="D7135" i="48"/>
  <c r="D7136" i="48"/>
  <c r="D7137" i="48"/>
  <c r="D7138" i="48"/>
  <c r="D7139" i="48"/>
  <c r="D7140" i="48"/>
  <c r="D7141" i="48"/>
  <c r="D7142" i="48"/>
  <c r="D7143" i="48"/>
  <c r="D7144" i="48"/>
  <c r="D7145" i="48"/>
  <c r="D7146" i="48"/>
  <c r="D7147" i="48"/>
  <c r="D7148" i="48"/>
  <c r="D7149" i="48"/>
  <c r="D7150" i="48"/>
  <c r="D7151" i="48"/>
  <c r="D7152" i="48"/>
  <c r="D7153" i="48"/>
  <c r="D7154" i="48"/>
  <c r="D7155" i="48"/>
  <c r="D7156" i="48"/>
  <c r="D7157" i="48"/>
  <c r="D7158" i="48"/>
  <c r="D7159" i="48"/>
  <c r="D7160" i="48"/>
  <c r="D7161" i="48"/>
  <c r="D7162" i="48"/>
  <c r="D7163" i="48"/>
  <c r="D7164" i="48"/>
  <c r="D7165" i="48"/>
  <c r="D7166" i="48"/>
  <c r="D7167" i="48"/>
  <c r="D7168" i="48"/>
  <c r="D7169" i="48"/>
  <c r="D7170" i="48"/>
  <c r="D7171" i="48"/>
  <c r="D7172" i="48"/>
  <c r="D7173" i="48"/>
  <c r="D7174" i="48"/>
  <c r="D7175" i="48"/>
  <c r="D7176" i="48"/>
  <c r="D7177" i="48"/>
  <c r="D7178" i="48"/>
  <c r="D7179" i="48"/>
  <c r="D7180" i="48"/>
  <c r="D7181" i="48"/>
  <c r="D7182" i="48"/>
  <c r="D7183" i="48"/>
  <c r="D7184" i="48"/>
  <c r="D7185" i="48"/>
  <c r="D7186" i="48"/>
  <c r="D7187" i="48"/>
  <c r="D7188" i="48"/>
  <c r="D7189" i="48"/>
  <c r="D7190" i="48"/>
  <c r="D7191" i="48"/>
  <c r="D7192" i="48"/>
  <c r="D7193" i="48"/>
  <c r="D7194" i="48"/>
  <c r="D7195" i="48"/>
  <c r="D7196" i="48"/>
  <c r="D7197" i="48"/>
  <c r="D7198" i="48"/>
  <c r="D7199" i="48"/>
  <c r="D7200" i="48"/>
  <c r="D7201" i="48"/>
  <c r="D7202" i="48"/>
  <c r="D7203" i="48"/>
  <c r="D7204" i="48"/>
  <c r="D7205" i="48"/>
  <c r="D7206" i="48"/>
  <c r="D7207" i="48"/>
  <c r="D7208" i="48"/>
  <c r="D7209" i="48"/>
  <c r="D7210" i="48"/>
  <c r="D7211" i="48"/>
  <c r="D7212" i="48"/>
  <c r="D7213" i="48"/>
  <c r="D7214" i="48"/>
  <c r="D7215" i="48"/>
  <c r="D7216" i="48"/>
  <c r="D7217" i="48"/>
  <c r="D7218" i="48"/>
  <c r="D7219" i="48"/>
  <c r="D7220" i="48"/>
  <c r="D7221" i="48"/>
  <c r="D7222" i="48"/>
  <c r="D7223" i="48"/>
  <c r="D7224" i="48"/>
  <c r="D7225" i="48"/>
  <c r="D7226" i="48"/>
  <c r="D7227" i="48"/>
  <c r="D7228" i="48"/>
  <c r="D7229" i="48"/>
  <c r="D7230" i="48"/>
  <c r="D7231" i="48"/>
  <c r="D7232" i="48"/>
  <c r="D7233" i="48"/>
  <c r="D7234" i="48"/>
  <c r="D7235" i="48"/>
  <c r="D7236" i="48"/>
  <c r="D7237" i="48"/>
  <c r="D7238" i="48"/>
  <c r="D7239" i="48"/>
  <c r="D7240" i="48"/>
  <c r="D7241" i="48"/>
  <c r="D7242" i="48"/>
  <c r="D7243" i="48"/>
  <c r="D7244" i="48"/>
  <c r="D7245" i="48"/>
  <c r="D7246" i="48"/>
  <c r="D7247" i="48"/>
  <c r="D7248" i="48"/>
  <c r="D7249" i="48"/>
  <c r="D7250" i="48"/>
  <c r="D7251" i="48"/>
  <c r="D7252" i="48"/>
  <c r="D7253" i="48"/>
  <c r="D7254" i="48"/>
  <c r="D7255" i="48"/>
  <c r="D7256" i="48"/>
  <c r="D7257" i="48"/>
  <c r="D7258" i="48"/>
  <c r="D7259" i="48"/>
  <c r="D7260" i="48"/>
  <c r="D7261" i="48"/>
  <c r="D7262" i="48"/>
  <c r="D7263" i="48"/>
  <c r="D7264" i="48"/>
  <c r="D7265" i="48"/>
  <c r="D7266" i="48"/>
  <c r="D7267" i="48"/>
  <c r="D7268" i="48"/>
  <c r="D7269" i="48"/>
  <c r="D7270" i="48"/>
  <c r="D7271" i="48"/>
  <c r="D7272" i="48"/>
  <c r="D7273" i="48"/>
  <c r="D7274" i="48"/>
  <c r="D7275" i="48"/>
  <c r="D7276" i="48"/>
  <c r="D7277" i="48"/>
  <c r="D7278" i="48"/>
  <c r="D7279" i="48"/>
  <c r="D7280" i="48"/>
  <c r="D7281" i="48"/>
  <c r="D7282" i="48"/>
  <c r="D7283" i="48"/>
  <c r="D7284" i="48"/>
  <c r="D7285" i="48"/>
  <c r="D7286" i="48"/>
  <c r="D7287" i="48"/>
  <c r="D7288" i="48"/>
  <c r="D7289" i="48"/>
  <c r="D7290" i="48"/>
  <c r="D7291" i="48"/>
  <c r="D7292" i="48"/>
  <c r="D7293" i="48"/>
  <c r="D7294" i="48"/>
  <c r="D7295" i="48"/>
  <c r="D7296" i="48"/>
  <c r="D7297" i="48"/>
  <c r="D7298" i="48"/>
  <c r="D7299" i="48"/>
  <c r="D7300" i="48"/>
  <c r="D7301" i="48"/>
  <c r="D7302" i="48"/>
  <c r="D7303" i="48"/>
  <c r="D7304" i="48"/>
  <c r="D7305" i="48"/>
  <c r="D7306" i="48"/>
  <c r="D7307" i="48"/>
  <c r="D7308" i="48"/>
  <c r="D7309" i="48"/>
  <c r="D7310" i="48"/>
  <c r="D7311" i="48"/>
  <c r="D7312" i="48"/>
  <c r="D7313" i="48"/>
  <c r="D7314" i="48"/>
  <c r="D7315" i="48"/>
  <c r="D7316" i="48"/>
  <c r="D7317" i="48"/>
  <c r="D7318" i="48"/>
  <c r="D7319" i="48"/>
  <c r="D7320" i="48"/>
  <c r="D7321" i="48"/>
  <c r="D7322" i="48"/>
  <c r="D7323" i="48"/>
  <c r="D7324" i="48"/>
  <c r="D7325" i="48"/>
  <c r="D7326" i="48"/>
  <c r="D7327" i="48"/>
  <c r="D7328" i="48"/>
  <c r="D7329" i="48"/>
  <c r="D7330" i="48"/>
  <c r="D7331" i="48"/>
  <c r="D7332" i="48"/>
  <c r="D7333" i="48"/>
  <c r="D7334" i="48"/>
  <c r="D7335" i="48"/>
  <c r="D7336" i="48"/>
  <c r="D7337" i="48"/>
  <c r="D7338" i="48"/>
  <c r="D7339" i="48"/>
  <c r="D7340" i="48"/>
  <c r="D7341" i="48"/>
  <c r="D7342" i="48"/>
  <c r="D7343" i="48"/>
  <c r="D7344" i="48"/>
  <c r="D7345" i="48"/>
  <c r="D7346" i="48"/>
  <c r="D7347" i="48"/>
  <c r="D7348" i="48"/>
  <c r="D7349" i="48"/>
  <c r="D7350" i="48"/>
  <c r="D7351" i="48"/>
  <c r="D7352" i="48"/>
  <c r="D7353" i="48"/>
  <c r="D7354" i="48"/>
  <c r="D7355" i="48"/>
  <c r="D7356" i="48"/>
  <c r="D7357" i="48"/>
  <c r="D7358" i="48"/>
  <c r="D7359" i="48"/>
  <c r="D7360" i="48"/>
  <c r="D7361" i="48"/>
  <c r="D7362" i="48"/>
  <c r="D7363" i="48"/>
  <c r="D7364" i="48"/>
  <c r="D7365" i="48"/>
  <c r="D7366" i="48"/>
  <c r="D7367" i="48"/>
  <c r="D7368" i="48"/>
  <c r="D7369" i="48"/>
  <c r="D7370" i="48"/>
  <c r="D7371" i="48"/>
  <c r="D7372" i="48"/>
  <c r="D7373" i="48"/>
  <c r="D7374" i="48"/>
  <c r="D7375" i="48"/>
  <c r="D7376" i="48"/>
  <c r="D7377" i="48"/>
  <c r="D7378" i="48"/>
  <c r="D7379" i="48"/>
  <c r="D7380" i="48"/>
  <c r="D7381" i="48"/>
  <c r="D7382" i="48"/>
  <c r="D7383" i="48"/>
  <c r="D7384" i="48"/>
  <c r="D7385" i="48"/>
  <c r="D7386" i="48"/>
  <c r="D7387" i="48"/>
  <c r="D7388" i="48"/>
  <c r="D7389" i="48"/>
  <c r="D7390" i="48"/>
  <c r="D7391" i="48"/>
  <c r="D7392" i="48"/>
  <c r="D7393" i="48"/>
  <c r="D7394" i="48"/>
  <c r="D7395" i="48"/>
  <c r="D7396" i="48"/>
  <c r="D7397" i="48"/>
  <c r="D7398" i="48"/>
  <c r="D7399" i="48"/>
  <c r="D7400" i="48"/>
  <c r="D7401" i="48"/>
  <c r="D7402" i="48"/>
  <c r="D7403" i="48"/>
  <c r="D7404" i="48"/>
  <c r="D7405" i="48"/>
  <c r="D7406" i="48"/>
  <c r="D7407" i="48"/>
  <c r="D7408" i="48"/>
  <c r="D7409" i="48"/>
  <c r="D7410" i="48"/>
  <c r="D7411" i="48"/>
  <c r="D7412" i="48"/>
  <c r="D7413" i="48"/>
  <c r="D7414" i="48"/>
  <c r="D7415" i="48"/>
  <c r="D7416" i="48"/>
  <c r="D7417" i="48"/>
  <c r="D7418" i="48"/>
  <c r="D7419" i="48"/>
  <c r="D7420" i="48"/>
  <c r="D7421" i="48"/>
  <c r="D7422" i="48"/>
  <c r="D7423" i="48"/>
  <c r="D7424" i="48"/>
  <c r="D7425" i="48"/>
  <c r="D7426" i="48"/>
  <c r="D7427" i="48"/>
  <c r="D7428" i="48"/>
  <c r="D7429" i="48"/>
  <c r="D7430" i="48"/>
  <c r="D7431" i="48"/>
  <c r="D7432" i="48"/>
  <c r="D7433" i="48"/>
  <c r="D7434" i="48"/>
  <c r="D7435" i="48"/>
  <c r="D7436" i="48"/>
  <c r="D7437" i="48"/>
  <c r="D7438" i="48"/>
  <c r="D7439" i="48"/>
  <c r="D7440" i="48"/>
  <c r="D7441" i="48"/>
  <c r="D7442" i="48"/>
  <c r="D7443" i="48"/>
  <c r="D7444" i="48"/>
  <c r="D7445" i="48"/>
  <c r="D7446" i="48"/>
  <c r="D7447" i="48"/>
  <c r="D7448" i="48"/>
  <c r="D7449" i="48"/>
  <c r="D7450" i="48"/>
  <c r="D7451" i="48"/>
  <c r="D7452" i="48"/>
  <c r="D7453" i="48"/>
  <c r="D7454" i="48"/>
  <c r="D7455" i="48"/>
  <c r="D7456" i="48"/>
  <c r="D7457" i="48"/>
  <c r="D7458" i="48"/>
  <c r="D7459" i="48"/>
  <c r="D7460" i="48"/>
  <c r="D7461" i="48"/>
  <c r="D7462" i="48"/>
  <c r="D7463" i="48"/>
  <c r="D7464" i="48"/>
  <c r="D7465" i="48"/>
  <c r="D7466" i="48"/>
  <c r="D7467" i="48"/>
  <c r="D7468" i="48"/>
  <c r="D7469" i="48"/>
  <c r="D7470" i="48"/>
  <c r="D7471" i="48"/>
  <c r="D7472" i="48"/>
  <c r="D7473" i="48"/>
  <c r="D7474" i="48"/>
  <c r="D7475" i="48"/>
  <c r="D7476" i="48"/>
  <c r="D7477" i="48"/>
  <c r="D7478" i="48"/>
  <c r="D7479" i="48"/>
  <c r="D7480" i="48"/>
  <c r="D7481" i="48"/>
  <c r="D7482" i="48"/>
  <c r="D7483" i="48"/>
  <c r="D7484" i="48"/>
  <c r="D7485" i="48"/>
  <c r="D7486" i="48"/>
  <c r="D7487" i="48"/>
  <c r="D7488" i="48"/>
  <c r="D7489" i="48"/>
  <c r="D7490" i="48"/>
  <c r="D7491" i="48"/>
  <c r="D7492" i="48"/>
  <c r="D7493" i="48"/>
  <c r="D7494" i="48"/>
  <c r="D7495" i="48"/>
  <c r="D7496" i="48"/>
  <c r="D7497" i="48"/>
  <c r="D7498" i="48"/>
  <c r="N34" i="45" l="1"/>
  <c r="N13" i="45" l="1"/>
  <c r="N17" i="45"/>
  <c r="N19" i="45"/>
  <c r="N21" i="45"/>
  <c r="N23" i="45"/>
  <c r="N25" i="45"/>
  <c r="N27" i="45"/>
  <c r="N29" i="45"/>
  <c r="N33" i="45"/>
  <c r="N35" i="45"/>
  <c r="N14" i="45"/>
  <c r="N16" i="45"/>
  <c r="N18" i="45"/>
  <c r="N20" i="45"/>
  <c r="N22" i="45"/>
  <c r="N24" i="45"/>
  <c r="N26" i="45"/>
  <c r="N28" i="45"/>
  <c r="N30" i="45"/>
  <c r="N32" i="45"/>
  <c r="N716" i="45"/>
  <c r="N714" i="45"/>
  <c r="N712" i="45"/>
  <c r="N710" i="45"/>
  <c r="N708" i="45"/>
  <c r="N706" i="45"/>
  <c r="N704" i="45"/>
  <c r="N702" i="45"/>
  <c r="N700" i="45"/>
  <c r="N698" i="45"/>
  <c r="N696" i="45"/>
  <c r="N694" i="45"/>
  <c r="N692" i="45"/>
  <c r="N690" i="45"/>
  <c r="N688" i="45"/>
  <c r="N686" i="45"/>
  <c r="N684" i="45"/>
  <c r="N682" i="45"/>
  <c r="N680" i="45"/>
  <c r="N678" i="45"/>
  <c r="N676" i="45"/>
  <c r="N674" i="45"/>
  <c r="N672" i="45"/>
  <c r="N670" i="45"/>
  <c r="N668" i="45"/>
  <c r="N666" i="45"/>
  <c r="N664" i="45"/>
  <c r="N662" i="45"/>
  <c r="N660" i="45"/>
  <c r="N658" i="45"/>
  <c r="N656" i="45"/>
  <c r="N654" i="45"/>
  <c r="N652" i="45"/>
  <c r="N650" i="45"/>
  <c r="N648" i="45"/>
  <c r="N646" i="45"/>
  <c r="N644" i="45"/>
  <c r="N642" i="45"/>
  <c r="N640" i="45"/>
  <c r="N638" i="45"/>
  <c r="N636" i="45"/>
  <c r="N634" i="45"/>
  <c r="N632" i="45"/>
  <c r="N630" i="45"/>
  <c r="N628" i="45"/>
  <c r="N626" i="45"/>
  <c r="N624" i="45"/>
  <c r="N622" i="45"/>
  <c r="N620" i="45"/>
  <c r="N618" i="45"/>
  <c r="N616" i="45"/>
  <c r="N614" i="45"/>
  <c r="N612" i="45"/>
  <c r="N610" i="45"/>
  <c r="N608" i="45"/>
  <c r="N606" i="45"/>
  <c r="N604" i="45"/>
  <c r="N602" i="45"/>
  <c r="N600" i="45"/>
  <c r="N598" i="45"/>
  <c r="N596" i="45"/>
  <c r="N594" i="45"/>
  <c r="N592" i="45"/>
  <c r="N590" i="45"/>
  <c r="N588" i="45"/>
  <c r="N586" i="45"/>
  <c r="N584" i="45"/>
  <c r="N582" i="45"/>
  <c r="N580" i="45"/>
  <c r="N578" i="45"/>
  <c r="N576" i="45"/>
  <c r="N574" i="45"/>
  <c r="N572" i="45"/>
  <c r="N570" i="45"/>
  <c r="N568" i="45"/>
  <c r="N566" i="45"/>
  <c r="N564" i="45"/>
  <c r="N562" i="45"/>
  <c r="N560" i="45"/>
  <c r="N558" i="45"/>
  <c r="N556" i="45"/>
  <c r="N554" i="45"/>
  <c r="N552" i="45"/>
  <c r="N550" i="45"/>
  <c r="N548" i="45"/>
  <c r="N715" i="45"/>
  <c r="N713" i="45"/>
  <c r="N711" i="45"/>
  <c r="N709" i="45"/>
  <c r="N707" i="45"/>
  <c r="N705" i="45"/>
  <c r="N703" i="45"/>
  <c r="N701" i="45"/>
  <c r="N699" i="45"/>
  <c r="N697" i="45"/>
  <c r="N695" i="45"/>
  <c r="N693" i="45"/>
  <c r="N691" i="45"/>
  <c r="N689" i="45"/>
  <c r="N687" i="45"/>
  <c r="N685" i="45"/>
  <c r="N683" i="45"/>
  <c r="N681" i="45"/>
  <c r="N679" i="45"/>
  <c r="N677" i="45"/>
  <c r="N675" i="45"/>
  <c r="N673" i="45"/>
  <c r="N671" i="45"/>
  <c r="N669" i="45"/>
  <c r="N667" i="45"/>
  <c r="N665" i="45"/>
  <c r="N663" i="45"/>
  <c r="N661" i="45"/>
  <c r="N659" i="45"/>
  <c r="N657" i="45"/>
  <c r="N655" i="45"/>
  <c r="N653" i="45"/>
  <c r="N651" i="45"/>
  <c r="N649" i="45"/>
  <c r="N647" i="45"/>
  <c r="N645" i="45"/>
  <c r="N643" i="45"/>
  <c r="N641" i="45"/>
  <c r="N639" i="45"/>
  <c r="N637" i="45"/>
  <c r="N635" i="45"/>
  <c r="N633" i="45"/>
  <c r="N631" i="45"/>
  <c r="N629" i="45"/>
  <c r="N627" i="45"/>
  <c r="N625" i="45"/>
  <c r="N623" i="45"/>
  <c r="N621" i="45"/>
  <c r="N619" i="45"/>
  <c r="N617" i="45"/>
  <c r="N615" i="45"/>
  <c r="N613" i="45"/>
  <c r="N611" i="45"/>
  <c r="N609" i="45"/>
  <c r="N607" i="45"/>
  <c r="N605" i="45"/>
  <c r="N603" i="45"/>
  <c r="N601" i="45"/>
  <c r="N599" i="45"/>
  <c r="N597" i="45"/>
  <c r="N595" i="45"/>
  <c r="N593" i="45"/>
  <c r="N591" i="45"/>
  <c r="N589" i="45"/>
  <c r="N587" i="45"/>
  <c r="N585" i="45"/>
  <c r="N583" i="45"/>
  <c r="N581" i="45"/>
  <c r="N579" i="45"/>
  <c r="N577" i="45"/>
  <c r="N575" i="45"/>
  <c r="N573" i="45"/>
  <c r="N571" i="45"/>
  <c r="N569" i="45"/>
  <c r="N567" i="45"/>
  <c r="N565" i="45"/>
  <c r="N563" i="45"/>
  <c r="N561" i="45"/>
  <c r="N559" i="45"/>
  <c r="N557" i="45"/>
  <c r="N555" i="45"/>
  <c r="N553" i="45"/>
  <c r="N551" i="45"/>
  <c r="N549" i="45"/>
  <c r="N547" i="45"/>
  <c r="N546" i="45"/>
  <c r="N544" i="45"/>
  <c r="N542" i="45"/>
  <c r="N540" i="45"/>
  <c r="N538" i="45"/>
  <c r="N536" i="45"/>
  <c r="N534" i="45"/>
  <c r="N532" i="45"/>
  <c r="N530" i="45"/>
  <c r="N528" i="45"/>
  <c r="N526" i="45"/>
  <c r="N524" i="45"/>
  <c r="N522" i="45"/>
  <c r="N520" i="45"/>
  <c r="N518" i="45"/>
  <c r="N516" i="45"/>
  <c r="N514" i="45"/>
  <c r="N512" i="45"/>
  <c r="N510" i="45"/>
  <c r="N508" i="45"/>
  <c r="N506" i="45"/>
  <c r="N504" i="45"/>
  <c r="N502" i="45"/>
  <c r="N500" i="45"/>
  <c r="N498" i="45"/>
  <c r="N496" i="45"/>
  <c r="N494" i="45"/>
  <c r="N492" i="45"/>
  <c r="N490" i="45"/>
  <c r="N488" i="45"/>
  <c r="N486" i="45"/>
  <c r="N484" i="45"/>
  <c r="N482" i="45"/>
  <c r="N480" i="45"/>
  <c r="N478" i="45"/>
  <c r="N476" i="45"/>
  <c r="N474" i="45"/>
  <c r="N472" i="45"/>
  <c r="N470" i="45"/>
  <c r="N468" i="45"/>
  <c r="N466" i="45"/>
  <c r="N464" i="45"/>
  <c r="N462" i="45"/>
  <c r="N460" i="45"/>
  <c r="N458" i="45"/>
  <c r="N456" i="45"/>
  <c r="N454" i="45"/>
  <c r="N452" i="45"/>
  <c r="N450" i="45"/>
  <c r="N448" i="45"/>
  <c r="N446" i="45"/>
  <c r="N444" i="45"/>
  <c r="N442" i="45"/>
  <c r="N440" i="45"/>
  <c r="N438" i="45"/>
  <c r="N436" i="45"/>
  <c r="N434" i="45"/>
  <c r="N432" i="45"/>
  <c r="N430" i="45"/>
  <c r="N428" i="45"/>
  <c r="N426" i="45"/>
  <c r="N424" i="45"/>
  <c r="N422" i="45"/>
  <c r="N420" i="45"/>
  <c r="N418" i="45"/>
  <c r="N416" i="45"/>
  <c r="N414" i="45"/>
  <c r="N412" i="45"/>
  <c r="N410" i="45"/>
  <c r="N408" i="45"/>
  <c r="N406" i="45"/>
  <c r="N404" i="45"/>
  <c r="N402" i="45"/>
  <c r="N400" i="45"/>
  <c r="N398" i="45"/>
  <c r="N396" i="45"/>
  <c r="N394" i="45"/>
  <c r="N392" i="45"/>
  <c r="N390" i="45"/>
  <c r="N388" i="45"/>
  <c r="N386" i="45"/>
  <c r="N384" i="45"/>
  <c r="N382" i="45"/>
  <c r="N380" i="45"/>
  <c r="N378" i="45"/>
  <c r="N376" i="45"/>
  <c r="N545" i="45"/>
  <c r="N543" i="45"/>
  <c r="N541" i="45"/>
  <c r="N539" i="45"/>
  <c r="N537" i="45"/>
  <c r="N535" i="45"/>
  <c r="N533" i="45"/>
  <c r="N531" i="45"/>
  <c r="N529" i="45"/>
  <c r="N527" i="45"/>
  <c r="N525" i="45"/>
  <c r="N523" i="45"/>
  <c r="N521" i="45"/>
  <c r="N519" i="45"/>
  <c r="N517" i="45"/>
  <c r="N515" i="45"/>
  <c r="N513" i="45"/>
  <c r="N511" i="45"/>
  <c r="N509" i="45"/>
  <c r="N507" i="45"/>
  <c r="N505" i="45"/>
  <c r="N503" i="45"/>
  <c r="N501" i="45"/>
  <c r="N499" i="45"/>
  <c r="N497" i="45"/>
  <c r="N495" i="45"/>
  <c r="N493" i="45"/>
  <c r="N491" i="45"/>
  <c r="N489" i="45"/>
  <c r="N487" i="45"/>
  <c r="N485" i="45"/>
  <c r="N483" i="45"/>
  <c r="N481" i="45"/>
  <c r="N479" i="45"/>
  <c r="N477" i="45"/>
  <c r="N475" i="45"/>
  <c r="N473" i="45"/>
  <c r="N471" i="45"/>
  <c r="N469" i="45"/>
  <c r="N467" i="45"/>
  <c r="N465" i="45"/>
  <c r="N463" i="45"/>
  <c r="N461" i="45"/>
  <c r="N459" i="45"/>
  <c r="N457" i="45"/>
  <c r="N455" i="45"/>
  <c r="N453" i="45"/>
  <c r="N451" i="45"/>
  <c r="N449" i="45"/>
  <c r="N447" i="45"/>
  <c r="N445" i="45"/>
  <c r="N443" i="45"/>
  <c r="N441" i="45"/>
  <c r="N439" i="45"/>
  <c r="N437" i="45"/>
  <c r="N435" i="45"/>
  <c r="N433" i="45"/>
  <c r="N431" i="45"/>
  <c r="N429" i="45"/>
  <c r="N427" i="45"/>
  <c r="N425" i="45"/>
  <c r="N423" i="45"/>
  <c r="N421" i="45"/>
  <c r="N419" i="45"/>
  <c r="N417" i="45"/>
  <c r="N415" i="45"/>
  <c r="N413" i="45"/>
  <c r="N411" i="45"/>
  <c r="N409" i="45"/>
  <c r="N407" i="45"/>
  <c r="N405" i="45"/>
  <c r="N403" i="45"/>
  <c r="N401" i="45"/>
  <c r="N399" i="45"/>
  <c r="N397" i="45"/>
  <c r="N395" i="45"/>
  <c r="N393" i="45"/>
  <c r="N391" i="45"/>
  <c r="N389" i="45"/>
  <c r="N387" i="45"/>
  <c r="N385" i="45"/>
  <c r="N383" i="45"/>
  <c r="N381" i="45"/>
  <c r="N379" i="45"/>
  <c r="N377" i="45"/>
  <c r="N375" i="45"/>
  <c r="N373" i="45"/>
  <c r="N371" i="45"/>
  <c r="N369" i="45"/>
  <c r="N367" i="45"/>
  <c r="N365" i="45"/>
  <c r="N363" i="45"/>
  <c r="N361" i="45"/>
  <c r="N359" i="45"/>
  <c r="N357" i="45"/>
  <c r="N355" i="45"/>
  <c r="N353" i="45"/>
  <c r="N351" i="45"/>
  <c r="N349" i="45"/>
  <c r="N347" i="45"/>
  <c r="N345" i="45"/>
  <c r="N343" i="45"/>
  <c r="N341" i="45"/>
  <c r="N339" i="45"/>
  <c r="N337" i="45"/>
  <c r="N335" i="45"/>
  <c r="N333" i="45"/>
  <c r="N331" i="45"/>
  <c r="N329" i="45"/>
  <c r="N327" i="45"/>
  <c r="N325" i="45"/>
  <c r="N323" i="45"/>
  <c r="N321" i="45"/>
  <c r="N319" i="45"/>
  <c r="N317" i="45"/>
  <c r="N315" i="45"/>
  <c r="N313" i="45"/>
  <c r="N311" i="45"/>
  <c r="N309" i="45"/>
  <c r="N307" i="45"/>
  <c r="N305" i="45"/>
  <c r="N303" i="45"/>
  <c r="N301" i="45"/>
  <c r="N299" i="45"/>
  <c r="N297" i="45"/>
  <c r="N295" i="45"/>
  <c r="N293" i="45"/>
  <c r="N291" i="45"/>
  <c r="N289" i="45"/>
  <c r="N287" i="45"/>
  <c r="N285" i="45"/>
  <c r="N283" i="45"/>
  <c r="N281" i="45"/>
  <c r="N279" i="45"/>
  <c r="N277" i="45"/>
  <c r="N275" i="45"/>
  <c r="N273" i="45"/>
  <c r="N271" i="45"/>
  <c r="N269" i="45"/>
  <c r="N267" i="45"/>
  <c r="N265" i="45"/>
  <c r="N263" i="45"/>
  <c r="N261" i="45"/>
  <c r="N259" i="45"/>
  <c r="N257" i="45"/>
  <c r="N255" i="45"/>
  <c r="N253" i="45"/>
  <c r="N251" i="45"/>
  <c r="N249" i="45"/>
  <c r="N247" i="45"/>
  <c r="N245" i="45"/>
  <c r="N243" i="45"/>
  <c r="N241" i="45"/>
  <c r="N239" i="45"/>
  <c r="N237" i="45"/>
  <c r="N235" i="45"/>
  <c r="N233" i="45"/>
  <c r="N231" i="45"/>
  <c r="N229" i="45"/>
  <c r="N227" i="45"/>
  <c r="N225" i="45"/>
  <c r="N223" i="45"/>
  <c r="N221" i="45"/>
  <c r="N219" i="45"/>
  <c r="N217" i="45"/>
  <c r="N215" i="45"/>
  <c r="N213" i="45"/>
  <c r="N211" i="45"/>
  <c r="N209" i="45"/>
  <c r="N207" i="45"/>
  <c r="N205" i="45"/>
  <c r="N203" i="45"/>
  <c r="N201" i="45"/>
  <c r="N199" i="45"/>
  <c r="N197" i="45"/>
  <c r="N195" i="45"/>
  <c r="N193" i="45"/>
  <c r="N191" i="45"/>
  <c r="N189" i="45"/>
  <c r="N187" i="45"/>
  <c r="N185" i="45"/>
  <c r="N183" i="45"/>
  <c r="N181" i="45"/>
  <c r="N179" i="45"/>
  <c r="N177" i="45"/>
  <c r="N175" i="45"/>
  <c r="N173" i="45"/>
  <c r="N171" i="45"/>
  <c r="N169" i="45"/>
  <c r="N167" i="45"/>
  <c r="N165" i="45"/>
  <c r="N163" i="45"/>
  <c r="N161" i="45"/>
  <c r="N159" i="45"/>
  <c r="N157" i="45"/>
  <c r="N155" i="45"/>
  <c r="N153" i="45"/>
  <c r="N151" i="45"/>
  <c r="N149" i="45"/>
  <c r="N147" i="45"/>
  <c r="N145" i="45"/>
  <c r="N143" i="45"/>
  <c r="N141" i="45"/>
  <c r="N139" i="45"/>
  <c r="N137" i="45"/>
  <c r="N135" i="45"/>
  <c r="N133" i="45"/>
  <c r="N131" i="45"/>
  <c r="N129" i="45"/>
  <c r="N127" i="45"/>
  <c r="N125" i="45"/>
  <c r="N123" i="45"/>
  <c r="N121" i="45"/>
  <c r="N119" i="45"/>
  <c r="N117" i="45"/>
  <c r="N115" i="45"/>
  <c r="N113" i="45"/>
  <c r="N111" i="45"/>
  <c r="N109" i="45"/>
  <c r="N107" i="45"/>
  <c r="N105" i="45"/>
  <c r="N103" i="45"/>
  <c r="N101" i="45"/>
  <c r="N99" i="45"/>
  <c r="N97" i="45"/>
  <c r="N95" i="45"/>
  <c r="N93" i="45"/>
  <c r="N91" i="45"/>
  <c r="N89" i="45"/>
  <c r="N87" i="45"/>
  <c r="N85" i="45"/>
  <c r="N83" i="45"/>
  <c r="N81" i="45"/>
  <c r="N79" i="45"/>
  <c r="N77" i="45"/>
  <c r="N75" i="45"/>
  <c r="N73" i="45"/>
  <c r="N71" i="45"/>
  <c r="N69" i="45"/>
  <c r="N67" i="45"/>
  <c r="N65" i="45"/>
  <c r="N63" i="45"/>
  <c r="N61" i="45"/>
  <c r="N59" i="45"/>
  <c r="N57" i="45"/>
  <c r="N55" i="45"/>
  <c r="N53" i="45"/>
  <c r="N51" i="45"/>
  <c r="N49" i="45"/>
  <c r="N47" i="45"/>
  <c r="N45" i="45"/>
  <c r="N43" i="45"/>
  <c r="N41" i="45"/>
  <c r="N39" i="45"/>
  <c r="N37" i="45"/>
  <c r="N374" i="45"/>
  <c r="N372" i="45"/>
  <c r="N370" i="45"/>
  <c r="N368" i="45"/>
  <c r="N366" i="45"/>
  <c r="N364" i="45"/>
  <c r="N362" i="45"/>
  <c r="N360" i="45"/>
  <c r="N358" i="45"/>
  <c r="N356" i="45"/>
  <c r="N354" i="45"/>
  <c r="N352" i="45"/>
  <c r="N350" i="45"/>
  <c r="N348" i="45"/>
  <c r="N346" i="45"/>
  <c r="N344" i="45"/>
  <c r="N342" i="45"/>
  <c r="N340" i="45"/>
  <c r="N338" i="45"/>
  <c r="N336" i="45"/>
  <c r="N334" i="45"/>
  <c r="N332" i="45"/>
  <c r="N330" i="45"/>
  <c r="N328" i="45"/>
  <c r="N326" i="45"/>
  <c r="N324" i="45"/>
  <c r="N322" i="45"/>
  <c r="N320" i="45"/>
  <c r="N318" i="45"/>
  <c r="N316" i="45"/>
  <c r="N314" i="45"/>
  <c r="N312" i="45"/>
  <c r="N310" i="45"/>
  <c r="N308" i="45"/>
  <c r="N306" i="45"/>
  <c r="N304" i="45"/>
  <c r="N302" i="45"/>
  <c r="N300" i="45"/>
  <c r="N298" i="45"/>
  <c r="N296" i="45"/>
  <c r="N294" i="45"/>
  <c r="N292" i="45"/>
  <c r="N290" i="45"/>
  <c r="N288" i="45"/>
  <c r="N286" i="45"/>
  <c r="N284" i="45"/>
  <c r="N282" i="45"/>
  <c r="N280" i="45"/>
  <c r="N278" i="45"/>
  <c r="N276" i="45"/>
  <c r="N274" i="45"/>
  <c r="N272" i="45"/>
  <c r="N270" i="45"/>
  <c r="N268" i="45"/>
  <c r="N266" i="45"/>
  <c r="N264" i="45"/>
  <c r="N262" i="45"/>
  <c r="N260" i="45"/>
  <c r="N258" i="45"/>
  <c r="N256" i="45"/>
  <c r="N254" i="45"/>
  <c r="N252" i="45"/>
  <c r="N250" i="45"/>
  <c r="N248" i="45"/>
  <c r="N246" i="45"/>
  <c r="N244" i="45"/>
  <c r="N242" i="45"/>
  <c r="N240" i="45"/>
  <c r="N238" i="45"/>
  <c r="N236" i="45"/>
  <c r="N234" i="45"/>
  <c r="N232" i="45"/>
  <c r="N230" i="45"/>
  <c r="N228" i="45"/>
  <c r="N226" i="45"/>
  <c r="N224" i="45"/>
  <c r="N222" i="45"/>
  <c r="N220" i="45"/>
  <c r="N218" i="45"/>
  <c r="N216" i="45"/>
  <c r="N214" i="45"/>
  <c r="N212" i="45"/>
  <c r="N210" i="45"/>
  <c r="N208" i="45"/>
  <c r="N206" i="45"/>
  <c r="N204" i="45"/>
  <c r="N202" i="45"/>
  <c r="N200" i="45"/>
  <c r="N198" i="45"/>
  <c r="N196" i="45"/>
  <c r="N194" i="45"/>
  <c r="N192" i="45"/>
  <c r="N190" i="45"/>
  <c r="N188" i="45"/>
  <c r="N186" i="45"/>
  <c r="N184" i="45"/>
  <c r="N182" i="45"/>
  <c r="N180" i="45"/>
  <c r="N178" i="45"/>
  <c r="N176" i="45"/>
  <c r="N174" i="45"/>
  <c r="N172" i="45"/>
  <c r="N170" i="45"/>
  <c r="N168" i="45"/>
  <c r="N166" i="45"/>
  <c r="N164" i="45"/>
  <c r="N162" i="45"/>
  <c r="N160" i="45"/>
  <c r="N158" i="45"/>
  <c r="N156" i="45"/>
  <c r="N154" i="45"/>
  <c r="N152" i="45"/>
  <c r="N150" i="45"/>
  <c r="N148" i="45"/>
  <c r="N146" i="45"/>
  <c r="N144" i="45"/>
  <c r="N142" i="45"/>
  <c r="N140" i="45"/>
  <c r="N138" i="45"/>
  <c r="N136" i="45"/>
  <c r="N134" i="45"/>
  <c r="N132" i="45"/>
  <c r="N130" i="45"/>
  <c r="N128" i="45"/>
  <c r="N126" i="45"/>
  <c r="N124" i="45"/>
  <c r="N122" i="45"/>
  <c r="N120" i="45"/>
  <c r="N118" i="45"/>
  <c r="N116" i="45"/>
  <c r="N114" i="45"/>
  <c r="N112" i="45"/>
  <c r="N110" i="45"/>
  <c r="N108" i="45"/>
  <c r="N106" i="45"/>
  <c r="N104" i="45"/>
  <c r="N102" i="45"/>
  <c r="N100" i="45"/>
  <c r="N98" i="45"/>
  <c r="N96" i="45"/>
  <c r="N94" i="45"/>
  <c r="N92" i="45"/>
  <c r="N90" i="45"/>
  <c r="N88" i="45"/>
  <c r="N86" i="45"/>
  <c r="N84" i="45"/>
  <c r="N82" i="45"/>
  <c r="N80" i="45"/>
  <c r="N78" i="45"/>
  <c r="N76" i="45"/>
  <c r="N74" i="45"/>
  <c r="N72" i="45"/>
  <c r="N70" i="45"/>
  <c r="N68" i="45"/>
  <c r="N66" i="45"/>
  <c r="N64" i="45"/>
  <c r="N62" i="45"/>
  <c r="N60" i="45"/>
  <c r="N58" i="45"/>
  <c r="N56" i="45"/>
  <c r="N54" i="45"/>
  <c r="N52" i="45"/>
  <c r="N50" i="45"/>
  <c r="N48" i="45"/>
  <c r="N46" i="45"/>
  <c r="N44" i="45"/>
  <c r="N42" i="45"/>
  <c r="N40" i="45"/>
  <c r="N38" i="45"/>
  <c r="N36" i="45"/>
  <c r="N15" i="45"/>
  <c r="N31" i="45"/>
  <c r="E11" i="15"/>
  <c r="F11" i="15" s="1"/>
  <c r="G11" i="15" s="1"/>
  <c r="H11" i="15" s="1"/>
  <c r="I11" i="15" s="1"/>
  <c r="J11" i="15" s="1"/>
  <c r="K11" i="15" s="1"/>
  <c r="L11" i="15" s="1"/>
  <c r="M11" i="15" s="1"/>
  <c r="N11" i="15" s="1"/>
  <c r="O11" i="15" s="1"/>
  <c r="P11" i="15" s="1"/>
  <c r="D11" i="15" s="1"/>
  <c r="E12" i="15"/>
  <c r="F12" i="15" s="1"/>
  <c r="G12" i="15" s="1"/>
  <c r="H12" i="15" s="1"/>
  <c r="I12" i="15" s="1"/>
  <c r="J12" i="15" s="1"/>
  <c r="K12" i="15" s="1"/>
  <c r="L12" i="15" s="1"/>
  <c r="M12" i="15" s="1"/>
  <c r="N12" i="15" s="1"/>
  <c r="O12" i="15" s="1"/>
  <c r="P12" i="15" s="1"/>
  <c r="D12" i="15" s="1"/>
  <c r="E13" i="15"/>
  <c r="F13" i="15" s="1"/>
  <c r="G13" i="15" s="1"/>
  <c r="H13" i="15" s="1"/>
  <c r="I13" i="15" s="1"/>
  <c r="J13" i="15" s="1"/>
  <c r="K13" i="15" s="1"/>
  <c r="L13" i="15" s="1"/>
  <c r="M13" i="15" s="1"/>
  <c r="N13" i="15" s="1"/>
  <c r="O13" i="15" s="1"/>
  <c r="P13" i="15" s="1"/>
  <c r="D13" i="15" s="1"/>
  <c r="E14" i="15"/>
  <c r="F14" i="15" s="1"/>
  <c r="G14" i="15" s="1"/>
  <c r="E15" i="15"/>
  <c r="F15" i="15" s="1"/>
  <c r="G15" i="15" s="1"/>
  <c r="H15" i="15" s="1"/>
  <c r="I15" i="15" s="1"/>
  <c r="J15" i="15" s="1"/>
  <c r="K15" i="15" s="1"/>
  <c r="L15" i="15" s="1"/>
  <c r="M15" i="15" s="1"/>
  <c r="N15" i="15" s="1"/>
  <c r="O15" i="15" s="1"/>
  <c r="P15" i="15" s="1"/>
  <c r="D15" i="15" s="1"/>
  <c r="E16" i="15"/>
  <c r="F16" i="15" s="1"/>
  <c r="G16" i="15" s="1"/>
  <c r="E17" i="15"/>
  <c r="F17" i="15" s="1"/>
  <c r="E18" i="15"/>
  <c r="F18" i="15" s="1"/>
  <c r="G18" i="15" s="1"/>
  <c r="E19" i="15"/>
  <c r="F19" i="15" s="1"/>
  <c r="G19" i="15" s="1"/>
  <c r="E20" i="15"/>
  <c r="F20" i="15"/>
  <c r="G20" i="15" s="1"/>
  <c r="E21" i="15"/>
  <c r="F21" i="15" s="1"/>
  <c r="G21" i="15" s="1"/>
  <c r="E22" i="15"/>
  <c r="F22" i="15" s="1"/>
  <c r="G22" i="15" s="1"/>
  <c r="E23" i="15"/>
  <c r="F23" i="15" s="1"/>
  <c r="G23" i="15" s="1"/>
  <c r="E24" i="15"/>
  <c r="F24" i="15" s="1"/>
  <c r="G24" i="15" s="1"/>
  <c r="L25" i="15"/>
  <c r="M25" i="15" s="1"/>
  <c r="C26" i="15"/>
  <c r="H35" i="15"/>
  <c r="H48" i="15" s="1"/>
  <c r="H36" i="15"/>
  <c r="H37" i="15"/>
  <c r="H38" i="15"/>
  <c r="H39" i="15"/>
  <c r="H40" i="15"/>
  <c r="H41" i="15"/>
  <c r="H42" i="15"/>
  <c r="H43" i="15"/>
  <c r="H44" i="15"/>
  <c r="H45" i="15"/>
  <c r="H46" i="15"/>
  <c r="H47" i="15"/>
  <c r="B48" i="15"/>
  <c r="C48" i="15"/>
  <c r="D48" i="15"/>
  <c r="E48" i="15"/>
  <c r="F48" i="15"/>
  <c r="G48" i="15"/>
  <c r="I48" i="15"/>
  <c r="C11" i="19"/>
  <c r="D11" i="19"/>
  <c r="C12" i="19"/>
  <c r="D12" i="19"/>
  <c r="C13" i="19"/>
  <c r="D13" i="19"/>
  <c r="C14" i="19"/>
  <c r="C15" i="19"/>
  <c r="D15" i="19"/>
  <c r="C16" i="19"/>
  <c r="C17" i="19"/>
  <c r="C18" i="19"/>
  <c r="C19" i="19"/>
  <c r="C20" i="19"/>
  <c r="C21" i="19"/>
  <c r="C22" i="19"/>
  <c r="C23" i="19"/>
  <c r="C24" i="19"/>
  <c r="C25" i="19"/>
  <c r="C27" i="19"/>
  <c r="B36" i="19"/>
  <c r="C36" i="19"/>
  <c r="D36" i="19"/>
  <c r="E36" i="19"/>
  <c r="E50" i="19" s="1"/>
  <c r="F36" i="19"/>
  <c r="G36" i="19"/>
  <c r="G50" i="19" s="1"/>
  <c r="I36" i="19"/>
  <c r="B37" i="19"/>
  <c r="C37" i="19"/>
  <c r="D37" i="19"/>
  <c r="E37" i="19"/>
  <c r="F37" i="19"/>
  <c r="G37" i="19"/>
  <c r="I37" i="19"/>
  <c r="B38" i="19"/>
  <c r="C38" i="19"/>
  <c r="D38" i="19"/>
  <c r="E38" i="19"/>
  <c r="F38" i="19"/>
  <c r="G38" i="19"/>
  <c r="I38" i="19"/>
  <c r="B39" i="19"/>
  <c r="C39" i="19"/>
  <c r="D39" i="19"/>
  <c r="E39" i="19"/>
  <c r="F39" i="19"/>
  <c r="G39" i="19"/>
  <c r="I39" i="19"/>
  <c r="B40" i="19"/>
  <c r="C40" i="19"/>
  <c r="D40" i="19"/>
  <c r="E40" i="19"/>
  <c r="F40" i="19"/>
  <c r="G40" i="19"/>
  <c r="I40" i="19"/>
  <c r="B41" i="19"/>
  <c r="C41" i="19"/>
  <c r="D41" i="19"/>
  <c r="E41" i="19"/>
  <c r="F41" i="19"/>
  <c r="G41" i="19"/>
  <c r="I41" i="19"/>
  <c r="B42" i="19"/>
  <c r="C42" i="19"/>
  <c r="D42" i="19"/>
  <c r="E42" i="19"/>
  <c r="F42" i="19"/>
  <c r="G42" i="19"/>
  <c r="I42" i="19"/>
  <c r="B43" i="19"/>
  <c r="C43" i="19"/>
  <c r="D43" i="19"/>
  <c r="E43" i="19"/>
  <c r="F43" i="19"/>
  <c r="G43" i="19"/>
  <c r="I43" i="19"/>
  <c r="B44" i="19"/>
  <c r="C44" i="19"/>
  <c r="D44" i="19"/>
  <c r="E44" i="19"/>
  <c r="F44" i="19"/>
  <c r="G44" i="19"/>
  <c r="I44" i="19"/>
  <c r="B45" i="19"/>
  <c r="C45" i="19"/>
  <c r="D45" i="19"/>
  <c r="E45" i="19"/>
  <c r="F45" i="19"/>
  <c r="G45" i="19"/>
  <c r="H45" i="19"/>
  <c r="I45" i="19"/>
  <c r="B46" i="19"/>
  <c r="C46" i="19"/>
  <c r="D46" i="19"/>
  <c r="E46" i="19"/>
  <c r="F46" i="19"/>
  <c r="G46" i="19"/>
  <c r="H46" i="19"/>
  <c r="I46" i="19"/>
  <c r="B47" i="19"/>
  <c r="C47" i="19"/>
  <c r="D47" i="19"/>
  <c r="E47" i="19"/>
  <c r="F47" i="19"/>
  <c r="G47" i="19"/>
  <c r="H47" i="19"/>
  <c r="I47" i="19"/>
  <c r="B48" i="19"/>
  <c r="C48" i="19"/>
  <c r="D48" i="19"/>
  <c r="E48" i="19"/>
  <c r="F48" i="19"/>
  <c r="G48" i="19"/>
  <c r="H48" i="19"/>
  <c r="I48" i="19"/>
  <c r="B50" i="19"/>
  <c r="D50" i="19"/>
  <c r="F50" i="19"/>
  <c r="I50" i="19"/>
  <c r="D10" i="26"/>
  <c r="E10" i="26"/>
  <c r="G10" i="26" s="1"/>
  <c r="D11" i="26"/>
  <c r="D12" i="26"/>
  <c r="E12" i="26"/>
  <c r="D13" i="26"/>
  <c r="D14" i="26"/>
  <c r="E14" i="26"/>
  <c r="G14" i="26" s="1"/>
  <c r="D15" i="26"/>
  <c r="D16" i="26"/>
  <c r="D17" i="26"/>
  <c r="D18" i="26"/>
  <c r="D19" i="26"/>
  <c r="D20" i="26"/>
  <c r="D21" i="26"/>
  <c r="D22" i="26"/>
  <c r="D23" i="26"/>
  <c r="D33" i="26"/>
  <c r="E33" i="26"/>
  <c r="G33" i="26" s="1"/>
  <c r="D34" i="26"/>
  <c r="E34" i="26"/>
  <c r="G34" i="26" s="1"/>
  <c r="D35" i="26"/>
  <c r="E35" i="26"/>
  <c r="D36" i="26"/>
  <c r="D37" i="26"/>
  <c r="E37" i="26"/>
  <c r="D38" i="26"/>
  <c r="D39" i="26"/>
  <c r="D40" i="26"/>
  <c r="D41" i="26"/>
  <c r="D42" i="26"/>
  <c r="D43" i="26"/>
  <c r="D44" i="26"/>
  <c r="D45" i="26"/>
  <c r="D46" i="26"/>
  <c r="D57" i="26"/>
  <c r="E57" i="26"/>
  <c r="G57" i="26" s="1"/>
  <c r="D58" i="26"/>
  <c r="D59" i="26"/>
  <c r="E59" i="26"/>
  <c r="D60" i="26"/>
  <c r="D61" i="26"/>
  <c r="E61" i="26"/>
  <c r="G61" i="26" s="1"/>
  <c r="D62" i="26"/>
  <c r="D63" i="26"/>
  <c r="D64" i="26"/>
  <c r="D65" i="26"/>
  <c r="D66" i="26"/>
  <c r="D67" i="26"/>
  <c r="D68" i="26"/>
  <c r="D69" i="26"/>
  <c r="D70" i="26"/>
  <c r="D80" i="26"/>
  <c r="E80" i="26"/>
  <c r="D81" i="26"/>
  <c r="E81" i="26"/>
  <c r="G81" i="26" s="1"/>
  <c r="D82" i="26"/>
  <c r="E82" i="26"/>
  <c r="D83" i="26"/>
  <c r="D84" i="26"/>
  <c r="E84" i="26"/>
  <c r="D85" i="26"/>
  <c r="D86" i="26"/>
  <c r="D87" i="26"/>
  <c r="D88" i="26"/>
  <c r="D89" i="26"/>
  <c r="D90" i="26"/>
  <c r="D91" i="26"/>
  <c r="D92" i="26"/>
  <c r="D93" i="26"/>
  <c r="E9" i="16"/>
  <c r="H9" i="16" s="1"/>
  <c r="O9" i="16"/>
  <c r="R9" i="16" s="1"/>
  <c r="D10" i="16"/>
  <c r="E10" i="16" s="1"/>
  <c r="H10" i="16" s="1"/>
  <c r="N10" i="16"/>
  <c r="O10" i="16"/>
  <c r="R10" i="16" s="1"/>
  <c r="N11" i="16"/>
  <c r="O11" i="16" s="1"/>
  <c r="R11" i="16" s="1"/>
  <c r="P22" i="16"/>
  <c r="F23" i="16"/>
  <c r="P23" i="16"/>
  <c r="F26" i="16"/>
  <c r="P26" i="16"/>
  <c r="F47" i="16"/>
  <c r="P47" i="16"/>
  <c r="F57" i="16"/>
  <c r="P57" i="16"/>
  <c r="F83" i="16"/>
  <c r="P83" i="16"/>
  <c r="F99" i="16"/>
  <c r="P99" i="16"/>
  <c r="F124" i="16"/>
  <c r="P124" i="16"/>
  <c r="F133" i="16"/>
  <c r="P133" i="16"/>
  <c r="B11" i="38"/>
  <c r="B12" i="38"/>
  <c r="B22" i="38"/>
  <c r="C22" i="38" s="1"/>
  <c r="D22" i="38" s="1"/>
  <c r="E22" i="38" s="1"/>
  <c r="F22" i="38" s="1"/>
  <c r="G22" i="38" s="1"/>
  <c r="H22" i="38" s="1"/>
  <c r="I22" i="38" s="1"/>
  <c r="J22" i="38" s="1"/>
  <c r="K22" i="38" s="1"/>
  <c r="L22" i="38" s="1"/>
  <c r="M22" i="38" s="1"/>
  <c r="N22" i="38" s="1"/>
  <c r="B33" i="38"/>
  <c r="B34" i="38"/>
  <c r="B35" i="38"/>
  <c r="B40" i="38"/>
  <c r="B45" i="38"/>
  <c r="C45" i="38" s="1"/>
  <c r="C51" i="39" s="1"/>
  <c r="B47" i="38"/>
  <c r="B48" i="38"/>
  <c r="B49" i="38"/>
  <c r="C49" i="38" s="1"/>
  <c r="D49" i="38" s="1"/>
  <c r="E49" i="38" s="1"/>
  <c r="F49" i="38" s="1"/>
  <c r="G49" i="38" s="1"/>
  <c r="H49" i="38" s="1"/>
  <c r="I49" i="38" s="1"/>
  <c r="J49" i="38" s="1"/>
  <c r="K49" i="38" s="1"/>
  <c r="L49" i="38" s="1"/>
  <c r="M49" i="38" s="1"/>
  <c r="N49" i="38" s="1"/>
  <c r="N54" i="39" s="1"/>
  <c r="B62" i="38"/>
  <c r="B63" i="38"/>
  <c r="B64" i="38"/>
  <c r="B65" i="38"/>
  <c r="C67" i="38"/>
  <c r="B25" i="4"/>
  <c r="C23" i="4"/>
  <c r="D23" i="4" s="1"/>
  <c r="B49" i="4"/>
  <c r="D6" i="7"/>
  <c r="C6" i="7" s="1"/>
  <c r="D10" i="7"/>
  <c r="D22" i="7" s="1"/>
  <c r="P10" i="7"/>
  <c r="Q10" i="7"/>
  <c r="P12" i="7"/>
  <c r="Q12" i="7"/>
  <c r="P14" i="7"/>
  <c r="Q14" i="7"/>
  <c r="J16" i="7"/>
  <c r="K16" i="7"/>
  <c r="M16" i="7"/>
  <c r="N16" i="7"/>
  <c r="P16" i="7"/>
  <c r="Q16" i="7"/>
  <c r="AA39" i="1"/>
  <c r="S39" i="1"/>
  <c r="W48" i="1"/>
  <c r="AA48" i="1"/>
  <c r="Q48" i="1"/>
  <c r="Q49" i="1"/>
  <c r="S49" i="1"/>
  <c r="W49" i="1"/>
  <c r="AA49" i="1"/>
  <c r="D51" i="1"/>
  <c r="E51" i="1"/>
  <c r="F51" i="1"/>
  <c r="G51" i="1"/>
  <c r="H51" i="1"/>
  <c r="I51" i="1"/>
  <c r="J51" i="1"/>
  <c r="K51" i="1"/>
  <c r="L51" i="1"/>
  <c r="M51" i="1"/>
  <c r="N51" i="1"/>
  <c r="O51" i="1"/>
  <c r="B55" i="1"/>
  <c r="B57" i="1" s="1"/>
  <c r="Q55" i="1"/>
  <c r="Q57" i="1" s="1"/>
  <c r="S55" i="1"/>
  <c r="S57" i="1" s="1"/>
  <c r="W55" i="1"/>
  <c r="AA55" i="1"/>
  <c r="AA57" i="1" s="1"/>
  <c r="D57" i="1"/>
  <c r="E57" i="1"/>
  <c r="F57" i="1"/>
  <c r="G57" i="1"/>
  <c r="H57" i="1"/>
  <c r="I57" i="1"/>
  <c r="J57" i="1"/>
  <c r="K57" i="1"/>
  <c r="L57" i="1"/>
  <c r="M57" i="1"/>
  <c r="N57" i="1"/>
  <c r="O57" i="1"/>
  <c r="B64" i="1"/>
  <c r="Q64" i="1"/>
  <c r="S64" i="1"/>
  <c r="W64" i="1"/>
  <c r="AA64" i="1"/>
  <c r="B19" i="8"/>
  <c r="C21" i="10"/>
  <c r="D23" i="10"/>
  <c r="E23" i="10" s="1"/>
  <c r="D25" i="10"/>
  <c r="E25" i="10" s="1"/>
  <c r="F25" i="10" s="1"/>
  <c r="G25" i="10" s="1"/>
  <c r="H25" i="10" s="1"/>
  <c r="I25" i="10" s="1"/>
  <c r="J25" i="10" s="1"/>
  <c r="K25" i="10" s="1"/>
  <c r="L25" i="10" s="1"/>
  <c r="M25" i="10" s="1"/>
  <c r="N25" i="10" s="1"/>
  <c r="O25" i="10" s="1"/>
  <c r="D27" i="10"/>
  <c r="E27" i="10" s="1"/>
  <c r="F27" i="10" s="1"/>
  <c r="G27" i="10" s="1"/>
  <c r="H27" i="10" s="1"/>
  <c r="I27" i="10" s="1"/>
  <c r="J27" i="10" s="1"/>
  <c r="K27" i="10" s="1"/>
  <c r="L27" i="10" s="1"/>
  <c r="M27" i="10" s="1"/>
  <c r="N27" i="10" s="1"/>
  <c r="O27" i="10" s="1"/>
  <c r="D29" i="10"/>
  <c r="E29" i="10"/>
  <c r="F29" i="10" s="1"/>
  <c r="C39" i="10"/>
  <c r="D39" i="10"/>
  <c r="C66" i="10"/>
  <c r="D66" i="10"/>
  <c r="E66" i="10"/>
  <c r="F66" i="10"/>
  <c r="H66" i="10"/>
  <c r="I66" i="10"/>
  <c r="J66" i="10"/>
  <c r="K66" i="10"/>
  <c r="D68" i="10"/>
  <c r="F68" i="10"/>
  <c r="I68" i="10"/>
  <c r="K68" i="10"/>
  <c r="H14" i="18"/>
  <c r="C27" i="18"/>
  <c r="D27" i="18"/>
  <c r="E27" i="18"/>
  <c r="D29" i="18"/>
  <c r="E29" i="18"/>
  <c r="D31" i="18"/>
  <c r="E31" i="18" s="1"/>
  <c r="D33" i="18"/>
  <c r="E33" i="18" s="1"/>
  <c r="D35" i="18"/>
  <c r="E35" i="18" s="1"/>
  <c r="C37" i="18"/>
  <c r="C39" i="18"/>
  <c r="C41" i="18"/>
  <c r="C43" i="18"/>
  <c r="H44" i="18"/>
  <c r="C45" i="18"/>
  <c r="D45" i="18"/>
  <c r="E45" i="18" s="1"/>
  <c r="L46" i="22"/>
  <c r="R22" i="22"/>
  <c r="S22" i="22" s="1"/>
  <c r="E79" i="22"/>
  <c r="R23" i="22"/>
  <c r="R24" i="22"/>
  <c r="R25" i="22"/>
  <c r="R26" i="22"/>
  <c r="F46" i="22"/>
  <c r="H46" i="22"/>
  <c r="J46" i="22"/>
  <c r="K46" i="22"/>
  <c r="M46" i="22"/>
  <c r="N46" i="22"/>
  <c r="N47" i="22" s="1"/>
  <c r="O46" i="22"/>
  <c r="P46" i="22"/>
  <c r="P47" i="22" s="1"/>
  <c r="P48" i="22" s="1"/>
  <c r="Q46" i="22"/>
  <c r="F66" i="22"/>
  <c r="G66" i="22"/>
  <c r="E67" i="22"/>
  <c r="F67" i="22"/>
  <c r="G67" i="22"/>
  <c r="H67" i="22"/>
  <c r="I67" i="22"/>
  <c r="E78" i="22"/>
  <c r="F78" i="22"/>
  <c r="G78" i="22"/>
  <c r="I78" i="22"/>
  <c r="F79" i="22"/>
  <c r="G79" i="22"/>
  <c r="H79" i="22"/>
  <c r="I79" i="22"/>
  <c r="E80" i="22"/>
  <c r="F80" i="22"/>
  <c r="G80" i="22"/>
  <c r="H80" i="22"/>
  <c r="I80" i="22"/>
  <c r="E81" i="22"/>
  <c r="F81" i="22"/>
  <c r="G81" i="22"/>
  <c r="H81" i="22"/>
  <c r="I81" i="22"/>
  <c r="E82" i="22"/>
  <c r="F82" i="22"/>
  <c r="G82" i="22"/>
  <c r="H82" i="22"/>
  <c r="I82" i="22"/>
  <c r="E86" i="22"/>
  <c r="F86" i="22"/>
  <c r="G86" i="22"/>
  <c r="H86" i="22"/>
  <c r="I86" i="22"/>
  <c r="E87" i="22"/>
  <c r="F87" i="22"/>
  <c r="G87" i="22"/>
  <c r="H87" i="22"/>
  <c r="I87" i="22"/>
  <c r="E88" i="22"/>
  <c r="F88" i="22"/>
  <c r="G88" i="22"/>
  <c r="H88" i="22"/>
  <c r="I88" i="22"/>
  <c r="F14" i="9"/>
  <c r="F15" i="9"/>
  <c r="E19" i="9"/>
  <c r="E32" i="9" s="1"/>
  <c r="F19" i="9"/>
  <c r="F20" i="9"/>
  <c r="F21" i="9"/>
  <c r="E22" i="9"/>
  <c r="F22" i="9"/>
  <c r="F23" i="9"/>
  <c r="F27" i="9"/>
  <c r="E28" i="9"/>
  <c r="F28" i="9"/>
  <c r="F29" i="9"/>
  <c r="B10" i="14"/>
  <c r="B15" i="14"/>
  <c r="B22" i="14"/>
  <c r="B29" i="14"/>
  <c r="B34" i="14"/>
  <c r="B37" i="14"/>
  <c r="B44" i="14"/>
  <c r="B46" i="14" s="1"/>
  <c r="N10" i="6"/>
  <c r="C11" i="14" s="1"/>
  <c r="C13" i="6"/>
  <c r="C15" i="6" s="1"/>
  <c r="D13" i="6"/>
  <c r="D15" i="6" s="1"/>
  <c r="E13" i="6"/>
  <c r="E15" i="6" s="1"/>
  <c r="F13" i="6"/>
  <c r="F15" i="6" s="1"/>
  <c r="G13" i="6"/>
  <c r="G15" i="6" s="1"/>
  <c r="H13" i="6"/>
  <c r="H15" i="6" s="1"/>
  <c r="I13" i="6"/>
  <c r="I15" i="6" s="1"/>
  <c r="J13" i="6"/>
  <c r="J15" i="6" s="1"/>
  <c r="K13" i="6"/>
  <c r="K15" i="6" s="1"/>
  <c r="L13" i="6"/>
  <c r="L15" i="6" s="1"/>
  <c r="M13" i="6"/>
  <c r="M15" i="6" s="1"/>
  <c r="N14" i="6"/>
  <c r="C15" i="14" s="1"/>
  <c r="D15" i="14" s="1"/>
  <c r="B29" i="6"/>
  <c r="C29" i="6"/>
  <c r="D29" i="6"/>
  <c r="E29" i="6"/>
  <c r="F29" i="6"/>
  <c r="G29" i="6"/>
  <c r="G31" i="6" s="1"/>
  <c r="H29" i="6"/>
  <c r="H31" i="6" s="1"/>
  <c r="I29" i="6"/>
  <c r="I31" i="6" s="1"/>
  <c r="J29" i="6"/>
  <c r="J31" i="6" s="1"/>
  <c r="K29" i="6"/>
  <c r="K31" i="6" s="1"/>
  <c r="L29" i="6"/>
  <c r="L31" i="6" s="1"/>
  <c r="M29" i="6"/>
  <c r="M31" i="6" s="1"/>
  <c r="N30" i="6"/>
  <c r="C30" i="14" s="1"/>
  <c r="C31" i="6"/>
  <c r="D31" i="6"/>
  <c r="E31" i="6"/>
  <c r="F31" i="6"/>
  <c r="B33" i="6"/>
  <c r="B35" i="6" s="1"/>
  <c r="C33" i="6"/>
  <c r="C35" i="6" s="1"/>
  <c r="D33" i="6"/>
  <c r="D35" i="6" s="1"/>
  <c r="E33" i="6"/>
  <c r="E35" i="6" s="1"/>
  <c r="F33" i="6"/>
  <c r="G33" i="6"/>
  <c r="G35" i="6" s="1"/>
  <c r="H33" i="6"/>
  <c r="H35" i="6" s="1"/>
  <c r="I33" i="6"/>
  <c r="I35" i="6" s="1"/>
  <c r="J33" i="6"/>
  <c r="J35" i="6" s="1"/>
  <c r="K33" i="6"/>
  <c r="K35" i="6" s="1"/>
  <c r="L33" i="6"/>
  <c r="L35" i="6" s="1"/>
  <c r="M33" i="6"/>
  <c r="M35" i="6" s="1"/>
  <c r="N34" i="6"/>
  <c r="N38" i="6"/>
  <c r="C38" i="14" s="1"/>
  <c r="E46" i="6"/>
  <c r="B61" i="6"/>
  <c r="C61" i="6"/>
  <c r="D61" i="6"/>
  <c r="E61" i="6"/>
  <c r="B65" i="6"/>
  <c r="C65" i="6"/>
  <c r="D65" i="6"/>
  <c r="E65" i="6"/>
  <c r="B81" i="6"/>
  <c r="C81" i="6"/>
  <c r="D81" i="6"/>
  <c r="E81" i="6"/>
  <c r="B85" i="6"/>
  <c r="C85" i="6"/>
  <c r="D85" i="6"/>
  <c r="E85" i="6"/>
  <c r="B89" i="6"/>
  <c r="C89" i="6"/>
  <c r="D89" i="6"/>
  <c r="E89" i="6"/>
  <c r="B11" i="14"/>
  <c r="B14" i="14"/>
  <c r="B21" i="14"/>
  <c r="B25" i="14" s="1"/>
  <c r="B23" i="14"/>
  <c r="B30" i="14"/>
  <c r="B33" i="14"/>
  <c r="C34" i="14"/>
  <c r="B38" i="14"/>
  <c r="AG7" i="41"/>
  <c r="AG8" i="41"/>
  <c r="AG11" i="41"/>
  <c r="AG12" i="41"/>
  <c r="AG13" i="41"/>
  <c r="AG14" i="41"/>
  <c r="AG15" i="41"/>
  <c r="AG16" i="41"/>
  <c r="AG17" i="41"/>
  <c r="AG18" i="41"/>
  <c r="B20" i="41"/>
  <c r="B30" i="41" s="1"/>
  <c r="C20" i="41"/>
  <c r="D20" i="41"/>
  <c r="D30" i="41" s="1"/>
  <c r="C85" i="41" s="1"/>
  <c r="N85" i="41" s="1"/>
  <c r="E20" i="41"/>
  <c r="F20" i="41"/>
  <c r="F30" i="41" s="1"/>
  <c r="E85" i="41" s="1"/>
  <c r="G20" i="41"/>
  <c r="H20" i="41"/>
  <c r="H30" i="41" s="1"/>
  <c r="G85" i="41" s="1"/>
  <c r="I20" i="41"/>
  <c r="J20" i="41"/>
  <c r="J30" i="41" s="1"/>
  <c r="I85" i="41" s="1"/>
  <c r="P85" i="41" s="1"/>
  <c r="K20" i="41"/>
  <c r="L20" i="41"/>
  <c r="L30" i="41" s="1"/>
  <c r="K85" i="41" s="1"/>
  <c r="M20" i="41"/>
  <c r="N20" i="41"/>
  <c r="U20" i="41"/>
  <c r="V20" i="41"/>
  <c r="V33" i="41" s="1"/>
  <c r="W20" i="41"/>
  <c r="X20" i="41"/>
  <c r="X33" i="41" s="1"/>
  <c r="Y20" i="41"/>
  <c r="Z20" i="41"/>
  <c r="Z33" i="41" s="1"/>
  <c r="AA20" i="41"/>
  <c r="AB20" i="41"/>
  <c r="AC20" i="41"/>
  <c r="AD20" i="41"/>
  <c r="AD33" i="41" s="1"/>
  <c r="AE20" i="41"/>
  <c r="AF20" i="41"/>
  <c r="AF33" i="41" s="1"/>
  <c r="M23" i="41"/>
  <c r="N23" i="41"/>
  <c r="U24" i="41"/>
  <c r="V24" i="41"/>
  <c r="W24" i="41"/>
  <c r="X24" i="41"/>
  <c r="Y24" i="41"/>
  <c r="Z24" i="41"/>
  <c r="AA24" i="41"/>
  <c r="AB24" i="41"/>
  <c r="AC24" i="41"/>
  <c r="AD24" i="41"/>
  <c r="AE24" i="41"/>
  <c r="AF24" i="41"/>
  <c r="AG25" i="41"/>
  <c r="AG26" i="41"/>
  <c r="M27" i="41"/>
  <c r="N27" i="41"/>
  <c r="U27" i="41"/>
  <c r="V27" i="41"/>
  <c r="W27" i="41"/>
  <c r="X27" i="41"/>
  <c r="Y27" i="41"/>
  <c r="Z27" i="41"/>
  <c r="AA27" i="41"/>
  <c r="AB27" i="41"/>
  <c r="AC27" i="41"/>
  <c r="AD27" i="41"/>
  <c r="AE27" i="41"/>
  <c r="AF27" i="41"/>
  <c r="M28" i="41"/>
  <c r="N28" i="41"/>
  <c r="B27" i="39" s="1"/>
  <c r="AG28" i="41"/>
  <c r="AG29" i="41"/>
  <c r="C30" i="41"/>
  <c r="E30" i="41"/>
  <c r="G30" i="41"/>
  <c r="I30" i="41"/>
  <c r="K30" i="41"/>
  <c r="V31" i="41"/>
  <c r="X31" i="41"/>
  <c r="Z31" i="41"/>
  <c r="AB31" i="41"/>
  <c r="AD31" i="41"/>
  <c r="AF31" i="41"/>
  <c r="AB33" i="41"/>
  <c r="M37" i="41"/>
  <c r="AG37" i="41"/>
  <c r="AG38" i="41"/>
  <c r="I39" i="41"/>
  <c r="I40" i="41" s="1"/>
  <c r="H93" i="41" s="1"/>
  <c r="AG39" i="41"/>
  <c r="B40" i="41"/>
  <c r="C40" i="41"/>
  <c r="B93" i="41" s="1"/>
  <c r="D40" i="41"/>
  <c r="E40" i="41"/>
  <c r="D93" i="41" s="1"/>
  <c r="F40" i="41"/>
  <c r="G40" i="41"/>
  <c r="F93" i="41" s="1"/>
  <c r="H40" i="41"/>
  <c r="J40" i="41"/>
  <c r="K40" i="41"/>
  <c r="J93" i="41" s="1"/>
  <c r="L40" i="41"/>
  <c r="K93" i="41" s="1"/>
  <c r="M40" i="41"/>
  <c r="L93" i="41" s="1"/>
  <c r="N40" i="41"/>
  <c r="AG40" i="41"/>
  <c r="U41" i="41"/>
  <c r="V41" i="41"/>
  <c r="W41" i="41"/>
  <c r="X41" i="41"/>
  <c r="Y41" i="41"/>
  <c r="Z41" i="41"/>
  <c r="AA41" i="41"/>
  <c r="AB41" i="41"/>
  <c r="AC41" i="41"/>
  <c r="AD41" i="41"/>
  <c r="AE41" i="41"/>
  <c r="AF41" i="41"/>
  <c r="AG41" i="41"/>
  <c r="C44" i="41"/>
  <c r="D44" i="41"/>
  <c r="E44" i="41"/>
  <c r="F44" i="41"/>
  <c r="G44" i="41"/>
  <c r="H44" i="41"/>
  <c r="I44" i="41"/>
  <c r="J44" i="41"/>
  <c r="K44" i="41"/>
  <c r="L44" i="41"/>
  <c r="B45" i="41"/>
  <c r="C45" i="41"/>
  <c r="D45" i="41"/>
  <c r="E45" i="41"/>
  <c r="E47" i="41" s="1"/>
  <c r="F45" i="41"/>
  <c r="G45" i="41"/>
  <c r="H45" i="41"/>
  <c r="I45" i="41"/>
  <c r="I47" i="41" s="1"/>
  <c r="J45" i="41"/>
  <c r="K45" i="41"/>
  <c r="L45" i="41"/>
  <c r="M45" i="41"/>
  <c r="M47" i="41" s="1"/>
  <c r="N45" i="41"/>
  <c r="C47" i="41"/>
  <c r="G47" i="41"/>
  <c r="K47" i="41"/>
  <c r="AG47" i="41"/>
  <c r="AG48" i="41"/>
  <c r="C50" i="41"/>
  <c r="D50" i="41"/>
  <c r="E50" i="41"/>
  <c r="F50" i="41"/>
  <c r="U50" i="41"/>
  <c r="V50" i="41"/>
  <c r="W50" i="41"/>
  <c r="X50" i="41"/>
  <c r="Y50" i="41"/>
  <c r="Z50" i="41"/>
  <c r="AA50" i="41"/>
  <c r="AB50" i="41"/>
  <c r="AC50" i="41"/>
  <c r="AD50" i="41"/>
  <c r="AE50" i="41"/>
  <c r="AF50" i="41"/>
  <c r="C53" i="41"/>
  <c r="C54" i="41" s="1"/>
  <c r="D53" i="41"/>
  <c r="E53" i="41"/>
  <c r="F53" i="41"/>
  <c r="G53" i="41"/>
  <c r="G54" i="41" s="1"/>
  <c r="H53" i="41"/>
  <c r="H54" i="41" s="1"/>
  <c r="I53" i="41"/>
  <c r="J53" i="41"/>
  <c r="J54" i="41" s="1"/>
  <c r="K53" i="41"/>
  <c r="K54" i="41" s="1"/>
  <c r="L53" i="41"/>
  <c r="L54" i="41" s="1"/>
  <c r="M53" i="41"/>
  <c r="N53" i="41"/>
  <c r="N54" i="41" s="1"/>
  <c r="B54" i="41"/>
  <c r="E54" i="41"/>
  <c r="I54" i="41"/>
  <c r="M54" i="41"/>
  <c r="AG56" i="41"/>
  <c r="AG57" i="41"/>
  <c r="U59" i="41"/>
  <c r="V59" i="41"/>
  <c r="W59" i="41"/>
  <c r="X59" i="41"/>
  <c r="Y59" i="41"/>
  <c r="Z59" i="41"/>
  <c r="AA59" i="41"/>
  <c r="AB59" i="41"/>
  <c r="AC59" i="41"/>
  <c r="AD59" i="41"/>
  <c r="AE59" i="41"/>
  <c r="AF59" i="41"/>
  <c r="AG59" i="41"/>
  <c r="B85" i="41"/>
  <c r="D85" i="41"/>
  <c r="F85" i="41"/>
  <c r="H85" i="41"/>
  <c r="J85" i="41"/>
  <c r="B87" i="41"/>
  <c r="C87" i="41"/>
  <c r="O87" i="41" s="1"/>
  <c r="D87" i="41"/>
  <c r="E87" i="41"/>
  <c r="F87" i="41"/>
  <c r="G87" i="41"/>
  <c r="H87" i="41"/>
  <c r="I87" i="41"/>
  <c r="J87" i="41"/>
  <c r="K87" i="41"/>
  <c r="L87" i="41"/>
  <c r="M87" i="41"/>
  <c r="Q87" i="41"/>
  <c r="R87" i="41" s="1"/>
  <c r="N88" i="41"/>
  <c r="O88" i="41"/>
  <c r="P88" i="41"/>
  <c r="Q88" i="41"/>
  <c r="R88" i="41" s="1"/>
  <c r="B89" i="41"/>
  <c r="C89" i="41"/>
  <c r="O89" i="41" s="1"/>
  <c r="D89" i="41"/>
  <c r="E89" i="41"/>
  <c r="F89" i="41"/>
  <c r="G89" i="41"/>
  <c r="H89" i="41"/>
  <c r="I89" i="41"/>
  <c r="J89" i="41"/>
  <c r="K89" i="41"/>
  <c r="L89" i="41"/>
  <c r="M89" i="41"/>
  <c r="N90" i="41"/>
  <c r="O90" i="41"/>
  <c r="P90" i="41"/>
  <c r="Q90" i="41"/>
  <c r="R90" i="41"/>
  <c r="C93" i="41"/>
  <c r="E93" i="41"/>
  <c r="G93" i="41"/>
  <c r="I93" i="41"/>
  <c r="M93" i="41"/>
  <c r="B95" i="41"/>
  <c r="C95" i="41"/>
  <c r="D95" i="41"/>
  <c r="E95" i="41"/>
  <c r="F95" i="41"/>
  <c r="G95" i="41"/>
  <c r="H95" i="41"/>
  <c r="I95" i="41"/>
  <c r="J95" i="41"/>
  <c r="K95" i="41"/>
  <c r="L95" i="41"/>
  <c r="N95" i="41"/>
  <c r="B97" i="41"/>
  <c r="C97" i="41"/>
  <c r="O97" i="41" s="1"/>
  <c r="D97" i="41"/>
  <c r="E97" i="41"/>
  <c r="F97" i="41"/>
  <c r="G97" i="41"/>
  <c r="H97" i="41"/>
  <c r="I97" i="41"/>
  <c r="J97" i="41"/>
  <c r="K97" i="41"/>
  <c r="L97" i="41"/>
  <c r="M97" i="41"/>
  <c r="Q102" i="41"/>
  <c r="B103" i="41"/>
  <c r="C103" i="41"/>
  <c r="D103" i="41"/>
  <c r="E103" i="41"/>
  <c r="F103" i="41"/>
  <c r="G103" i="41"/>
  <c r="H103" i="41"/>
  <c r="I103" i="41"/>
  <c r="J103" i="41"/>
  <c r="K103" i="41"/>
  <c r="L103" i="41"/>
  <c r="M103" i="41"/>
  <c r="B104" i="41"/>
  <c r="C104" i="41"/>
  <c r="D104" i="41"/>
  <c r="E104" i="41"/>
  <c r="F104" i="41"/>
  <c r="G104" i="41"/>
  <c r="H104" i="41"/>
  <c r="I104" i="41"/>
  <c r="J104" i="41"/>
  <c r="K104" i="41"/>
  <c r="L104" i="41"/>
  <c r="M104" i="41"/>
  <c r="Q105" i="41"/>
  <c r="B11" i="39"/>
  <c r="B19" i="39" s="1"/>
  <c r="B12" i="39"/>
  <c r="B13" i="39"/>
  <c r="AG13" i="39"/>
  <c r="B14" i="39"/>
  <c r="U14" i="39"/>
  <c r="V14" i="39"/>
  <c r="W14" i="39"/>
  <c r="X14" i="39"/>
  <c r="Y14" i="39"/>
  <c r="Z14" i="39"/>
  <c r="AA14" i="39"/>
  <c r="AB14" i="39"/>
  <c r="AC14" i="39"/>
  <c r="AD14" i="39"/>
  <c r="AE14" i="39"/>
  <c r="AF14" i="39"/>
  <c r="AG15" i="39"/>
  <c r="AG16" i="39"/>
  <c r="B17" i="39"/>
  <c r="AG17" i="39"/>
  <c r="AG18" i="39"/>
  <c r="B22" i="39"/>
  <c r="B25" i="39"/>
  <c r="B26" i="39"/>
  <c r="C27" i="39"/>
  <c r="D27" i="39"/>
  <c r="E27" i="39"/>
  <c r="F27" i="39"/>
  <c r="G27" i="39"/>
  <c r="H27" i="39"/>
  <c r="I27" i="39"/>
  <c r="J27" i="39"/>
  <c r="K27" i="39"/>
  <c r="L27" i="39"/>
  <c r="M27" i="39"/>
  <c r="N27" i="39"/>
  <c r="B35" i="39"/>
  <c r="B36" i="39"/>
  <c r="B37" i="39"/>
  <c r="U37" i="39"/>
  <c r="V37" i="39"/>
  <c r="W37" i="39"/>
  <c r="X37" i="39"/>
  <c r="Y37" i="39"/>
  <c r="Z37" i="39"/>
  <c r="B38" i="39"/>
  <c r="C38" i="39"/>
  <c r="V38" i="39"/>
  <c r="C122" i="39" s="1"/>
  <c r="W38" i="39"/>
  <c r="D122" i="39" s="1"/>
  <c r="X38" i="39"/>
  <c r="E122" i="39" s="1"/>
  <c r="Y38" i="39"/>
  <c r="F122" i="39" s="1"/>
  <c r="Z38" i="39"/>
  <c r="G122" i="39" s="1"/>
  <c r="AA38" i="39"/>
  <c r="H122" i="39" s="1"/>
  <c r="AB38" i="39"/>
  <c r="I122" i="39" s="1"/>
  <c r="AC38" i="39"/>
  <c r="J122" i="39" s="1"/>
  <c r="AD38" i="39"/>
  <c r="K122" i="39" s="1"/>
  <c r="AE38" i="39"/>
  <c r="L122" i="39" s="1"/>
  <c r="AF38" i="39"/>
  <c r="M122" i="39" s="1"/>
  <c r="U39" i="39"/>
  <c r="B121" i="39" s="1"/>
  <c r="V39" i="39"/>
  <c r="W39" i="39"/>
  <c r="D121" i="39" s="1"/>
  <c r="X39" i="39"/>
  <c r="E121" i="39" s="1"/>
  <c r="Y39" i="39"/>
  <c r="F121" i="39" s="1"/>
  <c r="Z39" i="39"/>
  <c r="G121" i="39" s="1"/>
  <c r="AA39" i="39"/>
  <c r="H121" i="39" s="1"/>
  <c r="AB39" i="39"/>
  <c r="I121" i="39" s="1"/>
  <c r="AC39" i="39"/>
  <c r="J121" i="39" s="1"/>
  <c r="AD39" i="39"/>
  <c r="K121" i="39" s="1"/>
  <c r="AE39" i="39"/>
  <c r="L121" i="39" s="1"/>
  <c r="AF39" i="39"/>
  <c r="M121" i="39" s="1"/>
  <c r="B40" i="39"/>
  <c r="U40" i="39"/>
  <c r="B43" i="39"/>
  <c r="B44" i="39"/>
  <c r="B45" i="39"/>
  <c r="U47" i="39"/>
  <c r="V47" i="39"/>
  <c r="W47" i="39"/>
  <c r="X47" i="39"/>
  <c r="Y47" i="39"/>
  <c r="Z47" i="39"/>
  <c r="AA47" i="39"/>
  <c r="AB47" i="39"/>
  <c r="AC47" i="39"/>
  <c r="AD47" i="39"/>
  <c r="AE47" i="39"/>
  <c r="AF47" i="39"/>
  <c r="U48" i="39"/>
  <c r="V48" i="39"/>
  <c r="W48" i="39"/>
  <c r="X48" i="39"/>
  <c r="Y48" i="39"/>
  <c r="Z48" i="39"/>
  <c r="AA48" i="39"/>
  <c r="AB48" i="39"/>
  <c r="AC48" i="39"/>
  <c r="AD48" i="39"/>
  <c r="AE48" i="39"/>
  <c r="AF48" i="39"/>
  <c r="U49" i="39"/>
  <c r="V49" i="39"/>
  <c r="W49" i="39"/>
  <c r="X49" i="39"/>
  <c r="X50" i="39" s="1"/>
  <c r="Y49" i="39"/>
  <c r="Z49" i="39"/>
  <c r="AA49" i="39"/>
  <c r="AB49" i="39"/>
  <c r="AB50" i="39" s="1"/>
  <c r="AC49" i="39"/>
  <c r="AD49" i="39"/>
  <c r="AE49" i="39"/>
  <c r="AF49" i="39"/>
  <c r="AF50" i="39" s="1"/>
  <c r="B51" i="39"/>
  <c r="B52" i="39"/>
  <c r="B53" i="39"/>
  <c r="B54" i="39"/>
  <c r="C54" i="39"/>
  <c r="K54" i="39"/>
  <c r="N106" i="39"/>
  <c r="O106" i="39"/>
  <c r="P106" i="39"/>
  <c r="Q106" i="39"/>
  <c r="R106" i="39" s="1"/>
  <c r="B107" i="39"/>
  <c r="P107" i="39" s="1"/>
  <c r="C107" i="39"/>
  <c r="D107" i="39"/>
  <c r="E107" i="39"/>
  <c r="F107" i="39"/>
  <c r="G107" i="39"/>
  <c r="H107" i="39"/>
  <c r="I107" i="39"/>
  <c r="J107" i="39"/>
  <c r="K107" i="39"/>
  <c r="L107" i="39"/>
  <c r="M107" i="39"/>
  <c r="N107" i="39"/>
  <c r="N108" i="39"/>
  <c r="O108" i="39"/>
  <c r="P108" i="39"/>
  <c r="Q108" i="39"/>
  <c r="R108" i="39" s="1"/>
  <c r="Q120" i="39"/>
  <c r="C121" i="39"/>
  <c r="Q123" i="39"/>
  <c r="H13" i="18"/>
  <c r="H8" i="18"/>
  <c r="D38" i="39" l="1"/>
  <c r="G54" i="39"/>
  <c r="M54" i="39"/>
  <c r="E54" i="39"/>
  <c r="I54" i="39"/>
  <c r="L54" i="39"/>
  <c r="H54" i="39"/>
  <c r="D54" i="39"/>
  <c r="J54" i="39"/>
  <c r="F54" i="39"/>
  <c r="C47" i="38"/>
  <c r="D47" i="38" s="1"/>
  <c r="AA37" i="39"/>
  <c r="D80" i="6"/>
  <c r="D82" i="6" s="1"/>
  <c r="AF37" i="1"/>
  <c r="AC55" i="1"/>
  <c r="AC57" i="1" s="1"/>
  <c r="AF51" i="1"/>
  <c r="C33" i="38"/>
  <c r="D33" i="38" s="1"/>
  <c r="B46" i="6"/>
  <c r="N48" i="22"/>
  <c r="H47" i="22"/>
  <c r="Q47" i="22"/>
  <c r="Q48" i="22" s="1"/>
  <c r="Q49" i="22" s="1"/>
  <c r="O47" i="22"/>
  <c r="L47" i="22"/>
  <c r="K47" i="22"/>
  <c r="J47" i="22"/>
  <c r="E84" i="6"/>
  <c r="E86" i="6" s="1"/>
  <c r="E64" i="6"/>
  <c r="E66" i="6" s="1"/>
  <c r="F99" i="22"/>
  <c r="H66" i="22"/>
  <c r="I66" i="22"/>
  <c r="I99" i="22" s="1"/>
  <c r="Q97" i="41"/>
  <c r="R97" i="41" s="1"/>
  <c r="Q89" i="41"/>
  <c r="R89" i="41" s="1"/>
  <c r="N47" i="41"/>
  <c r="L47" i="41"/>
  <c r="J47" i="41"/>
  <c r="H47" i="41"/>
  <c r="F47" i="41"/>
  <c r="D47" i="41"/>
  <c r="AE31" i="41"/>
  <c r="AC31" i="41"/>
  <c r="AA31" i="41"/>
  <c r="Y31" i="41"/>
  <c r="W31" i="41"/>
  <c r="U31" i="41"/>
  <c r="M30" i="41"/>
  <c r="L85" i="41" s="1"/>
  <c r="H16" i="15"/>
  <c r="E15" i="26"/>
  <c r="G15" i="26" s="1"/>
  <c r="Q104" i="41"/>
  <c r="P95" i="41"/>
  <c r="AG20" i="41"/>
  <c r="AH57" i="41" s="1"/>
  <c r="F85" i="6"/>
  <c r="F65" i="6"/>
  <c r="F35" i="6"/>
  <c r="C84" i="6"/>
  <c r="C86" i="6" s="1"/>
  <c r="B31" i="6"/>
  <c r="B80" i="6"/>
  <c r="B82" i="6" s="1"/>
  <c r="H44" i="19"/>
  <c r="H42" i="19"/>
  <c r="H40" i="19"/>
  <c r="H38" i="19"/>
  <c r="H36" i="19"/>
  <c r="B47" i="41"/>
  <c r="AH40" i="41"/>
  <c r="AH39" i="41"/>
  <c r="AH38" i="41"/>
  <c r="C64" i="6"/>
  <c r="C66" i="6" s="1"/>
  <c r="E9" i="22"/>
  <c r="J68" i="10"/>
  <c r="H68" i="10"/>
  <c r="E68" i="10"/>
  <c r="C68" i="10"/>
  <c r="U64" i="1"/>
  <c r="Y64" i="1" s="1"/>
  <c r="W57" i="1"/>
  <c r="U55" i="1"/>
  <c r="Y55" i="1" s="1"/>
  <c r="Y57" i="1" s="1"/>
  <c r="Q51" i="1"/>
  <c r="N12" i="16"/>
  <c r="D11" i="16"/>
  <c r="G82" i="26"/>
  <c r="G59" i="26"/>
  <c r="E58" i="26"/>
  <c r="G58" i="26" s="1"/>
  <c r="G37" i="26"/>
  <c r="G12" i="26"/>
  <c r="E11" i="26"/>
  <c r="G11" i="26" s="1"/>
  <c r="C50" i="19"/>
  <c r="H43" i="19"/>
  <c r="H41" i="19"/>
  <c r="H39" i="19"/>
  <c r="H37" i="19"/>
  <c r="H50" i="19"/>
  <c r="H14" i="15"/>
  <c r="I14" i="15" s="1"/>
  <c r="J14" i="15" s="1"/>
  <c r="E13" i="26"/>
  <c r="G13" i="26" s="1"/>
  <c r="B55" i="39"/>
  <c r="Q103" i="41"/>
  <c r="K98" i="41"/>
  <c r="K108" i="41" s="1"/>
  <c r="I98" i="41"/>
  <c r="I108" i="41" s="1"/>
  <c r="G98" i="41"/>
  <c r="G108" i="41" s="1"/>
  <c r="E98" i="41"/>
  <c r="E108" i="41" s="1"/>
  <c r="N87" i="41"/>
  <c r="O85" i="41"/>
  <c r="F54" i="41"/>
  <c r="D54" i="41"/>
  <c r="K56" i="41"/>
  <c r="K57" i="41" s="1"/>
  <c r="G56" i="41"/>
  <c r="G57" i="41" s="1"/>
  <c r="C56" i="41"/>
  <c r="C57" i="41" s="1"/>
  <c r="AD43" i="41"/>
  <c r="Z43" i="41"/>
  <c r="V43" i="41"/>
  <c r="B29" i="39"/>
  <c r="N30" i="41"/>
  <c r="AE33" i="41"/>
  <c r="AE43" i="41" s="1"/>
  <c r="AC33" i="41"/>
  <c r="AC43" i="41" s="1"/>
  <c r="AA33" i="41"/>
  <c r="AA43" i="41" s="1"/>
  <c r="Y33" i="41"/>
  <c r="Y43" i="41" s="1"/>
  <c r="W33" i="41"/>
  <c r="W43" i="41" s="1"/>
  <c r="U33" i="41"/>
  <c r="U43" i="41" s="1"/>
  <c r="F61" i="6"/>
  <c r="N97" i="41"/>
  <c r="O95" i="41"/>
  <c r="N89" i="41"/>
  <c r="M56" i="41"/>
  <c r="M57" i="41" s="1"/>
  <c r="I56" i="41"/>
  <c r="I57" i="41" s="1"/>
  <c r="E56" i="41"/>
  <c r="E57" i="41" s="1"/>
  <c r="N56" i="41"/>
  <c r="L56" i="41"/>
  <c r="L57" i="41" s="1"/>
  <c r="J56" i="41"/>
  <c r="J57" i="41" s="1"/>
  <c r="H56" i="41"/>
  <c r="H57" i="41" s="1"/>
  <c r="F56" i="41"/>
  <c r="F57" i="41" s="1"/>
  <c r="D56" i="41"/>
  <c r="D57" i="41" s="1"/>
  <c r="B56" i="41"/>
  <c r="B57" i="41" s="1"/>
  <c r="L98" i="41"/>
  <c r="L108" i="41" s="1"/>
  <c r="J98" i="41"/>
  <c r="J108" i="41" s="1"/>
  <c r="H98" i="41"/>
  <c r="H108" i="41" s="1"/>
  <c r="F98" i="41"/>
  <c r="F108" i="41" s="1"/>
  <c r="D98" i="41"/>
  <c r="D108" i="41" s="1"/>
  <c r="AF43" i="41"/>
  <c r="AB43" i="41"/>
  <c r="X43" i="41"/>
  <c r="AG27" i="41"/>
  <c r="AH27" i="41" s="1"/>
  <c r="AG24" i="41"/>
  <c r="F89" i="6"/>
  <c r="F81" i="6"/>
  <c r="AC64" i="1"/>
  <c r="G84" i="26"/>
  <c r="G80" i="26"/>
  <c r="G35" i="26"/>
  <c r="B52" i="4"/>
  <c r="B51" i="38"/>
  <c r="B16" i="65" s="1"/>
  <c r="J16" i="65" s="1"/>
  <c r="L16" i="65" s="1"/>
  <c r="B37" i="38"/>
  <c r="B42" i="38" s="1"/>
  <c r="B14" i="65" s="1"/>
  <c r="J14" i="65" s="1"/>
  <c r="L14" i="65" s="1"/>
  <c r="B19" i="38"/>
  <c r="B28" i="38" s="1"/>
  <c r="B12" i="65" s="1"/>
  <c r="J12" i="65" s="1"/>
  <c r="L12" i="65" s="1"/>
  <c r="D30" i="14"/>
  <c r="B12" i="14"/>
  <c r="R45" i="22"/>
  <c r="R46" i="22"/>
  <c r="G99" i="22"/>
  <c r="B35" i="14"/>
  <c r="D34" i="14"/>
  <c r="D38" i="14"/>
  <c r="D11" i="14"/>
  <c r="B39" i="14"/>
  <c r="B31" i="14"/>
  <c r="B16" i="14"/>
  <c r="AD50" i="39"/>
  <c r="Z50" i="39"/>
  <c r="V50" i="39"/>
  <c r="N33" i="6"/>
  <c r="C33" i="14" s="1"/>
  <c r="D33" i="14" s="1"/>
  <c r="Q121" i="39"/>
  <c r="AG47" i="39"/>
  <c r="AC49" i="1"/>
  <c r="S48" i="1"/>
  <c r="AC48" i="1" s="1"/>
  <c r="W39" i="1"/>
  <c r="Q39" i="1"/>
  <c r="U39" i="1" s="1"/>
  <c r="AA38" i="1"/>
  <c r="W38" i="1"/>
  <c r="S38" i="1"/>
  <c r="AG14" i="39"/>
  <c r="U49" i="1"/>
  <c r="Y49" i="1" s="1"/>
  <c r="AA51" i="1"/>
  <c r="W51" i="1"/>
  <c r="AE50" i="39"/>
  <c r="AC50" i="39"/>
  <c r="AA50" i="39"/>
  <c r="Y50" i="39"/>
  <c r="W50" i="39"/>
  <c r="U50" i="39"/>
  <c r="D84" i="6"/>
  <c r="D86" i="6" s="1"/>
  <c r="B84" i="6"/>
  <c r="E80" i="6"/>
  <c r="E82" i="6" s="1"/>
  <c r="C80" i="6"/>
  <c r="C82" i="6" s="1"/>
  <c r="N29" i="6"/>
  <c r="B49" i="1"/>
  <c r="B39" i="1"/>
  <c r="D64" i="6"/>
  <c r="D66" i="6" s="1"/>
  <c r="B48" i="1"/>
  <c r="S37" i="1"/>
  <c r="Q37" i="1"/>
  <c r="I14" i="18"/>
  <c r="I22" i="18"/>
  <c r="H30" i="18"/>
  <c r="I13" i="18"/>
  <c r="AG49" i="39"/>
  <c r="C43" i="39"/>
  <c r="B46" i="39"/>
  <c r="B48" i="39" s="1"/>
  <c r="B57" i="39" s="1"/>
  <c r="O93" i="41"/>
  <c r="Q93" i="41"/>
  <c r="R93" i="41" s="1"/>
  <c r="B98" i="41"/>
  <c r="B108" i="41" s="1"/>
  <c r="N93" i="41"/>
  <c r="P93" i="41"/>
  <c r="AF52" i="41"/>
  <c r="AF61" i="41" s="1"/>
  <c r="AF63" i="41" s="1"/>
  <c r="M101" i="41"/>
  <c r="M106" i="41" s="1"/>
  <c r="AB52" i="41"/>
  <c r="AB61" i="41" s="1"/>
  <c r="AB63" i="41" s="1"/>
  <c r="I101" i="41"/>
  <c r="I106" i="41" s="1"/>
  <c r="X52" i="41"/>
  <c r="X61" i="41" s="1"/>
  <c r="X63" i="41" s="1"/>
  <c r="E101" i="41"/>
  <c r="E106" i="41" s="1"/>
  <c r="AH24" i="41"/>
  <c r="AG31" i="41"/>
  <c r="AH31" i="41" s="1"/>
  <c r="B18" i="14"/>
  <c r="B27" i="14" s="1"/>
  <c r="B42" i="14" s="1"/>
  <c r="B48" i="14" s="1"/>
  <c r="O107" i="39"/>
  <c r="Q107" i="39"/>
  <c r="R107" i="39" s="1"/>
  <c r="AG48" i="39"/>
  <c r="AG39" i="39"/>
  <c r="N98" i="41"/>
  <c r="N108" i="41" s="1"/>
  <c r="O98" i="41"/>
  <c r="O108" i="41" s="1"/>
  <c r="AD52" i="41"/>
  <c r="AD61" i="41" s="1"/>
  <c r="AD63" i="41" s="1"/>
  <c r="K101" i="41"/>
  <c r="K106" i="41" s="1"/>
  <c r="Z52" i="41"/>
  <c r="Z61" i="41" s="1"/>
  <c r="Z63" i="41" s="1"/>
  <c r="G101" i="41"/>
  <c r="G106" i="41" s="1"/>
  <c r="V52" i="41"/>
  <c r="V61" i="41" s="1"/>
  <c r="V63" i="41" s="1"/>
  <c r="C101" i="41"/>
  <c r="C106" i="41" s="1"/>
  <c r="N57" i="41"/>
  <c r="M85" i="41"/>
  <c r="AE52" i="41"/>
  <c r="AE61" i="41" s="1"/>
  <c r="AE63" i="41" s="1"/>
  <c r="L101" i="41"/>
  <c r="L106" i="41" s="1"/>
  <c r="AC52" i="41"/>
  <c r="AC61" i="41" s="1"/>
  <c r="AC63" i="41" s="1"/>
  <c r="J101" i="41"/>
  <c r="J106" i="41" s="1"/>
  <c r="AA52" i="41"/>
  <c r="AA61" i="41" s="1"/>
  <c r="AA63" i="41" s="1"/>
  <c r="H101" i="41"/>
  <c r="H106" i="41" s="1"/>
  <c r="Y52" i="41"/>
  <c r="Y61" i="41" s="1"/>
  <c r="Y63" i="41" s="1"/>
  <c r="F101" i="41"/>
  <c r="F106" i="41" s="1"/>
  <c r="W52" i="41"/>
  <c r="W61" i="41" s="1"/>
  <c r="W63" i="41" s="1"/>
  <c r="D101" i="41"/>
  <c r="D106" i="41" s="1"/>
  <c r="U52" i="41"/>
  <c r="U61" i="41" s="1"/>
  <c r="U63" i="41" s="1"/>
  <c r="B101" i="41"/>
  <c r="G29" i="10"/>
  <c r="I70" i="10" s="1"/>
  <c r="C70" i="10"/>
  <c r="H70" i="10"/>
  <c r="C98" i="41"/>
  <c r="C108" i="41" s="1"/>
  <c r="P97" i="41"/>
  <c r="M95" i="41"/>
  <c r="Q95" i="41" s="1"/>
  <c r="R95" i="41" s="1"/>
  <c r="P89" i="41"/>
  <c r="P87" i="41"/>
  <c r="Q85" i="41"/>
  <c r="AG50" i="41"/>
  <c r="AH50" i="41" s="1"/>
  <c r="AG33" i="41"/>
  <c r="C46" i="6"/>
  <c r="C30" i="7"/>
  <c r="C28" i="7"/>
  <c r="E39" i="10"/>
  <c r="AH18" i="41"/>
  <c r="AH17" i="41"/>
  <c r="AH16" i="41"/>
  <c r="AH15" i="41"/>
  <c r="AH14" i="41"/>
  <c r="AH13" i="41"/>
  <c r="AH12" i="41"/>
  <c r="C11" i="18"/>
  <c r="H78" i="22"/>
  <c r="H99" i="22" s="1"/>
  <c r="C31" i="7"/>
  <c r="C29" i="7"/>
  <c r="H47" i="18"/>
  <c r="H46" i="18"/>
  <c r="H48" i="18" s="1"/>
  <c r="E21" i="10"/>
  <c r="F23" i="10"/>
  <c r="F39" i="10" s="1"/>
  <c r="D21" i="10"/>
  <c r="O49" i="38"/>
  <c r="C47" i="4"/>
  <c r="D47" i="4" s="1"/>
  <c r="D45" i="38"/>
  <c r="O25" i="38"/>
  <c r="C22" i="4"/>
  <c r="D22" i="4" s="1"/>
  <c r="N25" i="15"/>
  <c r="O25" i="15" s="1"/>
  <c r="P25" i="15" s="1"/>
  <c r="D25" i="15" s="1"/>
  <c r="D25" i="19" s="1"/>
  <c r="H22" i="15"/>
  <c r="I22" i="15" s="1"/>
  <c r="J22" i="15" s="1"/>
  <c r="E21" i="26"/>
  <c r="G21" i="26" s="1"/>
  <c r="H21" i="15"/>
  <c r="I21" i="15" s="1"/>
  <c r="J21" i="15" s="1"/>
  <c r="E20" i="26"/>
  <c r="G20" i="26" s="1"/>
  <c r="H18" i="15"/>
  <c r="I18" i="15" s="1"/>
  <c r="J18" i="15" s="1"/>
  <c r="E17" i="26"/>
  <c r="G17" i="26" s="1"/>
  <c r="G17" i="15"/>
  <c r="F26" i="15"/>
  <c r="E9" i="10" s="1"/>
  <c r="E7" i="10" s="1"/>
  <c r="H24" i="15"/>
  <c r="I24" i="15" s="1"/>
  <c r="J24" i="15" s="1"/>
  <c r="E23" i="26"/>
  <c r="G23" i="26" s="1"/>
  <c r="H23" i="15"/>
  <c r="I23" i="15" s="1"/>
  <c r="J23" i="15" s="1"/>
  <c r="E22" i="26"/>
  <c r="G22" i="26" s="1"/>
  <c r="H20" i="15"/>
  <c r="I20" i="15" s="1"/>
  <c r="J20" i="15" s="1"/>
  <c r="E19" i="26"/>
  <c r="G19" i="26" s="1"/>
  <c r="H19" i="15"/>
  <c r="I19" i="15" s="1"/>
  <c r="J19" i="15" s="1"/>
  <c r="E18" i="26"/>
  <c r="G18" i="26" s="1"/>
  <c r="I16" i="15"/>
  <c r="E26" i="15"/>
  <c r="D9" i="10" s="1"/>
  <c r="F33" i="38" l="1"/>
  <c r="G33" i="38" s="1"/>
  <c r="E38" i="39"/>
  <c r="Y39" i="1"/>
  <c r="U48" i="1"/>
  <c r="U51" i="1" s="1"/>
  <c r="AC39" i="1"/>
  <c r="S51" i="1"/>
  <c r="B51" i="1"/>
  <c r="U57" i="1"/>
  <c r="D30" i="64"/>
  <c r="F30" i="64" s="1"/>
  <c r="C37" i="38"/>
  <c r="B23" i="6" s="1"/>
  <c r="C37" i="39"/>
  <c r="C35" i="39"/>
  <c r="J46" i="6"/>
  <c r="M46" i="6"/>
  <c r="L46" i="6"/>
  <c r="E46" i="22"/>
  <c r="N49" i="22"/>
  <c r="O48" i="22"/>
  <c r="H48" i="22"/>
  <c r="L48" i="22"/>
  <c r="K48" i="22"/>
  <c r="L49" i="22" s="1"/>
  <c r="J48" i="22"/>
  <c r="N35" i="6"/>
  <c r="B54" i="38"/>
  <c r="B55" i="38" s="1"/>
  <c r="P98" i="41"/>
  <c r="P108" i="41" s="1"/>
  <c r="O12" i="16"/>
  <c r="R12" i="16" s="1"/>
  <c r="N13" i="16"/>
  <c r="AH26" i="41"/>
  <c r="AH41" i="41"/>
  <c r="AH59" i="41"/>
  <c r="AH25" i="41"/>
  <c r="AH37" i="41"/>
  <c r="E11" i="16"/>
  <c r="H11" i="16" s="1"/>
  <c r="D12" i="16"/>
  <c r="F13" i="9"/>
  <c r="F32" i="9" s="1"/>
  <c r="E66" i="22"/>
  <c r="E99" i="22" s="1"/>
  <c r="AH11" i="41"/>
  <c r="AH30" i="41"/>
  <c r="AH49" i="41"/>
  <c r="AH56" i="41"/>
  <c r="AH29" i="41"/>
  <c r="AH47" i="41"/>
  <c r="AH28" i="41"/>
  <c r="AH48" i="41"/>
  <c r="C29" i="14"/>
  <c r="C31" i="14" s="1"/>
  <c r="D31" i="14" s="1"/>
  <c r="N31" i="6"/>
  <c r="F80" i="6"/>
  <c r="F82" i="6" s="1"/>
  <c r="K14" i="15"/>
  <c r="L14" i="15" s="1"/>
  <c r="M14" i="15" s="1"/>
  <c r="E36" i="26"/>
  <c r="G36" i="26" s="1"/>
  <c r="F84" i="6"/>
  <c r="F86" i="6" s="1"/>
  <c r="C35" i="14"/>
  <c r="D35" i="14" s="1"/>
  <c r="C52" i="39"/>
  <c r="AB37" i="39"/>
  <c r="U37" i="1"/>
  <c r="B86" i="6"/>
  <c r="AC51" i="1"/>
  <c r="J16" i="15"/>
  <c r="K19" i="15"/>
  <c r="L19" i="15" s="1"/>
  <c r="M19" i="15" s="1"/>
  <c r="E41" i="26"/>
  <c r="G41" i="26" s="1"/>
  <c r="K20" i="15"/>
  <c r="L20" i="15" s="1"/>
  <c r="M20" i="15" s="1"/>
  <c r="E42" i="26"/>
  <c r="G42" i="26" s="1"/>
  <c r="K23" i="15"/>
  <c r="L23" i="15" s="1"/>
  <c r="M23" i="15" s="1"/>
  <c r="E45" i="26"/>
  <c r="G45" i="26" s="1"/>
  <c r="K24" i="15"/>
  <c r="L24" i="15" s="1"/>
  <c r="M24" i="15" s="1"/>
  <c r="E46" i="26"/>
  <c r="G46" i="26" s="1"/>
  <c r="H17" i="15"/>
  <c r="G26" i="15"/>
  <c r="F9" i="10" s="1"/>
  <c r="E16" i="26"/>
  <c r="K18" i="15"/>
  <c r="L18" i="15" s="1"/>
  <c r="M18" i="15" s="1"/>
  <c r="E40" i="26"/>
  <c r="G40" i="26" s="1"/>
  <c r="K21" i="15"/>
  <c r="L21" i="15" s="1"/>
  <c r="M21" i="15" s="1"/>
  <c r="E43" i="26"/>
  <c r="G43" i="26" s="1"/>
  <c r="K22" i="15"/>
  <c r="L22" i="15" s="1"/>
  <c r="M22" i="15" s="1"/>
  <c r="E44" i="26"/>
  <c r="G44" i="26" s="1"/>
  <c r="D35" i="39"/>
  <c r="E45" i="38"/>
  <c r="D51" i="39"/>
  <c r="E31" i="10"/>
  <c r="C17" i="18"/>
  <c r="H31" i="18"/>
  <c r="J48" i="18" s="1"/>
  <c r="C23" i="18" s="1"/>
  <c r="H80" i="10"/>
  <c r="AH33" i="41"/>
  <c r="AG43" i="41"/>
  <c r="R85" i="41"/>
  <c r="R98" i="41" s="1"/>
  <c r="R108" i="41" s="1"/>
  <c r="Q98" i="41"/>
  <c r="Q108" i="41" s="1"/>
  <c r="B106" i="41"/>
  <c r="B107" i="41" s="1"/>
  <c r="C107" i="41" s="1"/>
  <c r="D107" i="41" s="1"/>
  <c r="Q101" i="41"/>
  <c r="M98" i="41"/>
  <c r="M108" i="41" s="1"/>
  <c r="D43" i="39"/>
  <c r="D7" i="10"/>
  <c r="D31" i="10" s="1"/>
  <c r="H50" i="10"/>
  <c r="E33" i="10"/>
  <c r="E37" i="10"/>
  <c r="E35" i="10"/>
  <c r="G23" i="10"/>
  <c r="G39" i="10" s="1"/>
  <c r="F21" i="10"/>
  <c r="H62" i="10" s="1"/>
  <c r="I64" i="10"/>
  <c r="C64" i="10"/>
  <c r="C80" i="10" s="1"/>
  <c r="H64" i="10"/>
  <c r="I48" i="18"/>
  <c r="C32" i="7"/>
  <c r="C21" i="18"/>
  <c r="C19" i="18"/>
  <c r="C47" i="18" s="1"/>
  <c r="H29" i="10"/>
  <c r="AG50" i="39"/>
  <c r="I37" i="18"/>
  <c r="I36" i="18"/>
  <c r="I44" i="18"/>
  <c r="H33" i="38" l="1"/>
  <c r="I33" i="38" s="1"/>
  <c r="J33" i="38" s="1"/>
  <c r="L33" i="38" s="1"/>
  <c r="M33" i="38" s="1"/>
  <c r="N33" i="38" s="1"/>
  <c r="F38" i="39"/>
  <c r="Y48" i="1"/>
  <c r="Y51" i="1" s="1"/>
  <c r="D29" i="14"/>
  <c r="M30" i="64"/>
  <c r="N30" i="64" s="1"/>
  <c r="C40" i="39"/>
  <c r="B111" i="39" s="1"/>
  <c r="I46" i="6"/>
  <c r="G46" i="6"/>
  <c r="M49" i="22"/>
  <c r="D70" i="6"/>
  <c r="H49" i="22"/>
  <c r="I49" i="22"/>
  <c r="O49" i="22"/>
  <c r="P49" i="22"/>
  <c r="D46" i="6"/>
  <c r="B95" i="6"/>
  <c r="B97" i="6" s="1"/>
  <c r="K46" i="6"/>
  <c r="E95" i="6"/>
  <c r="E97" i="6" s="1"/>
  <c r="H46" i="6"/>
  <c r="D95" i="6"/>
  <c r="D97" i="6" s="1"/>
  <c r="J49" i="22"/>
  <c r="K49" i="22"/>
  <c r="E48" i="22"/>
  <c r="E50" i="22" s="1"/>
  <c r="F46" i="6"/>
  <c r="N44" i="6"/>
  <c r="C95" i="6"/>
  <c r="E12" i="16"/>
  <c r="H12" i="16" s="1"/>
  <c r="D13" i="16"/>
  <c r="O13" i="16"/>
  <c r="R13" i="16" s="1"/>
  <c r="N14" i="16"/>
  <c r="N14" i="15"/>
  <c r="O14" i="15" s="1"/>
  <c r="P14" i="15" s="1"/>
  <c r="E60" i="26"/>
  <c r="G60" i="26" s="1"/>
  <c r="E47" i="38"/>
  <c r="D52" i="39"/>
  <c r="AC37" i="39"/>
  <c r="W37" i="1"/>
  <c r="I80" i="10"/>
  <c r="N107" i="41"/>
  <c r="N109" i="41" s="1"/>
  <c r="E107" i="41"/>
  <c r="F107" i="41" s="1"/>
  <c r="G107" i="41" s="1"/>
  <c r="E43" i="39"/>
  <c r="AH43" i="41"/>
  <c r="AG52" i="41"/>
  <c r="C25" i="18"/>
  <c r="H35" i="18"/>
  <c r="J36" i="18"/>
  <c r="J44" i="18"/>
  <c r="J37" i="18"/>
  <c r="F45" i="38"/>
  <c r="E51" i="39"/>
  <c r="N22" i="15"/>
  <c r="O22" i="15" s="1"/>
  <c r="P22" i="15" s="1"/>
  <c r="E68" i="26"/>
  <c r="G68" i="26" s="1"/>
  <c r="N21" i="15"/>
  <c r="O21" i="15" s="1"/>
  <c r="P21" i="15" s="1"/>
  <c r="E67" i="26"/>
  <c r="G67" i="26" s="1"/>
  <c r="N18" i="15"/>
  <c r="O18" i="15" s="1"/>
  <c r="P18" i="15" s="1"/>
  <c r="E64" i="26"/>
  <c r="G64" i="26" s="1"/>
  <c r="F7" i="10"/>
  <c r="H48" i="10" s="1"/>
  <c r="C50" i="10"/>
  <c r="I29" i="10"/>
  <c r="C62" i="10"/>
  <c r="G21" i="10"/>
  <c r="H23" i="10"/>
  <c r="H39" i="10" s="1"/>
  <c r="D35" i="10"/>
  <c r="D33" i="10"/>
  <c r="D37" i="10"/>
  <c r="E35" i="39"/>
  <c r="G16" i="26"/>
  <c r="G24" i="26" s="1"/>
  <c r="E24" i="26"/>
  <c r="I17" i="15"/>
  <c r="H26" i="15"/>
  <c r="G9" i="10" s="1"/>
  <c r="N24" i="15"/>
  <c r="O24" i="15" s="1"/>
  <c r="P24" i="15" s="1"/>
  <c r="E70" i="26"/>
  <c r="G70" i="26" s="1"/>
  <c r="N23" i="15"/>
  <c r="O23" i="15" s="1"/>
  <c r="P23" i="15" s="1"/>
  <c r="E69" i="26"/>
  <c r="G69" i="26" s="1"/>
  <c r="N20" i="15"/>
  <c r="O20" i="15" s="1"/>
  <c r="P20" i="15" s="1"/>
  <c r="E66" i="26"/>
  <c r="G66" i="26" s="1"/>
  <c r="N19" i="15"/>
  <c r="O19" i="15" s="1"/>
  <c r="P19" i="15" s="1"/>
  <c r="E65" i="26"/>
  <c r="G65" i="26" s="1"/>
  <c r="K16" i="15"/>
  <c r="E38" i="26"/>
  <c r="J70" i="10"/>
  <c r="G38" i="39" l="1"/>
  <c r="E70" i="6"/>
  <c r="F95" i="6"/>
  <c r="F97" i="6" s="1"/>
  <c r="C97" i="6"/>
  <c r="N46" i="6"/>
  <c r="C44" i="14"/>
  <c r="C70" i="6"/>
  <c r="O14" i="16"/>
  <c r="R14" i="16" s="1"/>
  <c r="N15" i="16"/>
  <c r="E13" i="16"/>
  <c r="H13" i="16" s="1"/>
  <c r="D14" i="16"/>
  <c r="D14" i="15"/>
  <c r="D14" i="19" s="1"/>
  <c r="E83" i="26"/>
  <c r="G83" i="26" s="1"/>
  <c r="F47" i="38"/>
  <c r="E52" i="39"/>
  <c r="AE37" i="39"/>
  <c r="AD37" i="39"/>
  <c r="Y37" i="1"/>
  <c r="G7" i="10"/>
  <c r="G31" i="10"/>
  <c r="G45" i="38"/>
  <c r="F51" i="39"/>
  <c r="F43" i="39"/>
  <c r="O107" i="41"/>
  <c r="O109" i="41" s="1"/>
  <c r="H107" i="41"/>
  <c r="I107" i="41" s="1"/>
  <c r="J107" i="41" s="1"/>
  <c r="J80" i="10"/>
  <c r="L16" i="15"/>
  <c r="G38" i="26"/>
  <c r="E88" i="26"/>
  <c r="G88" i="26" s="1"/>
  <c r="D19" i="15"/>
  <c r="D19" i="19" s="1"/>
  <c r="D20" i="15"/>
  <c r="D20" i="19" s="1"/>
  <c r="E89" i="26"/>
  <c r="G89" i="26" s="1"/>
  <c r="E92" i="26"/>
  <c r="G92" i="26" s="1"/>
  <c r="D23" i="15"/>
  <c r="D23" i="19" s="1"/>
  <c r="D24" i="15"/>
  <c r="D24" i="19" s="1"/>
  <c r="E93" i="26"/>
  <c r="G93" i="26" s="1"/>
  <c r="J17" i="15"/>
  <c r="I26" i="15"/>
  <c r="H9" i="10" s="1"/>
  <c r="H7" i="10" s="1"/>
  <c r="F24" i="26"/>
  <c r="G28" i="15" s="1"/>
  <c r="F35" i="39"/>
  <c r="I23" i="10"/>
  <c r="H21" i="10"/>
  <c r="H33" i="10"/>
  <c r="J64" i="10"/>
  <c r="D70" i="10"/>
  <c r="J29" i="10"/>
  <c r="I39" i="10"/>
  <c r="K80" i="10" s="1"/>
  <c r="F35" i="10"/>
  <c r="C48" i="10"/>
  <c r="C72" i="10" s="1"/>
  <c r="F37" i="10"/>
  <c r="F33" i="10"/>
  <c r="D18" i="15"/>
  <c r="D18" i="19" s="1"/>
  <c r="E87" i="26"/>
  <c r="G87" i="26" s="1"/>
  <c r="E90" i="26"/>
  <c r="G90" i="26" s="1"/>
  <c r="D21" i="15"/>
  <c r="D21" i="19" s="1"/>
  <c r="D22" i="15"/>
  <c r="D22" i="19" s="1"/>
  <c r="E91" i="26"/>
  <c r="G91" i="26" s="1"/>
  <c r="J35" i="18"/>
  <c r="I35" i="18"/>
  <c r="AH52" i="41"/>
  <c r="AG61" i="41"/>
  <c r="F31" i="10"/>
  <c r="K70" i="10"/>
  <c r="H38" i="39" l="1"/>
  <c r="C46" i="14"/>
  <c r="D46" i="14" s="1"/>
  <c r="D44" i="14"/>
  <c r="E14" i="16"/>
  <c r="H14" i="16" s="1"/>
  <c r="D15" i="16"/>
  <c r="O15" i="16"/>
  <c r="R15" i="16" s="1"/>
  <c r="N16" i="16"/>
  <c r="G47" i="38"/>
  <c r="F52" i="39"/>
  <c r="I72" i="10"/>
  <c r="H72" i="10"/>
  <c r="I21" i="10"/>
  <c r="J23" i="10"/>
  <c r="D64" i="10"/>
  <c r="K64" i="10"/>
  <c r="H76" i="10"/>
  <c r="G35" i="39"/>
  <c r="H35" i="10"/>
  <c r="H37" i="10"/>
  <c r="G37" i="10"/>
  <c r="I78" i="10" s="1"/>
  <c r="G35" i="10"/>
  <c r="G33" i="10"/>
  <c r="I74" i="10" s="1"/>
  <c r="AG63" i="41"/>
  <c r="AH63" i="41" s="1"/>
  <c r="AH61" i="41"/>
  <c r="J74" i="10"/>
  <c r="J78" i="10"/>
  <c r="C76" i="10"/>
  <c r="C78" i="10"/>
  <c r="C74" i="10"/>
  <c r="K29" i="10"/>
  <c r="J39" i="10"/>
  <c r="H31" i="10"/>
  <c r="J72" i="10" s="1"/>
  <c r="H78" i="10"/>
  <c r="K17" i="15"/>
  <c r="E39" i="26"/>
  <c r="J26" i="15"/>
  <c r="I9" i="10" s="1"/>
  <c r="M16" i="15"/>
  <c r="P107" i="41"/>
  <c r="P109" i="41" s="1"/>
  <c r="K107" i="41"/>
  <c r="L107" i="41" s="1"/>
  <c r="M107" i="41" s="1"/>
  <c r="Q107" i="41" s="1"/>
  <c r="G43" i="39"/>
  <c r="H45" i="38"/>
  <c r="G51" i="39"/>
  <c r="H74" i="10"/>
  <c r="I38" i="39" l="1"/>
  <c r="O16" i="16"/>
  <c r="R16" i="16" s="1"/>
  <c r="N17" i="16"/>
  <c r="E15" i="16"/>
  <c r="H15" i="16" s="1"/>
  <c r="D16" i="16"/>
  <c r="H47" i="38"/>
  <c r="G52" i="39"/>
  <c r="AF37" i="39"/>
  <c r="B37" i="1"/>
  <c r="AA37" i="1"/>
  <c r="I45" i="38"/>
  <c r="H51" i="39"/>
  <c r="H43" i="39"/>
  <c r="I7" i="10"/>
  <c r="D50" i="10"/>
  <c r="L17" i="15"/>
  <c r="K26" i="15"/>
  <c r="J9" i="10" s="1"/>
  <c r="L29" i="10"/>
  <c r="I50" i="10"/>
  <c r="H35" i="39"/>
  <c r="I31" i="10"/>
  <c r="K72" i="10" s="1"/>
  <c r="I76" i="10"/>
  <c r="I62" i="10"/>
  <c r="R107" i="41"/>
  <c r="R109" i="41" s="1"/>
  <c r="B23" i="8" s="1"/>
  <c r="Q109" i="41"/>
  <c r="N16" i="15"/>
  <c r="E62" i="26"/>
  <c r="G39" i="26"/>
  <c r="G48" i="26" s="1"/>
  <c r="E48" i="26"/>
  <c r="D62" i="10"/>
  <c r="K23" i="10"/>
  <c r="J21" i="10"/>
  <c r="D80" i="10"/>
  <c r="J76" i="10"/>
  <c r="J38" i="39" l="1"/>
  <c r="E16" i="16"/>
  <c r="H16" i="16" s="1"/>
  <c r="D17" i="16"/>
  <c r="O17" i="16"/>
  <c r="R17" i="16" s="1"/>
  <c r="N18" i="16"/>
  <c r="N25" i="16"/>
  <c r="D24" i="64"/>
  <c r="I47" i="38"/>
  <c r="H52" i="39"/>
  <c r="AC37" i="1"/>
  <c r="AG37" i="39"/>
  <c r="F48" i="26"/>
  <c r="J28" i="15" s="1"/>
  <c r="G62" i="26"/>
  <c r="I35" i="39"/>
  <c r="M29" i="10"/>
  <c r="E70" i="10"/>
  <c r="M17" i="15"/>
  <c r="L26" i="15"/>
  <c r="K9" i="10" s="1"/>
  <c r="K7" i="10" s="1"/>
  <c r="I37" i="10"/>
  <c r="K78" i="10" s="1"/>
  <c r="D48" i="10"/>
  <c r="I35" i="10"/>
  <c r="K76" i="10" s="1"/>
  <c r="I48" i="10"/>
  <c r="I33" i="10"/>
  <c r="K74" i="10" s="1"/>
  <c r="K21" i="10"/>
  <c r="L23" i="10"/>
  <c r="L39" i="10" s="1"/>
  <c r="K33" i="10"/>
  <c r="D72" i="10"/>
  <c r="O16" i="15"/>
  <c r="B15" i="8"/>
  <c r="K39" i="10"/>
  <c r="J7" i="10"/>
  <c r="I43" i="39"/>
  <c r="J45" i="38"/>
  <c r="I51" i="39"/>
  <c r="K38" i="39" l="1"/>
  <c r="O18" i="16"/>
  <c r="R18" i="16" s="1"/>
  <c r="N19" i="16"/>
  <c r="E17" i="16"/>
  <c r="H17" i="16" s="1"/>
  <c r="D25" i="16"/>
  <c r="D18" i="16"/>
  <c r="O25" i="16"/>
  <c r="R25" i="16" s="1"/>
  <c r="R26" i="16" s="1"/>
  <c r="Q26" i="16" s="1"/>
  <c r="F50" i="15" s="1"/>
  <c r="F52" i="19" s="1"/>
  <c r="N28" i="16"/>
  <c r="M24" i="64"/>
  <c r="N24" i="64" s="1"/>
  <c r="F24" i="64"/>
  <c r="J47" i="38"/>
  <c r="I52" i="39"/>
  <c r="J43" i="39"/>
  <c r="J35" i="10"/>
  <c r="J37" i="10"/>
  <c r="J33" i="10"/>
  <c r="P16" i="15"/>
  <c r="K31" i="10"/>
  <c r="N17" i="15"/>
  <c r="E63" i="26"/>
  <c r="M26" i="15"/>
  <c r="L9" i="10" s="1"/>
  <c r="J35" i="39"/>
  <c r="J31" i="10"/>
  <c r="K45" i="38"/>
  <c r="J51" i="39"/>
  <c r="B11" i="8"/>
  <c r="M23" i="10"/>
  <c r="L21" i="10"/>
  <c r="E64" i="10"/>
  <c r="D76" i="10"/>
  <c r="D78" i="10"/>
  <c r="D74" i="10"/>
  <c r="K37" i="10"/>
  <c r="K35" i="10"/>
  <c r="E80" i="10"/>
  <c r="N29" i="10"/>
  <c r="M39" i="10"/>
  <c r="L38" i="39" l="1"/>
  <c r="E25" i="16"/>
  <c r="H25" i="16" s="1"/>
  <c r="H26" i="16" s="1"/>
  <c r="G26" i="16" s="1"/>
  <c r="D28" i="16"/>
  <c r="O19" i="16"/>
  <c r="R19" i="16" s="1"/>
  <c r="N20" i="16"/>
  <c r="O28" i="16"/>
  <c r="R28" i="16" s="1"/>
  <c r="N29" i="16"/>
  <c r="E18" i="16"/>
  <c r="H18" i="16" s="1"/>
  <c r="D19" i="16"/>
  <c r="K47" i="38"/>
  <c r="J52" i="39"/>
  <c r="E62" i="10"/>
  <c r="J62" i="10"/>
  <c r="L7" i="10"/>
  <c r="E50" i="10"/>
  <c r="J50" i="10"/>
  <c r="O17" i="15"/>
  <c r="N26" i="15"/>
  <c r="M9" i="10" s="1"/>
  <c r="M7" i="10" s="1"/>
  <c r="O29" i="10"/>
  <c r="M21" i="10"/>
  <c r="N23" i="10"/>
  <c r="N39" i="10" s="1"/>
  <c r="M33" i="10"/>
  <c r="L45" i="38"/>
  <c r="K51" i="39"/>
  <c r="K35" i="39"/>
  <c r="G63" i="26"/>
  <c r="G71" i="26" s="1"/>
  <c r="E71" i="26"/>
  <c r="D16" i="15"/>
  <c r="E85" i="26"/>
  <c r="K43" i="39"/>
  <c r="M38" i="39" l="1"/>
  <c r="E19" i="16"/>
  <c r="H19" i="16" s="1"/>
  <c r="D20" i="16"/>
  <c r="O29" i="16"/>
  <c r="R29" i="16" s="1"/>
  <c r="N30" i="16"/>
  <c r="N21" i="16"/>
  <c r="O20" i="16"/>
  <c r="R20" i="16" s="1"/>
  <c r="E28" i="16"/>
  <c r="H28" i="16" s="1"/>
  <c r="D29" i="16"/>
  <c r="L47" i="38"/>
  <c r="K52" i="39"/>
  <c r="H24" i="18"/>
  <c r="L43" i="39"/>
  <c r="G85" i="26"/>
  <c r="D16" i="19"/>
  <c r="F71" i="26"/>
  <c r="M28" i="15" s="1"/>
  <c r="M45" i="38"/>
  <c r="L51" i="39"/>
  <c r="M31" i="10"/>
  <c r="P17" i="15"/>
  <c r="O26" i="15"/>
  <c r="N9" i="10" s="1"/>
  <c r="N7" i="10" s="1"/>
  <c r="L35" i="10"/>
  <c r="E48" i="10"/>
  <c r="L37" i="10"/>
  <c r="J48" i="10"/>
  <c r="L33" i="10"/>
  <c r="L35" i="39"/>
  <c r="O23" i="10"/>
  <c r="N21" i="10"/>
  <c r="N33" i="10"/>
  <c r="F70" i="10"/>
  <c r="O39" i="10"/>
  <c r="M37" i="10"/>
  <c r="M35" i="10"/>
  <c r="L31" i="10"/>
  <c r="E72" i="10"/>
  <c r="N38" i="39" l="1"/>
  <c r="O35" i="38"/>
  <c r="C33" i="4"/>
  <c r="D33" i="4" s="1"/>
  <c r="E29" i="16"/>
  <c r="H29" i="16" s="1"/>
  <c r="D30" i="16"/>
  <c r="O30" i="16"/>
  <c r="R30" i="16" s="1"/>
  <c r="N31" i="16"/>
  <c r="E20" i="16"/>
  <c r="H20" i="16" s="1"/>
  <c r="D21" i="16"/>
  <c r="O21" i="16"/>
  <c r="R21" i="16" s="1"/>
  <c r="R23" i="16" s="1"/>
  <c r="Q23" i="16" s="1"/>
  <c r="N22" i="16"/>
  <c r="O22" i="16" s="1"/>
  <c r="R22" i="16" s="1"/>
  <c r="M47" i="38"/>
  <c r="L52" i="39"/>
  <c r="N31" i="10"/>
  <c r="O21" i="10"/>
  <c r="F64" i="10"/>
  <c r="F80" i="10" s="1"/>
  <c r="M35" i="39"/>
  <c r="E86" i="26"/>
  <c r="D17" i="15"/>
  <c r="P26" i="15"/>
  <c r="O9" i="10" s="1"/>
  <c r="N45" i="38"/>
  <c r="M51" i="39"/>
  <c r="E76" i="10"/>
  <c r="E78" i="10"/>
  <c r="E74" i="10"/>
  <c r="N35" i="10"/>
  <c r="N37" i="10"/>
  <c r="M43" i="39"/>
  <c r="E21" i="16" l="1"/>
  <c r="H21" i="16" s="1"/>
  <c r="D22" i="16"/>
  <c r="E22" i="16" s="1"/>
  <c r="H22" i="16" s="1"/>
  <c r="H23" i="16" s="1"/>
  <c r="G23" i="16" s="1"/>
  <c r="C28" i="15" s="1"/>
  <c r="C29" i="19" s="1"/>
  <c r="N32" i="16"/>
  <c r="O31" i="16"/>
  <c r="R31" i="16" s="1"/>
  <c r="D31" i="16"/>
  <c r="E30" i="16"/>
  <c r="H30" i="16" s="1"/>
  <c r="D28" i="15"/>
  <c r="D29" i="19"/>
  <c r="N47" i="38"/>
  <c r="M52" i="39"/>
  <c r="O45" i="38"/>
  <c r="C43" i="4"/>
  <c r="N51" i="39"/>
  <c r="O7" i="10"/>
  <c r="F50" i="10"/>
  <c r="K50" i="10"/>
  <c r="G86" i="26"/>
  <c r="G94" i="26" s="1"/>
  <c r="F94" i="26" s="1"/>
  <c r="P28" i="15" s="1"/>
  <c r="E94" i="26"/>
  <c r="O33" i="38"/>
  <c r="C31" i="4"/>
  <c r="N35" i="39"/>
  <c r="F62" i="10"/>
  <c r="O31" i="10"/>
  <c r="K62" i="10"/>
  <c r="N43" i="39"/>
  <c r="D17" i="19"/>
  <c r="D27" i="19" s="1"/>
  <c r="D26" i="15"/>
  <c r="C9" i="10" s="1"/>
  <c r="D15" i="18" s="1"/>
  <c r="E15" i="18" s="1"/>
  <c r="E31" i="16" l="1"/>
  <c r="H31" i="16" s="1"/>
  <c r="D32" i="16"/>
  <c r="O32" i="16"/>
  <c r="R32" i="16" s="1"/>
  <c r="N33" i="16"/>
  <c r="N52" i="39"/>
  <c r="O47" i="38"/>
  <c r="C45" i="4"/>
  <c r="D45" i="4" s="1"/>
  <c r="O37" i="10"/>
  <c r="F48" i="10"/>
  <c r="O35" i="10"/>
  <c r="K48" i="10"/>
  <c r="C7" i="10"/>
  <c r="O33" i="10"/>
  <c r="D43" i="4"/>
  <c r="F72" i="10"/>
  <c r="D31" i="4"/>
  <c r="O33" i="16" l="1"/>
  <c r="R33" i="16" s="1"/>
  <c r="N34" i="16"/>
  <c r="D33" i="16"/>
  <c r="E32" i="16"/>
  <c r="H32" i="16" s="1"/>
  <c r="C33" i="10"/>
  <c r="D39" i="18" s="1"/>
  <c r="C37" i="10"/>
  <c r="D43" i="18" s="1"/>
  <c r="D13" i="18"/>
  <c r="E13" i="18" s="1"/>
  <c r="C31" i="10"/>
  <c r="D37" i="18" s="1"/>
  <c r="E37" i="18" s="1"/>
  <c r="C35" i="10"/>
  <c r="D41" i="18" s="1"/>
  <c r="F76" i="10"/>
  <c r="F78" i="10"/>
  <c r="F74" i="10"/>
  <c r="O34" i="16" l="1"/>
  <c r="R34" i="16" s="1"/>
  <c r="N35" i="16"/>
  <c r="D34" i="16"/>
  <c r="E33" i="16"/>
  <c r="H33" i="16" s="1"/>
  <c r="H25" i="18"/>
  <c r="H26" i="18" s="1"/>
  <c r="O35" i="16" l="1"/>
  <c r="R35" i="16" s="1"/>
  <c r="N36" i="16"/>
  <c r="D35" i="16"/>
  <c r="E34" i="16"/>
  <c r="H34" i="16" s="1"/>
  <c r="I26" i="18"/>
  <c r="N37" i="16" l="1"/>
  <c r="O36" i="16"/>
  <c r="R36" i="16" s="1"/>
  <c r="E35" i="16"/>
  <c r="H35" i="16" s="1"/>
  <c r="D36" i="16"/>
  <c r="D37" i="16" l="1"/>
  <c r="E36" i="16"/>
  <c r="H36" i="16" s="1"/>
  <c r="O37" i="16"/>
  <c r="R37" i="16" s="1"/>
  <c r="N38" i="16"/>
  <c r="N39" i="16" l="1"/>
  <c r="O38" i="16"/>
  <c r="R38" i="16" s="1"/>
  <c r="D38" i="16"/>
  <c r="E37" i="16"/>
  <c r="H37" i="16" s="1"/>
  <c r="E38" i="16" l="1"/>
  <c r="H38" i="16" s="1"/>
  <c r="D39" i="16"/>
  <c r="N40" i="16"/>
  <c r="O39" i="16"/>
  <c r="R39" i="16" s="1"/>
  <c r="D40" i="16" l="1"/>
  <c r="E39" i="16"/>
  <c r="H39" i="16" s="1"/>
  <c r="O40" i="16"/>
  <c r="R40" i="16" s="1"/>
  <c r="N41" i="16"/>
  <c r="E15" i="8"/>
  <c r="E11" i="8"/>
  <c r="N42" i="16" l="1"/>
  <c r="O41" i="16"/>
  <c r="R41" i="16" s="1"/>
  <c r="E40" i="16"/>
  <c r="H40" i="16" s="1"/>
  <c r="D41" i="16"/>
  <c r="D42" i="16" l="1"/>
  <c r="E41" i="16"/>
  <c r="H41" i="16" s="1"/>
  <c r="O42" i="16"/>
  <c r="R42" i="16" s="1"/>
  <c r="N43" i="16"/>
  <c r="N44" i="16" l="1"/>
  <c r="O43" i="16"/>
  <c r="R43" i="16" s="1"/>
  <c r="D43" i="16"/>
  <c r="E42" i="16"/>
  <c r="H42" i="16" s="1"/>
  <c r="D44" i="16" l="1"/>
  <c r="E43" i="16"/>
  <c r="H43" i="16" s="1"/>
  <c r="N45" i="16"/>
  <c r="O44" i="16"/>
  <c r="R44" i="16" s="1"/>
  <c r="N54" i="16" l="1"/>
  <c r="O45" i="16"/>
  <c r="R45" i="16" s="1"/>
  <c r="R47" i="16" s="1"/>
  <c r="Q47" i="16" s="1"/>
  <c r="C50" i="15" s="1"/>
  <c r="C52" i="19" s="1"/>
  <c r="D45" i="16"/>
  <c r="E44" i="16"/>
  <c r="H44" i="16" s="1"/>
  <c r="D54" i="16" l="1"/>
  <c r="E45" i="16"/>
  <c r="H45" i="16" s="1"/>
  <c r="H47" i="16" s="1"/>
  <c r="G47" i="16" s="1"/>
  <c r="N55" i="16"/>
  <c r="O54" i="16"/>
  <c r="R54" i="16" s="1"/>
  <c r="N56" i="16" l="1"/>
  <c r="O55" i="16"/>
  <c r="R55" i="16" s="1"/>
  <c r="E54" i="16"/>
  <c r="H54" i="16" s="1"/>
  <c r="D55" i="16"/>
  <c r="O56" i="16" l="1"/>
  <c r="R56" i="16" s="1"/>
  <c r="R57" i="16" s="1"/>
  <c r="Q57" i="16" s="1"/>
  <c r="E50" i="15" s="1"/>
  <c r="E52" i="19" s="1"/>
  <c r="N61" i="16"/>
  <c r="E55" i="16"/>
  <c r="H55" i="16" s="1"/>
  <c r="D56" i="16"/>
  <c r="D61" i="16" l="1"/>
  <c r="E56" i="16"/>
  <c r="H56" i="16" s="1"/>
  <c r="H57" i="16" s="1"/>
  <c r="G57" i="16" s="1"/>
  <c r="O61" i="16"/>
  <c r="R61" i="16" s="1"/>
  <c r="N62" i="16"/>
  <c r="N63" i="16" l="1"/>
  <c r="O62" i="16"/>
  <c r="R62" i="16" s="1"/>
  <c r="E61" i="16"/>
  <c r="H61" i="16" s="1"/>
  <c r="D62" i="16"/>
  <c r="E62" i="16" l="1"/>
  <c r="H62" i="16" s="1"/>
  <c r="D63" i="16"/>
  <c r="O63" i="16"/>
  <c r="R63" i="16" s="1"/>
  <c r="N64" i="16"/>
  <c r="O64" i="16" l="1"/>
  <c r="R64" i="16" s="1"/>
  <c r="N65" i="16"/>
  <c r="E63" i="16"/>
  <c r="H63" i="16" s="1"/>
  <c r="D64" i="16"/>
  <c r="E64" i="16" l="1"/>
  <c r="H64" i="16" s="1"/>
  <c r="D65" i="16"/>
  <c r="O65" i="16"/>
  <c r="R65" i="16" s="1"/>
  <c r="N66" i="16"/>
  <c r="O66" i="16" l="1"/>
  <c r="R66" i="16" s="1"/>
  <c r="N67" i="16"/>
  <c r="E65" i="16"/>
  <c r="H65" i="16" s="1"/>
  <c r="D66" i="16"/>
  <c r="E66" i="16" l="1"/>
  <c r="H66" i="16" s="1"/>
  <c r="D67" i="16"/>
  <c r="O67" i="16"/>
  <c r="R67" i="16" s="1"/>
  <c r="N68" i="16"/>
  <c r="O68" i="16" l="1"/>
  <c r="R68" i="16" s="1"/>
  <c r="N69" i="16"/>
  <c r="D68" i="16"/>
  <c r="E67" i="16"/>
  <c r="H67" i="16" s="1"/>
  <c r="D69" i="16" l="1"/>
  <c r="E68" i="16"/>
  <c r="H68" i="16" s="1"/>
  <c r="N70" i="16"/>
  <c r="O69" i="16"/>
  <c r="R69" i="16" s="1"/>
  <c r="N71" i="16" l="1"/>
  <c r="O70" i="16"/>
  <c r="R70" i="16" s="1"/>
  <c r="D70" i="16"/>
  <c r="E69" i="16"/>
  <c r="H69" i="16" s="1"/>
  <c r="E70" i="16" l="1"/>
  <c r="H70" i="16" s="1"/>
  <c r="D71" i="16"/>
  <c r="O71" i="16"/>
  <c r="R71" i="16" s="1"/>
  <c r="N72" i="16"/>
  <c r="O72" i="16" l="1"/>
  <c r="R72" i="16" s="1"/>
  <c r="N73" i="16"/>
  <c r="D72" i="16"/>
  <c r="E71" i="16"/>
  <c r="H71" i="16" s="1"/>
  <c r="D73" i="16" l="1"/>
  <c r="E72" i="16"/>
  <c r="H72" i="16" s="1"/>
  <c r="O73" i="16"/>
  <c r="R73" i="16" s="1"/>
  <c r="N74" i="16"/>
  <c r="N75" i="16" l="1"/>
  <c r="O74" i="16"/>
  <c r="R74" i="16" s="1"/>
  <c r="E73" i="16"/>
  <c r="H73" i="16" s="1"/>
  <c r="D74" i="16"/>
  <c r="E74" i="16" l="1"/>
  <c r="H74" i="16" s="1"/>
  <c r="D75" i="16"/>
  <c r="N76" i="16"/>
  <c r="O75" i="16"/>
  <c r="R75" i="16" s="1"/>
  <c r="N77" i="16" l="1"/>
  <c r="O76" i="16"/>
  <c r="R76" i="16" s="1"/>
  <c r="D76" i="16"/>
  <c r="E75" i="16"/>
  <c r="H75" i="16" s="1"/>
  <c r="E76" i="16" l="1"/>
  <c r="H76" i="16" s="1"/>
  <c r="D77" i="16"/>
  <c r="O77" i="16"/>
  <c r="R77" i="16" s="1"/>
  <c r="N78" i="16"/>
  <c r="O78" i="16" l="1"/>
  <c r="R78" i="16" s="1"/>
  <c r="N91" i="16"/>
  <c r="N79" i="16"/>
  <c r="E77" i="16"/>
  <c r="H77" i="16" s="1"/>
  <c r="D78" i="16"/>
  <c r="D79" i="16" l="1"/>
  <c r="E78" i="16"/>
  <c r="H78" i="16" s="1"/>
  <c r="D91" i="16"/>
  <c r="N80" i="16"/>
  <c r="O79" i="16"/>
  <c r="R79" i="16" s="1"/>
  <c r="N92" i="16"/>
  <c r="O91" i="16"/>
  <c r="R91" i="16" s="1"/>
  <c r="O92" i="16" l="1"/>
  <c r="R92" i="16" s="1"/>
  <c r="N93" i="16"/>
  <c r="O80" i="16"/>
  <c r="R80" i="16" s="1"/>
  <c r="N81" i="16"/>
  <c r="O81" i="16" s="1"/>
  <c r="R81" i="16" s="1"/>
  <c r="R83" i="16" s="1"/>
  <c r="Q83" i="16" s="1"/>
  <c r="B50" i="15" s="1"/>
  <c r="B52" i="19" s="1"/>
  <c r="E91" i="16"/>
  <c r="H91" i="16" s="1"/>
  <c r="D92" i="16"/>
  <c r="D80" i="16"/>
  <c r="E79" i="16"/>
  <c r="H79" i="16" s="1"/>
  <c r="N94" i="16" l="1"/>
  <c r="O93" i="16"/>
  <c r="R93" i="16" s="1"/>
  <c r="D93" i="16"/>
  <c r="E92" i="16"/>
  <c r="H92" i="16" s="1"/>
  <c r="D81" i="16"/>
  <c r="E81" i="16" s="1"/>
  <c r="H81" i="16" s="1"/>
  <c r="H83" i="16" s="1"/>
  <c r="G83" i="16" s="1"/>
  <c r="E80" i="16"/>
  <c r="H80" i="16" s="1"/>
  <c r="E93" i="16" l="1"/>
  <c r="H93" i="16" s="1"/>
  <c r="D94" i="16"/>
  <c r="O94" i="16"/>
  <c r="R94" i="16" s="1"/>
  <c r="N95" i="16"/>
  <c r="O95" i="16" l="1"/>
  <c r="R95" i="16" s="1"/>
  <c r="N96" i="16"/>
  <c r="D95" i="16"/>
  <c r="E94" i="16"/>
  <c r="H94" i="16" s="1"/>
  <c r="E95" i="16" l="1"/>
  <c r="H95" i="16" s="1"/>
  <c r="D96" i="16"/>
  <c r="N97" i="16"/>
  <c r="O96" i="16"/>
  <c r="R96" i="16" s="1"/>
  <c r="E96" i="16" l="1"/>
  <c r="H96" i="16" s="1"/>
  <c r="D97" i="16"/>
  <c r="N98" i="16"/>
  <c r="O97" i="16"/>
  <c r="R97" i="16" s="1"/>
  <c r="E97" i="16" l="1"/>
  <c r="H97" i="16" s="1"/>
  <c r="D98" i="16"/>
  <c r="N104" i="16"/>
  <c r="O98" i="16"/>
  <c r="R98" i="16" s="1"/>
  <c r="R99" i="16" s="1"/>
  <c r="Q99" i="16" s="1"/>
  <c r="G50" i="15" s="1"/>
  <c r="G52" i="19" s="1"/>
  <c r="D104" i="16" l="1"/>
  <c r="E98" i="16"/>
  <c r="H98" i="16" s="1"/>
  <c r="H99" i="16" s="1"/>
  <c r="G99" i="16" s="1"/>
  <c r="N105" i="16"/>
  <c r="O104" i="16"/>
  <c r="R104" i="16" s="1"/>
  <c r="O105" i="16" l="1"/>
  <c r="R105" i="16" s="1"/>
  <c r="N106" i="16"/>
  <c r="E104" i="16"/>
  <c r="H104" i="16" s="1"/>
  <c r="D105" i="16"/>
  <c r="E105" i="16" l="1"/>
  <c r="H105" i="16" s="1"/>
  <c r="D106" i="16"/>
  <c r="O106" i="16"/>
  <c r="R106" i="16" s="1"/>
  <c r="N107" i="16"/>
  <c r="O107" i="16" l="1"/>
  <c r="R107" i="16" s="1"/>
  <c r="N108" i="16"/>
  <c r="D107" i="16"/>
  <c r="E106" i="16"/>
  <c r="H106" i="16" s="1"/>
  <c r="E107" i="16" l="1"/>
  <c r="H107" i="16" s="1"/>
  <c r="D108" i="16"/>
  <c r="N109" i="16"/>
  <c r="O108" i="16"/>
  <c r="R108" i="16" s="1"/>
  <c r="N110" i="16" l="1"/>
  <c r="O109" i="16"/>
  <c r="R109" i="16" s="1"/>
  <c r="E108" i="16"/>
  <c r="H108" i="16" s="1"/>
  <c r="D109" i="16"/>
  <c r="E109" i="16" l="1"/>
  <c r="H109" i="16" s="1"/>
  <c r="D110" i="16"/>
  <c r="N111" i="16"/>
  <c r="O110" i="16"/>
  <c r="R110" i="16" s="1"/>
  <c r="E110" i="16" l="1"/>
  <c r="H110" i="16" s="1"/>
  <c r="D111" i="16"/>
  <c r="O111" i="16"/>
  <c r="R111" i="16" s="1"/>
  <c r="N112" i="16"/>
  <c r="O112" i="16" l="1"/>
  <c r="R112" i="16" s="1"/>
  <c r="N113" i="16"/>
  <c r="E111" i="16"/>
  <c r="H111" i="16" s="1"/>
  <c r="D112" i="16"/>
  <c r="E112" i="16" l="1"/>
  <c r="H112" i="16" s="1"/>
  <c r="D113" i="16"/>
  <c r="O113" i="16"/>
  <c r="R113" i="16" s="1"/>
  <c r="N114" i="16"/>
  <c r="O114" i="16" l="1"/>
  <c r="R114" i="16" s="1"/>
  <c r="N115" i="16"/>
  <c r="E113" i="16"/>
  <c r="H113" i="16" s="1"/>
  <c r="D114" i="16"/>
  <c r="D115" i="16" l="1"/>
  <c r="E114" i="16"/>
  <c r="H114" i="16" s="1"/>
  <c r="N116" i="16"/>
  <c r="O115" i="16"/>
  <c r="R115" i="16" s="1"/>
  <c r="C72" i="6"/>
  <c r="O116" i="16" l="1"/>
  <c r="R116" i="16" s="1"/>
  <c r="N117" i="16"/>
  <c r="D116" i="16"/>
  <c r="E115" i="16"/>
  <c r="H115" i="16" s="1"/>
  <c r="D117" i="16" l="1"/>
  <c r="E116" i="16"/>
  <c r="H116" i="16" s="1"/>
  <c r="N118" i="16"/>
  <c r="O117" i="16"/>
  <c r="R117" i="16" s="1"/>
  <c r="O118" i="16" l="1"/>
  <c r="R118" i="16" s="1"/>
  <c r="N119" i="16"/>
  <c r="N131" i="16"/>
  <c r="O131" i="16" s="1"/>
  <c r="R131" i="16" s="1"/>
  <c r="E117" i="16"/>
  <c r="H117" i="16" s="1"/>
  <c r="D118" i="16"/>
  <c r="D131" i="16" l="1"/>
  <c r="E131" i="16" s="1"/>
  <c r="H131" i="16" s="1"/>
  <c r="D119" i="16"/>
  <c r="E118" i="16"/>
  <c r="H118" i="16" s="1"/>
  <c r="N120" i="16"/>
  <c r="O119" i="16"/>
  <c r="R119" i="16" s="1"/>
  <c r="N132" i="16"/>
  <c r="O132" i="16" s="1"/>
  <c r="R132" i="16" s="1"/>
  <c r="R133" i="16" s="1"/>
  <c r="Q133" i="16" s="1"/>
  <c r="D72" i="6"/>
  <c r="O120" i="16" l="1"/>
  <c r="R120" i="16" s="1"/>
  <c r="N121" i="16"/>
  <c r="D132" i="16"/>
  <c r="E132" i="16" s="1"/>
  <c r="H132" i="16" s="1"/>
  <c r="H133" i="16" s="1"/>
  <c r="G133" i="16" s="1"/>
  <c r="D120" i="16"/>
  <c r="E119" i="16"/>
  <c r="H119" i="16" s="1"/>
  <c r="D121" i="16" l="1"/>
  <c r="E120" i="16"/>
  <c r="H120" i="16" s="1"/>
  <c r="O121" i="16"/>
  <c r="R121" i="16" s="1"/>
  <c r="N122" i="16"/>
  <c r="O122" i="16" s="1"/>
  <c r="R122" i="16" s="1"/>
  <c r="R124" i="16" s="1"/>
  <c r="Q124" i="16" s="1"/>
  <c r="D50" i="15" s="1"/>
  <c r="D52" i="19" s="1"/>
  <c r="E72" i="6" l="1"/>
  <c r="E121" i="16"/>
  <c r="H121" i="16" s="1"/>
  <c r="D122" i="16"/>
  <c r="E122" i="16" s="1"/>
  <c r="H122" i="16" s="1"/>
  <c r="H124" i="16" l="1"/>
  <c r="G124" i="16" s="1"/>
  <c r="D52" i="55" l="1"/>
  <c r="D62" i="55"/>
  <c r="D55" i="55"/>
  <c r="D59" i="55"/>
  <c r="D56" i="55"/>
  <c r="N14" i="53" s="1"/>
  <c r="D61" i="55"/>
  <c r="D53" i="55"/>
  <c r="D63" i="55"/>
  <c r="D60" i="55"/>
  <c r="D54" i="55"/>
  <c r="D57" i="55"/>
  <c r="D58" i="55"/>
  <c r="P48" i="55"/>
  <c r="D51" i="55"/>
  <c r="P59" i="55" l="1"/>
  <c r="P54" i="55"/>
  <c r="P60" i="55"/>
  <c r="P51" i="55"/>
  <c r="P58" i="55"/>
  <c r="P57" i="55"/>
  <c r="P63" i="55"/>
  <c r="P61" i="55"/>
  <c r="P56" i="55"/>
  <c r="N13" i="53"/>
  <c r="N10" i="53"/>
  <c r="P53" i="55"/>
  <c r="P55" i="55"/>
  <c r="P62" i="55"/>
  <c r="P52" i="55"/>
  <c r="H65" i="55" l="1"/>
  <c r="O65" i="55"/>
  <c r="G65" i="55"/>
  <c r="K65" i="55"/>
  <c r="N65" i="55"/>
  <c r="M65" i="55"/>
  <c r="D65" i="55"/>
  <c r="N9" i="53"/>
  <c r="I65" i="55"/>
  <c r="E65" i="55"/>
  <c r="J65" i="55"/>
  <c r="L65" i="55"/>
  <c r="F65" i="55"/>
  <c r="U11" i="39" l="1"/>
  <c r="E107" i="6" l="1"/>
  <c r="F107" i="6" l="1"/>
  <c r="G107" i="6" l="1"/>
  <c r="H107" i="6" l="1"/>
  <c r="I107" i="6" l="1"/>
  <c r="J107" i="6" l="1"/>
  <c r="K107" i="6" l="1"/>
  <c r="L107" i="6" l="1"/>
  <c r="M107" i="6" l="1"/>
  <c r="Q41" i="75" l="1"/>
  <c r="E52" i="75"/>
  <c r="Q52" i="75" l="1"/>
  <c r="D38" i="1"/>
  <c r="AF38" i="1" l="1"/>
  <c r="D42" i="1"/>
  <c r="U38" i="39"/>
  <c r="B13" i="6"/>
  <c r="Q38" i="1"/>
  <c r="B38" i="1"/>
  <c r="B122" i="39" l="1"/>
  <c r="Q122" i="39" s="1"/>
  <c r="U41" i="39"/>
  <c r="AG38" i="39"/>
  <c r="U38" i="1"/>
  <c r="AC38" i="1"/>
  <c r="D25" i="64"/>
  <c r="B15" i="6"/>
  <c r="N13" i="6"/>
  <c r="B64" i="6"/>
  <c r="N12" i="53"/>
  <c r="Y38" i="1" l="1"/>
  <c r="C14" i="14"/>
  <c r="N15" i="6"/>
  <c r="M25" i="64"/>
  <c r="F25" i="64"/>
  <c r="C22" i="39"/>
  <c r="B66" i="6"/>
  <c r="F64" i="6"/>
  <c r="F66" i="6" s="1"/>
  <c r="D14" i="14" l="1"/>
  <c r="C16" i="14"/>
  <c r="D16" i="14" s="1"/>
  <c r="B115" i="39"/>
  <c r="B113" i="39"/>
  <c r="N25" i="64"/>
  <c r="D22" i="39"/>
  <c r="C113" i="39" l="1"/>
  <c r="C115" i="39"/>
  <c r="E22" i="39"/>
  <c r="F22" i="39" l="1"/>
  <c r="D115" i="39"/>
  <c r="D113" i="39"/>
  <c r="N113" i="39" l="1"/>
  <c r="E113" i="39"/>
  <c r="E115" i="39"/>
  <c r="N115" i="39"/>
  <c r="G22" i="39"/>
  <c r="F115" i="39" l="1"/>
  <c r="F113" i="39"/>
  <c r="H22" i="39"/>
  <c r="G115" i="39" l="1"/>
  <c r="O115" i="39" s="1"/>
  <c r="G113" i="39"/>
  <c r="O113" i="39" s="1"/>
  <c r="I22" i="39"/>
  <c r="J22" i="39" l="1"/>
  <c r="H113" i="39"/>
  <c r="H115" i="39"/>
  <c r="K22" i="39" l="1"/>
  <c r="I115" i="39"/>
  <c r="I113" i="39"/>
  <c r="J115" i="39" l="1"/>
  <c r="P115" i="39" s="1"/>
  <c r="J113" i="39"/>
  <c r="P113" i="39" s="1"/>
  <c r="L22" i="39"/>
  <c r="M22" i="39" l="1"/>
  <c r="K113" i="39"/>
  <c r="K115" i="39"/>
  <c r="L115" i="39" l="1"/>
  <c r="L113" i="39"/>
  <c r="C19" i="4"/>
  <c r="O22" i="38"/>
  <c r="N22" i="39"/>
  <c r="M113" i="39" l="1"/>
  <c r="Q113" i="39" s="1"/>
  <c r="M115" i="39"/>
  <c r="Q115" i="39" s="1"/>
  <c r="R115" i="39" s="1"/>
  <c r="D19" i="4"/>
  <c r="R113" i="39" l="1"/>
  <c r="M15" i="53" l="1"/>
  <c r="L15" i="53"/>
  <c r="K15" i="53"/>
  <c r="J15" i="53"/>
  <c r="I15" i="53"/>
  <c r="H15" i="53"/>
  <c r="G15" i="53"/>
  <c r="F15" i="53"/>
  <c r="E15" i="53"/>
  <c r="D15" i="53"/>
  <c r="C15" i="53"/>
  <c r="N11" i="53" l="1"/>
  <c r="B15" i="53"/>
  <c r="N15" i="53" l="1"/>
  <c r="P15" i="53"/>
  <c r="B25" i="1"/>
  <c r="Q18" i="1" l="1"/>
  <c r="U26" i="39" l="1"/>
  <c r="W12" i="39" l="1"/>
  <c r="AE12" i="39"/>
  <c r="U12" i="39"/>
  <c r="D20" i="1"/>
  <c r="C12" i="38" s="1"/>
  <c r="Y12" i="39"/>
  <c r="AC12" i="39"/>
  <c r="V12" i="39"/>
  <c r="Z12" i="39"/>
  <c r="AB12" i="39"/>
  <c r="AF12" i="39"/>
  <c r="K30" i="66" l="1"/>
  <c r="B19" i="6"/>
  <c r="C12" i="39"/>
  <c r="G30" i="66"/>
  <c r="J30" i="66"/>
  <c r="M30" i="66"/>
  <c r="C30" i="66"/>
  <c r="F30" i="66"/>
  <c r="L30" i="66"/>
  <c r="H30" i="66"/>
  <c r="I30" i="66"/>
  <c r="E30" i="66"/>
  <c r="D30" i="66"/>
  <c r="D104" i="86"/>
  <c r="G104" i="86"/>
  <c r="G105" i="86" s="1"/>
  <c r="M104" i="86"/>
  <c r="M105" i="86" s="1"/>
  <c r="I104" i="86"/>
  <c r="I105" i="86" s="1"/>
  <c r="L104" i="86"/>
  <c r="L105" i="86" s="1"/>
  <c r="H104" i="86"/>
  <c r="K104" i="86"/>
  <c r="N104" i="86"/>
  <c r="J104" i="86"/>
  <c r="F104" i="86"/>
  <c r="E104" i="86"/>
  <c r="E105" i="86" s="1"/>
  <c r="AD12" i="39"/>
  <c r="AA17" i="1"/>
  <c r="Y11" i="39"/>
  <c r="Y20" i="39" s="1"/>
  <c r="U20" i="39"/>
  <c r="AA16" i="1"/>
  <c r="AD11" i="39"/>
  <c r="AC11" i="39"/>
  <c r="AC20" i="39" s="1"/>
  <c r="W11" i="39"/>
  <c r="W20" i="39" s="1"/>
  <c r="F20" i="1"/>
  <c r="S16" i="1"/>
  <c r="X11" i="39"/>
  <c r="Z11" i="39"/>
  <c r="Z20" i="39" s="1"/>
  <c r="Q17" i="1"/>
  <c r="W16" i="1"/>
  <c r="AA11" i="39"/>
  <c r="AB11" i="39"/>
  <c r="AB20" i="39" s="1"/>
  <c r="AE11" i="39"/>
  <c r="AE20" i="39" s="1"/>
  <c r="AF11" i="39"/>
  <c r="AF20" i="39" s="1"/>
  <c r="X12" i="39"/>
  <c r="S17" i="1"/>
  <c r="V11" i="39"/>
  <c r="Q16" i="1"/>
  <c r="B16" i="1"/>
  <c r="E20" i="1"/>
  <c r="B17" i="1"/>
  <c r="AA12" i="39"/>
  <c r="W17" i="1"/>
  <c r="AD20" i="39" l="1"/>
  <c r="B70" i="6"/>
  <c r="F70" i="6" s="1"/>
  <c r="N19" i="6"/>
  <c r="C21" i="14" s="1"/>
  <c r="D21" i="14" s="1"/>
  <c r="F105" i="86"/>
  <c r="N105" i="86"/>
  <c r="H105" i="86"/>
  <c r="J106" i="86"/>
  <c r="H106" i="86"/>
  <c r="F106" i="86"/>
  <c r="E109" i="86"/>
  <c r="J105" i="86"/>
  <c r="K105" i="86"/>
  <c r="M106" i="86"/>
  <c r="M107" i="86" s="1"/>
  <c r="N106" i="86"/>
  <c r="D105" i="86"/>
  <c r="D107" i="86" s="1"/>
  <c r="P104" i="86"/>
  <c r="Q20" i="1"/>
  <c r="R49" i="1" s="1"/>
  <c r="AG12" i="39"/>
  <c r="AA20" i="39"/>
  <c r="C33" i="66"/>
  <c r="V20" i="39"/>
  <c r="AG11" i="39"/>
  <c r="U17" i="1"/>
  <c r="AC17" i="1"/>
  <c r="X20" i="39"/>
  <c r="B33" i="66"/>
  <c r="U16" i="1"/>
  <c r="AC16" i="1"/>
  <c r="D33" i="66"/>
  <c r="N107" i="86" l="1"/>
  <c r="M16" i="86" s="1"/>
  <c r="R55" i="1"/>
  <c r="R48" i="1"/>
  <c r="J107" i="86"/>
  <c r="I16" i="86" s="1"/>
  <c r="R37" i="1"/>
  <c r="R39" i="1"/>
  <c r="R17" i="1"/>
  <c r="R51" i="1"/>
  <c r="N115" i="86"/>
  <c r="I106" i="86"/>
  <c r="I107" i="86" s="1"/>
  <c r="G106" i="86"/>
  <c r="G107" i="86" s="1"/>
  <c r="C16" i="86"/>
  <c r="D12" i="38" s="1"/>
  <c r="D115" i="86"/>
  <c r="L106" i="86"/>
  <c r="L107" i="86" s="1"/>
  <c r="E106" i="86"/>
  <c r="E107" i="86" s="1"/>
  <c r="D109" i="86"/>
  <c r="M115" i="86"/>
  <c r="L16" i="86"/>
  <c r="K106" i="86"/>
  <c r="K107" i="86" s="1"/>
  <c r="H107" i="86"/>
  <c r="F107" i="86"/>
  <c r="R16" i="1"/>
  <c r="R18" i="1"/>
  <c r="R38" i="1"/>
  <c r="R64" i="1"/>
  <c r="R57" i="1"/>
  <c r="N30" i="66"/>
  <c r="Y17" i="1"/>
  <c r="Y16" i="1"/>
  <c r="AG20" i="39"/>
  <c r="AH11" i="39" s="1"/>
  <c r="D12" i="39" l="1"/>
  <c r="J115" i="86"/>
  <c r="R20" i="1"/>
  <c r="K115" i="86"/>
  <c r="J16" i="86"/>
  <c r="O107" i="86"/>
  <c r="F16" i="86"/>
  <c r="G115" i="86"/>
  <c r="F115" i="86"/>
  <c r="E16" i="86"/>
  <c r="G16" i="86"/>
  <c r="H115" i="86"/>
  <c r="C21" i="86"/>
  <c r="I115" i="86"/>
  <c r="H16" i="86"/>
  <c r="E115" i="86"/>
  <c r="D16" i="86"/>
  <c r="E12" i="38" s="1"/>
  <c r="L115" i="86"/>
  <c r="K16" i="86"/>
  <c r="AH39" i="39"/>
  <c r="AH48" i="39"/>
  <c r="AH15" i="39"/>
  <c r="AH49" i="39"/>
  <c r="AH17" i="39"/>
  <c r="AH13" i="39"/>
  <c r="AH30" i="39"/>
  <c r="AH18" i="39"/>
  <c r="AH14" i="39"/>
  <c r="AH47" i="39"/>
  <c r="AH37" i="39"/>
  <c r="AH16" i="39"/>
  <c r="AH50" i="39"/>
  <c r="AH38" i="39"/>
  <c r="AH12" i="39"/>
  <c r="O115" i="86" l="1"/>
  <c r="A116" i="86" s="1"/>
  <c r="D21" i="86"/>
  <c r="N16" i="86"/>
  <c r="E12" i="39" l="1"/>
  <c r="T115" i="86"/>
  <c r="AB25" i="39"/>
  <c r="AF25" i="39"/>
  <c r="X25" i="39"/>
  <c r="AF25" i="1" l="1"/>
  <c r="Q25" i="1"/>
  <c r="U25" i="39"/>
  <c r="D24" i="1"/>
  <c r="AC25" i="39"/>
  <c r="AD25" i="39"/>
  <c r="AA25" i="1"/>
  <c r="V25" i="39"/>
  <c r="Y25" i="39"/>
  <c r="AA25" i="39"/>
  <c r="W25" i="1"/>
  <c r="W25" i="39"/>
  <c r="Z25" i="39"/>
  <c r="AE25" i="39"/>
  <c r="S25" i="1"/>
  <c r="U25" i="1" l="1"/>
  <c r="AC25" i="1"/>
  <c r="R25" i="1"/>
  <c r="AG25" i="39"/>
  <c r="U24" i="39"/>
  <c r="AH25" i="39" l="1"/>
  <c r="Y25" i="1"/>
  <c r="X8" i="39" l="1"/>
  <c r="S8" i="1"/>
  <c r="G13" i="10"/>
  <c r="G15" i="10"/>
  <c r="O13" i="10"/>
  <c r="O41" i="10" s="1"/>
  <c r="AF8" i="39"/>
  <c r="O15" i="10"/>
  <c r="Y8" i="39"/>
  <c r="H13" i="10"/>
  <c r="H41" i="10" s="1"/>
  <c r="H15" i="10"/>
  <c r="L15" i="10"/>
  <c r="L13" i="10"/>
  <c r="L41" i="10" s="1"/>
  <c r="AC8" i="39"/>
  <c r="F13" i="10"/>
  <c r="F41" i="10" s="1"/>
  <c r="F15" i="10"/>
  <c r="W8" i="39"/>
  <c r="W8" i="1"/>
  <c r="J15" i="10"/>
  <c r="J13" i="10"/>
  <c r="AA8" i="39"/>
  <c r="AA8" i="1"/>
  <c r="AE8" i="39"/>
  <c r="N13" i="10"/>
  <c r="N41" i="10" s="1"/>
  <c r="N15" i="10"/>
  <c r="K13" i="10"/>
  <c r="K41" i="10" s="1"/>
  <c r="AB8" i="39"/>
  <c r="K15" i="10"/>
  <c r="U8" i="39"/>
  <c r="B9" i="1"/>
  <c r="Q8" i="1"/>
  <c r="D15" i="10"/>
  <c r="D13" i="10"/>
  <c r="B8" i="1"/>
  <c r="V8" i="39"/>
  <c r="E13" i="10"/>
  <c r="E41" i="10" s="1"/>
  <c r="E15" i="10"/>
  <c r="I15" i="10"/>
  <c r="I13" i="10"/>
  <c r="I41" i="10" s="1"/>
  <c r="Z8" i="39"/>
  <c r="AD8" i="39"/>
  <c r="M13" i="10"/>
  <c r="M15" i="10"/>
  <c r="C37" i="66"/>
  <c r="D37" i="66"/>
  <c r="B37" i="66"/>
  <c r="C20" i="63" l="1"/>
  <c r="C32" i="63"/>
  <c r="D32" i="63" s="1"/>
  <c r="C39" i="66"/>
  <c r="C38" i="66"/>
  <c r="B39" i="66"/>
  <c r="B38" i="66"/>
  <c r="D38" i="66"/>
  <c r="D39" i="66"/>
  <c r="I72" i="55"/>
  <c r="I5" i="10"/>
  <c r="I11" i="10" s="1"/>
  <c r="Z7" i="39"/>
  <c r="D14" i="64"/>
  <c r="F14" i="64" s="1"/>
  <c r="N5" i="10"/>
  <c r="N11" i="10" s="1"/>
  <c r="AE7" i="39"/>
  <c r="N72" i="55"/>
  <c r="F5" i="10"/>
  <c r="F11" i="10" s="1"/>
  <c r="F72" i="55"/>
  <c r="W7" i="39"/>
  <c r="F19" i="10"/>
  <c r="E5" i="10"/>
  <c r="E11" i="10" s="1"/>
  <c r="E72" i="55"/>
  <c r="V7" i="39"/>
  <c r="E19" i="10"/>
  <c r="D41" i="10"/>
  <c r="K54" i="10"/>
  <c r="I54" i="10"/>
  <c r="C54" i="10"/>
  <c r="C82" i="10" s="1"/>
  <c r="J54" i="10"/>
  <c r="H54" i="10"/>
  <c r="C13" i="10"/>
  <c r="AG8" i="39"/>
  <c r="E56" i="10"/>
  <c r="D56" i="10"/>
  <c r="K72" i="55"/>
  <c r="AB7" i="39"/>
  <c r="K5" i="10"/>
  <c r="K11" i="10" s="1"/>
  <c r="S7" i="1"/>
  <c r="G5" i="10"/>
  <c r="G72" i="55"/>
  <c r="X7" i="39"/>
  <c r="L72" i="55"/>
  <c r="AC7" i="39"/>
  <c r="L5" i="10"/>
  <c r="L11" i="10" s="1"/>
  <c r="AF7" i="1"/>
  <c r="Q7" i="1"/>
  <c r="D5" i="10"/>
  <c r="D72" i="55"/>
  <c r="P72" i="55" s="1"/>
  <c r="B7" i="1"/>
  <c r="U7" i="39"/>
  <c r="D19" i="10"/>
  <c r="AA7" i="1"/>
  <c r="M72" i="55"/>
  <c r="AD7" i="39"/>
  <c r="M5" i="10"/>
  <c r="C15" i="10"/>
  <c r="D21" i="18" s="1"/>
  <c r="E21" i="18" s="1"/>
  <c r="C56" i="10"/>
  <c r="G41" i="10"/>
  <c r="D54" i="10"/>
  <c r="D82" i="10" s="1"/>
  <c r="H5" i="10"/>
  <c r="H11" i="10" s="1"/>
  <c r="Y7" i="39"/>
  <c r="H72" i="55"/>
  <c r="M41" i="10"/>
  <c r="F54" i="10"/>
  <c r="F82" i="10" s="1"/>
  <c r="D13" i="64"/>
  <c r="F13" i="64" s="1"/>
  <c r="J41" i="10"/>
  <c r="E54" i="10"/>
  <c r="E82" i="10" s="1"/>
  <c r="O72" i="55"/>
  <c r="AF7" i="39"/>
  <c r="O5" i="10"/>
  <c r="O11" i="10" s="1"/>
  <c r="J5" i="10"/>
  <c r="J72" i="55"/>
  <c r="W7" i="1"/>
  <c r="AA7" i="39"/>
  <c r="AC8" i="1"/>
  <c r="U8" i="1"/>
  <c r="Y8" i="1" s="1"/>
  <c r="F56" i="10"/>
  <c r="B25" i="86" l="1"/>
  <c r="AG7" i="39"/>
  <c r="U7" i="1"/>
  <c r="Y7" i="1" s="1"/>
  <c r="AC7" i="1"/>
  <c r="C60" i="10"/>
  <c r="C5" i="10"/>
  <c r="C46" i="10"/>
  <c r="D11" i="10"/>
  <c r="C52" i="10" s="1"/>
  <c r="I46" i="10"/>
  <c r="I52" i="10" s="1"/>
  <c r="J46" i="10"/>
  <c r="J52" i="10" s="1"/>
  <c r="K46" i="10"/>
  <c r="K52" i="10" s="1"/>
  <c r="H46" i="10"/>
  <c r="H52" i="10" s="1"/>
  <c r="H56" i="10"/>
  <c r="H82" i="10"/>
  <c r="K56" i="10"/>
  <c r="K82" i="10"/>
  <c r="E46" i="10"/>
  <c r="J11" i="10"/>
  <c r="E52" i="10" s="1"/>
  <c r="D46" i="10"/>
  <c r="G11" i="10"/>
  <c r="D52" i="10" s="1"/>
  <c r="J56" i="10"/>
  <c r="J82" i="10"/>
  <c r="C13" i="63"/>
  <c r="D13" i="63" s="1"/>
  <c r="D12" i="64"/>
  <c r="F12" i="64" s="1"/>
  <c r="C23" i="63"/>
  <c r="C26" i="63"/>
  <c r="D26" i="63" s="1"/>
  <c r="D20" i="63"/>
  <c r="U29" i="39"/>
  <c r="M11" i="10"/>
  <c r="F52" i="10" s="1"/>
  <c r="F46" i="10"/>
  <c r="H60" i="10"/>
  <c r="C41" i="10"/>
  <c r="D47" i="18" s="1"/>
  <c r="E47" i="18" s="1"/>
  <c r="D19" i="18"/>
  <c r="E19" i="18" s="1"/>
  <c r="I82" i="10"/>
  <c r="I56" i="10"/>
  <c r="B26" i="86" l="1"/>
  <c r="B40" i="86" s="1"/>
  <c r="C35" i="63"/>
  <c r="D35" i="63" s="1"/>
  <c r="D23" i="63"/>
  <c r="C29" i="63"/>
  <c r="D29" i="63" s="1"/>
  <c r="V29" i="39"/>
  <c r="U28" i="39"/>
  <c r="U27" i="39" s="1"/>
  <c r="U31" i="39" s="1"/>
  <c r="U33" i="39" s="1"/>
  <c r="U43" i="39" s="1"/>
  <c r="D27" i="1"/>
  <c r="C11" i="10"/>
  <c r="D17" i="18" s="1"/>
  <c r="E17" i="18" s="1"/>
  <c r="D11" i="18"/>
  <c r="Q29" i="1"/>
  <c r="W29" i="39"/>
  <c r="B42" i="86" l="1"/>
  <c r="C26" i="86"/>
  <c r="D26" i="86"/>
  <c r="W28" i="39"/>
  <c r="W27" i="39" s="1"/>
  <c r="F27" i="1"/>
  <c r="V28" i="39"/>
  <c r="V27" i="39" s="1"/>
  <c r="E27" i="1"/>
  <c r="B119" i="39"/>
  <c r="U52" i="39"/>
  <c r="R29" i="1"/>
  <c r="E11" i="18"/>
  <c r="H9" i="18"/>
  <c r="D31" i="1"/>
  <c r="Q28" i="1"/>
  <c r="B73" i="86" l="1"/>
  <c r="B87" i="86" s="1"/>
  <c r="B88" i="86" s="1"/>
  <c r="B89" i="86" s="1"/>
  <c r="B75" i="86" s="1"/>
  <c r="B81" i="86" s="1"/>
  <c r="F117" i="84" s="1"/>
  <c r="Q27" i="1"/>
  <c r="R27" i="1" s="1"/>
  <c r="J14" i="18"/>
  <c r="J13" i="18"/>
  <c r="J26" i="18"/>
  <c r="D23" i="18" s="1"/>
  <c r="J22" i="18"/>
  <c r="D17" i="10"/>
  <c r="D33" i="1"/>
  <c r="R28" i="1"/>
  <c r="B124" i="39"/>
  <c r="B125" i="39" s="1"/>
  <c r="Q119" i="39"/>
  <c r="B77" i="86" l="1"/>
  <c r="B83" i="86" s="1"/>
  <c r="C11" i="38" s="1"/>
  <c r="C11" i="39" s="1"/>
  <c r="D44" i="1"/>
  <c r="C76" i="86" l="1"/>
  <c r="L116" i="84"/>
  <c r="L102" i="84"/>
  <c r="D63" i="1"/>
  <c r="D65" i="1"/>
  <c r="E51" i="61"/>
  <c r="B105" i="39"/>
  <c r="D59" i="1"/>
  <c r="U56" i="39" l="1"/>
  <c r="U57" i="39"/>
  <c r="D67" i="1"/>
  <c r="E55" i="61"/>
  <c r="B9" i="6"/>
  <c r="U59" i="39" l="1"/>
  <c r="U61" i="39" s="1"/>
  <c r="U63" i="39" s="1"/>
  <c r="D69" i="1"/>
  <c r="D71" i="1" s="1"/>
  <c r="C33" i="86"/>
  <c r="B37" i="6"/>
  <c r="B39" i="6" s="1"/>
  <c r="E40" i="1"/>
  <c r="C48" i="38"/>
  <c r="E58" i="61"/>
  <c r="E9" i="11"/>
  <c r="B11" i="6"/>
  <c r="B17" i="6" s="1"/>
  <c r="C44" i="39" l="1"/>
  <c r="C46" i="39" s="1"/>
  <c r="C48" i="39" s="1"/>
  <c r="C42" i="38"/>
  <c r="E7" i="11"/>
  <c r="D73" i="1"/>
  <c r="C53" i="39"/>
  <c r="C55" i="39" s="1"/>
  <c r="C51" i="38"/>
  <c r="C57" i="39" l="1"/>
  <c r="C54" i="38"/>
  <c r="E42" i="1" l="1"/>
  <c r="V40" i="39"/>
  <c r="V41" i="39" l="1"/>
  <c r="D44" i="39" l="1"/>
  <c r="D46" i="39" s="1"/>
  <c r="E44" i="39" l="1"/>
  <c r="E46" i="39" s="1"/>
  <c r="F44" i="39" l="1"/>
  <c r="F46" i="39" s="1"/>
  <c r="G44" i="39" l="1"/>
  <c r="G46" i="39" s="1"/>
  <c r="I44" i="39" l="1"/>
  <c r="I46" i="39" s="1"/>
  <c r="H44" i="39"/>
  <c r="H46" i="39" s="1"/>
  <c r="J44" i="39" l="1"/>
  <c r="J46" i="39" s="1"/>
  <c r="K44" i="39" l="1"/>
  <c r="K46" i="39" s="1"/>
  <c r="L44" i="39" l="1"/>
  <c r="L46" i="39" s="1"/>
  <c r="N44" i="39" l="1"/>
  <c r="N46" i="39" s="1"/>
  <c r="O40" i="38"/>
  <c r="C38" i="4"/>
  <c r="M44" i="39"/>
  <c r="M46" i="39" s="1"/>
  <c r="D38" i="4" l="1"/>
  <c r="B25" i="6" l="1"/>
  <c r="B27" i="6" s="1"/>
  <c r="B42" i="6" s="1"/>
  <c r="B50" i="6" s="1"/>
  <c r="B128" i="6" s="1"/>
  <c r="C19" i="38"/>
  <c r="C17" i="39"/>
  <c r="C19" i="39" s="1"/>
  <c r="C29" i="39" s="1"/>
  <c r="B103" i="39" l="1"/>
  <c r="C58" i="39"/>
  <c r="E11" i="11"/>
  <c r="C28" i="38"/>
  <c r="C55" i="38" s="1"/>
  <c r="B116" i="39" l="1"/>
  <c r="B126" i="39" s="1"/>
  <c r="B72" i="6"/>
  <c r="N21" i="6"/>
  <c r="C22" i="14" l="1"/>
  <c r="D22" i="14"/>
  <c r="E17" i="39"/>
  <c r="D17" i="39"/>
  <c r="F72" i="6"/>
  <c r="F17" i="39" l="1"/>
  <c r="G17" i="39" l="1"/>
  <c r="H17" i="39" l="1"/>
  <c r="I17" i="39" l="1"/>
  <c r="J17" i="39" l="1"/>
  <c r="K17" i="39" l="1"/>
  <c r="L17" i="39" l="1"/>
  <c r="M17" i="39" l="1"/>
  <c r="O16" i="38" l="1"/>
  <c r="C14" i="4"/>
  <c r="N17" i="39"/>
  <c r="D14" i="4" l="1"/>
  <c r="W26" i="39" l="1"/>
  <c r="W24" i="39" s="1"/>
  <c r="W31" i="39" s="1"/>
  <c r="W33" i="39" s="1"/>
  <c r="F24" i="1"/>
  <c r="F31" i="1" s="1"/>
  <c r="D25" i="86"/>
  <c r="F17" i="10" l="1"/>
  <c r="F33" i="1"/>
  <c r="Q26" i="1" l="1"/>
  <c r="V26" i="39"/>
  <c r="V24" i="39" s="1"/>
  <c r="V31" i="39" s="1"/>
  <c r="V33" i="39" s="1"/>
  <c r="V43" i="39" s="1"/>
  <c r="E24" i="1"/>
  <c r="C25" i="86"/>
  <c r="C40" i="86" l="1"/>
  <c r="Q24" i="1"/>
  <c r="E31" i="1"/>
  <c r="R26" i="1"/>
  <c r="V52" i="39"/>
  <c r="C119" i="39"/>
  <c r="C124" i="39" s="1"/>
  <c r="C125" i="39" s="1"/>
  <c r="C42" i="86" l="1"/>
  <c r="R24" i="1"/>
  <c r="Q31" i="1"/>
  <c r="E33" i="1"/>
  <c r="E17" i="10"/>
  <c r="C73" i="86" l="1"/>
  <c r="C87" i="86" s="1"/>
  <c r="C88" i="86" s="1"/>
  <c r="C89" i="86" s="1"/>
  <c r="C75" i="86" s="1"/>
  <c r="C79" i="86" s="1"/>
  <c r="D111" i="86" s="1"/>
  <c r="E63" i="1"/>
  <c r="E65" i="1"/>
  <c r="F51" i="61"/>
  <c r="C58" i="10"/>
  <c r="Q33" i="1"/>
  <c r="R31" i="1"/>
  <c r="E44" i="1"/>
  <c r="H58" i="10"/>
  <c r="C81" i="86" l="1"/>
  <c r="C77" i="86"/>
  <c r="D76" i="86" s="1"/>
  <c r="D66" i="38"/>
  <c r="F55" i="61"/>
  <c r="E67" i="1"/>
  <c r="V56" i="39"/>
  <c r="V57" i="39"/>
  <c r="R33" i="1"/>
  <c r="E59" i="1"/>
  <c r="C83" i="86" l="1"/>
  <c r="D33" i="86"/>
  <c r="C37" i="6"/>
  <c r="F40" i="1"/>
  <c r="V59" i="39"/>
  <c r="V61" i="39" s="1"/>
  <c r="V63" i="39" s="1"/>
  <c r="C23" i="6"/>
  <c r="F58" i="61"/>
  <c r="D34" i="38"/>
  <c r="D67" i="38"/>
  <c r="C9" i="6"/>
  <c r="E69" i="1"/>
  <c r="M102" i="84" l="1"/>
  <c r="M116" i="84"/>
  <c r="Q40" i="1"/>
  <c r="Q42" i="1" s="1"/>
  <c r="D11" i="38"/>
  <c r="D19" i="38" s="1"/>
  <c r="D28" i="38" s="1"/>
  <c r="F42" i="1"/>
  <c r="W40" i="39"/>
  <c r="W41" i="39" s="1"/>
  <c r="W43" i="39" s="1"/>
  <c r="R40" i="1"/>
  <c r="D37" i="38"/>
  <c r="D42" i="38" s="1"/>
  <c r="D37" i="39"/>
  <c r="D40" i="39" s="1"/>
  <c r="C25" i="6"/>
  <c r="D40" i="86"/>
  <c r="C39" i="6"/>
  <c r="D48" i="38"/>
  <c r="E71" i="1"/>
  <c r="F9" i="11"/>
  <c r="C11" i="6"/>
  <c r="C17" i="6" s="1"/>
  <c r="D42" i="86" l="1"/>
  <c r="F44" i="1"/>
  <c r="D11" i="39"/>
  <c r="D19" i="39" s="1"/>
  <c r="D29" i="39" s="1"/>
  <c r="C103" i="39" s="1"/>
  <c r="C27" i="6"/>
  <c r="C42" i="6" s="1"/>
  <c r="C50" i="6" s="1"/>
  <c r="C128" i="6" s="1"/>
  <c r="W52" i="39"/>
  <c r="D119" i="39"/>
  <c r="D124" i="39" s="1"/>
  <c r="D125" i="39" s="1"/>
  <c r="N125" i="39" s="1"/>
  <c r="C111" i="39"/>
  <c r="D48" i="39"/>
  <c r="R42" i="1"/>
  <c r="Q44" i="1"/>
  <c r="F11" i="11"/>
  <c r="F7" i="11"/>
  <c r="E73" i="1"/>
  <c r="D53" i="39"/>
  <c r="D55" i="39" s="1"/>
  <c r="D51" i="38"/>
  <c r="D54" i="38" s="1"/>
  <c r="D55" i="38" s="1"/>
  <c r="C105" i="39" l="1"/>
  <c r="C116" i="39" s="1"/>
  <c r="C126" i="39" s="1"/>
  <c r="F59" i="1"/>
  <c r="D73" i="86"/>
  <c r="D87" i="86" s="1"/>
  <c r="D88" i="86" s="1"/>
  <c r="D89" i="86" s="1"/>
  <c r="D75" i="86" s="1"/>
  <c r="D79" i="86" s="1"/>
  <c r="D81" i="86" s="1"/>
  <c r="F65" i="1"/>
  <c r="G51" i="61"/>
  <c r="E66" i="38" s="1"/>
  <c r="F63" i="1"/>
  <c r="D57" i="39"/>
  <c r="D58" i="39" s="1"/>
  <c r="R44" i="1"/>
  <c r="Q59" i="1"/>
  <c r="E111" i="86" l="1"/>
  <c r="W56" i="39"/>
  <c r="D77" i="86"/>
  <c r="E76" i="86" s="1"/>
  <c r="W57" i="39"/>
  <c r="D9" i="6"/>
  <c r="G55" i="61"/>
  <c r="G58" i="61" s="1"/>
  <c r="Q65" i="1"/>
  <c r="R65" i="1" s="1"/>
  <c r="F67" i="1"/>
  <c r="Q63" i="1"/>
  <c r="R63" i="1" s="1"/>
  <c r="G40" i="1"/>
  <c r="D23" i="6"/>
  <c r="R59" i="1"/>
  <c r="E34" i="38"/>
  <c r="E67" i="38"/>
  <c r="G42" i="1" l="1"/>
  <c r="W59" i="39"/>
  <c r="W61" i="39" s="1"/>
  <c r="W63" i="39" s="1"/>
  <c r="F69" i="1"/>
  <c r="G9" i="11" s="1"/>
  <c r="D11" i="6"/>
  <c r="D17" i="6" s="1"/>
  <c r="B60" i="6"/>
  <c r="B62" i="6" s="1"/>
  <c r="B68" i="6" s="1"/>
  <c r="D83" i="86"/>
  <c r="D121" i="86" s="1"/>
  <c r="X40" i="39"/>
  <c r="X41" i="39" s="1"/>
  <c r="Q67" i="1"/>
  <c r="R67" i="1" s="1"/>
  <c r="E33" i="86"/>
  <c r="D37" i="6"/>
  <c r="D25" i="6"/>
  <c r="B74" i="6"/>
  <c r="E37" i="39"/>
  <c r="E40" i="39" s="1"/>
  <c r="E37" i="38"/>
  <c r="E42" i="38" s="1"/>
  <c r="D27" i="6" l="1"/>
  <c r="N102" i="84"/>
  <c r="E48" i="38"/>
  <c r="E53" i="39" s="1"/>
  <c r="E55" i="39" s="1"/>
  <c r="N116" i="84"/>
  <c r="E11" i="38"/>
  <c r="E11" i="39" s="1"/>
  <c r="E19" i="39" s="1"/>
  <c r="E29" i="39" s="1"/>
  <c r="F71" i="1"/>
  <c r="E51" i="38"/>
  <c r="E54" i="38" s="1"/>
  <c r="Q69" i="1"/>
  <c r="B22" i="11" s="1"/>
  <c r="D39" i="6"/>
  <c r="D42" i="6" s="1"/>
  <c r="D50" i="6" s="1"/>
  <c r="D128" i="6" s="1"/>
  <c r="B88" i="6"/>
  <c r="B90" i="6" s="1"/>
  <c r="B76" i="6"/>
  <c r="B78" i="6" s="1"/>
  <c r="D111" i="39"/>
  <c r="N111" i="39" s="1"/>
  <c r="E48" i="39"/>
  <c r="E57" i="39" l="1"/>
  <c r="E58" i="39" s="1"/>
  <c r="E19" i="38"/>
  <c r="E28" i="38" s="1"/>
  <c r="E55" i="38" s="1"/>
  <c r="D105" i="39"/>
  <c r="N105" i="39" s="1"/>
  <c r="G7" i="11"/>
  <c r="F73" i="1"/>
  <c r="R69" i="1"/>
  <c r="Q71" i="1"/>
  <c r="R71" i="1" s="1"/>
  <c r="B93" i="6"/>
  <c r="B101" i="6" s="1"/>
  <c r="D103" i="39"/>
  <c r="B24" i="11" l="1"/>
  <c r="G11" i="11"/>
  <c r="B20" i="11"/>
  <c r="D116" i="39"/>
  <c r="D126" i="39" s="1"/>
  <c r="N103" i="39"/>
  <c r="N116" i="39" s="1"/>
  <c r="N126" i="39" s="1"/>
  <c r="N127" i="39" s="1"/>
  <c r="B26" i="11" s="1"/>
  <c r="R59" i="91" l="1"/>
  <c r="R81" i="91" l="1"/>
  <c r="R80" i="91"/>
  <c r="R79" i="91"/>
  <c r="R78" i="91"/>
  <c r="R75" i="91"/>
  <c r="R74" i="91"/>
  <c r="R73" i="91"/>
  <c r="R71" i="91"/>
  <c r="R70" i="91"/>
  <c r="R69" i="91"/>
  <c r="R68" i="91"/>
  <c r="R67" i="91"/>
  <c r="R66" i="91"/>
  <c r="R65" i="91"/>
  <c r="R63" i="91"/>
  <c r="R61" i="91"/>
  <c r="Q85" i="91"/>
  <c r="P85" i="91"/>
  <c r="M85" i="91"/>
  <c r="L85" i="91"/>
  <c r="K85" i="91"/>
  <c r="I85" i="91"/>
  <c r="H85" i="91"/>
  <c r="G85" i="91"/>
  <c r="H54" i="91" l="1"/>
  <c r="H87" i="91" s="1"/>
  <c r="R30" i="91"/>
  <c r="R50" i="91"/>
  <c r="R34" i="91"/>
  <c r="J85" i="91"/>
  <c r="R60" i="91"/>
  <c r="R76" i="91"/>
  <c r="R31" i="91"/>
  <c r="R72" i="91"/>
  <c r="R58" i="91"/>
  <c r="F85" i="91"/>
  <c r="N85" i="91"/>
  <c r="R62" i="91"/>
  <c r="G54" i="91"/>
  <c r="G87" i="91" s="1"/>
  <c r="R24" i="91"/>
  <c r="O85" i="91"/>
  <c r="H143" i="91"/>
  <c r="R113" i="91"/>
  <c r="R114" i="91"/>
  <c r="R115" i="91"/>
  <c r="R116" i="91"/>
  <c r="R117" i="91"/>
  <c r="R118" i="91"/>
  <c r="R119" i="91"/>
  <c r="R121" i="91"/>
  <c r="R122" i="91"/>
  <c r="R123" i="91"/>
  <c r="R125" i="91"/>
  <c r="R126" i="91"/>
  <c r="R127" i="91"/>
  <c r="R128" i="91"/>
  <c r="R129" i="91"/>
  <c r="R130" i="91"/>
  <c r="R131" i="91"/>
  <c r="R132" i="91"/>
  <c r="R133" i="91"/>
  <c r="R134" i="91"/>
  <c r="R135" i="91"/>
  <c r="R136" i="91"/>
  <c r="R137" i="91"/>
  <c r="R138" i="91"/>
  <c r="R139" i="91"/>
  <c r="R140" i="91"/>
  <c r="R64" i="91"/>
  <c r="R77" i="91"/>
  <c r="R83" i="91"/>
  <c r="R120" i="91"/>
  <c r="R124" i="91"/>
  <c r="F54" i="91"/>
  <c r="R21" i="91"/>
  <c r="G143" i="91"/>
  <c r="G89" i="91" l="1"/>
  <c r="G155" i="91"/>
  <c r="H89" i="91"/>
  <c r="H155" i="91"/>
  <c r="R85" i="91"/>
  <c r="S85" i="91" s="1"/>
  <c r="F87" i="91"/>
  <c r="F89" i="91" l="1"/>
  <c r="F155" i="91"/>
  <c r="F143" i="91"/>
  <c r="G145" i="91" l="1"/>
  <c r="G147" i="91" l="1"/>
  <c r="G156" i="91"/>
  <c r="F145" i="91"/>
  <c r="F156" i="91" s="1"/>
  <c r="H145" i="91"/>
  <c r="H147" i="91" l="1"/>
  <c r="H156" i="91"/>
  <c r="F147" i="91"/>
  <c r="G13" i="1" l="1"/>
  <c r="I112" i="91" l="1"/>
  <c r="I143" i="91" l="1"/>
  <c r="H13" i="1" l="1"/>
  <c r="AF13" i="1" s="1"/>
  <c r="I13" i="1" l="1"/>
  <c r="L112" i="91" l="1"/>
  <c r="L143" i="91" s="1"/>
  <c r="J112" i="91"/>
  <c r="J13" i="1"/>
  <c r="M112" i="91" l="1"/>
  <c r="M143" i="91" s="1"/>
  <c r="J143" i="91"/>
  <c r="K13" i="1"/>
  <c r="N112" i="91" l="1"/>
  <c r="N143" i="91" s="1"/>
  <c r="K112" i="91"/>
  <c r="L13" i="1"/>
  <c r="K143" i="91" l="1"/>
  <c r="M13" i="1"/>
  <c r="O112" i="91" l="1"/>
  <c r="P112" i="91"/>
  <c r="P143" i="91" s="1"/>
  <c r="N13" i="1"/>
  <c r="J98" i="91" l="1"/>
  <c r="J95" i="91"/>
  <c r="J96" i="91"/>
  <c r="J97" i="91"/>
  <c r="J105" i="91"/>
  <c r="J104" i="91"/>
  <c r="J103" i="91"/>
  <c r="J102" i="91"/>
  <c r="J94" i="91"/>
  <c r="H11" i="1"/>
  <c r="J100" i="91"/>
  <c r="J99" i="91"/>
  <c r="J101" i="91"/>
  <c r="G11" i="1"/>
  <c r="AF11" i="1" s="1"/>
  <c r="K95" i="91"/>
  <c r="K96" i="91"/>
  <c r="K97" i="91"/>
  <c r="K105" i="91"/>
  <c r="K104" i="91"/>
  <c r="K103" i="91"/>
  <c r="K102" i="91"/>
  <c r="K94" i="91"/>
  <c r="I11" i="1"/>
  <c r="K98" i="91"/>
  <c r="K99" i="91"/>
  <c r="K101" i="91"/>
  <c r="K100" i="91"/>
  <c r="O13" i="1"/>
  <c r="B13" i="1" s="1"/>
  <c r="C15" i="63" s="1"/>
  <c r="D15" i="63" s="1"/>
  <c r="N98" i="91"/>
  <c r="N95" i="91"/>
  <c r="N96" i="91"/>
  <c r="N97" i="91"/>
  <c r="N105" i="91"/>
  <c r="N104" i="91"/>
  <c r="N103" i="91"/>
  <c r="N102" i="91"/>
  <c r="N94" i="91"/>
  <c r="L11" i="1"/>
  <c r="N99" i="91"/>
  <c r="N100" i="91"/>
  <c r="N101" i="91"/>
  <c r="O143" i="91"/>
  <c r="K11" i="1"/>
  <c r="M98" i="91"/>
  <c r="M95" i="91"/>
  <c r="M96" i="91"/>
  <c r="M97" i="91"/>
  <c r="M105" i="91"/>
  <c r="M104" i="91"/>
  <c r="M103" i="91"/>
  <c r="M102" i="91"/>
  <c r="M94" i="91"/>
  <c r="M99" i="91"/>
  <c r="M101" i="91"/>
  <c r="M100" i="91"/>
  <c r="J11" i="1"/>
  <c r="L98" i="91"/>
  <c r="L95" i="91"/>
  <c r="L96" i="91"/>
  <c r="L97" i="91"/>
  <c r="L105" i="91"/>
  <c r="L104" i="91"/>
  <c r="L103" i="91"/>
  <c r="L102" i="91"/>
  <c r="L94" i="91"/>
  <c r="L101" i="91"/>
  <c r="L100" i="91"/>
  <c r="L99" i="91"/>
  <c r="O95" i="91"/>
  <c r="O96" i="91"/>
  <c r="O97" i="91"/>
  <c r="O105" i="91"/>
  <c r="O104" i="91"/>
  <c r="O103" i="91"/>
  <c r="O102" i="91"/>
  <c r="O94" i="91"/>
  <c r="M11" i="1"/>
  <c r="O98" i="91"/>
  <c r="O99" i="91"/>
  <c r="O100" i="91"/>
  <c r="O101" i="91"/>
  <c r="N18" i="1"/>
  <c r="N22" i="1" s="1"/>
  <c r="O18" i="1"/>
  <c r="O22" i="1" s="1"/>
  <c r="L18" i="1"/>
  <c r="L22" i="1" s="1"/>
  <c r="K18" i="1"/>
  <c r="K22" i="1" s="1"/>
  <c r="J18" i="1"/>
  <c r="J22" i="1" s="1"/>
  <c r="H18" i="1"/>
  <c r="H22" i="1" s="1"/>
  <c r="G18" i="1"/>
  <c r="N28" i="1"/>
  <c r="M28" i="1"/>
  <c r="J28" i="1"/>
  <c r="I28" i="1"/>
  <c r="G28" i="1"/>
  <c r="G22" i="1" l="1"/>
  <c r="AF18" i="1"/>
  <c r="L154" i="91"/>
  <c r="N154" i="91"/>
  <c r="H37" i="66"/>
  <c r="H39" i="66" s="1"/>
  <c r="J154" i="91"/>
  <c r="I37" i="66"/>
  <c r="I39" i="66" s="1"/>
  <c r="G37" i="66"/>
  <c r="G38" i="66" s="1"/>
  <c r="J37" i="66"/>
  <c r="J39" i="66" s="1"/>
  <c r="F37" i="66"/>
  <c r="F39" i="66" s="1"/>
  <c r="K37" i="66"/>
  <c r="K38" i="66" s="1"/>
  <c r="O153" i="91"/>
  <c r="O151" i="91"/>
  <c r="O152" i="91" s="1"/>
  <c r="O154" i="91"/>
  <c r="M154" i="91"/>
  <c r="M153" i="91"/>
  <c r="M151" i="91"/>
  <c r="M152" i="91" s="1"/>
  <c r="K153" i="91"/>
  <c r="K151" i="91"/>
  <c r="K152" i="91" s="1"/>
  <c r="L153" i="91"/>
  <c r="L151" i="91"/>
  <c r="L152" i="91" s="1"/>
  <c r="N153" i="91"/>
  <c r="N151" i="91"/>
  <c r="N152" i="91" s="1"/>
  <c r="K154" i="91"/>
  <c r="J151" i="91"/>
  <c r="J152" i="91" s="1"/>
  <c r="J153" i="91"/>
  <c r="L32" i="66"/>
  <c r="L33" i="66" s="1"/>
  <c r="M97" i="86"/>
  <c r="M98" i="86" s="1"/>
  <c r="N20" i="1"/>
  <c r="AD28" i="39"/>
  <c r="K26" i="86"/>
  <c r="E32" i="66"/>
  <c r="F97" i="86"/>
  <c r="G20" i="1"/>
  <c r="X28" i="39"/>
  <c r="E26" i="86"/>
  <c r="H32" i="66"/>
  <c r="H33" i="66" s="1"/>
  <c r="I97" i="86"/>
  <c r="I98" i="86" s="1"/>
  <c r="W18" i="1"/>
  <c r="J20" i="1"/>
  <c r="M32" i="66"/>
  <c r="M33" i="66" s="1"/>
  <c r="N97" i="86"/>
  <c r="O20" i="1"/>
  <c r="I98" i="91"/>
  <c r="I32" i="66"/>
  <c r="I33" i="66" s="1"/>
  <c r="J97" i="86"/>
  <c r="K20" i="1"/>
  <c r="I99" i="91"/>
  <c r="I97" i="91"/>
  <c r="E37" i="66"/>
  <c r="G26" i="86"/>
  <c r="Z28" i="39"/>
  <c r="J32" i="66"/>
  <c r="J33" i="66" s="1"/>
  <c r="K97" i="86"/>
  <c r="K98" i="86" s="1"/>
  <c r="L20" i="1"/>
  <c r="O11" i="1"/>
  <c r="Q98" i="91"/>
  <c r="Q95" i="91"/>
  <c r="Q96" i="91"/>
  <c r="Q97" i="91"/>
  <c r="Q105" i="91"/>
  <c r="Q104" i="91"/>
  <c r="Q103" i="91"/>
  <c r="Q102" i="91"/>
  <c r="Q94" i="91"/>
  <c r="Q99" i="91"/>
  <c r="Q100" i="91"/>
  <c r="Q101" i="91"/>
  <c r="I101" i="91"/>
  <c r="H26" i="86"/>
  <c r="AA28" i="39"/>
  <c r="AE28" i="39"/>
  <c r="L26" i="86"/>
  <c r="F32" i="66"/>
  <c r="F33" i="66" s="1"/>
  <c r="G97" i="86"/>
  <c r="G98" i="86" s="1"/>
  <c r="H20" i="1"/>
  <c r="P94" i="91"/>
  <c r="P98" i="91"/>
  <c r="P95" i="91"/>
  <c r="P96" i="91"/>
  <c r="P97" i="91"/>
  <c r="P105" i="91"/>
  <c r="P104" i="91"/>
  <c r="P103" i="91"/>
  <c r="P102" i="91"/>
  <c r="P99" i="91"/>
  <c r="P100" i="91"/>
  <c r="P101" i="91"/>
  <c r="I100" i="91"/>
  <c r="I95" i="91"/>
  <c r="K28" i="1"/>
  <c r="H28" i="1"/>
  <c r="AF28" i="1" s="1"/>
  <c r="L28" i="1"/>
  <c r="I18" i="1"/>
  <c r="I22" i="1" s="1"/>
  <c r="M18" i="1"/>
  <c r="M22" i="1" s="1"/>
  <c r="AF20" i="1" l="1"/>
  <c r="H38" i="66"/>
  <c r="G39" i="66"/>
  <c r="K39" i="66"/>
  <c r="F38" i="66"/>
  <c r="I38" i="66"/>
  <c r="J38" i="66"/>
  <c r="M37" i="66"/>
  <c r="M38" i="66" s="1"/>
  <c r="Q153" i="91"/>
  <c r="Q151" i="91"/>
  <c r="Q152" i="91" s="1"/>
  <c r="P151" i="91"/>
  <c r="Q154" i="91"/>
  <c r="I154" i="91"/>
  <c r="S154" i="91" s="1"/>
  <c r="R99" i="91"/>
  <c r="R101" i="91"/>
  <c r="R95" i="91"/>
  <c r="R100" i="91"/>
  <c r="J106" i="91"/>
  <c r="J108" i="91" s="1"/>
  <c r="J145" i="91" s="1"/>
  <c r="J156" i="91" s="1"/>
  <c r="M106" i="91"/>
  <c r="M108" i="91" s="1"/>
  <c r="M145" i="91" s="1"/>
  <c r="M156" i="91" s="1"/>
  <c r="G32" i="66"/>
  <c r="G33" i="66" s="1"/>
  <c r="H97" i="86"/>
  <c r="I20" i="1"/>
  <c r="S20" i="1" s="1"/>
  <c r="Q106" i="91"/>
  <c r="Q108" i="91" s="1"/>
  <c r="G29" i="1"/>
  <c r="I106" i="91"/>
  <c r="I104" i="91"/>
  <c r="R104" i="91" s="1"/>
  <c r="R97" i="91"/>
  <c r="J99" i="86"/>
  <c r="I109" i="86"/>
  <c r="E33" i="66"/>
  <c r="I26" i="86"/>
  <c r="AB28" i="39"/>
  <c r="F26" i="86"/>
  <c r="Y28" i="39"/>
  <c r="N29" i="1"/>
  <c r="P106" i="91"/>
  <c r="P108" i="91" s="1"/>
  <c r="P145" i="91" s="1"/>
  <c r="H19" i="10"/>
  <c r="I103" i="91"/>
  <c r="R103" i="91" s="1"/>
  <c r="L19" i="10"/>
  <c r="I102" i="91"/>
  <c r="R102" i="91" s="1"/>
  <c r="K19" i="10"/>
  <c r="W20" i="1"/>
  <c r="J19" i="10"/>
  <c r="S18" i="1"/>
  <c r="N99" i="86"/>
  <c r="M109" i="86"/>
  <c r="J26" i="86"/>
  <c r="AC28" i="39"/>
  <c r="O106" i="91"/>
  <c r="O108" i="91" s="1"/>
  <c r="O145" i="91" s="1"/>
  <c r="O156" i="91" s="1"/>
  <c r="W28" i="1"/>
  <c r="I96" i="91"/>
  <c r="R96" i="91" s="1"/>
  <c r="N98" i="86"/>
  <c r="N109" i="86" s="1"/>
  <c r="G19" i="10"/>
  <c r="N106" i="91"/>
  <c r="N108" i="91" s="1"/>
  <c r="N145" i="91" s="1"/>
  <c r="N156" i="91" s="1"/>
  <c r="K106" i="91"/>
  <c r="K108" i="91" s="1"/>
  <c r="K145" i="91" s="1"/>
  <c r="K156" i="91" s="1"/>
  <c r="N11" i="1"/>
  <c r="P154" i="91" s="1"/>
  <c r="E38" i="66"/>
  <c r="E39" i="66"/>
  <c r="I105" i="91"/>
  <c r="R105" i="91" s="1"/>
  <c r="B18" i="1"/>
  <c r="N19" i="10"/>
  <c r="K32" i="66"/>
  <c r="K33" i="66" s="1"/>
  <c r="L97" i="86"/>
  <c r="L98" i="86" s="1"/>
  <c r="AA18" i="1"/>
  <c r="M20" i="1"/>
  <c r="H99" i="86"/>
  <c r="G109" i="86"/>
  <c r="L99" i="86"/>
  <c r="K109" i="86"/>
  <c r="J98" i="86"/>
  <c r="R98" i="91"/>
  <c r="I94" i="91"/>
  <c r="O19" i="10"/>
  <c r="S28" i="1"/>
  <c r="F98" i="86"/>
  <c r="F100" i="86" s="1"/>
  <c r="M29" i="1"/>
  <c r="L29" i="1"/>
  <c r="AC29" i="39" s="1"/>
  <c r="H29" i="1"/>
  <c r="Y29" i="39" s="1"/>
  <c r="O29" i="1"/>
  <c r="AF29" i="39" s="1"/>
  <c r="K29" i="1"/>
  <c r="AB29" i="39" s="1"/>
  <c r="I29" i="1"/>
  <c r="AF29" i="1" l="1"/>
  <c r="M39" i="66"/>
  <c r="P152" i="91"/>
  <c r="P156" i="91"/>
  <c r="P153" i="91"/>
  <c r="I153" i="91"/>
  <c r="S153" i="91" s="1"/>
  <c r="I151" i="91"/>
  <c r="I152" i="91" s="1"/>
  <c r="S152" i="91" s="1"/>
  <c r="H27" i="1"/>
  <c r="O28" i="1"/>
  <c r="M26" i="86" s="1"/>
  <c r="N26" i="86" s="1"/>
  <c r="L27" i="1"/>
  <c r="AC27" i="39"/>
  <c r="J100" i="86"/>
  <c r="I15" i="86" s="1"/>
  <c r="I21" i="86" s="1"/>
  <c r="E15" i="86"/>
  <c r="F12" i="38" s="1"/>
  <c r="X29" i="39"/>
  <c r="S29" i="1"/>
  <c r="G27" i="1"/>
  <c r="AF27" i="1" s="1"/>
  <c r="AE29" i="39"/>
  <c r="AE27" i="39" s="1"/>
  <c r="N27" i="1"/>
  <c r="X17" i="1"/>
  <c r="X16" i="1"/>
  <c r="X55" i="1"/>
  <c r="X49" i="1"/>
  <c r="X38" i="1"/>
  <c r="X51" i="1"/>
  <c r="X64" i="1"/>
  <c r="X37" i="1"/>
  <c r="X48" i="1"/>
  <c r="X57" i="1"/>
  <c r="X39" i="1"/>
  <c r="X25" i="1"/>
  <c r="E60" i="10"/>
  <c r="H98" i="86"/>
  <c r="H100" i="86" s="1"/>
  <c r="G15" i="86" s="1"/>
  <c r="Z29" i="39"/>
  <c r="Z27" i="39" s="1"/>
  <c r="I27" i="1"/>
  <c r="AB27" i="39"/>
  <c r="Q112" i="91"/>
  <c r="AA20" i="1"/>
  <c r="M19" i="10"/>
  <c r="L37" i="66"/>
  <c r="B11" i="1"/>
  <c r="B20" i="1"/>
  <c r="C18" i="1" s="1"/>
  <c r="N100" i="86"/>
  <c r="M15" i="86" s="1"/>
  <c r="X28" i="1"/>
  <c r="Y27" i="39"/>
  <c r="K27" i="1"/>
  <c r="N32" i="66"/>
  <c r="N33" i="66" s="1"/>
  <c r="I19" i="10"/>
  <c r="J60" i="10" s="1"/>
  <c r="L106" i="91"/>
  <c r="L108" i="91" s="1"/>
  <c r="L145" i="91" s="1"/>
  <c r="L156" i="91" s="1"/>
  <c r="G99" i="86"/>
  <c r="G100" i="86" s="1"/>
  <c r="F15" i="86" s="1"/>
  <c r="F109" i="86"/>
  <c r="T28" i="1"/>
  <c r="U28" i="1"/>
  <c r="K99" i="86"/>
  <c r="K100" i="86" s="1"/>
  <c r="J15" i="86" s="1"/>
  <c r="J109" i="86"/>
  <c r="T57" i="1"/>
  <c r="T55" i="1"/>
  <c r="T39" i="1"/>
  <c r="T49" i="1"/>
  <c r="T37" i="1"/>
  <c r="T48" i="1"/>
  <c r="T16" i="1"/>
  <c r="U20" i="1"/>
  <c r="T17" i="1"/>
  <c r="T51" i="1"/>
  <c r="T64" i="1"/>
  <c r="T38" i="1"/>
  <c r="T25" i="1"/>
  <c r="D60" i="10"/>
  <c r="AD29" i="39"/>
  <c r="AD27" i="39" s="1"/>
  <c r="AA29" i="1"/>
  <c r="M27" i="1"/>
  <c r="P97" i="86"/>
  <c r="Q104" i="86" s="1"/>
  <c r="Q106" i="86" s="1"/>
  <c r="X18" i="1"/>
  <c r="I108" i="91"/>
  <c r="I145" i="91" s="1"/>
  <c r="I156" i="91" s="1"/>
  <c r="S156" i="91" s="1"/>
  <c r="R94" i="91"/>
  <c r="L100" i="86"/>
  <c r="K15" i="86" s="1"/>
  <c r="M99" i="86"/>
  <c r="M100" i="86" s="1"/>
  <c r="L15" i="86" s="1"/>
  <c r="L109" i="86"/>
  <c r="U18" i="1"/>
  <c r="AC18" i="1"/>
  <c r="T18" i="1"/>
  <c r="B28" i="1" l="1"/>
  <c r="C28" i="1" s="1"/>
  <c r="K60" i="10"/>
  <c r="AA28" i="1"/>
  <c r="AC28" i="1" s="1"/>
  <c r="O27" i="1"/>
  <c r="AA27" i="1" s="1"/>
  <c r="AB27" i="1" s="1"/>
  <c r="G12" i="38"/>
  <c r="H12" i="38" s="1"/>
  <c r="AF28" i="39"/>
  <c r="AF27" i="39" s="1"/>
  <c r="T20" i="1"/>
  <c r="I60" i="10"/>
  <c r="S27" i="1"/>
  <c r="U27" i="1" s="1"/>
  <c r="L21" i="86"/>
  <c r="Q143" i="91"/>
  <c r="R112" i="91"/>
  <c r="R143" i="91" s="1"/>
  <c r="X20" i="1"/>
  <c r="Y18" i="1"/>
  <c r="V18" i="1"/>
  <c r="K21" i="86"/>
  <c r="C17" i="1"/>
  <c r="C55" i="1"/>
  <c r="C57" i="1"/>
  <c r="C38" i="1"/>
  <c r="C51" i="1"/>
  <c r="D19" i="64"/>
  <c r="C16" i="1"/>
  <c r="C64" i="1"/>
  <c r="C39" i="1"/>
  <c r="C49" i="1"/>
  <c r="C37" i="1"/>
  <c r="C20" i="1"/>
  <c r="C48" i="1"/>
  <c r="C25" i="1"/>
  <c r="C19" i="10"/>
  <c r="D25" i="18" s="1"/>
  <c r="E25" i="18" s="1"/>
  <c r="J29" i="1"/>
  <c r="V28" i="1"/>
  <c r="Y28" i="1"/>
  <c r="F21" i="86"/>
  <c r="AB49" i="1"/>
  <c r="AB37" i="1"/>
  <c r="AB57" i="1"/>
  <c r="AB17" i="1"/>
  <c r="AB64" i="1"/>
  <c r="AB16" i="1"/>
  <c r="AB55" i="1"/>
  <c r="AB38" i="1"/>
  <c r="AB48" i="1"/>
  <c r="AB51" i="1"/>
  <c r="AB39" i="1"/>
  <c r="AB25" i="1"/>
  <c r="F60" i="10"/>
  <c r="I99" i="86"/>
  <c r="I100" i="86" s="1"/>
  <c r="H109" i="86"/>
  <c r="AB29" i="1"/>
  <c r="V17" i="1"/>
  <c r="V16" i="1"/>
  <c r="V38" i="1"/>
  <c r="V49" i="1"/>
  <c r="V51" i="1"/>
  <c r="V64" i="1"/>
  <c r="V55" i="1"/>
  <c r="V39" i="1"/>
  <c r="V57" i="1"/>
  <c r="Y20" i="1"/>
  <c r="V37" i="1"/>
  <c r="V48" i="1"/>
  <c r="V25" i="1"/>
  <c r="AB18" i="1"/>
  <c r="R106" i="91"/>
  <c r="R108" i="91" s="1"/>
  <c r="L38" i="66"/>
  <c r="L39" i="66"/>
  <c r="N37" i="66"/>
  <c r="X27" i="39"/>
  <c r="M21" i="86"/>
  <c r="J21" i="86"/>
  <c r="G21" i="86"/>
  <c r="T29" i="1"/>
  <c r="U29" i="1"/>
  <c r="E21" i="86"/>
  <c r="S21" i="86" s="1"/>
  <c r="AB28" i="1" l="1"/>
  <c r="S143" i="91"/>
  <c r="T27" i="1"/>
  <c r="V20" i="1"/>
  <c r="AG28" i="39"/>
  <c r="AH28" i="39" s="1"/>
  <c r="AB20" i="1"/>
  <c r="R145" i="91"/>
  <c r="N38" i="66"/>
  <c r="N39" i="66"/>
  <c r="F12" i="39"/>
  <c r="V27" i="1"/>
  <c r="Z28" i="1"/>
  <c r="AA29" i="39"/>
  <c r="W29" i="1"/>
  <c r="Y29" i="1" s="1"/>
  <c r="Z29" i="1" s="1"/>
  <c r="J27" i="1"/>
  <c r="W27" i="1" s="1"/>
  <c r="B29" i="1"/>
  <c r="V29" i="1"/>
  <c r="H15" i="86"/>
  <c r="O100" i="86"/>
  <c r="O108" i="86" s="1"/>
  <c r="E24" i="64"/>
  <c r="E30" i="64"/>
  <c r="E25" i="64"/>
  <c r="M19" i="64"/>
  <c r="F19" i="64"/>
  <c r="Q145" i="91"/>
  <c r="Q156" i="91" s="1"/>
  <c r="Z57" i="1"/>
  <c r="Z49" i="1"/>
  <c r="Z37" i="1"/>
  <c r="Z39" i="1"/>
  <c r="AC20" i="1"/>
  <c r="Z16" i="1"/>
  <c r="Z64" i="1"/>
  <c r="Z17" i="1"/>
  <c r="Z48" i="1"/>
  <c r="Z55" i="1"/>
  <c r="Z38" i="1"/>
  <c r="Z51" i="1"/>
  <c r="Z25" i="1"/>
  <c r="Z18" i="1"/>
  <c r="O48" i="91"/>
  <c r="O47" i="91"/>
  <c r="O46" i="91"/>
  <c r="O45" i="91"/>
  <c r="O42" i="91"/>
  <c r="O39" i="91"/>
  <c r="O37" i="91"/>
  <c r="O49" i="91"/>
  <c r="O33" i="91"/>
  <c r="O43" i="91"/>
  <c r="I48" i="91"/>
  <c r="I47" i="91"/>
  <c r="I45" i="91"/>
  <c r="I33" i="91"/>
  <c r="I39" i="91"/>
  <c r="I43" i="91"/>
  <c r="I37" i="91"/>
  <c r="I42" i="91"/>
  <c r="I49" i="91"/>
  <c r="M48" i="91"/>
  <c r="M47" i="91"/>
  <c r="M45" i="91"/>
  <c r="M46" i="91"/>
  <c r="M37" i="91"/>
  <c r="M42" i="91"/>
  <c r="M49" i="91"/>
  <c r="M33" i="91"/>
  <c r="M39" i="91"/>
  <c r="M43" i="91"/>
  <c r="Q48" i="91"/>
  <c r="Q47" i="91"/>
  <c r="Q46" i="91"/>
  <c r="Q45" i="91"/>
  <c r="Q33" i="91"/>
  <c r="Q39" i="91"/>
  <c r="Q43" i="91"/>
  <c r="Q37" i="91"/>
  <c r="Q42" i="91"/>
  <c r="Q49" i="91"/>
  <c r="J45" i="91"/>
  <c r="J48" i="91"/>
  <c r="J47" i="91"/>
  <c r="J33" i="91"/>
  <c r="J37" i="91"/>
  <c r="J39" i="91"/>
  <c r="J42" i="91"/>
  <c r="J43" i="91"/>
  <c r="J49" i="91"/>
  <c r="N45" i="91"/>
  <c r="N48" i="91"/>
  <c r="N47" i="91"/>
  <c r="N33" i="91"/>
  <c r="N37" i="91"/>
  <c r="N39" i="91"/>
  <c r="N42" i="91"/>
  <c r="N43" i="91"/>
  <c r="N49" i="91"/>
  <c r="K48" i="91"/>
  <c r="K47" i="91"/>
  <c r="K45" i="91"/>
  <c r="K39" i="91"/>
  <c r="K37" i="91"/>
  <c r="K49" i="91"/>
  <c r="K33" i="91"/>
  <c r="K43" i="91"/>
  <c r="K42" i="91"/>
  <c r="L48" i="91"/>
  <c r="L47" i="91"/>
  <c r="L45" i="91"/>
  <c r="L42" i="91"/>
  <c r="L49" i="91"/>
  <c r="L37" i="91"/>
  <c r="L39" i="91"/>
  <c r="L43" i="91"/>
  <c r="L33" i="91"/>
  <c r="P48" i="91"/>
  <c r="P47" i="91"/>
  <c r="P46" i="91"/>
  <c r="P45" i="91"/>
  <c r="P39" i="91"/>
  <c r="P43" i="91"/>
  <c r="P37" i="91"/>
  <c r="P33" i="91"/>
  <c r="P42" i="91"/>
  <c r="P49" i="91"/>
  <c r="R49" i="91" l="1"/>
  <c r="R39" i="91"/>
  <c r="R47" i="91"/>
  <c r="AD51" i="1"/>
  <c r="AD17" i="1"/>
  <c r="AD57" i="1"/>
  <c r="AD64" i="1"/>
  <c r="AD39" i="1"/>
  <c r="AD38" i="1"/>
  <c r="AD37" i="1"/>
  <c r="AD48" i="1"/>
  <c r="AD49" i="1"/>
  <c r="AD55" i="1"/>
  <c r="AD16" i="1"/>
  <c r="AD25" i="1"/>
  <c r="AD28" i="1"/>
  <c r="AD18" i="1"/>
  <c r="H21" i="86"/>
  <c r="N15" i="86"/>
  <c r="N21" i="86" s="1"/>
  <c r="AA27" i="39"/>
  <c r="AG29" i="39"/>
  <c r="R42" i="91"/>
  <c r="R33" i="91"/>
  <c r="R48" i="91"/>
  <c r="N19" i="64"/>
  <c r="C29" i="1"/>
  <c r="B27" i="1"/>
  <c r="C27" i="1" s="1"/>
  <c r="R37" i="91"/>
  <c r="X27" i="1"/>
  <c r="AC27" i="1"/>
  <c r="AD27" i="1" s="1"/>
  <c r="Y27" i="1"/>
  <c r="Z27" i="1" s="1"/>
  <c r="G12" i="39"/>
  <c r="R46" i="91"/>
  <c r="R43" i="91"/>
  <c r="R45" i="91"/>
  <c r="Z20" i="1"/>
  <c r="X29" i="1"/>
  <c r="AC29" i="1"/>
  <c r="AD29" i="1" s="1"/>
  <c r="S108" i="91"/>
  <c r="P22" i="91"/>
  <c r="L41" i="91"/>
  <c r="K25" i="91"/>
  <c r="K40" i="91"/>
  <c r="K38" i="91"/>
  <c r="N40" i="91"/>
  <c r="N41" i="91"/>
  <c r="J28" i="91"/>
  <c r="J40" i="91"/>
  <c r="Q32" i="91"/>
  <c r="Q40" i="91"/>
  <c r="M27" i="91"/>
  <c r="M44" i="91"/>
  <c r="I44" i="91"/>
  <c r="P41" i="91"/>
  <c r="P29" i="91"/>
  <c r="L40" i="91"/>
  <c r="N22" i="91"/>
  <c r="N38" i="91"/>
  <c r="Q25" i="91"/>
  <c r="Q41" i="91"/>
  <c r="M28" i="91"/>
  <c r="I22" i="91"/>
  <c r="I38" i="91"/>
  <c r="O22" i="91"/>
  <c r="L38" i="91"/>
  <c r="K22" i="91"/>
  <c r="K27" i="91"/>
  <c r="K36" i="91"/>
  <c r="K41" i="91"/>
  <c r="N28" i="91"/>
  <c r="N25" i="91"/>
  <c r="N29" i="91"/>
  <c r="J26" i="91"/>
  <c r="J25" i="91"/>
  <c r="J36" i="91"/>
  <c r="Q26" i="91"/>
  <c r="Q36" i="91"/>
  <c r="Q44" i="91"/>
  <c r="M25" i="91"/>
  <c r="M32" i="91"/>
  <c r="M40" i="91"/>
  <c r="I23" i="91"/>
  <c r="I28" i="91"/>
  <c r="I32" i="91"/>
  <c r="I40" i="91"/>
  <c r="O36" i="91"/>
  <c r="O23" i="91"/>
  <c r="O35" i="91"/>
  <c r="O44" i="91"/>
  <c r="P40" i="91"/>
  <c r="P27" i="91"/>
  <c r="P44" i="91"/>
  <c r="L22" i="91"/>
  <c r="L27" i="91"/>
  <c r="L44" i="91"/>
  <c r="K29" i="91"/>
  <c r="N26" i="91"/>
  <c r="N44" i="91"/>
  <c r="J22" i="91"/>
  <c r="Q23" i="91"/>
  <c r="Q28" i="91"/>
  <c r="M22" i="91"/>
  <c r="M36" i="91"/>
  <c r="I26" i="91"/>
  <c r="I36" i="91"/>
  <c r="O41" i="91"/>
  <c r="O27" i="91"/>
  <c r="O40" i="91"/>
  <c r="P23" i="91"/>
  <c r="P28" i="91"/>
  <c r="L23" i="91"/>
  <c r="L28" i="91"/>
  <c r="K32" i="91"/>
  <c r="K26" i="91"/>
  <c r="K35" i="91"/>
  <c r="N27" i="91"/>
  <c r="N23" i="91"/>
  <c r="J23" i="91"/>
  <c r="J35" i="91"/>
  <c r="J44" i="91"/>
  <c r="J29" i="91"/>
  <c r="Q29" i="91"/>
  <c r="Q35" i="91"/>
  <c r="M23" i="91"/>
  <c r="M38" i="91"/>
  <c r="I27" i="91"/>
  <c r="O38" i="91"/>
  <c r="O28" i="91"/>
  <c r="P32" i="91"/>
  <c r="P25" i="91"/>
  <c r="L25" i="91"/>
  <c r="L29" i="91"/>
  <c r="P35" i="91"/>
  <c r="P26" i="91"/>
  <c r="P36" i="91"/>
  <c r="P38" i="91"/>
  <c r="L32" i="91"/>
  <c r="L26" i="91"/>
  <c r="L35" i="91"/>
  <c r="L36" i="91"/>
  <c r="K23" i="91"/>
  <c r="K28" i="91"/>
  <c r="K44" i="91"/>
  <c r="N36" i="91"/>
  <c r="N32" i="91"/>
  <c r="N35" i="91"/>
  <c r="J27" i="91"/>
  <c r="J41" i="91"/>
  <c r="J38" i="91"/>
  <c r="J32" i="91"/>
  <c r="Q22" i="91"/>
  <c r="Q27" i="91"/>
  <c r="Q38" i="91"/>
  <c r="M26" i="91"/>
  <c r="M29" i="91"/>
  <c r="M35" i="91"/>
  <c r="M41" i="91"/>
  <c r="I25" i="91"/>
  <c r="I29" i="91"/>
  <c r="I35" i="91"/>
  <c r="I41" i="91"/>
  <c r="O29" i="91"/>
  <c r="O25" i="91"/>
  <c r="O26" i="91"/>
  <c r="O32" i="91"/>
  <c r="R40" i="91" l="1"/>
  <c r="R36" i="91"/>
  <c r="R28" i="91"/>
  <c r="K54" i="91"/>
  <c r="K87" i="91" s="1"/>
  <c r="J54" i="91"/>
  <c r="J87" i="91" s="1"/>
  <c r="N54" i="91"/>
  <c r="N87" i="91" s="1"/>
  <c r="N155" i="91" s="1"/>
  <c r="R44" i="91"/>
  <c r="R25" i="91"/>
  <c r="R32" i="91"/>
  <c r="P54" i="91"/>
  <c r="P87" i="91" s="1"/>
  <c r="P155" i="91" s="1"/>
  <c r="L54" i="91"/>
  <c r="L87" i="91" s="1"/>
  <c r="L155" i="91" s="1"/>
  <c r="R23" i="91"/>
  <c r="O54" i="91"/>
  <c r="O87" i="91" s="1"/>
  <c r="O155" i="91" s="1"/>
  <c r="R29" i="91"/>
  <c r="Q54" i="91"/>
  <c r="Q87" i="91" s="1"/>
  <c r="Q155" i="91" s="1"/>
  <c r="M54" i="91"/>
  <c r="M87" i="91" s="1"/>
  <c r="M155" i="91" s="1"/>
  <c r="I54" i="91"/>
  <c r="I87" i="91" s="1"/>
  <c r="I155" i="91" s="1"/>
  <c r="R22" i="91"/>
  <c r="R41" i="91"/>
  <c r="R27" i="91"/>
  <c r="R26" i="91"/>
  <c r="AH29" i="39"/>
  <c r="AG27" i="39"/>
  <c r="AH27" i="39" s="1"/>
  <c r="R35" i="91"/>
  <c r="AD20" i="1"/>
  <c r="R38" i="91"/>
  <c r="H12" i="39"/>
  <c r="I12" i="38"/>
  <c r="K147" i="91" l="1"/>
  <c r="K155" i="91"/>
  <c r="J89" i="91"/>
  <c r="J155" i="91"/>
  <c r="S155" i="91" s="1"/>
  <c r="K89" i="91"/>
  <c r="J147" i="91"/>
  <c r="I89" i="91"/>
  <c r="I147" i="91"/>
  <c r="O89" i="91"/>
  <c r="O147" i="91"/>
  <c r="L89" i="91"/>
  <c r="L147" i="91"/>
  <c r="J12" i="38"/>
  <c r="K12" i="38" s="1"/>
  <c r="I12" i="39"/>
  <c r="M89" i="91"/>
  <c r="M147" i="91"/>
  <c r="P89" i="91"/>
  <c r="P147" i="91"/>
  <c r="N89" i="91"/>
  <c r="N147" i="91"/>
  <c r="Q89" i="91"/>
  <c r="Q147" i="91"/>
  <c r="R54" i="91"/>
  <c r="R87" i="91" s="1"/>
  <c r="R89" i="91" l="1"/>
  <c r="R147" i="91"/>
  <c r="J12" i="39"/>
  <c r="L12" i="38" l="1"/>
  <c r="M12" i="38" s="1"/>
  <c r="K12" i="39"/>
  <c r="L12" i="39" l="1"/>
  <c r="N12" i="38" l="1"/>
  <c r="M12" i="39"/>
  <c r="O12" i="38" l="1"/>
  <c r="C11" i="4"/>
  <c r="D11" i="4" s="1"/>
  <c r="N12" i="39"/>
  <c r="L26" i="1" l="1"/>
  <c r="G26" i="1"/>
  <c r="N26" i="1"/>
  <c r="I26" i="1"/>
  <c r="K26" i="1"/>
  <c r="J26" i="1"/>
  <c r="M26" i="1"/>
  <c r="AF26" i="1" l="1"/>
  <c r="J24" i="1"/>
  <c r="H25" i="86"/>
  <c r="W26" i="1"/>
  <c r="X26" i="1" s="1"/>
  <c r="AA26" i="39"/>
  <c r="AA24" i="39" s="1"/>
  <c r="AA31" i="39" s="1"/>
  <c r="AA33" i="39" s="1"/>
  <c r="K24" i="1"/>
  <c r="K31" i="1" s="1"/>
  <c r="I25" i="86"/>
  <c r="AB26" i="39"/>
  <c r="AB24" i="39" s="1"/>
  <c r="AB31" i="39" s="1"/>
  <c r="AB33" i="39" s="1"/>
  <c r="N24" i="1"/>
  <c r="N31" i="1" s="1"/>
  <c r="L25" i="86"/>
  <c r="AE26" i="39"/>
  <c r="AE24" i="39" s="1"/>
  <c r="AE31" i="39" s="1"/>
  <c r="AE33" i="39" s="1"/>
  <c r="O26" i="1"/>
  <c r="AA26" i="1" s="1"/>
  <c r="AB26" i="1" s="1"/>
  <c r="AD26" i="39"/>
  <c r="AD24" i="39" s="1"/>
  <c r="AD31" i="39" s="1"/>
  <c r="AD33" i="39" s="1"/>
  <c r="K25" i="86"/>
  <c r="M24" i="1"/>
  <c r="H26" i="1"/>
  <c r="S26" i="1" s="1"/>
  <c r="G25" i="86"/>
  <c r="Z26" i="39"/>
  <c r="Z24" i="39" s="1"/>
  <c r="Z31" i="39" s="1"/>
  <c r="Z33" i="39" s="1"/>
  <c r="I24" i="1"/>
  <c r="I31" i="1" s="1"/>
  <c r="G24" i="1"/>
  <c r="E25" i="86"/>
  <c r="X26" i="39"/>
  <c r="AC26" i="39"/>
  <c r="AC24" i="39" s="1"/>
  <c r="AC31" i="39" s="1"/>
  <c r="AC33" i="39" s="1"/>
  <c r="L24" i="1"/>
  <c r="L31" i="1" s="1"/>
  <c r="J25" i="86"/>
  <c r="X24" i="39" l="1"/>
  <c r="X31" i="39" s="1"/>
  <c r="X33" i="39" s="1"/>
  <c r="X43" i="39" s="1"/>
  <c r="G31" i="1"/>
  <c r="Y26" i="39"/>
  <c r="Y24" i="39" s="1"/>
  <c r="Y31" i="39" s="1"/>
  <c r="Y33" i="39" s="1"/>
  <c r="H24" i="1"/>
  <c r="H31" i="1" s="1"/>
  <c r="F25" i="86"/>
  <c r="L17" i="10"/>
  <c r="L33" i="1"/>
  <c r="U26" i="1"/>
  <c r="AC26" i="1"/>
  <c r="AD26" i="1" s="1"/>
  <c r="T26" i="1"/>
  <c r="M25" i="86"/>
  <c r="AF26" i="39"/>
  <c r="AF24" i="39" s="1"/>
  <c r="AF31" i="39" s="1"/>
  <c r="AF33" i="39" s="1"/>
  <c r="O24" i="1"/>
  <c r="N17" i="10"/>
  <c r="N33" i="1"/>
  <c r="E40" i="86"/>
  <c r="M31" i="1"/>
  <c r="B26" i="1"/>
  <c r="I17" i="10"/>
  <c r="I33" i="1"/>
  <c r="K17" i="10"/>
  <c r="K33" i="1"/>
  <c r="J31" i="1"/>
  <c r="W24" i="1"/>
  <c r="AF31" i="1" l="1"/>
  <c r="AF24" i="1"/>
  <c r="E42" i="86"/>
  <c r="O31" i="1"/>
  <c r="O33" i="1" s="1"/>
  <c r="N25" i="86"/>
  <c r="AA24" i="1"/>
  <c r="AB24" i="1" s="1"/>
  <c r="J17" i="10"/>
  <c r="J33" i="1"/>
  <c r="S24" i="1"/>
  <c r="C26" i="1"/>
  <c r="B24" i="1"/>
  <c r="G17" i="10"/>
  <c r="G33" i="1"/>
  <c r="V26" i="1"/>
  <c r="Y26" i="1"/>
  <c r="Z26" i="1" s="1"/>
  <c r="H17" i="10"/>
  <c r="H33" i="1"/>
  <c r="E119" i="39"/>
  <c r="E124" i="39" s="1"/>
  <c r="E125" i="39" s="1"/>
  <c r="X52" i="39"/>
  <c r="X24" i="1"/>
  <c r="W31" i="1"/>
  <c r="M17" i="10"/>
  <c r="M33" i="1"/>
  <c r="AG26" i="39"/>
  <c r="G44" i="1" l="1"/>
  <c r="AF33" i="1"/>
  <c r="E73" i="86"/>
  <c r="E87" i="86" s="1"/>
  <c r="E88" i="86" s="1"/>
  <c r="E89" i="86" s="1"/>
  <c r="E75" i="86" s="1"/>
  <c r="E79" i="86" s="1"/>
  <c r="E81" i="86" s="1"/>
  <c r="O17" i="10"/>
  <c r="K58" i="10" s="1"/>
  <c r="AA31" i="1"/>
  <c r="AB31" i="1" s="1"/>
  <c r="X31" i="1"/>
  <c r="E58" i="10"/>
  <c r="W33" i="1"/>
  <c r="J58" i="10"/>
  <c r="I58" i="10"/>
  <c r="C24" i="1"/>
  <c r="B31" i="1"/>
  <c r="F58" i="10"/>
  <c r="AH26" i="39"/>
  <c r="AG24" i="39"/>
  <c r="U24" i="1"/>
  <c r="AC24" i="1"/>
  <c r="T24" i="1"/>
  <c r="S31" i="1"/>
  <c r="E77" i="86" l="1"/>
  <c r="F76" i="86" s="1"/>
  <c r="F111" i="86"/>
  <c r="G59" i="1"/>
  <c r="AA33" i="1"/>
  <c r="AB33" i="1" s="1"/>
  <c r="AC31" i="1"/>
  <c r="AD24" i="1"/>
  <c r="D20" i="64"/>
  <c r="C31" i="1"/>
  <c r="C17" i="10"/>
  <c r="B33" i="1"/>
  <c r="G65" i="1"/>
  <c r="H51" i="61"/>
  <c r="U31" i="1"/>
  <c r="V24" i="1"/>
  <c r="Y24" i="1"/>
  <c r="X33" i="1"/>
  <c r="D58" i="10"/>
  <c r="T31" i="1"/>
  <c r="S33" i="1"/>
  <c r="AH24" i="39"/>
  <c r="AG31" i="39"/>
  <c r="G63" i="1"/>
  <c r="E83" i="86" l="1"/>
  <c r="O102" i="84" s="1"/>
  <c r="E9" i="6"/>
  <c r="E11" i="6" s="1"/>
  <c r="E17" i="6" s="1"/>
  <c r="O116" i="84"/>
  <c r="T33" i="1"/>
  <c r="X57" i="39"/>
  <c r="E20" i="64"/>
  <c r="M20" i="64"/>
  <c r="F20" i="64"/>
  <c r="D22" i="64"/>
  <c r="C33" i="1"/>
  <c r="H55" i="61"/>
  <c r="F66" i="38"/>
  <c r="F34" i="38" s="1"/>
  <c r="Z24" i="1"/>
  <c r="Y31" i="1"/>
  <c r="X56" i="39"/>
  <c r="G67" i="1"/>
  <c r="AH31" i="39"/>
  <c r="AG33" i="39"/>
  <c r="V31" i="1"/>
  <c r="U33" i="1"/>
  <c r="AD31" i="1"/>
  <c r="AC33" i="1"/>
  <c r="F11" i="38" l="1"/>
  <c r="F11" i="39" s="1"/>
  <c r="E105" i="39" s="1"/>
  <c r="G69" i="1"/>
  <c r="F48" i="38"/>
  <c r="G71" i="1"/>
  <c r="N20" i="64"/>
  <c r="M22" i="64"/>
  <c r="V33" i="1"/>
  <c r="Z31" i="1"/>
  <c r="Y33" i="1"/>
  <c r="E37" i="6"/>
  <c r="F33" i="86"/>
  <c r="F40" i="86" s="1"/>
  <c r="AD33" i="1"/>
  <c r="AH33" i="39"/>
  <c r="H58" i="61"/>
  <c r="E23" i="6"/>
  <c r="X59" i="39"/>
  <c r="X61" i="39" s="1"/>
  <c r="X63" i="39" s="1"/>
  <c r="F67" i="38"/>
  <c r="E22" i="64"/>
  <c r="F22" i="64"/>
  <c r="H40" i="1"/>
  <c r="AF40" i="1" s="1"/>
  <c r="F19" i="39" l="1"/>
  <c r="F29" i="39" s="1"/>
  <c r="E103" i="39" s="1"/>
  <c r="F42" i="86"/>
  <c r="S40" i="86"/>
  <c r="F19" i="38"/>
  <c r="F28" i="38" s="1"/>
  <c r="H9" i="11"/>
  <c r="E25" i="6"/>
  <c r="E27" i="6" s="1"/>
  <c r="E39" i="6"/>
  <c r="F51" i="38"/>
  <c r="F53" i="39"/>
  <c r="F55" i="39" s="1"/>
  <c r="Y40" i="39"/>
  <c r="Y41" i="39" s="1"/>
  <c r="Y43" i="39" s="1"/>
  <c r="H42" i="1"/>
  <c r="F37" i="38"/>
  <c r="F37" i="39"/>
  <c r="F40" i="39" s="1"/>
  <c r="N22" i="64"/>
  <c r="G73" i="1"/>
  <c r="H7" i="11"/>
  <c r="Z33" i="1"/>
  <c r="H44" i="1" l="1"/>
  <c r="AF44" i="1" s="1"/>
  <c r="AF42" i="1"/>
  <c r="F73" i="86"/>
  <c r="F87" i="86" s="1"/>
  <c r="F88" i="86" s="1"/>
  <c r="F89" i="86" s="1"/>
  <c r="F75" i="86" s="1"/>
  <c r="F79" i="86" s="1"/>
  <c r="G111" i="86" s="1"/>
  <c r="S42" i="86"/>
  <c r="H59" i="1"/>
  <c r="F77" i="86"/>
  <c r="G76" i="86" s="1"/>
  <c r="E42" i="6"/>
  <c r="E50" i="6" s="1"/>
  <c r="E128" i="6" s="1"/>
  <c r="Y52" i="39"/>
  <c r="F119" i="39"/>
  <c r="F124" i="39" s="1"/>
  <c r="F125" i="39" s="1"/>
  <c r="F81" i="86"/>
  <c r="F42" i="38"/>
  <c r="F54" i="38" s="1"/>
  <c r="F55" i="38" s="1"/>
  <c r="H11" i="11"/>
  <c r="E111" i="39"/>
  <c r="F48" i="39"/>
  <c r="F57" i="39" s="1"/>
  <c r="F58" i="39" s="1"/>
  <c r="F83" i="86" l="1"/>
  <c r="F9" i="6"/>
  <c r="F11" i="6" s="1"/>
  <c r="F17" i="6" s="1"/>
  <c r="AF59" i="1"/>
  <c r="H65" i="1"/>
  <c r="AF65" i="1" s="1"/>
  <c r="I51" i="61"/>
  <c r="H63" i="1"/>
  <c r="AF63" i="1" s="1"/>
  <c r="P116" i="84"/>
  <c r="G11" i="38"/>
  <c r="P102" i="84"/>
  <c r="E116" i="39"/>
  <c r="E126" i="39" s="1"/>
  <c r="H67" i="1" l="1"/>
  <c r="Y56" i="39"/>
  <c r="G11" i="39"/>
  <c r="G19" i="38"/>
  <c r="G66" i="38"/>
  <c r="I55" i="61"/>
  <c r="Y57" i="39"/>
  <c r="H69" i="1" l="1"/>
  <c r="AF69" i="1" s="1"/>
  <c r="AF67" i="1"/>
  <c r="G34" i="38"/>
  <c r="G67" i="38"/>
  <c r="I40" i="1"/>
  <c r="G28" i="38"/>
  <c r="Y59" i="39"/>
  <c r="Y61" i="39" s="1"/>
  <c r="Y63" i="39" s="1"/>
  <c r="F23" i="6"/>
  <c r="I58" i="61"/>
  <c r="F37" i="6"/>
  <c r="G33" i="86"/>
  <c r="G40" i="86" s="1"/>
  <c r="G42" i="86" s="1"/>
  <c r="G73" i="86" s="1"/>
  <c r="F105" i="39"/>
  <c r="G19" i="39"/>
  <c r="G29" i="39" s="1"/>
  <c r="F103" i="39" s="1"/>
  <c r="H71" i="1"/>
  <c r="AF71" i="1" s="1"/>
  <c r="I9" i="11"/>
  <c r="G48" i="38"/>
  <c r="F25" i="6" l="1"/>
  <c r="F27" i="6" s="1"/>
  <c r="G87" i="86"/>
  <c r="G88" i="86" s="1"/>
  <c r="G89" i="86" s="1"/>
  <c r="G75" i="86" s="1"/>
  <c r="G79" i="86" s="1"/>
  <c r="G53" i="39"/>
  <c r="G55" i="39" s="1"/>
  <c r="G51" i="38"/>
  <c r="I7" i="11"/>
  <c r="H73" i="1"/>
  <c r="F39" i="6"/>
  <c r="I42" i="1"/>
  <c r="I44" i="1" s="1"/>
  <c r="I59" i="1" s="1"/>
  <c r="G9" i="6" s="1"/>
  <c r="Z40" i="39"/>
  <c r="Z41" i="39" s="1"/>
  <c r="Z43" i="39" s="1"/>
  <c r="S40" i="1"/>
  <c r="G37" i="39"/>
  <c r="G40" i="39" s="1"/>
  <c r="G37" i="38"/>
  <c r="G77" i="86" l="1"/>
  <c r="H76" i="86" s="1"/>
  <c r="G42" i="38"/>
  <c r="G54" i="38" s="1"/>
  <c r="G55" i="38" s="1"/>
  <c r="I11" i="11"/>
  <c r="Z52" i="39"/>
  <c r="G119" i="39"/>
  <c r="G124" i="39" s="1"/>
  <c r="G125" i="39" s="1"/>
  <c r="O125" i="39" s="1"/>
  <c r="F111" i="39"/>
  <c r="G48" i="39"/>
  <c r="G57" i="39" s="1"/>
  <c r="G58" i="39" s="1"/>
  <c r="H111" i="86"/>
  <c r="G81" i="86"/>
  <c r="G11" i="6"/>
  <c r="G17" i="6" s="1"/>
  <c r="C60" i="6"/>
  <c r="T40" i="1"/>
  <c r="U40" i="1"/>
  <c r="S42" i="1"/>
  <c r="F42" i="6"/>
  <c r="F50" i="6" s="1"/>
  <c r="F128" i="6" s="1"/>
  <c r="G83" i="86" l="1"/>
  <c r="Q102" i="84" s="1"/>
  <c r="T42" i="1"/>
  <c r="S44" i="1"/>
  <c r="I65" i="1"/>
  <c r="J51" i="61"/>
  <c r="C62" i="6"/>
  <c r="C68" i="6" s="1"/>
  <c r="I63" i="1"/>
  <c r="U42" i="1"/>
  <c r="V40" i="1"/>
  <c r="F116" i="39"/>
  <c r="F126" i="39" s="1"/>
  <c r="H11" i="38" l="1"/>
  <c r="H19" i="38" s="1"/>
  <c r="Q116" i="84"/>
  <c r="J40" i="1"/>
  <c r="H66" i="38"/>
  <c r="H34" i="38" s="1"/>
  <c r="J55" i="61"/>
  <c r="Z57" i="39"/>
  <c r="S65" i="1"/>
  <c r="V42" i="1"/>
  <c r="U44" i="1"/>
  <c r="S59" i="1"/>
  <c r="T44" i="1"/>
  <c r="Z56" i="39"/>
  <c r="I67" i="1"/>
  <c r="I69" i="1" s="1"/>
  <c r="S63" i="1"/>
  <c r="H11" i="39" l="1"/>
  <c r="G105" i="39" s="1"/>
  <c r="O105" i="39" s="1"/>
  <c r="H28" i="38"/>
  <c r="I71" i="1"/>
  <c r="J9" i="11"/>
  <c r="H48" i="38"/>
  <c r="V44" i="1"/>
  <c r="U59" i="1"/>
  <c r="H33" i="86"/>
  <c r="H40" i="86" s="1"/>
  <c r="H42" i="86" s="1"/>
  <c r="H73" i="86" s="1"/>
  <c r="G37" i="6"/>
  <c r="Z59" i="39"/>
  <c r="Z61" i="39" s="1"/>
  <c r="Z63" i="39" s="1"/>
  <c r="J42" i="1"/>
  <c r="J44" i="1" s="1"/>
  <c r="J59" i="1" s="1"/>
  <c r="H9" i="6" s="1"/>
  <c r="AA40" i="39"/>
  <c r="AA41" i="39" s="1"/>
  <c r="AA43" i="39" s="1"/>
  <c r="U65" i="1"/>
  <c r="T65" i="1"/>
  <c r="J58" i="61"/>
  <c r="G23" i="6"/>
  <c r="T63" i="1"/>
  <c r="S67" i="1"/>
  <c r="T67" i="1" s="1"/>
  <c r="U63" i="1"/>
  <c r="T59" i="1"/>
  <c r="H67" i="38"/>
  <c r="H19" i="39" l="1"/>
  <c r="H29" i="39" s="1"/>
  <c r="G103" i="39" s="1"/>
  <c r="S69" i="1"/>
  <c r="E22" i="11" s="1"/>
  <c r="G39" i="6"/>
  <c r="C88" i="6"/>
  <c r="J7" i="11"/>
  <c r="I73" i="1"/>
  <c r="H37" i="39"/>
  <c r="H40" i="39" s="1"/>
  <c r="H37" i="38"/>
  <c r="G25" i="6"/>
  <c r="G27" i="6" s="1"/>
  <c r="C74" i="6"/>
  <c r="V65" i="1"/>
  <c r="H87" i="86"/>
  <c r="H88" i="86" s="1"/>
  <c r="H89" i="86" s="1"/>
  <c r="H75" i="86" s="1"/>
  <c r="H79" i="86" s="1"/>
  <c r="U67" i="1"/>
  <c r="V67" i="1" s="1"/>
  <c r="V63" i="1"/>
  <c r="H119" i="39"/>
  <c r="H124" i="39" s="1"/>
  <c r="H125" i="39" s="1"/>
  <c r="AA52" i="39"/>
  <c r="O103" i="39"/>
  <c r="V59" i="1"/>
  <c r="H53" i="39"/>
  <c r="H55" i="39" s="1"/>
  <c r="H51" i="38"/>
  <c r="H11" i="6"/>
  <c r="H17" i="6" s="1"/>
  <c r="T69" i="1" l="1"/>
  <c r="S71" i="1"/>
  <c r="E20" i="11" s="1"/>
  <c r="G42" i="6"/>
  <c r="G50" i="6" s="1"/>
  <c r="G128" i="6" s="1"/>
  <c r="I111" i="86"/>
  <c r="H81" i="86"/>
  <c r="G111" i="39"/>
  <c r="H48" i="39"/>
  <c r="H57" i="39" s="1"/>
  <c r="H58" i="39" s="1"/>
  <c r="C90" i="6"/>
  <c r="U69" i="1"/>
  <c r="T71" i="1"/>
  <c r="J65" i="1"/>
  <c r="AA57" i="39" s="1"/>
  <c r="K51" i="61"/>
  <c r="H77" i="86"/>
  <c r="C76" i="6"/>
  <c r="C78" i="6" s="1"/>
  <c r="H42" i="38"/>
  <c r="H54" i="38" s="1"/>
  <c r="H55" i="38" s="1"/>
  <c r="J11" i="11"/>
  <c r="E24" i="11"/>
  <c r="J63" i="1"/>
  <c r="C93" i="6" l="1"/>
  <c r="C101" i="6" s="1"/>
  <c r="AA56" i="39"/>
  <c r="J67" i="1"/>
  <c r="J69" i="1" s="1"/>
  <c r="I76" i="86"/>
  <c r="H83" i="86"/>
  <c r="K55" i="61"/>
  <c r="H23" i="6" s="1"/>
  <c r="I66" i="38"/>
  <c r="I34" i="38" s="1"/>
  <c r="V69" i="1"/>
  <c r="U71" i="1"/>
  <c r="V71" i="1" s="1"/>
  <c r="O111" i="39"/>
  <c r="O116" i="39" s="1"/>
  <c r="O126" i="39" s="1"/>
  <c r="O127" i="39" s="1"/>
  <c r="E26" i="11" s="1"/>
  <c r="G116" i="39"/>
  <c r="G126" i="39" s="1"/>
  <c r="K40" i="1"/>
  <c r="K42" i="1" l="1"/>
  <c r="K44" i="1" s="1"/>
  <c r="K59" i="1" s="1"/>
  <c r="I9" i="6" s="1"/>
  <c r="AB40" i="39"/>
  <c r="AB41" i="39" s="1"/>
  <c r="AB43" i="39" s="1"/>
  <c r="I67" i="38"/>
  <c r="H25" i="6"/>
  <c r="H27" i="6" s="1"/>
  <c r="K9" i="11"/>
  <c r="J71" i="1"/>
  <c r="I48" i="38"/>
  <c r="H37" i="6"/>
  <c r="I33" i="86"/>
  <c r="I40" i="86" s="1"/>
  <c r="I42" i="86" s="1"/>
  <c r="I73" i="86" s="1"/>
  <c r="I11" i="38"/>
  <c r="R116" i="84"/>
  <c r="R102" i="84"/>
  <c r="AA59" i="39"/>
  <c r="AA61" i="39" s="1"/>
  <c r="AA63" i="39" s="1"/>
  <c r="I11" i="39" l="1"/>
  <c r="I19" i="38"/>
  <c r="J73" i="1"/>
  <c r="K7" i="11"/>
  <c r="I37" i="38"/>
  <c r="I42" i="38" s="1"/>
  <c r="I37" i="39"/>
  <c r="I40" i="39" s="1"/>
  <c r="I87" i="86"/>
  <c r="I88" i="86" s="1"/>
  <c r="I89" i="86" s="1"/>
  <c r="I75" i="86" s="1"/>
  <c r="I79" i="86" s="1"/>
  <c r="AB52" i="39"/>
  <c r="I119" i="39"/>
  <c r="I124" i="39" s="1"/>
  <c r="I125" i="39" s="1"/>
  <c r="H39" i="6"/>
  <c r="H42" i="6" s="1"/>
  <c r="H50" i="6" s="1"/>
  <c r="H128" i="6" s="1"/>
  <c r="I53" i="39"/>
  <c r="I55" i="39" s="1"/>
  <c r="I51" i="38"/>
  <c r="I11" i="6"/>
  <c r="I17" i="6" s="1"/>
  <c r="I81" i="86" l="1"/>
  <c r="J111" i="86"/>
  <c r="K65" i="1"/>
  <c r="AB57" i="39" s="1"/>
  <c r="L51" i="61"/>
  <c r="I54" i="38"/>
  <c r="I28" i="38"/>
  <c r="K11" i="11"/>
  <c r="I77" i="86"/>
  <c r="H105" i="39"/>
  <c r="I19" i="39"/>
  <c r="I29" i="39" s="1"/>
  <c r="I48" i="39"/>
  <c r="I57" i="39" s="1"/>
  <c r="H111" i="39"/>
  <c r="K63" i="1"/>
  <c r="I55" i="38" l="1"/>
  <c r="J76" i="86"/>
  <c r="I83" i="86"/>
  <c r="L40" i="1"/>
  <c r="H103" i="39"/>
  <c r="I58" i="39"/>
  <c r="J66" i="38"/>
  <c r="J34" i="38" s="1"/>
  <c r="L55" i="61"/>
  <c r="I23" i="6" s="1"/>
  <c r="AB56" i="39"/>
  <c r="K67" i="1"/>
  <c r="K69" i="1" s="1"/>
  <c r="H116" i="39" l="1"/>
  <c r="H126" i="39" s="1"/>
  <c r="I25" i="6"/>
  <c r="I27" i="6" s="1"/>
  <c r="I37" i="6"/>
  <c r="J33" i="86"/>
  <c r="J40" i="86" s="1"/>
  <c r="J42" i="86" s="1"/>
  <c r="J73" i="86" s="1"/>
  <c r="L9" i="11"/>
  <c r="K71" i="1"/>
  <c r="J48" i="38"/>
  <c r="J67" i="38"/>
  <c r="W40" i="1"/>
  <c r="AC40" i="39"/>
  <c r="AC41" i="39" s="1"/>
  <c r="AC43" i="39" s="1"/>
  <c r="L42" i="1"/>
  <c r="L44" i="1" s="1"/>
  <c r="L59" i="1" s="1"/>
  <c r="J9" i="6" s="1"/>
  <c r="S102" i="84"/>
  <c r="S116" i="84"/>
  <c r="J11" i="38"/>
  <c r="AB59" i="39"/>
  <c r="AB61" i="39" s="1"/>
  <c r="AB63" i="39" s="1"/>
  <c r="J37" i="39" l="1"/>
  <c r="J40" i="39" s="1"/>
  <c r="J37" i="38"/>
  <c r="J42" i="38" s="1"/>
  <c r="J87" i="86"/>
  <c r="J88" i="86" s="1"/>
  <c r="J89" i="86" s="1"/>
  <c r="J75" i="86" s="1"/>
  <c r="J79" i="86" s="1"/>
  <c r="W42" i="1"/>
  <c r="X40" i="1"/>
  <c r="Y40" i="1"/>
  <c r="I39" i="6"/>
  <c r="I42" i="6" s="1"/>
  <c r="I50" i="6" s="1"/>
  <c r="I128" i="6" s="1"/>
  <c r="J119" i="39"/>
  <c r="J124" i="39" s="1"/>
  <c r="J125" i="39" s="1"/>
  <c r="P125" i="39" s="1"/>
  <c r="AC52" i="39"/>
  <c r="J51" i="38"/>
  <c r="J53" i="39"/>
  <c r="J55" i="39" s="1"/>
  <c r="K73" i="1"/>
  <c r="L7" i="11"/>
  <c r="J19" i="38"/>
  <c r="J11" i="39"/>
  <c r="J11" i="6"/>
  <c r="J17" i="6" s="1"/>
  <c r="D60" i="6"/>
  <c r="J54" i="38" l="1"/>
  <c r="D62" i="6"/>
  <c r="D68" i="6" s="1"/>
  <c r="J81" i="86"/>
  <c r="K111" i="86"/>
  <c r="J19" i="39"/>
  <c r="J29" i="39" s="1"/>
  <c r="I105" i="39"/>
  <c r="L63" i="1"/>
  <c r="X42" i="1"/>
  <c r="W44" i="1"/>
  <c r="J28" i="38"/>
  <c r="L11" i="11"/>
  <c r="L65" i="1"/>
  <c r="M51" i="61"/>
  <c r="Y42" i="1"/>
  <c r="Z40" i="1"/>
  <c r="J77" i="86"/>
  <c r="I111" i="39"/>
  <c r="J48" i="39"/>
  <c r="J57" i="39" s="1"/>
  <c r="J55" i="38" l="1"/>
  <c r="Z42" i="1"/>
  <c r="Y44" i="1"/>
  <c r="M40" i="1"/>
  <c r="W63" i="1"/>
  <c r="L67" i="1"/>
  <c r="L69" i="1" s="1"/>
  <c r="AC56" i="39"/>
  <c r="M55" i="61"/>
  <c r="J23" i="6" s="1"/>
  <c r="K66" i="38"/>
  <c r="K34" i="38" s="1"/>
  <c r="X44" i="1"/>
  <c r="W59" i="1"/>
  <c r="K76" i="86"/>
  <c r="J83" i="86"/>
  <c r="W65" i="1"/>
  <c r="AC57" i="39"/>
  <c r="I103" i="39"/>
  <c r="J58" i="39"/>
  <c r="L71" i="1" l="1"/>
  <c r="M9" i="11"/>
  <c r="K48" i="38"/>
  <c r="I116" i="39"/>
  <c r="I126" i="39" s="1"/>
  <c r="K67" i="38"/>
  <c r="X63" i="1"/>
  <c r="W67" i="1"/>
  <c r="X67" i="1" s="1"/>
  <c r="Y63" i="1"/>
  <c r="K33" i="86"/>
  <c r="K40" i="86" s="1"/>
  <c r="K42" i="86" s="1"/>
  <c r="K73" i="86" s="1"/>
  <c r="J37" i="6"/>
  <c r="X65" i="1"/>
  <c r="Y65" i="1"/>
  <c r="Z65" i="1" s="1"/>
  <c r="X59" i="1"/>
  <c r="J25" i="6"/>
  <c r="J27" i="6" s="1"/>
  <c r="D74" i="6"/>
  <c r="M42" i="1"/>
  <c r="M44" i="1" s="1"/>
  <c r="M59" i="1" s="1"/>
  <c r="K9" i="6" s="1"/>
  <c r="AD40" i="39"/>
  <c r="AD41" i="39" s="1"/>
  <c r="AD43" i="39" s="1"/>
  <c r="Y59" i="1"/>
  <c r="Z44" i="1"/>
  <c r="T102" i="84"/>
  <c r="K11" i="38"/>
  <c r="T116" i="84"/>
  <c r="AC59" i="39"/>
  <c r="AC61" i="39" s="1"/>
  <c r="AC63" i="39" s="1"/>
  <c r="M65" i="1" l="1"/>
  <c r="N51" i="61"/>
  <c r="Z59" i="1"/>
  <c r="D76" i="6"/>
  <c r="D78" i="6" s="1"/>
  <c r="K87" i="86"/>
  <c r="K88" i="86" s="1"/>
  <c r="K89" i="86" s="1"/>
  <c r="K75" i="86" s="1"/>
  <c r="K79" i="86" s="1"/>
  <c r="K37" i="39"/>
  <c r="K40" i="39" s="1"/>
  <c r="K37" i="38"/>
  <c r="K42" i="38" s="1"/>
  <c r="M63" i="1"/>
  <c r="K11" i="39"/>
  <c r="K19" i="38"/>
  <c r="Z63" i="1"/>
  <c r="Y67" i="1"/>
  <c r="Z67" i="1" s="1"/>
  <c r="M7" i="11"/>
  <c r="L73" i="1"/>
  <c r="K119" i="39"/>
  <c r="K124" i="39" s="1"/>
  <c r="K125" i="39" s="1"/>
  <c r="AD52" i="39"/>
  <c r="K11" i="6"/>
  <c r="K17" i="6" s="1"/>
  <c r="W69" i="1"/>
  <c r="J39" i="6"/>
  <c r="J42" i="6" s="1"/>
  <c r="J50" i="6" s="1"/>
  <c r="J128" i="6" s="1"/>
  <c r="D88" i="6"/>
  <c r="K51" i="38"/>
  <c r="K53" i="39"/>
  <c r="K55" i="39" s="1"/>
  <c r="Y69" i="1" l="1"/>
  <c r="Z69" i="1" s="1"/>
  <c r="K77" i="86"/>
  <c r="L76" i="86" s="1"/>
  <c r="K54" i="38"/>
  <c r="N40" i="1"/>
  <c r="Y71" i="1"/>
  <c r="Z71" i="1" s="1"/>
  <c r="F24" i="11"/>
  <c r="M11" i="11"/>
  <c r="K28" i="38"/>
  <c r="L111" i="86"/>
  <c r="K81" i="86"/>
  <c r="F22" i="11"/>
  <c r="W71" i="1"/>
  <c r="X69" i="1"/>
  <c r="D90" i="6"/>
  <c r="D93" i="6" s="1"/>
  <c r="D101" i="6" s="1"/>
  <c r="J105" i="39"/>
  <c r="P105" i="39" s="1"/>
  <c r="K19" i="39"/>
  <c r="K29" i="39" s="1"/>
  <c r="L66" i="38"/>
  <c r="L34" i="38" s="1"/>
  <c r="N55" i="61"/>
  <c r="K23" i="6" s="1"/>
  <c r="K25" i="6" s="1"/>
  <c r="K27" i="6" s="1"/>
  <c r="AD56" i="39"/>
  <c r="M67" i="1"/>
  <c r="M69" i="1" s="1"/>
  <c r="J111" i="39"/>
  <c r="P111" i="39" s="1"/>
  <c r="K48" i="39"/>
  <c r="K57" i="39" s="1"/>
  <c r="AD57" i="39"/>
  <c r="K83" i="86" l="1"/>
  <c r="U102" i="84" s="1"/>
  <c r="K55" i="38"/>
  <c r="F20" i="11"/>
  <c r="X71" i="1"/>
  <c r="K37" i="6"/>
  <c r="L33" i="86"/>
  <c r="L40" i="86" s="1"/>
  <c r="L42" i="86" s="1"/>
  <c r="L73" i="86" s="1"/>
  <c r="AE40" i="39"/>
  <c r="AE41" i="39" s="1"/>
  <c r="AE43" i="39" s="1"/>
  <c r="N42" i="1"/>
  <c r="N44" i="1" s="1"/>
  <c r="N59" i="1" s="1"/>
  <c r="L9" i="6" s="1"/>
  <c r="M71" i="1"/>
  <c r="N9" i="11"/>
  <c r="L48" i="38"/>
  <c r="L67" i="38"/>
  <c r="AD59" i="39"/>
  <c r="AD61" i="39" s="1"/>
  <c r="AD63" i="39" s="1"/>
  <c r="K58" i="39"/>
  <c r="J103" i="39"/>
  <c r="U116" i="84" l="1"/>
  <c r="L11" i="38"/>
  <c r="L19" i="38" s="1"/>
  <c r="L87" i="86"/>
  <c r="L88" i="86" s="1"/>
  <c r="L89" i="86" s="1"/>
  <c r="L75" i="86" s="1"/>
  <c r="L79" i="86" s="1"/>
  <c r="L37" i="39"/>
  <c r="L40" i="39" s="1"/>
  <c r="L37" i="38"/>
  <c r="L42" i="38" s="1"/>
  <c r="N63" i="1"/>
  <c r="L53" i="39"/>
  <c r="L55" i="39" s="1"/>
  <c r="L51" i="38"/>
  <c r="L11" i="6"/>
  <c r="L17" i="6" s="1"/>
  <c r="N7" i="11"/>
  <c r="M73" i="1"/>
  <c r="K39" i="6"/>
  <c r="K42" i="6" s="1"/>
  <c r="K50" i="6" s="1"/>
  <c r="K128" i="6" s="1"/>
  <c r="J116" i="39"/>
  <c r="J126" i="39" s="1"/>
  <c r="P103" i="39"/>
  <c r="P116" i="39" s="1"/>
  <c r="P126" i="39" s="1"/>
  <c r="P127" i="39" s="1"/>
  <c r="F26" i="11" s="1"/>
  <c r="N65" i="1"/>
  <c r="O51" i="61"/>
  <c r="L119" i="39"/>
  <c r="L124" i="39" s="1"/>
  <c r="L125" i="39" s="1"/>
  <c r="AE52" i="39"/>
  <c r="L11" i="39" l="1"/>
  <c r="K105" i="39" s="1"/>
  <c r="L77" i="86"/>
  <c r="M76" i="86" s="1"/>
  <c r="O40" i="1"/>
  <c r="N11" i="11"/>
  <c r="L28" i="38"/>
  <c r="AE56" i="39"/>
  <c r="N67" i="1"/>
  <c r="N69" i="1" s="1"/>
  <c r="L48" i="39"/>
  <c r="L57" i="39" s="1"/>
  <c r="K111" i="39"/>
  <c r="M66" i="38"/>
  <c r="M34" i="38" s="1"/>
  <c r="O55" i="61"/>
  <c r="L23" i="6" s="1"/>
  <c r="L25" i="6" s="1"/>
  <c r="L27" i="6" s="1"/>
  <c r="AE57" i="39"/>
  <c r="L54" i="38"/>
  <c r="L81" i="86"/>
  <c r="M111" i="86"/>
  <c r="AE59" i="39" l="1"/>
  <c r="AE61" i="39" s="1"/>
  <c r="AE63" i="39" s="1"/>
  <c r="L19" i="39"/>
  <c r="L29" i="39" s="1"/>
  <c r="K103" i="39" s="1"/>
  <c r="K116" i="39" s="1"/>
  <c r="K126" i="39" s="1"/>
  <c r="L83" i="86"/>
  <c r="M11" i="38" s="1"/>
  <c r="M67" i="38"/>
  <c r="L55" i="38"/>
  <c r="N71" i="1"/>
  <c r="O9" i="11"/>
  <c r="M48" i="38"/>
  <c r="B40" i="1"/>
  <c r="O42" i="1"/>
  <c r="O44" i="1" s="1"/>
  <c r="O59" i="1" s="1"/>
  <c r="M9" i="6" s="1"/>
  <c r="AF40" i="39"/>
  <c r="AA40" i="1"/>
  <c r="M33" i="86"/>
  <c r="L37" i="6"/>
  <c r="L58" i="39" l="1"/>
  <c r="V116" i="84"/>
  <c r="V102" i="84"/>
  <c r="L39" i="6"/>
  <c r="L42" i="6" s="1"/>
  <c r="L50" i="6" s="1"/>
  <c r="L128" i="6" s="1"/>
  <c r="M11" i="6"/>
  <c r="M17" i="6" s="1"/>
  <c r="N9" i="6"/>
  <c r="E60" i="6"/>
  <c r="O7" i="11"/>
  <c r="N73" i="1"/>
  <c r="N33" i="86"/>
  <c r="N40" i="86" s="1"/>
  <c r="M40" i="86"/>
  <c r="M42" i="86" s="1"/>
  <c r="M73" i="86" s="1"/>
  <c r="D26" i="64"/>
  <c r="C40" i="1"/>
  <c r="B42" i="1"/>
  <c r="M37" i="39"/>
  <c r="M40" i="39" s="1"/>
  <c r="M37" i="38"/>
  <c r="M42" i="38" s="1"/>
  <c r="AB40" i="1"/>
  <c r="AA42" i="1"/>
  <c r="AC40" i="1"/>
  <c r="M51" i="38"/>
  <c r="M53" i="39"/>
  <c r="M55" i="39" s="1"/>
  <c r="M19" i="38"/>
  <c r="M11" i="39"/>
  <c r="AG40" i="39"/>
  <c r="AF41" i="39"/>
  <c r="AF43" i="39" s="1"/>
  <c r="AF52" i="39" l="1"/>
  <c r="M119" i="39"/>
  <c r="M124" i="39" s="1"/>
  <c r="M125" i="39" s="1"/>
  <c r="Q125" i="39" s="1"/>
  <c r="R125" i="39" s="1"/>
  <c r="O63" i="1"/>
  <c r="AD40" i="1"/>
  <c r="AC42" i="1"/>
  <c r="M48" i="39"/>
  <c r="M57" i="39" s="1"/>
  <c r="L111" i="39"/>
  <c r="Q40" i="86"/>
  <c r="Q44" i="86" s="1"/>
  <c r="R44" i="86" s="1"/>
  <c r="N42" i="86"/>
  <c r="N73" i="86" s="1"/>
  <c r="C10" i="14"/>
  <c r="N11" i="6"/>
  <c r="N17" i="6" s="1"/>
  <c r="AH40" i="39"/>
  <c r="AG41" i="39"/>
  <c r="O65" i="1"/>
  <c r="P51" i="61"/>
  <c r="AB42" i="1"/>
  <c r="AA44" i="1"/>
  <c r="E26" i="64"/>
  <c r="F26" i="64"/>
  <c r="M26" i="64"/>
  <c r="D28" i="64"/>
  <c r="M19" i="39"/>
  <c r="M29" i="39" s="1"/>
  <c r="L105" i="39"/>
  <c r="M28" i="38"/>
  <c r="O11" i="11"/>
  <c r="M54" i="38"/>
  <c r="C42" i="1"/>
  <c r="B44" i="1"/>
  <c r="M87" i="86"/>
  <c r="M88" i="86" s="1"/>
  <c r="M89" i="86" s="1"/>
  <c r="M75" i="86" s="1"/>
  <c r="M79" i="86" s="1"/>
  <c r="E62" i="6"/>
  <c r="E68" i="6" s="1"/>
  <c r="F60" i="6"/>
  <c r="F62" i="6" s="1"/>
  <c r="F68" i="6" s="1"/>
  <c r="L103" i="39" l="1"/>
  <c r="L116" i="39" s="1"/>
  <c r="L126" i="39" s="1"/>
  <c r="M58" i="39"/>
  <c r="B65" i="1"/>
  <c r="AF57" i="39"/>
  <c r="AG57" i="39" s="1"/>
  <c r="AH57" i="39" s="1"/>
  <c r="AA65" i="1"/>
  <c r="AF56" i="39"/>
  <c r="O67" i="1"/>
  <c r="O69" i="1" s="1"/>
  <c r="B63" i="1"/>
  <c r="AA63" i="1"/>
  <c r="M77" i="86"/>
  <c r="D32" i="64"/>
  <c r="E32" i="64" s="1"/>
  <c r="F28" i="64"/>
  <c r="E28" i="64"/>
  <c r="AB44" i="1"/>
  <c r="AA59" i="1"/>
  <c r="D10" i="14"/>
  <c r="C12" i="14"/>
  <c r="M37" i="6"/>
  <c r="M81" i="86"/>
  <c r="N111" i="86"/>
  <c r="N26" i="64"/>
  <c r="M28" i="64"/>
  <c r="AH41" i="39"/>
  <c r="AG43" i="39"/>
  <c r="N87" i="86"/>
  <c r="N88" i="86" s="1"/>
  <c r="N89" i="86" s="1"/>
  <c r="N75" i="86" s="1"/>
  <c r="N81" i="86" s="1"/>
  <c r="AD42" i="1"/>
  <c r="AC44" i="1"/>
  <c r="B59" i="1"/>
  <c r="C44" i="1"/>
  <c r="M55" i="38"/>
  <c r="N66" i="38"/>
  <c r="N34" i="38" s="1"/>
  <c r="P55" i="61"/>
  <c r="M23" i="6" s="1"/>
  <c r="M83" i="86" l="1"/>
  <c r="N11" i="38" s="1"/>
  <c r="N77" i="86"/>
  <c r="N83" i="86" s="1"/>
  <c r="N67" i="38"/>
  <c r="B66" i="38"/>
  <c r="B67" i="38" s="1"/>
  <c r="AC59" i="1"/>
  <c r="AD44" i="1"/>
  <c r="AH43" i="39"/>
  <c r="AG52" i="39"/>
  <c r="D12" i="14"/>
  <c r="C18" i="14"/>
  <c r="AB59" i="1"/>
  <c r="B67" i="1"/>
  <c r="C67" i="1" s="1"/>
  <c r="C63" i="1"/>
  <c r="D35" i="64"/>
  <c r="P9" i="11"/>
  <c r="O71" i="1"/>
  <c r="N48" i="38"/>
  <c r="C65" i="1"/>
  <c r="D34" i="64"/>
  <c r="N28" i="64"/>
  <c r="W116" i="84"/>
  <c r="AF59" i="39"/>
  <c r="AF61" i="39" s="1"/>
  <c r="AF63" i="39" s="1"/>
  <c r="AG56" i="39"/>
  <c r="E74" i="6"/>
  <c r="M25" i="6"/>
  <c r="M27" i="6" s="1"/>
  <c r="N23" i="6"/>
  <c r="C59" i="1"/>
  <c r="M39" i="6"/>
  <c r="N37" i="6"/>
  <c r="E88" i="6"/>
  <c r="AC63" i="1"/>
  <c r="AA67" i="1"/>
  <c r="AB67" i="1" s="1"/>
  <c r="AB63" i="1"/>
  <c r="AB65" i="1"/>
  <c r="AC65" i="1"/>
  <c r="AD65" i="1" s="1"/>
  <c r="M42" i="6" l="1"/>
  <c r="M50" i="6" s="1"/>
  <c r="M128" i="6" s="1"/>
  <c r="W102" i="84"/>
  <c r="B69" i="1"/>
  <c r="B9" i="11" s="1"/>
  <c r="AD63" i="1"/>
  <c r="AC67" i="1"/>
  <c r="AD67" i="1" s="1"/>
  <c r="E76" i="6"/>
  <c r="E78" i="6" s="1"/>
  <c r="F74" i="6"/>
  <c r="F76" i="6" s="1"/>
  <c r="F78" i="6" s="1"/>
  <c r="N11" i="39"/>
  <c r="C10" i="4"/>
  <c r="N19" i="38"/>
  <c r="AD59" i="1"/>
  <c r="E90" i="6"/>
  <c r="F88" i="6"/>
  <c r="F90" i="6" s="1"/>
  <c r="AH56" i="39"/>
  <c r="AG59" i="39"/>
  <c r="AH59" i="39" s="1"/>
  <c r="O48" i="38"/>
  <c r="N51" i="38"/>
  <c r="C46" i="4"/>
  <c r="N53" i="39"/>
  <c r="N55" i="39" s="1"/>
  <c r="AA69" i="1"/>
  <c r="AH52" i="39"/>
  <c r="C37" i="14"/>
  <c r="N39" i="6"/>
  <c r="C23" i="14"/>
  <c r="N25" i="6"/>
  <c r="N27" i="6" s="1"/>
  <c r="O73" i="1"/>
  <c r="P7" i="11"/>
  <c r="M35" i="64"/>
  <c r="F35" i="64"/>
  <c r="E35" i="64"/>
  <c r="F34" i="64"/>
  <c r="E34" i="64"/>
  <c r="D38" i="64"/>
  <c r="D18" i="14"/>
  <c r="C32" i="4"/>
  <c r="N37" i="39"/>
  <c r="N40" i="39" s="1"/>
  <c r="O34" i="38"/>
  <c r="N37" i="38"/>
  <c r="AC69" i="1" l="1"/>
  <c r="AD69" i="1" s="1"/>
  <c r="C24" i="65"/>
  <c r="D24" i="65" s="1"/>
  <c r="B71" i="1"/>
  <c r="C71" i="1" s="1"/>
  <c r="E93" i="6"/>
  <c r="E101" i="6" s="1"/>
  <c r="F93" i="6"/>
  <c r="F101" i="6" s="1"/>
  <c r="C69" i="1"/>
  <c r="N42" i="6"/>
  <c r="N50" i="6" s="1"/>
  <c r="N35" i="64"/>
  <c r="M38" i="64"/>
  <c r="N38" i="64" s="1"/>
  <c r="D23" i="14"/>
  <c r="C25" i="14"/>
  <c r="O51" i="38"/>
  <c r="C16" i="65"/>
  <c r="C26" i="65"/>
  <c r="B11" i="11"/>
  <c r="G24" i="11"/>
  <c r="N28" i="38"/>
  <c r="O19" i="38"/>
  <c r="P11" i="11"/>
  <c r="M111" i="39"/>
  <c r="Q111" i="39" s="1"/>
  <c r="R111" i="39" s="1"/>
  <c r="N48" i="39"/>
  <c r="N57" i="39" s="1"/>
  <c r="AB69" i="1"/>
  <c r="AA71" i="1"/>
  <c r="G22" i="11"/>
  <c r="D32" i="4"/>
  <c r="D35" i="4" s="1"/>
  <c r="D40" i="4" s="1"/>
  <c r="C35" i="4"/>
  <c r="C40" i="4" s="1"/>
  <c r="C39" i="14"/>
  <c r="D39" i="14" s="1"/>
  <c r="D37" i="14"/>
  <c r="AC71" i="1"/>
  <c r="AD71" i="1" s="1"/>
  <c r="D10" i="4"/>
  <c r="D16" i="4" s="1"/>
  <c r="D25" i="4" s="1"/>
  <c r="C16" i="4"/>
  <c r="O37" i="38"/>
  <c r="N42" i="38"/>
  <c r="F38" i="64"/>
  <c r="D40" i="64"/>
  <c r="E38" i="64"/>
  <c r="AG61" i="39"/>
  <c r="C49" i="4"/>
  <c r="D46" i="4"/>
  <c r="D49" i="4" s="1"/>
  <c r="M105" i="39"/>
  <c r="Q105" i="39" s="1"/>
  <c r="R105" i="39" s="1"/>
  <c r="N19" i="39"/>
  <c r="N29" i="39" s="1"/>
  <c r="M24" i="65" l="1"/>
  <c r="N24" i="65" s="1"/>
  <c r="B7" i="11"/>
  <c r="C22" i="65"/>
  <c r="M22" i="65" s="1"/>
  <c r="N22" i="65" s="1"/>
  <c r="D52" i="4"/>
  <c r="N54" i="38"/>
  <c r="O54" i="38" s="1"/>
  <c r="O42" i="38"/>
  <c r="C14" i="65"/>
  <c r="M103" i="39"/>
  <c r="N58" i="39"/>
  <c r="AG63" i="39"/>
  <c r="AH63" i="39" s="1"/>
  <c r="AH61" i="39"/>
  <c r="D26" i="65"/>
  <c r="M26" i="65"/>
  <c r="N26" i="65" s="1"/>
  <c r="E19" i="8"/>
  <c r="C25" i="4"/>
  <c r="C52" i="4"/>
  <c r="O28" i="38"/>
  <c r="C12" i="65"/>
  <c r="M16" i="65"/>
  <c r="N16" i="65" s="1"/>
  <c r="D16" i="65"/>
  <c r="D25" i="14"/>
  <c r="C27" i="14"/>
  <c r="E40" i="64"/>
  <c r="F40" i="64"/>
  <c r="AB71" i="1"/>
  <c r="G20" i="11"/>
  <c r="D22" i="65"/>
  <c r="C54" i="4" l="1"/>
  <c r="N55" i="38"/>
  <c r="D27" i="14"/>
  <c r="C42" i="14"/>
  <c r="D12" i="65"/>
  <c r="M12" i="65"/>
  <c r="N12" i="65" s="1"/>
  <c r="M116" i="39"/>
  <c r="M126" i="39" s="1"/>
  <c r="Q103" i="39"/>
  <c r="D14" i="65"/>
  <c r="M14" i="65"/>
  <c r="N14" i="65" s="1"/>
  <c r="D42" i="14" l="1"/>
  <c r="D48" i="14" s="1"/>
  <c r="C48" i="14"/>
  <c r="Q116" i="39"/>
  <c r="Q126" i="39" s="1"/>
  <c r="Q127" i="39" s="1"/>
  <c r="G26" i="11" s="1"/>
  <c r="R103" i="39"/>
  <c r="R116" i="39" s="1"/>
  <c r="R126" i="39" s="1"/>
  <c r="R127" i="39" s="1"/>
  <c r="E23" i="8" s="1"/>
</calcChain>
</file>

<file path=xl/comments1.xml><?xml version="1.0" encoding="utf-8"?>
<comments xmlns="http://schemas.openxmlformats.org/spreadsheetml/2006/main">
  <authors>
    <author>Roberto Vives Vives</author>
  </authors>
  <commentList>
    <comment ref="A45" authorId="0">
      <text>
        <r>
          <rPr>
            <b/>
            <sz val="8"/>
            <color indexed="81"/>
            <rFont val="Tahoma"/>
            <family val="2"/>
          </rPr>
          <t>EN ESTA COLUMNA SE DAN DE ALTA LOS TRACTOS POR EL MES QUE SE DESEE ADQUIRIR</t>
        </r>
      </text>
    </comment>
    <comment ref="B75" authorId="0">
      <text>
        <r>
          <rPr>
            <b/>
            <sz val="8"/>
            <color indexed="81"/>
            <rFont val="Tahoma"/>
            <family val="2"/>
          </rPr>
          <t>ACTUALIZAR ESTE IMPORTE SEGÚN EL SOBRANTE O FALTANTE DESPUES DE FINANCIAMIENTO</t>
        </r>
      </text>
    </comment>
  </commentList>
</comments>
</file>

<file path=xl/comments2.xml><?xml version="1.0" encoding="utf-8"?>
<comments xmlns="http://schemas.openxmlformats.org/spreadsheetml/2006/main">
  <authors>
    <author>Josè Fernando Haro Garcia</author>
  </authors>
  <commentList>
    <comment ref="O26" authorId="0">
      <text>
        <r>
          <rPr>
            <b/>
            <sz val="9"/>
            <color indexed="81"/>
            <rFont val="Tahoma"/>
            <family val="2"/>
          </rPr>
          <t>2 Camionetas doble cabina Mtto Orizaba y Operaciones Ramos Arizpe.
2 Autos Cruze Operaciones Ramos Arizpe y Orizaba</t>
        </r>
      </text>
    </comment>
    <comment ref="K30" authorId="0">
      <text>
        <r>
          <rPr>
            <sz val="9"/>
            <color indexed="81"/>
            <rFont val="Tahoma"/>
            <family val="2"/>
          </rPr>
          <t xml:space="preserve">
Hermosillo</t>
        </r>
      </text>
    </comment>
    <comment ref="N35" authorId="0">
      <text>
        <r>
          <rPr>
            <b/>
            <sz val="9"/>
            <color indexed="81"/>
            <rFont val="Tahoma"/>
            <family val="2"/>
          </rPr>
          <t>Ramos Arizpe</t>
        </r>
      </text>
    </comment>
    <comment ref="O35" authorId="0">
      <text>
        <r>
          <rPr>
            <b/>
            <sz val="9"/>
            <color indexed="81"/>
            <rFont val="Tahoma"/>
            <family val="2"/>
          </rPr>
          <t>compresor y olla de San Blas</t>
        </r>
      </text>
    </comment>
    <comment ref="A39" authorId="0">
      <text>
        <r>
          <rPr>
            <b/>
            <sz val="9"/>
            <color indexed="81"/>
            <rFont val="Tahoma"/>
            <family val="2"/>
          </rPr>
          <t>Electrónico 33%</t>
        </r>
      </text>
    </comment>
    <comment ref="A40" authorId="0">
      <text>
        <r>
          <rPr>
            <b/>
            <sz val="9"/>
            <color indexed="81"/>
            <rFont val="Tahoma"/>
            <family val="2"/>
          </rPr>
          <t>33%</t>
        </r>
      </text>
    </comment>
    <comment ref="A41" authorId="0">
      <text>
        <r>
          <rPr>
            <b/>
            <sz val="9"/>
            <color indexed="81"/>
            <rFont val="Tahoma"/>
            <family val="2"/>
          </rPr>
          <t>gasto
Mantenimiento
Orizaba</t>
        </r>
      </text>
    </comment>
    <comment ref="A42" authorId="0">
      <text>
        <r>
          <rPr>
            <b/>
            <sz val="9"/>
            <color indexed="81"/>
            <rFont val="Tahoma"/>
            <family val="2"/>
          </rPr>
          <t>al gasto
Transportación</t>
        </r>
      </text>
    </comment>
    <comment ref="A43" authorId="0">
      <text>
        <r>
          <rPr>
            <b/>
            <sz val="9"/>
            <color indexed="81"/>
            <rFont val="Tahoma"/>
            <family val="2"/>
          </rPr>
          <t>gasto
transportación</t>
        </r>
      </text>
    </comment>
    <comment ref="A44" authorId="0">
      <text>
        <r>
          <rPr>
            <sz val="9"/>
            <color indexed="81"/>
            <rFont val="Tahoma"/>
            <family val="2"/>
          </rPr>
          <t>Gasto
Mantenimiento
Guadalajara</t>
        </r>
      </text>
    </comment>
  </commentList>
</comments>
</file>

<file path=xl/comments3.xml><?xml version="1.0" encoding="utf-8"?>
<comments xmlns="http://schemas.openxmlformats.org/spreadsheetml/2006/main">
  <authors>
    <author>Ma. del Carmen Espinosa J.</author>
  </authors>
  <commentList>
    <comment ref="B19" authorId="0">
      <text>
        <r>
          <rPr>
            <b/>
            <sz val="8"/>
            <color indexed="81"/>
            <rFont val="Tahoma"/>
            <family val="2"/>
          </rPr>
          <t>Ma. del Carmen Espinosa J.: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19" authorId="0">
      <text>
        <r>
          <rPr>
            <b/>
            <sz val="8"/>
            <color indexed="81"/>
            <rFont val="Tahoma"/>
            <family val="2"/>
          </rPr>
          <t>Ma. del Carmen Espinosa J.: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Guillermo Rodríguez</author>
  </authors>
  <commentList>
    <comment ref="G26" authorId="0">
      <text>
        <r>
          <rPr>
            <b/>
            <sz val="9"/>
            <color indexed="81"/>
            <rFont val="Tahoma"/>
            <family val="2"/>
          </rPr>
          <t>Guillermo Rodríguez:</t>
        </r>
        <r>
          <rPr>
            <sz val="9"/>
            <color indexed="81"/>
            <rFont val="Tahoma"/>
            <family val="2"/>
          </rPr>
          <t xml:space="preserve">
Ajuste por los tractores pagados en 2013 no considerados enla inversión de 2014</t>
        </r>
      </text>
    </comment>
  </commentList>
</comments>
</file>

<file path=xl/comments5.xml><?xml version="1.0" encoding="utf-8"?>
<comments xmlns="http://schemas.openxmlformats.org/spreadsheetml/2006/main">
  <authors>
    <author>Roberto Vives Vives</author>
  </authors>
  <commentList>
    <comment ref="D97" authorId="0">
      <text>
        <r>
          <rPr>
            <b/>
            <sz val="8"/>
            <color indexed="81"/>
            <rFont val="Tahoma"/>
            <family val="2"/>
          </rPr>
          <t>Estancia B</t>
        </r>
      </text>
    </comment>
    <comment ref="E97" authorId="0">
      <text>
        <r>
          <rPr>
            <b/>
            <sz val="8"/>
            <color indexed="81"/>
            <rFont val="Tahoma"/>
            <family val="2"/>
          </rPr>
          <t>Estancia A</t>
        </r>
      </text>
    </comment>
    <comment ref="E98" authorId="0">
      <text>
        <r>
          <rPr>
            <b/>
            <sz val="8"/>
            <color indexed="81"/>
            <rFont val="Tahoma"/>
            <family val="2"/>
          </rPr>
          <t>Maniobra</t>
        </r>
      </text>
    </comment>
  </commentList>
</comments>
</file>

<file path=xl/comments6.xml><?xml version="1.0" encoding="utf-8"?>
<comments xmlns="http://schemas.openxmlformats.org/spreadsheetml/2006/main">
  <authors>
    <author>Ricardo</author>
  </authors>
  <commentList>
    <comment ref="E49" authorId="0">
      <text>
        <r>
          <rPr>
            <b/>
            <sz val="9"/>
            <color indexed="81"/>
            <rFont val="Tahoma"/>
            <family val="2"/>
          </rPr>
          <t xml:space="preserve">Marcador para llantas, Kit de herramientas para pintor, Cargador-probador de baterias.
</t>
        </r>
      </text>
    </comment>
    <comment ref="E93" authorId="0">
      <text>
        <r>
          <rPr>
            <b/>
            <sz val="9"/>
            <color indexed="81"/>
            <rFont val="Tahoma"/>
            <family val="2"/>
          </rPr>
          <t xml:space="preserve">Marcador para llantas, Kit de herramientas para pintor, Cargador-probador de baterias.
</t>
        </r>
      </text>
    </comment>
  </commentList>
</comments>
</file>

<file path=xl/connections.xml><?xml version="1.0" encoding="utf-8"?>
<connections xmlns="http://schemas.openxmlformats.org/spreadsheetml/2006/main">
  <connection id="1" odcFile="C:\Users\poseidon\Documents\archivos odc\sqldatos bonampakdb Bon_v_ingresos2012.odc" keepAlive="1" name="sqldatos bonampakdb Bon_v_ingresos2012" type="5" refreshedVersion="4" background="1" saveData="1">
    <dbPr connection="Provider=SQLOLEDB.1;Persist Security Info=True;User ID=ucontable;Initial Catalog=bonampakdb;Data Source=sqldatos;Use Procedure for Prepare=1;Auto Translate=True;Packet Size=4096;Workstation ID=DELFIN;Use Encryption for Data=False;Tag with column collation when possible=False" command="&quot;bonampakdb&quot;.&quot;dbo&quot;.&quot;Bon_v_ingresos2012&quot;" commandType="3"/>
  </connection>
  <connection id="2" odcFile="C:\Users\Miriam\Documents\Mis archivos de origen de datos\sqldatos bonampakdb v_saldos_contabilidad.odc" keepAlive="1" name="sqldatos bonampakdb v_saldos_contabilidad" type="5" refreshedVersion="4">
    <dbPr connection="Provider=SQLOLEDB.1;Persist Security Info=True;User ID=ucontable;Initial Catalog=bonampakdb;Data Source=sqldatos;Use Procedure for Prepare=1;Auto Translate=True;Packet Size=4096;Workstation ID=DELFIN;Use Encryption for Data=False;Tag with column collation when possible=False" command="&quot;bonampakdb&quot;.&quot;dbo&quot;.&quot;v_saldos_contabilidad&quot;" commandType="3"/>
  </connection>
</connections>
</file>

<file path=xl/sharedStrings.xml><?xml version="1.0" encoding="utf-8"?>
<sst xmlns="http://schemas.openxmlformats.org/spreadsheetml/2006/main" count="86793" uniqueCount="10699">
  <si>
    <t>TRANSPORTES BONAMPAK, S.A. DE C.V.</t>
  </si>
  <si>
    <t xml:space="preserve">             CONSOLIDADO</t>
  </si>
  <si>
    <t>1er.</t>
  </si>
  <si>
    <t>suma</t>
  </si>
  <si>
    <t>Acum.</t>
  </si>
  <si>
    <t>Concepto</t>
  </si>
  <si>
    <t>Acumulado</t>
  </si>
  <si>
    <t>%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</si>
  <si>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</si>
  <si>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</si>
  <si>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</si>
  <si>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</si>
  <si>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</si>
  <si>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</si>
  <si>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</si>
  <si>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</si>
  <si>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</si>
  <si>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</si>
  <si>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</si>
  <si>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</si>
  <si>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1o.trimestre</t>
  </si>
  <si>
    <t>2o.trimestre</t>
  </si>
  <si>
    <t>Semestre</t>
  </si>
  <si>
    <t>3o.trimestre</t>
  </si>
  <si>
    <t>1, 2 y 3 trim</t>
  </si>
  <si>
    <t>4o.trimestre</t>
  </si>
  <si>
    <t>anual</t>
  </si>
  <si>
    <t xml:space="preserve">Kilometros Recorridos </t>
  </si>
  <si>
    <t xml:space="preserve"> </t>
  </si>
  <si>
    <t xml:space="preserve">Volumen Transportados Tons. </t>
  </si>
  <si>
    <t>1. PRODUCTO DE OPERACION</t>
  </si>
  <si>
    <t xml:space="preserve">   Ingreso por Fletes Cemento Granel</t>
  </si>
  <si>
    <t xml:space="preserve">   Ingreso por Fletes Cemento Saco</t>
  </si>
  <si>
    <t>TOTAL PRODUCTO NETO</t>
  </si>
  <si>
    <t>2. COSTO DE OPERACION</t>
  </si>
  <si>
    <t xml:space="preserve">   Mantenimiento</t>
  </si>
  <si>
    <t xml:space="preserve">   Transportación</t>
  </si>
  <si>
    <t xml:space="preserve">TOTAL COSTO </t>
  </si>
  <si>
    <t xml:space="preserve">UTILIDAD BRUTA </t>
  </si>
  <si>
    <t>3. OTROS GASTOS DE OPERACION</t>
  </si>
  <si>
    <t xml:space="preserve">   Administración</t>
  </si>
  <si>
    <t xml:space="preserve">   Depreciación</t>
  </si>
  <si>
    <t xml:space="preserve">  Otros Gastos ( Productos) Ordinarios</t>
  </si>
  <si>
    <t>TOTAL OTROS GASTOS</t>
  </si>
  <si>
    <t>UTILIDAD DE OPERACION</t>
  </si>
  <si>
    <t>4. GTOS. Y PRODS. FINANCIEROS</t>
  </si>
  <si>
    <t xml:space="preserve">   Productos Financieros</t>
  </si>
  <si>
    <t xml:space="preserve">   Gastos Financieros</t>
  </si>
  <si>
    <t>TOTAL GTOS. Y PRODS. FINAN.</t>
  </si>
  <si>
    <t xml:space="preserve">   Participación de Utilidades</t>
  </si>
  <si>
    <t>TOTAL PROVISIONES</t>
  </si>
  <si>
    <t>UTILIDAD NETA</t>
  </si>
  <si>
    <t>Presupuesto</t>
  </si>
  <si>
    <t>Variación</t>
  </si>
  <si>
    <t>TRIM.</t>
  </si>
  <si>
    <t>ACTIVO</t>
  </si>
  <si>
    <t xml:space="preserve"> 1.1 CIRCULANTE</t>
  </si>
  <si>
    <t xml:space="preserve">   Efectivo y Valores Realizables</t>
  </si>
  <si>
    <t xml:space="preserve">   Cuentas por Cobrar y Deudores Diversos</t>
  </si>
  <si>
    <t xml:space="preserve"> 1.2 INVENTARIOS</t>
  </si>
  <si>
    <t xml:space="preserve">   Almacen General</t>
  </si>
  <si>
    <t xml:space="preserve">      TOTAL CIRCULANTE</t>
  </si>
  <si>
    <t xml:space="preserve"> 1.3 ACTIVO FIJO NETO</t>
  </si>
  <si>
    <t xml:space="preserve">    Propiedades, Planta, Equipo y Enseres</t>
  </si>
  <si>
    <t xml:space="preserve"> 1.4. OTROS ACTIVOS</t>
  </si>
  <si>
    <t>ACTIVO TOTAL</t>
  </si>
  <si>
    <t>PASIVO TOTAL Y CAPITAL CONTABLE</t>
  </si>
  <si>
    <t xml:space="preserve"> 2.1 EXIGIBLE A CORTO PLAZO</t>
  </si>
  <si>
    <t xml:space="preserve">   Proveedores</t>
  </si>
  <si>
    <t xml:space="preserve">   Acreedores Diversos</t>
  </si>
  <si>
    <t xml:space="preserve">   Impuestos por Pagar</t>
  </si>
  <si>
    <t>TOTAL PASIVO CIRCULANTE</t>
  </si>
  <si>
    <t xml:space="preserve"> 2.2 EXIGIBLE A LARGO PLAZO</t>
  </si>
  <si>
    <t>PASIVO TOTAL</t>
  </si>
  <si>
    <t>CAPITAL CONTABLE</t>
  </si>
  <si>
    <t xml:space="preserve">   Capital Social</t>
  </si>
  <si>
    <t xml:space="preserve">   Resultados Ejercicios Anteriores</t>
  </si>
  <si>
    <t xml:space="preserve">   Ejercicio Actual</t>
  </si>
  <si>
    <t>TOTAL CAPITAL CONTABLE</t>
  </si>
  <si>
    <t>TOTAL PASIVO Y CAPITAL CONTABLE</t>
  </si>
  <si>
    <t>SUMA</t>
  </si>
  <si>
    <t>C O N C E P T O</t>
  </si>
  <si>
    <t>TOTAL</t>
  </si>
  <si>
    <t xml:space="preserve">   TOTAL FLUJO DE EFECTIVO</t>
  </si>
  <si>
    <t xml:space="preserve">   De(in)cremento Deudores</t>
  </si>
  <si>
    <t xml:space="preserve">   De(in)cremento Existencias</t>
  </si>
  <si>
    <t xml:space="preserve">   In(de)cremento Otros</t>
  </si>
  <si>
    <t xml:space="preserve">   DE(IN)CREMENTO EN EL CAPITAL DE TRABAJO</t>
  </si>
  <si>
    <t xml:space="preserve">   FONDOS GENERADOS DE OPERACION</t>
  </si>
  <si>
    <t xml:space="preserve">   Productos (Gastos) Extraordinarios</t>
  </si>
  <si>
    <t xml:space="preserve">   Gastos Financieros (Pagados)</t>
  </si>
  <si>
    <t xml:space="preserve">   IMPAC/ISR (Pagados)</t>
  </si>
  <si>
    <t xml:space="preserve">   FLUJO DE CAJA GENERADO EN OPERACIONES</t>
  </si>
  <si>
    <t xml:space="preserve">   Adiciones a Propiedad, Planta, Equipo y Enseres</t>
  </si>
  <si>
    <t xml:space="preserve">    TOTAL DE INVERSIONES NETAS</t>
  </si>
  <si>
    <t xml:space="preserve">   IN(DE)CREMENTO DE FONDOS DISPONIBLES</t>
  </si>
  <si>
    <t>CONCEPTO</t>
  </si>
  <si>
    <t xml:space="preserve">                           TRANSPORTES BONAMPAK, S.A. DE C.V.</t>
  </si>
  <si>
    <t xml:space="preserve">   Flujo de Efectivo / Producto Neto</t>
  </si>
  <si>
    <t xml:space="preserve">   Utilidad Neta / Producto Neto</t>
  </si>
  <si>
    <t xml:space="preserve">   Razón Circulante ( Activo Circ. / Pasivo Circ.)  Veces</t>
  </si>
  <si>
    <t xml:space="preserve">   RONOA  ( Rentabilidad  Operacional )</t>
  </si>
  <si>
    <t xml:space="preserve">                         TRANSPORTES BONAMPAK, S.A. DE C.V.</t>
  </si>
  <si>
    <t>Propiedades e Inmuebles</t>
  </si>
  <si>
    <t xml:space="preserve"> - Terrenos</t>
  </si>
  <si>
    <t xml:space="preserve"> - Construcciones</t>
  </si>
  <si>
    <t xml:space="preserve">Equipo de Transporte  </t>
  </si>
  <si>
    <t xml:space="preserve"> - Equipo Ligero</t>
  </si>
  <si>
    <t>Muebles y Enseres</t>
  </si>
  <si>
    <t xml:space="preserve">TOTAL </t>
  </si>
  <si>
    <t xml:space="preserve">                      TRANSPORTES BONAMPAK, S.A. DE C.V.</t>
  </si>
  <si>
    <t xml:space="preserve">Kms. Totales Recorridos  </t>
  </si>
  <si>
    <t>No. de Unidades Trabajando (Promedio)</t>
  </si>
  <si>
    <t>No. de Unidades Disponibles (Fin de Trimestre)</t>
  </si>
  <si>
    <t>Volúmen Transportado  (Tons.)</t>
  </si>
  <si>
    <t>Costo de Operación / Km.</t>
  </si>
  <si>
    <t>Ingreso por Kilómetro Rodado</t>
  </si>
  <si>
    <t>Total Personal  (Promedio)</t>
  </si>
  <si>
    <t xml:space="preserve">Personal Administrativo (Promedio)        </t>
  </si>
  <si>
    <t>Personal de Operadores (Promedio)</t>
  </si>
  <si>
    <t>No. Personal / Unidad</t>
  </si>
  <si>
    <t>No. Personal  Admvo./ Unidad</t>
  </si>
  <si>
    <t>Personal Admvo. + Mantto. / Opera.</t>
  </si>
  <si>
    <t>Tons. Transportadas / Total Personal</t>
  </si>
  <si>
    <t>Promedio</t>
  </si>
  <si>
    <t>Variacion</t>
  </si>
  <si>
    <t xml:space="preserve">$ </t>
  </si>
  <si>
    <t xml:space="preserve">                    TRANSPORTES BONAMPAK,  S.A. DE  C.V.</t>
  </si>
  <si>
    <t>PRESUPUESTO</t>
  </si>
  <si>
    <t>VARIACION</t>
  </si>
  <si>
    <t xml:space="preserve">                               TRANSPORTES BONAMPAK, S.A. DE C.V.</t>
  </si>
  <si>
    <t>Tractores</t>
  </si>
  <si>
    <t>Total Tractores</t>
  </si>
  <si>
    <t xml:space="preserve">ANTIGUEDAD PROMEDIO   </t>
  </si>
  <si>
    <t>Remolques</t>
  </si>
  <si>
    <t>Total</t>
  </si>
  <si>
    <t>Tolvas</t>
  </si>
  <si>
    <t>Planas</t>
  </si>
  <si>
    <t>Dollies</t>
  </si>
  <si>
    <t>Tanque</t>
  </si>
  <si>
    <t>Low Boy</t>
  </si>
  <si>
    <t>Volteos</t>
  </si>
  <si>
    <t xml:space="preserve">Total Remolques </t>
  </si>
  <si>
    <t xml:space="preserve">Volumen Transportado Tons. </t>
  </si>
  <si>
    <t xml:space="preserve">    Costos  Fijos</t>
  </si>
  <si>
    <t xml:space="preserve">    Costos  Variables</t>
  </si>
  <si>
    <t>1er. Trim.</t>
  </si>
  <si>
    <t>3er. Trim.</t>
  </si>
  <si>
    <t>Kms. Totales Recorridos  (Miles)</t>
  </si>
  <si>
    <t xml:space="preserve"> - Tractores      </t>
  </si>
  <si>
    <t>ANTIGUEDAD DE EQUIPO DE TRANSPORTE</t>
  </si>
  <si>
    <t>ANTIGUEDAD</t>
  </si>
  <si>
    <t>AÑOS</t>
  </si>
  <si>
    <t>UNIDADES</t>
  </si>
  <si>
    <t>PROMEDIO</t>
  </si>
  <si>
    <t>T O T A L</t>
  </si>
  <si>
    <t>TRACTORES:</t>
  </si>
  <si>
    <t>LOW  BOY:</t>
  </si>
  <si>
    <t>PLATAFORMAS:</t>
  </si>
  <si>
    <t>TANQUES:</t>
  </si>
  <si>
    <t>TOLVAS:</t>
  </si>
  <si>
    <t>VOLTEOS:</t>
  </si>
  <si>
    <t>DOLLY:</t>
  </si>
  <si>
    <t>TORTON:</t>
  </si>
  <si>
    <t>total   inversión</t>
  </si>
  <si>
    <t>$ Pesos</t>
  </si>
  <si>
    <t>$   aprox.</t>
  </si>
  <si>
    <t>Equipo de cómputo</t>
  </si>
  <si>
    <t xml:space="preserve">   Ingreso por Fletes Coke</t>
  </si>
  <si>
    <t xml:space="preserve">   Ingreso por Fletes otros</t>
  </si>
  <si>
    <t xml:space="preserve">   Ingreso por Fletes  otros</t>
  </si>
  <si>
    <t>INVERSION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</si>
  <si>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</si>
  <si>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</si>
  <si>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</si>
  <si>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</si>
  <si>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</si>
  <si>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</si>
  <si>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</si>
  <si>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</si>
  <si>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</si>
  <si>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</si>
  <si>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</si>
  <si>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</si>
  <si>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  </t>
  </si>
  <si>
    <t>dic.</t>
  </si>
  <si>
    <t>nov.</t>
  </si>
  <si>
    <t>sept.</t>
  </si>
  <si>
    <t>oct.</t>
  </si>
  <si>
    <t>1er.trim.</t>
  </si>
  <si>
    <t>2o.trim.</t>
  </si>
  <si>
    <t>3er.trim.</t>
  </si>
  <si>
    <t>4o.trim.</t>
  </si>
  <si>
    <t>2do.trim.</t>
  </si>
  <si>
    <t>4to.trim.</t>
  </si>
  <si>
    <t>sumas</t>
  </si>
  <si>
    <t>2o. Trim.</t>
  </si>
  <si>
    <t>4o. Trim.</t>
  </si>
  <si>
    <t xml:space="preserve">1er. Trim. </t>
  </si>
  <si>
    <t xml:space="preserve">2do. Trim. </t>
  </si>
  <si>
    <t xml:space="preserve">3er. Trim. </t>
  </si>
  <si>
    <t xml:space="preserve">4to. Trim. </t>
  </si>
  <si>
    <t xml:space="preserve">   Activo Diferido</t>
  </si>
  <si>
    <t xml:space="preserve">   Reservas</t>
  </si>
  <si>
    <t xml:space="preserve"> TRANSPORTES BONAMPAK, S.A. DE C.V.</t>
  </si>
  <si>
    <t>5. COSTO INTEGRAL DE FINAC.</t>
  </si>
  <si>
    <t xml:space="preserve">  Repomo  </t>
  </si>
  <si>
    <t>6. PROVISIONES</t>
  </si>
  <si>
    <t>7. FLUJO DE EFECTIVO</t>
  </si>
  <si>
    <t>UTILIDAD ANTES IMPTO. Y P.T.U</t>
  </si>
  <si>
    <t>TOTAL COSTO INTEGRAL FINAN.</t>
  </si>
  <si>
    <t xml:space="preserve">   Exceso (Insuf.) de Actualizaciòn de Capital</t>
  </si>
  <si>
    <t xml:space="preserve">   Utilidad de Operaciòn</t>
  </si>
  <si>
    <t xml:space="preserve">   Efecto de actualizaciòn</t>
  </si>
  <si>
    <t xml:space="preserve">  UTILIDAD DE OPERACIÓN HISTORICA</t>
  </si>
  <si>
    <t xml:space="preserve">  DEPRECIACION HISTORICA</t>
  </si>
  <si>
    <t xml:space="preserve">   Productos (Gastos) Extraordinarios Històricos</t>
  </si>
  <si>
    <t xml:space="preserve">   Gastos Financieros (Pagados) Històricos</t>
  </si>
  <si>
    <t xml:space="preserve">   IMPAC/ISR (Pagados) Històricos</t>
  </si>
  <si>
    <t>1er. Trim</t>
  </si>
  <si>
    <t>3er. Trim</t>
  </si>
  <si>
    <t xml:space="preserve">No. de Unidades Disponibles </t>
  </si>
  <si>
    <t>acumulado</t>
  </si>
  <si>
    <t xml:space="preserve">     Efecto de Actualizaciòn</t>
  </si>
  <si>
    <t xml:space="preserve">   UTILIDAD DE OPERACIÓN HISTORICA</t>
  </si>
  <si>
    <t xml:space="preserve">     Utilidad de Operaciòn</t>
  </si>
  <si>
    <t xml:space="preserve">     Depreciacion del año</t>
  </si>
  <si>
    <t xml:space="preserve">   DEPRECIACION DEL AÑO HISTORICA</t>
  </si>
  <si>
    <t>pàgina  9</t>
  </si>
  <si>
    <t xml:space="preserve">   Impuestos Diferidos</t>
  </si>
  <si>
    <t xml:space="preserve">    Impuestos Diferidos</t>
  </si>
  <si>
    <t xml:space="preserve"> - Terreno  </t>
  </si>
  <si>
    <t>Equipo Herramental</t>
  </si>
  <si>
    <t xml:space="preserve">    TOTAL DE INVERSIONES </t>
  </si>
  <si>
    <t>Kilómetros / Unidad (miles)</t>
  </si>
  <si>
    <t xml:space="preserve"> - Tolvas Graneleras</t>
  </si>
  <si>
    <t xml:space="preserve"> - Dollies</t>
  </si>
  <si>
    <t xml:space="preserve"> - Equipo de Cómputo</t>
  </si>
  <si>
    <t xml:space="preserve"> - Herramental</t>
  </si>
  <si>
    <t xml:space="preserve"> -  Dollies</t>
  </si>
  <si>
    <t xml:space="preserve"> -  Sopladores</t>
  </si>
  <si>
    <t xml:space="preserve"> - Mobiliario</t>
  </si>
  <si>
    <t>Ingreso por Kilómetro Rodado (actualizado)</t>
  </si>
  <si>
    <t>Costo de Operación / Km.( actualizado)</t>
  </si>
  <si>
    <t>Volúmen Transportado/ Unidad  (Tons.)</t>
  </si>
  <si>
    <t>SURESTE</t>
  </si>
  <si>
    <t>OCCIDENTE</t>
  </si>
  <si>
    <t>NORTE</t>
  </si>
  <si>
    <t xml:space="preserve">  Otros Gastos (productos) Ordinarios</t>
  </si>
  <si>
    <t xml:space="preserve">  Estímulos fiscales</t>
  </si>
  <si>
    <t xml:space="preserve">   RONOA  </t>
  </si>
  <si>
    <t xml:space="preserve">   Reservas (varias)</t>
  </si>
  <si>
    <t>Volúmen Transportado  / Unidad (Tons.)</t>
  </si>
  <si>
    <t xml:space="preserve">Personal de Mantenimiento Propio (Promedio)  </t>
  </si>
  <si>
    <t xml:space="preserve">Personal de Mantenimiento Contratista  (Promedio)  </t>
  </si>
  <si>
    <t>No. Personal Mntto. Propio / Unidad</t>
  </si>
  <si>
    <t>No. Personal Mntto. Contratista / Unidad</t>
  </si>
  <si>
    <t>muebles de oficina</t>
  </si>
  <si>
    <t xml:space="preserve"> - Remolques</t>
  </si>
  <si>
    <t xml:space="preserve"> - Muebles de Oficina</t>
  </si>
  <si>
    <t xml:space="preserve"> - Herramienta</t>
  </si>
  <si>
    <t xml:space="preserve"> - Compresores</t>
  </si>
  <si>
    <t>1994 y anteriores</t>
  </si>
  <si>
    <t>checar despues</t>
  </si>
  <si>
    <t xml:space="preserve">Costo de Operación / Km. </t>
  </si>
  <si>
    <t xml:space="preserve">Ingreso por Kilómetro Rodado </t>
  </si>
  <si>
    <t>ANTIGUEDAD PROM.</t>
  </si>
  <si>
    <t xml:space="preserve"> automoviles y  camionetas</t>
  </si>
  <si>
    <t>kms. Reales</t>
  </si>
  <si>
    <t>kms.edo. Fin.</t>
  </si>
  <si>
    <t>ingreso actualizado</t>
  </si>
  <si>
    <t>ingreso según HA</t>
  </si>
  <si>
    <t>real</t>
  </si>
  <si>
    <t>Edo. Fin.</t>
  </si>
  <si>
    <t>$ / kms</t>
  </si>
  <si>
    <t>gastos de mantenimiento historico</t>
  </si>
  <si>
    <t>gastos de mantenimiento actualizado</t>
  </si>
  <si>
    <t>gastos de transportacion actualizado</t>
  </si>
  <si>
    <t>gastos de transportacion histórico</t>
  </si>
  <si>
    <t>COSTO DE OPERACIÓN</t>
  </si>
  <si>
    <t>INGRESO POR KM.</t>
  </si>
  <si>
    <t>REQUERIMIENTO DE EQUIPO</t>
  </si>
  <si>
    <t>TRACTOR</t>
  </si>
  <si>
    <t>ACTUAL</t>
  </si>
  <si>
    <t xml:space="preserve"> TOLVA</t>
  </si>
  <si>
    <t>DIFERENCIA</t>
  </si>
  <si>
    <t>TRANSPORTES BONAMPAK,S.A. DE C.V.</t>
  </si>
  <si>
    <t>CON NUEVO CALCULO</t>
  </si>
  <si>
    <t>18hrs.</t>
  </si>
  <si>
    <t>16hrs.</t>
  </si>
  <si>
    <t xml:space="preserve">   IETU/ISR (Pagados)</t>
  </si>
  <si>
    <t xml:space="preserve">   IETU/ISR (Pagados) Històricos</t>
  </si>
  <si>
    <t xml:space="preserve">   IMPAC/IETU/ISR (Pagados)</t>
  </si>
  <si>
    <t xml:space="preserve">   IIMPAC/IETU/ISR (Pagados) Històricos</t>
  </si>
  <si>
    <t>ACUMULADO</t>
  </si>
  <si>
    <t>TRIMESTRE</t>
  </si>
  <si>
    <t>PROVEEDORES</t>
  </si>
  <si>
    <t>S U M A</t>
  </si>
  <si>
    <t>IMPUESTOS POR PAGAR</t>
  </si>
  <si>
    <t>movimiento</t>
  </si>
  <si>
    <t>de fondos</t>
  </si>
  <si>
    <t xml:space="preserve"> T O T A L E S</t>
  </si>
  <si>
    <t>APERTURA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</si>
  <si>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</si>
  <si>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</si>
  <si>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</si>
  <si>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</si>
  <si>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</si>
  <si>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</si>
  <si>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</si>
  <si>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</si>
  <si>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</si>
  <si>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</si>
  <si>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</si>
  <si>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</si>
  <si>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  Kilometros Recorridos ( Miles)</t>
  </si>
  <si>
    <t xml:space="preserve">  ACTIVO</t>
  </si>
  <si>
    <t xml:space="preserve">  Volumen Transportado ( Tons. ) </t>
  </si>
  <si>
    <t xml:space="preserve">   1.1 CIRCULANTE</t>
  </si>
  <si>
    <t xml:space="preserve">  1. PRODUCTO DE OPERACION</t>
  </si>
  <si>
    <t xml:space="preserve">     Efectivo y Valores Realizables</t>
  </si>
  <si>
    <t xml:space="preserve">     Ingreso por Fletes Cemento Granel</t>
  </si>
  <si>
    <t xml:space="preserve">     Ingreso por Fletes Cemento Saco</t>
  </si>
  <si>
    <t xml:space="preserve">     Ingreso por Fletes Clinker</t>
  </si>
  <si>
    <t xml:space="preserve">   1.2 INVENTARIOS</t>
  </si>
  <si>
    <t xml:space="preserve">     Almacen General</t>
  </si>
  <si>
    <t xml:space="preserve">     Ingreso por Fletes Combustoleo</t>
  </si>
  <si>
    <t xml:space="preserve">     Ingreso por Fletes Agregados</t>
  </si>
  <si>
    <t xml:space="preserve">     Ingreso por Fletes A. Químicos</t>
  </si>
  <si>
    <t xml:space="preserve">     Ingreso por Fletes Otros</t>
  </si>
  <si>
    <t xml:space="preserve">   1.3 ACTIVO FIJO NETO</t>
  </si>
  <si>
    <t xml:space="preserve">      Propiedades, Planta, Equipo y Enseres</t>
  </si>
  <si>
    <t xml:space="preserve">  TOTAL PRODUCTO NETO</t>
  </si>
  <si>
    <t xml:space="preserve">   1.4. OTROS ACTIVOS</t>
  </si>
  <si>
    <t xml:space="preserve">  2. COSTO DE OPERACION</t>
  </si>
  <si>
    <t xml:space="preserve">     Mantenimiento</t>
  </si>
  <si>
    <t>Costos  Fijos</t>
  </si>
  <si>
    <t xml:space="preserve">  ACTIVO TOTAL</t>
  </si>
  <si>
    <t>Costos Variables</t>
  </si>
  <si>
    <t xml:space="preserve">     Transportación</t>
  </si>
  <si>
    <t xml:space="preserve">  PASIVO TOTAL Y CAPITAL CONTABLE</t>
  </si>
  <si>
    <t xml:space="preserve">   2.1 EXIGIBLE A CORTO PLAZO</t>
  </si>
  <si>
    <t xml:space="preserve">  TOTAL COSTO </t>
  </si>
  <si>
    <t xml:space="preserve">     Proveedores</t>
  </si>
  <si>
    <t xml:space="preserve">     Reservas varias</t>
  </si>
  <si>
    <t xml:space="preserve">  UTILIDAD BRUTA </t>
  </si>
  <si>
    <t xml:space="preserve">     Acreedores Diversos</t>
  </si>
  <si>
    <t>3. OTROS GTS Y PROD DE OPERACION</t>
  </si>
  <si>
    <t xml:space="preserve">     Impuestos por Pagar</t>
  </si>
  <si>
    <t xml:space="preserve">  TOTAL PASIVO CIRCULANTE</t>
  </si>
  <si>
    <t xml:space="preserve">     Administración</t>
  </si>
  <si>
    <t xml:space="preserve">     Depreciación</t>
  </si>
  <si>
    <t xml:space="preserve">   2.2 EXIGIBLE A LARGO PLAZO</t>
  </si>
  <si>
    <t xml:space="preserve">    Otros Gastos ( Productos) Ordinarios</t>
  </si>
  <si>
    <t xml:space="preserve">    Estímulos Fiscales</t>
  </si>
  <si>
    <t>TOTAL OTROS GTS Y PROD DE OPER</t>
  </si>
  <si>
    <t xml:space="preserve">  PASIVO TOTAL</t>
  </si>
  <si>
    <t xml:space="preserve">  UTILIDAD DE OPERACION</t>
  </si>
  <si>
    <t xml:space="preserve">  CAPITAL CONTABLE</t>
  </si>
  <si>
    <t xml:space="preserve">     Capital Social</t>
  </si>
  <si>
    <t xml:space="preserve">  4. GASTOS Y PRODUCTOS FINANCIEROS</t>
  </si>
  <si>
    <t xml:space="preserve">     Resultados Ejercicios Anteriores</t>
  </si>
  <si>
    <t xml:space="preserve">     Ejercicio Actual</t>
  </si>
  <si>
    <t xml:space="preserve">     Productos Financieros</t>
  </si>
  <si>
    <t xml:space="preserve">     Exceso (insuf.) act. Capital contable</t>
  </si>
  <si>
    <t xml:space="preserve">     Gastos Financieros</t>
  </si>
  <si>
    <t xml:space="preserve">  TOTAL CAPITAL CONTABLE</t>
  </si>
  <si>
    <t xml:space="preserve">     Repomo</t>
  </si>
  <si>
    <t xml:space="preserve">  TOTAL GASTOS Y PRODUCTOS FINAN.</t>
  </si>
  <si>
    <t xml:space="preserve">  TOTAL PASIVO Y CAPITAL CONTABLE</t>
  </si>
  <si>
    <t xml:space="preserve">  UTILIDAD ANTES DE IMPTO. Y PTU</t>
  </si>
  <si>
    <t xml:space="preserve">  5. PROVISIONES</t>
  </si>
  <si>
    <t xml:space="preserve">     ISR / IETU</t>
  </si>
  <si>
    <t>Hoja de trabajo para calculo de RONOA</t>
  </si>
  <si>
    <t xml:space="preserve">     Participación de Utilidades</t>
  </si>
  <si>
    <t>Fecha:</t>
  </si>
  <si>
    <t>No. de mes:</t>
  </si>
  <si>
    <t xml:space="preserve">  TOTAL PROVISIONES</t>
  </si>
  <si>
    <t>1. Calculo de NOA</t>
  </si>
  <si>
    <t xml:space="preserve">  UTILIDAD NETA</t>
  </si>
  <si>
    <t>PRIMER</t>
  </si>
  <si>
    <t>SEGUNDO</t>
  </si>
  <si>
    <t>TRECERO</t>
  </si>
  <si>
    <t>CUARTO</t>
  </si>
  <si>
    <t>Año</t>
  </si>
  <si>
    <t xml:space="preserve">  6. FLUJO DE EFECTIVO</t>
  </si>
  <si>
    <t>Total de Activos</t>
  </si>
  <si>
    <t>Menos:</t>
  </si>
  <si>
    <t xml:space="preserve"> - Fondos Disponibles</t>
  </si>
  <si>
    <t xml:space="preserve"> - Intereses prepagados e intereses pendientes de cobro</t>
  </si>
  <si>
    <t xml:space="preserve"> - Inversiones financieras y deudores a largo plazo</t>
  </si>
  <si>
    <t xml:space="preserve"> - Cualquier otro activo cuyo ingresos o gastos se </t>
  </si>
  <si>
    <t xml:space="preserve">    incluyan en otros productos/gastos o que no es </t>
  </si>
  <si>
    <t xml:space="preserve">    operacional</t>
  </si>
  <si>
    <t xml:space="preserve"> - Pasivos circulantes no financieros ( proveedores,gastos</t>
  </si>
  <si>
    <t xml:space="preserve">   acumulados, etc. )</t>
  </si>
  <si>
    <t xml:space="preserve"> - Activos fijos netos</t>
  </si>
  <si>
    <t>Mas:</t>
  </si>
  <si>
    <t xml:space="preserve"> - Activos fijos netos (c/depreciacion a 10años)</t>
  </si>
  <si>
    <t>Total de activos operacionales netos (NOA)</t>
  </si>
  <si>
    <t>2. Calculo de RONOA</t>
  </si>
  <si>
    <t xml:space="preserve"> - Utilidad de operación</t>
  </si>
  <si>
    <t xml:space="preserve"> - Otros gastos</t>
  </si>
  <si>
    <t xml:space="preserve"> - Otros productos</t>
  </si>
  <si>
    <t xml:space="preserve"> - Depreciacion al 25%</t>
  </si>
  <si>
    <t xml:space="preserve"> - Depreciacion al 10%</t>
  </si>
  <si>
    <t xml:space="preserve"> - Utilidad de operación (uafir operacional)</t>
  </si>
  <si>
    <t>Uafir Operacional( Acumulado )</t>
  </si>
  <si>
    <t>NOA</t>
  </si>
  <si>
    <t>RONOA CON ACTUALIZACION DE VALORES Y DEPN. A 10 AÑOS</t>
  </si>
  <si>
    <t xml:space="preserve">     Ingreso por Fletes Pet coke</t>
  </si>
  <si>
    <t xml:space="preserve">     Acreedores Prestamos</t>
  </si>
  <si>
    <t xml:space="preserve">     Diversas Provisiones</t>
  </si>
  <si>
    <t xml:space="preserve">     I E T U diferido</t>
  </si>
  <si>
    <t xml:space="preserve">     Cuentas por Cobrar</t>
  </si>
  <si>
    <t xml:space="preserve">     Deudores Diversos</t>
  </si>
  <si>
    <t xml:space="preserve">     Impuestos por recuperrar</t>
  </si>
  <si>
    <t xml:space="preserve">     Pagos Adelantados (gastos)</t>
  </si>
  <si>
    <t xml:space="preserve">  TOTAL PASIVO A LARGO PLAZO</t>
  </si>
  <si>
    <t xml:space="preserve">     Prima de Seguros</t>
  </si>
  <si>
    <t xml:space="preserve">     Depósitos en Garantia</t>
  </si>
  <si>
    <t>ESTIMADO</t>
  </si>
  <si>
    <t>CORDOBA</t>
  </si>
  <si>
    <t>GRANEL</t>
  </si>
  <si>
    <t>SACO</t>
  </si>
  <si>
    <t>RAMOS ARIZPE</t>
  </si>
  <si>
    <t>S / IVA</t>
  </si>
  <si>
    <t>tr.plana</t>
  </si>
  <si>
    <t xml:space="preserve"> - Otros Equipos</t>
  </si>
  <si>
    <t>ingreso original</t>
  </si>
  <si>
    <t>ingreso con incremento</t>
  </si>
  <si>
    <t>ingreso real</t>
  </si>
  <si>
    <t>POLIZA DE SEGUROS</t>
  </si>
  <si>
    <t>ACREEDORES DIVERSOS</t>
  </si>
  <si>
    <t xml:space="preserve">     Fletes por Cobrar </t>
  </si>
  <si>
    <t xml:space="preserve">     Impuestos por Recuperar</t>
  </si>
  <si>
    <t xml:space="preserve">     Ingreso por Fletes Coke</t>
  </si>
  <si>
    <t xml:space="preserve">     Prima de Seguros por Amortizar</t>
  </si>
  <si>
    <t xml:space="preserve">     Acreedores Préstamos</t>
  </si>
  <si>
    <t xml:space="preserve">     Reservas Varias</t>
  </si>
  <si>
    <t>PRESUPUESTO 2010</t>
  </si>
  <si>
    <t>31 DE DICIEMBRE DE 2010</t>
  </si>
  <si>
    <t xml:space="preserve">     I. E. T. U.  Diferido y P. T. U. Diferida</t>
  </si>
  <si>
    <t>Estimado</t>
  </si>
  <si>
    <t xml:space="preserve"> - Otros </t>
  </si>
  <si>
    <t>PRESUPUESTO 2011</t>
  </si>
  <si>
    <t xml:space="preserve">  MOVIMIENTO DE FONDOS  2010  V.S.  2011</t>
  </si>
  <si>
    <t>Pres.2011</t>
  </si>
  <si>
    <t xml:space="preserve"> INDICADORES FINANCIEROS EJERCICIO  2010   VS.  2011</t>
  </si>
  <si>
    <t xml:space="preserve">          INDICADORES DE OPERACION  EJERCICIO 2010  vs. 2011</t>
  </si>
  <si>
    <t>presupuesto 2011</t>
  </si>
  <si>
    <t>ejercicio 2010</t>
  </si>
  <si>
    <t>COSTO DE LA INVERSION  EN EL AÑO 2011</t>
  </si>
  <si>
    <t>PRESUPUESTO  2011</t>
  </si>
  <si>
    <t>Balance General  al 31 de Diciembre del 2010</t>
  </si>
  <si>
    <t>DIC.2009</t>
  </si>
  <si>
    <t>Estado de Resultados Real al 31 de Diciembre 2010</t>
  </si>
  <si>
    <t>Balance General Presupuesto 2011</t>
  </si>
  <si>
    <t>Estado de Resultados Presupuesto 2011</t>
  </si>
  <si>
    <r>
      <t xml:space="preserve"> </t>
    </r>
    <r>
      <rPr>
        <b/>
        <u/>
        <sz val="14"/>
        <rFont val="MS Sans Serif"/>
        <family val="2"/>
      </rPr>
      <t>ANTIGUEDAD DE ACTIVOS  2010  V.S. 2011</t>
    </r>
  </si>
  <si>
    <r>
      <t xml:space="preserve"> </t>
    </r>
    <r>
      <rPr>
        <b/>
        <u/>
        <sz val="12"/>
        <rFont val="Arial"/>
        <family val="2"/>
      </rPr>
      <t>ANTIGUEDAD DE ACTIVOS  2010  v.s. 2011</t>
    </r>
  </si>
  <si>
    <t>Pto´2011</t>
  </si>
  <si>
    <t>31 DE DICIEMBRE DE 2011</t>
  </si>
  <si>
    <t>A MARZO DEL 2011</t>
  </si>
  <si>
    <t>A JUNIO DEL 2011</t>
  </si>
  <si>
    <t>A SEPTIEMBRE DEL 2011</t>
  </si>
  <si>
    <t>A DICIEMBRE DEL 2011</t>
  </si>
  <si>
    <t>ESTIMADOS</t>
  </si>
  <si>
    <t>ESTIMADO 2010</t>
  </si>
  <si>
    <t xml:space="preserve">10 sopladores x 90,000                </t>
  </si>
  <si>
    <t>16 tractores x 94,000 x 12.8307</t>
  </si>
  <si>
    <t>Pàgina 6</t>
  </si>
  <si>
    <t>pàgina   7</t>
  </si>
  <si>
    <t>pàgina  8</t>
  </si>
  <si>
    <t>pàgina   10</t>
  </si>
  <si>
    <t>pàgina  11</t>
  </si>
  <si>
    <t>Ruta</t>
  </si>
  <si>
    <t>CH0802</t>
  </si>
  <si>
    <t>Norte</t>
  </si>
  <si>
    <t>CH0803</t>
  </si>
  <si>
    <t>CH0811</t>
  </si>
  <si>
    <t>CH0821</t>
  </si>
  <si>
    <t>CJ0806</t>
  </si>
  <si>
    <t>CD. JUAREZ</t>
  </si>
  <si>
    <t>CL2501</t>
  </si>
  <si>
    <t>Occidente</t>
  </si>
  <si>
    <t>CL2503</t>
  </si>
  <si>
    <t>ES1405</t>
  </si>
  <si>
    <t>ES1417</t>
  </si>
  <si>
    <t>GU2610</t>
  </si>
  <si>
    <t>GU2619</t>
  </si>
  <si>
    <t>HR2503</t>
  </si>
  <si>
    <t>HR2601</t>
  </si>
  <si>
    <t>HR2602</t>
  </si>
  <si>
    <t>HR2604</t>
  </si>
  <si>
    <t>HR2607</t>
  </si>
  <si>
    <t>HR2608</t>
  </si>
  <si>
    <t>MO1902</t>
  </si>
  <si>
    <t>MO1903</t>
  </si>
  <si>
    <t>MO1905</t>
  </si>
  <si>
    <t>MX0201</t>
  </si>
  <si>
    <t>MX0202</t>
  </si>
  <si>
    <t>MX0203</t>
  </si>
  <si>
    <t>MX2612</t>
  </si>
  <si>
    <t>OZ0703</t>
  </si>
  <si>
    <t>Sureste</t>
  </si>
  <si>
    <t>OZ2001</t>
  </si>
  <si>
    <t>OZ2105</t>
  </si>
  <si>
    <t>OZ2110</t>
  </si>
  <si>
    <t>OZ2705</t>
  </si>
  <si>
    <t>OZ2706</t>
  </si>
  <si>
    <t>OZ2806</t>
  </si>
  <si>
    <t>OZ2809</t>
  </si>
  <si>
    <t>OZ2902</t>
  </si>
  <si>
    <t>OZ3003</t>
  </si>
  <si>
    <t>OZ3004</t>
  </si>
  <si>
    <t>OZ3005</t>
  </si>
  <si>
    <t>OZ3006</t>
  </si>
  <si>
    <t>OZ3010</t>
  </si>
  <si>
    <t>OZ3011</t>
  </si>
  <si>
    <t>OZ3012</t>
  </si>
  <si>
    <t>OZ3013</t>
  </si>
  <si>
    <t>OZ3018</t>
  </si>
  <si>
    <t>OZ3022</t>
  </si>
  <si>
    <t>OZ3028</t>
  </si>
  <si>
    <t>PA0304</t>
  </si>
  <si>
    <t>PA0305</t>
  </si>
  <si>
    <t>PA0306</t>
  </si>
  <si>
    <t>PU2103</t>
  </si>
  <si>
    <t>RA0501</t>
  </si>
  <si>
    <t>RA0502</t>
  </si>
  <si>
    <t>RA0505</t>
  </si>
  <si>
    <t>RA0506</t>
  </si>
  <si>
    <t>RA0507</t>
  </si>
  <si>
    <t>RA0509</t>
  </si>
  <si>
    <t>RA0510</t>
  </si>
  <si>
    <t>RA0512</t>
  </si>
  <si>
    <t>RA0801</t>
  </si>
  <si>
    <t>RA0804</t>
  </si>
  <si>
    <t>RA0805</t>
  </si>
  <si>
    <t>RA0808</t>
  </si>
  <si>
    <t>RA0809</t>
  </si>
  <si>
    <t>RA0812</t>
  </si>
  <si>
    <t>RA1001</t>
  </si>
  <si>
    <t>RA1003</t>
  </si>
  <si>
    <t>RA1005</t>
  </si>
  <si>
    <t>RA1006</t>
  </si>
  <si>
    <t>RA1008</t>
  </si>
  <si>
    <t>RA1904</t>
  </si>
  <si>
    <t>RA1906</t>
  </si>
  <si>
    <t>RA2802</t>
  </si>
  <si>
    <t>RA2804</t>
  </si>
  <si>
    <t>RA2805</t>
  </si>
  <si>
    <t>RA2806</t>
  </si>
  <si>
    <t>RA2807</t>
  </si>
  <si>
    <t>RA2809</t>
  </si>
  <si>
    <t>RA3205</t>
  </si>
  <si>
    <t>SL2406</t>
  </si>
  <si>
    <t>SL2407</t>
  </si>
  <si>
    <t>TA2801</t>
  </si>
  <si>
    <t>TC0601</t>
  </si>
  <si>
    <t>TC0603</t>
  </si>
  <si>
    <t>TC1801</t>
  </si>
  <si>
    <t>TC2507</t>
  </si>
  <si>
    <t>ZA0101</t>
  </si>
  <si>
    <t>ZA1401</t>
  </si>
  <si>
    <t>ZA1402</t>
  </si>
  <si>
    <t>ZA1403</t>
  </si>
  <si>
    <t>ZA1405</t>
  </si>
  <si>
    <t>ZA1411</t>
  </si>
  <si>
    <t>ZA1416</t>
  </si>
  <si>
    <t>ZA1431</t>
  </si>
  <si>
    <t>ZA1802</t>
  </si>
  <si>
    <t>ZA1804</t>
  </si>
  <si>
    <t>PROVEEDOR :</t>
  </si>
  <si>
    <t>TRANSPORTES BONAMPAK SA CV</t>
  </si>
  <si>
    <t xml:space="preserve">ANEXO "E" </t>
  </si>
  <si>
    <t>TARIFAS</t>
  </si>
  <si>
    <t>TARIFAS VIGENTES PARA EL TRANSPORTE DE CEMENTO A GRANEL AÑO 2012</t>
  </si>
  <si>
    <t>TRANSPORTES BONAMPAK S.A. DE C.V. (Proveedor: 1703)</t>
  </si>
  <si>
    <t>Denominación</t>
  </si>
  <si>
    <t>KMS</t>
  </si>
  <si>
    <t>F. Fijo</t>
  </si>
  <si>
    <t>F.Var.</t>
  </si>
  <si>
    <t>Tarifa</t>
  </si>
  <si>
    <t>% Adicional</t>
  </si>
  <si>
    <t>% Ad. Filial</t>
  </si>
  <si>
    <t>% F. Orografía</t>
  </si>
  <si>
    <t>% Desctos.</t>
  </si>
  <si>
    <t>Peaje</t>
  </si>
  <si>
    <t>T.T.</t>
  </si>
  <si>
    <t>Tarifa Actual</t>
  </si>
  <si>
    <t>Tarifa 2012 (Mx$/ton)</t>
  </si>
  <si>
    <t>CH0201</t>
  </si>
  <si>
    <t>CHIHUAHUA - ENSENADA</t>
  </si>
  <si>
    <t>CH0505</t>
  </si>
  <si>
    <t>CHIHUAHUA - TORREON</t>
  </si>
  <si>
    <t>CH0509</t>
  </si>
  <si>
    <t>CHIHUAHUA - SALTILLO</t>
  </si>
  <si>
    <t>CH0801</t>
  </si>
  <si>
    <t>CHIHUAHUA - CAMARGO</t>
  </si>
  <si>
    <t>CHIHUAHUA - CHIHUAHUA</t>
  </si>
  <si>
    <t>CHIHUAHUA - DELICIAS</t>
  </si>
  <si>
    <t>CH0804</t>
  </si>
  <si>
    <t>CHIHUAHUA - CUAUHTEMOC</t>
  </si>
  <si>
    <t>CH0805</t>
  </si>
  <si>
    <t>CHIHUAHUA - OJINAGA</t>
  </si>
  <si>
    <t>CH0806</t>
  </si>
  <si>
    <t>CHIHUAHUA - CIUDAD JUAREZ</t>
  </si>
  <si>
    <t>CH0807</t>
  </si>
  <si>
    <t>CHIHUAHUA - NUEVO CASAS GRANDES</t>
  </si>
  <si>
    <t>CH0808</t>
  </si>
  <si>
    <t>CHIHUAHUA - HIDALGO DEL PARRAL</t>
  </si>
  <si>
    <t>CH0809</t>
  </si>
  <si>
    <t>CHIHUAHUA - JIMENEZ</t>
  </si>
  <si>
    <t>CH0810</t>
  </si>
  <si>
    <t>CHIHUAHUA - GOMEZ FARIAS</t>
  </si>
  <si>
    <t>CHIHUAHUA - CREEL</t>
  </si>
  <si>
    <t>CH0814</t>
  </si>
  <si>
    <t>CHIHUAHUA - ASCENSION</t>
  </si>
  <si>
    <t>CH0815</t>
  </si>
  <si>
    <t>CHIHUAHUA - VILLA AHUMADA</t>
  </si>
  <si>
    <t>CH0816</t>
  </si>
  <si>
    <t>CHIHUAHUA - EL SUECO</t>
  </si>
  <si>
    <t>CH0817</t>
  </si>
  <si>
    <t>CHIHUAHUA - SAN RAFAEL URIQUE</t>
  </si>
  <si>
    <t>CH0818</t>
  </si>
  <si>
    <t>CHIHUAHUA - SAN FRANCISCO DE BORJA</t>
  </si>
  <si>
    <t>CH0819</t>
  </si>
  <si>
    <t>CHIHUAHUA - BASASEACHIC</t>
  </si>
  <si>
    <t>CH0820</t>
  </si>
  <si>
    <t>CHIHUAHUA - CAMPO 67</t>
  </si>
  <si>
    <t>CHIHUAHUA - CD. GUERRERO</t>
  </si>
  <si>
    <t>CH0822</t>
  </si>
  <si>
    <t>CHIHUAHUA - SAN BUENAVENTURA</t>
  </si>
  <si>
    <t>CH0902</t>
  </si>
  <si>
    <t>CH0904</t>
  </si>
  <si>
    <t>CHIHUAHUA - G. A. MADERO</t>
  </si>
  <si>
    <t>CH2607</t>
  </si>
  <si>
    <t>CHIHUAHUA - CANANEA</t>
  </si>
  <si>
    <t>CJ0802</t>
  </si>
  <si>
    <t>CIUDAD JUAREZ - CHIHUAHUA</t>
  </si>
  <si>
    <t>CIUDAD JUAREZ - CIUDAD JUAREZ</t>
  </si>
  <si>
    <t>CJ0807</t>
  </si>
  <si>
    <t>CIUDAD JUAREZ - NUEVO CASAS GRANDES</t>
  </si>
  <si>
    <t>CJ0814</t>
  </si>
  <si>
    <t>CIUDAD JUAREZ - ASCENCION</t>
  </si>
  <si>
    <t>CJ0815</t>
  </si>
  <si>
    <t>CIUDAD JUAREZ - VILLA AHUMADA</t>
  </si>
  <si>
    <t>CJ2606</t>
  </si>
  <si>
    <t>CIUDAD JUAREZ - AGUA PRIETA</t>
  </si>
  <si>
    <t>CL0003</t>
  </si>
  <si>
    <t>CULIACAN - TOPOLOBAMPO (TRASLADOS)</t>
  </si>
  <si>
    <t>CL0201</t>
  </si>
  <si>
    <t>CULIACAN - ENSENADA</t>
  </si>
  <si>
    <t>CL0202</t>
  </si>
  <si>
    <t>CULIACAN - TIJUANA</t>
  </si>
  <si>
    <t>CL0203</t>
  </si>
  <si>
    <t>CULIACAN - MEXICALI</t>
  </si>
  <si>
    <t>CL0305</t>
  </si>
  <si>
    <t>CULIACAN - LA PAZ</t>
  </si>
  <si>
    <t>CL0601</t>
  </si>
  <si>
    <t>CULIACAN - COLIMA</t>
  </si>
  <si>
    <t>CL0602</t>
  </si>
  <si>
    <t>CULIACAN - TECOMAN</t>
  </si>
  <si>
    <t>CL0603</t>
  </si>
  <si>
    <t>CULIACAN - MANZANILLO</t>
  </si>
  <si>
    <t>CL0804</t>
  </si>
  <si>
    <t>CULIACAN - CUAUHTEMOC</t>
  </si>
  <si>
    <t>CL1401</t>
  </si>
  <si>
    <t>CULIACAN - GUADALAJARA</t>
  </si>
  <si>
    <t>CL1402</t>
  </si>
  <si>
    <t>CULIACAN - ZAPOPAN</t>
  </si>
  <si>
    <t>CL1403</t>
  </si>
  <si>
    <t>CULIACAN - TLAQUEPAQUE</t>
  </si>
  <si>
    <t>CL1404</t>
  </si>
  <si>
    <t>CULIACAN - TONALA</t>
  </si>
  <si>
    <t>CL1405</t>
  </si>
  <si>
    <t>CULIACAN - TLAJOMULCO</t>
  </si>
  <si>
    <t>CL1406</t>
  </si>
  <si>
    <t>CULIACAN - EL SALTO</t>
  </si>
  <si>
    <t>CL1407</t>
  </si>
  <si>
    <t>CULIACAN - ZAPOTLANEJO</t>
  </si>
  <si>
    <t>CL1408</t>
  </si>
  <si>
    <t>CULIACAN - SAN JULIAN</t>
  </si>
  <si>
    <t>CL1409</t>
  </si>
  <si>
    <t>CULIACAN - ENCARNACION DE DIAZ</t>
  </si>
  <si>
    <t>CL1410</t>
  </si>
  <si>
    <t>CULIACAN - LAGOS DE MORENO</t>
  </si>
  <si>
    <t>CL1411</t>
  </si>
  <si>
    <t>CULIACAN - TEPATITLAN</t>
  </si>
  <si>
    <t>CL1412</t>
  </si>
  <si>
    <t>CULIACAN - ARANDAS</t>
  </si>
  <si>
    <t>CL1413</t>
  </si>
  <si>
    <t>CULIACAN - OCOTLAN</t>
  </si>
  <si>
    <t>CL1414</t>
  </si>
  <si>
    <t>CULIACAN - COLOTLAN</t>
  </si>
  <si>
    <t>CL1419</t>
  </si>
  <si>
    <t>CULIACAN - COCULA</t>
  </si>
  <si>
    <t>CL1420</t>
  </si>
  <si>
    <t>CULIACAN - SAYULA</t>
  </si>
  <si>
    <t>CL1422</t>
  </si>
  <si>
    <t>CULIACAN - TEQUILA</t>
  </si>
  <si>
    <t>CL1423</t>
  </si>
  <si>
    <t>CULIACAN - CHAPALA</t>
  </si>
  <si>
    <t>CL1424</t>
  </si>
  <si>
    <t>CULIACAN - CIUDAD GUZMAN</t>
  </si>
  <si>
    <t>CL1425</t>
  </si>
  <si>
    <t>CULIACAN - TAMAZULA</t>
  </si>
  <si>
    <t>CL1427</t>
  </si>
  <si>
    <t>CULIACAN - AUTLAN</t>
  </si>
  <si>
    <t>CL1428</t>
  </si>
  <si>
    <t>CULIACAN - LA HUERTA</t>
  </si>
  <si>
    <t>CL1429</t>
  </si>
  <si>
    <t>CULIACAN - MELAQUE</t>
  </si>
  <si>
    <t>CL1431</t>
  </si>
  <si>
    <t>CULIACAN - PUERTO VALLARTA</t>
  </si>
  <si>
    <t>CL1801</t>
  </si>
  <si>
    <t>CULIACAN - TEPIC</t>
  </si>
  <si>
    <t>CL1802</t>
  </si>
  <si>
    <t>CULIACAN - TUXPAN</t>
  </si>
  <si>
    <t>CL1803</t>
  </si>
  <si>
    <t>CULIACAN - ACAPONETA</t>
  </si>
  <si>
    <t>CULIACAN - CULIACAN</t>
  </si>
  <si>
    <t>CL2502</t>
  </si>
  <si>
    <t>CULIACAN - COSALA</t>
  </si>
  <si>
    <t>CULIACAN - LOS MOCHIS</t>
  </si>
  <si>
    <t>CL2504</t>
  </si>
  <si>
    <t>CULIACAN - GUASAVE</t>
  </si>
  <si>
    <t>CL2505</t>
  </si>
  <si>
    <t>CULIACAN - GUAMUCHIL</t>
  </si>
  <si>
    <t>CL2506</t>
  </si>
  <si>
    <t>CULIACAN - CHOIX</t>
  </si>
  <si>
    <t>CL2507</t>
  </si>
  <si>
    <t>CULIACAN - MAZATLAN</t>
  </si>
  <si>
    <t>CL2508</t>
  </si>
  <si>
    <t>CULIACAN - EL ROSARIO</t>
  </si>
  <si>
    <t>CL2509</t>
  </si>
  <si>
    <t>CULIACAN - ESCUINAPA</t>
  </si>
  <si>
    <t>CL2510</t>
  </si>
  <si>
    <t>CULIACAN - SAN IGNACIO</t>
  </si>
  <si>
    <t>CL2511</t>
  </si>
  <si>
    <t>CULIACAN - VALLE DE CULIACAN</t>
  </si>
  <si>
    <t>CL2601</t>
  </si>
  <si>
    <t>CULIACAN - CD. OBREGON</t>
  </si>
  <si>
    <t>CL2602</t>
  </si>
  <si>
    <t>CULIACAN - GUAYMAS</t>
  </si>
  <si>
    <t>CL2603</t>
  </si>
  <si>
    <t>CULIACAN - NAVOJOA</t>
  </si>
  <si>
    <t>CL2604</t>
  </si>
  <si>
    <t>CULIACAN - HERMOSILLO</t>
  </si>
  <si>
    <t>CL2605</t>
  </si>
  <si>
    <t>CULIACAN - NOGALES</t>
  </si>
  <si>
    <t>CL2606</t>
  </si>
  <si>
    <t>CULIACAN - AGUA PRIETA</t>
  </si>
  <si>
    <t>CL2607</t>
  </si>
  <si>
    <t>CULIACAN - CANANEA</t>
  </si>
  <si>
    <t>CL2608</t>
  </si>
  <si>
    <t>CULIACAN - CABORCA</t>
  </si>
  <si>
    <t>CL2610</t>
  </si>
  <si>
    <t>CULIACAN - PUERTO PEÑASCO</t>
  </si>
  <si>
    <t>CL2611</t>
  </si>
  <si>
    <t>CULIACAN - IMURIS</t>
  </si>
  <si>
    <t>CL2612</t>
  </si>
  <si>
    <t>CULIACAN - SAN LUIS RIO COLORADO</t>
  </si>
  <si>
    <t>CL2614</t>
  </si>
  <si>
    <t>CULIACAN - MILPILLAS</t>
  </si>
  <si>
    <t>CL2629</t>
  </si>
  <si>
    <t>CULIACAN - VALLE DE YAQUI</t>
  </si>
  <si>
    <t>CL2630</t>
  </si>
  <si>
    <t>CULIACAN - ESTACION DON</t>
  </si>
  <si>
    <t>EL SALTO - TLAJOMULC</t>
  </si>
  <si>
    <t xml:space="preserve">EL SALTO - </t>
  </si>
  <si>
    <t>GU0201</t>
  </si>
  <si>
    <t>GUAYMAS - ENSENADA</t>
  </si>
  <si>
    <t>GU0202</t>
  </si>
  <si>
    <t>GUAYMAS - TIJUANA</t>
  </si>
  <si>
    <t>GU0203</t>
  </si>
  <si>
    <t>GUAYMAS - MEXICALI</t>
  </si>
  <si>
    <t>GU2501</t>
  </si>
  <si>
    <t>GUAYMAS - CULIACAN</t>
  </si>
  <si>
    <t>GU2503</t>
  </si>
  <si>
    <t>GUAYMAS - LOS MOCHIS</t>
  </si>
  <si>
    <t>GU2601</t>
  </si>
  <si>
    <t>GUAYMAS - CD. OBREGON</t>
  </si>
  <si>
    <t>GU2602</t>
  </si>
  <si>
    <t>GUAYMAS - GUAYMAS</t>
  </si>
  <si>
    <t>GU2603</t>
  </si>
  <si>
    <t>GUAYMAS - NAVOJOA</t>
  </si>
  <si>
    <t>GU2604</t>
  </si>
  <si>
    <t>GUAYMAS - HERMOSILLO</t>
  </si>
  <si>
    <t>GU2605</t>
  </si>
  <si>
    <t>GUAYMAS - NOGALES</t>
  </si>
  <si>
    <t>GU2606</t>
  </si>
  <si>
    <t>GUAYMAS - AGUA PRIETA</t>
  </si>
  <si>
    <t>GU2607</t>
  </si>
  <si>
    <t>GUAYMAS - CANANEA</t>
  </si>
  <si>
    <t>GU2608</t>
  </si>
  <si>
    <t>GUAYMAS - CABORCA</t>
  </si>
  <si>
    <t>GU2609</t>
  </si>
  <si>
    <t>GUAYMAS - NACOZARI</t>
  </si>
  <si>
    <t>GUAYMAS - PUERTO PEÑASCO</t>
  </si>
  <si>
    <t>GU2611</t>
  </si>
  <si>
    <t>GUAYMAS - IMURIS</t>
  </si>
  <si>
    <t>GU2614</t>
  </si>
  <si>
    <t>GUAYMAS - MILPILLAS</t>
  </si>
  <si>
    <t>GU2615</t>
  </si>
  <si>
    <t>GUAYMAS - BACERAC</t>
  </si>
  <si>
    <t>GU2616</t>
  </si>
  <si>
    <t>GUAYMAS - SAHUARIPA</t>
  </si>
  <si>
    <t>GU2617</t>
  </si>
  <si>
    <t>GUAYMAS - YECORA</t>
  </si>
  <si>
    <t>GU2618</t>
  </si>
  <si>
    <t>GUAYMAS - ROSARIO TESOPACO</t>
  </si>
  <si>
    <t>GUAYMAS - SANTA ANA</t>
  </si>
  <si>
    <t>GU2620</t>
  </si>
  <si>
    <t>GUAYMAS - ESQUEDA</t>
  </si>
  <si>
    <t>GU2621</t>
  </si>
  <si>
    <t>GUAYMAS - LA HERRADURA</t>
  </si>
  <si>
    <t>GU2622</t>
  </si>
  <si>
    <t>GUAYMAS - NACORI CHICO</t>
  </si>
  <si>
    <t>GU2623</t>
  </si>
  <si>
    <t>GUAYMAS - ACONCHI</t>
  </si>
  <si>
    <t>GU2624</t>
  </si>
  <si>
    <t>GUAYMAS - CUCURPE</t>
  </si>
  <si>
    <t>GU2625</t>
  </si>
  <si>
    <t>GUAYMAS - MULATOS</t>
  </si>
  <si>
    <t>GU2626</t>
  </si>
  <si>
    <t>GUAYMAS - TONICHI</t>
  </si>
  <si>
    <t>GU2627</t>
  </si>
  <si>
    <t>GUAYMAS - RAYON</t>
  </si>
  <si>
    <t>GU2628</t>
  </si>
  <si>
    <t>GUAYMAS - MAZATAN</t>
  </si>
  <si>
    <t>GU2629</t>
  </si>
  <si>
    <t>GUAYMAS - VALLE DEL YAQUI</t>
  </si>
  <si>
    <t>GU2630</t>
  </si>
  <si>
    <t>GUAYMAS - ESTACION DON</t>
  </si>
  <si>
    <t>GU2631</t>
  </si>
  <si>
    <t>GUAYMAS - PUERTO LIBERTAD</t>
  </si>
  <si>
    <t>GU2632</t>
  </si>
  <si>
    <t>GUAYMAS - BAHIA DE KINO</t>
  </si>
  <si>
    <t>GU2633</t>
  </si>
  <si>
    <t>GUAYMAS - HERMOSILLO PLANTA</t>
  </si>
  <si>
    <t>HR0203</t>
  </si>
  <si>
    <t>HERMOSILLO - MEXICALI</t>
  </si>
  <si>
    <t>HR2501</t>
  </si>
  <si>
    <t>HERMOSILLO PLANTA - CULIACAN</t>
  </si>
  <si>
    <t>HERMOSILLO PLANTA - MOCHIS</t>
  </si>
  <si>
    <t>HERMOSILLO PLANTA - CD. OBREGON</t>
  </si>
  <si>
    <t>HERMOSILLO PLANTA - GUAYMAS</t>
  </si>
  <si>
    <t>HR2603</t>
  </si>
  <si>
    <t>HERMOSILLO PLANTA - NAVOJOA</t>
  </si>
  <si>
    <t>HERMOSILLO PLANTA - HERMOSILLO</t>
  </si>
  <si>
    <t>HR2605</t>
  </si>
  <si>
    <t>HERMOSILLO PLANTA - NOGALES</t>
  </si>
  <si>
    <t>HR2606</t>
  </si>
  <si>
    <t>HERMOSILLO PLANTA - AGUA PRIETA</t>
  </si>
  <si>
    <t>HERMOSILLO PLANTA - CANANEA</t>
  </si>
  <si>
    <t>HERMOSILLO PLANTA - CABORCA</t>
  </si>
  <si>
    <t>HR2609</t>
  </si>
  <si>
    <t>HERMOSILLO PLANTA - NACOZARI</t>
  </si>
  <si>
    <t>HR2610</t>
  </si>
  <si>
    <t>HERMOSILLO PLANTA - PUERTO PEÑASCO</t>
  </si>
  <si>
    <t>HR2611</t>
  </si>
  <si>
    <t>HERMOSILLO PLANTA - IMURIS</t>
  </si>
  <si>
    <t>HR2614</t>
  </si>
  <si>
    <t>HERMOSILLO PLANTA - MILPILLAS</t>
  </si>
  <si>
    <t>HR2615</t>
  </si>
  <si>
    <t>HERMOSILLO PLANTA - BACERAC</t>
  </si>
  <si>
    <t>HR2616</t>
  </si>
  <si>
    <t>HERMOSILLO PLANTA - SAHUARIPA</t>
  </si>
  <si>
    <t>HR2617</t>
  </si>
  <si>
    <t>HERMOSILLO PLANTA - YECORA</t>
  </si>
  <si>
    <t>HR2619</t>
  </si>
  <si>
    <t>HERMOSILLO PLANTA - SANTA ANA</t>
  </si>
  <si>
    <t>HR2620</t>
  </si>
  <si>
    <t>HERMOSILLO PLANTA - ESQUEDA</t>
  </si>
  <si>
    <t>HR2621</t>
  </si>
  <si>
    <t>HERMOSILLO PLANTA - LA HERRADURA</t>
  </si>
  <si>
    <t>HR2622</t>
  </si>
  <si>
    <t>HERMOSILLO PLANTA - NACORI CHICO</t>
  </si>
  <si>
    <t>HR2623</t>
  </si>
  <si>
    <t>HERMOSILLO PLANTA - ACONCHI</t>
  </si>
  <si>
    <t>HR2624</t>
  </si>
  <si>
    <t>HERMOSILLO PLANTA - CUCURPE</t>
  </si>
  <si>
    <t>HR2625</t>
  </si>
  <si>
    <t>HERMOSILLO PLANTA - MULATOS</t>
  </si>
  <si>
    <t>HR2626</t>
  </si>
  <si>
    <t>HERMOSILLO PLANTA - TONICHI</t>
  </si>
  <si>
    <t>HR2627</t>
  </si>
  <si>
    <t>HERMOSILLO PLANTA - RAYON</t>
  </si>
  <si>
    <t>HR2628</t>
  </si>
  <si>
    <t>HERMOSILLO PLANTA - MAZATAN</t>
  </si>
  <si>
    <t>HR2629</t>
  </si>
  <si>
    <t>HERMOSILLO PLANTA - VALLE DEL YAQUI</t>
  </si>
  <si>
    <t>HR2630</t>
  </si>
  <si>
    <t>HERMOSILLO PLANTA - ESTACION DON</t>
  </si>
  <si>
    <t>HR2631</t>
  </si>
  <si>
    <t>HERMOSILLO PLANTA - PUERTO LIBERTAD</t>
  </si>
  <si>
    <t>HR2632</t>
  </si>
  <si>
    <t>HERMOSILLO PLANTA - BAHIA DE KINO</t>
  </si>
  <si>
    <t>HR2633</t>
  </si>
  <si>
    <t>HERMOSILLO PLANTA - HERMOSILLO PLANTA</t>
  </si>
  <si>
    <t>MO0501</t>
  </si>
  <si>
    <t>MONTERREY - MONCLOVA</t>
  </si>
  <si>
    <t>MO0508</t>
  </si>
  <si>
    <t>MONTERREY - ALLENDE</t>
  </si>
  <si>
    <t>MO0509</t>
  </si>
  <si>
    <t>MONTERREY - SALTILLO</t>
  </si>
  <si>
    <t>MO0802</t>
  </si>
  <si>
    <t>MONTERREY - CHIHUAHUA</t>
  </si>
  <si>
    <t>MO0809</t>
  </si>
  <si>
    <t>MONTERREY - JIMENEZ</t>
  </si>
  <si>
    <t>MONTERREY - MONTERREY</t>
  </si>
  <si>
    <t>MONTERREY - GUADALUPE</t>
  </si>
  <si>
    <t>MO1904</t>
  </si>
  <si>
    <t>MONTERREY - SANTA CATARINA</t>
  </si>
  <si>
    <t>MONTERREY - GENERAL ESCOBEDO</t>
  </si>
  <si>
    <t>MO1907</t>
  </si>
  <si>
    <t>MONTERREY - GENERAL BRAVO</t>
  </si>
  <si>
    <t>MO1908</t>
  </si>
  <si>
    <t>MONTERREY - SABINAS HIDALGO</t>
  </si>
  <si>
    <t>MO1909</t>
  </si>
  <si>
    <t>MONTERREY - ANAHUAC</t>
  </si>
  <si>
    <t>MO1910</t>
  </si>
  <si>
    <t>MONTERREY - LINARES</t>
  </si>
  <si>
    <t>MO2405</t>
  </si>
  <si>
    <t>MONTERREY - CD. VALLES</t>
  </si>
  <si>
    <t>MO2801</t>
  </si>
  <si>
    <t>MONTERREY - CD. MANTE</t>
  </si>
  <si>
    <t>MO2802</t>
  </si>
  <si>
    <t>MONTERREY - CD. VICTORIA</t>
  </si>
  <si>
    <t>MO2804</t>
  </si>
  <si>
    <t>MONTERREY - NUEVO LAREDO</t>
  </si>
  <si>
    <t>MO2805</t>
  </si>
  <si>
    <t>MONTERREY - MIGUEL ALEMAN</t>
  </si>
  <si>
    <t>MO2806</t>
  </si>
  <si>
    <t>MONTERREY - REYNOSA</t>
  </si>
  <si>
    <t>MO2807</t>
  </si>
  <si>
    <t>MONTERREY - MATAMOROS</t>
  </si>
  <si>
    <t>MO2808</t>
  </si>
  <si>
    <t>MONTERREY - SAN FERNANDO</t>
  </si>
  <si>
    <t>MO2809</t>
  </si>
  <si>
    <t>MONTERREY - TAMPICO</t>
  </si>
  <si>
    <t>MO2810</t>
  </si>
  <si>
    <t>MONTERREY - CUAUHTEMOC</t>
  </si>
  <si>
    <t>MO9902</t>
  </si>
  <si>
    <t>MONTERREY - BROWNSVILLE</t>
  </si>
  <si>
    <t>MEXICALI - ENSENADA</t>
  </si>
  <si>
    <t>MEXICALI - TIJUANA</t>
  </si>
  <si>
    <t>MEXICALI - MEXICALI</t>
  </si>
  <si>
    <t>MX0204</t>
  </si>
  <si>
    <t>MEXICALI - VALLE DE TRINIDAD</t>
  </si>
  <si>
    <t>MX0205</t>
  </si>
  <si>
    <t>MEXICALI - SAN FELIPE</t>
  </si>
  <si>
    <t>MX0206</t>
  </si>
  <si>
    <t>MEXICALI - SAN QUINTIN</t>
  </si>
  <si>
    <t>MX0207</t>
  </si>
  <si>
    <t>MEXICALI - BAHIA DE LOS ANGELES</t>
  </si>
  <si>
    <t>MX0208</t>
  </si>
  <si>
    <t>MEXICALI - VALLE DE MEXICALLI</t>
  </si>
  <si>
    <t>MX0301</t>
  </si>
  <si>
    <t>MEXICALI - GUERRERO NEGRO</t>
  </si>
  <si>
    <t>MX0309</t>
  </si>
  <si>
    <t>MEXICALI - BAHIA DE TORTUGAS</t>
  </si>
  <si>
    <t>MX2604</t>
  </si>
  <si>
    <t>MEXICALI - HERMOSILLO</t>
  </si>
  <si>
    <t>MX2610</t>
  </si>
  <si>
    <t>MEXICALI - PUERTO PEÑASCO</t>
  </si>
  <si>
    <t>MEXICALI - SAN LUIS RIO COLORADO</t>
  </si>
  <si>
    <t>OZ0401</t>
  </si>
  <si>
    <t>ORIZABA - CAMPECHE</t>
  </si>
  <si>
    <t>OZ0402</t>
  </si>
  <si>
    <t>ORIZABA - CIUDAD DEL CARMEN</t>
  </si>
  <si>
    <t>OZ0403</t>
  </si>
  <si>
    <t>ORIZABA - CANDELARIA</t>
  </si>
  <si>
    <t>OZ0404</t>
  </si>
  <si>
    <t>ORIZABA - ESCARCEGA</t>
  </si>
  <si>
    <t>OZ0405</t>
  </si>
  <si>
    <t>ORIZABA - CHAMPOTON</t>
  </si>
  <si>
    <t>OZ0406</t>
  </si>
  <si>
    <t>ORIZABA - EL CENTENARIO</t>
  </si>
  <si>
    <t>OZ0409</t>
  </si>
  <si>
    <t>ORIZABA - DZITBALCHÉ</t>
  </si>
  <si>
    <t>OZ0504</t>
  </si>
  <si>
    <t>ORIZABA - PARRAS DE LA FUENTE</t>
  </si>
  <si>
    <t>OZ0512</t>
  </si>
  <si>
    <t>ORIZABA - GOMEZ FARIAS</t>
  </si>
  <si>
    <t>OZ0701</t>
  </si>
  <si>
    <t>ORIZABA - PICHUCALCO</t>
  </si>
  <si>
    <t>OZ0702</t>
  </si>
  <si>
    <t>ORIZABA - ARRIAGA</t>
  </si>
  <si>
    <t>ORIZABA - TAPACHULA</t>
  </si>
  <si>
    <t>OZ0704</t>
  </si>
  <si>
    <t>ORIZABA - MOTOZINTLA</t>
  </si>
  <si>
    <t>OZ0705</t>
  </si>
  <si>
    <t>ORIZABA - SAN CRISTOBAL</t>
  </si>
  <si>
    <t>OZ0706</t>
  </si>
  <si>
    <t>ORIZABA - PALENQUE</t>
  </si>
  <si>
    <t>OZ0707</t>
  </si>
  <si>
    <t>ORIZABA - COMITAN DE DOMINGUEZ</t>
  </si>
  <si>
    <t>OZ0708</t>
  </si>
  <si>
    <t>ORIZABA - TUXTLA GUTIERREZ</t>
  </si>
  <si>
    <t>OZ0709</t>
  </si>
  <si>
    <t>ORIZABA - OCOSINGO</t>
  </si>
  <si>
    <t>OZ0710</t>
  </si>
  <si>
    <t>ORIZABA - REFORMA, CHIS.</t>
  </si>
  <si>
    <t>OZ0711</t>
  </si>
  <si>
    <t>ORIZABA - BOCHIL</t>
  </si>
  <si>
    <t>OZ0712</t>
  </si>
  <si>
    <t>ORIZABA - OCOZOCOAUTLA</t>
  </si>
  <si>
    <t>OZ0714</t>
  </si>
  <si>
    <t>ORIZABA - MAPASTEPEC</t>
  </si>
  <si>
    <t>OZ0715</t>
  </si>
  <si>
    <t>ORIZABA - HUIXTLA</t>
  </si>
  <si>
    <t>OZ0716</t>
  </si>
  <si>
    <t>ORIZABA - YAJALON</t>
  </si>
  <si>
    <t>OZ0717</t>
  </si>
  <si>
    <t>ORIZABA - BENEMERITO</t>
  </si>
  <si>
    <t>OZ0718</t>
  </si>
  <si>
    <t>ORIZABA - BOCA DE CHAJUL</t>
  </si>
  <si>
    <t>OZ0720</t>
  </si>
  <si>
    <t>ORIZABA - HUISTAN</t>
  </si>
  <si>
    <t>OZ0721</t>
  </si>
  <si>
    <t>ORIZABA - CHICOASEN</t>
  </si>
  <si>
    <t>OZ0722</t>
  </si>
  <si>
    <t>ORIZABA - FRONTERA COMALAPA</t>
  </si>
  <si>
    <t>OZ0723</t>
  </si>
  <si>
    <t>ORIZABA - MALPASO</t>
  </si>
  <si>
    <t>OZ0724</t>
  </si>
  <si>
    <t>ORIZABA - RAYON</t>
  </si>
  <si>
    <t>OZ0725</t>
  </si>
  <si>
    <t>ORIZABA - VILLAFLORES</t>
  </si>
  <si>
    <t>OZ0726</t>
  </si>
  <si>
    <t>ORIZABA - PIJIJIAPAN</t>
  </si>
  <si>
    <t>OZ0901</t>
  </si>
  <si>
    <t>ORIZABA - CUAJIMALPA</t>
  </si>
  <si>
    <t>OZ0902</t>
  </si>
  <si>
    <t>ORIZABA - CUAUHTEMOC</t>
  </si>
  <si>
    <t>OZ0903</t>
  </si>
  <si>
    <t>ORIZABA - IZTAPALAPA</t>
  </si>
  <si>
    <t>OZ0904</t>
  </si>
  <si>
    <t>ORIZABA - G. A. MADERO</t>
  </si>
  <si>
    <t>OZ0905</t>
  </si>
  <si>
    <t>ORIZABA - ALVARO OBREGON</t>
  </si>
  <si>
    <t>OZ1101</t>
  </si>
  <si>
    <t>ORIZABA - LEON</t>
  </si>
  <si>
    <t>OZ1104</t>
  </si>
  <si>
    <t>ORIZABA - SAN MIGUEL DE ALLENDE</t>
  </si>
  <si>
    <t>OZ1106</t>
  </si>
  <si>
    <t>ORIZABA - IRAPUATO</t>
  </si>
  <si>
    <t>OZ1109</t>
  </si>
  <si>
    <t>ORIZABA - SALAMANCA</t>
  </si>
  <si>
    <t>OZ1111</t>
  </si>
  <si>
    <t>ORIZABA - SILAO</t>
  </si>
  <si>
    <t>OZ1207</t>
  </si>
  <si>
    <t>ORIZABA - TLAPA</t>
  </si>
  <si>
    <t>OZ1301</t>
  </si>
  <si>
    <t>ORIZABA - TULANCINGO</t>
  </si>
  <si>
    <t>OZ1303</t>
  </si>
  <si>
    <t>ORIZABA - APAN</t>
  </si>
  <si>
    <t>OZ1306</t>
  </si>
  <si>
    <t>ORIZABA - PACHUCA</t>
  </si>
  <si>
    <t>OZ1309</t>
  </si>
  <si>
    <t>ORIZABA - TULA DE ALLENDE</t>
  </si>
  <si>
    <t>OZ1421</t>
  </si>
  <si>
    <t>ORIZABA - LA BARCA</t>
  </si>
  <si>
    <t>OZ1503</t>
  </si>
  <si>
    <t>ORIZABA - TOLUCA</t>
  </si>
  <si>
    <t>OZ1510</t>
  </si>
  <si>
    <t>ORIZABA - NEZAHUALCOYOTL</t>
  </si>
  <si>
    <t>OZ1512</t>
  </si>
  <si>
    <t>ORIZABA - ECATEPEC</t>
  </si>
  <si>
    <t>OZ1513</t>
  </si>
  <si>
    <t>ORIZABA - TEXCOCO</t>
  </si>
  <si>
    <t>OZ1514</t>
  </si>
  <si>
    <t>ORIZABA - CHALCO</t>
  </si>
  <si>
    <t>OZ1515</t>
  </si>
  <si>
    <t>ORIZABA - CUAUTITLAN</t>
  </si>
  <si>
    <t>OZ1523</t>
  </si>
  <si>
    <t>ORIZABA - TECAMAC</t>
  </si>
  <si>
    <t>OZ1601</t>
  </si>
  <si>
    <t>ORIZABA - MORELIA</t>
  </si>
  <si>
    <t>OZ1604</t>
  </si>
  <si>
    <t>ORIZABA - ZITACUARO</t>
  </si>
  <si>
    <t>OZ1701</t>
  </si>
  <si>
    <t>ORIZABA - CUERNAVACA</t>
  </si>
  <si>
    <t>OZ1702</t>
  </si>
  <si>
    <t>ORIZABA - CUAUTLA</t>
  </si>
  <si>
    <t>OZ1902</t>
  </si>
  <si>
    <t>ORIZABA - MONTERREY</t>
  </si>
  <si>
    <t>ORIZABA - OAXACA</t>
  </si>
  <si>
    <t>OZ2002</t>
  </si>
  <si>
    <t>ORIZABA - HUAJUAPAN</t>
  </si>
  <si>
    <t>OZ2003</t>
  </si>
  <si>
    <t>ORIZABA - PUTLA</t>
  </si>
  <si>
    <t>OZ2004</t>
  </si>
  <si>
    <t>ORIZABA - SALINA CRUZ</t>
  </si>
  <si>
    <t>OZ2005</t>
  </si>
  <si>
    <t>ORIZABA - HUATULCO</t>
  </si>
  <si>
    <t>OZ2006</t>
  </si>
  <si>
    <t>ORIZABA - PUERTO ESCONDIDO</t>
  </si>
  <si>
    <t>OZ2007</t>
  </si>
  <si>
    <t>ORIZABA - PINOTEPA NACIONAL</t>
  </si>
  <si>
    <t>OZ2008</t>
  </si>
  <si>
    <t>ORIZABA - TUXTEPEC</t>
  </si>
  <si>
    <t>OZ2009</t>
  </si>
  <si>
    <t>ORIZABA - OCOTLAN</t>
  </si>
  <si>
    <t>OZ2010</t>
  </si>
  <si>
    <t>ORIZABA - MIXTEPEC</t>
  </si>
  <si>
    <t>OZ2011</t>
  </si>
  <si>
    <t>ORIZABA - TLAPACOYAN</t>
  </si>
  <si>
    <t>OZ2012</t>
  </si>
  <si>
    <t>ORIZABA - EJUTLA</t>
  </si>
  <si>
    <t>OZ2013</t>
  </si>
  <si>
    <t>ORIZABA - SOLA DE VEGA</t>
  </si>
  <si>
    <t>OZ2014</t>
  </si>
  <si>
    <t>ORIZABA - SUCHILTEPEC</t>
  </si>
  <si>
    <t>OZ2015</t>
  </si>
  <si>
    <t>ORIZABA - TLAXIACO</t>
  </si>
  <si>
    <t>OZ2016</t>
  </si>
  <si>
    <t>ORIZABA - NOCHIXTLAN</t>
  </si>
  <si>
    <t>OZ2017</t>
  </si>
  <si>
    <t>ORIZABA - CUICATLAN</t>
  </si>
  <si>
    <t>OZ2018</t>
  </si>
  <si>
    <t>ORIZABA - TAMAZULAPAN</t>
  </si>
  <si>
    <t>OZ2019</t>
  </si>
  <si>
    <t>ORIZABA - MATIAS ROMERO</t>
  </si>
  <si>
    <t>OZ2020</t>
  </si>
  <si>
    <t>ORIZABA - SAN PEDRO TAPANATEPEC</t>
  </si>
  <si>
    <t>OZ2021</t>
  </si>
  <si>
    <t>ORIZABA - TOTOLAPAN</t>
  </si>
  <si>
    <t>OZ2022</t>
  </si>
  <si>
    <t>ORIZABA - JUCHITAN DE ZARAGOZA</t>
  </si>
  <si>
    <t>OZ2023</t>
  </si>
  <si>
    <t>ORIZABA - HUAUTLA DE JIMENEZ</t>
  </si>
  <si>
    <t>OZ2025</t>
  </si>
  <si>
    <t>ORIZABA - ACATLAN</t>
  </si>
  <si>
    <t>OZ2101</t>
  </si>
  <si>
    <t>ORIZABA - IZUCAR</t>
  </si>
  <si>
    <t>OZ2102</t>
  </si>
  <si>
    <t>ORIZABA - SAN MARTIN TEXMELUCAN</t>
  </si>
  <si>
    <t>OZ2103</t>
  </si>
  <si>
    <t>ORIZABA - ATLIXCO</t>
  </si>
  <si>
    <t>OZ2104</t>
  </si>
  <si>
    <t>ORIZABA - PUEBLA</t>
  </si>
  <si>
    <t>OZ2106</t>
  </si>
  <si>
    <t>ORIZABA - TEHUACAN</t>
  </si>
  <si>
    <t>OZ2107</t>
  </si>
  <si>
    <t>ORIZABA - TECAMACHALCO</t>
  </si>
  <si>
    <t>OZ2108</t>
  </si>
  <si>
    <t>ORIZABA - TEPEACA</t>
  </si>
  <si>
    <t>OZ2109</t>
  </si>
  <si>
    <t>ORIZABA - CD. SERDAN</t>
  </si>
  <si>
    <t>ORIZABA - TEZIUTLAN</t>
  </si>
  <si>
    <t>OZ2111</t>
  </si>
  <si>
    <t>ORIZABA - ZACAPOAXTLA</t>
  </si>
  <si>
    <t>OZ2112</t>
  </si>
  <si>
    <t>ORIZABA - LIBRES</t>
  </si>
  <si>
    <t>OZ2113</t>
  </si>
  <si>
    <t>ORIZABA - GUADALUPE VICTORIA</t>
  </si>
  <si>
    <t>OZ2114</t>
  </si>
  <si>
    <t>ORIZABA - XICOTEPEC</t>
  </si>
  <si>
    <t>OZ2115</t>
  </si>
  <si>
    <t>ORIZABA - ZACATLAN</t>
  </si>
  <si>
    <t>OZ2116</t>
  </si>
  <si>
    <t>ORIZABA - HUACHINANGO</t>
  </si>
  <si>
    <t>OZ2117</t>
  </si>
  <si>
    <t>ORIZABA - COXCATLAN</t>
  </si>
  <si>
    <t>OZ2118</t>
  </si>
  <si>
    <t>ORIZABA - CHALCHICOMULA</t>
  </si>
  <si>
    <t>OZ2119</t>
  </si>
  <si>
    <t>ORIZABA - COYOMEAPAN</t>
  </si>
  <si>
    <t>OZ2120</t>
  </si>
  <si>
    <t>ORIZABA - VICENTE GUERRERO</t>
  </si>
  <si>
    <t>OZ2121</t>
  </si>
  <si>
    <t>ORIZABA - IXTACAMAXTITLAN</t>
  </si>
  <si>
    <t>OZ2150</t>
  </si>
  <si>
    <t>ORIZABA - PUEBLA TRASLADOS</t>
  </si>
  <si>
    <t>OZ2201</t>
  </si>
  <si>
    <t>ORIZABA - QUERETARO</t>
  </si>
  <si>
    <t>OZ2202</t>
  </si>
  <si>
    <t>ORIZABA - EZEQUIEL MONTES</t>
  </si>
  <si>
    <t>OZ2301</t>
  </si>
  <si>
    <t>ORIZABA - CANCUN</t>
  </si>
  <si>
    <t>OZ2302</t>
  </si>
  <si>
    <t>ORIZABA - PLAYA DEL CARMEN</t>
  </si>
  <si>
    <t>OZ2303</t>
  </si>
  <si>
    <t>ORIZABA - CHETUMAL</t>
  </si>
  <si>
    <t>OZ2304</t>
  </si>
  <si>
    <t>ORIZABA - COZUMEL</t>
  </si>
  <si>
    <t>OZ2305</t>
  </si>
  <si>
    <t>ORIZABA - ISLA MUJERES</t>
  </si>
  <si>
    <t>OZ2403</t>
  </si>
  <si>
    <t>ORIZABA - RIO VERDE</t>
  </si>
  <si>
    <t>OZ2405</t>
  </si>
  <si>
    <t>ORIZABA - CD. VALLES</t>
  </si>
  <si>
    <t>OZ2409</t>
  </si>
  <si>
    <t>ORIZABA - TAMANZUCHALE</t>
  </si>
  <si>
    <t>OZ2701</t>
  </si>
  <si>
    <t>ORIZABA - CARDENAS</t>
  </si>
  <si>
    <t>OZ2702</t>
  </si>
  <si>
    <t>ORIZABA - MACUSPANA</t>
  </si>
  <si>
    <t>OZ2703</t>
  </si>
  <si>
    <t>ORIZABA - TEAPA</t>
  </si>
  <si>
    <t>OZ2704</t>
  </si>
  <si>
    <t>ORIZABA - TENOSIQUE</t>
  </si>
  <si>
    <t>ORIZABA - VILLAHERMOSA</t>
  </si>
  <si>
    <t>ORIZABA - COMALCALCO</t>
  </si>
  <si>
    <t>OZ2707</t>
  </si>
  <si>
    <t>ORIZABA - HUIMANGUILLO</t>
  </si>
  <si>
    <t>OZ2708</t>
  </si>
  <si>
    <t>ORIZABA - PARAISO</t>
  </si>
  <si>
    <t>OZ2709</t>
  </si>
  <si>
    <t>ORIZABA - FRONTERA</t>
  </si>
  <si>
    <t>OZ2710</t>
  </si>
  <si>
    <t>ORIZABA - JONUTA</t>
  </si>
  <si>
    <t>OZ2711</t>
  </si>
  <si>
    <t>ORIZABA - EMILIANO ZAPATA</t>
  </si>
  <si>
    <t>OZ2712</t>
  </si>
  <si>
    <t>ORIZABA - BALANCAN</t>
  </si>
  <si>
    <t>OZ2715</t>
  </si>
  <si>
    <t>ORIZABA - CHONTAPA</t>
  </si>
  <si>
    <t>ORIZABA - REYNOSA</t>
  </si>
  <si>
    <t>OZ2808</t>
  </si>
  <si>
    <t>ORIZABA - SAN FERNANDO</t>
  </si>
  <si>
    <t>ORIZABA - TAMPICO</t>
  </si>
  <si>
    <t>OZ2901</t>
  </si>
  <si>
    <t>ORIZABA - APIZACO</t>
  </si>
  <si>
    <t>ORIZABA - TLAXCALA</t>
  </si>
  <si>
    <t>OZ2903</t>
  </si>
  <si>
    <t>ORIZABA - HUAMANTLA</t>
  </si>
  <si>
    <t>OZ2904</t>
  </si>
  <si>
    <t>ORIZABA - CALPULALPAN</t>
  </si>
  <si>
    <t>OZ3001</t>
  </si>
  <si>
    <t>ORIZABA - COATZACOALCOS</t>
  </si>
  <si>
    <t>OZ3002</t>
  </si>
  <si>
    <t>ORIZABA - ACAYUCAN</t>
  </si>
  <si>
    <t>ORIZABA - ORIZABA</t>
  </si>
  <si>
    <t>ORIZABA - CORDOBA</t>
  </si>
  <si>
    <t>ORIZABA - POZA RICA</t>
  </si>
  <si>
    <t>ORIZABA - TUXPAN</t>
  </si>
  <si>
    <t>OZ3007</t>
  </si>
  <si>
    <t>ORIZABA - LOS TUXTLAS</t>
  </si>
  <si>
    <t>OZ3008</t>
  </si>
  <si>
    <t>ORIZABA - COSAMALOAPAN</t>
  </si>
  <si>
    <t>OZ3009</t>
  </si>
  <si>
    <t>ORIZABA - TIERRA BLANCA</t>
  </si>
  <si>
    <t>ORIZABA - VERACRUZ PUERTO</t>
  </si>
  <si>
    <t>ORIZABA - VERACRUZ FORANEO</t>
  </si>
  <si>
    <t>ORIZABA - XALAPA</t>
  </si>
  <si>
    <t>ORIZABA - MARTINEZ DE LA TORRE</t>
  </si>
  <si>
    <t>OZ3014</t>
  </si>
  <si>
    <t>ORIZABA - HUAYACOCOTLA</t>
  </si>
  <si>
    <t>OZ3015</t>
  </si>
  <si>
    <t>ORIZABA - PANUCO</t>
  </si>
  <si>
    <t>OZ3016</t>
  </si>
  <si>
    <t>ORIZABA - TEMPOAL</t>
  </si>
  <si>
    <t>OZ3017</t>
  </si>
  <si>
    <t>ORIZABA - EL HIGO</t>
  </si>
  <si>
    <t>ORIZABA - CERRO AZUL</t>
  </si>
  <si>
    <t>OZ3019</t>
  </si>
  <si>
    <t>ORIZABA - TAMIAHUA</t>
  </si>
  <si>
    <t>OZ3020</t>
  </si>
  <si>
    <t>ORIZABA - TANTOYUCA</t>
  </si>
  <si>
    <t>OZ3021</t>
  </si>
  <si>
    <t>ORIZABA - NARANJOS</t>
  </si>
  <si>
    <t>ORIZABA - COATZINTLA</t>
  </si>
  <si>
    <t>OZ3023</t>
  </si>
  <si>
    <t>ORIZABA - ALTOTONGA</t>
  </si>
  <si>
    <t>OZ3024</t>
  </si>
  <si>
    <t>ORIZABA - TEQUILA</t>
  </si>
  <si>
    <t>OZ3025</t>
  </si>
  <si>
    <t>ORIZABA - ZONGOLICA</t>
  </si>
  <si>
    <t>OZ3026</t>
  </si>
  <si>
    <t>ORIZABA - COSCOMATEPEC</t>
  </si>
  <si>
    <t>OZ3027</t>
  </si>
  <si>
    <t>ORIZABA - HUATUSCO</t>
  </si>
  <si>
    <t>ORIZABA - CUITLAHUAC</t>
  </si>
  <si>
    <t>OZ3029</t>
  </si>
  <si>
    <t>ORIZABA - LA TINAJA</t>
  </si>
  <si>
    <t>OZ3030</t>
  </si>
  <si>
    <t>ORIZABA - AGUA DULCE</t>
  </si>
  <si>
    <t>OZ3032</t>
  </si>
  <si>
    <t>ORIZABA - PASO DEL MACHO</t>
  </si>
  <si>
    <t>OZ3033</t>
  </si>
  <si>
    <t>0RIZABA - TLALTETELA</t>
  </si>
  <si>
    <t>OZ3034</t>
  </si>
  <si>
    <t>ORIZABA - ALTO LUCERO</t>
  </si>
  <si>
    <t>OZ3035</t>
  </si>
  <si>
    <t>ORIZABA - COYUTLA</t>
  </si>
  <si>
    <t>OZ3036</t>
  </si>
  <si>
    <t>ORIZABA - IXPALUCA</t>
  </si>
  <si>
    <t>OZ3037</t>
  </si>
  <si>
    <t>ORIZABA - TONALIXCO GRANDE</t>
  </si>
  <si>
    <t>OZ3038</t>
  </si>
  <si>
    <t>ORIZABA - TLACUILOLA</t>
  </si>
  <si>
    <t>OZ3039</t>
  </si>
  <si>
    <t>ORIZABA - ACUAPA</t>
  </si>
  <si>
    <t>OZ3040</t>
  </si>
  <si>
    <t>ORIZABA - TOLOXOCHINO</t>
  </si>
  <si>
    <t>OZ3101</t>
  </si>
  <si>
    <t>ORIZABA - MERIDA</t>
  </si>
  <si>
    <t>OZ3102</t>
  </si>
  <si>
    <t>ORIZABA - TEKAX</t>
  </si>
  <si>
    <t>OZ3105</t>
  </si>
  <si>
    <t>ORIZABA - UMAN</t>
  </si>
  <si>
    <t>OZ3201</t>
  </si>
  <si>
    <t>ORIZABA - SOMBRERETE</t>
  </si>
  <si>
    <t>OZ3202</t>
  </si>
  <si>
    <t>ORIZABA - CONCEPCIÓN DEL ORO</t>
  </si>
  <si>
    <t>OZ3205</t>
  </si>
  <si>
    <t>ORIZABA - ZACATECAS</t>
  </si>
  <si>
    <t>OZ3211</t>
  </si>
  <si>
    <t>ORIZABA - NORIA DE ANGELES</t>
  </si>
  <si>
    <t>OZ3214</t>
  </si>
  <si>
    <t>ORIZABA - TABASCO</t>
  </si>
  <si>
    <t>PA0201</t>
  </si>
  <si>
    <t>LA PAZ - ENSENADA</t>
  </si>
  <si>
    <t>PA0202</t>
  </si>
  <si>
    <t>LA PAZ - TIJUANA</t>
  </si>
  <si>
    <t>PA0301</t>
  </si>
  <si>
    <t>LA PAZ - GUERRERO NEGRO</t>
  </si>
  <si>
    <t>PA0302</t>
  </si>
  <si>
    <t>LA PAZ - SANTA ROSALIA</t>
  </si>
  <si>
    <t>PA0303</t>
  </si>
  <si>
    <t>LA PAZ - MULEGE</t>
  </si>
  <si>
    <t>LA PAZ - LORETO</t>
  </si>
  <si>
    <t>LA PAZ - LA PAZ</t>
  </si>
  <si>
    <t>LA PAZ - LOS CABOS</t>
  </si>
  <si>
    <t>PA0307</t>
  </si>
  <si>
    <t>LA PAZ - COMONDU</t>
  </si>
  <si>
    <t>PA0308</t>
  </si>
  <si>
    <t>LA PAZ - CD. CONSTITUCION</t>
  </si>
  <si>
    <t>PA0309</t>
  </si>
  <si>
    <t>LA PAZ - BAHÍA DE TORTUGAS</t>
  </si>
  <si>
    <t>PUEBLA - ATLIXCO</t>
  </si>
  <si>
    <t>RA0101</t>
  </si>
  <si>
    <t>RAMOS ARIZPE - AGUASCALIENTES</t>
  </si>
  <si>
    <t>RA0102</t>
  </si>
  <si>
    <t>RAMOS ARIZPE - CALVILLO</t>
  </si>
  <si>
    <t>RAMOS ARIZPE - MONCLOVA</t>
  </si>
  <si>
    <t>RAMOS ARIZPE - SABINAS</t>
  </si>
  <si>
    <t>RA0503</t>
  </si>
  <si>
    <t>RAMOS ARIZPE - MUZQUIZ</t>
  </si>
  <si>
    <t>RA0504</t>
  </si>
  <si>
    <t>RAMOS ARIZPE - PARRAS</t>
  </si>
  <si>
    <t>RAMOS ARIZPE - TORREON</t>
  </si>
  <si>
    <t>RAMOS ARIZPE - PIEDRAS NEGRAS</t>
  </si>
  <si>
    <t>RAMOS ARIZPE - CIUDAD ACUÑA</t>
  </si>
  <si>
    <t>RA0508</t>
  </si>
  <si>
    <t>RAMOS ARIZPE - ALLENDE, COAH</t>
  </si>
  <si>
    <t>RAMOS ARIZPE - SALTILLO</t>
  </si>
  <si>
    <t>RAMOS ARIZPE - HERCULES</t>
  </si>
  <si>
    <t>RA0511</t>
  </si>
  <si>
    <t>RAMOS ARIZPE - HACIENDA DE GUADALUPE</t>
  </si>
  <si>
    <t>RAMOS ARIZPE - GOMEZ FARIAS</t>
  </si>
  <si>
    <t>RA0513</t>
  </si>
  <si>
    <t>RAMOS ARIZPE - CUATROCIENEGAS</t>
  </si>
  <si>
    <t>RA0516</t>
  </si>
  <si>
    <t>RAMOS ARIZPE - ARTEAGA</t>
  </si>
  <si>
    <t>RAMOS ARIZPE - CAMARGO</t>
  </si>
  <si>
    <t>RA0802</t>
  </si>
  <si>
    <t>RAMOS ARIZPE - CHIHUAHUA</t>
  </si>
  <si>
    <t>RA0803</t>
  </si>
  <si>
    <t>RAMOS ARIZPE - DELICIAS</t>
  </si>
  <si>
    <t>RAMOS ARIZPE - CUAUHTEMOC</t>
  </si>
  <si>
    <t>RAMOS ARIZPE - OJINAGA</t>
  </si>
  <si>
    <t>RA0806</t>
  </si>
  <si>
    <t>RAMOS ARIZPE - CIUDAD JUAREZ</t>
  </si>
  <si>
    <t>RA0807</t>
  </si>
  <si>
    <t>RAMOS ARIZPE - NUEVO CASAS GRANDES</t>
  </si>
  <si>
    <t>RAMOS ARIZPE - HIDALGO DEL PARRAL</t>
  </si>
  <si>
    <t>RAMOS ARIZPE - JIMENEZ</t>
  </si>
  <si>
    <t>RA0810</t>
  </si>
  <si>
    <t>RA0811</t>
  </si>
  <si>
    <t>RAMOS ARIZPE - CREEL</t>
  </si>
  <si>
    <t>RAMOS ARIZPE - GUACHOCHIC</t>
  </si>
  <si>
    <t>RA0813</t>
  </si>
  <si>
    <t>RAMOS ARIZPE - GUADALUPE Y CALVO</t>
  </si>
  <si>
    <t>RA0814</t>
  </si>
  <si>
    <t>RAMOS ARIZPE - ASCENCION</t>
  </si>
  <si>
    <t>RA0815</t>
  </si>
  <si>
    <t>RAMOS ARIZPE - VILLA AHUMADA</t>
  </si>
  <si>
    <t>RA0819</t>
  </si>
  <si>
    <t>RAMOS ARIZPE - BASASEACHIC</t>
  </si>
  <si>
    <t>RA0902</t>
  </si>
  <si>
    <t>RA0904</t>
  </si>
  <si>
    <t>RAMOS ARIZPE - G. A. MADERO</t>
  </si>
  <si>
    <t>RAMOS ARIZPE - DURANGO</t>
  </si>
  <si>
    <t>RA1002</t>
  </si>
  <si>
    <t>RAMOS ARIZPE - SANTIAGO PAPASQUIARO</t>
  </si>
  <si>
    <t>RAMOS ARIZPE - CUENCAME</t>
  </si>
  <si>
    <t>RA1004</t>
  </si>
  <si>
    <t>RAMOS ARIZPE - RODEO</t>
  </si>
  <si>
    <t>RAMOS ARIZPE - GOMEZ PALACIO</t>
  </si>
  <si>
    <t>RAMOS ARIZPE - LA CIUDAD</t>
  </si>
  <si>
    <t>RA1007</t>
  </si>
  <si>
    <t>RAMOS ARIZPE - MEZQUITAL</t>
  </si>
  <si>
    <t>RAMOS ARIZPE - LERDO</t>
  </si>
  <si>
    <t>RA1010</t>
  </si>
  <si>
    <t>RAMOS ARIZPE - CIENEGA DE NUESTRA SEÑORA</t>
  </si>
  <si>
    <t>RA1011</t>
  </si>
  <si>
    <t>RAMOS ARIZPE - EL BALUARTE</t>
  </si>
  <si>
    <t>RA1106</t>
  </si>
  <si>
    <t>RAMOS ARIZPE - IRAPUATO</t>
  </si>
  <si>
    <t>RA1406</t>
  </si>
  <si>
    <t>RAMOS ARIZPE - EL SALTO</t>
  </si>
  <si>
    <t>RA1409</t>
  </si>
  <si>
    <t>RAMOS ARIZPE - ENCARNACION DE DIAZ</t>
  </si>
  <si>
    <t>RA1414</t>
  </si>
  <si>
    <t>RAMOS ARIZPE - COLOTLAN</t>
  </si>
  <si>
    <t>RA1415</t>
  </si>
  <si>
    <t>RAMOS ARIZPE - OJUELOS</t>
  </si>
  <si>
    <t>RA1510</t>
  </si>
  <si>
    <t>RAMOS ARIZPE - NEZAHUALCOTOTL</t>
  </si>
  <si>
    <t>RA1901</t>
  </si>
  <si>
    <t>RAMOS ARIZPE - DOCTOR ARROYO</t>
  </si>
  <si>
    <t>RA1902</t>
  </si>
  <si>
    <t>RAMOS ARIZPE - MONTERREY</t>
  </si>
  <si>
    <t>RA1903</t>
  </si>
  <si>
    <t>RAMOS ARIZPE - GUADALUPE</t>
  </si>
  <si>
    <t>RAMOS ARIZPE - SANTA CATARINA</t>
  </si>
  <si>
    <t>RA1905</t>
  </si>
  <si>
    <t>RAMOS ARIZPE - GENERAL ESCOBEDO</t>
  </si>
  <si>
    <t>RAMOS ARIZPE - ALLENDE, NL</t>
  </si>
  <si>
    <t>RA1907</t>
  </si>
  <si>
    <t>RAMOS ARIZPE - GENERAL BRAVO</t>
  </si>
  <si>
    <t>RA1908</t>
  </si>
  <si>
    <t>RAMOS ARIZPE - SABINAS HIDALGO</t>
  </si>
  <si>
    <t>RA1909</t>
  </si>
  <si>
    <t>RAMOS ARIZPE - ANAHUAC</t>
  </si>
  <si>
    <t>RA1910</t>
  </si>
  <si>
    <t>RAMOS ARIZPE - LINARES</t>
  </si>
  <si>
    <t>RA1911</t>
  </si>
  <si>
    <t>RAMOS ARIZPE - GALEANA</t>
  </si>
  <si>
    <t>RA1950</t>
  </si>
  <si>
    <t>RAMOS ARIZPE - MONTERREY TRASLADOS</t>
  </si>
  <si>
    <t>RA2113</t>
  </si>
  <si>
    <t>RAMOS ARIZPE - GUADALUPE VICTORIA</t>
  </si>
  <si>
    <t>RA2401</t>
  </si>
  <si>
    <t>RAMOS ARIZPE - SALINAS HIDALGO</t>
  </si>
  <si>
    <t>RA2402</t>
  </si>
  <si>
    <t>RAMOS ARIZPE - VILLA DE ARRIAGA</t>
  </si>
  <si>
    <t>RA2403</t>
  </si>
  <si>
    <t>RAMOS ARIZPE - RIO VERDE</t>
  </si>
  <si>
    <t>RA2404</t>
  </si>
  <si>
    <t>RAMOS ARIZPE - CD. DEL MAIZ</t>
  </si>
  <si>
    <t>RA2405</t>
  </si>
  <si>
    <t>RAMOS ARIZPE - CD. VALLES</t>
  </si>
  <si>
    <t>RA2406</t>
  </si>
  <si>
    <t>RAMOS ARIZPE - MATEHUALA</t>
  </si>
  <si>
    <t>RA2407</t>
  </si>
  <si>
    <t>RAMOS ARIZPE - SAN LUIS POTOSI</t>
  </si>
  <si>
    <t>RA2408</t>
  </si>
  <si>
    <t>RAMOS ARIZPE - CERRITOS</t>
  </si>
  <si>
    <t>RA2409</t>
  </si>
  <si>
    <t>RAMOS ARIZPE - TAMAZUNCHALE</t>
  </si>
  <si>
    <t>RA2410</t>
  </si>
  <si>
    <t>RAMOS ARIZPE - VILLA DE REYES</t>
  </si>
  <si>
    <t>RA2411</t>
  </si>
  <si>
    <t>RAMOS ARIZPE - CARDENAS</t>
  </si>
  <si>
    <t>RA2450</t>
  </si>
  <si>
    <t>RAMOS ARIZPE - SAN LUIS POTOSI TRASLADOS</t>
  </si>
  <si>
    <t>RA2606</t>
  </si>
  <si>
    <t>RAMOS ARIZPE - AGUA PRIETA</t>
  </si>
  <si>
    <t>RA2801</t>
  </si>
  <si>
    <t>RAMOS ARIZPE - CD. MANTE</t>
  </si>
  <si>
    <t>RAMOS ARIZPE - CD. VICTORIA</t>
  </si>
  <si>
    <t>RA2803</t>
  </si>
  <si>
    <t>RAMOS ARIZPE - NUEVO LAREDO</t>
  </si>
  <si>
    <t>RAMOS ARIZPE - MIGUEL ALEMAN</t>
  </si>
  <si>
    <t>RAMOS ARIZPE - REYNOSA</t>
  </si>
  <si>
    <t>RAMOS ARIZPE - MATAMOROS</t>
  </si>
  <si>
    <t>RA2808</t>
  </si>
  <si>
    <t>RAMOS ARIZPE - SAN FERNANDO</t>
  </si>
  <si>
    <t>RAMOS ARIZPE - TAMPICO</t>
  </si>
  <si>
    <t>RA2810</t>
  </si>
  <si>
    <t>RA2811</t>
  </si>
  <si>
    <t>RAMOS ARIZPE - JAUMAVE</t>
  </si>
  <si>
    <t>RA2812</t>
  </si>
  <si>
    <t>RAMOS ARIZPE - ALDAMA</t>
  </si>
  <si>
    <t>RA3201</t>
  </si>
  <si>
    <t>RAMOS ARIZPE - SOMBRERETE</t>
  </si>
  <si>
    <t>RA3202</t>
  </si>
  <si>
    <t>RAMOS ARIZPE - CONCEPCION DEL ORO</t>
  </si>
  <si>
    <t>RA3203</t>
  </si>
  <si>
    <t>RAMOS ARIZPE - NOSCHITLAN DE MEJIA</t>
  </si>
  <si>
    <t>RA3204</t>
  </si>
  <si>
    <t>RAMOS ARIZPE - MOMAX</t>
  </si>
  <si>
    <t>RAMOS ARIZPE - ZACATECAS</t>
  </si>
  <si>
    <t>RA3206</t>
  </si>
  <si>
    <t>RAMOS ARIZPE - FRESNILLO</t>
  </si>
  <si>
    <t>RA3207</t>
  </si>
  <si>
    <t>RAMOS ARIZPE - JEREZ</t>
  </si>
  <si>
    <t>RA3208</t>
  </si>
  <si>
    <t>RAMOS ARIZPE - RIO GRANDE</t>
  </si>
  <si>
    <t>RA3209</t>
  </si>
  <si>
    <t>RAMOS ARIZPE - JUCHIPILA</t>
  </si>
  <si>
    <t>RA3210</t>
  </si>
  <si>
    <t>RAMOS ARIZPE - NIEVES</t>
  </si>
  <si>
    <t>RA3211</t>
  </si>
  <si>
    <t>RAMOS ARIZPE - NORIA DE ANGELES</t>
  </si>
  <si>
    <t>RA3212</t>
  </si>
  <si>
    <t>RAMOS ARIZPE - VALPARAISO</t>
  </si>
  <si>
    <t>RA3213</t>
  </si>
  <si>
    <t>RAMOS ARIZPE - SAN TIBURCIO</t>
  </si>
  <si>
    <t>RA3214</t>
  </si>
  <si>
    <t>RAMOS ARIZPE - TABASCO</t>
  </si>
  <si>
    <t>RA3215</t>
  </si>
  <si>
    <t>RAMOS ARIZPE - JALPA</t>
  </si>
  <si>
    <t>RA9902</t>
  </si>
  <si>
    <t>RAMOS ARIZPE - BROWNSVILLE</t>
  </si>
  <si>
    <t>SL0101</t>
  </si>
  <si>
    <t>SAN LUIS POTOSI - AGUASCALIENTES</t>
  </si>
  <si>
    <t>SL0102</t>
  </si>
  <si>
    <t>SAN LUIS POTOSI - CALVILLO</t>
  </si>
  <si>
    <t>SL0509</t>
  </si>
  <si>
    <t>SAN LUIS POTOSI - SALTILLO</t>
  </si>
  <si>
    <t>SL1102</t>
  </si>
  <si>
    <t>SAN LUIS POTOSI - CELAYA</t>
  </si>
  <si>
    <t>SL1106</t>
  </si>
  <si>
    <t>SAN LUIS POTOSI - IRAPUATO</t>
  </si>
  <si>
    <t>SL1107</t>
  </si>
  <si>
    <t>SAN LUIS POTOSI - SAN FELIPE</t>
  </si>
  <si>
    <t>SL1401</t>
  </si>
  <si>
    <t>SAN LUIS POTOSI - GUADALAJARA</t>
  </si>
  <si>
    <t>SL1409</t>
  </si>
  <si>
    <t>SAN LUIS POTOSI - ENCARNACION DE DIAZ</t>
  </si>
  <si>
    <t>SL1414</t>
  </si>
  <si>
    <t>SAN LUIS POTOSI - COLOTLAN</t>
  </si>
  <si>
    <t>SL1415</t>
  </si>
  <si>
    <t>SAN LUIS POTOSI - OJUELOS</t>
  </si>
  <si>
    <t>SL1802</t>
  </si>
  <si>
    <t>SAN LUIS POTOSI - TUXPAN</t>
  </si>
  <si>
    <t>SL1901</t>
  </si>
  <si>
    <t>SAN LUIS POTOSI - DOCTOR ARROYO</t>
  </si>
  <si>
    <t>SL1902</t>
  </si>
  <si>
    <t>SAN LUIS POTOSI - MONTERREY</t>
  </si>
  <si>
    <t>SL2201</t>
  </si>
  <si>
    <t>SAN LUIS POTOSI - QUERETARO</t>
  </si>
  <si>
    <t>SL2401</t>
  </si>
  <si>
    <t>SAN LUIS POTOSI - SALINAS HIDALGO</t>
  </si>
  <si>
    <t>SL2402</t>
  </si>
  <si>
    <t>SAN LUIS POTOSI - VILLA DE ARRIAGA</t>
  </si>
  <si>
    <t>SL2403</t>
  </si>
  <si>
    <t>SAN LUIS POTOSI - RIO VERDE</t>
  </si>
  <si>
    <t>SL2404</t>
  </si>
  <si>
    <t>SAN LUIS POTOSI - CD. DEL MAIZ</t>
  </si>
  <si>
    <t>SL2405</t>
  </si>
  <si>
    <t>SAN LUIS POTOSI - CD. VALLES</t>
  </si>
  <si>
    <t>SAN LUIS POTOSI - MATEHUALA</t>
  </si>
  <si>
    <t>SAN LUIS POTOSI - SAN LUIS POTOSI</t>
  </si>
  <si>
    <t>SL2408</t>
  </si>
  <si>
    <t>SAN LUIS POTOSI - CERRITOS</t>
  </si>
  <si>
    <t>SL2409</t>
  </si>
  <si>
    <t>SAN LUIS POTOSI - TAMAZUNCHALE</t>
  </si>
  <si>
    <t>SL2410</t>
  </si>
  <si>
    <t>SAN LUIS POTOSI - VILLA DE REYES</t>
  </si>
  <si>
    <t>SL2411</t>
  </si>
  <si>
    <t>SAN LUIS POTOSI - CARDENAS</t>
  </si>
  <si>
    <t>SL2412</t>
  </si>
  <si>
    <t>SAN LUIS POTOSI - VILLA DE RAMOS</t>
  </si>
  <si>
    <t>SL2801</t>
  </si>
  <si>
    <t>SAN LUIS POTOSI - CD. MANTE</t>
  </si>
  <si>
    <t>SL3005</t>
  </si>
  <si>
    <t>SAN LUIS POTOSI - POZA RICA</t>
  </si>
  <si>
    <t>SL3006</t>
  </si>
  <si>
    <t>SL3201</t>
  </si>
  <si>
    <t>SAN LUIS POTOSI - SOMBRERETE</t>
  </si>
  <si>
    <t>SL3203</t>
  </si>
  <si>
    <t>SAN LUIS POTOSI - NOSCHITLAN DE MEJIA</t>
  </si>
  <si>
    <t>SL3204</t>
  </si>
  <si>
    <t>SAN LUIS POTOSI - MOMAX</t>
  </si>
  <si>
    <t>SL3205</t>
  </si>
  <si>
    <t>SAN LUIS POTOSI - ZACATECAS</t>
  </si>
  <si>
    <t>SL3206</t>
  </si>
  <si>
    <t>SAN LUIS POTOSI - FRESNILLO</t>
  </si>
  <si>
    <t>SL3207</t>
  </si>
  <si>
    <t>SAN LUIS POTOSI - JEREZ</t>
  </si>
  <si>
    <t>SL3211</t>
  </si>
  <si>
    <t>SAN LUIS POTOSI - NORIA DE ANGELES</t>
  </si>
  <si>
    <t>TAMPICO - CIUDAD MAN</t>
  </si>
  <si>
    <t>TC0101</t>
  </si>
  <si>
    <t>TECOMAN - AGUASCALIENTES</t>
  </si>
  <si>
    <t>TC0102</t>
  </si>
  <si>
    <t>TECOMAN - CALVILLO</t>
  </si>
  <si>
    <t>TC0103</t>
  </si>
  <si>
    <t>TECOMAN - TEPEZALA</t>
  </si>
  <si>
    <t>TC0201</t>
  </si>
  <si>
    <t>TECOMAN - ENSENADA</t>
  </si>
  <si>
    <t>TC0202</t>
  </si>
  <si>
    <t>TECOMAN - TIJUANA</t>
  </si>
  <si>
    <t>TC0203</t>
  </si>
  <si>
    <t>TECOMAN - MEXICALI</t>
  </si>
  <si>
    <t>TC0305</t>
  </si>
  <si>
    <t>TECOMAN - LA PAZ</t>
  </si>
  <si>
    <t>TC0505</t>
  </si>
  <si>
    <t>TECOMAN - TORREON</t>
  </si>
  <si>
    <t>TC0510</t>
  </si>
  <si>
    <t>TECOMAN - HERCULES</t>
  </si>
  <si>
    <t>TECOMAN - COLIMA</t>
  </si>
  <si>
    <t>TC0602</t>
  </si>
  <si>
    <t>TECOMAN - TECOMAN</t>
  </si>
  <si>
    <t>TECOMAN - MANZANILLO</t>
  </si>
  <si>
    <t>TC0610</t>
  </si>
  <si>
    <t>TECOMAN - MANZANILLO TRASLADOS</t>
  </si>
  <si>
    <t>TC06CK</t>
  </si>
  <si>
    <t>TECOMAN - MANZANILLO CLINKER</t>
  </si>
  <si>
    <t>TC0902</t>
  </si>
  <si>
    <t>TECOMAN - CUAUHTEMOC</t>
  </si>
  <si>
    <t>TC1001</t>
  </si>
  <si>
    <t>TECOMAN - DURANGO</t>
  </si>
  <si>
    <t>TC1101</t>
  </si>
  <si>
    <t>TECOMAN - LEON</t>
  </si>
  <si>
    <t>TC1106</t>
  </si>
  <si>
    <t>TECOMAN - IRAPUATO</t>
  </si>
  <si>
    <t>TC1201</t>
  </si>
  <si>
    <t>TECOMAN - ACAPULCO</t>
  </si>
  <si>
    <t>TC1401</t>
  </si>
  <si>
    <t>TECOMAN - GUADALAJARA</t>
  </si>
  <si>
    <t>TC1402</t>
  </si>
  <si>
    <t>TECOMAN - ZAPOPAN</t>
  </si>
  <si>
    <t>TC1403</t>
  </si>
  <si>
    <t>TECOMAN - TLAQUEPAQUE</t>
  </si>
  <si>
    <t>TC1404</t>
  </si>
  <si>
    <t>TECOMAN - TONALA</t>
  </si>
  <si>
    <t>TC1405</t>
  </si>
  <si>
    <t>TECOMAN - TLAJOMULCO</t>
  </si>
  <si>
    <t>TC1406</t>
  </si>
  <si>
    <t>TECOMAN - EL SALTO</t>
  </si>
  <si>
    <t>TC1407</t>
  </si>
  <si>
    <t>TECOMAN - ZAPOTLANEJO</t>
  </si>
  <si>
    <t>TC1408</t>
  </si>
  <si>
    <t>TECOMAN - SAN JULIAN</t>
  </si>
  <si>
    <t>TC1409</t>
  </si>
  <si>
    <t>TECOMAN - ENCARNACION DE DIAZ</t>
  </si>
  <si>
    <t>TC1410</t>
  </si>
  <si>
    <t>TECOMAN - LAGOS DE MORENO</t>
  </si>
  <si>
    <t>TC1411</t>
  </si>
  <si>
    <t>TECOMAN - TEPATITLAN</t>
  </si>
  <si>
    <t>TC1412</t>
  </si>
  <si>
    <t>TECOMAN - ARANDAS</t>
  </si>
  <si>
    <t>TC1413</t>
  </si>
  <si>
    <t>TECOMAN - OCOTLAN</t>
  </si>
  <si>
    <t>TC1414</t>
  </si>
  <si>
    <t>TECOMAN - COLOTLAN</t>
  </si>
  <si>
    <t>TC1415</t>
  </si>
  <si>
    <t>TECOMAN - OJUELOS</t>
  </si>
  <si>
    <t>TC1416</t>
  </si>
  <si>
    <t>TECOMAN - AYOTLAN</t>
  </si>
  <si>
    <t>TC1417</t>
  </si>
  <si>
    <t>TECOMAN - YAHUALICA</t>
  </si>
  <si>
    <t>TC1418</t>
  </si>
  <si>
    <t>TECOMAN - JALOSTOTITLAN</t>
  </si>
  <si>
    <t>TC1419</t>
  </si>
  <si>
    <t>TECOMAN - COCULA</t>
  </si>
  <si>
    <t>TC1420</t>
  </si>
  <si>
    <t>TECOMAN - SAYULA</t>
  </si>
  <si>
    <t>TC1421</t>
  </si>
  <si>
    <t>TECOMAN - LA BARCA</t>
  </si>
  <si>
    <t>TC1422</t>
  </si>
  <si>
    <t>TECOMAN - TEQUILA</t>
  </si>
  <si>
    <t>TC1423</t>
  </si>
  <si>
    <t>TECOMAN - CHAPALA</t>
  </si>
  <si>
    <t>TC1424</t>
  </si>
  <si>
    <t>TECOMAN - CIUDAD GUZMAN</t>
  </si>
  <si>
    <t>TC1425</t>
  </si>
  <si>
    <t>TECOMAN - TAMAZULA</t>
  </si>
  <si>
    <t>TC1426</t>
  </si>
  <si>
    <t>TECOMAN - TUXPAN</t>
  </si>
  <si>
    <t>TC1427</t>
  </si>
  <si>
    <t>TECOMAN - AUTLAN</t>
  </si>
  <si>
    <t>TC1428</t>
  </si>
  <si>
    <t>TECOMAN - LA HUERTA</t>
  </si>
  <si>
    <t>TC1429</t>
  </si>
  <si>
    <t>TECOMAN - MELAQUE</t>
  </si>
  <si>
    <t>TC1430</t>
  </si>
  <si>
    <t>TECOMAN - TOMATLAN</t>
  </si>
  <si>
    <t>TC1431</t>
  </si>
  <si>
    <t>TECOMAN - PUERTO VALLARTA</t>
  </si>
  <si>
    <t>TC1432</t>
  </si>
  <si>
    <t>TECOMAN - MAZAMITLA</t>
  </si>
  <si>
    <t>TC1602</t>
  </si>
  <si>
    <t>TECOMAN - APATZINGAN</t>
  </si>
  <si>
    <t>TC1607</t>
  </si>
  <si>
    <t>TECOMAN - ZAMORA</t>
  </si>
  <si>
    <t>TC1608</t>
  </si>
  <si>
    <t>TECOMAN - LAZARO CARDENAS</t>
  </si>
  <si>
    <t>TC1612</t>
  </si>
  <si>
    <t>TECOMAN - INFIERNILLO</t>
  </si>
  <si>
    <t>TC1616</t>
  </si>
  <si>
    <t>TECOMAN - SAHUAYO</t>
  </si>
  <si>
    <t>TC1622</t>
  </si>
  <si>
    <t>TECOMAN - TEPALCATEPEC</t>
  </si>
  <si>
    <t>TC1623</t>
  </si>
  <si>
    <t>TECOMAN - LOS REYES</t>
  </si>
  <si>
    <t>TC1625</t>
  </si>
  <si>
    <t>TECOMAN - AQUILA</t>
  </si>
  <si>
    <t>TECOMAN - TEPIC</t>
  </si>
  <si>
    <t>TC1802</t>
  </si>
  <si>
    <t>TC1803</t>
  </si>
  <si>
    <t>TECOMAN - ACAPONETA</t>
  </si>
  <si>
    <t>TC1804</t>
  </si>
  <si>
    <t>TECOMAN - BUCERIAS</t>
  </si>
  <si>
    <t>TC1805</t>
  </si>
  <si>
    <t>TECOMAN - IXTLAN</t>
  </si>
  <si>
    <t>TC2403</t>
  </si>
  <si>
    <t>TECOMAN - RIO VERDE</t>
  </si>
  <si>
    <t>TC2407</t>
  </si>
  <si>
    <t>TECOMAN - SAN LUIS POTOSI</t>
  </si>
  <si>
    <t>TC2501</t>
  </si>
  <si>
    <t>TECOMAN - CULIACAN</t>
  </si>
  <si>
    <t>TC2502</t>
  </si>
  <si>
    <t>TECOMAN - COSALA</t>
  </si>
  <si>
    <t>TC2503</t>
  </si>
  <si>
    <t>TECOMAN - LOS MOCHIS</t>
  </si>
  <si>
    <t>TC2504</t>
  </si>
  <si>
    <t>TECOMAN - GUASAVE</t>
  </si>
  <si>
    <t>TC2505</t>
  </si>
  <si>
    <t>TECOMAN - GUAMUCHIL</t>
  </si>
  <si>
    <t>TECOMAN - MAZATLAN</t>
  </si>
  <si>
    <t>TC2508</t>
  </si>
  <si>
    <t>TECOMAN - EL ROSARIO</t>
  </si>
  <si>
    <t>TC2509</t>
  </si>
  <si>
    <t>TECOMAN - ESCUINAPA</t>
  </si>
  <si>
    <t>TC2510</t>
  </si>
  <si>
    <t>TECOMAN - SAN IGNACIO</t>
  </si>
  <si>
    <t>TC2601</t>
  </si>
  <si>
    <t>TECOMAN - CD. OBREGON</t>
  </si>
  <si>
    <t>TC2602</t>
  </si>
  <si>
    <t>TECOMAN - GUAYMAS</t>
  </si>
  <si>
    <t>TC2603</t>
  </si>
  <si>
    <t>TECOMAN - NAVOJOA</t>
  </si>
  <si>
    <t>TC2604</t>
  </si>
  <si>
    <t>TECOMAN - HERMOSILLO</t>
  </si>
  <si>
    <t>TC2605</t>
  </si>
  <si>
    <t>TECOMAN - NOGALES</t>
  </si>
  <si>
    <t>TC2606</t>
  </si>
  <si>
    <t>TECOMAN - AGUA PRIETA</t>
  </si>
  <si>
    <t>TC2607</t>
  </si>
  <si>
    <t>TECOMAN - CANANEA</t>
  </si>
  <si>
    <t>TC2608</t>
  </si>
  <si>
    <t>TECOMAN - CABORCA</t>
  </si>
  <si>
    <t>TC2612</t>
  </si>
  <si>
    <t>TECOMAN - SAN LUIS RIO COLORADO</t>
  </si>
  <si>
    <t>TC3203</t>
  </si>
  <si>
    <t>TECOMAN - NOSCHITLAN</t>
  </si>
  <si>
    <t>TC3204</t>
  </si>
  <si>
    <t>TECOMAN - MOMAX</t>
  </si>
  <si>
    <t>TC3205</t>
  </si>
  <si>
    <t>TECOMAN - ZACATECAS</t>
  </si>
  <si>
    <t>TC3207</t>
  </si>
  <si>
    <t>TECOMAN - JEREZ</t>
  </si>
  <si>
    <t>TC3209</t>
  </si>
  <si>
    <t>TECOMAN - JUCHIPILA</t>
  </si>
  <si>
    <t>ZAPOPAN - AGUASCALIENTES</t>
  </si>
  <si>
    <t>ZA0102</t>
  </si>
  <si>
    <t>ZAPOPAN - CALVILLO</t>
  </si>
  <si>
    <t>ZA0103</t>
  </si>
  <si>
    <t>ZAPOPAN - TEPEZALA</t>
  </si>
  <si>
    <t>ZA0201</t>
  </si>
  <si>
    <t>ZAPOPAN - ENSENADA</t>
  </si>
  <si>
    <t>ZA0202</t>
  </si>
  <si>
    <t>ZAPOPAN - TIJUANA</t>
  </si>
  <si>
    <t>ZA0203</t>
  </si>
  <si>
    <t>ZAPOPAN - MEXICALI</t>
  </si>
  <si>
    <t>ZA0505</t>
  </si>
  <si>
    <t>ZAPOPAN - TORREON</t>
  </si>
  <si>
    <t>ZA0601</t>
  </si>
  <si>
    <t>ZAPOPAN - COLIMA</t>
  </si>
  <si>
    <t>ZA0602</t>
  </si>
  <si>
    <t>ZAPOPAN - TECOMAN</t>
  </si>
  <si>
    <t>ZA0603</t>
  </si>
  <si>
    <t>ZAPOPAN - MANZANILLO</t>
  </si>
  <si>
    <t>ZA1001</t>
  </si>
  <si>
    <t>ZAPOPAN - DURANGO</t>
  </si>
  <si>
    <t>ZA1101</t>
  </si>
  <si>
    <t>ZAPOPAN - LEON</t>
  </si>
  <si>
    <t>ZA1106</t>
  </si>
  <si>
    <t>ZAPOPAN - IRAPUATO</t>
  </si>
  <si>
    <t>ZAPOPAN - GUADALAJARA</t>
  </si>
  <si>
    <t>ZAPOPAN - ZAPOPAN</t>
  </si>
  <si>
    <t>ZAPOPAN - TLAQUEPAQUE</t>
  </si>
  <si>
    <t>ZA1404</t>
  </si>
  <si>
    <t>ZAPOPAN - TONALA</t>
  </si>
  <si>
    <t>ZAPOPAN - TLAJOMULCO</t>
  </si>
  <si>
    <t>ZA1406</t>
  </si>
  <si>
    <t>ZAPOPAN - EL SALTO</t>
  </si>
  <si>
    <t>ZA1407</t>
  </si>
  <si>
    <t>ZAPOPAN - ZAPOTLANEJO</t>
  </si>
  <si>
    <t>ZA1408</t>
  </si>
  <si>
    <t>ZAPOPAN - SAN JULIAN</t>
  </si>
  <si>
    <t>ZA1409</t>
  </si>
  <si>
    <t>ZAPOPAN - ENCARNACION DE DIAZ</t>
  </si>
  <si>
    <t>ZA1410</t>
  </si>
  <si>
    <t>ZAPOPAN - LAGOS DE MORENO</t>
  </si>
  <si>
    <t>ZAPOPAN - TEPATITLAN</t>
  </si>
  <si>
    <t>ZA1412</t>
  </si>
  <si>
    <t>ZAPOPAN - ARANDAS</t>
  </si>
  <si>
    <t>ZA1413</t>
  </si>
  <si>
    <t>ZAPOPAN - OCOTLAN</t>
  </si>
  <si>
    <t>ZA1414</t>
  </si>
  <si>
    <t>ZAPOPAN - COLOTLAN</t>
  </si>
  <si>
    <t>ZA1415</t>
  </si>
  <si>
    <t>ZAPOPAN - OJUELOS</t>
  </si>
  <si>
    <t>ZAPOPAN - AYOTLAN</t>
  </si>
  <si>
    <t>ZA1417</t>
  </si>
  <si>
    <t>ZAPOPAN - YAHUALICA</t>
  </si>
  <si>
    <t>ZA1418</t>
  </si>
  <si>
    <t>ZAPOPAN - JALOSTOTITLAN</t>
  </si>
  <si>
    <t>ZA1419</t>
  </si>
  <si>
    <t>ZAPOPAN - COCULA</t>
  </si>
  <si>
    <t>ZA1420</t>
  </si>
  <si>
    <t>ZAPOPAN - SAYULA</t>
  </si>
  <si>
    <t>ZA1421</t>
  </si>
  <si>
    <t>ZAPOPAN - LA BARCA</t>
  </si>
  <si>
    <t>ZA1422</t>
  </si>
  <si>
    <t>ZAPOPAN - TEQUILA</t>
  </si>
  <si>
    <t>ZA1423</t>
  </si>
  <si>
    <t>ZAPOPAN - CHAPALA</t>
  </si>
  <si>
    <t>ZA1424</t>
  </si>
  <si>
    <t>ZAPOPAN - CIUDAD GUZMAN</t>
  </si>
  <si>
    <t>ZA1425</t>
  </si>
  <si>
    <t>ZAPOPAN - TAMAZULA</t>
  </si>
  <si>
    <t>ZA1426</t>
  </si>
  <si>
    <t>ZAPOPAN - TUXPAN</t>
  </si>
  <si>
    <t>ZA1427</t>
  </si>
  <si>
    <t>ZAPOPAN - AUTLAN</t>
  </si>
  <si>
    <t>ZA1428</t>
  </si>
  <si>
    <t>ZAPOPAN - LA HUERTA</t>
  </si>
  <si>
    <t>ZA1429</t>
  </si>
  <si>
    <t>ZAPOPAN - MELAQUE</t>
  </si>
  <si>
    <t>ZA1430</t>
  </si>
  <si>
    <t>ZAPOPAN - TOMATLAN</t>
  </si>
  <si>
    <t>ZAPOPAN - PUERTO VALLARTA</t>
  </si>
  <si>
    <t>ZA1602</t>
  </si>
  <si>
    <t>ZAPOPAN - APATZINGAN</t>
  </si>
  <si>
    <t>ZA1607</t>
  </si>
  <si>
    <t>ZAPOPAN - ZAMORA</t>
  </si>
  <si>
    <t>ZA1616</t>
  </si>
  <si>
    <t>ZAPOPAN - SAHUAYO</t>
  </si>
  <si>
    <t>ZA1801</t>
  </si>
  <si>
    <t>ZAPOPAN - TEPIC</t>
  </si>
  <si>
    <t>ZA1803</t>
  </si>
  <si>
    <t>ZAPOPAN - ACAPONETA</t>
  </si>
  <si>
    <t>ZAPOPAN - BUCERIAS</t>
  </si>
  <si>
    <t>ZA1805</t>
  </si>
  <si>
    <t>ZAPOPAN - IXTLAN</t>
  </si>
  <si>
    <t>ZA2407</t>
  </si>
  <si>
    <t>ZAPOPAN - SAN LUIS POTOSI</t>
  </si>
  <si>
    <t>ZA2501</t>
  </si>
  <si>
    <t>ZAPOPAN - CULIACAN</t>
  </si>
  <si>
    <t>ZA2502</t>
  </si>
  <si>
    <t>ZAPOPAN - COSALA</t>
  </si>
  <si>
    <t>ZA2503</t>
  </si>
  <si>
    <t>ZAPOPAN - LOS MOCHIS</t>
  </si>
  <si>
    <t>ZA2504</t>
  </si>
  <si>
    <t>ZAPOPAN - GUASAVE</t>
  </si>
  <si>
    <t>ZA2505</t>
  </si>
  <si>
    <t>ZAPOPAN - GUAMUCHIL</t>
  </si>
  <si>
    <t>ZA2507</t>
  </si>
  <si>
    <t>ZAPOPAN - MAZATLAN</t>
  </si>
  <si>
    <t>ZA2508</t>
  </si>
  <si>
    <t>ZAPOPAN - EL ROSARIO</t>
  </si>
  <si>
    <t>ZA2509</t>
  </si>
  <si>
    <t>ZAPOPAN - ESCUINAPA</t>
  </si>
  <si>
    <t>ZA2510</t>
  </si>
  <si>
    <t>ZAPOPAN - SAN IGNACIO</t>
  </si>
  <si>
    <t>ZA2601</t>
  </si>
  <si>
    <t>ZAPOPAN - CD. OBREGON</t>
  </si>
  <si>
    <t>ZA2602</t>
  </si>
  <si>
    <t>ZAPOPAN - GUAYMAS</t>
  </si>
  <si>
    <t>ZA2603</t>
  </si>
  <si>
    <t>ZAPOPAN - NAVOJOA</t>
  </si>
  <si>
    <t>ZA2604</t>
  </si>
  <si>
    <t>ZAPOPAN - HERMOSILLO</t>
  </si>
  <si>
    <t>ZA2605</t>
  </si>
  <si>
    <t>ZAPOPAN - NOGALES</t>
  </si>
  <si>
    <t>ZA2606</t>
  </si>
  <si>
    <t>ZAPOPAN - AGUA PRIETA</t>
  </si>
  <si>
    <t>ZA2607</t>
  </si>
  <si>
    <t>ZAPOPAN - CANANEA</t>
  </si>
  <si>
    <t>ZA2608</t>
  </si>
  <si>
    <t>ZAPOPAN - CABORCA</t>
  </si>
  <si>
    <t>ZA2612</t>
  </si>
  <si>
    <t>ZAPOPAN - SAN LUIS RIO COLORADO</t>
  </si>
  <si>
    <t>ZA3203</t>
  </si>
  <si>
    <t>ZAPOPAN - NOSCHITLAN DE MEJIA</t>
  </si>
  <si>
    <t>ZA3204</t>
  </si>
  <si>
    <t>ZAPOPAN - MOMAX</t>
  </si>
  <si>
    <t>ZA3205</t>
  </si>
  <si>
    <t>ZAPOPAN - ZACATECAS</t>
  </si>
  <si>
    <t>ZA3207</t>
  </si>
  <si>
    <t>ZAPOPAN - JEREZ</t>
  </si>
  <si>
    <t>ZA3209</t>
  </si>
  <si>
    <t>ZAPOPAN - JUCHIPILA</t>
  </si>
  <si>
    <t>Total general</t>
  </si>
  <si>
    <t>Mes</t>
  </si>
  <si>
    <t>fecha_guia</t>
  </si>
  <si>
    <t>Area</t>
  </si>
  <si>
    <t>Flota</t>
  </si>
  <si>
    <t>Talon</t>
  </si>
  <si>
    <t>Viaje</t>
  </si>
  <si>
    <t>Tipo Carga</t>
  </si>
  <si>
    <t>Origen</t>
  </si>
  <si>
    <t>Tipo Operacion</t>
  </si>
  <si>
    <t>KmsViaje</t>
  </si>
  <si>
    <t>Tonelaje</t>
  </si>
  <si>
    <t>flete</t>
  </si>
  <si>
    <t>Adicional</t>
  </si>
  <si>
    <t>subtotal</t>
  </si>
  <si>
    <t>IVA</t>
  </si>
  <si>
    <t>Retencion</t>
  </si>
  <si>
    <t>Factura</t>
  </si>
  <si>
    <t>Córdoba</t>
  </si>
  <si>
    <t>AA-027611</t>
  </si>
  <si>
    <t>IXTAC - VERACRUZ - IXTAC</t>
  </si>
  <si>
    <t>IXTACZOQUITLAN</t>
  </si>
  <si>
    <t>BCO - CORDOBA</t>
  </si>
  <si>
    <t>AF-000066</t>
  </si>
  <si>
    <t>AA-027554</t>
  </si>
  <si>
    <t>AA-027675</t>
  </si>
  <si>
    <t>AA-028650</t>
  </si>
  <si>
    <t>AF-000074</t>
  </si>
  <si>
    <t>AA-028299</t>
  </si>
  <si>
    <t>AF-000072</t>
  </si>
  <si>
    <t>AA-027955</t>
  </si>
  <si>
    <t>AF-000070</t>
  </si>
  <si>
    <t>AA-028527</t>
  </si>
  <si>
    <t>AA-027732</t>
  </si>
  <si>
    <t>AF-000067</t>
  </si>
  <si>
    <t>AA-027792</t>
  </si>
  <si>
    <t>AA-027952</t>
  </si>
  <si>
    <t>AA-027958</t>
  </si>
  <si>
    <t>AA-028354</t>
  </si>
  <si>
    <t>AF-000073</t>
  </si>
  <si>
    <t>AA-027557</t>
  </si>
  <si>
    <t>AA-027789</t>
  </si>
  <si>
    <t>AA-028239</t>
  </si>
  <si>
    <t>AA-027961</t>
  </si>
  <si>
    <t>AA-028653</t>
  </si>
  <si>
    <t>AA-028472</t>
  </si>
  <si>
    <t>IXTAC-PANZACOLA-IXTAC</t>
  </si>
  <si>
    <t>AA-028121</t>
  </si>
  <si>
    <t>IXTAC-COMALCALCO-IXTAC</t>
  </si>
  <si>
    <t>AA-028230</t>
  </si>
  <si>
    <t>IXTAC-VILLAHERMOSA-IXTAC</t>
  </si>
  <si>
    <t>AA-028290</t>
  </si>
  <si>
    <t>AA-027605</t>
  </si>
  <si>
    <t>AA-027735</t>
  </si>
  <si>
    <t>AA-027727</t>
  </si>
  <si>
    <t>AA-028705</t>
  </si>
  <si>
    <t>AA-027608</t>
  </si>
  <si>
    <t>IXTAC - PUEBLA - IXTAC</t>
  </si>
  <si>
    <t>AA-027551</t>
  </si>
  <si>
    <t>AA-028118</t>
  </si>
  <si>
    <t>AA-028415</t>
  </si>
  <si>
    <t>AA-027760</t>
  </si>
  <si>
    <t>AA-027818</t>
  </si>
  <si>
    <t>AA-028262</t>
  </si>
  <si>
    <t>AA-027583</t>
  </si>
  <si>
    <t>AA-027815</t>
  </si>
  <si>
    <t>AA-027989</t>
  </si>
  <si>
    <t>AA-027986</t>
  </si>
  <si>
    <t>AA-028147</t>
  </si>
  <si>
    <t>AA-028141</t>
  </si>
  <si>
    <t>AA-028210</t>
  </si>
  <si>
    <t>AA-027640</t>
  </si>
  <si>
    <t>AA-027821</t>
  </si>
  <si>
    <t>AA-028446</t>
  </si>
  <si>
    <t>AA-028742</t>
  </si>
  <si>
    <t>AA-028150</t>
  </si>
  <si>
    <t>AA-027698</t>
  </si>
  <si>
    <t>AA-028679</t>
  </si>
  <si>
    <t>AA-027695</t>
  </si>
  <si>
    <t>AA-028621</t>
  </si>
  <si>
    <t>AA-028207</t>
  </si>
  <si>
    <t>AA-028443</t>
  </si>
  <si>
    <t>GRANEL H</t>
  </si>
  <si>
    <t>IXTAC-POZA RICA-IXTAC</t>
  </si>
  <si>
    <t>AA-028507</t>
  </si>
  <si>
    <t>AA-027757</t>
  </si>
  <si>
    <t>AA-027483</t>
  </si>
  <si>
    <t>AF-000068</t>
  </si>
  <si>
    <t>AA-027926</t>
  </si>
  <si>
    <t>AA-028739</t>
  </si>
  <si>
    <t>AA-027923</t>
  </si>
  <si>
    <t>AA-029078</t>
  </si>
  <si>
    <t>AA-027701</t>
  </si>
  <si>
    <t>AA-028187</t>
  </si>
  <si>
    <t>AA-027674</t>
  </si>
  <si>
    <t>AA-028178</t>
  </si>
  <si>
    <t>AA-028603</t>
  </si>
  <si>
    <t>AA-027613</t>
  </si>
  <si>
    <t>AA-027680</t>
  </si>
  <si>
    <t>AA-027559</t>
  </si>
  <si>
    <t>AA-027908</t>
  </si>
  <si>
    <t>AA-028244</t>
  </si>
  <si>
    <t>AA-027794</t>
  </si>
  <si>
    <t>AA-027791</t>
  </si>
  <si>
    <t>AA-028126</t>
  </si>
  <si>
    <t>AA-027562</t>
  </si>
  <si>
    <t>AA-028181</t>
  </si>
  <si>
    <t>AA-028247</t>
  </si>
  <si>
    <t>AA-027740</t>
  </si>
  <si>
    <t>AA-028184</t>
  </si>
  <si>
    <t>AA-028480</t>
  </si>
  <si>
    <t>AA-028718</t>
  </si>
  <si>
    <t>AA-027556</t>
  </si>
  <si>
    <t>AA-027966</t>
  </si>
  <si>
    <t>AA-028483</t>
  </si>
  <si>
    <t>AA-029057</t>
  </si>
  <si>
    <t>AA-027619</t>
  </si>
  <si>
    <t>AA-027797</t>
  </si>
  <si>
    <t>AA-027969</t>
  </si>
  <si>
    <t>AA-027734</t>
  </si>
  <si>
    <t>AA-027960</t>
  </si>
  <si>
    <t>AA-028365</t>
  </si>
  <si>
    <t>AA-028724</t>
  </si>
  <si>
    <t>AA-028664</t>
  </si>
  <si>
    <t>AA-027568</t>
  </si>
  <si>
    <t>AA-028313</t>
  </si>
  <si>
    <t>AA-028316</t>
  </si>
  <si>
    <t>AA-028552</t>
  </si>
  <si>
    <t>AA-028256</t>
  </si>
  <si>
    <t>AA-028370</t>
  </si>
  <si>
    <t>AA-028606</t>
  </si>
  <si>
    <t>AA-028434</t>
  </si>
  <si>
    <t>AA-027746</t>
  </si>
  <si>
    <t>AA-028432</t>
  </si>
  <si>
    <t>AA-027625</t>
  </si>
  <si>
    <t>AA-028259</t>
  </si>
  <si>
    <t>AA-028495</t>
  </si>
  <si>
    <t>AA-028670</t>
  </si>
  <si>
    <t>AA-028250</t>
  </si>
  <si>
    <t>AA-027743</t>
  </si>
  <si>
    <t>AA-028138</t>
  </si>
  <si>
    <t>AA-028667</t>
  </si>
  <si>
    <t>AA-028492</t>
  </si>
  <si>
    <t>AA-027571</t>
  </si>
  <si>
    <t>AA-028199</t>
  </si>
  <si>
    <t>AA-027749</t>
  </si>
  <si>
    <t>AA-027567</t>
  </si>
  <si>
    <t>AA-028546</t>
  </si>
  <si>
    <t>AA-028310</t>
  </si>
  <si>
    <t>AA-028673</t>
  </si>
  <si>
    <t>AA-028429</t>
  </si>
  <si>
    <t>Guaymas</t>
  </si>
  <si>
    <t>CC-054779</t>
  </si>
  <si>
    <t xml:space="preserve">HERMOSILLO * HERMOSILLO * PLANTA 1 </t>
  </si>
  <si>
    <t>2 HERMOSILLO</t>
  </si>
  <si>
    <t>BGU - HERMOSILLO</t>
  </si>
  <si>
    <t>CF-000320</t>
  </si>
  <si>
    <t>Tijuana</t>
  </si>
  <si>
    <t>DD-012887</t>
  </si>
  <si>
    <t>MEXICALI-MEXICALI-MEXICALI</t>
  </si>
  <si>
    <t>MEXICALI</t>
  </si>
  <si>
    <t>BGU - TIJUANA</t>
  </si>
  <si>
    <t>DF-000057</t>
  </si>
  <si>
    <t>DD-012959</t>
  </si>
  <si>
    <t>CC-054604</t>
  </si>
  <si>
    <t>CF-000312</t>
  </si>
  <si>
    <t>CC-054552</t>
  </si>
  <si>
    <t>CF-000327</t>
  </si>
  <si>
    <t>Tlaquepaque</t>
  </si>
  <si>
    <t>CC-054816</t>
  </si>
  <si>
    <t>CF-000332</t>
  </si>
  <si>
    <t>CC-056599</t>
  </si>
  <si>
    <t>DD-012829</t>
  </si>
  <si>
    <t>DF-000056</t>
  </si>
  <si>
    <t>DD-012851</t>
  </si>
  <si>
    <t>MEXICALI-TIJUANA-MEXICALI</t>
  </si>
  <si>
    <t>DF-000059</t>
  </si>
  <si>
    <t>DD-012909</t>
  </si>
  <si>
    <t>DF-000061</t>
  </si>
  <si>
    <t>DD-012910</t>
  </si>
  <si>
    <t>DF-000058</t>
  </si>
  <si>
    <t>DD-013065</t>
  </si>
  <si>
    <t>DD-012763</t>
  </si>
  <si>
    <t>DD-013149</t>
  </si>
  <si>
    <t>DD-013210</t>
  </si>
  <si>
    <t>DF-000062</t>
  </si>
  <si>
    <t>DD-013005</t>
  </si>
  <si>
    <t>La Paz</t>
  </si>
  <si>
    <t>CC-054694</t>
  </si>
  <si>
    <t>DD-013128</t>
  </si>
  <si>
    <t>CC-054860</t>
  </si>
  <si>
    <t>CC-054501</t>
  </si>
  <si>
    <t>CF-000304</t>
  </si>
  <si>
    <t>CC-054819</t>
  </si>
  <si>
    <t>CC-056568</t>
  </si>
  <si>
    <t>DD-013131</t>
  </si>
  <si>
    <t>DD-013140</t>
  </si>
  <si>
    <t>DD-012819</t>
  </si>
  <si>
    <t>DD-012773</t>
  </si>
  <si>
    <t>DD-012849</t>
  </si>
  <si>
    <t>DD-012842</t>
  </si>
  <si>
    <t>MEXICALI - ENSENADA - MEXICALI</t>
  </si>
  <si>
    <t>Manzanillo</t>
  </si>
  <si>
    <t>CC-053816</t>
  </si>
  <si>
    <t>TECOMAN - MANZANILLO - TECOMAN</t>
  </si>
  <si>
    <t>TECOMAN</t>
  </si>
  <si>
    <t>BGU - TECOMAN MANZAN</t>
  </si>
  <si>
    <t>CF-000303</t>
  </si>
  <si>
    <t>CC-055111</t>
  </si>
  <si>
    <t>CF-000314</t>
  </si>
  <si>
    <t>CC-055138</t>
  </si>
  <si>
    <t>CF-000322</t>
  </si>
  <si>
    <t>CC-055167</t>
  </si>
  <si>
    <t>CF-000333</t>
  </si>
  <si>
    <t>CC-055168</t>
  </si>
  <si>
    <t>CC-055112</t>
  </si>
  <si>
    <t>CC-056065</t>
  </si>
  <si>
    <t>TECOMAN - GUADALAJARA -TECOMAN</t>
  </si>
  <si>
    <t>BGU - TECOMAN TLAQUE</t>
  </si>
  <si>
    <t>CF-000323</t>
  </si>
  <si>
    <t>CC-055626</t>
  </si>
  <si>
    <t>CC-055372</t>
  </si>
  <si>
    <t>CF-000313</t>
  </si>
  <si>
    <t>CC-055455</t>
  </si>
  <si>
    <t>CF-000330</t>
  </si>
  <si>
    <t>CC-055563</t>
  </si>
  <si>
    <t>CC-055732</t>
  </si>
  <si>
    <t>TECOMAN - YAGO - TECOMAN</t>
  </si>
  <si>
    <t>CC-055074</t>
  </si>
  <si>
    <t>TECOMAN - TEPIC -TECOMAN</t>
  </si>
  <si>
    <t>CC-055458</t>
  </si>
  <si>
    <t>CC-057076</t>
  </si>
  <si>
    <t>CC-056252</t>
  </si>
  <si>
    <t>CC-056132</t>
  </si>
  <si>
    <t>CC-055507</t>
  </si>
  <si>
    <t>CC-055560</t>
  </si>
  <si>
    <t>CC-056062</t>
  </si>
  <si>
    <t>CC-055510</t>
  </si>
  <si>
    <t>TECOMAN - SALTO - TECOMAN</t>
  </si>
  <si>
    <t>R. Arizpe</t>
  </si>
  <si>
    <t>CC-055726</t>
  </si>
  <si>
    <t>CC-055464</t>
  </si>
  <si>
    <t>TECOMAN - ZAPOPAN LA MESA - TECOMAN</t>
  </si>
  <si>
    <t>CC-056951</t>
  </si>
  <si>
    <t>TECOMAN - COLIMA - TECOMAN</t>
  </si>
  <si>
    <t>San Luis Potosi</t>
  </si>
  <si>
    <t>BB-045097</t>
  </si>
  <si>
    <t>RAMOS-SAN RAFAEL-RAMOS</t>
  </si>
  <si>
    <t>BSA - RAMOS ARIZPE</t>
  </si>
  <si>
    <t>BF-000352</t>
  </si>
  <si>
    <t>BB-045988</t>
  </si>
  <si>
    <t>RAMOS-V.DE SANTIAGO-RAMOS</t>
  </si>
  <si>
    <t>BB-044702</t>
  </si>
  <si>
    <t>BF-000374</t>
  </si>
  <si>
    <t>CC-055794</t>
  </si>
  <si>
    <t>DD-012937</t>
  </si>
  <si>
    <t>DD-013046</t>
  </si>
  <si>
    <t>CC-054894</t>
  </si>
  <si>
    <t>CC-054666</t>
  </si>
  <si>
    <t>CC-054745</t>
  </si>
  <si>
    <t>CC-054748</t>
  </si>
  <si>
    <t>CC-054756</t>
  </si>
  <si>
    <t>CC-054855</t>
  </si>
  <si>
    <t>DD-012868</t>
  </si>
  <si>
    <t>DD-013204</t>
  </si>
  <si>
    <t>DD-012798</t>
  </si>
  <si>
    <t>DD-013214</t>
  </si>
  <si>
    <t>DD-012736</t>
  </si>
  <si>
    <t>CC-054654</t>
  </si>
  <si>
    <t>DD-012889</t>
  </si>
  <si>
    <t>DD-013073</t>
  </si>
  <si>
    <t>CC-054762</t>
  </si>
  <si>
    <t>DD-012794</t>
  </si>
  <si>
    <t>CC-056573</t>
  </si>
  <si>
    <t>HERMOSILLO * HERMOSILLO * PLANTA 2</t>
  </si>
  <si>
    <t>DD-012897</t>
  </si>
  <si>
    <t>DD-012955</t>
  </si>
  <si>
    <t>DD-012799</t>
  </si>
  <si>
    <t>DD-013225</t>
  </si>
  <si>
    <t>DD-013109</t>
  </si>
  <si>
    <t>DD-012786</t>
  </si>
  <si>
    <t>DD-013141</t>
  </si>
  <si>
    <t>DD-013031</t>
  </si>
  <si>
    <t>DD-013094</t>
  </si>
  <si>
    <t>CC-057003</t>
  </si>
  <si>
    <t>ZAPOPAN - TLAJOMULCO - ZAPOPAN</t>
  </si>
  <si>
    <t>ZAPOPAN</t>
  </si>
  <si>
    <t>BGU - ZAPOPAN</t>
  </si>
  <si>
    <t>CC-055778</t>
  </si>
  <si>
    <t xml:space="preserve">ZAPOPAN - ZAPOPAN - ZAPOPAN </t>
  </si>
  <si>
    <t>CF-000328</t>
  </si>
  <si>
    <t>CC-055711</t>
  </si>
  <si>
    <t>ZAPOPAN - PUERTO VALLARTA - ZAPOPAN</t>
  </si>
  <si>
    <t>CC-055099</t>
  </si>
  <si>
    <t>CC-056919</t>
  </si>
  <si>
    <t>CF-000335</t>
  </si>
  <si>
    <t>CC-055585</t>
  </si>
  <si>
    <t>CC-055092</t>
  </si>
  <si>
    <t>CC-055531</t>
  </si>
  <si>
    <t>ZAPOPAN - SAN JUAN DE OCOTAN - ZAPOPAN</t>
  </si>
  <si>
    <t>CC-056227</t>
  </si>
  <si>
    <t>CC-056944</t>
  </si>
  <si>
    <t>CC-055781</t>
  </si>
  <si>
    <t>CC-057000</t>
  </si>
  <si>
    <t>CC-056042</t>
  </si>
  <si>
    <t>CC-056109</t>
  </si>
  <si>
    <t>CC-056983</t>
  </si>
  <si>
    <t>CC-055588</t>
  </si>
  <si>
    <t>CC-055096</t>
  </si>
  <si>
    <t>CC-054980</t>
  </si>
  <si>
    <t>CC-056093</t>
  </si>
  <si>
    <t>CC-056998</t>
  </si>
  <si>
    <t>CC-055654</t>
  </si>
  <si>
    <t>CC-055382</t>
  </si>
  <si>
    <t>CC-056416</t>
  </si>
  <si>
    <t>CC-055696</t>
  </si>
  <si>
    <t>ZAPOPAN - ZAPO MESA - ZAPOPAN</t>
  </si>
  <si>
    <t>CC-056995</t>
  </si>
  <si>
    <t>CC-055775</t>
  </si>
  <si>
    <t>CC-056230</t>
  </si>
  <si>
    <t>CC-056463</t>
  </si>
  <si>
    <t>CC-055746</t>
  </si>
  <si>
    <t>CC-056355</t>
  </si>
  <si>
    <t>DD-012832</t>
  </si>
  <si>
    <t>CC-054805</t>
  </si>
  <si>
    <t>CC-054675</t>
  </si>
  <si>
    <t>CC-056566</t>
  </si>
  <si>
    <t>CC-054602</t>
  </si>
  <si>
    <t>CC-056509</t>
  </si>
  <si>
    <t>DD-012752</t>
  </si>
  <si>
    <t>DD-013035</t>
  </si>
  <si>
    <t>DD-012950</t>
  </si>
  <si>
    <t>DD-013030</t>
  </si>
  <si>
    <t>DD-013231</t>
  </si>
  <si>
    <t>CC-054548</t>
  </si>
  <si>
    <t>DD-012988</t>
  </si>
  <si>
    <t>DD-013083</t>
  </si>
  <si>
    <t>DD-013095</t>
  </si>
  <si>
    <t>DD-013201</t>
  </si>
  <si>
    <t>CC-056569</t>
  </si>
  <si>
    <t>DD-013114</t>
  </si>
  <si>
    <t>DD-012813</t>
  </si>
  <si>
    <t>DD-013016</t>
  </si>
  <si>
    <t>CC-054774</t>
  </si>
  <si>
    <t>CC-056588</t>
  </si>
  <si>
    <t>DD-012402</t>
  </si>
  <si>
    <t>DD-012754</t>
  </si>
  <si>
    <t>DD-012867</t>
  </si>
  <si>
    <t>DD-013007</t>
  </si>
  <si>
    <t>CC-054599</t>
  </si>
  <si>
    <t>CC-054696</t>
  </si>
  <si>
    <t>CC-054642</t>
  </si>
  <si>
    <t>DD-012805</t>
  </si>
  <si>
    <t>DD-012836</t>
  </si>
  <si>
    <t>DD-013229</t>
  </si>
  <si>
    <t>CC-054888</t>
  </si>
  <si>
    <t>DD-012949</t>
  </si>
  <si>
    <t>DD-012852</t>
  </si>
  <si>
    <t>CC-054739</t>
  </si>
  <si>
    <t>CC-054593</t>
  </si>
  <si>
    <t>DD-013178</t>
  </si>
  <si>
    <t>DD-013177</t>
  </si>
  <si>
    <t>DD-012802</t>
  </si>
  <si>
    <t>CC-054648</t>
  </si>
  <si>
    <t>DD-012880</t>
  </si>
  <si>
    <t>DD-013135</t>
  </si>
  <si>
    <t>DD-012925</t>
  </si>
  <si>
    <t>DD-012789</t>
  </si>
  <si>
    <t>CC-056542</t>
  </si>
  <si>
    <t>DD-012984</t>
  </si>
  <si>
    <t>DD-013040</t>
  </si>
  <si>
    <t>DD-013139</t>
  </si>
  <si>
    <t>DD-013235</t>
  </si>
  <si>
    <t>DD-013226</t>
  </si>
  <si>
    <t>DD-013067</t>
  </si>
  <si>
    <t>CC-054879</t>
  </si>
  <si>
    <t>CC-054596</t>
  </si>
  <si>
    <t>HERMOSILLO * CIUDAD OBREGON * HERMOSILLO</t>
  </si>
  <si>
    <t>CC-055354</t>
  </si>
  <si>
    <t>AA-028188</t>
  </si>
  <si>
    <t>AA-027681</t>
  </si>
  <si>
    <t>AA-027563</t>
  </si>
  <si>
    <t>AA-028248</t>
  </si>
  <si>
    <t>AA-028251</t>
  </si>
  <si>
    <t>AA-028719</t>
  </si>
  <si>
    <t>AA-027964</t>
  </si>
  <si>
    <t>AA-027560</t>
  </si>
  <si>
    <t>AA-028607</t>
  </si>
  <si>
    <t>AA-028185</t>
  </si>
  <si>
    <t>AA-028127</t>
  </si>
  <si>
    <t>AA-027906</t>
  </si>
  <si>
    <t>AA-028665</t>
  </si>
  <si>
    <t>AA-028421</t>
  </si>
  <si>
    <t>AA-027738</t>
  </si>
  <si>
    <t>AA-028124</t>
  </si>
  <si>
    <t>AA-028182</t>
  </si>
  <si>
    <t>AA-028656</t>
  </si>
  <si>
    <t>AA-027795</t>
  </si>
  <si>
    <t>AA-028598</t>
  </si>
  <si>
    <t>AA-028424</t>
  </si>
  <si>
    <t>AA-028542</t>
  </si>
  <si>
    <t>AA-027912</t>
  </si>
  <si>
    <t>AA-027741</t>
  </si>
  <si>
    <t>AA-027801</t>
  </si>
  <si>
    <t>AA-028547</t>
  </si>
  <si>
    <t>AA-028544</t>
  </si>
  <si>
    <t>AA-027744</t>
  </si>
  <si>
    <t>DD-013079</t>
  </si>
  <si>
    <t>DD-012769</t>
  </si>
  <si>
    <t>CC-054788</t>
  </si>
  <si>
    <t>CC-054737</t>
  </si>
  <si>
    <t>CC-054853</t>
  </si>
  <si>
    <t>DD-013028</t>
  </si>
  <si>
    <t>DD-013180</t>
  </si>
  <si>
    <t>DD-013022</t>
  </si>
  <si>
    <t>DD-013146</t>
  </si>
  <si>
    <t>DD-013041</t>
  </si>
  <si>
    <t>CC-054740</t>
  </si>
  <si>
    <t>CC-054638</t>
  </si>
  <si>
    <t>CC-054790</t>
  </si>
  <si>
    <t>CC-054850</t>
  </si>
  <si>
    <t>DD-012843</t>
  </si>
  <si>
    <t>DD-012964</t>
  </si>
  <si>
    <t>DD-013096</t>
  </si>
  <si>
    <t>CC-054752</t>
  </si>
  <si>
    <t>DD-012903</t>
  </si>
  <si>
    <t>DD-013179</t>
  </si>
  <si>
    <t>DD-012953</t>
  </si>
  <si>
    <t>DD-012848</t>
  </si>
  <si>
    <t>DD-012810</t>
  </si>
  <si>
    <t>CC-054704</t>
  </si>
  <si>
    <t>CC-054635</t>
  </si>
  <si>
    <t>CC-054652</t>
  </si>
  <si>
    <t>CC-054883</t>
  </si>
  <si>
    <t>DD-012963</t>
  </si>
  <si>
    <t>CC-053836</t>
  </si>
  <si>
    <t>CC-055143</t>
  </si>
  <si>
    <t>CC-055155</t>
  </si>
  <si>
    <t>CC-054959</t>
  </si>
  <si>
    <t>CC-054930</t>
  </si>
  <si>
    <t>CC-055567</t>
  </si>
  <si>
    <t>CC-055373</t>
  </si>
  <si>
    <t>CC-054479</t>
  </si>
  <si>
    <t>CC-056976</t>
  </si>
  <si>
    <t>CC-055728</t>
  </si>
  <si>
    <t>CC-056023</t>
  </si>
  <si>
    <t>CC-056017</t>
  </si>
  <si>
    <t>CC-056066</t>
  </si>
  <si>
    <t>TECOMAN - TLAJOMULCO -TECOMAN</t>
  </si>
  <si>
    <t>CC-056359</t>
  </si>
  <si>
    <t>CC-055629</t>
  </si>
  <si>
    <t>CC-055118</t>
  </si>
  <si>
    <t>BB-044698</t>
  </si>
  <si>
    <t>BF-000349</t>
  </si>
  <si>
    <t>BB-044812</t>
  </si>
  <si>
    <t>BF-000350</t>
  </si>
  <si>
    <t>BB-045152</t>
  </si>
  <si>
    <t>BB-045316</t>
  </si>
  <si>
    <t>BF-000363</t>
  </si>
  <si>
    <t>CC-056063</t>
  </si>
  <si>
    <t>CC-055798</t>
  </si>
  <si>
    <t>CC-055753</t>
  </si>
  <si>
    <t>CC-055668</t>
  </si>
  <si>
    <t>CC-055014</t>
  </si>
  <si>
    <t>CC-055505</t>
  </si>
  <si>
    <t>CC-055731</t>
  </si>
  <si>
    <t>CC-055561</t>
  </si>
  <si>
    <t>CC-054882</t>
  </si>
  <si>
    <t>CC-054784</t>
  </si>
  <si>
    <t>AA-028246</t>
  </si>
  <si>
    <t>AA-027916</t>
  </si>
  <si>
    <t>AA-027742</t>
  </si>
  <si>
    <t>AA-027802</t>
  </si>
  <si>
    <t>AA-028128</t>
  </si>
  <si>
    <t>AA-028720</t>
  </si>
  <si>
    <t>AA-028666</t>
  </si>
  <si>
    <t>AA-028663</t>
  </si>
  <si>
    <t>AA-028186</t>
  </si>
  <si>
    <t>AA-027907</t>
  </si>
  <si>
    <t>AA-028249</t>
  </si>
  <si>
    <t>AA-027913</t>
  </si>
  <si>
    <t>AA-027682</t>
  </si>
  <si>
    <t>AA-027808</t>
  </si>
  <si>
    <t>AA-028367</t>
  </si>
  <si>
    <t>AA-027570</t>
  </si>
  <si>
    <t>AA-028548</t>
  </si>
  <si>
    <t>AA-028485</t>
  </si>
  <si>
    <t>AA-028312</t>
  </si>
  <si>
    <t>AA-028252</t>
  </si>
  <si>
    <t>AA-027864</t>
  </si>
  <si>
    <t>AA-027624</t>
  </si>
  <si>
    <t>AA-028315</t>
  </si>
  <si>
    <t>AA-028431</t>
  </si>
  <si>
    <t>AA-028551</t>
  </si>
  <si>
    <t>AA-028306</t>
  </si>
  <si>
    <t>CC-054727</t>
  </si>
  <si>
    <t>CC-054833</t>
  </si>
  <si>
    <t>CC-054626</t>
  </si>
  <si>
    <t>CC-054573</t>
  </si>
  <si>
    <t>DD-013126</t>
  </si>
  <si>
    <t>DD-013219</t>
  </si>
  <si>
    <t>DD-012993</t>
  </si>
  <si>
    <t>CC-054586</t>
  </si>
  <si>
    <t>DD-013155</t>
  </si>
  <si>
    <t>DD-013012</t>
  </si>
  <si>
    <t>CC-054721</t>
  </si>
  <si>
    <t>DD-013076</t>
  </si>
  <si>
    <t>DD-013009</t>
  </si>
  <si>
    <t>DD-012808</t>
  </si>
  <si>
    <t>DD-013183</t>
  </si>
  <si>
    <t>DD-013063</t>
  </si>
  <si>
    <t>DD-013015</t>
  </si>
  <si>
    <t>DD-012891</t>
  </si>
  <si>
    <t>DD-012991</t>
  </si>
  <si>
    <t>DD-012886</t>
  </si>
  <si>
    <t>DD-012878</t>
  </si>
  <si>
    <t>CC-054840</t>
  </si>
  <si>
    <t>CC-054628</t>
  </si>
  <si>
    <t>CC-054837</t>
  </si>
  <si>
    <t>CC-054830</t>
  </si>
  <si>
    <t>CC-056531</t>
  </si>
  <si>
    <t>CC-056534</t>
  </si>
  <si>
    <t>CC-056539</t>
  </si>
  <si>
    <t>DD-012958</t>
  </si>
  <si>
    <t>DD-013100</t>
  </si>
  <si>
    <t>AA-027962</t>
  </si>
  <si>
    <t>AA-027555</t>
  </si>
  <si>
    <t>AA-027552</t>
  </si>
  <si>
    <t>AA-027790</t>
  </si>
  <si>
    <t>AA-027739</t>
  </si>
  <si>
    <t>AA-028125</t>
  </si>
  <si>
    <t>AA-028355</t>
  </si>
  <si>
    <t>AA-028240</t>
  </si>
  <si>
    <t>AA-028183</t>
  </si>
  <si>
    <t>AA-028297</t>
  </si>
  <si>
    <t>AA-028654</t>
  </si>
  <si>
    <t>AA-028531</t>
  </si>
  <si>
    <t>AA-027612</t>
  </si>
  <si>
    <t>AA-028243</t>
  </si>
  <si>
    <t>AA-027671</t>
  </si>
  <si>
    <t>AA-027793</t>
  </si>
  <si>
    <t>AA-028180</t>
  </si>
  <si>
    <t>AA-028300</t>
  </si>
  <si>
    <t>AA-028651</t>
  </si>
  <si>
    <t>AA-028234</t>
  </si>
  <si>
    <t>AA-028364</t>
  </si>
  <si>
    <t>AA-028537</t>
  </si>
  <si>
    <t>AA-028596</t>
  </si>
  <si>
    <t>AA-027796</t>
  </si>
  <si>
    <t>AA-028116</t>
  </si>
  <si>
    <t>AA-027733</t>
  </si>
  <si>
    <t>AA-028413</t>
  </si>
  <si>
    <t>CC-054771</t>
  </si>
  <si>
    <t>CC-056512</t>
  </si>
  <si>
    <t>CC-056503</t>
  </si>
  <si>
    <t>CC-054544</t>
  </si>
  <si>
    <t>AA-028556</t>
  </si>
  <si>
    <t>AA-027915</t>
  </si>
  <si>
    <t>AA-027813</t>
  </si>
  <si>
    <t>AA-028263</t>
  </si>
  <si>
    <t>AA-028616</t>
  </si>
  <si>
    <t>AA-028435</t>
  </si>
  <si>
    <t>AA-028731</t>
  </si>
  <si>
    <t>AA-028257</t>
  </si>
  <si>
    <t>AA-028314</t>
  </si>
  <si>
    <t>AA-028430</t>
  </si>
  <si>
    <t>AA-028671</t>
  </si>
  <si>
    <t>AA-028553</t>
  </si>
  <si>
    <t>AA-028260</t>
  </si>
  <si>
    <t>AA-027569</t>
  </si>
  <si>
    <t>AA-028493</t>
  </si>
  <si>
    <t>AA-028374</t>
  </si>
  <si>
    <t>AA-027943</t>
  </si>
  <si>
    <t>AA-028133</t>
  </si>
  <si>
    <t>AA-027638</t>
  </si>
  <si>
    <t>AA-027807</t>
  </si>
  <si>
    <t>AA-027756</t>
  </si>
  <si>
    <t>AA-027575</t>
  </si>
  <si>
    <t>AA-027816</t>
  </si>
  <si>
    <t>AA-028674</t>
  </si>
  <si>
    <t>CC-055129</t>
  </si>
  <si>
    <t>CC-055121</t>
  </si>
  <si>
    <t>CC-054676</t>
  </si>
  <si>
    <t>DD-013200</t>
  </si>
  <si>
    <t>CC-054549</t>
  </si>
  <si>
    <t>CC-054781</t>
  </si>
  <si>
    <t>CC-054679</t>
  </si>
  <si>
    <t>CC-056565</t>
  </si>
  <si>
    <t>CC-054663</t>
  </si>
  <si>
    <t>DD-012877</t>
  </si>
  <si>
    <t>DD-013230</t>
  </si>
  <si>
    <t>DD-012986</t>
  </si>
  <si>
    <t>CC-054673</t>
  </si>
  <si>
    <t>CC-056513</t>
  </si>
  <si>
    <t>CC-054547</t>
  </si>
  <si>
    <t>DD-012806</t>
  </si>
  <si>
    <t>DD-013189</t>
  </si>
  <si>
    <t>DD-013234</t>
  </si>
  <si>
    <t>CC-054603</t>
  </si>
  <si>
    <t>CC-054681</t>
  </si>
  <si>
    <t>CC-056592</t>
  </si>
  <si>
    <t>DD-013034</t>
  </si>
  <si>
    <t>DD-013129</t>
  </si>
  <si>
    <t>DD-013077</t>
  </si>
  <si>
    <t>DD-012879</t>
  </si>
  <si>
    <t>DD-013059</t>
  </si>
  <si>
    <t>DD-012790</t>
  </si>
  <si>
    <t>CC-056567</t>
  </si>
  <si>
    <t>CC-054651</t>
  </si>
  <si>
    <t>CC-054712</t>
  </si>
  <si>
    <t>AA-028140</t>
  </si>
  <si>
    <t>AA-028433</t>
  </si>
  <si>
    <t>AA-027639</t>
  </si>
  <si>
    <t>AA-027925</t>
  </si>
  <si>
    <t>AA-027811</t>
  </si>
  <si>
    <t>AA-028738</t>
  </si>
  <si>
    <t>AA-027759</t>
  </si>
  <si>
    <t>AA-028494</t>
  </si>
  <si>
    <t>AA-027697</t>
  </si>
  <si>
    <t>AA-028203</t>
  </si>
  <si>
    <t>AA-027922</t>
  </si>
  <si>
    <t>AA-028321</t>
  </si>
  <si>
    <t>AA-028324</t>
  </si>
  <si>
    <t>AA-027576</t>
  </si>
  <si>
    <t>AA-027982</t>
  </si>
  <si>
    <t>AA-028442</t>
  </si>
  <si>
    <t>AA-028198</t>
  </si>
  <si>
    <t>AA-027642</t>
  </si>
  <si>
    <t>AA-028261</t>
  </si>
  <si>
    <t>AA-027985</t>
  </si>
  <si>
    <t>AA-028681</t>
  </si>
  <si>
    <t>AA-028672</t>
  </si>
  <si>
    <t>AA-028554</t>
  </si>
  <si>
    <t>AA-028381</t>
  </si>
  <si>
    <t>AA-027817</t>
  </si>
  <si>
    <t>AA-028258</t>
  </si>
  <si>
    <t>AA-028439</t>
  </si>
  <si>
    <t>AA-027914</t>
  </si>
  <si>
    <t>CC-054720</t>
  </si>
  <si>
    <t>CC-054899</t>
  </si>
  <si>
    <t>CC-054767</t>
  </si>
  <si>
    <t>CC-054668</t>
  </si>
  <si>
    <t>CC-054810</t>
  </si>
  <si>
    <t>CC-056587</t>
  </si>
  <si>
    <t>CC-054637</t>
  </si>
  <si>
    <t>CC-054661</t>
  </si>
  <si>
    <t>DD-013086</t>
  </si>
  <si>
    <t>DD-012873</t>
  </si>
  <si>
    <t>DD-013192</t>
  </si>
  <si>
    <t>CC-054543</t>
  </si>
  <si>
    <t>CC-054747</t>
  </si>
  <si>
    <t>DD-013187</t>
  </si>
  <si>
    <t>DD-012927</t>
  </si>
  <si>
    <t>DD-013115</t>
  </si>
  <si>
    <t>DD-013051</t>
  </si>
  <si>
    <t>CC-054801</t>
  </si>
  <si>
    <t>DD-013161</t>
  </si>
  <si>
    <t>DD-012913</t>
  </si>
  <si>
    <t>CC-056558</t>
  </si>
  <si>
    <t>DD-013087</t>
  </si>
  <si>
    <t>DD-012733</t>
  </si>
  <si>
    <t>CC-054750</t>
  </si>
  <si>
    <t>CC-054717</t>
  </si>
  <si>
    <t>CC-054714</t>
  </si>
  <si>
    <t>CC-056578</t>
  </si>
  <si>
    <t>CC-055136</t>
  </si>
  <si>
    <t>CC-054933</t>
  </si>
  <si>
    <t>CC-056105</t>
  </si>
  <si>
    <t>CC-055691</t>
  </si>
  <si>
    <t>CC-056381</t>
  </si>
  <si>
    <t>CC-055407</t>
  </si>
  <si>
    <t>CC-054500</t>
  </si>
  <si>
    <t>CC-056275</t>
  </si>
  <si>
    <t>CC-056192</t>
  </si>
  <si>
    <t>CC-055053</t>
  </si>
  <si>
    <t>CC-056111</t>
  </si>
  <si>
    <t>CC-054437</t>
  </si>
  <si>
    <t>CC-056940</t>
  </si>
  <si>
    <t>CC-054903</t>
  </si>
  <si>
    <t>CC-055713</t>
  </si>
  <si>
    <t>CC-056159</t>
  </si>
  <si>
    <t>CC-055344</t>
  </si>
  <si>
    <t>BB-045454</t>
  </si>
  <si>
    <t>BF-000370</t>
  </si>
  <si>
    <t>CC-053830</t>
  </si>
  <si>
    <t>BB-044844</t>
  </si>
  <si>
    <t>BB-045503</t>
  </si>
  <si>
    <t>CC-055581</t>
  </si>
  <si>
    <t>CC-055341</t>
  </si>
  <si>
    <t>CC-056946</t>
  </si>
  <si>
    <t>CC-054973</t>
  </si>
  <si>
    <t>CC-055056</t>
  </si>
  <si>
    <t>CC-056182</t>
  </si>
  <si>
    <t>CC-055104</t>
  </si>
  <si>
    <t>AA-027610</t>
  </si>
  <si>
    <t>AA-027788</t>
  </si>
  <si>
    <t>AA-028411</t>
  </si>
  <si>
    <t>AA-027954</t>
  </si>
  <si>
    <t>AA-028582</t>
  </si>
  <si>
    <t>AA-028405</t>
  </si>
  <si>
    <t>AA-029097</t>
  </si>
  <si>
    <t>AA-027670</t>
  </si>
  <si>
    <t>AA-028117</t>
  </si>
  <si>
    <t>AA-028350</t>
  </si>
  <si>
    <t>AA-028649</t>
  </si>
  <si>
    <t>AA-027957</t>
  </si>
  <si>
    <t>AA-027951</t>
  </si>
  <si>
    <t>AA-028286</t>
  </si>
  <si>
    <t>AA-028295</t>
  </si>
  <si>
    <t>AA-027862</t>
  </si>
  <si>
    <t>AA-028526</t>
  </si>
  <si>
    <t>AA-027731</t>
  </si>
  <si>
    <t>AA-027665</t>
  </si>
  <si>
    <t>AA-028652</t>
  </si>
  <si>
    <t>AA-028468</t>
  </si>
  <si>
    <t>AA-027846</t>
  </si>
  <si>
    <t>AA-028465</t>
  </si>
  <si>
    <t>AA-028529</t>
  </si>
  <si>
    <t>AA-028471</t>
  </si>
  <si>
    <t>AA-028175</t>
  </si>
  <si>
    <t>AA-028235</t>
  </si>
  <si>
    <t>AA-028523</t>
  </si>
  <si>
    <t>AA-028289</t>
  </si>
  <si>
    <t>CC-054659</t>
  </si>
  <si>
    <t>DD-012924</t>
  </si>
  <si>
    <t>Escobedo</t>
  </si>
  <si>
    <t>BB-044840</t>
  </si>
  <si>
    <t>ESCOBEDO-ESCOBEDO-ESCOBEDO</t>
  </si>
  <si>
    <t>ESCOBEDO</t>
  </si>
  <si>
    <t>BSA - MONTERREY</t>
  </si>
  <si>
    <t>BF-000356</t>
  </si>
  <si>
    <t>BB-045797</t>
  </si>
  <si>
    <t>ESCOBEDO-MONTERREY-ESCOBEDO</t>
  </si>
  <si>
    <t>BF-000381</t>
  </si>
  <si>
    <t>BB-045571</t>
  </si>
  <si>
    <t>BB-045347</t>
  </si>
  <si>
    <t>BF-000362</t>
  </si>
  <si>
    <t>BB-044674</t>
  </si>
  <si>
    <t>BF-000357</t>
  </si>
  <si>
    <t>BB-045130</t>
  </si>
  <si>
    <t>BB-045403</t>
  </si>
  <si>
    <t>BB-019889</t>
  </si>
  <si>
    <t>SLP-SLP-SLP</t>
  </si>
  <si>
    <t>SAN LUIS POTOSI</t>
  </si>
  <si>
    <t>BSA - SAN LUIS POTOS</t>
  </si>
  <si>
    <t>BF-000359</t>
  </si>
  <si>
    <t>BB-045069</t>
  </si>
  <si>
    <t>ESCOBEDO-GPE-ESCOBEDO</t>
  </si>
  <si>
    <t>BB-045400</t>
  </si>
  <si>
    <t>BB-045406</t>
  </si>
  <si>
    <t>BB-045574</t>
  </si>
  <si>
    <t>BF-000375</t>
  </si>
  <si>
    <t>BB-044845</t>
  </si>
  <si>
    <t>BB-044790</t>
  </si>
  <si>
    <t>BB-045791</t>
  </si>
  <si>
    <t>BF-000380</t>
  </si>
  <si>
    <t>BB-045185</t>
  </si>
  <si>
    <t>BB-045063</t>
  </si>
  <si>
    <t>BB-044736</t>
  </si>
  <si>
    <t>BB-044670</t>
  </si>
  <si>
    <t>BB-045577</t>
  </si>
  <si>
    <t>BB-045507</t>
  </si>
  <si>
    <t>BB-044614</t>
  </si>
  <si>
    <t>BF-000345</t>
  </si>
  <si>
    <t>BB-045133</t>
  </si>
  <si>
    <t>ESCOBEDO-APODACA-ESCOBEDO</t>
  </si>
  <si>
    <t>BB-045457</t>
  </si>
  <si>
    <t>BB-044623</t>
  </si>
  <si>
    <t>BF-000344</t>
  </si>
  <si>
    <t>BB-045452</t>
  </si>
  <si>
    <t>BB-045568</t>
  </si>
  <si>
    <t>ESCOBEDO-SANTA-ESCOBEDO</t>
  </si>
  <si>
    <t>AA-028716</t>
  </si>
  <si>
    <t>AA-027967</t>
  </si>
  <si>
    <t>CC-054695</t>
  </si>
  <si>
    <t>DD-013099</t>
  </si>
  <si>
    <t>CC-054726</t>
  </si>
  <si>
    <t>CC-054783</t>
  </si>
  <si>
    <t>CC-054839</t>
  </si>
  <si>
    <t>DD-012957</t>
  </si>
  <si>
    <t>DD-013004</t>
  </si>
  <si>
    <t>DD-013148</t>
  </si>
  <si>
    <t>DD-012775</t>
  </si>
  <si>
    <t>DD-013033</t>
  </si>
  <si>
    <t>DD-012895</t>
  </si>
  <si>
    <t>CC-054842</t>
  </si>
  <si>
    <t>DD-013097</t>
  </si>
  <si>
    <t>DD-012967</t>
  </si>
  <si>
    <t>DD-013211</t>
  </si>
  <si>
    <t>CC-054634</t>
  </si>
  <si>
    <t>DD-012926</t>
  </si>
  <si>
    <t>DD-012811</t>
  </si>
  <si>
    <t>CC-054875</t>
  </si>
  <si>
    <t>CC-054884</t>
  </si>
  <si>
    <t>CC-054698</t>
  </si>
  <si>
    <t>DD-013150</t>
  </si>
  <si>
    <t>DD-013147</t>
  </si>
  <si>
    <t>CC-054641</t>
  </si>
  <si>
    <t>CC-054575</t>
  </si>
  <si>
    <t>CC-054636</t>
  </si>
  <si>
    <t>DD-012874</t>
  </si>
  <si>
    <t>CC-054680</t>
  </si>
  <si>
    <t>CC-056492</t>
  </si>
  <si>
    <t>CC-054357</t>
  </si>
  <si>
    <t>CC-054960</t>
  </si>
  <si>
    <t>CC-055378</t>
  </si>
  <si>
    <t>CC-054929</t>
  </si>
  <si>
    <t>CC-056435</t>
  </si>
  <si>
    <t>CC-055754</t>
  </si>
  <si>
    <t>CC-055380</t>
  </si>
  <si>
    <t>CC-054463</t>
  </si>
  <si>
    <t>CC-055374</t>
  </si>
  <si>
    <t>CC-056064</t>
  </si>
  <si>
    <t>CC-056257</t>
  </si>
  <si>
    <t>CC-055439</t>
  </si>
  <si>
    <t>CC-054480</t>
  </si>
  <si>
    <t>CC-055512</t>
  </si>
  <si>
    <t>CC-055012</t>
  </si>
  <si>
    <t>CC-055611</t>
  </si>
  <si>
    <t>CC-055149</t>
  </si>
  <si>
    <t>CC-055183</t>
  </si>
  <si>
    <t>CC-055156</t>
  </si>
  <si>
    <t>CC-056168</t>
  </si>
  <si>
    <t>CC-056024</t>
  </si>
  <si>
    <t>CC-055565</t>
  </si>
  <si>
    <t>CC-056357</t>
  </si>
  <si>
    <t>CC-055466</t>
  </si>
  <si>
    <t>CC-055126</t>
  </si>
  <si>
    <t>AA-027763</t>
  </si>
  <si>
    <t>DD-013018</t>
  </si>
  <si>
    <t>DD-013010</t>
  </si>
  <si>
    <t>CC-054719</t>
  </si>
  <si>
    <t>CC-056577</t>
  </si>
  <si>
    <t>CC-054746</t>
  </si>
  <si>
    <t>DD-013245</t>
  </si>
  <si>
    <t>DD-012936</t>
  </si>
  <si>
    <t>DD-013000</t>
  </si>
  <si>
    <t>CC-056560</t>
  </si>
  <si>
    <t>DD-012831</t>
  </si>
  <si>
    <t>DD-013111</t>
  </si>
  <si>
    <t>CC-054800</t>
  </si>
  <si>
    <t>CC-054766</t>
  </si>
  <si>
    <t>CC-054895</t>
  </si>
  <si>
    <t>DD-012757</t>
  </si>
  <si>
    <t>DD-013184</t>
  </si>
  <si>
    <t>DD-013062</t>
  </si>
  <si>
    <t>DD-013107</t>
  </si>
  <si>
    <t>CC-054763</t>
  </si>
  <si>
    <t>DD-013196</t>
  </si>
  <si>
    <t>DD-012982</t>
  </si>
  <si>
    <t>DD-013193</t>
  </si>
  <si>
    <t>DD-013061</t>
  </si>
  <si>
    <t>DD-013043</t>
  </si>
  <si>
    <t>CC-054802</t>
  </si>
  <si>
    <t>CC-054710</t>
  </si>
  <si>
    <t>CC-056504</t>
  </si>
  <si>
    <t>CC-055131</t>
  </si>
  <si>
    <t>CC-053849</t>
  </si>
  <si>
    <t>AA-028461</t>
  </si>
  <si>
    <t>AA-028346</t>
  </si>
  <si>
    <t>AA-027950</t>
  </si>
  <si>
    <t>AA-029096</t>
  </si>
  <si>
    <t>AA-028700</t>
  </si>
  <si>
    <t>AA-028642</t>
  </si>
  <si>
    <t>AA-028343</t>
  </si>
  <si>
    <t>AA-027953</t>
  </si>
  <si>
    <t>AA-027658</t>
  </si>
  <si>
    <t>AA-028522</t>
  </si>
  <si>
    <t>AA-027947</t>
  </si>
  <si>
    <t>AA-027719</t>
  </si>
  <si>
    <t>AA-029093</t>
  </si>
  <si>
    <t>AA-028282</t>
  </si>
  <si>
    <t>AA-028587</t>
  </si>
  <si>
    <t>AA-028525</t>
  </si>
  <si>
    <t>AA-028645</t>
  </si>
  <si>
    <t>AA-028706</t>
  </si>
  <si>
    <t>AA-028113</t>
  </si>
  <si>
    <t>AA-028231</t>
  </si>
  <si>
    <t>AA-027722</t>
  </si>
  <si>
    <t>AA-028291</t>
  </si>
  <si>
    <t>AA-027606</t>
  </si>
  <si>
    <t>AA-028519</t>
  </si>
  <si>
    <t>AA-027664</t>
  </si>
  <si>
    <t>AA-027661</t>
  </si>
  <si>
    <t>AA-027778</t>
  </si>
  <si>
    <t>BB-045510</t>
  </si>
  <si>
    <t>BB-044617</t>
  </si>
  <si>
    <t>BB-044620</t>
  </si>
  <si>
    <t>CC-055110</t>
  </si>
  <si>
    <t>CC-055115</t>
  </si>
  <si>
    <t>CC-055137</t>
  </si>
  <si>
    <t>CC-054915</t>
  </si>
  <si>
    <t>CC-055454</t>
  </si>
  <si>
    <t>CC-054999</t>
  </si>
  <si>
    <t>CC-054406</t>
  </si>
  <si>
    <t>BB-044902</t>
  </si>
  <si>
    <t>RAMOS-ALTAMIRA-RAMOS</t>
  </si>
  <si>
    <t>CC-055371</t>
  </si>
  <si>
    <t>CC-056431</t>
  </si>
  <si>
    <t>CC-056131</t>
  </si>
  <si>
    <t>CC-055785</t>
  </si>
  <si>
    <t>CC-054950</t>
  </si>
  <si>
    <t>CC-056061</t>
  </si>
  <si>
    <t>CC-055071</t>
  </si>
  <si>
    <t>CC-055457</t>
  </si>
  <si>
    <t>CC-056296</t>
  </si>
  <si>
    <t>CC-053848</t>
  </si>
  <si>
    <t>CC-055153</t>
  </si>
  <si>
    <t>CC-053832</t>
  </si>
  <si>
    <t>BB-045233</t>
  </si>
  <si>
    <t>CC-055729</t>
  </si>
  <si>
    <t>CC-055627</t>
  </si>
  <si>
    <t>CC-055790</t>
  </si>
  <si>
    <t>CC-056251</t>
  </si>
  <si>
    <t>AA-028298</t>
  </si>
  <si>
    <t>CC-055973</t>
  </si>
  <si>
    <t>LA PAZ - SAN JOSE DE LOS CABOS  - LA PAZ</t>
  </si>
  <si>
    <t>LA PAZ</t>
  </si>
  <si>
    <t>BGU - LA PAZ</t>
  </si>
  <si>
    <t>CC-055962</t>
  </si>
  <si>
    <t>CC-055934</t>
  </si>
  <si>
    <t>CC-055826</t>
  </si>
  <si>
    <t>CC-055872</t>
  </si>
  <si>
    <t>CC-052335</t>
  </si>
  <si>
    <t>OTROS</t>
  </si>
  <si>
    <t xml:space="preserve">LA PAZ - SAN JOSE LOS CABOS - TRASLADOS </t>
  </si>
  <si>
    <t>CC-052413</t>
  </si>
  <si>
    <t>CF-000310</t>
  </si>
  <si>
    <t>CC-052492</t>
  </si>
  <si>
    <t>CF-000326</t>
  </si>
  <si>
    <t>CC-055875</t>
  </si>
  <si>
    <t>CC-052392</t>
  </si>
  <si>
    <t>CC-055824</t>
  </si>
  <si>
    <t>CC-055903</t>
  </si>
  <si>
    <t>CC-052445</t>
  </si>
  <si>
    <t>CC-055936</t>
  </si>
  <si>
    <t>CC-055853</t>
  </si>
  <si>
    <t>CC-055906</t>
  </si>
  <si>
    <t>CC-052349</t>
  </si>
  <si>
    <t>LA PAZ -  CD LA PAZ - LA PAZ</t>
  </si>
  <si>
    <t>CC-055988</t>
  </si>
  <si>
    <t>CC-052410</t>
  </si>
  <si>
    <t>CC-055878</t>
  </si>
  <si>
    <t>CC-055952</t>
  </si>
  <si>
    <t>CC-055819</t>
  </si>
  <si>
    <t>CC-055940</t>
  </si>
  <si>
    <t>CC-055989</t>
  </si>
  <si>
    <t>CC-052442</t>
  </si>
  <si>
    <t>CC-052245</t>
  </si>
  <si>
    <t>CF-000302</t>
  </si>
  <si>
    <t>CC-052448</t>
  </si>
  <si>
    <t>LA PAZ - LORETO - LA PAZ</t>
  </si>
  <si>
    <t>AA-027991</t>
  </si>
  <si>
    <t>AA-028149</t>
  </si>
  <si>
    <t>AA-027931</t>
  </si>
  <si>
    <t>AA-028506</t>
  </si>
  <si>
    <t>AA-027703</t>
  </si>
  <si>
    <t>AA-027988</t>
  </si>
  <si>
    <t>AA-028152</t>
  </si>
  <si>
    <t>AA-027829</t>
  </si>
  <si>
    <t>AA-028393</t>
  </si>
  <si>
    <t>AA-028212</t>
  </si>
  <si>
    <t>AA-027832</t>
  </si>
  <si>
    <t>AA-029977</t>
  </si>
  <si>
    <t>AA-029974</t>
  </si>
  <si>
    <t>AA-028562</t>
  </si>
  <si>
    <t>AA-027706</t>
  </si>
  <si>
    <t>AA-027593</t>
  </si>
  <si>
    <t>AA-028623</t>
  </si>
  <si>
    <t>AA-028155</t>
  </si>
  <si>
    <t>AA-028684</t>
  </si>
  <si>
    <t>AA-027771</t>
  </si>
  <si>
    <t>AA-029087</t>
  </si>
  <si>
    <t>AA-027645</t>
  </si>
  <si>
    <t>AA-027651</t>
  </si>
  <si>
    <t>AA-028330</t>
  </si>
  <si>
    <t>AA-029080</t>
  </si>
  <si>
    <t>AA-027994</t>
  </si>
  <si>
    <t>AA-028209</t>
  </si>
  <si>
    <t>AA-028445</t>
  </si>
  <si>
    <t>AA-027585</t>
  </si>
  <si>
    <t>AA-028586</t>
  </si>
  <si>
    <t>BB-045070</t>
  </si>
  <si>
    <t>BB-045072</t>
  </si>
  <si>
    <t>BB-044740</t>
  </si>
  <si>
    <t>BB-044627</t>
  </si>
  <si>
    <t>BB-045798</t>
  </si>
  <si>
    <t>BB-045299</t>
  </si>
  <si>
    <t>BB-045134</t>
  </si>
  <si>
    <t>BB-019911</t>
  </si>
  <si>
    <t>BF-000376</t>
  </si>
  <si>
    <t>BB-045575</t>
  </si>
  <si>
    <t>BB-044624</t>
  </si>
  <si>
    <t>BB-045578</t>
  </si>
  <si>
    <t>BB-045581</t>
  </si>
  <si>
    <t>BB-045186</t>
  </si>
  <si>
    <t>BB-045792</t>
  </si>
  <si>
    <t>BB-045795</t>
  </si>
  <si>
    <t>BB-044671</t>
  </si>
  <si>
    <t>BB-045517</t>
  </si>
  <si>
    <t>BB-045183</t>
  </si>
  <si>
    <t>BB-045075</t>
  </si>
  <si>
    <t>BB-045243</t>
  </si>
  <si>
    <t>BB-045458</t>
  </si>
  <si>
    <t>BB-045131</t>
  </si>
  <si>
    <t>BB-045572</t>
  </si>
  <si>
    <t>BB-045514</t>
  </si>
  <si>
    <t>BB-045240</t>
  </si>
  <si>
    <t>BB-045461</t>
  </si>
  <si>
    <t>BB-045067</t>
  </si>
  <si>
    <t>BB-044621</t>
  </si>
  <si>
    <t>CC-054624</t>
  </si>
  <si>
    <t>DD-013127</t>
  </si>
  <si>
    <t>CC-055101</t>
  </si>
  <si>
    <t>CC-056939</t>
  </si>
  <si>
    <t>CC-056104</t>
  </si>
  <si>
    <t>BB-045266</t>
  </si>
  <si>
    <t>BF-000372</t>
  </si>
  <si>
    <t>CC-055547</t>
  </si>
  <si>
    <t>CC-056455</t>
  </si>
  <si>
    <t>CC-055051</t>
  </si>
  <si>
    <t>CC-055346</t>
  </si>
  <si>
    <t>CC-056034</t>
  </si>
  <si>
    <t>CC-055055</t>
  </si>
  <si>
    <t>CC-055340</t>
  </si>
  <si>
    <t>CC-055052</t>
  </si>
  <si>
    <t>CC-056265</t>
  </si>
  <si>
    <t>CC-055134</t>
  </si>
  <si>
    <t>CC-055135</t>
  </si>
  <si>
    <t>BB-044978</t>
  </si>
  <si>
    <t>BF-000353</t>
  </si>
  <si>
    <t>CC-055337</t>
  </si>
  <si>
    <t>CC-056221</t>
  </si>
  <si>
    <t>CC-054470</t>
  </si>
  <si>
    <t>CC-054970</t>
  </si>
  <si>
    <t>CC-056178</t>
  </si>
  <si>
    <t>CC-056110</t>
  </si>
  <si>
    <t>CC-055477</t>
  </si>
  <si>
    <t>BB-044700</t>
  </si>
  <si>
    <t>RAMOS-REYNOSA-RAMOS</t>
  </si>
  <si>
    <t>BB-045706</t>
  </si>
  <si>
    <t>BF-000379</t>
  </si>
  <si>
    <t>BB-045385</t>
  </si>
  <si>
    <t>AA-027956</t>
  </si>
  <si>
    <t>AA-028358</t>
  </si>
  <si>
    <t>AA-027609</t>
  </si>
  <si>
    <t>BB-045050</t>
  </si>
  <si>
    <t>BB-045340</t>
  </si>
  <si>
    <t>BB-045835</t>
  </si>
  <si>
    <t>BB-045562</t>
  </si>
  <si>
    <t>BB-045047</t>
  </si>
  <si>
    <t>BB-045553</t>
  </si>
  <si>
    <t>BB-044719</t>
  </si>
  <si>
    <t>BB-045056</t>
  </si>
  <si>
    <t>BB-045675</t>
  </si>
  <si>
    <t>BB-045337</t>
  </si>
  <si>
    <t>BB-019897</t>
  </si>
  <si>
    <t>BB-019904</t>
  </si>
  <si>
    <t>BB-019885</t>
  </si>
  <si>
    <t>BB-045778</t>
  </si>
  <si>
    <t>BB-044833</t>
  </si>
  <si>
    <t>BB-044824</t>
  </si>
  <si>
    <t>BB-045273</t>
  </si>
  <si>
    <t>BB-045550</t>
  </si>
  <si>
    <t>BB-045224</t>
  </si>
  <si>
    <t>BB-045838</t>
  </si>
  <si>
    <t>BB-044937</t>
  </si>
  <si>
    <t>BB-045719</t>
  </si>
  <si>
    <t>BB-044830</t>
  </si>
  <si>
    <t>BB-045270</t>
  </si>
  <si>
    <t>BB-044940</t>
  </si>
  <si>
    <t>BB-045331</t>
  </si>
  <si>
    <t>CC-054732</t>
  </si>
  <si>
    <t>DD-013203</t>
  </si>
  <si>
    <t>CC-054632</t>
  </si>
  <si>
    <t>HERMOSILLO * SANTA ANA * HERMOSILLO</t>
  </si>
  <si>
    <t>CC-054878</t>
  </si>
  <si>
    <t>BB-044835</t>
  </si>
  <si>
    <t>BB-044838</t>
  </si>
  <si>
    <t>BB-045348</t>
  </si>
  <si>
    <t>BB-045677</t>
  </si>
  <si>
    <t>BB-045849</t>
  </si>
  <si>
    <t>BB-045342</t>
  </si>
  <si>
    <t>BB-045846</t>
  </si>
  <si>
    <t>BB-045058</t>
  </si>
  <si>
    <t>BB-045843</t>
  </si>
  <si>
    <t>BB-045180</t>
  </si>
  <si>
    <t>BB-045401</t>
  </si>
  <si>
    <t>BB-044672</t>
  </si>
  <si>
    <t>BB-045780</t>
  </si>
  <si>
    <t>BB-045566</t>
  </si>
  <si>
    <t>BB-045339</t>
  </si>
  <si>
    <t>BB-019899</t>
  </si>
  <si>
    <t>BF-000366</t>
  </si>
  <si>
    <t>BB-019876</t>
  </si>
  <si>
    <t>BF-000351</t>
  </si>
  <si>
    <t>BB-045128</t>
  </si>
  <si>
    <t>BB-045064</t>
  </si>
  <si>
    <t>BB-044939</t>
  </si>
  <si>
    <t>BB-044832</t>
  </si>
  <si>
    <t>BB-045502</t>
  </si>
  <si>
    <t>BB-045505</t>
  </si>
  <si>
    <t>BB-045680</t>
  </si>
  <si>
    <t>CC-055123</t>
  </si>
  <si>
    <t>CC-055682</t>
  </si>
  <si>
    <t>CC-054958</t>
  </si>
  <si>
    <t>CC-055513</t>
  </si>
  <si>
    <t>CC-056217</t>
  </si>
  <si>
    <t>CC-056006</t>
  </si>
  <si>
    <t>CC-056031</t>
  </si>
  <si>
    <t>CC-055764</t>
  </si>
  <si>
    <t>CC-054963</t>
  </si>
  <si>
    <t>CC-056491</t>
  </si>
  <si>
    <t>CC-054464</t>
  </si>
  <si>
    <t>CC-054961</t>
  </si>
  <si>
    <t>CC-055151</t>
  </si>
  <si>
    <t>BB-045362</t>
  </si>
  <si>
    <t>CC-056025</t>
  </si>
  <si>
    <t>CC-055569</t>
  </si>
  <si>
    <t>CC-055566</t>
  </si>
  <si>
    <t>CC-056068</t>
  </si>
  <si>
    <t>CC-054483</t>
  </si>
  <si>
    <t>CC-055476</t>
  </si>
  <si>
    <t>CC-055330</t>
  </si>
  <si>
    <t>CC-055758</t>
  </si>
  <si>
    <t>CC-056077</t>
  </si>
  <si>
    <t>CC-055076</t>
  </si>
  <si>
    <t>CC-055470</t>
  </si>
  <si>
    <t>CC-056150</t>
  </si>
  <si>
    <t xml:space="preserve">TECOMAN - MANZANILLO - TECOMAN </t>
  </si>
  <si>
    <t>BB-045252</t>
  </si>
  <si>
    <t>BB-045472</t>
  </si>
  <si>
    <t>RAMOS-RAMOS-RAMOS</t>
  </si>
  <si>
    <t>AA-028490</t>
  </si>
  <si>
    <t>AA-027629</t>
  </si>
  <si>
    <t>AA-027750</t>
  </si>
  <si>
    <t>AA-028668</t>
  </si>
  <si>
    <t>AA-027979</t>
  </si>
  <si>
    <t>AA-028677</t>
  </si>
  <si>
    <t>CC-055032</t>
  </si>
  <si>
    <t>CC-054924</t>
  </si>
  <si>
    <t>CF-000300</t>
  </si>
  <si>
    <t>CC-055327</t>
  </si>
  <si>
    <t>CC-056970</t>
  </si>
  <si>
    <t>CC-054957</t>
  </si>
  <si>
    <t>CC-054921</t>
  </si>
  <si>
    <t>CC-056059</t>
  </si>
  <si>
    <t>CC-056297</t>
  </si>
  <si>
    <t>CC-056488</t>
  </si>
  <si>
    <t>CC-056288</t>
  </si>
  <si>
    <t>CC-056987</t>
  </si>
  <si>
    <t>CC-056138</t>
  </si>
  <si>
    <t>CF-000331</t>
  </si>
  <si>
    <t>CC-055325</t>
  </si>
  <si>
    <t>CC-056973</t>
  </si>
  <si>
    <t>CC-056300</t>
  </si>
  <si>
    <t>CC-054927</t>
  </si>
  <si>
    <t>ZAPOPAN - TLAQUEPAQUE - ZAPOPAN</t>
  </si>
  <si>
    <t>CC-055666</t>
  </si>
  <si>
    <t>CC-056207</t>
  </si>
  <si>
    <t>CC-056019</t>
  </si>
  <si>
    <t>CC-055028</t>
  </si>
  <si>
    <t>CC-056204</t>
  </si>
  <si>
    <t>CC-055557</t>
  </si>
  <si>
    <t>AA-028384</t>
  </si>
  <si>
    <t>AA-028620</t>
  </si>
  <si>
    <t>AA-027919</t>
  </si>
  <si>
    <t>AA-028266</t>
  </si>
  <si>
    <t>CC-052464</t>
  </si>
  <si>
    <t>CC-055990</t>
  </si>
  <si>
    <t>CC-052357</t>
  </si>
  <si>
    <t>CC-052343</t>
  </si>
  <si>
    <t>CC-052457</t>
  </si>
  <si>
    <t>CC-055904</t>
  </si>
  <si>
    <t>CC-052449</t>
  </si>
  <si>
    <t>CC-052493</t>
  </si>
  <si>
    <t>CC-055827</t>
  </si>
  <si>
    <t>CC-055804</t>
  </si>
  <si>
    <t>CC-055953</t>
  </si>
  <si>
    <t>CC-052411</t>
  </si>
  <si>
    <t>CC-055938</t>
  </si>
  <si>
    <t>CC-055941</t>
  </si>
  <si>
    <t>CC-052461</t>
  </si>
  <si>
    <t>CC-052417</t>
  </si>
  <si>
    <t>CC-052495</t>
  </si>
  <si>
    <t>CC-055825</t>
  </si>
  <si>
    <t>CC-052443</t>
  </si>
  <si>
    <t>CC-052499</t>
  </si>
  <si>
    <t>CC-055873</t>
  </si>
  <si>
    <t>CC-052383</t>
  </si>
  <si>
    <t>CC-052368</t>
  </si>
  <si>
    <t>CC-055901</t>
  </si>
  <si>
    <t>AA-027621</t>
  </si>
  <si>
    <t>AA-027564</t>
  </si>
  <si>
    <t>AA-027799</t>
  </si>
  <si>
    <t>AA-028070</t>
  </si>
  <si>
    <t>CC-053845</t>
  </si>
  <si>
    <t>CC-055109</t>
  </si>
  <si>
    <t>CC-055106</t>
  </si>
  <si>
    <t>CC-055487</t>
  </si>
  <si>
    <t>CC-057039</t>
  </si>
  <si>
    <t>CC-054932</t>
  </si>
  <si>
    <t>CC-055316</t>
  </si>
  <si>
    <t>BB-044861</t>
  </si>
  <si>
    <t>CC-056097</t>
  </si>
  <si>
    <t>CC-056383</t>
  </si>
  <si>
    <t>CC-055715</t>
  </si>
  <si>
    <t>CC-055016</t>
  </si>
  <si>
    <t>CC-056239</t>
  </si>
  <si>
    <t>CC-055718</t>
  </si>
  <si>
    <t>CC-053833</t>
  </si>
  <si>
    <t>BB-045864</t>
  </si>
  <si>
    <t>CC-056282</t>
  </si>
  <si>
    <t>CC-054441</t>
  </si>
  <si>
    <t>CC-055411</t>
  </si>
  <si>
    <t>CC-055184</t>
  </si>
  <si>
    <t>BB-044913</t>
  </si>
  <si>
    <t>BB-045750</t>
  </si>
  <si>
    <t>BF-000378</t>
  </si>
  <si>
    <t>BB-044855</t>
  </si>
  <si>
    <t>BB-044688</t>
  </si>
  <si>
    <t>BF-000343</t>
  </si>
  <si>
    <t>CC-054772</t>
  </si>
  <si>
    <t>DD-013182</t>
  </si>
  <si>
    <t>DD-013039</t>
  </si>
  <si>
    <t>CC-054815</t>
  </si>
  <si>
    <t>CC-056971</t>
  </si>
  <si>
    <t>CC-056211</t>
  </si>
  <si>
    <t>CC-056351</t>
  </si>
  <si>
    <t>CC-054955</t>
  </si>
  <si>
    <t>CC-056205</t>
  </si>
  <si>
    <t>CC-056164</t>
  </si>
  <si>
    <t>CC-056139</t>
  </si>
  <si>
    <t>CC-055750</t>
  </si>
  <si>
    <t>CC-054922</t>
  </si>
  <si>
    <t>CC-054925</t>
  </si>
  <si>
    <t>CC-056060</t>
  </si>
  <si>
    <t>CC-056440</t>
  </si>
  <si>
    <t>CC-054474</t>
  </si>
  <si>
    <t>CC-054928</t>
  </si>
  <si>
    <t>CC-055039</t>
  </si>
  <si>
    <t>CC-055468</t>
  </si>
  <si>
    <t>CC-056208</t>
  </si>
  <si>
    <t>CC-056290</t>
  </si>
  <si>
    <t>CC-056395</t>
  </si>
  <si>
    <t>CC-055671</t>
  </si>
  <si>
    <t>CC-055631</t>
  </si>
  <si>
    <t>CC-055435</t>
  </si>
  <si>
    <t>CC-055756</t>
  </si>
  <si>
    <t>CC-056979</t>
  </si>
  <si>
    <t>ZAPOPAN - AGUASCALIENTES - ZAPOPAN</t>
  </si>
  <si>
    <t>CC-053841</t>
  </si>
  <si>
    <t>CC-055159</t>
  </si>
  <si>
    <t>CC-053837</t>
  </si>
  <si>
    <t>BB-044668</t>
  </si>
  <si>
    <t>CC-055515</t>
  </si>
  <si>
    <t>CC-055037</t>
  </si>
  <si>
    <t>CC-055034</t>
  </si>
  <si>
    <t>CC-056206</t>
  </si>
  <si>
    <t>CC-056215</t>
  </si>
  <si>
    <t>CC-056209</t>
  </si>
  <si>
    <t>CC-056974</t>
  </si>
  <si>
    <t>CC-056070</t>
  </si>
  <si>
    <t>CC-055571</t>
  </si>
  <si>
    <t>CC-056444</t>
  </si>
  <si>
    <t>CC-055672</t>
  </si>
  <si>
    <t>CC-054926</t>
  </si>
  <si>
    <t>CC-056291</t>
  </si>
  <si>
    <t>CC-056143</t>
  </si>
  <si>
    <t>CC-056165</t>
  </si>
  <si>
    <t>CC-055328</t>
  </si>
  <si>
    <t>CC-056360</t>
  </si>
  <si>
    <t>CC-055757</t>
  </si>
  <si>
    <t>CC-055329</t>
  </si>
  <si>
    <t>CC-056002</t>
  </si>
  <si>
    <t>CC-055469</t>
  </si>
  <si>
    <t>CC-054477</t>
  </si>
  <si>
    <t>CC-055040</t>
  </si>
  <si>
    <t>CC-056441</t>
  </si>
  <si>
    <t>CC-054920</t>
  </si>
  <si>
    <t>CC-056352</t>
  </si>
  <si>
    <t>CC-055460</t>
  </si>
  <si>
    <t>BB-045961</t>
  </si>
  <si>
    <t>BB-045627</t>
  </si>
  <si>
    <t>CC-056969</t>
  </si>
  <si>
    <t>CC-057073</t>
  </si>
  <si>
    <t>CC-055324</t>
  </si>
  <si>
    <t>CC-056487</t>
  </si>
  <si>
    <t>CC-055326</t>
  </si>
  <si>
    <t>CC-055427</t>
  </si>
  <si>
    <t>CC-055605</t>
  </si>
  <si>
    <t>CC-056198</t>
  </si>
  <si>
    <t>CC-055662</t>
  </si>
  <si>
    <t>CC-056963</t>
  </si>
  <si>
    <t>CC-055027</t>
  </si>
  <si>
    <t>CC-055503</t>
  </si>
  <si>
    <t>CC-056972</t>
  </si>
  <si>
    <t>CC-056058</t>
  </si>
  <si>
    <t>CC-055665</t>
  </si>
  <si>
    <t>CC-056966</t>
  </si>
  <si>
    <t>CC-055500</t>
  </si>
  <si>
    <t>CC-054947</t>
  </si>
  <si>
    <t>CC-055024</t>
  </si>
  <si>
    <t>CC-056490</t>
  </si>
  <si>
    <t>CC-056128</t>
  </si>
  <si>
    <t>ZAPOPAN - ZAPOPAN3 - ZAPOPAN</t>
  </si>
  <si>
    <t>CC-055424</t>
  </si>
  <si>
    <t>ZAPOPAN - GUADALAJARA - ZAPOPAN</t>
  </si>
  <si>
    <t>CC-056396</t>
  </si>
  <si>
    <t>AA-027709</t>
  </si>
  <si>
    <t>IXTAC-ATLIXCO-IXTAC</t>
  </si>
  <si>
    <t>CC-055146</t>
  </si>
  <si>
    <t>CC-055169</t>
  </si>
  <si>
    <t>CC-056218</t>
  </si>
  <si>
    <t>CC-056032</t>
  </si>
  <si>
    <t>CC-055402</t>
  </si>
  <si>
    <t>CC-055045</t>
  </si>
  <si>
    <t>CC-056412</t>
  </si>
  <si>
    <t>CC-056080</t>
  </si>
  <si>
    <t>CC-055438</t>
  </si>
  <si>
    <t>CC-055048</t>
  </si>
  <si>
    <t>CC-055759</t>
  </si>
  <si>
    <t>CC-056259</t>
  </si>
  <si>
    <t>CC-056175</t>
  </si>
  <si>
    <t>CC-055684</t>
  </si>
  <si>
    <t>CC-055405</t>
  </si>
  <si>
    <t>CC-054484</t>
  </si>
  <si>
    <t>CC-055677</t>
  </si>
  <si>
    <t>CC-056493</t>
  </si>
  <si>
    <t>CC-055570</t>
  </si>
  <si>
    <t>CC-056439</t>
  </si>
  <si>
    <t>CC-056256</t>
  </si>
  <si>
    <t>CC-056007</t>
  </si>
  <si>
    <t>CC-056495</t>
  </si>
  <si>
    <t>CC-055147</t>
  </si>
  <si>
    <t>CC-053824</t>
  </si>
  <si>
    <t>BB-045282</t>
  </si>
  <si>
    <t>BF-000364</t>
  </si>
  <si>
    <t>BB-045834</t>
  </si>
  <si>
    <t>AA-028585</t>
  </si>
  <si>
    <t>CC-056005</t>
  </si>
  <si>
    <t>CC-055116</t>
  </si>
  <si>
    <t>CC-057027</t>
  </si>
  <si>
    <t>CC-055475</t>
  </si>
  <si>
    <t>CC-055046</t>
  </si>
  <si>
    <t>CC-056219</t>
  </si>
  <si>
    <t>CC-056935</t>
  </si>
  <si>
    <t>CC-056410</t>
  </si>
  <si>
    <t>CC-054962</t>
  </si>
  <si>
    <t>CC-056173</t>
  </si>
  <si>
    <t>CC-056937</t>
  </si>
  <si>
    <t>CC-054469</t>
  </si>
  <si>
    <t>CC-054485</t>
  </si>
  <si>
    <t>CC-055338</t>
  </si>
  <si>
    <t>CC-055049</t>
  </si>
  <si>
    <t>CC-055406</t>
  </si>
  <si>
    <t>CC-054965</t>
  </si>
  <si>
    <t>CC-055579</t>
  </si>
  <si>
    <t>CC-056496</t>
  </si>
  <si>
    <t>CC-055638</t>
  </si>
  <si>
    <t>CC-054968</t>
  </si>
  <si>
    <t>CC-055150</t>
  </si>
  <si>
    <t>BB-045770</t>
  </si>
  <si>
    <t>BB-044931</t>
  </si>
  <si>
    <t>CC-056902</t>
  </si>
  <si>
    <t>CC-055766</t>
  </si>
  <si>
    <t>CC-055686</t>
  </si>
  <si>
    <t>BB-045832</t>
  </si>
  <si>
    <t>BB-045276</t>
  </si>
  <si>
    <t>BB-044934</t>
  </si>
  <si>
    <t>BB-045672</t>
  </si>
  <si>
    <t>BB-045841</t>
  </si>
  <si>
    <t>CC-054991</t>
  </si>
  <si>
    <t>CC-054988</t>
  </si>
  <si>
    <t>CC-055656</t>
  </si>
  <si>
    <t>CC-055658</t>
  </si>
  <si>
    <t>CC-057002</t>
  </si>
  <si>
    <t>CC-054994</t>
  </si>
  <si>
    <t>CC-055362</t>
  </si>
  <si>
    <t>CC-055593</t>
  </si>
  <si>
    <t>CC-055590</t>
  </si>
  <si>
    <t>CC-056121</t>
  </si>
  <si>
    <t>CC-053960</t>
  </si>
  <si>
    <t>ZAPOPAN - MAZATLAN - ZAPOPAN</t>
  </si>
  <si>
    <t>CC-055384</t>
  </si>
  <si>
    <t>CC-054940</t>
  </si>
  <si>
    <t>CC-055356</t>
  </si>
  <si>
    <t>CC-056050</t>
  </si>
  <si>
    <t>CC-055392</t>
  </si>
  <si>
    <t>CC-056095</t>
  </si>
  <si>
    <t>CC-055698</t>
  </si>
  <si>
    <t>CC-055695</t>
  </si>
  <si>
    <t>CC-055596</t>
  </si>
  <si>
    <t>CC-055653</t>
  </si>
  <si>
    <t>CC-055409</t>
  </si>
  <si>
    <t>CC-055359</t>
  </si>
  <si>
    <t>BB-019890</t>
  </si>
  <si>
    <t>BB-045783</t>
  </si>
  <si>
    <t>BB-045786</t>
  </si>
  <si>
    <t>BB-045789</t>
  </si>
  <si>
    <t>BB-045284</t>
  </si>
  <si>
    <t>BB-045674</t>
  </si>
  <si>
    <t>CC-056466</t>
  </si>
  <si>
    <t>CC-055105</t>
  </si>
  <si>
    <t>CC-055714</t>
  </si>
  <si>
    <t>CC-057038</t>
  </si>
  <si>
    <t>CC-054904</t>
  </si>
  <si>
    <t>CC-056119</t>
  </si>
  <si>
    <t>CC-056276</t>
  </si>
  <si>
    <t>CC-055015</t>
  </si>
  <si>
    <t>CC-056472</t>
  </si>
  <si>
    <t>CC-056382</t>
  </si>
  <si>
    <t>CC-054934</t>
  </si>
  <si>
    <t>CC-054901</t>
  </si>
  <si>
    <t>CC-055486</t>
  </si>
  <si>
    <t>CC-055345</t>
  </si>
  <si>
    <t>CC-055054</t>
  </si>
  <si>
    <t>CC-055057</t>
  </si>
  <si>
    <t>CC-056914</t>
  </si>
  <si>
    <t>BB-045898</t>
  </si>
  <si>
    <t>BB-044949</t>
  </si>
  <si>
    <t>CC-055410</t>
  </si>
  <si>
    <t>CC-054435</t>
  </si>
  <si>
    <t>CC-056224</t>
  </si>
  <si>
    <t>BB-045196</t>
  </si>
  <si>
    <t>BB-044578</t>
  </si>
  <si>
    <t>BF-000342</t>
  </si>
  <si>
    <t>BB-044753</t>
  </si>
  <si>
    <t>BB-045378</t>
  </si>
  <si>
    <t>RAMOS-PARRAL-RAMOS</t>
  </si>
  <si>
    <t>CC-057060</t>
  </si>
  <si>
    <t>BB-045867</t>
  </si>
  <si>
    <t>RAMOS-GOMEZ-RAMOS</t>
  </si>
  <si>
    <t>CC-055779</t>
  </si>
  <si>
    <t>CC-055595</t>
  </si>
  <si>
    <t>CC-055592</t>
  </si>
  <si>
    <t>CC-056945</t>
  </si>
  <si>
    <t>CC-057001</t>
  </si>
  <si>
    <t>CC-055782</t>
  </si>
  <si>
    <t>CC-055589</t>
  </si>
  <si>
    <t>CC-055655</t>
  </si>
  <si>
    <t>CC-055586</t>
  </si>
  <si>
    <t>CC-055532</t>
  </si>
  <si>
    <t>CC-056094</t>
  </si>
  <si>
    <t>CC-055697</t>
  </si>
  <si>
    <t>CC-055352</t>
  </si>
  <si>
    <t>CC-057108</t>
  </si>
  <si>
    <t>CC-055386</t>
  </si>
  <si>
    <t>CC-054936</t>
  </si>
  <si>
    <t>CC-055090</t>
  </si>
  <si>
    <t>CC-056920</t>
  </si>
  <si>
    <t>CC-054990</t>
  </si>
  <si>
    <t>CC-055349</t>
  </si>
  <si>
    <t>CC-055745</t>
  </si>
  <si>
    <t>CC-055744</t>
  </si>
  <si>
    <t>CC-055822</t>
  </si>
  <si>
    <t>CC-055802</t>
  </si>
  <si>
    <t>CC-052414</t>
  </si>
  <si>
    <t>LA PAZ - CIUDAD CONSTITUCION - LA PAZ</t>
  </si>
  <si>
    <t>CC-052446</t>
  </si>
  <si>
    <t>CC-052391</t>
  </si>
  <si>
    <t>Cd. Juarez</t>
  </si>
  <si>
    <t>BB-045635</t>
  </si>
  <si>
    <t>JUAREZ-JUAREZ-JUAREZ</t>
  </si>
  <si>
    <t>BSA - JUAREZ</t>
  </si>
  <si>
    <t>BF-000368</t>
  </si>
  <si>
    <t>BB-045073</t>
  </si>
  <si>
    <t>BB-044631</t>
  </si>
  <si>
    <t>BB-045582</t>
  </si>
  <si>
    <t>BB-044628</t>
  </si>
  <si>
    <t>BB-044738</t>
  </si>
  <si>
    <t>BB-045244</t>
  </si>
  <si>
    <t>BB-044801</t>
  </si>
  <si>
    <t>BB-045462</t>
  </si>
  <si>
    <t>BB-019873</t>
  </si>
  <si>
    <t>BB-019902</t>
  </si>
  <si>
    <t>BB-045241</t>
  </si>
  <si>
    <t>BB-045247</t>
  </si>
  <si>
    <t>BB-044789</t>
  </si>
  <si>
    <t>BB-045459</t>
  </si>
  <si>
    <t>BB-045515</t>
  </si>
  <si>
    <t>BB-045121</t>
  </si>
  <si>
    <t>BB-045127</t>
  </si>
  <si>
    <t>BB-045076</t>
  </si>
  <si>
    <t>BB-045071</t>
  </si>
  <si>
    <t>BB-044625</t>
  </si>
  <si>
    <t>BB-045576</t>
  </si>
  <si>
    <t>BB-045579</t>
  </si>
  <si>
    <t>BB-045124</t>
  </si>
  <si>
    <t>CC-056137</t>
  </si>
  <si>
    <t>CC-055043</t>
  </si>
  <si>
    <t>CC-055080</t>
  </si>
  <si>
    <t>CC-056363</t>
  </si>
  <si>
    <t>CC-055436</t>
  </si>
  <si>
    <t>AA-028631</t>
  </si>
  <si>
    <t>AA-029091</t>
  </si>
  <si>
    <t>AA-027779</t>
  </si>
  <si>
    <t>AA-028570</t>
  </si>
  <si>
    <t>AA-028698</t>
  </si>
  <si>
    <t>AA-028752</t>
  </si>
  <si>
    <t>AA-027720</t>
  </si>
  <si>
    <t>AA-027773</t>
  </si>
  <si>
    <t>AA-027996</t>
  </si>
  <si>
    <t>AA-028695</t>
  </si>
  <si>
    <t>AA-027717</t>
  </si>
  <si>
    <t>AA-027770</t>
  </si>
  <si>
    <t>AA-027936</t>
  </si>
  <si>
    <t>AA-029980</t>
  </si>
  <si>
    <t>AA-028517</t>
  </si>
  <si>
    <t>AA-028217</t>
  </si>
  <si>
    <t>AA-027837</t>
  </si>
  <si>
    <t>AA-027598</t>
  </si>
  <si>
    <t>AA-027714</t>
  </si>
  <si>
    <t>AA-027939</t>
  </si>
  <si>
    <t>AA-027945</t>
  </si>
  <si>
    <t>AA-027999</t>
  </si>
  <si>
    <t>AA-029088</t>
  </si>
  <si>
    <t>CC-055795</t>
  </si>
  <si>
    <t>CC-055674</t>
  </si>
  <si>
    <t>CC-056136</t>
  </si>
  <si>
    <t>CC-055792</t>
  </si>
  <si>
    <t>CC-055607</t>
  </si>
  <si>
    <t>ZAPOPAN - EL SALTO - ZAPOPAN</t>
  </si>
  <si>
    <t>AA-028213</t>
  </si>
  <si>
    <t>AA-028751</t>
  </si>
  <si>
    <t>AA-028391</t>
  </si>
  <si>
    <t>AA-028697</t>
  </si>
  <si>
    <t>AA-028455</t>
  </si>
  <si>
    <t>AA-029090</t>
  </si>
  <si>
    <t>AA-028636</t>
  </si>
  <si>
    <t>AA-028337</t>
  </si>
  <si>
    <t>AA-028222</t>
  </si>
  <si>
    <t>AA-027935</t>
  </si>
  <si>
    <t>AA-028630</t>
  </si>
  <si>
    <t>AA-028569</t>
  </si>
  <si>
    <t>AA-028153</t>
  </si>
  <si>
    <t>AA-028156</t>
  </si>
  <si>
    <t>AA-027932</t>
  </si>
  <si>
    <t>AA-028516</t>
  </si>
  <si>
    <t>AA-027827</t>
  </si>
  <si>
    <t>AA-027655</t>
  </si>
  <si>
    <t>AA-028216</t>
  </si>
  <si>
    <t>AA-027772</t>
  </si>
  <si>
    <t>AA-027830</t>
  </si>
  <si>
    <t>AA-027992</t>
  </si>
  <si>
    <t>AA-027995</t>
  </si>
  <si>
    <t>AA-028458</t>
  </si>
  <si>
    <t>CC-055553</t>
  </si>
  <si>
    <t>CC-056287</t>
  </si>
  <si>
    <t>CC-055369</t>
  </si>
  <si>
    <t>CC-056249</t>
  </si>
  <si>
    <t>CC-057070</t>
  </si>
  <si>
    <t>CC-055748</t>
  </si>
  <si>
    <t>Culiacan</t>
  </si>
  <si>
    <t>CC-056424</t>
  </si>
  <si>
    <t>CULIACAN - CD CULIACAN - CULIACAN</t>
  </si>
  <si>
    <t>CULIACAN</t>
  </si>
  <si>
    <t>BGU - CULIACAN</t>
  </si>
  <si>
    <t>CF-000334</t>
  </si>
  <si>
    <t>CC-056200</t>
  </si>
  <si>
    <t>CULIACAN - CUL - CULIACAN</t>
  </si>
  <si>
    <t>CC-055309</t>
  </si>
  <si>
    <t>CF-000318</t>
  </si>
  <si>
    <t>CC-056930</t>
  </si>
  <si>
    <t>CC-056203</t>
  </si>
  <si>
    <t>CULIACAN - LOS MOCHIS - CULIACAN</t>
  </si>
  <si>
    <t>CC-055808</t>
  </si>
  <si>
    <t>CC-052370</t>
  </si>
  <si>
    <t>CC-052416</t>
  </si>
  <si>
    <t>CC-052385</t>
  </si>
  <si>
    <t>CC-055994</t>
  </si>
  <si>
    <t>CC-055945</t>
  </si>
  <si>
    <t>CC-055842</t>
  </si>
  <si>
    <t>CC-055963</t>
  </si>
  <si>
    <t>CC-055889</t>
  </si>
  <si>
    <t>CC-055806</t>
  </si>
  <si>
    <t>CC-052451</t>
  </si>
  <si>
    <t>CC-052463</t>
  </si>
  <si>
    <t>CC-052374</t>
  </si>
  <si>
    <t>CC-052388</t>
  </si>
  <si>
    <t>CC-052403</t>
  </si>
  <si>
    <t>BB-045633</t>
  </si>
  <si>
    <t>BB-045732</t>
  </si>
  <si>
    <t>ALTAMIRA-ALTAMIRA-ALTAMIRA</t>
  </si>
  <si>
    <t xml:space="preserve">ALTAMIRA </t>
  </si>
  <si>
    <t xml:space="preserve">BSA - TAMPICO </t>
  </si>
  <si>
    <t>BF-000382</t>
  </si>
  <si>
    <t>BB-044915</t>
  </si>
  <si>
    <t>CC-056074</t>
  </si>
  <si>
    <t>AA-027761</t>
  </si>
  <si>
    <t>AA-028392</t>
  </si>
  <si>
    <t>AA-028502</t>
  </si>
  <si>
    <t>AA-027930</t>
  </si>
  <si>
    <t>AA-027764</t>
  </si>
  <si>
    <t>AA-028332</t>
  </si>
  <si>
    <t>AA-028151</t>
  </si>
  <si>
    <t>AA-028740</t>
  </si>
  <si>
    <t>AA-028214</t>
  </si>
  <si>
    <t>AA-028628</t>
  </si>
  <si>
    <t>AA-027927</t>
  </si>
  <si>
    <t>AA-027584</t>
  </si>
  <si>
    <t>AA-027990</t>
  </si>
  <si>
    <t>AA-028447</t>
  </si>
  <si>
    <t>AA-028389</t>
  </si>
  <si>
    <t>AA-028329</t>
  </si>
  <si>
    <t>AA-029073</t>
  </si>
  <si>
    <t>AA-027461</t>
  </si>
  <si>
    <t>AA-028511</t>
  </si>
  <si>
    <t>AA-027758</t>
  </si>
  <si>
    <t>AA-028683</t>
  </si>
  <si>
    <t>AA-027590</t>
  </si>
  <si>
    <t>AA-028680</t>
  </si>
  <si>
    <t>AA-029076</t>
  </si>
  <si>
    <t>AA-028383</t>
  </si>
  <si>
    <t>AA-028686</t>
  </si>
  <si>
    <t>AA-028148</t>
  </si>
  <si>
    <t>CC-052342</t>
  </si>
  <si>
    <t>CC-052460</t>
  </si>
  <si>
    <t>CC-052356</t>
  </si>
  <si>
    <t>CC-056553</t>
  </si>
  <si>
    <t>CC-054702</t>
  </si>
  <si>
    <t>CC-054738</t>
  </si>
  <si>
    <t>CC-054797</t>
  </si>
  <si>
    <t>CC-054653</t>
  </si>
  <si>
    <t>CC-054896</t>
  </si>
  <si>
    <t>CC-056549</t>
  </si>
  <si>
    <t>CC-054761</t>
  </si>
  <si>
    <t>CC-054791</t>
  </si>
  <si>
    <t>DD-013038</t>
  </si>
  <si>
    <t>DD-012837</t>
  </si>
  <si>
    <t>DD-013152</t>
  </si>
  <si>
    <t>DD-012973</t>
  </si>
  <si>
    <t>CC-054893</t>
  </si>
  <si>
    <t>DD-013165</t>
  </si>
  <si>
    <t>DD-012975</t>
  </si>
  <si>
    <t>DD-012828</t>
  </si>
  <si>
    <t>CC-054851</t>
  </si>
  <si>
    <t>DD-012741</t>
  </si>
  <si>
    <t>DD-012737</t>
  </si>
  <si>
    <t>CC-054647</t>
  </si>
  <si>
    <t>CC-054741</t>
  </si>
  <si>
    <t>DD-012930</t>
  </si>
  <si>
    <t>DD-013209</t>
  </si>
  <si>
    <t>DD-013206</t>
  </si>
  <si>
    <t>CC-057029</t>
  </si>
  <si>
    <t>CC-055765</t>
  </si>
  <si>
    <t>CC-055646</t>
  </si>
  <si>
    <t>ZAPOPAN - TEPIC - ZAPOPAN</t>
  </si>
  <si>
    <t>CC-056519</t>
  </si>
  <si>
    <t>DD-012904</t>
  </si>
  <si>
    <t>DD-012990</t>
  </si>
  <si>
    <t>DD-013173</t>
  </si>
  <si>
    <t>DD-013056</t>
  </si>
  <si>
    <t>DD-012914</t>
  </si>
  <si>
    <t>DD-013078</t>
  </si>
  <si>
    <t>DD-012768</t>
  </si>
  <si>
    <t>CC-054526</t>
  </si>
  <si>
    <t>DD-012960</t>
  </si>
  <si>
    <t>DD-013103</t>
  </si>
  <si>
    <t>DD-012970</t>
  </si>
  <si>
    <t>DD-012816</t>
  </si>
  <si>
    <t>DD-012846</t>
  </si>
  <si>
    <t>DD-013176</t>
  </si>
  <si>
    <t>CC-054580</t>
  </si>
  <si>
    <t>CC-054859</t>
  </si>
  <si>
    <t>CC-054503</t>
  </si>
  <si>
    <t>DD-013145</t>
  </si>
  <si>
    <t>MEXICALI - SANFELIPE - MEXICALI B</t>
  </si>
  <si>
    <t>DD-012885</t>
  </si>
  <si>
    <t>DD-012962</t>
  </si>
  <si>
    <t>DD-012834</t>
  </si>
  <si>
    <t>CC-054612</t>
  </si>
  <si>
    <t>CC-054621</t>
  </si>
  <si>
    <t xml:space="preserve">HERMOSILLO * NAVOJOA *  HERMOSILLO </t>
  </si>
  <si>
    <t>CC-054687</t>
  </si>
  <si>
    <t>CC-054684</t>
  </si>
  <si>
    <t>DD-012847</t>
  </si>
  <si>
    <t>DD-013158</t>
  </si>
  <si>
    <t>DD-013130</t>
  </si>
  <si>
    <t>DD-013175</t>
  </si>
  <si>
    <t>CC-055520</t>
  </si>
  <si>
    <t>CC-056446</t>
  </si>
  <si>
    <t>CC-055443</t>
  </si>
  <si>
    <t>CC-055740</t>
  </si>
  <si>
    <t>CC-056029</t>
  </si>
  <si>
    <t>CC-055334</t>
  </si>
  <si>
    <t>CC-055517</t>
  </si>
  <si>
    <t>CC-056452</t>
  </si>
  <si>
    <t>CC-055042</t>
  </si>
  <si>
    <t>CC-056010</t>
  </si>
  <si>
    <t>CC-056498</t>
  </si>
  <si>
    <t>CC-055331</t>
  </si>
  <si>
    <t>CC-054487</t>
  </si>
  <si>
    <t>CC-056449</t>
  </si>
  <si>
    <t>CC-055523</t>
  </si>
  <si>
    <t>CC-055471</t>
  </si>
  <si>
    <t>CC-056214</t>
  </si>
  <si>
    <t>CC-055514</t>
  </si>
  <si>
    <t>CC-056004</t>
  </si>
  <si>
    <t>CC-056172</t>
  </si>
  <si>
    <t>CC-055079</t>
  </si>
  <si>
    <t>CC-055637</t>
  </si>
  <si>
    <t>CC-056001</t>
  </si>
  <si>
    <t>CC-055403</t>
  </si>
  <si>
    <t>CC-056456</t>
  </si>
  <si>
    <t>CC-055117</t>
  </si>
  <si>
    <t>DD-013019</t>
  </si>
  <si>
    <t>CC-056532</t>
  </si>
  <si>
    <t>CC-054862</t>
  </si>
  <si>
    <t>CC-054507</t>
  </si>
  <si>
    <t>CC-054868</t>
  </si>
  <si>
    <t>DD-012817</t>
  </si>
  <si>
    <t>DD-012788</t>
  </si>
  <si>
    <t>DD-013112</t>
  </si>
  <si>
    <t>DD-013194</t>
  </si>
  <si>
    <t>CC-054562</t>
  </si>
  <si>
    <t>CC-054619</t>
  </si>
  <si>
    <t>DD-012952</t>
  </si>
  <si>
    <t>DD-012758</t>
  </si>
  <si>
    <t>CC-054536</t>
  </si>
  <si>
    <t>CC-054828</t>
  </si>
  <si>
    <t>DD-012767</t>
  </si>
  <si>
    <t>CC-056521</t>
  </si>
  <si>
    <t>DD-012841</t>
  </si>
  <si>
    <t>DD-013044</t>
  </si>
  <si>
    <t>DD-013064</t>
  </si>
  <si>
    <t>CC-056524</t>
  </si>
  <si>
    <t>CC-054509</t>
  </si>
  <si>
    <t>CC-056526</t>
  </si>
  <si>
    <t>DD-012825</t>
  </si>
  <si>
    <t>DD-013169</t>
  </si>
  <si>
    <t>CC-055120</t>
  </si>
  <si>
    <t>CC-055125</t>
  </si>
  <si>
    <t>CC-053838</t>
  </si>
  <si>
    <t>CC-053835</t>
  </si>
  <si>
    <t>BB-044612</t>
  </si>
  <si>
    <t>BB-045450</t>
  </si>
  <si>
    <t>BF-000373</t>
  </si>
  <si>
    <t>BB-045619</t>
  </si>
  <si>
    <t>RAMOS-GARCIA-RAMOS</t>
  </si>
  <si>
    <t>BB-045231</t>
  </si>
  <si>
    <t>RAMOS-PINO GORDO-RAMOS</t>
  </si>
  <si>
    <t>CC-056085</t>
  </si>
  <si>
    <t>CF-000325</t>
  </si>
  <si>
    <t>CC-056157</t>
  </si>
  <si>
    <t>CC-056087</t>
  </si>
  <si>
    <t>CC-052333</t>
  </si>
  <si>
    <t>CC-052485</t>
  </si>
  <si>
    <t>CC-052327</t>
  </si>
  <si>
    <t>CC-052330</t>
  </si>
  <si>
    <t>CC-055913</t>
  </si>
  <si>
    <t>CC-052427</t>
  </si>
  <si>
    <t>CC-052430</t>
  </si>
  <si>
    <t>CC-055848</t>
  </si>
  <si>
    <t>CC-055899</t>
  </si>
  <si>
    <t>CC-055836</t>
  </si>
  <si>
    <t>CC-055839</t>
  </si>
  <si>
    <t>CC-052424</t>
  </si>
  <si>
    <t>CC-052440</t>
  </si>
  <si>
    <t>CC-052482</t>
  </si>
  <si>
    <t>CC-052400</t>
  </si>
  <si>
    <t>CC-055897</t>
  </si>
  <si>
    <t>CC-055911</t>
  </si>
  <si>
    <t>AA-027993</t>
  </si>
  <si>
    <t>AA-027702</t>
  </si>
  <si>
    <t>AA-027822</t>
  </si>
  <si>
    <t>DD-012985</t>
  </si>
  <si>
    <t>CC-052000</t>
  </si>
  <si>
    <t>CC-054823</t>
  </si>
  <si>
    <t>CC-054555</t>
  </si>
  <si>
    <t>DD-013084</t>
  </si>
  <si>
    <t>DD-013220</t>
  </si>
  <si>
    <t>DD-012745</t>
  </si>
  <si>
    <t>DD-013074</t>
  </si>
  <si>
    <t>DD-013228</t>
  </si>
  <si>
    <t>DD-012987</t>
  </si>
  <si>
    <t>CC-054689</t>
  </si>
  <si>
    <t>DD-013227</t>
  </si>
  <si>
    <t>DD-012830</t>
  </si>
  <si>
    <t>CC-054614</t>
  </si>
  <si>
    <t>CC-056600</t>
  </si>
  <si>
    <t>DD-013053</t>
  </si>
  <si>
    <t>DD-012833</t>
  </si>
  <si>
    <t>DD-012804</t>
  </si>
  <si>
    <t>CC-056530</t>
  </si>
  <si>
    <t>CC-054528</t>
  </si>
  <si>
    <t>CC-054863</t>
  </si>
  <si>
    <t>DD-012972</t>
  </si>
  <si>
    <t>DD-013142</t>
  </si>
  <si>
    <t>DD-013024</t>
  </si>
  <si>
    <t>CC-054560</t>
  </si>
  <si>
    <t>CC-055634</t>
  </si>
  <si>
    <t>CC-055576</t>
  </si>
  <si>
    <t>CC-056148</t>
  </si>
  <si>
    <t>CC-055737</t>
  </si>
  <si>
    <t>CC-056443</t>
  </si>
  <si>
    <t>CC-056262</t>
  </si>
  <si>
    <t>CC-055760</t>
  </si>
  <si>
    <t>CC-057022</t>
  </si>
  <si>
    <t>CC-054465</t>
  </si>
  <si>
    <t>CF-000301</t>
  </si>
  <si>
    <t>CC-055683</t>
  </si>
  <si>
    <t>CC-055923</t>
  </si>
  <si>
    <t>CC-055831</t>
  </si>
  <si>
    <t>CC-052310</t>
  </si>
  <si>
    <t>CC-055834</t>
  </si>
  <si>
    <t>CC-055883</t>
  </si>
  <si>
    <t>CC-055980</t>
  </si>
  <si>
    <t>CC-055813</t>
  </si>
  <si>
    <t>CC-055965</t>
  </si>
  <si>
    <t>CC-052455</t>
  </si>
  <si>
    <t>CC-052307</t>
  </si>
  <si>
    <t>CC-052470</t>
  </si>
  <si>
    <t>CC-052467</t>
  </si>
  <si>
    <t>CC-052396</t>
  </si>
  <si>
    <t>CC-052420</t>
  </si>
  <si>
    <t>CC-055968</t>
  </si>
  <si>
    <t>CC-055920</t>
  </si>
  <si>
    <t>CC-052319</t>
  </si>
  <si>
    <t>CC-055856</t>
  </si>
  <si>
    <t>BB-045123</t>
  </si>
  <si>
    <t>BB-044737</t>
  </si>
  <si>
    <t>CC-055132</t>
  </si>
  <si>
    <t>CC-057044</t>
  </si>
  <si>
    <t>CC-055047</t>
  </si>
  <si>
    <t>CC-055339</t>
  </si>
  <si>
    <t>CC-056174</t>
  </si>
  <si>
    <t>CC-056106</t>
  </si>
  <si>
    <t>CC-056081</t>
  </si>
  <si>
    <t>CC-056500</t>
  </si>
  <si>
    <t>CC-054966</t>
  </si>
  <si>
    <t>CC-056033</t>
  </si>
  <si>
    <t>CC-056941</t>
  </si>
  <si>
    <t>CC-056497</t>
  </si>
  <si>
    <t>CC-055688</t>
  </si>
  <si>
    <t>CC-056180</t>
  </si>
  <si>
    <t>CC-055140</t>
  </si>
  <si>
    <t>BB-044569</t>
  </si>
  <si>
    <t>CC-055650</t>
  </si>
  <si>
    <t>CC-055647</t>
  </si>
  <si>
    <t>CC-056938</t>
  </si>
  <si>
    <t>CC-056454</t>
  </si>
  <si>
    <t>CC-055546</t>
  </si>
  <si>
    <t>CC-055336</t>
  </si>
  <si>
    <t>CC-055133</t>
  </si>
  <si>
    <t>BB-045689</t>
  </si>
  <si>
    <t>BB-044998</t>
  </si>
  <si>
    <t>BB-044958</t>
  </si>
  <si>
    <t>CC-056580</t>
  </si>
  <si>
    <t>CC-054713</t>
  </si>
  <si>
    <t>CC-054660</t>
  </si>
  <si>
    <t>CC-053839</t>
  </si>
  <si>
    <t>CC-053827</t>
  </si>
  <si>
    <t>CC-056130</t>
  </si>
  <si>
    <t>CC-056053</t>
  </si>
  <si>
    <t>CC-055453</t>
  </si>
  <si>
    <t>CC-055001</t>
  </si>
  <si>
    <t>CC-055496</t>
  </si>
  <si>
    <t>CC-054471</t>
  </si>
  <si>
    <t>CC-055624</t>
  </si>
  <si>
    <t>CC-055456</t>
  </si>
  <si>
    <t>CC-054460</t>
  </si>
  <si>
    <t>CC-056295</t>
  </si>
  <si>
    <t>CC-055787</t>
  </si>
  <si>
    <t>CC-056057</t>
  </si>
  <si>
    <t>CC-055600</t>
  </si>
  <si>
    <t>CC-056194</t>
  </si>
  <si>
    <t>CC-055067</t>
  </si>
  <si>
    <t>CC-055141</t>
  </si>
  <si>
    <t>CC-055152</t>
  </si>
  <si>
    <t>CC-057074</t>
  </si>
  <si>
    <t>CC-055423</t>
  </si>
  <si>
    <t>CC-056056</t>
  </si>
  <si>
    <t>CC-056124</t>
  </si>
  <si>
    <t>CC-055789</t>
  </si>
  <si>
    <t>CC-055171</t>
  </si>
  <si>
    <t>CC-052488</t>
  </si>
  <si>
    <t>CC-055816</t>
  </si>
  <si>
    <t>CC-055866</t>
  </si>
  <si>
    <t>CC-052346</t>
  </si>
  <si>
    <t>CC-052436</t>
  </si>
  <si>
    <t>CC-052477</t>
  </si>
  <si>
    <t>BB-044891</t>
  </si>
  <si>
    <t>BF-000355</t>
  </si>
  <si>
    <t>CC-055916</t>
  </si>
  <si>
    <t>BB-044783</t>
  </si>
  <si>
    <t>BB-045171</t>
  </si>
  <si>
    <t>BF-000365</t>
  </si>
  <si>
    <t>BB-045174</t>
  </si>
  <si>
    <t>BB-045733</t>
  </si>
  <si>
    <t>Altamira</t>
  </si>
  <si>
    <t>BB-045006</t>
  </si>
  <si>
    <t>ALTAMIRA-TAMPICO-ALTAMIRA</t>
  </si>
  <si>
    <t>BB-045917</t>
  </si>
  <si>
    <t>BB-045920</t>
  </si>
  <si>
    <t>BB-045003</t>
  </si>
  <si>
    <t>BB-045446</t>
  </si>
  <si>
    <t>BF-000367</t>
  </si>
  <si>
    <t>BB-044777</t>
  </si>
  <si>
    <t>BB-045444</t>
  </si>
  <si>
    <t>ALTAMIRA-MANTE-ALTAMIRA</t>
  </si>
  <si>
    <t>BB-044780</t>
  </si>
  <si>
    <t>BB-045508</t>
  </si>
  <si>
    <t>BB-045730</t>
  </si>
  <si>
    <t>BB-045278</t>
  </si>
  <si>
    <t>BB-045569</t>
  </si>
  <si>
    <t>BB-044615</t>
  </si>
  <si>
    <t>BB-045724</t>
  </si>
  <si>
    <t>BB-045557</t>
  </si>
  <si>
    <t>BB-045563</t>
  </si>
  <si>
    <t>BB-045840</t>
  </si>
  <si>
    <t>BB-044811</t>
  </si>
  <si>
    <t>BB-045488</t>
  </si>
  <si>
    <t>CC-056936</t>
  </si>
  <si>
    <t>BB-045661</t>
  </si>
  <si>
    <t>AA-028702</t>
  </si>
  <si>
    <t>AA-027596</t>
  </si>
  <si>
    <t>AA-027780</t>
  </si>
  <si>
    <t>AA-028460</t>
  </si>
  <si>
    <t>AA-028699</t>
  </si>
  <si>
    <t>AA-028348</t>
  </si>
  <si>
    <t>AA-027946</t>
  </si>
  <si>
    <t>AA-029089</t>
  </si>
  <si>
    <t>AA-028696</t>
  </si>
  <si>
    <t>AA-028583</t>
  </si>
  <si>
    <t>AA-028161</t>
  </si>
  <si>
    <t>AA-028170</t>
  </si>
  <si>
    <t>AA-028109</t>
  </si>
  <si>
    <t>AA-027599</t>
  </si>
  <si>
    <t>AA-028345</t>
  </si>
  <si>
    <t>AA-028106</t>
  </si>
  <si>
    <t>AA-028284</t>
  </si>
  <si>
    <t>AA-027660</t>
  </si>
  <si>
    <t>AA-028580</t>
  </si>
  <si>
    <t>AA-029092</t>
  </si>
  <si>
    <t>AA-027657</t>
  </si>
  <si>
    <t>AA-028000</t>
  </si>
  <si>
    <t>AA-028403</t>
  </si>
  <si>
    <t>AA-028406</t>
  </si>
  <si>
    <t>AA-027654</t>
  </si>
  <si>
    <t>BB-045407</t>
  </si>
  <si>
    <t>CC-055582</t>
  </si>
  <si>
    <t>BB-044681</t>
  </si>
  <si>
    <t>BB-044897</t>
  </si>
  <si>
    <t>CC-055981</t>
  </si>
  <si>
    <t>CC-055864</t>
  </si>
  <si>
    <t>CC-052379</t>
  </si>
  <si>
    <t>CC-055833</t>
  </si>
  <si>
    <t>CC-052409</t>
  </si>
  <si>
    <t>CC-055881</t>
  </si>
  <si>
    <t>CC-055930</t>
  </si>
  <si>
    <t>CC-052472</t>
  </si>
  <si>
    <t>CC-055977</t>
  </si>
  <si>
    <t>CC-055884</t>
  </si>
  <si>
    <t>CC-055970</t>
  </si>
  <si>
    <t>CC-052431</t>
  </si>
  <si>
    <t>CC-052320</t>
  </si>
  <si>
    <t>CC-055861</t>
  </si>
  <si>
    <t>CC-055908</t>
  </si>
  <si>
    <t>CC-052483</t>
  </si>
  <si>
    <t>CC-052312</t>
  </si>
  <si>
    <t>CC-052324</t>
  </si>
  <si>
    <t>CC-055975</t>
  </si>
  <si>
    <t>CC-052363</t>
  </si>
  <si>
    <t>CC-052454</t>
  </si>
  <si>
    <t>CC-055922</t>
  </si>
  <si>
    <t>CC-055858</t>
  </si>
  <si>
    <t>CC-052366</t>
  </si>
  <si>
    <t>DD-013013</t>
  </si>
  <si>
    <t>DD-012818</t>
  </si>
  <si>
    <t>CC-054744</t>
  </si>
  <si>
    <t>DD-013118</t>
  </si>
  <si>
    <t>DD-012795</t>
  </si>
  <si>
    <t>BB-045077</t>
  </si>
  <si>
    <t>BB-045804</t>
  </si>
  <si>
    <t>BB-045807</t>
  </si>
  <si>
    <t>BB-045245</t>
  </si>
  <si>
    <t>BB-044629</t>
  </si>
  <si>
    <t>BB-045583</t>
  </si>
  <si>
    <t>BB-045248</t>
  </si>
  <si>
    <t>BB-044804</t>
  </si>
  <si>
    <t>BB-044626</t>
  </si>
  <si>
    <t>BB-045242</t>
  </si>
  <si>
    <t>BB-045528</t>
  </si>
  <si>
    <t>BB-044632</t>
  </si>
  <si>
    <t>BB-044745</t>
  </si>
  <si>
    <t>BB-045084</t>
  </si>
  <si>
    <t>BB-045125</t>
  </si>
  <si>
    <t>BB-045802</t>
  </si>
  <si>
    <t>BB-045074</t>
  </si>
  <si>
    <t>BB-045460</t>
  </si>
  <si>
    <t>BB-045580</t>
  </si>
  <si>
    <t>BB-044802</t>
  </si>
  <si>
    <t>BB-045301</t>
  </si>
  <si>
    <t>BB-045914</t>
  </si>
  <si>
    <t>BB-045519</t>
  </si>
  <si>
    <t>BB-044748</t>
  </si>
  <si>
    <t>CC-056529</t>
  </si>
  <si>
    <t>CC-054608</t>
  </si>
  <si>
    <t>CC-054861</t>
  </si>
  <si>
    <t>DD-013202</t>
  </si>
  <si>
    <t>DD-013172</t>
  </si>
  <si>
    <t>CC-056210</t>
  </si>
  <si>
    <t>CC-055516</t>
  </si>
  <si>
    <t>CC-056213</t>
  </si>
  <si>
    <t>CC-056166</t>
  </si>
  <si>
    <t>CC-055041</t>
  </si>
  <si>
    <t>CC-056171</t>
  </si>
  <si>
    <t>CC-056448</t>
  </si>
  <si>
    <t>CC-056364</t>
  </si>
  <si>
    <t>CC-055636</t>
  </si>
  <si>
    <t>CC-055078</t>
  </si>
  <si>
    <t>CC-055519</t>
  </si>
  <si>
    <t>CC-056144</t>
  </si>
  <si>
    <t>CC-054422</t>
  </si>
  <si>
    <t>CC-055575</t>
  </si>
  <si>
    <t>CC-056003</t>
  </si>
  <si>
    <t>CC-055440</t>
  </si>
  <si>
    <t>CC-055736</t>
  </si>
  <si>
    <t>CC-056442</t>
  </si>
  <si>
    <t>CC-055044</t>
  </si>
  <si>
    <t>CC-056141</t>
  </si>
  <si>
    <t>CC-056071</t>
  </si>
  <si>
    <t>CC-055467</t>
  </si>
  <si>
    <t>CC-055434</t>
  </si>
  <si>
    <t>DD-012945</t>
  </si>
  <si>
    <t>CC-054825</t>
  </si>
  <si>
    <t>CC-054865</t>
  </si>
  <si>
    <t>CC-054616</t>
  </si>
  <si>
    <t>DD-013188</t>
  </si>
  <si>
    <t>CC-056102</t>
  </si>
  <si>
    <t>CC-055518</t>
  </si>
  <si>
    <t>CC-055617</t>
  </si>
  <si>
    <t>CC-055335</t>
  </si>
  <si>
    <t>CC-057032</t>
  </si>
  <si>
    <t>CC-055442</t>
  </si>
  <si>
    <t>CC-056170</t>
  </si>
  <si>
    <t>CC-056447</t>
  </si>
  <si>
    <t>CC-055769</t>
  </si>
  <si>
    <t>CC-056366</t>
  </si>
  <si>
    <t>CC-055083</t>
  </si>
  <si>
    <t>CC-055447</t>
  </si>
  <si>
    <t>CC-056260</t>
  </si>
  <si>
    <t>CC-055093</t>
  </si>
  <si>
    <t>CC-055704</t>
  </si>
  <si>
    <t>CC-056453</t>
  </si>
  <si>
    <t>CC-055444</t>
  </si>
  <si>
    <t>CC-056266</t>
  </si>
  <si>
    <t>CC-055089</t>
  </si>
  <si>
    <t>CC-055332</t>
  </si>
  <si>
    <t>CC-055738</t>
  </si>
  <si>
    <t>CC-055521</t>
  </si>
  <si>
    <t>CC-055524</t>
  </si>
  <si>
    <t>BB-045061</t>
  </si>
  <si>
    <t>CC-055008</t>
  </si>
  <si>
    <t>CULIACAN - CULIACAN 1 - CULIACAN</t>
  </si>
  <si>
    <t>CULIACAN 1</t>
  </si>
  <si>
    <t>CC-056096</t>
  </si>
  <si>
    <t>CC-055385</t>
  </si>
  <si>
    <t>CC-057107</t>
  </si>
  <si>
    <t>CC-054986</t>
  </si>
  <si>
    <t>CC-056421</t>
  </si>
  <si>
    <t>CC-056947</t>
  </si>
  <si>
    <t>CC-055348</t>
  </si>
  <si>
    <t>CC-056186</t>
  </si>
  <si>
    <t>CC-054440</t>
  </si>
  <si>
    <t>CC-054498</t>
  </si>
  <si>
    <t>CC-056273</t>
  </si>
  <si>
    <t>ZAPOPAN - BAHIA DE BANDERAS - ZAPOPAN</t>
  </si>
  <si>
    <t>CC-056909</t>
  </si>
  <si>
    <t>CC-056112</t>
  </si>
  <si>
    <t>CC-056233</t>
  </si>
  <si>
    <t>CC-054983</t>
  </si>
  <si>
    <t>CC-056418</t>
  </si>
  <si>
    <t>CC-054977</t>
  </si>
  <si>
    <t>ZAPOPAN - TEPATITLAN - ZAPOPAN</t>
  </si>
  <si>
    <t>CC-055351</t>
  </si>
  <si>
    <t>CC-055717</t>
  </si>
  <si>
    <t>CC-056469</t>
  </si>
  <si>
    <t>CC-055529</t>
  </si>
  <si>
    <t>CC-055693</t>
  </si>
  <si>
    <t>CC-055591</t>
  </si>
  <si>
    <t>CC-054729</t>
  </si>
  <si>
    <t>DD-012865</t>
  </si>
  <si>
    <t>DD-013090</t>
  </si>
  <si>
    <t>CC-055846</t>
  </si>
  <si>
    <t>CC-055928</t>
  </si>
  <si>
    <t>CC-052322</t>
  </si>
  <si>
    <t>BB-045634</t>
  </si>
  <si>
    <t>CC-052434</t>
  </si>
  <si>
    <t>CC-055925</t>
  </si>
  <si>
    <t>DD-012782</t>
  </si>
  <si>
    <t>CC-054826</t>
  </si>
  <si>
    <t>CC-054872</t>
  </si>
  <si>
    <t>CC-056536</t>
  </si>
  <si>
    <t>DD-012796</t>
  </si>
  <si>
    <t>DD-012921</t>
  </si>
  <si>
    <t>CC-056533</t>
  </si>
  <si>
    <t>DD-012866</t>
  </si>
  <si>
    <t>CC-054832</t>
  </si>
  <si>
    <t>DD-013153</t>
  </si>
  <si>
    <t>DD-012977</t>
  </si>
  <si>
    <t>DD-013085</t>
  </si>
  <si>
    <t>CC-054513</t>
  </si>
  <si>
    <t>CC-054510</t>
  </si>
  <si>
    <t>CC-056523</t>
  </si>
  <si>
    <t>DD-012912</t>
  </si>
  <si>
    <t>DD-013081</t>
  </si>
  <si>
    <t>CC-054540</t>
  </si>
  <si>
    <t>CC-054588</t>
  </si>
  <si>
    <t>CC-054620</t>
  </si>
  <si>
    <t>CC-054866</t>
  </si>
  <si>
    <t>CC-054829</t>
  </si>
  <si>
    <t>CC-055971</t>
  </si>
  <si>
    <t>CC-052304</t>
  </si>
  <si>
    <t>CC-055859</t>
  </si>
  <si>
    <t>CC-052291</t>
  </si>
  <si>
    <t>CC-052407</t>
  </si>
  <si>
    <t>CC-052321</t>
  </si>
  <si>
    <t>BB-045102</t>
  </si>
  <si>
    <t>BB-045168</t>
  </si>
  <si>
    <t>BB-045216</t>
  </si>
  <si>
    <t>BB-045441</t>
  </si>
  <si>
    <t>BB-045219</t>
  </si>
  <si>
    <t>BB-045222</t>
  </si>
  <si>
    <t>BB-045438</t>
  </si>
  <si>
    <t>BB-044820</t>
  </si>
  <si>
    <t>BB-044823</t>
  </si>
  <si>
    <t>BB-045049</t>
  </si>
  <si>
    <t>BB-045546</t>
  </si>
  <si>
    <t>BB-045336</t>
  </si>
  <si>
    <t>BB-019871</t>
  </si>
  <si>
    <t>BB-019896</t>
  </si>
  <si>
    <t>BB-019914</t>
  </si>
  <si>
    <t>BB-019884</t>
  </si>
  <si>
    <t>BB-045272</t>
  </si>
  <si>
    <t>BB-045555</t>
  </si>
  <si>
    <t>BB-044655</t>
  </si>
  <si>
    <t>BB-044658</t>
  </si>
  <si>
    <t>BB-045333</t>
  </si>
  <si>
    <t>BB-044936</t>
  </si>
  <si>
    <t>DD-013108</t>
  </si>
  <si>
    <t>DD-013050</t>
  </si>
  <si>
    <t>DD-013045</t>
  </si>
  <si>
    <t>DD-013003</t>
  </si>
  <si>
    <t>DD-013167</t>
  </si>
  <si>
    <t>CC-054572</t>
  </si>
  <si>
    <t>DD-012855</t>
  </si>
  <si>
    <t>MEXICALI - MEXICALI - MEXICALI CERO</t>
  </si>
  <si>
    <t>CC-056451</t>
  </si>
  <si>
    <t>CC-056100</t>
  </si>
  <si>
    <t>CC-055445</t>
  </si>
  <si>
    <t>CC-054495</t>
  </si>
  <si>
    <t>CC-056906</t>
  </si>
  <si>
    <t>CC-057033</t>
  </si>
  <si>
    <t>CC-055094</t>
  </si>
  <si>
    <t>CC-055621</t>
  </si>
  <si>
    <t>CC-055522</t>
  </si>
  <si>
    <t>CC-056457</t>
  </si>
  <si>
    <t>CC-055702</t>
  </si>
  <si>
    <t>CC-057036</t>
  </si>
  <si>
    <t>CC-054492</t>
  </si>
  <si>
    <t>CC-056103</t>
  </si>
  <si>
    <t>CC-056009</t>
  </si>
  <si>
    <t>CC-055618</t>
  </si>
  <si>
    <t>CC-055448</t>
  </si>
  <si>
    <t>CC-056261</t>
  </si>
  <si>
    <t>CC-055615</t>
  </si>
  <si>
    <t>CC-055451</t>
  </si>
  <si>
    <t>CC-055708</t>
  </si>
  <si>
    <t>DD-013088</t>
  </si>
  <si>
    <t>DD-013136</t>
  </si>
  <si>
    <t>DD-012781</t>
  </si>
  <si>
    <t>DD-012766</t>
  </si>
  <si>
    <t>CC-054845</t>
  </si>
  <si>
    <t>CC-054519</t>
  </si>
  <si>
    <t>HERMOSILLO * CABORCA * HERMOSILLO</t>
  </si>
  <si>
    <t>CC-054789</t>
  </si>
  <si>
    <t>CC-054848</t>
  </si>
  <si>
    <t>DD-013025</t>
  </si>
  <si>
    <t>DD-013174</t>
  </si>
  <si>
    <t>MEXICALI-SAN LUIS RIO COLORADO-MEXICALI</t>
  </si>
  <si>
    <t>DD-012838</t>
  </si>
  <si>
    <t>DD-012839</t>
  </si>
  <si>
    <t>DD-012853</t>
  </si>
  <si>
    <t>DD-012933</t>
  </si>
  <si>
    <t>DD-012861</t>
  </si>
  <si>
    <t>CC-054592</t>
  </si>
  <si>
    <t>CC-054630</t>
  </si>
  <si>
    <t>HERMOSILLO * GUAYMAS * HERMOSILLO</t>
  </si>
  <si>
    <t>CC-056544</t>
  </si>
  <si>
    <t>CC-054578</t>
  </si>
  <si>
    <t>CC-054693</t>
  </si>
  <si>
    <t>CC-054700</t>
  </si>
  <si>
    <t>HERMOSILLO * PUERTO PEÑASCO * HERMOSILLO</t>
  </si>
  <si>
    <t>CC-054598</t>
  </si>
  <si>
    <t>HERMOSILLO * CANANEA * HERMOSILLO</t>
  </si>
  <si>
    <t>CC-054786</t>
  </si>
  <si>
    <t>CC-054644</t>
  </si>
  <si>
    <t>CC-054595</t>
  </si>
  <si>
    <t>DD-013036</t>
  </si>
  <si>
    <t>CC-056541</t>
  </si>
  <si>
    <t>CC-054735</t>
  </si>
  <si>
    <t>BB-045518</t>
  </si>
  <si>
    <t>BB-019869</t>
  </si>
  <si>
    <t>BF-000348</t>
  </si>
  <si>
    <t>BB-044744</t>
  </si>
  <si>
    <t>BB-044622</t>
  </si>
  <si>
    <t>BB-045796</t>
  </si>
  <si>
    <t>BB-044792</t>
  </si>
  <si>
    <t>BB-044741</t>
  </si>
  <si>
    <t>BB-045184</t>
  </si>
  <si>
    <t>CC-054916</t>
  </si>
  <si>
    <t>CC-054447</t>
  </si>
  <si>
    <t>BB-044570</t>
  </si>
  <si>
    <t>CC-056055</t>
  </si>
  <si>
    <t>CC-054945</t>
  </si>
  <si>
    <t>CC-056283</t>
  </si>
  <si>
    <t>CC-055625</t>
  </si>
  <si>
    <t>CC-056959</t>
  </si>
  <si>
    <t>CC-056285</t>
  </si>
  <si>
    <t>CC-055413</t>
  </si>
  <si>
    <t>CC-056196</t>
  </si>
  <si>
    <t>CC-055142</t>
  </si>
  <si>
    <t>CC-055786</t>
  </si>
  <si>
    <t>CC-055000</t>
  </si>
  <si>
    <t>CC-053843</t>
  </si>
  <si>
    <t>CC-053850</t>
  </si>
  <si>
    <t>CC-055107</t>
  </si>
  <si>
    <t>CC-057014</t>
  </si>
  <si>
    <t>BB-044960</t>
  </si>
  <si>
    <t>Chihuahua</t>
  </si>
  <si>
    <t>BB-045971</t>
  </si>
  <si>
    <t>CC-056538</t>
  </si>
  <si>
    <t>AA-027566</t>
  </si>
  <si>
    <t>AA-028130</t>
  </si>
  <si>
    <t>AA-027973</t>
  </si>
  <si>
    <t>AA-028662</t>
  </si>
  <si>
    <t>AA-028245</t>
  </si>
  <si>
    <t>AA-028604</t>
  </si>
  <si>
    <t>AA-028725</t>
  </si>
  <si>
    <t>AA-027687</t>
  </si>
  <si>
    <t>AA-028659</t>
  </si>
  <si>
    <t>IXTAC-IXTAC ( INTERNO )</t>
  </si>
  <si>
    <t>AA-028478</t>
  </si>
  <si>
    <t>AA-028722</t>
  </si>
  <si>
    <t>AA-028242</t>
  </si>
  <si>
    <t>AA-027970</t>
  </si>
  <si>
    <t>AA-028601</t>
  </si>
  <si>
    <t>IXTAC-MEDELLIN DE BRAVO-IXTAC</t>
  </si>
  <si>
    <t>AA-027620</t>
  </si>
  <si>
    <t>AA-028427</t>
  </si>
  <si>
    <t>AA-028363</t>
  </si>
  <si>
    <t>AA-028484</t>
  </si>
  <si>
    <t>AA-028481</t>
  </si>
  <si>
    <t>AA-027623</t>
  </si>
  <si>
    <t>IXTAC-MIAHUATLAN-IXTAC</t>
  </si>
  <si>
    <t>AA-028487</t>
  </si>
  <si>
    <t>IXTAC - COATZACOALCOS - IXTAC</t>
  </si>
  <si>
    <t>AA-028191</t>
  </si>
  <si>
    <t>AA-028539</t>
  </si>
  <si>
    <t>IXTAC-AMOZOC-IXTAC</t>
  </si>
  <si>
    <t>AA-028308</t>
  </si>
  <si>
    <t>AA-027684</t>
  </si>
  <si>
    <t>AA-027804</t>
  </si>
  <si>
    <t>AA-028418</t>
  </si>
  <si>
    <t>IXTAC-TEPEACA-IXTAC</t>
  </si>
  <si>
    <t>AA-028305</t>
  </si>
  <si>
    <t>CC-056047</t>
  </si>
  <si>
    <t>CC-056387</t>
  </si>
  <si>
    <t>CC-054448</t>
  </si>
  <si>
    <t>CC-056477</t>
  </si>
  <si>
    <t>CC-055719</t>
  </si>
  <si>
    <t>CC-055317</t>
  </si>
  <si>
    <t>CC-055103</t>
  </si>
  <si>
    <t>CC-055144</t>
  </si>
  <si>
    <t>CC-056918</t>
  </si>
  <si>
    <t>CC-055311</t>
  </si>
  <si>
    <t>CC-057004</t>
  </si>
  <si>
    <t>CC-056384</t>
  </si>
  <si>
    <t>CC-055485</t>
  </si>
  <si>
    <t>CC-055534</t>
  </si>
  <si>
    <t>CC-056476</t>
  </si>
  <si>
    <t>CC-054909</t>
  </si>
  <si>
    <t>CC-054935</t>
  </si>
  <si>
    <t>CC-055414</t>
  </si>
  <si>
    <t>CC-055314</t>
  </si>
  <si>
    <t>CC-053825</t>
  </si>
  <si>
    <t>CC-053847</t>
  </si>
  <si>
    <t>BB-045775</t>
  </si>
  <si>
    <t>CC-056957</t>
  </si>
  <si>
    <t>CC-055182</t>
  </si>
  <si>
    <t>CC-055170</t>
  </si>
  <si>
    <t>BB-044774</t>
  </si>
  <si>
    <t>BB-045111</t>
  </si>
  <si>
    <t>BB-045114</t>
  </si>
  <si>
    <t>AA-028402</t>
  </si>
  <si>
    <t>AA-028459</t>
  </si>
  <si>
    <t>AA-027656</t>
  </si>
  <si>
    <t>AA-028274</t>
  </si>
  <si>
    <t>AA-028394</t>
  </si>
  <si>
    <t>AA-028280</t>
  </si>
  <si>
    <t>AA-028701</t>
  </si>
  <si>
    <t>BB-044831</t>
  </si>
  <si>
    <t>BB-045341</t>
  </si>
  <si>
    <t>BB-044608</t>
  </si>
  <si>
    <t>BB-045057</t>
  </si>
  <si>
    <t>BB-045836</t>
  </si>
  <si>
    <t>BB-045779</t>
  </si>
  <si>
    <t>BB-045782</t>
  </si>
  <si>
    <t>BB-045776</t>
  </si>
  <si>
    <t>BB-045338</t>
  </si>
  <si>
    <t>BB-044834</t>
  </si>
  <si>
    <t>BB-045565</t>
  </si>
  <si>
    <t>BB-045344</t>
  </si>
  <si>
    <t>BB-045559</t>
  </si>
  <si>
    <t>BB-045839</t>
  </si>
  <si>
    <t>BB-045501</t>
  </si>
  <si>
    <t>BB-044837</t>
  </si>
  <si>
    <t>BB-045051</t>
  </si>
  <si>
    <t>BB-045556</t>
  </si>
  <si>
    <t>BB-045335</t>
  </si>
  <si>
    <t>BB-045670</t>
  </si>
  <si>
    <t>BB-045845</t>
  </si>
  <si>
    <t>BB-045277</t>
  </si>
  <si>
    <t>CC-055081</t>
  </si>
  <si>
    <t>CC-056169</t>
  </si>
  <si>
    <t>CC-056147</t>
  </si>
  <si>
    <t>CC-056358</t>
  </si>
  <si>
    <t>CC-056445</t>
  </si>
  <si>
    <t>CC-056028</t>
  </si>
  <si>
    <t>CC-057018</t>
  </si>
  <si>
    <t>CC-055680</t>
  </si>
  <si>
    <t>CULIACAN - GUASAVE - CULIACAN</t>
  </si>
  <si>
    <t>CC-057021</t>
  </si>
  <si>
    <t>AA-020718</t>
  </si>
  <si>
    <t>SIN ASIGNAR</t>
  </si>
  <si>
    <t>CORDOBA-RAMOS ARIZPE-CORDOBA</t>
  </si>
  <si>
    <t>CC-052351</t>
  </si>
  <si>
    <t>CC-055961</t>
  </si>
  <si>
    <t>CC-055896</t>
  </si>
  <si>
    <t>CC-055964</t>
  </si>
  <si>
    <t>CC-055815</t>
  </si>
  <si>
    <t>CC-052340</t>
  </si>
  <si>
    <t>CC-052303</t>
  </si>
  <si>
    <t>CC-052339</t>
  </si>
  <si>
    <t>CC-055919</t>
  </si>
  <si>
    <t>CC-052395</t>
  </si>
  <si>
    <t>CC-052406</t>
  </si>
  <si>
    <t>CC-055959</t>
  </si>
  <si>
    <t>CC-055812</t>
  </si>
  <si>
    <t>CC-052361</t>
  </si>
  <si>
    <t>CC-052309</t>
  </si>
  <si>
    <t>CC-055879</t>
  </si>
  <si>
    <t>CC-055967</t>
  </si>
  <si>
    <t>CC-052398</t>
  </si>
  <si>
    <t>AA-028302</t>
  </si>
  <si>
    <t>IXTAC-REYNOSA-IXTAC</t>
  </si>
  <si>
    <t>AA-027678</t>
  </si>
  <si>
    <t>AA-027545</t>
  </si>
  <si>
    <t>IXTAC-MERIDA-IXTAC</t>
  </si>
  <si>
    <t>AA-028369</t>
  </si>
  <si>
    <t>IXTAC-BANDERILLA-IXTAC</t>
  </si>
  <si>
    <t>AA-028311</t>
  </si>
  <si>
    <t>AA-027903</t>
  </si>
  <si>
    <t>IXTAC-ALAMO-IXTAC</t>
  </si>
  <si>
    <t>AA-027798</t>
  </si>
  <si>
    <t>AA-027626</t>
  </si>
  <si>
    <t>AA-027617</t>
  </si>
  <si>
    <t>AA-028366</t>
  </si>
  <si>
    <t>AA-027909</t>
  </si>
  <si>
    <t>BB-045226</t>
  </si>
  <si>
    <t>BB-045622</t>
  </si>
  <si>
    <t>RAMOS-TORREON-RAMOS</t>
  </si>
  <si>
    <t>BB-044785</t>
  </si>
  <si>
    <t>BB-044726</t>
  </si>
  <si>
    <t>RAMOS-VALLE HERMOSO-RAMOS</t>
  </si>
  <si>
    <t>BB-045895</t>
  </si>
  <si>
    <t>BB-045287</t>
  </si>
  <si>
    <t>RAMOS-SALTILLO-RAMOS</t>
  </si>
  <si>
    <t>BB-045901</t>
  </si>
  <si>
    <t>BB-044888</t>
  </si>
  <si>
    <t>RAMOS-MONCLOVA-RAMOS</t>
  </si>
  <si>
    <t>BB-045113</t>
  </si>
  <si>
    <t>BB-044560</t>
  </si>
  <si>
    <t>RAMOS-BALUARTE-RAMOS</t>
  </si>
  <si>
    <t>BB-045345</t>
  </si>
  <si>
    <t>BB-044952</t>
  </si>
  <si>
    <t>RAMOS-SANTA-RAMOS</t>
  </si>
  <si>
    <t>BB-045625</t>
  </si>
  <si>
    <t>BB-045392</t>
  </si>
  <si>
    <t>BB-044675</t>
  </si>
  <si>
    <t>RAMOS-MATAMOROS-RAMOS</t>
  </si>
  <si>
    <t>BB-045499</t>
  </si>
  <si>
    <t>RAMOS-GUADALUPE-RAMOS</t>
  </si>
  <si>
    <t>CC-053844</t>
  </si>
  <si>
    <t>BB-045228</t>
  </si>
  <si>
    <t>RAMOS-DURANGO-RAMOS</t>
  </si>
  <si>
    <t>AA-028762</t>
  </si>
  <si>
    <t>AA-027940</t>
  </si>
  <si>
    <t>AA-029095</t>
  </si>
  <si>
    <t>AA-027602</t>
  </si>
  <si>
    <t>AA-028400</t>
  </si>
  <si>
    <t>AA-027777</t>
  </si>
  <si>
    <t>CC-055449</t>
  </si>
  <si>
    <t>CC-057031</t>
  </si>
  <si>
    <t>CC-055530</t>
  </si>
  <si>
    <t>CC-056043</t>
  </si>
  <si>
    <t>CC-055446</t>
  </si>
  <si>
    <t>CC-056996</t>
  </si>
  <si>
    <t>CC-055776</t>
  </si>
  <si>
    <t>CC-057034</t>
  </si>
  <si>
    <t>CC-054370</t>
  </si>
  <si>
    <t>CC-056101</t>
  </si>
  <si>
    <t>CC-056268</t>
  </si>
  <si>
    <t>CC-056901</t>
  </si>
  <si>
    <t>CC-055480</t>
  </si>
  <si>
    <t>CC-054493</t>
  </si>
  <si>
    <t>CC-055095</t>
  </si>
  <si>
    <t>CC-055771</t>
  </si>
  <si>
    <t>CC-056181</t>
  </si>
  <si>
    <t>CC-054978</t>
  </si>
  <si>
    <t>CC-056184</t>
  </si>
  <si>
    <t>CC-056414</t>
  </si>
  <si>
    <t>CC-056040</t>
  </si>
  <si>
    <t>CC-055709</t>
  </si>
  <si>
    <t>CC-055482</t>
  </si>
  <si>
    <t>CC-056460</t>
  </si>
  <si>
    <t>CC-056270</t>
  </si>
  <si>
    <t>CC-055333</t>
  </si>
  <si>
    <t>CC-055479</t>
  </si>
  <si>
    <t>CC-054494</t>
  </si>
  <si>
    <t>CC-057050</t>
  </si>
  <si>
    <t>CC-055770</t>
  </si>
  <si>
    <t>CC-056372</t>
  </si>
  <si>
    <t>CC-057024</t>
  </si>
  <si>
    <t>CC-056012</t>
  </si>
  <si>
    <t>CC-056035</t>
  </si>
  <si>
    <t>CC-055762</t>
  </si>
  <si>
    <t>CC-056089</t>
  </si>
  <si>
    <t>CC-056038</t>
  </si>
  <si>
    <t>CC-055681</t>
  </si>
  <si>
    <t>CC-052422</t>
  </si>
  <si>
    <t>BB-045290</t>
  </si>
  <si>
    <t>BB-045009</t>
  </si>
  <si>
    <t>BB-045924</t>
  </si>
  <si>
    <t>BB-045921</t>
  </si>
  <si>
    <t>BB-045126</t>
  </si>
  <si>
    <t>BB-044734</t>
  </si>
  <si>
    <t>BB-045404</t>
  </si>
  <si>
    <t>BB-045904</t>
  </si>
  <si>
    <t>BB-045520</t>
  </si>
  <si>
    <t>BB-045511</t>
  </si>
  <si>
    <t>BB-044791</t>
  </si>
  <si>
    <t>CC-056179</t>
  </si>
  <si>
    <t>CC-056099</t>
  </si>
  <si>
    <t>CC-056263</t>
  </si>
  <si>
    <t>CC-055478</t>
  </si>
  <si>
    <t>CC-055086</t>
  </si>
  <si>
    <t>CC-055735</t>
  </si>
  <si>
    <t>CC-057017</t>
  </si>
  <si>
    <t>CC-055679</t>
  </si>
  <si>
    <t>CC-056371</t>
  </si>
  <si>
    <t>CC-057023</t>
  </si>
  <si>
    <t>CC-056011</t>
  </si>
  <si>
    <t>CC-054468</t>
  </si>
  <si>
    <t>CC-054489</t>
  </si>
  <si>
    <t>CC-056374</t>
  </si>
  <si>
    <t>CC-055761</t>
  </si>
  <si>
    <t>CC-052471</t>
  </si>
  <si>
    <t>CC-055979</t>
  </si>
  <si>
    <t>CC-055880</t>
  </si>
  <si>
    <t>CC-055976</t>
  </si>
  <si>
    <t>CC-055966</t>
  </si>
  <si>
    <t>CC-055927</t>
  </si>
  <si>
    <t>CC-055969</t>
  </si>
  <si>
    <t>CC-055832</t>
  </si>
  <si>
    <t>CC-052474</t>
  </si>
  <si>
    <t>CC-055860</t>
  </si>
  <si>
    <t>CC-055863</t>
  </si>
  <si>
    <t>CC-052360</t>
  </si>
  <si>
    <t>CC-055843</t>
  </si>
  <si>
    <t>BB-044829</t>
  </si>
  <si>
    <t>BB-045777</t>
  </si>
  <si>
    <t>BB-045665</t>
  </si>
  <si>
    <t>BB-045046</t>
  </si>
  <si>
    <t>BB-044933</t>
  </si>
  <si>
    <t>BB-045831</t>
  </si>
  <si>
    <t>BB-045828</t>
  </si>
  <si>
    <t>BB-045330</t>
  </si>
  <si>
    <t>BB-044876</t>
  </si>
  <si>
    <t>BB-045327</t>
  </si>
  <si>
    <t>BB-045275</t>
  </si>
  <si>
    <t>BB-045549</t>
  </si>
  <si>
    <t>BB-045552</t>
  </si>
  <si>
    <t>BB-045671</t>
  </si>
  <si>
    <t>BB-019880</t>
  </si>
  <si>
    <t>BB-045837</t>
  </si>
  <si>
    <t>BB-045107</t>
  </si>
  <si>
    <t>CHIHUAHUA-CHIHUAHUA-CHIHUAHUA</t>
  </si>
  <si>
    <t>CHIHUAHUA</t>
  </si>
  <si>
    <t>BSA - CHIHUAHUA</t>
  </si>
  <si>
    <t>BF-000371</t>
  </si>
  <si>
    <t>BB-045368</t>
  </si>
  <si>
    <t>BB-045370</t>
  </si>
  <si>
    <t>BF-000360</t>
  </si>
  <si>
    <t>BB-045104</t>
  </si>
  <si>
    <t>BF-000354</t>
  </si>
  <si>
    <t>CC-056072</t>
  </si>
  <si>
    <t>CC-055082</t>
  </si>
  <si>
    <t>CC-056991</t>
  </si>
  <si>
    <t>CC-056145</t>
  </si>
  <si>
    <t>CC-056365</t>
  </si>
  <si>
    <t>CC-055474</t>
  </si>
  <si>
    <t>CC-055640</t>
  </si>
  <si>
    <t>CC-054387</t>
  </si>
  <si>
    <t>ZAPOPAN - MASCOTA - ZAPOPAN</t>
  </si>
  <si>
    <t>CC-052465</t>
  </si>
  <si>
    <t>CC-052469</t>
  </si>
  <si>
    <t>CC-055809</t>
  </si>
  <si>
    <t>CC-052336</t>
  </si>
  <si>
    <t>CC-052317</t>
  </si>
  <si>
    <t>CC-055829</t>
  </si>
  <si>
    <t>CC-052298</t>
  </si>
  <si>
    <t>CC-052306</t>
  </si>
  <si>
    <t>BB-044967</t>
  </si>
  <si>
    <t>BB-044964</t>
  </si>
  <si>
    <t>BB-044743</t>
  </si>
  <si>
    <t>BB-044630</t>
  </si>
  <si>
    <t>BB-044749</t>
  </si>
  <si>
    <t>BB-045082</t>
  </si>
  <si>
    <t>BB-045136</t>
  </si>
  <si>
    <t>BB-044636</t>
  </si>
  <si>
    <t>BB-045304</t>
  </si>
  <si>
    <t>BB-045246</t>
  </si>
  <si>
    <t>BB-019866</t>
  </si>
  <si>
    <t>BB-045526</t>
  </si>
  <si>
    <t>BB-044633</t>
  </si>
  <si>
    <t>BB-045078</t>
  </si>
  <si>
    <t>BB-044805</t>
  </si>
  <si>
    <t>BB-045803</t>
  </si>
  <si>
    <t>BB-045649</t>
  </si>
  <si>
    <t>BB-044803</t>
  </si>
  <si>
    <t>BB-045805</t>
  </si>
  <si>
    <t>BB-045808</t>
  </si>
  <si>
    <t>CC-057048</t>
  </si>
  <si>
    <t>CC-056187</t>
  </si>
  <si>
    <t>CC-055097</t>
  </si>
  <si>
    <t>CC-055742</t>
  </si>
  <si>
    <t>CC-055616</t>
  </si>
  <si>
    <t>CC-057037</t>
  </si>
  <si>
    <t>CC-055703</t>
  </si>
  <si>
    <t>CC-056461</t>
  </si>
  <si>
    <t>CC-056013</t>
  </si>
  <si>
    <t>CC-056155</t>
  </si>
  <si>
    <t>CC-054490</t>
  </si>
  <si>
    <t>CC-056036</t>
  </si>
  <si>
    <t>CC-056086</t>
  </si>
  <si>
    <t>CC-052456</t>
  </si>
  <si>
    <t>CC-055865</t>
  </si>
  <si>
    <t>CC-055926</t>
  </si>
  <si>
    <t>CC-052475</t>
  </si>
  <si>
    <t>CC-055862</t>
  </si>
  <si>
    <t>CC-052473</t>
  </si>
  <si>
    <t>CC-052323</t>
  </si>
  <si>
    <t>CC-052425</t>
  </si>
  <si>
    <t>CC-055983</t>
  </si>
  <si>
    <t>CC-052478</t>
  </si>
  <si>
    <t>CC-055978</t>
  </si>
  <si>
    <t>CC-055985</t>
  </si>
  <si>
    <t>CC-055909</t>
  </si>
  <si>
    <t>CC-052432</t>
  </si>
  <si>
    <t>CC-052486</t>
  </si>
  <si>
    <t>BB-044793</t>
  </si>
  <si>
    <t>BB-045587</t>
  </si>
  <si>
    <t>BB-045590</t>
  </si>
  <si>
    <t>BB-044635</t>
  </si>
  <si>
    <t>BB-045303</t>
  </si>
  <si>
    <t>BB-044739</t>
  </si>
  <si>
    <t>BB-044742</t>
  </si>
  <si>
    <t>CC-056125</t>
  </si>
  <si>
    <t>CC-056048</t>
  </si>
  <si>
    <t>CC-056388</t>
  </si>
  <si>
    <t>CC-055597</t>
  </si>
  <si>
    <t>CC-055660</t>
  </si>
  <si>
    <t>CC-056246</t>
  </si>
  <si>
    <t>CC-054992</t>
  </si>
  <si>
    <t>CC-055699</t>
  </si>
  <si>
    <t>CC-055021</t>
  </si>
  <si>
    <t>CC-055594</t>
  </si>
  <si>
    <t>CC-056481</t>
  </si>
  <si>
    <t>CC-056122</t>
  </si>
  <si>
    <t>CC-056986</t>
  </si>
  <si>
    <t>CC-054913</t>
  </si>
  <si>
    <t>CC-055722</t>
  </si>
  <si>
    <t>CC-056478</t>
  </si>
  <si>
    <t>CC-055062</t>
  </si>
  <si>
    <t>CC-057010</t>
  </si>
  <si>
    <t>CC-055360</t>
  </si>
  <si>
    <t>CC-055059</t>
  </si>
  <si>
    <t>CC-054997</t>
  </si>
  <si>
    <t>BB-044618</t>
  </si>
  <si>
    <t>BB-044794</t>
  </si>
  <si>
    <t>BB-019872</t>
  </si>
  <si>
    <t>BB-019843</t>
  </si>
  <si>
    <t>BB-045855</t>
  </si>
  <si>
    <t>BF-000377</t>
  </si>
  <si>
    <t>BB-045858</t>
  </si>
  <si>
    <t>BB-045852</t>
  </si>
  <si>
    <t>BB-045637</t>
  </si>
  <si>
    <t>BB-044849</t>
  </si>
  <si>
    <t>BB-042395</t>
  </si>
  <si>
    <t>CHIHUAHUA-DELICIAS-CHIHUAHUA</t>
  </si>
  <si>
    <t>BB-045356</t>
  </si>
  <si>
    <t>BB-045359</t>
  </si>
  <si>
    <t>CC-054974</t>
  </si>
  <si>
    <t>CC-055705</t>
  </si>
  <si>
    <t>CC-056903</t>
  </si>
  <si>
    <t>CC-055700</t>
  </si>
  <si>
    <t>CC-056183</t>
  </si>
  <si>
    <t>CC-055087</t>
  </si>
  <si>
    <t>ZAPOPAN - ARANDAS - ZAPOPAN</t>
  </si>
  <si>
    <t>CC-056177</t>
  </si>
  <si>
    <t>ZAPOPAN - JALOSTOTITLAN - ZAPOPAN</t>
  </si>
  <si>
    <t>CC-055739</t>
  </si>
  <si>
    <t>CC-055377</t>
  </si>
  <si>
    <t>TLAQUEPAQUE - GDL. -  TLAQUEPAQUE</t>
  </si>
  <si>
    <t>TLAQUEPAQUE</t>
  </si>
  <si>
    <t>CC-054625</t>
  </si>
  <si>
    <t>CC-054531</t>
  </si>
  <si>
    <t>DD-013222</t>
  </si>
  <si>
    <t>DD-012939</t>
  </si>
  <si>
    <t>DD-012938</t>
  </si>
  <si>
    <t>DD-013047</t>
  </si>
  <si>
    <t>DD-013160</t>
  </si>
  <si>
    <t>CC-055088</t>
  </si>
  <si>
    <t>ZAPOPAN - LA BARCA - ZAPOPAN</t>
  </si>
  <si>
    <t>CC-056075</t>
  </si>
  <si>
    <t>CC-056981</t>
  </si>
  <si>
    <t>CC-056362</t>
  </si>
  <si>
    <t>CC-054070</t>
  </si>
  <si>
    <t>CC-055441</t>
  </si>
  <si>
    <t>CC-056167</t>
  </si>
  <si>
    <t>CC-055122</t>
  </si>
  <si>
    <t>TLAQUEPAQUE - MANZANILLO - TLAQUEPAQUE</t>
  </si>
  <si>
    <t>CC-056525</t>
  </si>
  <si>
    <t>CC-054615</t>
  </si>
  <si>
    <t>DD-013080</t>
  </si>
  <si>
    <t>MEXICALI-VALLE DE MEXICALI-MEXICALI</t>
  </si>
  <si>
    <t>CC-054506</t>
  </si>
  <si>
    <t>CC-054824</t>
  </si>
  <si>
    <t>CC-054690</t>
  </si>
  <si>
    <t>CC-056598</t>
  </si>
  <si>
    <t>CC-056528</t>
  </si>
  <si>
    <t>CC-054864</t>
  </si>
  <si>
    <t>DD-013134</t>
  </si>
  <si>
    <t>DD-012771</t>
  </si>
  <si>
    <t>CC-054557</t>
  </si>
  <si>
    <t>CC-054821</t>
  </si>
  <si>
    <t>DD-013249</t>
  </si>
  <si>
    <t>DD-012899</t>
  </si>
  <si>
    <t>CC-056604</t>
  </si>
  <si>
    <t>DD-012823</t>
  </si>
  <si>
    <t>MEXICALI-ROSARITO-MEXICALI</t>
  </si>
  <si>
    <t>DD-012947</t>
  </si>
  <si>
    <t>DD-012888</t>
  </si>
  <si>
    <t>CC-054564</t>
  </si>
  <si>
    <t>CC-056467</t>
  </si>
  <si>
    <t>CC-055383</t>
  </si>
  <si>
    <t>CC-055060</t>
  </si>
  <si>
    <t>CC-054908</t>
  </si>
  <si>
    <t>CC-055358</t>
  </si>
  <si>
    <t>CC-056913</t>
  </si>
  <si>
    <t>CC-056046</t>
  </si>
  <si>
    <t>CC-056280</t>
  </si>
  <si>
    <t>CC-055577</t>
  </si>
  <si>
    <t>CC-056088</t>
  </si>
  <si>
    <t>CC-055987</t>
  </si>
  <si>
    <t>CC-055949</t>
  </si>
  <si>
    <t>CC-055850</t>
  </si>
  <si>
    <t>CC-055974</t>
  </si>
  <si>
    <t>CC-052347</t>
  </si>
  <si>
    <t>CC-055854</t>
  </si>
  <si>
    <t>CC-052437</t>
  </si>
  <si>
    <t>CC-055869</t>
  </si>
  <si>
    <t>CC-052480</t>
  </si>
  <si>
    <t>CC-055986</t>
  </si>
  <si>
    <t>CC-052334</t>
  </si>
  <si>
    <t>CC-055817</t>
  </si>
  <si>
    <t>CC-052490</t>
  </si>
  <si>
    <t>CC-055837</t>
  </si>
  <si>
    <t>CC-052497</t>
  </si>
  <si>
    <t>CC-052381</t>
  </si>
  <si>
    <t>CC-055840</t>
  </si>
  <si>
    <t>CC-052489</t>
  </si>
  <si>
    <t>BB-045842</t>
  </si>
  <si>
    <t>BB-045729</t>
  </si>
  <si>
    <t>BB-045785</t>
  </si>
  <si>
    <t>BB-044938</t>
  </si>
  <si>
    <t>BB-045554</t>
  </si>
  <si>
    <t>BB-044720</t>
  </si>
  <si>
    <t>BB-044935</t>
  </si>
  <si>
    <t>BB-045274</t>
  </si>
  <si>
    <t>BB-045283</t>
  </si>
  <si>
    <t>CC-054466</t>
  </si>
  <si>
    <t>CC-055397</t>
  </si>
  <si>
    <t>CC-056977</t>
  </si>
  <si>
    <t>CULIACAN - HERMOSILLO - CULIACAN - TRASL</t>
  </si>
  <si>
    <t>CC-057020</t>
  </si>
  <si>
    <t>CC-052350</t>
  </si>
  <si>
    <t>CC-055895</t>
  </si>
  <si>
    <t>CC-055997</t>
  </si>
  <si>
    <t>CC-052377</t>
  </si>
  <si>
    <t>CC-055958</t>
  </si>
  <si>
    <t>CC-052466</t>
  </si>
  <si>
    <t>CC-055960</t>
  </si>
  <si>
    <t>CC-055921</t>
  </si>
  <si>
    <t>CC-055954</t>
  </si>
  <si>
    <t>CC-052354</t>
  </si>
  <si>
    <t>CC-055892</t>
  </si>
  <si>
    <t>CC-055918</t>
  </si>
  <si>
    <t>CC-052316</t>
  </si>
  <si>
    <t>CC-055811</t>
  </si>
  <si>
    <t>CC-052394</t>
  </si>
  <si>
    <t>BB-045116</t>
  </si>
  <si>
    <t>BB-045727</t>
  </si>
  <si>
    <t>BB-045177</t>
  </si>
  <si>
    <t>CC-056189</t>
  </si>
  <si>
    <t>CC-055312</t>
  </si>
  <si>
    <t>TECOMAN - MAZATLAN - TECOMAN</t>
  </si>
  <si>
    <t>BB-044724</t>
  </si>
  <si>
    <t>BF-000358</t>
  </si>
  <si>
    <t>CC-057053</t>
  </si>
  <si>
    <t>CC-055651</t>
  </si>
  <si>
    <t>BB-044894</t>
  </si>
  <si>
    <t>RAMOS-CHAVARRIA-RAMOS</t>
  </si>
  <si>
    <t>BB-045055</t>
  </si>
  <si>
    <t>BB-045395</t>
  </si>
  <si>
    <t>BB-044841</t>
  </si>
  <si>
    <t>BB-044946</t>
  </si>
  <si>
    <t>BB-045119</t>
  </si>
  <si>
    <t>CC-056950</t>
  </si>
  <si>
    <t>BB-045532</t>
  </si>
  <si>
    <t>BB-045529</t>
  </si>
  <si>
    <t>BB-045915</t>
  </si>
  <si>
    <t>BB-045142</t>
  </si>
  <si>
    <t>BB-044746</t>
  </si>
  <si>
    <t>BB-045591</t>
  </si>
  <si>
    <t>BB-019874</t>
  </si>
  <si>
    <t>BB-045249</t>
  </si>
  <si>
    <t>BB-045139</t>
  </si>
  <si>
    <t>BB-045588</t>
  </si>
  <si>
    <t>BB-045020</t>
  </si>
  <si>
    <t>BB-045023</t>
  </si>
  <si>
    <t>BB-045584</t>
  </si>
  <si>
    <t>BB-045640</t>
  </si>
  <si>
    <t>BB-045861</t>
  </si>
  <si>
    <t>BB-045643</t>
  </si>
  <si>
    <t>AA-026393</t>
  </si>
  <si>
    <t>MACUSPANA-CANCUN-MACUSPANA</t>
  </si>
  <si>
    <t>MACUSPANA</t>
  </si>
  <si>
    <t>BCO - MACUSPANA</t>
  </si>
  <si>
    <t>AF-000075</t>
  </si>
  <si>
    <t>BB-045254</t>
  </si>
  <si>
    <t>CHIHUAHUA-CUAHUTEMOC-CHIHUAHUA</t>
  </si>
  <si>
    <t>BB-044851</t>
  </si>
  <si>
    <t>CC-055401</t>
  </si>
  <si>
    <t>CC-056367</t>
  </si>
  <si>
    <t>CC-055673</t>
  </si>
  <si>
    <t>CC-056978</t>
  </si>
  <si>
    <t>CC-055639</t>
  </si>
  <si>
    <t>CC-055755</t>
  </si>
  <si>
    <t>CC-055084</t>
  </si>
  <si>
    <t>CC-056989</t>
  </si>
  <si>
    <t>CC-054358</t>
  </si>
  <si>
    <t>CC-055320</t>
  </si>
  <si>
    <t>CC-054989</t>
  </si>
  <si>
    <t>CC-055494</t>
  </si>
  <si>
    <t>CC-055366</t>
  </si>
  <si>
    <t>CC-054446</t>
  </si>
  <si>
    <t>CC-055724</t>
  </si>
  <si>
    <t>CC-055393</t>
  </si>
  <si>
    <t>CC-056051</t>
  </si>
  <si>
    <t>CC-055185</t>
  </si>
  <si>
    <t>CC-055108</t>
  </si>
  <si>
    <t>CC-056054</t>
  </si>
  <si>
    <t>CC-056238</t>
  </si>
  <si>
    <t>CC-055315</t>
  </si>
  <si>
    <t>CC-055068</t>
  </si>
  <si>
    <t>CC-056960</t>
  </si>
  <si>
    <t>CC-054941</t>
  </si>
  <si>
    <t>BB-045469</t>
  </si>
  <si>
    <t>CC-054907</t>
  </si>
  <si>
    <t>CC-055657</t>
  </si>
  <si>
    <t>CC-055783</t>
  </si>
  <si>
    <t>CC-055412</t>
  </si>
  <si>
    <t>CC-055160</t>
  </si>
  <si>
    <t>CC-055102</t>
  </si>
  <si>
    <t>BB-044961</t>
  </si>
  <si>
    <t>BB-045081</t>
  </si>
  <si>
    <t>BB-045029</t>
  </si>
  <si>
    <t>BB-045251</t>
  </si>
  <si>
    <t>RAMOS-LAREDO-RAMOS</t>
  </si>
  <si>
    <t>CC-056385</t>
  </si>
  <si>
    <t>CC-055924</t>
  </si>
  <si>
    <t>CC-055882</t>
  </si>
  <si>
    <t>CC-052453</t>
  </si>
  <si>
    <t>CC-052408</t>
  </si>
  <si>
    <t>CC-052421</t>
  </si>
  <si>
    <t>CC-052311</t>
  </si>
  <si>
    <t>CC-055845</t>
  </si>
  <si>
    <t>CC-055844</t>
  </si>
  <si>
    <t>CC-055835</t>
  </si>
  <si>
    <t>CC-052308</t>
  </si>
  <si>
    <t>CC-055830</t>
  </si>
  <si>
    <t>CC-052468</t>
  </si>
  <si>
    <t>CC-052362</t>
  </si>
  <si>
    <t>CC-052433</t>
  </si>
  <si>
    <t>CC-055857</t>
  </si>
  <si>
    <t>BB-045364</t>
  </si>
  <si>
    <t>BF-000361</t>
  </si>
  <si>
    <t>BB-042357</t>
  </si>
  <si>
    <t>BB-045604</t>
  </si>
  <si>
    <t>BB-045607</t>
  </si>
  <si>
    <t>BB-045711</t>
  </si>
  <si>
    <t>BB-045212</t>
  </si>
  <si>
    <t>BB-045221</t>
  </si>
  <si>
    <t>BB-045215</t>
  </si>
  <si>
    <t>BB-045218</t>
  </si>
  <si>
    <t>BB-045437</t>
  </si>
  <si>
    <t>BB-045045</t>
  </si>
  <si>
    <t>BB-045042</t>
  </si>
  <si>
    <t>BB-045164</t>
  </si>
  <si>
    <t>BB-044819</t>
  </si>
  <si>
    <t>DD-012785</t>
  </si>
  <si>
    <t>DD-012974</t>
  </si>
  <si>
    <t>TIJUANA  - ENSENADA - TIJUANA B</t>
  </si>
  <si>
    <t>DD-012858</t>
  </si>
  <si>
    <t>DD-013163</t>
  </si>
  <si>
    <t>CC-054723</t>
  </si>
  <si>
    <t>CC-054623</t>
  </si>
  <si>
    <t>DD-012969</t>
  </si>
  <si>
    <t>DD-013138</t>
  </si>
  <si>
    <t>DD-012793</t>
  </si>
  <si>
    <t>CC-054835</t>
  </si>
  <si>
    <t>CC-054585</t>
  </si>
  <si>
    <t>CC-054516</t>
  </si>
  <si>
    <t>DD-012923</t>
  </si>
  <si>
    <t>CC-054869</t>
  </si>
  <si>
    <t>AA-028176</t>
  </si>
  <si>
    <t>AA-028711</t>
  </si>
  <si>
    <t>AA-027841</t>
  </si>
  <si>
    <t>AA-027844</t>
  </si>
  <si>
    <t>AA-028179</t>
  </si>
  <si>
    <t>AA-028530</t>
  </si>
  <si>
    <t>AA-028469</t>
  </si>
  <si>
    <t>AA-028293</t>
  </si>
  <si>
    <t>AA-028296</t>
  </si>
  <si>
    <t>AA-028357</t>
  </si>
  <si>
    <t>AA-028592</t>
  </si>
  <si>
    <t>AA-027669</t>
  </si>
  <si>
    <t>AA-028412</t>
  </si>
  <si>
    <t>AA-028236</t>
  </si>
  <si>
    <t>IXTAC-JALAPA-IXTAC</t>
  </si>
  <si>
    <t>CC-054529</t>
  </si>
  <si>
    <t>DD-013020</t>
  </si>
  <si>
    <t>CC-054523</t>
  </si>
  <si>
    <t>CC-054818</t>
  </si>
  <si>
    <t>CC-054511</t>
  </si>
  <si>
    <t>CC-054618</t>
  </si>
  <si>
    <t>CC-051908</t>
  </si>
  <si>
    <t>CC-054553</t>
  </si>
  <si>
    <t>CC-056601</t>
  </si>
  <si>
    <t>HERMOSILLO * NOGALES * HERMOSILLO</t>
  </si>
  <si>
    <t>CC-054481</t>
  </si>
  <si>
    <t>BB-044770</t>
  </si>
  <si>
    <t>BB-045609</t>
  </si>
  <si>
    <t>BB-044882</t>
  </si>
  <si>
    <t>BB-045496</t>
  </si>
  <si>
    <t>BB-044991</t>
  </si>
  <si>
    <t>BB-045613</t>
  </si>
  <si>
    <t>RAMOS-RIO BRAVO-RAMOS</t>
  </si>
  <si>
    <t>BB-045715</t>
  </si>
  <si>
    <t>RAMOS-APODACA-RAMOS</t>
  </si>
  <si>
    <t>BB-044712</t>
  </si>
  <si>
    <t>BB-044544</t>
  </si>
  <si>
    <t>BB-045885</t>
  </si>
  <si>
    <t>BB-045162</t>
  </si>
  <si>
    <t>BB-045491</t>
  </si>
  <si>
    <t>CC-055573</t>
  </si>
  <si>
    <t>CC-054964</t>
  </si>
  <si>
    <t>CC-054967</t>
  </si>
  <si>
    <t>CC-054931</t>
  </si>
  <si>
    <t>BB-044942</t>
  </si>
  <si>
    <t>RAMOS-MONTERREY-RAMOS</t>
  </si>
  <si>
    <t>BB-044721</t>
  </si>
  <si>
    <t>CC-052302</t>
  </si>
  <si>
    <t>CC-055814</t>
  </si>
  <si>
    <t>CC-052397</t>
  </si>
  <si>
    <t>CC-052338</t>
  </si>
  <si>
    <t>CC-052305</t>
  </si>
  <si>
    <t>CC-056000</t>
  </si>
  <si>
    <t>BB-044890</t>
  </si>
  <si>
    <t>BB-045173</t>
  </si>
  <si>
    <t>BB-044782</t>
  </si>
  <si>
    <t>BB-045176</t>
  </si>
  <si>
    <t>BB-045170</t>
  </si>
  <si>
    <t>BB-044779</t>
  </si>
  <si>
    <t>BB-045919</t>
  </si>
  <si>
    <t>BB-044776</t>
  </si>
  <si>
    <t>BB-045443</t>
  </si>
  <si>
    <t>BB-045440</t>
  </si>
  <si>
    <t>BB-045002</t>
  </si>
  <si>
    <t>BB-045060</t>
  </si>
  <si>
    <t>BB-045673</t>
  </si>
  <si>
    <t>BB-019898</t>
  </si>
  <si>
    <t>BB-019875</t>
  </si>
  <si>
    <t>BB-045676</t>
  </si>
  <si>
    <t>BB-045109</t>
  </si>
  <si>
    <t>CC-055400</t>
  </si>
  <si>
    <t>CC-055419</t>
  </si>
  <si>
    <t>CC-055635</t>
  </si>
  <si>
    <t>CC-056140</t>
  </si>
  <si>
    <t>CC-056146</t>
  </si>
  <si>
    <t>CC-055572</t>
  </si>
  <si>
    <t>ZAPOPAN - AMECA - ZAPOPAN</t>
  </si>
  <si>
    <t>CC-055473</t>
  </si>
  <si>
    <t>CC-055676</t>
  </si>
  <si>
    <t>CC-055800</t>
  </si>
  <si>
    <t>CC-056361</t>
  </si>
  <si>
    <t>CC-056990</t>
  </si>
  <si>
    <t>ZAPOPAN - ATOTONILCO - ZAPOPAN</t>
  </si>
  <si>
    <t>CC-055797</t>
  </si>
  <si>
    <t>CC-056403</t>
  </si>
  <si>
    <t>CC-055633</t>
  </si>
  <si>
    <t>CC-054225</t>
  </si>
  <si>
    <t>CC-056292</t>
  </si>
  <si>
    <t>CC-055038</t>
  </si>
  <si>
    <t>DD-013166</t>
  </si>
  <si>
    <t>CC-054502</t>
  </si>
  <si>
    <t>CC-056522</t>
  </si>
  <si>
    <t>CC-054522</t>
  </si>
  <si>
    <t>CC-054820</t>
  </si>
  <si>
    <t>DD-012869</t>
  </si>
  <si>
    <t>DD-013032</t>
  </si>
  <si>
    <t>DD-013057</t>
  </si>
  <si>
    <t>DD-012942</t>
  </si>
  <si>
    <t>DD-012797</t>
  </si>
  <si>
    <t>DD-012929</t>
  </si>
  <si>
    <t>DD-013123</t>
  </si>
  <si>
    <t>DD-012932</t>
  </si>
  <si>
    <t>DD-012792</t>
  </si>
  <si>
    <t>DD-012803</t>
  </si>
  <si>
    <t>CC-056603</t>
  </si>
  <si>
    <t>BB-044825</t>
  </si>
  <si>
    <t>BB-045551</t>
  </si>
  <si>
    <t>BB-044878</t>
  </si>
  <si>
    <t>BB-019882</t>
  </si>
  <si>
    <t>BB-019886</t>
  </si>
  <si>
    <t>BB-019910</t>
  </si>
  <si>
    <t>BB-045048</t>
  </si>
  <si>
    <t>BB-045548</t>
  </si>
  <si>
    <t>BB-044875</t>
  </si>
  <si>
    <t>BB-045827</t>
  </si>
  <si>
    <t>BB-045271</t>
  </si>
  <si>
    <t>BB-044654</t>
  </si>
  <si>
    <t>BB-044657</t>
  </si>
  <si>
    <t>BB-044822</t>
  </si>
  <si>
    <t>BB-044872</t>
  </si>
  <si>
    <t>BB-045830</t>
  </si>
  <si>
    <t>BB-045326</t>
  </si>
  <si>
    <t>BB-045824</t>
  </si>
  <si>
    <t>BB-019913</t>
  </si>
  <si>
    <t>BB-019870</t>
  </si>
  <si>
    <t>BB-045329</t>
  </si>
  <si>
    <t>BB-045332</t>
  </si>
  <si>
    <t>BB-045544</t>
  </si>
  <si>
    <t>BB-019905</t>
  </si>
  <si>
    <t>BB-045367</t>
  </si>
  <si>
    <t>BB-045369</t>
  </si>
  <si>
    <t>BB-045106</t>
  </si>
  <si>
    <t>BB-045155</t>
  </si>
  <si>
    <t>BB-045773</t>
  </si>
  <si>
    <t>BB-044994</t>
  </si>
  <si>
    <t>BB-045433</t>
  </si>
  <si>
    <t>BB-044715</t>
  </si>
  <si>
    <t>BB-045892</t>
  </si>
  <si>
    <t>BB-045612</t>
  </si>
  <si>
    <t>BB-045616</t>
  </si>
  <si>
    <t>BB-045110</t>
  </si>
  <si>
    <t>BB-044879</t>
  </si>
  <si>
    <t>BB-045052</t>
  </si>
  <si>
    <t>BB-045159</t>
  </si>
  <si>
    <t>BB-044597</t>
  </si>
  <si>
    <t>AA-027934</t>
  </si>
  <si>
    <t>AA-027588</t>
  </si>
  <si>
    <t>AA-027648</t>
  </si>
  <si>
    <t>AA-028272</t>
  </si>
  <si>
    <t>AA-028687</t>
  </si>
  <si>
    <t>AA-028454</t>
  </si>
  <si>
    <t>AA-028333</t>
  </si>
  <si>
    <t>AA-028451</t>
  </si>
  <si>
    <t>AA-028690</t>
  </si>
  <si>
    <t>AA-028744</t>
  </si>
  <si>
    <t>AA-027997</t>
  </si>
  <si>
    <t>AA-028327</t>
  </si>
  <si>
    <t>AA-028632</t>
  </si>
  <si>
    <t>IXTAC-EL SECO-IXTAC</t>
  </si>
  <si>
    <t>AA-028336</t>
  </si>
  <si>
    <t>AA-027712</t>
  </si>
  <si>
    <t>AA-027768</t>
  </si>
  <si>
    <t>AA-028269</t>
  </si>
  <si>
    <t>AA-027823</t>
  </si>
  <si>
    <t>CC-056067</t>
  </si>
  <si>
    <t>CC-056399</t>
  </si>
  <si>
    <t>CC-055751</t>
  </si>
  <si>
    <t>CC-055077</t>
  </si>
  <si>
    <t>CC-056021</t>
  </si>
  <si>
    <t>CC-055075</t>
  </si>
  <si>
    <t>CC-055463</t>
  </si>
  <si>
    <t>CC-055632</t>
  </si>
  <si>
    <t>CC-056402</t>
  </si>
  <si>
    <t>CC-056073</t>
  </si>
  <si>
    <t>CC-055612</t>
  </si>
  <si>
    <t>ZAPOPAN - AYOTLAN - ZAPOPAN</t>
  </si>
  <si>
    <t>CC-055669</t>
  </si>
  <si>
    <t>CC-055793</t>
  </si>
  <si>
    <t>CC-054385</t>
  </si>
  <si>
    <t>CC-055675</t>
  </si>
  <si>
    <t>CC-056030</t>
  </si>
  <si>
    <t>CC-055472</t>
  </si>
  <si>
    <t>CC-056212</t>
  </si>
  <si>
    <t>CC-056590</t>
  </si>
  <si>
    <t>CC-056517</t>
  </si>
  <si>
    <t>CC-054685</t>
  </si>
  <si>
    <t>CC-054677</t>
  </si>
  <si>
    <t>DD-013029</t>
  </si>
  <si>
    <t>CC-056596</t>
  </si>
  <si>
    <t>DD-013207</t>
  </si>
  <si>
    <t>DD-013092</t>
  </si>
  <si>
    <t>DD-013021</t>
  </si>
  <si>
    <t>DD-012995</t>
  </si>
  <si>
    <t>CC-055614</t>
  </si>
  <si>
    <t>CC-056076</t>
  </si>
  <si>
    <t>CC-056499</t>
  </si>
  <si>
    <t>CC-055701</t>
  </si>
  <si>
    <t>CC-056992</t>
  </si>
  <si>
    <t>CC-056149</t>
  </si>
  <si>
    <t>CC-055641</t>
  </si>
  <si>
    <t>CC-054488</t>
  </si>
  <si>
    <t>CC-056450</t>
  </si>
  <si>
    <t>DD-012762</t>
  </si>
  <si>
    <t>DD-013014</t>
  </si>
  <si>
    <t>DD-013244</t>
  </si>
  <si>
    <t>DD-013091</t>
  </si>
  <si>
    <t>DD-012961</t>
  </si>
  <si>
    <t>DD-012908</t>
  </si>
  <si>
    <t>CC-054581</t>
  </si>
  <si>
    <t>CC-054530</t>
  </si>
  <si>
    <t>CC-054822</t>
  </si>
  <si>
    <t>DD-012906</t>
  </si>
  <si>
    <t>DD-012905</t>
  </si>
  <si>
    <t>DD-013217</t>
  </si>
  <si>
    <t>DD-013110</t>
  </si>
  <si>
    <t>DD-013055</t>
  </si>
  <si>
    <t>CC-054622</t>
  </si>
  <si>
    <t>DD-013162</t>
  </si>
  <si>
    <t>CC-054584</t>
  </si>
  <si>
    <t>DD-013072</t>
  </si>
  <si>
    <t>DD-012900</t>
  </si>
  <si>
    <t>AA-028174</t>
  </si>
  <si>
    <t>AA-027944</t>
  </si>
  <si>
    <t>AA-028578</t>
  </si>
  <si>
    <t>CC-055620</t>
  </si>
  <si>
    <t>CC-056999</t>
  </si>
  <si>
    <t>CC-055100</t>
  </si>
  <si>
    <t>CC-055777</t>
  </si>
  <si>
    <t>CC-055450</t>
  </si>
  <si>
    <t>CC-055743</t>
  </si>
  <si>
    <t>CC-057035</t>
  </si>
  <si>
    <t>CC-056997</t>
  </si>
  <si>
    <t>CC-056905</t>
  </si>
  <si>
    <t>CC-055710</t>
  </si>
  <si>
    <t>CC-056041</t>
  </si>
  <si>
    <t>CC-056223</t>
  </si>
  <si>
    <t>CC-055528</t>
  </si>
  <si>
    <t>CC-055091</t>
  </si>
  <si>
    <t>CC-056982</t>
  </si>
  <si>
    <t>CC-056908</t>
  </si>
  <si>
    <t>CC-056415</t>
  </si>
  <si>
    <t>CC-056459</t>
  </si>
  <si>
    <t>CC-055098</t>
  </si>
  <si>
    <t>CC-054497</t>
  </si>
  <si>
    <t>CC-055780</t>
  </si>
  <si>
    <t>CC-055707</t>
  </si>
  <si>
    <t>CC-056185</t>
  </si>
  <si>
    <t>CC-056465</t>
  </si>
  <si>
    <t>CC-055587</t>
  </si>
  <si>
    <t>BB-045289</t>
  </si>
  <si>
    <t>BB-045292</t>
  </si>
  <si>
    <t>BB-045923</t>
  </si>
  <si>
    <t>BB-045005</t>
  </si>
  <si>
    <t>BB-045011</t>
  </si>
  <si>
    <t>BB-045008</t>
  </si>
  <si>
    <t>BB-045179</t>
  </si>
  <si>
    <t>BB-045513</t>
  </si>
  <si>
    <t>BB-045516</t>
  </si>
  <si>
    <t>BB-045122</t>
  </si>
  <si>
    <t>BB-045788</t>
  </si>
  <si>
    <t>BB-045066</t>
  </si>
  <si>
    <t>BB-045679</t>
  </si>
  <si>
    <t>BB-045794</t>
  </si>
  <si>
    <t>BB-045350</t>
  </si>
  <si>
    <t>BB-044733</t>
  </si>
  <si>
    <t>BB-045848</t>
  </si>
  <si>
    <t>BB-045182</t>
  </si>
  <si>
    <t>BB-045636</t>
  </si>
  <si>
    <t>BB-045854</t>
  </si>
  <si>
    <t>BB-045355</t>
  </si>
  <si>
    <t>BB-045857</t>
  </si>
  <si>
    <t>BB-042393</t>
  </si>
  <si>
    <t>CC-055303</t>
  </si>
  <si>
    <t>CC-055306</t>
  </si>
  <si>
    <t>CC-056427</t>
  </si>
  <si>
    <t>BB-045851</t>
  </si>
  <si>
    <t>CHIHUAHUA-BOCOINA-CHIHUAHUA</t>
  </si>
  <si>
    <t>BB-045630</t>
  </si>
  <si>
    <t>CHIHUAHUA-CREEL-CHIHUAHUA</t>
  </si>
  <si>
    <t>CC-056162</t>
  </si>
  <si>
    <t>AA-028708</t>
  </si>
  <si>
    <t>AA-027786</t>
  </si>
  <si>
    <t>AA-027614</t>
  </si>
  <si>
    <t>AA-028536</t>
  </si>
  <si>
    <t>AA-027666</t>
  </si>
  <si>
    <t>AA-028589</t>
  </si>
  <si>
    <t>AA-027730</t>
  </si>
  <si>
    <t>AA-028173</t>
  </si>
  <si>
    <t>AA-028475</t>
  </si>
  <si>
    <t>AA-028112</t>
  </si>
  <si>
    <t>AA-028466</t>
  </si>
  <si>
    <t>AA-028233</t>
  </si>
  <si>
    <t>AA-028351</t>
  </si>
  <si>
    <t>AA-027847</t>
  </si>
  <si>
    <t>AA-028115</t>
  </si>
  <si>
    <t>AA-029999</t>
  </si>
  <si>
    <t>IXTAC-FORTIN-IXTAC</t>
  </si>
  <si>
    <t>BB-045907</t>
  </si>
  <si>
    <t>BB-045234</t>
  </si>
  <si>
    <t>BB-045354</t>
  </si>
  <si>
    <t>BB-045398</t>
  </si>
  <si>
    <t>CC-056220</t>
  </si>
  <si>
    <t>BB-044572</t>
  </si>
  <si>
    <t>BB-045351</t>
  </si>
  <si>
    <t>BB-044566</t>
  </si>
  <si>
    <t>BB-045453</t>
  </si>
  <si>
    <t>BB-045000</t>
  </si>
  <si>
    <t>BB-045740</t>
  </si>
  <si>
    <t>BB-045296</t>
  </si>
  <si>
    <t>CC-054613</t>
  </si>
  <si>
    <t>CC-056514</t>
  </si>
  <si>
    <t>DD-012774</t>
  </si>
  <si>
    <t>DD-012764</t>
  </si>
  <si>
    <t>DD-013002</t>
  </si>
  <si>
    <t>DD-013151</t>
  </si>
  <si>
    <t>CC-054682</t>
  </si>
  <si>
    <t>CC-054504</t>
  </si>
  <si>
    <t>CC-054524</t>
  </si>
  <si>
    <t>CC-056520</t>
  </si>
  <si>
    <t>CC-054607</t>
  </si>
  <si>
    <t>DD-013069</t>
  </si>
  <si>
    <t>DD-013098</t>
  </si>
  <si>
    <t>CC-056593</t>
  </si>
  <si>
    <t>CC-056511</t>
  </si>
  <si>
    <t>CC-056527</t>
  </si>
  <si>
    <t>BB-045397</t>
  </si>
  <si>
    <t>CC-054462</t>
  </si>
  <si>
    <t>BB-045167</t>
  </si>
  <si>
    <t>BB-045495</t>
  </si>
  <si>
    <t>BB-044945</t>
  </si>
  <si>
    <t>BB-045391</t>
  </si>
  <si>
    <t>RAMOS-P. NEGRAS-RAMOS</t>
  </si>
  <si>
    <t>BB-045223</t>
  </si>
  <si>
    <t>BB-044884</t>
  </si>
  <si>
    <t>BB-045624</t>
  </si>
  <si>
    <t>BB-044887</t>
  </si>
  <si>
    <t>CC-056027</t>
  </si>
  <si>
    <t>CC-056432</t>
  </si>
  <si>
    <t>CC-052364</t>
  </si>
  <si>
    <t>CC-052484</t>
  </si>
  <si>
    <t>CC-052380</t>
  </si>
  <si>
    <t>CC-055931</t>
  </si>
  <si>
    <t>CC-052423</t>
  </si>
  <si>
    <t>CC-052435</t>
  </si>
  <si>
    <t>CC-052325</t>
  </si>
  <si>
    <t>CC-052452</t>
  </si>
  <si>
    <t>BB-045365</t>
  </si>
  <si>
    <t>BB-045600</t>
  </si>
  <si>
    <t>BB-045597</t>
  </si>
  <si>
    <t>BB-045602</t>
  </si>
  <si>
    <t>BB-045605</t>
  </si>
  <si>
    <t>BB-045213</t>
  </si>
  <si>
    <t>AA-028281</t>
  </si>
  <si>
    <t>NAUTLA-ALAMO-NAUTLA</t>
  </si>
  <si>
    <t>NAUTLA</t>
  </si>
  <si>
    <t>BB-045709</t>
  </si>
  <si>
    <t>BB-045210</t>
  </si>
  <si>
    <t>BB-045937</t>
  </si>
  <si>
    <t>BB-045940</t>
  </si>
  <si>
    <t>BB-044817</t>
  </si>
  <si>
    <t>BB-045043</t>
  </si>
  <si>
    <t>BB-044814</t>
  </si>
  <si>
    <t>BB-045034</t>
  </si>
  <si>
    <t>BB-019901</t>
  </si>
  <si>
    <t>BB-019908</t>
  </si>
  <si>
    <t>BB-019916</t>
  </si>
  <si>
    <t>BB-019894</t>
  </si>
  <si>
    <t>BB-019920</t>
  </si>
  <si>
    <t>BB-045040</t>
  </si>
  <si>
    <t>CC-055391</t>
  </si>
  <si>
    <t>BB-044686</t>
  </si>
  <si>
    <t>BB-045408</t>
  </si>
  <si>
    <t>BB-045197</t>
  </si>
  <si>
    <t>BB-045188</t>
  </si>
  <si>
    <t>BB-045410</t>
  </si>
  <si>
    <t>BB-045645</t>
  </si>
  <si>
    <t>BB-045969</t>
  </si>
  <si>
    <t>BB-044854</t>
  </si>
  <si>
    <t>BB-045745</t>
  </si>
  <si>
    <t>CC-055642</t>
  </si>
  <si>
    <t>CC-055488</t>
  </si>
  <si>
    <t>CC-055644</t>
  </si>
  <si>
    <t>CC-056934</t>
  </si>
  <si>
    <t>CC-056241</t>
  </si>
  <si>
    <t>CC-056927</t>
  </si>
  <si>
    <t>CC-055539</t>
  </si>
  <si>
    <t>CC-055542</t>
  </si>
  <si>
    <t>CC-052402</t>
  </si>
  <si>
    <t>CC-055871</t>
  </si>
  <si>
    <t>CC-055948</t>
  </si>
  <si>
    <t>BB-045863</t>
  </si>
  <si>
    <t>BF-000383</t>
  </si>
  <si>
    <t>BB-044966</t>
  </si>
  <si>
    <t>BB-045306</t>
  </si>
  <si>
    <t>BB-019865</t>
  </si>
  <si>
    <t>BB-045019</t>
  </si>
  <si>
    <t>BB-045860</t>
  </si>
  <si>
    <t>BB-045358</t>
  </si>
  <si>
    <t>CC-054617</t>
  </si>
  <si>
    <t>CC-054686</t>
  </si>
  <si>
    <t>CC-054556</t>
  </si>
  <si>
    <t>CC-056594</t>
  </si>
  <si>
    <t>CC-054780</t>
  </si>
  <si>
    <t>CC-054505</t>
  </si>
  <si>
    <t>CC-054508</t>
  </si>
  <si>
    <t>DD-012935</t>
  </si>
  <si>
    <t>CC-056597</t>
  </si>
  <si>
    <t>CC-056518</t>
  </si>
  <si>
    <t>CC-054611</t>
  </si>
  <si>
    <t>CC-054817</t>
  </si>
  <si>
    <t>CC-054683</t>
  </si>
  <si>
    <t>CC-054550</t>
  </si>
  <si>
    <t>DD-013164</t>
  </si>
  <si>
    <t>DD-012742</t>
  </si>
  <si>
    <t>CC-054525</t>
  </si>
  <si>
    <t>CC-056515</t>
  </si>
  <si>
    <t>BB-044687</t>
  </si>
  <si>
    <t>BB-045470</t>
  </si>
  <si>
    <t>BB-045085</t>
  </si>
  <si>
    <t>BB-045749</t>
  </si>
  <si>
    <t>BB-044579</t>
  </si>
  <si>
    <t>BB-045195</t>
  </si>
  <si>
    <t>BB-045700</t>
  </si>
  <si>
    <t>BB-045464</t>
  </si>
  <si>
    <t>BB-045201</t>
  </si>
  <si>
    <t>BB-045414</t>
  </si>
  <si>
    <t>CC-054688</t>
  </si>
  <si>
    <t>CC-056602</t>
  </si>
  <si>
    <t>DD-012871</t>
  </si>
  <si>
    <t>CC-054512</t>
  </si>
  <si>
    <t>CC-054559</t>
  </si>
  <si>
    <t>CC-054831</t>
  </si>
  <si>
    <t>CC-054565</t>
  </si>
  <si>
    <t>CC-054691</t>
  </si>
  <si>
    <t>BB-044772</t>
  </si>
  <si>
    <t>BB-044714</t>
  </si>
  <si>
    <t>BB-045100</t>
  </si>
  <si>
    <t>BB-044990</t>
  </si>
  <si>
    <t>CC-056176</t>
  </si>
  <si>
    <t>BB-044993</t>
  </si>
  <si>
    <t>BB-044928</t>
  </si>
  <si>
    <t>BB-044944</t>
  </si>
  <si>
    <t>BB-044769</t>
  </si>
  <si>
    <t>BB-045493</t>
  </si>
  <si>
    <t>BB-044540</t>
  </si>
  <si>
    <t>BB-044766</t>
  </si>
  <si>
    <t>BB-045881</t>
  </si>
  <si>
    <t>BB-045714</t>
  </si>
  <si>
    <t>BB-045833</t>
  </si>
  <si>
    <t>BB-045767</t>
  </si>
  <si>
    <t>BB-044708</t>
  </si>
  <si>
    <t>BB-045663</t>
  </si>
  <si>
    <t>BB-045561</t>
  </si>
  <si>
    <t>BB-045389</t>
  </si>
  <si>
    <t>CC-055917</t>
  </si>
  <si>
    <t>CC-052328</t>
  </si>
  <si>
    <t>CC-055914</t>
  </si>
  <si>
    <t>CC-055849</t>
  </si>
  <si>
    <t>CC-052345</t>
  </si>
  <si>
    <t>CC-055932</t>
  </si>
  <si>
    <t>CC-052441</t>
  </si>
  <si>
    <t>CC-055820</t>
  </si>
  <si>
    <t>CC-052428</t>
  </si>
  <si>
    <t>CC-052367</t>
  </si>
  <si>
    <t>CC-052331</t>
  </si>
  <si>
    <t>CC-055900</t>
  </si>
  <si>
    <t>BB-044965</t>
  </si>
  <si>
    <t>BB-045916</t>
  </si>
  <si>
    <t>BB-044968</t>
  </si>
  <si>
    <t>BB-045809</t>
  </si>
  <si>
    <t>BB-045536</t>
  </si>
  <si>
    <t>BB-044634</t>
  </si>
  <si>
    <t>BB-044637</t>
  </si>
  <si>
    <t>BB-045027</t>
  </si>
  <si>
    <t>BB-045758</t>
  </si>
  <si>
    <t>BB-045021</t>
  </si>
  <si>
    <t>BB-019878</t>
  </si>
  <si>
    <t>BB-019892</t>
  </si>
  <si>
    <t>BB-019906</t>
  </si>
  <si>
    <t>BB-045806</t>
  </si>
  <si>
    <t>BB-045250</t>
  </si>
  <si>
    <t>BB-045812</t>
  </si>
  <si>
    <t>BB-045530</t>
  </si>
  <si>
    <t>BB-045737</t>
  </si>
  <si>
    <t>BB-045908</t>
  </si>
  <si>
    <t>BB-044955</t>
  </si>
  <si>
    <t>BB-044846</t>
  </si>
  <si>
    <t>BB-045631</t>
  </si>
  <si>
    <t>BB-045692</t>
  </si>
  <si>
    <t>BB-045293</t>
  </si>
  <si>
    <t>BB-044906</t>
  </si>
  <si>
    <t>BB-044903</t>
  </si>
  <si>
    <t>RAMOS-LA ANGOSTURA-RAMOS</t>
  </si>
  <si>
    <t>BB-045456</t>
  </si>
  <si>
    <t>BB-045683</t>
  </si>
  <si>
    <t>RAMOS-DELICIAS-RAMOS</t>
  </si>
  <si>
    <t>BB-044731</t>
  </si>
  <si>
    <t>BB-045743</t>
  </si>
  <si>
    <t>CC-056264</t>
  </si>
  <si>
    <t>CC-057030</t>
  </si>
  <si>
    <t>CC-054969</t>
  </si>
  <si>
    <t>BB-045189</t>
  </si>
  <si>
    <t>BB-045237</t>
  </si>
  <si>
    <t>RAMOS-DERRAMADERO-RAMOS</t>
  </si>
  <si>
    <t>AA-028647</t>
  </si>
  <si>
    <t>IXTAC-TAMARINDO-IXTAC</t>
  </si>
  <si>
    <t>AA-027672</t>
  </si>
  <si>
    <t>IXTAC-CUITLAHUAC-IXTAC</t>
  </si>
  <si>
    <t>AA-028533</t>
  </si>
  <si>
    <t>AA-028360</t>
  </si>
  <si>
    <t>AA-028595</t>
  </si>
  <si>
    <t>AA-027850</t>
  </si>
  <si>
    <t>AA-028409</t>
  </si>
  <si>
    <t>CC-056090</t>
  </si>
  <si>
    <t>TECOMAN - YAHUALICA - CAÑADAS - TECOMAN</t>
  </si>
  <si>
    <t>BB-044900</t>
  </si>
  <si>
    <t>BB-045801</t>
  </si>
  <si>
    <t>BB-045118</t>
  </si>
  <si>
    <t>BB-045286</t>
  </si>
  <si>
    <t>BB-045618</t>
  </si>
  <si>
    <t>BB-045959</t>
  </si>
  <si>
    <t>BB-045891</t>
  </si>
  <si>
    <t>BB-045894</t>
  </si>
  <si>
    <t>BB-045394</t>
  </si>
  <si>
    <t>BB-045726</t>
  </si>
  <si>
    <t>BB-045447</t>
  </si>
  <si>
    <t>BB-045504</t>
  </si>
  <si>
    <t>BB-045900</t>
  </si>
  <si>
    <t>CC-055630</t>
  </si>
  <si>
    <t>BB-045720</t>
  </si>
  <si>
    <t>CC-055568</t>
  </si>
  <si>
    <t>TECOMAN - TECUALA - TECOMAN</t>
  </si>
  <si>
    <t>CC-055172</t>
  </si>
  <si>
    <t>CC-054482</t>
  </si>
  <si>
    <t>TECOMAN-TEPATITLAN-TECOMAN</t>
  </si>
  <si>
    <t>BB-045621</t>
  </si>
  <si>
    <t>BB-044828</t>
  </si>
  <si>
    <t>BB-044996</t>
  </si>
  <si>
    <t>AA-027711</t>
  </si>
  <si>
    <t>IXTAC-TEZIUTLAN-IXTAC</t>
  </si>
  <si>
    <t>AA-028453</t>
  </si>
  <si>
    <t>AA-027592</t>
  </si>
  <si>
    <t>AA-028341</t>
  </si>
  <si>
    <t>AA-028277</t>
  </si>
  <si>
    <t>AA-027653</t>
  </si>
  <si>
    <t>AA-028338</t>
  </si>
  <si>
    <t>AA-027595</t>
  </si>
  <si>
    <t>AA-028573</t>
  </si>
  <si>
    <t>BB-045698</t>
  </si>
  <si>
    <t>BB-045311</t>
  </si>
  <si>
    <t>BB-045467</t>
  </si>
  <si>
    <t>BB-045869</t>
  </si>
  <si>
    <t>BB-044795</t>
  </si>
  <si>
    <t>BB-045702</t>
  </si>
  <si>
    <t>CC-055179</t>
  </si>
  <si>
    <t>BB-044909</t>
  </si>
  <si>
    <t>BB-044962</t>
  </si>
  <si>
    <t>BB-044690</t>
  </si>
  <si>
    <t>BB-044752</t>
  </si>
  <si>
    <t>BB-045031</t>
  </si>
  <si>
    <t>BB-045307</t>
  </si>
  <si>
    <t>RAMOS-ADJUNTAS-RAMOS</t>
  </si>
  <si>
    <t>BB-045646</t>
  </si>
  <si>
    <t>BB-045192</t>
  </si>
  <si>
    <t>BB-045374</t>
  </si>
  <si>
    <t>BB-045976</t>
  </si>
  <si>
    <t>BB-044971</t>
  </si>
  <si>
    <t>BB-045523</t>
  </si>
  <si>
    <t>BB-045913</t>
  </si>
  <si>
    <t>BB-045979</t>
  </si>
  <si>
    <t>AA-028505</t>
  </si>
  <si>
    <t>AA-028326</t>
  </si>
  <si>
    <t>AA-028619</t>
  </si>
  <si>
    <t>AA-029079</t>
  </si>
  <si>
    <t>AA-028561</t>
  </si>
  <si>
    <t>AA-028145</t>
  </si>
  <si>
    <t>AA-028205</t>
  </si>
  <si>
    <t>AA-027333</t>
  </si>
  <si>
    <t>BB-045361</t>
  </si>
  <si>
    <t>BB-044848</t>
  </si>
  <si>
    <t>BB-045639</t>
  </si>
  <si>
    <t>BB-045642</t>
  </si>
  <si>
    <t>BB-044850</t>
  </si>
  <si>
    <t>CC-055417</t>
  </si>
  <si>
    <t>CC-055491</t>
  </si>
  <si>
    <t>BB-042394</t>
  </si>
  <si>
    <t>CC-055720</t>
  </si>
  <si>
    <t>CC-055323</t>
  </si>
  <si>
    <t>CC-055357</t>
  </si>
  <si>
    <t>CC-055388</t>
  </si>
  <si>
    <t>CC-056430</t>
  </si>
  <si>
    <t>CC-055065</t>
  </si>
  <si>
    <t>CC-054938</t>
  </si>
  <si>
    <t>CC-054944</t>
  </si>
  <si>
    <t>CC-055721</t>
  </si>
  <si>
    <t>CC-055537</t>
  </si>
  <si>
    <t>CC-056045</t>
  </si>
  <si>
    <t>CC-056922</t>
  </si>
  <si>
    <t>CC-055363</t>
  </si>
  <si>
    <t>DD-013101</t>
  </si>
  <si>
    <t>DD-012954</t>
  </si>
  <si>
    <t>DD-012971</t>
  </si>
  <si>
    <t>DD-013052</t>
  </si>
  <si>
    <t>DD-012800</t>
  </si>
  <si>
    <t>DD-012890</t>
  </si>
  <si>
    <t>CC-054711</t>
  </si>
  <si>
    <t>AA-028629</t>
  </si>
  <si>
    <t>IXTAC-RAFAEL LARA GRAJALES-IXTAC</t>
  </si>
  <si>
    <t>AA-028568</t>
  </si>
  <si>
    <t>AA-028158</t>
  </si>
  <si>
    <t>AA-027762</t>
  </si>
  <si>
    <t>AA-028390</t>
  </si>
  <si>
    <t>AA-028565</t>
  </si>
  <si>
    <t>AA-027539</t>
  </si>
  <si>
    <t>IXTAC-REFORMA-IXTAC</t>
  </si>
  <si>
    <t>AA-027937</t>
  </si>
  <si>
    <t>AA-027765</t>
  </si>
  <si>
    <t xml:space="preserve">IXTAC-TUXPAN-IXTAC FULL </t>
  </si>
  <si>
    <t>AA-029083</t>
  </si>
  <si>
    <t>IXTAC-ALVARADO-IXTAC</t>
  </si>
  <si>
    <t>AA-028509</t>
  </si>
  <si>
    <t>AA-028626</t>
  </si>
  <si>
    <t>AA-028275</t>
  </si>
  <si>
    <t>AA-028215</t>
  </si>
  <si>
    <t>AA-028387</t>
  </si>
  <si>
    <t>AA-028512</t>
  </si>
  <si>
    <t>AA-028448</t>
  </si>
  <si>
    <t>AA-029077</t>
  </si>
  <si>
    <t>IXTAC-CIUDAD DEL CARMEN-IXTAC</t>
  </si>
  <si>
    <t>AA-028218</t>
  </si>
  <si>
    <t>AA-028571</t>
  </si>
  <si>
    <t>AA-027826</t>
  </si>
  <si>
    <t>AA-028693</t>
  </si>
  <si>
    <t>CC-047731</t>
  </si>
  <si>
    <t>BB-045774</t>
  </si>
  <si>
    <t>BB-044661</t>
  </si>
  <si>
    <t>BB-045668</t>
  </si>
  <si>
    <t>BB-044718</t>
  </si>
  <si>
    <t>RAMOS-HERCULES-RAMOS</t>
  </si>
  <si>
    <t>CC-055180</t>
  </si>
  <si>
    <t>BB-045721</t>
  </si>
  <si>
    <t>BB-044904</t>
  </si>
  <si>
    <t>BB-045030</t>
  </si>
  <si>
    <t>BB-044963</t>
  </si>
  <si>
    <t>BB-044852</t>
  </si>
  <si>
    <t>BB-045294</t>
  </si>
  <si>
    <t>CC-054911</t>
  </si>
  <si>
    <t>BB-045190</t>
  </si>
  <si>
    <t>BB-045738</t>
  </si>
  <si>
    <t>BB-045693</t>
  </si>
  <si>
    <t>BB-044573</t>
  </si>
  <si>
    <t>CC-056052</t>
  </si>
  <si>
    <t>CC-055367</t>
  </si>
  <si>
    <t>CC-056049</t>
  </si>
  <si>
    <t>CC-056389</t>
  </si>
  <si>
    <t>CC-055364</t>
  </si>
  <si>
    <t>CC-056961</t>
  </si>
  <si>
    <t>CC-055599</t>
  </si>
  <si>
    <t>CC-055663</t>
  </si>
  <si>
    <t>CC-056485</t>
  </si>
  <si>
    <t>CC-055723</t>
  </si>
  <si>
    <t>CC-056126</t>
  </si>
  <si>
    <t>CC-056129</t>
  </si>
  <si>
    <t>CC-055069</t>
  </si>
  <si>
    <t>CC-056985</t>
  </si>
  <si>
    <t>CC-054995</t>
  </si>
  <si>
    <t>CC-056482</t>
  </si>
  <si>
    <t>CC-055394</t>
  </si>
  <si>
    <t>CC-055025</t>
  </si>
  <si>
    <t>BB-044717</t>
  </si>
  <si>
    <t>BB-045435</t>
  </si>
  <si>
    <t>BB-045888</t>
  </si>
  <si>
    <t>BB-045268</t>
  </si>
  <si>
    <t>BB-045886</t>
  </si>
  <si>
    <t>BB-045431</t>
  </si>
  <si>
    <t>BB-045660</t>
  </si>
  <si>
    <t>BB-045158</t>
  </si>
  <si>
    <t>BB-044881</t>
  </si>
  <si>
    <t>BB-045945</t>
  </si>
  <si>
    <t>BB-044941</t>
  </si>
  <si>
    <t>AA-028408</t>
  </si>
  <si>
    <t>AA-027785</t>
  </si>
  <si>
    <t>AA-028356</t>
  </si>
  <si>
    <t>AA-028646</t>
  </si>
  <si>
    <t>AA-028108</t>
  </si>
  <si>
    <t>AA-028347</t>
  </si>
  <si>
    <t>AA-027948</t>
  </si>
  <si>
    <t>AA-027553</t>
  </si>
  <si>
    <t>AA-027840</t>
  </si>
  <si>
    <t>AA-027607</t>
  </si>
  <si>
    <t>AA-028172</t>
  </si>
  <si>
    <t>AA-029992</t>
  </si>
  <si>
    <t>AA-027729</t>
  </si>
  <si>
    <t>AA-028414</t>
  </si>
  <si>
    <t>AA-027782</t>
  </si>
  <si>
    <t>AA-028292</t>
  </si>
  <si>
    <t>AA-027668</t>
  </si>
  <si>
    <t>AA-029100</t>
  </si>
  <si>
    <t>BB-045545</t>
  </si>
  <si>
    <t>BB-045943</t>
  </si>
  <si>
    <t>BB-045151</t>
  </si>
  <si>
    <t>BB-045382</t>
  </si>
  <si>
    <t>BB-045764</t>
  </si>
  <si>
    <t>BB-045324</t>
  </si>
  <si>
    <t>BB-045539</t>
  </si>
  <si>
    <t>BB-044652</t>
  </si>
  <si>
    <t>BB-045761</t>
  </si>
  <si>
    <t>BB-044873</t>
  </si>
  <si>
    <t>BB-045825</t>
  </si>
  <si>
    <t>BB-045542</t>
  </si>
  <si>
    <t>BB-045989</t>
  </si>
  <si>
    <t>BB-044643</t>
  </si>
  <si>
    <t>BB-045207</t>
  </si>
  <si>
    <t>BB-019888</t>
  </si>
  <si>
    <t>BB-019919</t>
  </si>
  <si>
    <t>BB-044646</t>
  </si>
  <si>
    <t>BB-045156</t>
  </si>
  <si>
    <t>BB-042397</t>
  </si>
  <si>
    <t>CC-055452</t>
  </si>
  <si>
    <t>CC-056910</t>
  </si>
  <si>
    <t>CC-056942</t>
  </si>
  <si>
    <t>CC-056274</t>
  </si>
  <si>
    <t>CC-056907</t>
  </si>
  <si>
    <t>CC-055706</t>
  </si>
  <si>
    <t>CC-055527</t>
  </si>
  <si>
    <t>ZAPOPAN - MEZCALEZ - ZAPOPAN</t>
  </si>
  <si>
    <t>CC-056464</t>
  </si>
  <si>
    <t>BB-045686</t>
  </si>
  <si>
    <t>BB-045015</t>
  </si>
  <si>
    <t>RAMOS-SAN LUIS POTOSI-RAMOS</t>
  </si>
  <si>
    <t>CC-055526</t>
  </si>
  <si>
    <t>CC-054971</t>
  </si>
  <si>
    <t>CC-055050</t>
  </si>
  <si>
    <t>TECOMAN - AGUASCALIENTES - TECOMAN</t>
  </si>
  <si>
    <t>CC-056375</t>
  </si>
  <si>
    <t>CC-056267</t>
  </si>
  <si>
    <t>CC-056378</t>
  </si>
  <si>
    <t>CC-055342</t>
  </si>
  <si>
    <t>CC-055580</t>
  </si>
  <si>
    <t>BB-044678</t>
  </si>
  <si>
    <t>CC-056015</t>
  </si>
  <si>
    <t>CC-055767</t>
  </si>
  <si>
    <t>AA-027647</t>
  </si>
  <si>
    <t>AA-027828</t>
  </si>
  <si>
    <t>AA-027987</t>
  </si>
  <si>
    <t>AA-027644</t>
  </si>
  <si>
    <t>AA-028386</t>
  </si>
  <si>
    <t>AA-027699</t>
  </si>
  <si>
    <t>AA-027767</t>
  </si>
  <si>
    <t>AA-028323</t>
  </si>
  <si>
    <t>AA-028265</t>
  </si>
  <si>
    <t>AA-028689</t>
  </si>
  <si>
    <t>AA-028208</t>
  </si>
  <si>
    <t>AA-027933</t>
  </si>
  <si>
    <t>AA-027819</t>
  </si>
  <si>
    <t>AA-028508</t>
  </si>
  <si>
    <t>AA-027708</t>
  </si>
  <si>
    <t>AA-027984</t>
  </si>
  <si>
    <t>IXTAC-TUXTLA GUTIERREZ-IXTAC</t>
  </si>
  <si>
    <t>AA-027641</t>
  </si>
  <si>
    <t>AA-029973</t>
  </si>
  <si>
    <t>AA-028564</t>
  </si>
  <si>
    <t>AA-028567</t>
  </si>
  <si>
    <t>AA-028271</t>
  </si>
  <si>
    <t>AA-028268</t>
  </si>
  <si>
    <t>AA-028625</t>
  </si>
  <si>
    <t>AA-029082</t>
  </si>
  <si>
    <t>AA-027705</t>
  </si>
  <si>
    <t>AA-027825</t>
  </si>
  <si>
    <t>AA-028450</t>
  </si>
  <si>
    <t>AA-028444</t>
  </si>
  <si>
    <t>AA-027587</t>
  </si>
  <si>
    <t>BB-045771</t>
  </si>
  <si>
    <t>CC-056370</t>
  </si>
  <si>
    <t>CC-056409</t>
  </si>
  <si>
    <t>BB-045371</t>
  </si>
  <si>
    <t>RAMOS-BALLEZA-RAMOS</t>
  </si>
  <si>
    <t>BB-045889</t>
  </si>
  <si>
    <t>BB-044988</t>
  </si>
  <si>
    <t>RAMOS-NAVA-RAMOS</t>
  </si>
  <si>
    <t>CC-054420</t>
  </si>
  <si>
    <t>CC-056216</t>
  </si>
  <si>
    <t>CC-055085</t>
  </si>
  <si>
    <t>BB-044773</t>
  </si>
  <si>
    <t>CC-055734</t>
  </si>
  <si>
    <t>CC-055685</t>
  </si>
  <si>
    <t>BB-044885</t>
  </si>
  <si>
    <t>AA-028634</t>
  </si>
  <si>
    <t>AA-028105</t>
  </si>
  <si>
    <t>AA-028220</t>
  </si>
  <si>
    <t>AA-028102</t>
  </si>
  <si>
    <t>AA-028637</t>
  </si>
  <si>
    <t>AA-028335</t>
  </si>
  <si>
    <t>AA-028163</t>
  </si>
  <si>
    <t>AA-028514</t>
  </si>
  <si>
    <t>AA-029094</t>
  </si>
  <si>
    <t>AA-028456</t>
  </si>
  <si>
    <t>AA-027942</t>
  </si>
  <si>
    <t>AA-029085</t>
  </si>
  <si>
    <t>AA-028283</t>
  </si>
  <si>
    <t>IXTAC-TEHUACAN-IXTAC</t>
  </si>
  <si>
    <t>AA-027834</t>
  </si>
  <si>
    <t>AA-028166</t>
  </si>
  <si>
    <t>AA-028640</t>
  </si>
  <si>
    <t>AA-027650</t>
  </si>
  <si>
    <t>AA-028160</t>
  </si>
  <si>
    <t>AA-028223</t>
  </si>
  <si>
    <t>AA-028462</t>
  </si>
  <si>
    <t>AA-028344</t>
  </si>
  <si>
    <t>AA-027659</t>
  </si>
  <si>
    <t>AA-027831</t>
  </si>
  <si>
    <t>AA-028579</t>
  </si>
  <si>
    <t>AA-028520</t>
  </si>
  <si>
    <t>AA-028157</t>
  </si>
  <si>
    <t>AA-027776</t>
  </si>
  <si>
    <t>BB-044728</t>
  </si>
  <si>
    <t>BB-044948</t>
  </si>
  <si>
    <t>CC-057052</t>
  </si>
  <si>
    <t>CC-056269</t>
  </si>
  <si>
    <t>CC-056468</t>
  </si>
  <si>
    <t>CC-054976</t>
  </si>
  <si>
    <t>BB-044836</t>
  </si>
  <si>
    <t>BB-045570</t>
  </si>
  <si>
    <t>BB-045059</t>
  </si>
  <si>
    <t>BB-045844</t>
  </si>
  <si>
    <t>BB-045681</t>
  </si>
  <si>
    <t>BB-019912</t>
  </si>
  <si>
    <t>BB-045343</t>
  </si>
  <si>
    <t>BB-045402</t>
  </si>
  <si>
    <t>BB-045405</t>
  </si>
  <si>
    <t>BB-044613</t>
  </si>
  <si>
    <t>BB-045567</t>
  </si>
  <si>
    <t>BB-045181</t>
  </si>
  <si>
    <t>BB-044839</t>
  </si>
  <si>
    <t>BB-045068</t>
  </si>
  <si>
    <t>BB-044673</t>
  </si>
  <si>
    <t>BB-045793</t>
  </si>
  <si>
    <t>BB-044616</t>
  </si>
  <si>
    <t>BB-045129</t>
  </si>
  <si>
    <t>BB-045132</t>
  </si>
  <si>
    <t>BB-045573</t>
  </si>
  <si>
    <t>BB-044669</t>
  </si>
  <si>
    <t>BB-045512</t>
  </si>
  <si>
    <t>BB-045784</t>
  </si>
  <si>
    <t>BB-045509</t>
  </si>
  <si>
    <t>AA-028353</t>
  </si>
  <si>
    <t>AA-027843</t>
  </si>
  <si>
    <t>AA-028229</t>
  </si>
  <si>
    <t>AA-028169</t>
  </si>
  <si>
    <t>AA-028114</t>
  </si>
  <si>
    <t>AA-028588</t>
  </si>
  <si>
    <t>AA-028232</t>
  </si>
  <si>
    <t xml:space="preserve">IXTAC-OAXACA-IXTAC </t>
  </si>
  <si>
    <t>AA-028532</t>
  </si>
  <si>
    <t>AA-027662</t>
  </si>
  <si>
    <t>AA-028226</t>
  </si>
  <si>
    <t>AA-027601</t>
  </si>
  <si>
    <t>AA-028643</t>
  </si>
  <si>
    <t>AA-027726</t>
  </si>
  <si>
    <t>AA-027604</t>
  </si>
  <si>
    <t>IXTAC-APIZACO-IXTAC</t>
  </si>
  <si>
    <t>AA-028591</t>
  </si>
  <si>
    <t>AA-027723</t>
  </si>
  <si>
    <t>AA-028704</t>
  </si>
  <si>
    <t>AA-028111</t>
  </si>
  <si>
    <t>BB-045490</t>
  </si>
  <si>
    <t>BB-045717</t>
  </si>
  <si>
    <t>CC-055574</t>
  </si>
  <si>
    <t>CC-055545</t>
  </si>
  <si>
    <t>BB-044660</t>
  </si>
  <si>
    <t>BB-045281</t>
  </si>
  <si>
    <t>CC-056008</t>
  </si>
  <si>
    <t>BB-045667</t>
  </si>
  <si>
    <t>BB-044987</t>
  </si>
  <si>
    <t>RAMOS-VICTORIA-RAMOS</t>
  </si>
  <si>
    <t>CC-056413</t>
  </si>
  <si>
    <t>CC-056014</t>
  </si>
  <si>
    <t>BB-044986</t>
  </si>
  <si>
    <t>BB-045209</t>
  </si>
  <si>
    <t>BB-045944</t>
  </si>
  <si>
    <t>BB-044982</t>
  </si>
  <si>
    <t>CC-055544</t>
  </si>
  <si>
    <t>CC-056289</t>
  </si>
  <si>
    <t>CC-056390</t>
  </si>
  <si>
    <t>CC-055552</t>
  </si>
  <si>
    <t>CC-057072</t>
  </si>
  <si>
    <t>CC-056163</t>
  </si>
  <si>
    <t>CC-056127</t>
  </si>
  <si>
    <t>CC-056393</t>
  </si>
  <si>
    <t>CC-056486</t>
  </si>
  <si>
    <t>CC-055661</t>
  </si>
  <si>
    <t>CC-056968</t>
  </si>
  <si>
    <t>CC-055365</t>
  </si>
  <si>
    <t>CC-054943</t>
  </si>
  <si>
    <t>CC-055555</t>
  </si>
  <si>
    <t>CC-055784</t>
  </si>
  <si>
    <t>CC-056298</t>
  </si>
  <si>
    <t>CC-055659</t>
  </si>
  <si>
    <t>CC-055395</t>
  </si>
  <si>
    <t>CC-055026</t>
  </si>
  <si>
    <t>CC-056286</t>
  </si>
  <si>
    <t>CC-055604</t>
  </si>
  <si>
    <t>CC-056480</t>
  </si>
  <si>
    <t>CC-056245</t>
  </si>
  <si>
    <t>CC-056483</t>
  </si>
  <si>
    <t>CC-054953</t>
  </si>
  <si>
    <t>CC-055608</t>
  </si>
  <si>
    <t>CC-055421</t>
  </si>
  <si>
    <t>CC-054475</t>
  </si>
  <si>
    <t>CC-054923</t>
  </si>
  <si>
    <t>CC-055030</t>
  </si>
  <si>
    <t>CC-055602</t>
  </si>
  <si>
    <t>CC-056018</t>
  </si>
  <si>
    <t>CC-055725</t>
  </si>
  <si>
    <t>CC-056253</t>
  </si>
  <si>
    <t>ZAPOPAN - YAGO - ZAPOPAN</t>
  </si>
  <si>
    <t>CC-057013</t>
  </si>
  <si>
    <t>CC-054222</t>
  </si>
  <si>
    <t>CC-056988</t>
  </si>
  <si>
    <t>CC-055497</t>
  </si>
  <si>
    <t>CC-054956</t>
  </si>
  <si>
    <t>CC-055031</t>
  </si>
  <si>
    <t>CC-056299</t>
  </si>
  <si>
    <t>CC-055556</t>
  </si>
  <si>
    <t>CC-054665</t>
  </si>
  <si>
    <t>CC-056502</t>
  </si>
  <si>
    <t>CC-056581</t>
  </si>
  <si>
    <t>CC-054773</t>
  </si>
  <si>
    <t>DD-012854</t>
  </si>
  <si>
    <t>DD-012976</t>
  </si>
  <si>
    <t>DD-012787</t>
  </si>
  <si>
    <t>DD-012934</t>
  </si>
  <si>
    <t>DD-012862</t>
  </si>
  <si>
    <t>CC-054804</t>
  </si>
  <si>
    <t>BB-044723</t>
  </si>
  <si>
    <t>CC-055678</t>
  </si>
  <si>
    <t>CC-056438</t>
  </si>
  <si>
    <t>BB-045498</t>
  </si>
  <si>
    <t>RAMOS-MIGUEL ALEMAN-RAMOS</t>
  </si>
  <si>
    <t>CC-055796</t>
  </si>
  <si>
    <t>CC-055433</t>
  </si>
  <si>
    <t>BB-045723</t>
  </si>
  <si>
    <t>BB-045115</t>
  </si>
  <si>
    <t>RAMOS-VELARDEÑA-RAMOS</t>
  </si>
  <si>
    <t>BB-045112</t>
  </si>
  <si>
    <t>CC-054418</t>
  </si>
  <si>
    <t>CC-055799</t>
  </si>
  <si>
    <t>CC-055562</t>
  </si>
  <si>
    <t>BB-045054</t>
  </si>
  <si>
    <t>BB-045615</t>
  </si>
  <si>
    <t>CC-055509</t>
  </si>
  <si>
    <t>CC-055712</t>
  </si>
  <si>
    <t>CC-055773</t>
  </si>
  <si>
    <t>CC-056904</t>
  </si>
  <si>
    <t>CC-055619</t>
  </si>
  <si>
    <t>CC-055741</t>
  </si>
  <si>
    <t>CC-055768</t>
  </si>
  <si>
    <t>CC-054496</t>
  </si>
  <si>
    <t>CC-056271</t>
  </si>
  <si>
    <t>HERMOSILLO * TLAQUEPAQUE * TRASLADO</t>
  </si>
  <si>
    <t>CC-054517</t>
  </si>
  <si>
    <t>CC-054870</t>
  </si>
  <si>
    <t>CC-054873</t>
  </si>
  <si>
    <t>DD-012827</t>
  </si>
  <si>
    <t>DD-012951</t>
  </si>
  <si>
    <t>DD-013120</t>
  </si>
  <si>
    <t>DD-012883</t>
  </si>
  <si>
    <t>CC-054570</t>
  </si>
  <si>
    <t>CC-054876</t>
  </si>
  <si>
    <t>DD-013125</t>
  </si>
  <si>
    <t>DD-012820</t>
  </si>
  <si>
    <t>DD-013242</t>
  </si>
  <si>
    <t>DD-013181</t>
  </si>
  <si>
    <t>DD-013048</t>
  </si>
  <si>
    <t>DD-013248</t>
  </si>
  <si>
    <t>DD-012761</t>
  </si>
  <si>
    <t>DD-012999</t>
  </si>
  <si>
    <t>CC-054514</t>
  </si>
  <si>
    <t>CC-054535</t>
  </si>
  <si>
    <t>DD-012821</t>
  </si>
  <si>
    <t>AA-028622</t>
  </si>
  <si>
    <t>AA-028154</t>
  </si>
  <si>
    <t>AA-027581</t>
  </si>
  <si>
    <t>AA-028211</t>
  </si>
  <si>
    <t>BB-044692</t>
  </si>
  <si>
    <t>BB-045930</t>
  </si>
  <si>
    <t>CC-055148</t>
  </si>
  <si>
    <t>CC-055157</t>
  </si>
  <si>
    <t>BB-045927</t>
  </si>
  <si>
    <t>RAMOS-V. JUAREZ-RAMOS</t>
  </si>
  <si>
    <t>BB-044857</t>
  </si>
  <si>
    <t>BB-045420</t>
  </si>
  <si>
    <t>BB-044860</t>
  </si>
  <si>
    <t>BB-045746</t>
  </si>
  <si>
    <t>BB-044912</t>
  </si>
  <si>
    <t>BB-045755</t>
  </si>
  <si>
    <t>CC-055379</t>
  </si>
  <si>
    <t>CC-056436</t>
  </si>
  <si>
    <t>TECOMAN - LA BARCA - TECOMAN</t>
  </si>
  <si>
    <t>BB-045018</t>
  </si>
  <si>
    <t>BB-045695</t>
  </si>
  <si>
    <t>BB-044797</t>
  </si>
  <si>
    <t>CC-056255</t>
  </si>
  <si>
    <t>BB-045970</t>
  </si>
  <si>
    <t>BB-045088</t>
  </si>
  <si>
    <t>BB-045308</t>
  </si>
  <si>
    <t>CC-055613</t>
  </si>
  <si>
    <t>CC-055404</t>
  </si>
  <si>
    <t>BB-045752</t>
  </si>
  <si>
    <t>BB-045417</t>
  </si>
  <si>
    <t>CC-055361</t>
  </si>
  <si>
    <t>CC-056964</t>
  </si>
  <si>
    <t>CC-055551</t>
  </si>
  <si>
    <t>CC-056479</t>
  </si>
  <si>
    <t>CC-056161</t>
  </si>
  <si>
    <t>CC-057011</t>
  </si>
  <si>
    <t>CC-055422</t>
  </si>
  <si>
    <t>CC-055543</t>
  </si>
  <si>
    <t>CC-055319</t>
  </si>
  <si>
    <t>CC-056247</t>
  </si>
  <si>
    <t>CC-056923</t>
  </si>
  <si>
    <t>CC-056422</t>
  </si>
  <si>
    <t>CC-055643</t>
  </si>
  <si>
    <t>CC-055489</t>
  </si>
  <si>
    <t>CC-056928</t>
  </si>
  <si>
    <t>CC-056931</t>
  </si>
  <si>
    <t>CC-056925</t>
  </si>
  <si>
    <t>CC-055415</t>
  </si>
  <si>
    <t>CC-055492</t>
  </si>
  <si>
    <t>CC-056955</t>
  </si>
  <si>
    <t>CC-055540</t>
  </si>
  <si>
    <t>CC-056242</t>
  </si>
  <si>
    <t>BB-045862</t>
  </si>
  <si>
    <t>BB-045925</t>
  </si>
  <si>
    <t>BB-045300</t>
  </si>
  <si>
    <t>BB-044956</t>
  </si>
  <si>
    <t>BB-019864</t>
  </si>
  <si>
    <t>BB-019867</t>
  </si>
  <si>
    <t>CC-056377</t>
  </si>
  <si>
    <t>CC-056083</t>
  </si>
  <si>
    <t>CC-056039</t>
  </si>
  <si>
    <t>BB-044543</t>
  </si>
  <si>
    <t>BF-000346</t>
  </si>
  <si>
    <t>BB-045161</t>
  </si>
  <si>
    <t>BB-044711</t>
  </si>
  <si>
    <t>BB-045611</t>
  </si>
  <si>
    <t>BB-045950</t>
  </si>
  <si>
    <t>BB-045953</t>
  </si>
  <si>
    <t>CC-055763</t>
  </si>
  <si>
    <t>CC-054486</t>
  </si>
  <si>
    <t>CC-055687</t>
  </si>
  <si>
    <t>BB-045140</t>
  </si>
  <si>
    <t>BB-044808</t>
  </si>
  <si>
    <t>BB-044750</t>
  </si>
  <si>
    <t>BB-045024</t>
  </si>
  <si>
    <t>BB-045593</t>
  </si>
  <si>
    <t>BB-044806</t>
  </si>
  <si>
    <t>BB-045143</t>
  </si>
  <si>
    <t>BB-045527</t>
  </si>
  <si>
    <t>BB-045533</t>
  </si>
  <si>
    <t>BB-045083</t>
  </si>
  <si>
    <t>BB-019863</t>
  </si>
  <si>
    <t>BB-045305</t>
  </si>
  <si>
    <t>BB-044747</t>
  </si>
  <si>
    <t>BB-045589</t>
  </si>
  <si>
    <t>BB-019903</t>
  </si>
  <si>
    <t>BB-045592</t>
  </si>
  <si>
    <t>BB-045872</t>
  </si>
  <si>
    <t>CC-055006</t>
  </si>
  <si>
    <t>CC-055009</t>
  </si>
  <si>
    <t>BB-045415</t>
  </si>
  <si>
    <t>CC-057005</t>
  </si>
  <si>
    <t>CC-056954</t>
  </si>
  <si>
    <t>CC-056231</t>
  </si>
  <si>
    <t>CC-055389</t>
  </si>
  <si>
    <t>CC-056470</t>
  </si>
  <si>
    <t>CC-055535</t>
  </si>
  <si>
    <t>CC-056419</t>
  </si>
  <si>
    <t>CC-056965</t>
  </si>
  <si>
    <t>CC-056962</t>
  </si>
  <si>
    <t>CC-054996</t>
  </si>
  <si>
    <t>CC-055499</t>
  </si>
  <si>
    <t>CC-055426</t>
  </si>
  <si>
    <t>CC-055322</t>
  </si>
  <si>
    <t>CC-055541</t>
  </si>
  <si>
    <t>CC-056426</t>
  </si>
  <si>
    <t>CC-056423</t>
  </si>
  <si>
    <t>CC-055302</t>
  </si>
  <si>
    <t>CC-055305</t>
  </si>
  <si>
    <t>CC-056929</t>
  </si>
  <si>
    <t>CC-056429</t>
  </si>
  <si>
    <t>CC-056956</t>
  </si>
  <si>
    <t>CC-056932</t>
  </si>
  <si>
    <t>CC-055803</t>
  </si>
  <si>
    <t>CC-052494</t>
  </si>
  <si>
    <t>CC-052415</t>
  </si>
  <si>
    <t>CC-052341</t>
  </si>
  <si>
    <t>CC-052496</t>
  </si>
  <si>
    <t>CC-052447</t>
  </si>
  <si>
    <t>CC-055877</t>
  </si>
  <si>
    <t>CC-055942</t>
  </si>
  <si>
    <t>CC-055805</t>
  </si>
  <si>
    <t>CC-055991</t>
  </si>
  <si>
    <t>CC-055885</t>
  </si>
  <si>
    <t>CC-052369</t>
  </si>
  <si>
    <t>CC-055905</t>
  </si>
  <si>
    <t>DD-013198</t>
  </si>
  <si>
    <t>DD-013233</t>
  </si>
  <si>
    <t>CC-056537</t>
  </si>
  <si>
    <t>CC-054867</t>
  </si>
  <si>
    <t>CC-054724</t>
  </si>
  <si>
    <t>CC-054520</t>
  </si>
  <si>
    <t>BB-044706</t>
  </si>
  <si>
    <t>BB-044767</t>
  </si>
  <si>
    <t>BB-045653</t>
  </si>
  <si>
    <t>BB-044703</t>
  </si>
  <si>
    <t>BB-045150</t>
  </si>
  <si>
    <t>BB-044870</t>
  </si>
  <si>
    <t>BB-044649</t>
  </si>
  <si>
    <t>CC-056107</t>
  </si>
  <si>
    <t>CC-054972</t>
  </si>
  <si>
    <t>CC-055343</t>
  </si>
  <si>
    <t>TECOMAN - SAN JUAN DE OCOTAN</t>
  </si>
  <si>
    <t>BB-044929</t>
  </si>
  <si>
    <t>BB-045424</t>
  </si>
  <si>
    <t>BB-044981</t>
  </si>
  <si>
    <t>BB-045321</t>
  </si>
  <si>
    <t>BB-045098</t>
  </si>
  <si>
    <t>BB-045482</t>
  </si>
  <si>
    <t>BB-045822</t>
  </si>
  <si>
    <t>BB-045817</t>
  </si>
  <si>
    <t>BB-045986</t>
  </si>
  <si>
    <t>BB-045879</t>
  </si>
  <si>
    <t>BB-045092</t>
  </si>
  <si>
    <t>BB-045713</t>
  </si>
  <si>
    <t>BB-019877</t>
  </si>
  <si>
    <t>BB-045506</t>
  </si>
  <si>
    <t>BB-045235</t>
  </si>
  <si>
    <t>BB-045062</t>
  </si>
  <si>
    <t>BB-045847</t>
  </si>
  <si>
    <t>BB-045065</t>
  </si>
  <si>
    <t>BB-044619</t>
  </si>
  <si>
    <t>CC-054631</t>
  </si>
  <si>
    <t>CC-054594</t>
  </si>
  <si>
    <t>DD-012996</t>
  </si>
  <si>
    <t>DD-012911</t>
  </si>
  <si>
    <t>DD-013023</t>
  </si>
  <si>
    <t>DD-013117</t>
  </si>
  <si>
    <t>DD-012776</t>
  </si>
  <si>
    <t>DD-013075</t>
  </si>
  <si>
    <t>DD-013191</t>
  </si>
  <si>
    <t>CC-054627</t>
  </si>
  <si>
    <t>DD-012783</t>
  </si>
  <si>
    <t>DD-013082</t>
  </si>
  <si>
    <t>DD-012872</t>
  </si>
  <si>
    <t>CC-054515</t>
  </si>
  <si>
    <t>CC-054731</t>
  </si>
  <si>
    <t>DD-013017</t>
  </si>
  <si>
    <t>DD-013119</t>
  </si>
  <si>
    <t>DD-012946</t>
  </si>
  <si>
    <t>DD-013168</t>
  </si>
  <si>
    <t>CC-054697</t>
  </si>
  <si>
    <t>CC-054844</t>
  </si>
  <si>
    <t>BB-045411</t>
  </si>
  <si>
    <t>CC-056494</t>
  </si>
  <si>
    <t>BB-045866</t>
  </si>
  <si>
    <t>BB-044684</t>
  </si>
  <si>
    <t>BB-044537</t>
  </si>
  <si>
    <t>BB-045373</t>
  </si>
  <si>
    <t>CC-056411</t>
  </si>
  <si>
    <t>CC-055375</t>
  </si>
  <si>
    <t>CC-056258</t>
  </si>
  <si>
    <t>CC-056408</t>
  </si>
  <si>
    <t>CC-055437</t>
  </si>
  <si>
    <t>BB-045620</t>
  </si>
  <si>
    <t>BB-044880</t>
  </si>
  <si>
    <t>CC-056243</t>
  </si>
  <si>
    <t>BB-045617</t>
  </si>
  <si>
    <t>BB-044943</t>
  </si>
  <si>
    <t>BB-044992</t>
  </si>
  <si>
    <t>BB-045053</t>
  </si>
  <si>
    <t>BB-044722</t>
  </si>
  <si>
    <t>CC-056240</t>
  </si>
  <si>
    <t>CC-055578</t>
  </si>
  <si>
    <t>CC-055010</t>
  </si>
  <si>
    <t>CC-055538</t>
  </si>
  <si>
    <t>CC-055898</t>
  </si>
  <si>
    <t>CC-052439</t>
  </si>
  <si>
    <t>CC-052348</t>
  </si>
  <si>
    <t>CC-055902</t>
  </si>
  <si>
    <t>CC-052444</t>
  </si>
  <si>
    <t>CC-055823</t>
  </si>
  <si>
    <t>CC-055841</t>
  </si>
  <si>
    <t>CC-052382</t>
  </si>
  <si>
    <t>CC-055821</t>
  </si>
  <si>
    <t>CC-055972</t>
  </si>
  <si>
    <t>CC-052500</t>
  </si>
  <si>
    <t>CC-052459</t>
  </si>
  <si>
    <t>CC-052491</t>
  </si>
  <si>
    <t>CC-055874</t>
  </si>
  <si>
    <t>CC-055868</t>
  </si>
  <si>
    <t>CC-055855</t>
  </si>
  <si>
    <t>CC-055915</t>
  </si>
  <si>
    <t>CC-055852</t>
  </si>
  <si>
    <t>CC-055937</t>
  </si>
  <si>
    <t>CC-052498</t>
  </si>
  <si>
    <t>CC-052355</t>
  </si>
  <si>
    <t>CC-055851</t>
  </si>
  <si>
    <t>CC-055870</t>
  </si>
  <si>
    <t>CC-055950</t>
  </si>
  <si>
    <t>CC-052401</t>
  </si>
  <si>
    <t>CC-052332</t>
  </si>
  <si>
    <t>CC-055933</t>
  </si>
  <si>
    <t>CC-055818</t>
  </si>
  <si>
    <t>BB-045172</t>
  </si>
  <si>
    <t>BB-045169</t>
  </si>
  <si>
    <t>BB-045436</t>
  </si>
  <si>
    <t>BB-045442</t>
  </si>
  <si>
    <t>BB-045445</t>
  </si>
  <si>
    <t>BB-045439</t>
  </si>
  <si>
    <t>BB-044775</t>
  </si>
  <si>
    <t>BB-045220</t>
  </si>
  <si>
    <t>BB-045334</t>
  </si>
  <si>
    <t>BB-045781</t>
  </si>
  <si>
    <t>BB-044659</t>
  </si>
  <si>
    <t>BB-045279</t>
  </si>
  <si>
    <t>BB-045558</t>
  </si>
  <si>
    <t>BB-045669</t>
  </si>
  <si>
    <t>BB-019915</t>
  </si>
  <si>
    <t>BB-045163</t>
  </si>
  <si>
    <t>BB-045105</t>
  </si>
  <si>
    <t>BB-045586</t>
  </si>
  <si>
    <t>BB-044735</t>
  </si>
  <si>
    <t>BB-045302</t>
  </si>
  <si>
    <t>BB-045638</t>
  </si>
  <si>
    <t>BB-045641</t>
  </si>
  <si>
    <t>BB-045360</t>
  </si>
  <si>
    <t>BB-045856</t>
  </si>
  <si>
    <t>BB-045859</t>
  </si>
  <si>
    <t>BB-042400</t>
  </si>
  <si>
    <t>BB-045357</t>
  </si>
  <si>
    <t>BB-044847</t>
  </si>
  <si>
    <t>CC-055645</t>
  </si>
  <si>
    <t>CC-056425</t>
  </si>
  <si>
    <t>BB-042396</t>
  </si>
  <si>
    <t>CC-055321</t>
  </si>
  <si>
    <t>CC-054939</t>
  </si>
  <si>
    <t>CC-056244</t>
  </si>
  <si>
    <t>CC-055022</t>
  </si>
  <si>
    <t>CC-055063</t>
  </si>
  <si>
    <t>CC-054948</t>
  </si>
  <si>
    <t>CC-055498</t>
  </si>
  <si>
    <t>CC-055066</t>
  </si>
  <si>
    <t>CC-056120</t>
  </si>
  <si>
    <t>CC-054115</t>
  </si>
  <si>
    <t>CC-056386</t>
  </si>
  <si>
    <t>CC-054993</t>
  </si>
  <si>
    <t>CC-057071</t>
  </si>
  <si>
    <t>CC-054998</t>
  </si>
  <si>
    <t>AA-027589</t>
  </si>
  <si>
    <t>AA-027998</t>
  </si>
  <si>
    <t>AA-028627</t>
  </si>
  <si>
    <t>AA-028510</t>
  </si>
  <si>
    <t>AA-028691</t>
  </si>
  <si>
    <t>AA-028279</t>
  </si>
  <si>
    <t>AA-027707</t>
  </si>
  <si>
    <t>CC-055399</t>
  </si>
  <si>
    <t>CC-057019</t>
  </si>
  <si>
    <t>CC-055431</t>
  </si>
  <si>
    <t>CC-056202</t>
  </si>
  <si>
    <t>CC-055810</t>
  </si>
  <si>
    <t>CC-055993</t>
  </si>
  <si>
    <t>CC-055891</t>
  </si>
  <si>
    <t>CC-055888</t>
  </si>
  <si>
    <t>CC-052373</t>
  </si>
  <si>
    <t>CC-055955</t>
  </si>
  <si>
    <t>CC-055944</t>
  </si>
  <si>
    <t>CC-055894</t>
  </si>
  <si>
    <t>CC-055951</t>
  </si>
  <si>
    <t>CC-052359</t>
  </si>
  <si>
    <t>CC-052393</t>
  </si>
  <si>
    <t>CC-052315</t>
  </si>
  <si>
    <t>CC-055999</t>
  </si>
  <si>
    <t>CC-055947</t>
  </si>
  <si>
    <t>CC-052353</t>
  </si>
  <si>
    <t>CC-052313</t>
  </si>
  <si>
    <t>CC-055957</t>
  </si>
  <si>
    <t>CC-052318</t>
  </si>
  <si>
    <t>CC-056234</t>
  </si>
  <si>
    <t>CC-056948</t>
  </si>
  <si>
    <t>CC-055019</t>
  </si>
  <si>
    <t>CC-056160</t>
  </si>
  <si>
    <t>CC-056113</t>
  </si>
  <si>
    <t>CC-055408</t>
  </si>
  <si>
    <t>CC-054984</t>
  </si>
  <si>
    <t>CC-055694</t>
  </si>
  <si>
    <t>CC-054703</t>
  </si>
  <si>
    <t>CC-054849</t>
  </si>
  <si>
    <t>DD-012994</t>
  </si>
  <si>
    <t>DD-013116</t>
  </si>
  <si>
    <t>CC-054733</t>
  </si>
  <si>
    <t>DD-012896</t>
  </si>
  <si>
    <t>DD-012928</t>
  </si>
  <si>
    <t>DD-012870</t>
  </si>
  <si>
    <t>DD-013156</t>
  </si>
  <si>
    <t>DD-013171</t>
  </si>
  <si>
    <t>DD-012876</t>
  </si>
  <si>
    <t>CC-054846</t>
  </si>
  <si>
    <t>CC-054730</t>
  </si>
  <si>
    <t>CC-054885</t>
  </si>
  <si>
    <t>CC-054736</t>
  </si>
  <si>
    <t>CC-056547</t>
  </si>
  <si>
    <t>DD-013054</t>
  </si>
  <si>
    <t>CC-056545</t>
  </si>
  <si>
    <t>CC-054792</t>
  </si>
  <si>
    <t>CC-054645</t>
  </si>
  <si>
    <t>CC-054753</t>
  </si>
  <si>
    <t>CC-054755</t>
  </si>
  <si>
    <t>CC-054705</t>
  </si>
  <si>
    <t>DD-012801</t>
  </si>
  <si>
    <t>CC-056572</t>
  </si>
  <si>
    <t>DD-013221</t>
  </si>
  <si>
    <t>DD-012791</t>
  </si>
  <si>
    <t>DD-013144</t>
  </si>
  <si>
    <t>DD-013093</t>
  </si>
  <si>
    <t>DD-013037</t>
  </si>
  <si>
    <t>CC-054758</t>
  </si>
  <si>
    <t>DD-012965</t>
  </si>
  <si>
    <t>CC-054639</t>
  </si>
  <si>
    <t>CC-054794</t>
  </si>
  <si>
    <t>CC-054857</t>
  </si>
  <si>
    <t>CC-054887</t>
  </si>
  <si>
    <t>CC-054601</t>
  </si>
  <si>
    <t>CC-054650</t>
  </si>
  <si>
    <t>CC-054890</t>
  </si>
  <si>
    <t>CC-054664</t>
  </si>
  <si>
    <t>CC-056551</t>
  </si>
  <si>
    <t>AA-028715</t>
  </si>
  <si>
    <t>AA-028474</t>
  </si>
  <si>
    <t>AA-028477</t>
  </si>
  <si>
    <t>AA-028241</t>
  </si>
  <si>
    <t>AA-028661</t>
  </si>
  <si>
    <t>AA-027800</t>
  </si>
  <si>
    <t>AA-028304</t>
  </si>
  <si>
    <t>CC-054785</t>
  </si>
  <si>
    <t>CC-054834</t>
  </si>
  <si>
    <t>CC-054518</t>
  </si>
  <si>
    <t>CC-054838</t>
  </si>
  <si>
    <t>CC-054841</t>
  </si>
  <si>
    <t>DD-012856</t>
  </si>
  <si>
    <t>DD-013157</t>
  </si>
  <si>
    <t>DD-013042</t>
  </si>
  <si>
    <t>DD-013027</t>
  </si>
  <si>
    <t>CC-056037</t>
  </si>
  <si>
    <t>CC-054491</t>
  </si>
  <si>
    <t>CC-056156</t>
  </si>
  <si>
    <t>CC-056084</t>
  </si>
  <si>
    <t>CC-056281</t>
  </si>
  <si>
    <t>CC-052326</t>
  </si>
  <si>
    <t>CC-055838</t>
  </si>
  <si>
    <t>CC-055912</t>
  </si>
  <si>
    <t>CC-052481</t>
  </si>
  <si>
    <t>CC-055982</t>
  </si>
  <si>
    <t>CC-055907</t>
  </si>
  <si>
    <t>CC-052487</t>
  </si>
  <si>
    <t>CC-052438</t>
  </si>
  <si>
    <t>CC-055929</t>
  </si>
  <si>
    <t>CC-052365</t>
  </si>
  <si>
    <t>CC-052426</t>
  </si>
  <si>
    <t>CC-055910</t>
  </si>
  <si>
    <t>CC-052479</t>
  </si>
  <si>
    <t>CC-052476</t>
  </si>
  <si>
    <t>CC-054674</t>
  </si>
  <si>
    <t>DD-012859</t>
  </si>
  <si>
    <t>DD-012780</t>
  </si>
  <si>
    <t>DD-012919</t>
  </si>
  <si>
    <t>DD-013212</t>
  </si>
  <si>
    <t>DD-013026</t>
  </si>
  <si>
    <t>DD-013132</t>
  </si>
  <si>
    <t>CC-054807</t>
  </si>
  <si>
    <t>CC-056563</t>
  </si>
  <si>
    <t>CC-056508</t>
  </si>
  <si>
    <t>DD-012857</t>
  </si>
  <si>
    <t>DD-012784</t>
  </si>
  <si>
    <t>DD-012981</t>
  </si>
  <si>
    <t>CC-054764</t>
  </si>
  <si>
    <t>CC-056584</t>
  </si>
  <si>
    <t>CC-056505</t>
  </si>
  <si>
    <t>CC-054770</t>
  </si>
  <si>
    <t>CC-054657</t>
  </si>
  <si>
    <t>CC-054813</t>
  </si>
  <si>
    <t>DD-013215</t>
  </si>
  <si>
    <t>CC-054671</t>
  </si>
  <si>
    <t>CC-056561</t>
  </si>
  <si>
    <t>AA-028376</t>
  </si>
  <si>
    <t>AA-027628</t>
  </si>
  <si>
    <t>AA-028555</t>
  </si>
  <si>
    <t>AA-027978</t>
  </si>
  <si>
    <t>AA-028549</t>
  </si>
  <si>
    <t>AA-028132</t>
  </si>
  <si>
    <t>CC-055886</t>
  </si>
  <si>
    <t>CC-052462</t>
  </si>
  <si>
    <t>CC-052372</t>
  </si>
  <si>
    <t>CC-052450</t>
  </si>
  <si>
    <t>CC-055801</t>
  </si>
  <si>
    <t>CC-052412</t>
  </si>
  <si>
    <t>CC-055828</t>
  </si>
  <si>
    <t>CC-052384</t>
  </si>
  <si>
    <t>CC-055807</t>
  </si>
  <si>
    <t>CC-052387</t>
  </si>
  <si>
    <t>CC-052344</t>
  </si>
  <si>
    <t>BB-045103</t>
  </si>
  <si>
    <t>BB-045603</t>
  </si>
  <si>
    <t>BB-045606</t>
  </si>
  <si>
    <t>BB-045707</t>
  </si>
  <si>
    <t>BB-045214</t>
  </si>
  <si>
    <t>BB-045217</t>
  </si>
  <si>
    <t>BB-045710</t>
  </si>
  <si>
    <t>BB-045712</t>
  </si>
  <si>
    <t>BB-045211</t>
  </si>
  <si>
    <t>BB-044815</t>
  </si>
  <si>
    <t>BB-045041</t>
  </si>
  <si>
    <t>BB-045044</t>
  </si>
  <si>
    <t>BB-044378</t>
  </si>
  <si>
    <t>BF-000339</t>
  </si>
  <si>
    <t>BB-044647</t>
  </si>
  <si>
    <t>BB-044871</t>
  </si>
  <si>
    <t>BB-044877</t>
  </si>
  <si>
    <t>BB-045101</t>
  </si>
  <si>
    <t>BB-045485</t>
  </si>
  <si>
    <t>BB-044539</t>
  </si>
  <si>
    <t>BB-045147</t>
  </si>
  <si>
    <t>RAMOS-FRONTERA-RAMOS</t>
  </si>
  <si>
    <t>BB-044758</t>
  </si>
  <si>
    <t>BB-045263</t>
  </si>
  <si>
    <t>BB-044984</t>
  </si>
  <si>
    <t>CC-055124</t>
  </si>
  <si>
    <t>BB-045037</t>
  </si>
  <si>
    <t>AA-027527</t>
  </si>
  <si>
    <t>AA-027663</t>
  </si>
  <si>
    <t>AA-028227</t>
  </si>
  <si>
    <t>AA-028167</t>
  </si>
  <si>
    <t>AA-028103</t>
  </si>
  <si>
    <t>AA-028515</t>
  </si>
  <si>
    <t>AA-028641</t>
  </si>
  <si>
    <t>AA-028524</t>
  </si>
  <si>
    <t>AA-027783</t>
  </si>
  <si>
    <t>AA-028574</t>
  </si>
  <si>
    <t>AA-028638</t>
  </si>
  <si>
    <t>AA-029098</t>
  </si>
  <si>
    <t>AA-027835</t>
  </si>
  <si>
    <t>AA-028635</t>
  </si>
  <si>
    <t>AA-027724</t>
  </si>
  <si>
    <t>AA-027949</t>
  </si>
  <si>
    <t>AA-028278</t>
  </si>
  <si>
    <t>AA-027721</t>
  </si>
  <si>
    <t>AA-028342</t>
  </si>
  <si>
    <t>AA-028221</t>
  </si>
  <si>
    <t>BB-044653</t>
  </si>
  <si>
    <t>BB-019909</t>
  </si>
  <si>
    <t>BB-044821</t>
  </si>
  <si>
    <t>BB-045543</t>
  </si>
  <si>
    <t>BB-045946</t>
  </si>
  <si>
    <t>BB-045325</t>
  </si>
  <si>
    <t>BB-045829</t>
  </si>
  <si>
    <t>BB-045990</t>
  </si>
  <si>
    <t>BB-045941</t>
  </si>
  <si>
    <t>BB-044874</t>
  </si>
  <si>
    <t>BB-045765</t>
  </si>
  <si>
    <t>BB-044818</t>
  </si>
  <si>
    <t>BB-045880</t>
  </si>
  <si>
    <t>BB-045826</t>
  </si>
  <si>
    <t>BB-045319</t>
  </si>
  <si>
    <t>BB-044656</t>
  </si>
  <si>
    <t>BB-045038</t>
  </si>
  <si>
    <t>BB-045328</t>
  </si>
  <si>
    <t>BB-044930</t>
  </si>
  <si>
    <t>BB-045547</t>
  </si>
  <si>
    <t>BB-019917</t>
  </si>
  <si>
    <t>BB-019881</t>
  </si>
  <si>
    <t>BB-045366</t>
  </si>
  <si>
    <t>BB-045157</t>
  </si>
  <si>
    <t>BB-042398</t>
  </si>
  <si>
    <t>CC-056926</t>
  </si>
  <si>
    <t>CC-055418</t>
  </si>
  <si>
    <t>CC-056197</t>
  </si>
  <si>
    <t>CC-054946</t>
  </si>
  <si>
    <t>CC-054914</t>
  </si>
  <si>
    <t>CC-056579</t>
  </si>
  <si>
    <t>CC-054742</t>
  </si>
  <si>
    <t>CC-054706</t>
  </si>
  <si>
    <t>CC-054709</t>
  </si>
  <si>
    <t>CC-054759</t>
  </si>
  <si>
    <t>DD-012835</t>
  </si>
  <si>
    <t>DD-012931</t>
  </si>
  <si>
    <t>DD-013137</t>
  </si>
  <si>
    <t>CC-054897</t>
  </si>
  <si>
    <t>CC-056554</t>
  </si>
  <si>
    <t>CC-054640</t>
  </si>
  <si>
    <t>DD-013049</t>
  </si>
  <si>
    <t>DD-013071</t>
  </si>
  <si>
    <t>DD-012920</t>
  </si>
  <si>
    <t>DD-012901</t>
  </si>
  <si>
    <t>DD-012893</t>
  </si>
  <si>
    <t>CC-054900</t>
  </si>
  <si>
    <t>CC-054836</t>
  </si>
  <si>
    <t>CC-054715</t>
  </si>
  <si>
    <t>CC-054799</t>
  </si>
  <si>
    <t>DD-012864</t>
  </si>
  <si>
    <t>CC-054795</t>
  </si>
  <si>
    <t>CC-056559</t>
  </si>
  <si>
    <t>DD-013223</t>
  </si>
  <si>
    <t>CC-054656</t>
  </si>
  <si>
    <t>DD-013106</t>
  </si>
  <si>
    <t>CC-056576</t>
  </si>
  <si>
    <t>DD-013058</t>
  </si>
  <si>
    <t>DD-012943</t>
  </si>
  <si>
    <t>CC-054787</t>
  </si>
  <si>
    <t>BB-045146</t>
  </si>
  <si>
    <t>BB-045205</t>
  </si>
  <si>
    <t>BB-045647</t>
  </si>
  <si>
    <t>BB-044694</t>
  </si>
  <si>
    <t>BB-045032</t>
  </si>
  <si>
    <t>BB-045983</t>
  </si>
  <si>
    <t>BB-045312</t>
  </si>
  <si>
    <t>BB-045928</t>
  </si>
  <si>
    <t>CC-055550</t>
  </si>
  <si>
    <t>CC-054902</t>
  </si>
  <si>
    <t>CC-054905</t>
  </si>
  <si>
    <t>BB-045199</t>
  </si>
  <si>
    <t>BB-044697</t>
  </si>
  <si>
    <t>BB-044917</t>
  </si>
  <si>
    <t>BB-044524</t>
  </si>
  <si>
    <t>CC-055163</t>
  </si>
  <si>
    <t>CC-055119</t>
  </si>
  <si>
    <t>CC-056474</t>
  </si>
  <si>
    <t>BB-044858</t>
  </si>
  <si>
    <t>BB-045699</t>
  </si>
  <si>
    <t>BB-044756</t>
  </si>
  <si>
    <t>BB-044910</t>
  </si>
  <si>
    <t>BB-045473</t>
  </si>
  <si>
    <t>BB-045982</t>
  </si>
  <si>
    <t>BB-044975</t>
  </si>
  <si>
    <t>CC-052429</t>
  </si>
  <si>
    <t>BB-044892</t>
  </si>
  <si>
    <t>CC-052329</t>
  </si>
  <si>
    <t>BB-044781</t>
  </si>
  <si>
    <t>BB-044784</t>
  </si>
  <si>
    <t>BB-045175</t>
  </si>
  <si>
    <t>BB-045001</t>
  </si>
  <si>
    <t>BB-045004</t>
  </si>
  <si>
    <t>BB-045918</t>
  </si>
  <si>
    <t>BB-045291</t>
  </si>
  <si>
    <t>BB-045731</t>
  </si>
  <si>
    <t>BB-045922</t>
  </si>
  <si>
    <t>BB-045007</t>
  </si>
  <si>
    <t>BB-045010</t>
  </si>
  <si>
    <t>BB-045787</t>
  </si>
  <si>
    <t>BB-045790</t>
  </si>
  <si>
    <t>BB-045285</t>
  </si>
  <si>
    <t>BB-045678</t>
  </si>
  <si>
    <t>BB-045178</t>
  </si>
  <si>
    <t>BB-045349</t>
  </si>
  <si>
    <t>BB-045564</t>
  </si>
  <si>
    <t>BB-044895</t>
  </si>
  <si>
    <t>BB-019891</t>
  </si>
  <si>
    <t>BB-045850</t>
  </si>
  <si>
    <t>BB-045853</t>
  </si>
  <si>
    <t>CC-055483</t>
  </si>
  <si>
    <t>CC-054979</t>
  </si>
  <si>
    <t>CC-057055</t>
  </si>
  <si>
    <t>CC-055774</t>
  </si>
  <si>
    <t>CC-055481</t>
  </si>
  <si>
    <t>CC-056092</t>
  </si>
  <si>
    <t>CC-056943</t>
  </si>
  <si>
    <t>CC-056188</t>
  </si>
  <si>
    <t>CC-056114</t>
  </si>
  <si>
    <t>CC-054982</t>
  </si>
  <si>
    <t>CC-056108</t>
  </si>
  <si>
    <t>CC-055525</t>
  </si>
  <si>
    <t>CC-056417</t>
  </si>
  <si>
    <t>CC-056911</t>
  </si>
  <si>
    <t>CC-055584</t>
  </si>
  <si>
    <t>CC-055347</t>
  </si>
  <si>
    <t>CC-055772</t>
  </si>
  <si>
    <t>CC-056272</t>
  </si>
  <si>
    <t>CC-055692</t>
  </si>
  <si>
    <t>CC-056535</t>
  </si>
  <si>
    <t>CC-054539</t>
  </si>
  <si>
    <t>CC-054571</t>
  </si>
  <si>
    <t>DD-013190</t>
  </si>
  <si>
    <t>DD-013159</t>
  </si>
  <si>
    <t>CC-054542</t>
  </si>
  <si>
    <t>CC-054629</t>
  </si>
  <si>
    <t>CC-054725</t>
  </si>
  <si>
    <t>CC-054880</t>
  </si>
  <si>
    <t>DD-012966</t>
  </si>
  <si>
    <t>DD-013089</t>
  </si>
  <si>
    <t>DD-012881</t>
  </si>
  <si>
    <t>DD-012779</t>
  </si>
  <si>
    <t>CC-052376</t>
  </si>
  <si>
    <t>CC-052337</t>
  </si>
  <si>
    <t>CC-052405</t>
  </si>
  <si>
    <t>CC-052378</t>
  </si>
  <si>
    <t>BB-045598</t>
  </si>
  <si>
    <t>BB-045531</t>
  </si>
  <si>
    <t>BB-045540</t>
  </si>
  <si>
    <t>BB-044641</t>
  </si>
  <si>
    <t>BB-044644</t>
  </si>
  <si>
    <t>BB-045534</t>
  </si>
  <si>
    <t>BB-045537</t>
  </si>
  <si>
    <t>BB-045035</t>
  </si>
  <si>
    <t>BB-019861</t>
  </si>
  <si>
    <t>BB-019893</t>
  </si>
  <si>
    <t>BB-019895</t>
  </si>
  <si>
    <t>BB-044754</t>
  </si>
  <si>
    <t>BB-045938</t>
  </si>
  <si>
    <t>BB-045756</t>
  </si>
  <si>
    <t>BB-045144</t>
  </si>
  <si>
    <t>BB-045762</t>
  </si>
  <si>
    <t>BB-045810</t>
  </si>
  <si>
    <t>BB-045759</t>
  </si>
  <si>
    <t>BB-045141</t>
  </si>
  <si>
    <t>BB-045585</t>
  </si>
  <si>
    <t>BB-044807</t>
  </si>
  <si>
    <t>BB-044751</t>
  </si>
  <si>
    <t>BB-045022</t>
  </si>
  <si>
    <t>BB-044638</t>
  </si>
  <si>
    <t>BB-045594</t>
  </si>
  <si>
    <t>BB-019907</t>
  </si>
  <si>
    <t>BB-019879</t>
  </si>
  <si>
    <t>BB-019868</t>
  </si>
  <si>
    <t>BB-045025</t>
  </si>
  <si>
    <t>BB-045028</t>
  </si>
  <si>
    <t>BB-044576</t>
  </si>
  <si>
    <t>BF-000341</t>
  </si>
  <si>
    <t>CC-055396</t>
  </si>
  <si>
    <t>CC-055308</t>
  </si>
  <si>
    <t>CC-053817</t>
  </si>
  <si>
    <t>BB-045379</t>
  </si>
  <si>
    <t>BB-045261</t>
  </si>
  <si>
    <t>BB-045471</t>
  </si>
  <si>
    <t>BB-045703</t>
  </si>
  <si>
    <t>BB-044865</t>
  </si>
  <si>
    <t>BB-045701</t>
  </si>
  <si>
    <t>BB-045655</t>
  </si>
  <si>
    <t>CC-055733</t>
  </si>
  <si>
    <t>CC-056437</t>
  </si>
  <si>
    <t>BB-045480</t>
  </si>
  <si>
    <t>BB-044759</t>
  </si>
  <si>
    <t>BB-044914</t>
  </si>
  <si>
    <t>BB-045200</t>
  </si>
  <si>
    <t>BB-045815</t>
  </si>
  <si>
    <t>BB-045148</t>
  </si>
  <si>
    <t>BB-045754</t>
  </si>
  <si>
    <t>BB-044921</t>
  </si>
  <si>
    <t>BB-044973</t>
  </si>
  <si>
    <t>BB-044979</t>
  </si>
  <si>
    <t>DD-012922</t>
  </si>
  <si>
    <t>DD-012777</t>
  </si>
  <si>
    <t>DD-012812</t>
  </si>
  <si>
    <t>CC-054722</t>
  </si>
  <si>
    <t>CC-054871</t>
  </si>
  <si>
    <t>CC-054874</t>
  </si>
  <si>
    <t>CC-054692</t>
  </si>
  <si>
    <t>CC-056543</t>
  </si>
  <si>
    <t>CC-054521</t>
  </si>
  <si>
    <t>CC-056540</t>
  </si>
  <si>
    <t>CC-054877</t>
  </si>
  <si>
    <t>CC-054633</t>
  </si>
  <si>
    <t>DD-012860</t>
  </si>
  <si>
    <t>DD-012850</t>
  </si>
  <si>
    <t>CC-054728</t>
  </si>
  <si>
    <t>CC-054591</t>
  </si>
  <si>
    <t>AA-028352</t>
  </si>
  <si>
    <t>AA-028584</t>
  </si>
  <si>
    <t>AA-028104</t>
  </si>
  <si>
    <t>AA-027859</t>
  </si>
  <si>
    <t>AA-027839</t>
  </si>
  <si>
    <t>AA-028288</t>
  </si>
  <si>
    <t>AA-027842</t>
  </si>
  <si>
    <t>AA-027728</t>
  </si>
  <si>
    <t>AA-028401</t>
  </si>
  <si>
    <t>AA-028349</t>
  </si>
  <si>
    <t>AA-029099</t>
  </si>
  <si>
    <t>AA-027667</t>
  </si>
  <si>
    <t>BB-045108</t>
  </si>
  <si>
    <t>CC-055432</t>
  </si>
  <si>
    <t>CC-055490</t>
  </si>
  <si>
    <t>CC-056933</t>
  </si>
  <si>
    <t>CC-055353</t>
  </si>
  <si>
    <t>CC-056471</t>
  </si>
  <si>
    <t>CC-055536</t>
  </si>
  <si>
    <t>CC-055020</t>
  </si>
  <si>
    <t>CC-055017</t>
  </si>
  <si>
    <t>CC-054912</t>
  </si>
  <si>
    <t>CC-055058</t>
  </si>
  <si>
    <t>CC-055387</t>
  </si>
  <si>
    <t>CC-056420</t>
  </si>
  <si>
    <t>CC-055390</t>
  </si>
  <si>
    <t>CC-055061</t>
  </si>
  <si>
    <t>CC-054906</t>
  </si>
  <si>
    <t>CC-057006</t>
  </si>
  <si>
    <t>CC-056232</t>
  </si>
  <si>
    <t>CC-057040</t>
  </si>
  <si>
    <t>CC-055064</t>
  </si>
  <si>
    <t>CC-056235</t>
  </si>
  <si>
    <t>CC-054937</t>
  </si>
  <si>
    <t>CC-054847</t>
  </si>
  <si>
    <t>CC-054701</t>
  </si>
  <si>
    <t>CC-054699</t>
  </si>
  <si>
    <t>CC-054892</t>
  </si>
  <si>
    <t>CC-054707</t>
  </si>
  <si>
    <t>CC-056550</t>
  </si>
  <si>
    <t>AA-028577</t>
  </si>
  <si>
    <t>IXTAC-JUAN RODRIGUEZ CLARA-IXTAC</t>
  </si>
  <si>
    <t>AA-028164</t>
  </si>
  <si>
    <t>AA-029981</t>
  </si>
  <si>
    <t>IXTAC-MARTINEZ DE LA TORRE-IXTAC</t>
  </si>
  <si>
    <t>AA-029984</t>
  </si>
  <si>
    <t>AA-028287</t>
  </si>
  <si>
    <t>AA-027774</t>
  </si>
  <si>
    <t>AA-027838</t>
  </si>
  <si>
    <t>AA-028224</t>
  </si>
  <si>
    <t>IXTAC-COSAMALOAPAN-IXTAC</t>
  </si>
  <si>
    <t>AA-028518</t>
  </si>
  <si>
    <t>AA-028339</t>
  </si>
  <si>
    <t>AA-028521</t>
  </si>
  <si>
    <t>AA-028463</t>
  </si>
  <si>
    <t>AA-027718</t>
  </si>
  <si>
    <t>AA-028457</t>
  </si>
  <si>
    <t>AA-027715</t>
  </si>
  <si>
    <t>BB-044867</t>
  </si>
  <si>
    <t>CC-055583</t>
  </si>
  <si>
    <t>BB-045269</t>
  </si>
  <si>
    <t>BB-045095</t>
  </si>
  <si>
    <t>BB-044923</t>
  </si>
  <si>
    <t>BB-044920</t>
  </si>
  <si>
    <t>BB-045657</t>
  </si>
  <si>
    <t>BB-044864</t>
  </si>
  <si>
    <t>BB-045429</t>
  </si>
  <si>
    <t>CC-056158</t>
  </si>
  <si>
    <t>BB-044761</t>
  </si>
  <si>
    <t>CC-056082</t>
  </si>
  <si>
    <t>BB-045479</t>
  </si>
  <si>
    <t>CC-055004</t>
  </si>
  <si>
    <t>CC-057069</t>
  </si>
  <si>
    <t>CC-055368</t>
  </si>
  <si>
    <t>CC-055023</t>
  </si>
  <si>
    <t>CC-057012</t>
  </si>
  <si>
    <t>CC-055070</t>
  </si>
  <si>
    <t>CC-054949</t>
  </si>
  <si>
    <t>CC-055029</t>
  </si>
  <si>
    <t>CC-055502</t>
  </si>
  <si>
    <t>CC-055601</t>
  </si>
  <si>
    <t>CC-056248</t>
  </si>
  <si>
    <t>CC-054952</t>
  </si>
  <si>
    <t>CC-055664</t>
  </si>
  <si>
    <t>CC-054351</t>
  </si>
  <si>
    <t>CC-056583</t>
  </si>
  <si>
    <t>DD-012824</t>
  </si>
  <si>
    <t>DD-012863</t>
  </si>
  <si>
    <t>DD-013102</t>
  </si>
  <si>
    <t>CC-054769</t>
  </si>
  <si>
    <t>CC-054667</t>
  </si>
  <si>
    <t>DD-012898</t>
  </si>
  <si>
    <t>CC-054545</t>
  </si>
  <si>
    <t>CC-054898</t>
  </si>
  <si>
    <t>DD-013246</t>
  </si>
  <si>
    <t>DD-012826</t>
  </si>
  <si>
    <t>DD-013208</t>
  </si>
  <si>
    <t>DD-012884</t>
  </si>
  <si>
    <t>DD-013185</t>
  </si>
  <si>
    <t>CC-054891</t>
  </si>
  <si>
    <t>CC-054765</t>
  </si>
  <si>
    <t>AA-027636</t>
  </si>
  <si>
    <t>AA-028732</t>
  </si>
  <si>
    <t>AA-028378</t>
  </si>
  <si>
    <t>AA-028500</t>
  </si>
  <si>
    <t>AA-027751</t>
  </si>
  <si>
    <t>AA-028318</t>
  </si>
  <si>
    <t>AA-028735</t>
  </si>
  <si>
    <t>AA-029074</t>
  </si>
  <si>
    <t>AA-028137</t>
  </si>
  <si>
    <t>AA-028617</t>
  </si>
  <si>
    <t>AA-028264</t>
  </si>
  <si>
    <t>AA-028614</t>
  </si>
  <si>
    <t>AA-028678</t>
  </si>
  <si>
    <t>AA-027928</t>
  </si>
  <si>
    <t>AA-029068</t>
  </si>
  <si>
    <t>AA-028675</t>
  </si>
  <si>
    <t>AA-027700</t>
  </si>
  <si>
    <t>AA-027573</t>
  </si>
  <si>
    <t>AA-028206</t>
  </si>
  <si>
    <t>AA-027820</t>
  </si>
  <si>
    <t>AA-027579</t>
  </si>
  <si>
    <t>AA-027280</t>
  </si>
  <si>
    <t>AA-028560</t>
  </si>
  <si>
    <t>AA-027694</t>
  </si>
  <si>
    <t>AA-028201</t>
  </si>
  <si>
    <t>IXTAC-XIUTETELCO-IXTAC</t>
  </si>
  <si>
    <t>AA-027980</t>
  </si>
  <si>
    <t>AA-028146</t>
  </si>
  <si>
    <t>BB-045418</t>
  </si>
  <si>
    <t>BB-045421</t>
  </si>
  <si>
    <t>BB-045086</t>
  </si>
  <si>
    <t>BB-044800</t>
  </si>
  <si>
    <t>BB-045977</t>
  </si>
  <si>
    <t>BB-045315</t>
  </si>
  <si>
    <t>AA-028545</t>
  </si>
  <si>
    <t>AA-028488</t>
  </si>
  <si>
    <t>AA-027971</t>
  </si>
  <si>
    <t>AA-028669</t>
  </si>
  <si>
    <t>AA-028195</t>
  </si>
  <si>
    <t>AA-027691</t>
  </si>
  <si>
    <t>AA-027968</t>
  </si>
  <si>
    <t>AA-027688</t>
  </si>
  <si>
    <t>AA-027748</t>
  </si>
  <si>
    <t>AA-028428</t>
  </si>
  <si>
    <t>IXTAC-NOCHIXTLAN-IXTAC</t>
  </si>
  <si>
    <t>AA-028660</t>
  </si>
  <si>
    <t>AA-027685</t>
  </si>
  <si>
    <t>AA-028602</t>
  </si>
  <si>
    <t>AA-028482</t>
  </si>
  <si>
    <t>AA-028425</t>
  </si>
  <si>
    <t>AA-028309</t>
  </si>
  <si>
    <t>AA-027630</t>
  </si>
  <si>
    <t>AA-028372</t>
  </si>
  <si>
    <t>AA-027974</t>
  </si>
  <si>
    <t>AA-028608</t>
  </si>
  <si>
    <t>AA-027805</t>
  </si>
  <si>
    <t>AA-028131</t>
  </si>
  <si>
    <t>AA-028189</t>
  </si>
  <si>
    <t>AA-027633</t>
  </si>
  <si>
    <t>AA-027754</t>
  </si>
  <si>
    <t>AA-028503</t>
  </si>
  <si>
    <t>AA-028143</t>
  </si>
  <si>
    <t>AA-028436</t>
  </si>
  <si>
    <t>AA-028375</t>
  </si>
  <si>
    <t>AA-028741</t>
  </si>
  <si>
    <t>AA-028611</t>
  </si>
  <si>
    <t>AA-028557</t>
  </si>
  <si>
    <t>AA-028497</t>
  </si>
  <si>
    <t>AA-027582</t>
  </si>
  <si>
    <t>BB-045238</t>
  </si>
  <si>
    <t>BB-045687</t>
  </si>
  <si>
    <t>BB-045012</t>
  </si>
  <si>
    <t>BB-045412</t>
  </si>
  <si>
    <t>BB-045744</t>
  </si>
  <si>
    <t>BB-045690</t>
  </si>
  <si>
    <t>BB-044682</t>
  </si>
  <si>
    <t>BB-045399</t>
  </si>
  <si>
    <t>CC-054942</t>
  </si>
  <si>
    <t>BB-045524</t>
  </si>
  <si>
    <t>BB-045912</t>
  </si>
  <si>
    <t>BB-045741</t>
  </si>
  <si>
    <t>BB-045799</t>
  </si>
  <si>
    <t>BB-045409</t>
  </si>
  <si>
    <t>BB-045696</t>
  </si>
  <si>
    <t>BB-045521</t>
  </si>
  <si>
    <t>BB-044907</t>
  </si>
  <si>
    <t>BB-045256</t>
  </si>
  <si>
    <t>CC-055459</t>
  </si>
  <si>
    <t>CC-055747</t>
  </si>
  <si>
    <t>CC-055511</t>
  </si>
  <si>
    <t>BB-044859</t>
  </si>
  <si>
    <t>BB-045874</t>
  </si>
  <si>
    <t>BB-045873</t>
  </si>
  <si>
    <t>CC-055173</t>
  </si>
  <si>
    <t>CC-056915</t>
  </si>
  <si>
    <t>BB-045203</t>
  </si>
  <si>
    <t>CC-056404</t>
  </si>
  <si>
    <t>CC-056398</t>
  </si>
  <si>
    <t>CC-056401</t>
  </si>
  <si>
    <t>CC-055462</t>
  </si>
  <si>
    <t>CC-054476</t>
  </si>
  <si>
    <t>CC-057078</t>
  </si>
  <si>
    <t>CC-056069</t>
  </si>
  <si>
    <t>CC-055429</t>
  </si>
  <si>
    <t>CC-055558</t>
  </si>
  <si>
    <t>CC-055465</t>
  </si>
  <si>
    <t>CC-056356</t>
  </si>
  <si>
    <t>CC-054306</t>
  </si>
  <si>
    <t>CC-054417</t>
  </si>
  <si>
    <t>CC-056489</t>
  </si>
  <si>
    <t>CC-056254</t>
  </si>
  <si>
    <t>CC-055033</t>
  </si>
  <si>
    <t>CC-055036</t>
  </si>
  <si>
    <t>CC-054778</t>
  </si>
  <si>
    <t>AA-028407</t>
  </si>
  <si>
    <t>AA-028107</t>
  </si>
  <si>
    <t>AA-027784</t>
  </si>
  <si>
    <t>AA-027787</t>
  </si>
  <si>
    <t>AA-028648</t>
  </si>
  <si>
    <t>AA-028171</t>
  </si>
  <si>
    <t>AA-028225</t>
  </si>
  <si>
    <t>AA-027781</t>
  </si>
  <si>
    <t>AA-027410</t>
  </si>
  <si>
    <t>AA-027725</t>
  </si>
  <si>
    <t>AA-027600</t>
  </si>
  <si>
    <t>AA-028285</t>
  </si>
  <si>
    <t>AA-028464</t>
  </si>
  <si>
    <t>AA-028639</t>
  </si>
  <si>
    <t>AA-028168</t>
  </si>
  <si>
    <t>AA-029985</t>
  </si>
  <si>
    <t>AA-028228</t>
  </si>
  <si>
    <t>AA-027603</t>
  </si>
  <si>
    <t>BB-045451</t>
  </si>
  <si>
    <t>BB-045632</t>
  </si>
  <si>
    <t>BB-045396</t>
  </si>
  <si>
    <t>BB-045734</t>
  </si>
  <si>
    <t>BB-045623</t>
  </si>
  <si>
    <t>BB-044676</t>
  </si>
  <si>
    <t>CC-055690</t>
  </si>
  <si>
    <t>CC-055350</t>
  </si>
  <si>
    <t>BB-045120</t>
  </si>
  <si>
    <t>BB-045352</t>
  </si>
  <si>
    <t>BB-045346</t>
  </si>
  <si>
    <t>CC-056595</t>
  </si>
  <si>
    <t>DD-012992</t>
  </si>
  <si>
    <t>DD-012978</t>
  </si>
  <si>
    <t>DD-012915</t>
  </si>
  <si>
    <t>CC-054812</t>
  </si>
  <si>
    <t>DD-013008</t>
  </si>
  <si>
    <t>CC-054806</t>
  </si>
  <si>
    <t>CC-054775</t>
  </si>
  <si>
    <t>CC-056570</t>
  </si>
  <si>
    <t>CC-056516</t>
  </si>
  <si>
    <t>DD-012892</t>
  </si>
  <si>
    <t>DD-013066</t>
  </si>
  <si>
    <t>DD-012844</t>
  </si>
  <si>
    <t>DD-012948</t>
  </si>
  <si>
    <t>DD-012875</t>
  </si>
  <si>
    <t>DD-013104</t>
  </si>
  <si>
    <t>DD-013001</t>
  </si>
  <si>
    <t>CC-054609</t>
  </si>
  <si>
    <t>CC-056589</t>
  </si>
  <si>
    <t>CC-056507</t>
  </si>
  <si>
    <t>CC-056510</t>
  </si>
  <si>
    <t>DD-013154</t>
  </si>
  <si>
    <t>CC-054606</t>
  </si>
  <si>
    <t>DD-012809</t>
  </si>
  <si>
    <t>AA-028101</t>
  </si>
  <si>
    <t>AA-028396</t>
  </si>
  <si>
    <t>AA-027652</t>
  </si>
  <si>
    <t>AA-028449</t>
  </si>
  <si>
    <t>BB-045318</t>
  </si>
  <si>
    <t>CC-055648</t>
  </si>
  <si>
    <t>CC-055622</t>
  </si>
  <si>
    <t>CC-056376</t>
  </si>
  <si>
    <t>BB-044985</t>
  </si>
  <si>
    <t>CC-054499</t>
  </si>
  <si>
    <t>CC-054975</t>
  </si>
  <si>
    <t>CC-056380</t>
  </si>
  <si>
    <t>CC-056225</t>
  </si>
  <si>
    <t>BB-044764</t>
  </si>
  <si>
    <t>BB-044926</t>
  </si>
  <si>
    <t>BB-044709</t>
  </si>
  <si>
    <t>CC-055689</t>
  </si>
  <si>
    <t>AA-028486</t>
  </si>
  <si>
    <t>AA-028319</t>
  </si>
  <si>
    <t>AA-028253</t>
  </si>
  <si>
    <t>AA-029086</t>
  </si>
  <si>
    <t>AA-028193</t>
  </si>
  <si>
    <t>AA-028129</t>
  </si>
  <si>
    <t>AA-027920</t>
  </si>
  <si>
    <t>AA-027574</t>
  </si>
  <si>
    <t>AA-027809</t>
  </si>
  <si>
    <t>AA-027634</t>
  </si>
  <si>
    <t>AA-028373</t>
  </si>
  <si>
    <t>AA-028612</t>
  </si>
  <si>
    <t>AA-028727</t>
  </si>
  <si>
    <t>AA-027803</t>
  </si>
  <si>
    <t>AA-027692</t>
  </si>
  <si>
    <t>AA-028135</t>
  </si>
  <si>
    <t>AA-028426</t>
  </si>
  <si>
    <t>AA-028489</t>
  </si>
  <si>
    <t>AA-027972</t>
  </si>
  <si>
    <t>AA-028609</t>
  </si>
  <si>
    <t>AA-027686</t>
  </si>
  <si>
    <t>AA-027917</t>
  </si>
  <si>
    <t>AA-027689</t>
  </si>
  <si>
    <t>AA-027806</t>
  </si>
  <si>
    <t>BB-044677</t>
  </si>
  <si>
    <t>BB-044957</t>
  </si>
  <si>
    <t>BB-045080</t>
  </si>
  <si>
    <t>BB-044893</t>
  </si>
  <si>
    <t>CC-056134</t>
  </si>
  <si>
    <t>DD-012770</t>
  </si>
  <si>
    <t>DD-012840</t>
  </si>
  <si>
    <t>DD-013133</t>
  </si>
  <si>
    <t>CC-054856</t>
  </si>
  <si>
    <t>CC-054597</t>
  </si>
  <si>
    <t>CC-054649</t>
  </si>
  <si>
    <t>DD-012956</t>
  </si>
  <si>
    <t>DD-013195</t>
  </si>
  <si>
    <t>DD-013070</t>
  </si>
  <si>
    <t>DD-013186</t>
  </si>
  <si>
    <t>DD-013006</t>
  </si>
  <si>
    <t>DD-013113</t>
  </si>
  <si>
    <t>CC-054793</t>
  </si>
  <si>
    <t>CC-054757</t>
  </si>
  <si>
    <t>CC-054734</t>
  </si>
  <si>
    <t>DD-012772</t>
  </si>
  <si>
    <t>CC-056548</t>
  </si>
  <si>
    <t>CC-054886</t>
  </si>
  <si>
    <t>CC-056552</t>
  </si>
  <si>
    <t>CC-056546</t>
  </si>
  <si>
    <t>CC-054743</t>
  </si>
  <si>
    <t>CC-054889</t>
  </si>
  <si>
    <t>CC-054754</t>
  </si>
  <si>
    <t>CC-054646</t>
  </si>
  <si>
    <t>CC-054643</t>
  </si>
  <si>
    <t>CC-054796</t>
  </si>
  <si>
    <t>AA-027901</t>
  </si>
  <si>
    <t>AA-027959</t>
  </si>
  <si>
    <t>DD-013122</t>
  </si>
  <si>
    <t>DD-012907</t>
  </si>
  <si>
    <t>DD-013068</t>
  </si>
  <si>
    <t>CC-054760</t>
  </si>
  <si>
    <t>CC-054655</t>
  </si>
  <si>
    <t>DD-012997</t>
  </si>
  <si>
    <t>DD-012815</t>
  </si>
  <si>
    <t>CC-054670</t>
  </si>
  <si>
    <t>DD-012822</t>
  </si>
  <si>
    <t>CC-054749</t>
  </si>
  <si>
    <t>CC-054716</t>
  </si>
  <si>
    <t>CC-056574</t>
  </si>
  <si>
    <t>CC-056557</t>
  </si>
  <si>
    <t>CC-054658</t>
  </si>
  <si>
    <t>CC-056284</t>
  </si>
  <si>
    <t>BB-045280</t>
  </si>
  <si>
    <t>BB-045949</t>
  </si>
  <si>
    <t>BB-045560</t>
  </si>
  <si>
    <t>BB-044596</t>
  </si>
  <si>
    <t>BB-045267</t>
  </si>
  <si>
    <t>BB-044707</t>
  </si>
  <si>
    <t>BB-045096</t>
  </si>
  <si>
    <t>BB-044765</t>
  </si>
  <si>
    <t>BB-044924</t>
  </si>
  <si>
    <t>BB-044868</t>
  </si>
  <si>
    <t>BB-044762</t>
  </si>
  <si>
    <t>BB-045883</t>
  </si>
  <si>
    <t>BB-045430</t>
  </si>
  <si>
    <t>AA-028688</t>
  </si>
  <si>
    <t>AA-028694</t>
  </si>
  <si>
    <t>AA-028162</t>
  </si>
  <si>
    <t>AA-028572</t>
  </si>
  <si>
    <t>AA-028633</t>
  </si>
  <si>
    <t>IXTAC-PIAXTLA-IXTAC</t>
  </si>
  <si>
    <t>AA-028575</t>
  </si>
  <si>
    <t>AA-028276</t>
  </si>
  <si>
    <t>AA-027594</t>
  </si>
  <si>
    <t>AA-028452</t>
  </si>
  <si>
    <t>AA-027649</t>
  </si>
  <si>
    <t>AA-027591</t>
  </si>
  <si>
    <t>AA-028513</t>
  </si>
  <si>
    <t>AA-027646</t>
  </si>
  <si>
    <t>AA-027766</t>
  </si>
  <si>
    <t>AA-028566</t>
  </si>
  <si>
    <t>AA-029982</t>
  </si>
  <si>
    <t>AA-028273</t>
  </si>
  <si>
    <t>AA-027775</t>
  </si>
  <si>
    <t>AA-028331</t>
  </si>
  <si>
    <t>AA-029081</t>
  </si>
  <si>
    <t>AA-028159</t>
  </si>
  <si>
    <t>AA-029084</t>
  </si>
  <si>
    <t>AA-028340</t>
  </si>
  <si>
    <t>AA-027941</t>
  </si>
  <si>
    <t>AA-027833</t>
  </si>
  <si>
    <t>AA-027710</t>
  </si>
  <si>
    <t>AA-027836</t>
  </si>
  <si>
    <t>AA-027716</t>
  </si>
  <si>
    <t>AA-028754</t>
  </si>
  <si>
    <t>BB-044565</t>
  </si>
  <si>
    <t>BB-044954</t>
  </si>
  <si>
    <t>CC-055072</t>
  </si>
  <si>
    <t>CC-054472</t>
  </si>
  <si>
    <t>BB-045295</t>
  </si>
  <si>
    <t>BB-045455</t>
  </si>
  <si>
    <t>BB-044899</t>
  </si>
  <si>
    <t>CC-055175</t>
  </si>
  <si>
    <t>CC-055174</t>
  </si>
  <si>
    <t>BB-045906</t>
  </si>
  <si>
    <t>BB-044999</t>
  </si>
  <si>
    <t>BB-045964</t>
  </si>
  <si>
    <t>BB-045685</t>
  </si>
  <si>
    <t>BB-045688</t>
  </si>
  <si>
    <t>BB-044896</t>
  </si>
  <si>
    <t>CC-055506</t>
  </si>
  <si>
    <t>CC-055559</t>
  </si>
  <si>
    <t>TECOMAN - SAYULA - TECOMAN</t>
  </si>
  <si>
    <t>CC-056391</t>
  </si>
  <si>
    <t>BB-044562</t>
  </si>
  <si>
    <t>BB-045903</t>
  </si>
  <si>
    <t>BB-045449</t>
  </si>
  <si>
    <t>BB-044680</t>
  </si>
  <si>
    <t>BB-044730</t>
  </si>
  <si>
    <t>BB-045682</t>
  </si>
  <si>
    <t>BB-044843</t>
  </si>
  <si>
    <t>AA-027975</t>
  </si>
  <si>
    <t>AA-028190</t>
  </si>
  <si>
    <t>AA-029063</t>
  </si>
  <si>
    <t>BB-045728</t>
  </si>
  <si>
    <t>BB-044732</t>
  </si>
  <si>
    <t>BB-044727</t>
  </si>
  <si>
    <t>BB-044729</t>
  </si>
  <si>
    <t>BB-045229</t>
  </si>
  <si>
    <t>BB-044947</t>
  </si>
  <si>
    <t>BB-045117</t>
  </si>
  <si>
    <t>BB-044953</t>
  </si>
  <si>
    <t>BB-045232</t>
  </si>
  <si>
    <t>BB-044898</t>
  </si>
  <si>
    <t>BB-045227</t>
  </si>
  <si>
    <t>BB-045905</t>
  </si>
  <si>
    <t>BB-045448</t>
  </si>
  <si>
    <t>CC-056226</t>
  </si>
  <si>
    <t>BB-045902</t>
  </si>
  <si>
    <t>CC-053834</t>
  </si>
  <si>
    <t>BB-045288</t>
  </si>
  <si>
    <t>BB-045960</t>
  </si>
  <si>
    <t>BB-044842</t>
  </si>
  <si>
    <t>CC-055649</t>
  </si>
  <si>
    <t>AA-028404</t>
  </si>
  <si>
    <t>AA-028581</t>
  </si>
  <si>
    <t>AA-028703</t>
  </si>
  <si>
    <t>AA-028410</t>
  </si>
  <si>
    <t>AA-028467</t>
  </si>
  <si>
    <t>AA-027597</t>
  </si>
  <si>
    <t>AA-028528</t>
  </si>
  <si>
    <t>AA-028110</t>
  </si>
  <si>
    <t>BB-044950</t>
  </si>
  <si>
    <t>AA-028422</t>
  </si>
  <si>
    <t>AA-028255</t>
  </si>
  <si>
    <t>AA-028134</t>
  </si>
  <si>
    <t>AA-027745</t>
  </si>
  <si>
    <t>AA-028726</t>
  </si>
  <si>
    <t>AA-028605</t>
  </si>
  <si>
    <t>AA-028543</t>
  </si>
  <si>
    <t>AA-027977</t>
  </si>
  <si>
    <t>AA-028192</t>
  </si>
  <si>
    <t>AA-027627</t>
  </si>
  <si>
    <t>AA-028491</t>
  </si>
  <si>
    <t>BB-045089</t>
  </si>
  <si>
    <t>BB-045931</t>
  </si>
  <si>
    <t>CC-056190</t>
  </si>
  <si>
    <t>BB-045476</t>
  </si>
  <si>
    <t>BB-044640</t>
  </si>
  <si>
    <t>BB-044577</t>
  </si>
  <si>
    <t>CC-055355</t>
  </si>
  <si>
    <t>CC-055484</t>
  </si>
  <si>
    <t>BB-044796</t>
  </si>
  <si>
    <t>BB-044691</t>
  </si>
  <si>
    <t>BB-044479</t>
  </si>
  <si>
    <t>BF-000338</t>
  </si>
  <si>
    <t>BB-045651</t>
  </si>
  <si>
    <t>BB-045202</t>
  </si>
  <si>
    <t>BB-045753</t>
  </si>
  <si>
    <t>BB-044580</t>
  </si>
  <si>
    <t>BB-045468</t>
  </si>
  <si>
    <t>CC-057062</t>
  </si>
  <si>
    <t>AA-029054</t>
  </si>
  <si>
    <t>AA-028538</t>
  </si>
  <si>
    <t>AA-028721</t>
  </si>
  <si>
    <t>AA-027849</t>
  </si>
  <si>
    <t>AA-027622</t>
  </si>
  <si>
    <t>AA-027616</t>
  </si>
  <si>
    <t>AA-028123</t>
  </si>
  <si>
    <t>AA-028423</t>
  </si>
  <si>
    <t>IXTAC-LAS CHOAPAS-IXTAC</t>
  </si>
  <si>
    <t>AA-028658</t>
  </si>
  <si>
    <t>AA-028535</t>
  </si>
  <si>
    <t>AA-028600</t>
  </si>
  <si>
    <t>AA-027344</t>
  </si>
  <si>
    <t>AA-027902</t>
  </si>
  <si>
    <t>AA-028594</t>
  </si>
  <si>
    <t>AA-027737</t>
  </si>
  <si>
    <t>AA-028597</t>
  </si>
  <si>
    <t>AA-028362</t>
  </si>
  <si>
    <t>AA-028301</t>
  </si>
  <si>
    <t>AA-027905</t>
  </si>
  <si>
    <t>AA-027683</t>
  </si>
  <si>
    <t>AA-027565</t>
  </si>
  <si>
    <t>AA-028420</t>
  </si>
  <si>
    <t>AA-028359</t>
  </si>
  <si>
    <t>AA-028120</t>
  </si>
  <si>
    <t>AA-028368</t>
  </si>
  <si>
    <t>AA-028307</t>
  </si>
  <si>
    <t>AA-027677</t>
  </si>
  <si>
    <t>AA-028417</t>
  </si>
  <si>
    <t>AA-028655</t>
  </si>
  <si>
    <t>CC-055533</t>
  </si>
  <si>
    <t>CC-056044</t>
  </si>
  <si>
    <t>BB-045684</t>
  </si>
  <si>
    <t>BB-045626</t>
  </si>
  <si>
    <t>CC-056994</t>
  </si>
  <si>
    <t>CC-055381</t>
  </si>
  <si>
    <t>BB-045899</t>
  </si>
  <si>
    <t>BB-044787</t>
  </si>
  <si>
    <t>BB-044786</t>
  </si>
  <si>
    <t>CC-056462</t>
  </si>
  <si>
    <t>CC-055623</t>
  </si>
  <si>
    <t>BB-044542</t>
  </si>
  <si>
    <t>BB-045434</t>
  </si>
  <si>
    <t>BB-045432</t>
  </si>
  <si>
    <t>BB-044989</t>
  </si>
  <si>
    <t>BB-045483</t>
  </si>
  <si>
    <t>BB-045386</t>
  </si>
  <si>
    <t>BB-044704</t>
  </si>
  <si>
    <t>BB-045996</t>
  </si>
  <si>
    <t>BB-045823</t>
  </si>
  <si>
    <t>BB-044595</t>
  </si>
  <si>
    <t>BB-045154</t>
  </si>
  <si>
    <t>BB-045662</t>
  </si>
  <si>
    <t>BB-044771</t>
  </si>
  <si>
    <t>BB-045486</t>
  </si>
  <si>
    <t>BB-045427</t>
  </si>
  <si>
    <t>CC-055145</t>
  </si>
  <si>
    <t>CC-055113</t>
  </si>
  <si>
    <t>AA-027586</t>
  </si>
  <si>
    <t>AA-028498</t>
  </si>
  <si>
    <t>AA-028267</t>
  </si>
  <si>
    <t>AA-027577</t>
  </si>
  <si>
    <t>AA-027755</t>
  </si>
  <si>
    <t>AA-028558</t>
  </si>
  <si>
    <t>AA-028685</t>
  </si>
  <si>
    <t>AA-028204</t>
  </si>
  <si>
    <t>AA-028270</t>
  </si>
  <si>
    <t>AA-027643</t>
  </si>
  <si>
    <t>AA-028563</t>
  </si>
  <si>
    <t>AA-028504</t>
  </si>
  <si>
    <t>BB-045013</t>
  </si>
  <si>
    <t>BB-045813</t>
  </si>
  <si>
    <t>CC-056222</t>
  </si>
  <si>
    <t>CC-055158</t>
  </si>
  <si>
    <t>BB-045297</t>
  </si>
  <si>
    <t>CC-056294</t>
  </si>
  <si>
    <t>BB-045363</t>
  </si>
  <si>
    <t>BB-044901</t>
  </si>
  <si>
    <t>BB-045814</t>
  </si>
  <si>
    <t>BB-045187</t>
  </si>
  <si>
    <t>BB-044685</t>
  </si>
  <si>
    <t>BB-045079</t>
  </si>
  <si>
    <t>BB-044853</t>
  </si>
  <si>
    <t>BB-045016</t>
  </si>
  <si>
    <t>CC-055420</t>
  </si>
  <si>
    <t>CC-056193</t>
  </si>
  <si>
    <t>CC-056123</t>
  </si>
  <si>
    <t>BB-045193</t>
  </si>
  <si>
    <t>CC-056250</t>
  </si>
  <si>
    <t>CC-055495</t>
  </si>
  <si>
    <t>BB-045465</t>
  </si>
  <si>
    <t>BB-045747</t>
  </si>
  <si>
    <t>BB-044679</t>
  </si>
  <si>
    <t>AA-028196</t>
  </si>
  <si>
    <t>AA-027631</t>
  </si>
  <si>
    <t>AA-027752</t>
  </si>
  <si>
    <t>AA-027812</t>
  </si>
  <si>
    <t>BB-045735</t>
  </si>
  <si>
    <t>BB-044951</t>
  </si>
  <si>
    <t>CC-056195</t>
  </si>
  <si>
    <t>CC-055002</t>
  </si>
  <si>
    <t>CC-054917</t>
  </si>
  <si>
    <t>BB-045230</t>
  </si>
  <si>
    <t>BB-045236</t>
  </si>
  <si>
    <t>CC-054461</t>
  </si>
  <si>
    <t>CC-055788</t>
  </si>
  <si>
    <t>BB-044788</t>
  </si>
  <si>
    <t>BB-045353</t>
  </si>
  <si>
    <t>BB-045736</t>
  </si>
  <si>
    <t>BB-045739</t>
  </si>
  <si>
    <t>CC-054458</t>
  </si>
  <si>
    <t>CC-056484</t>
  </si>
  <si>
    <t>AA-027561</t>
  </si>
  <si>
    <t>AA-028540</t>
  </si>
  <si>
    <t>AA-028470</t>
  </si>
  <si>
    <t>AA-028419</t>
  </si>
  <si>
    <t>AA-028717</t>
  </si>
  <si>
    <t>AA-027673</t>
  </si>
  <si>
    <t>AA-027615</t>
  </si>
  <si>
    <t>AA-028534</t>
  </si>
  <si>
    <t>AA-027736</t>
  </si>
  <si>
    <t>AA-028416</t>
  </si>
  <si>
    <t>AA-027618</t>
  </si>
  <si>
    <t>AA-028590</t>
  </si>
  <si>
    <t>AA-028122</t>
  </si>
  <si>
    <t>AA-027676</t>
  </si>
  <si>
    <t>AA-027848</t>
  </si>
  <si>
    <t>AA-028361</t>
  </si>
  <si>
    <t>AA-028712</t>
  </si>
  <si>
    <t>AA-030000</t>
  </si>
  <si>
    <t>AA-028479</t>
  </si>
  <si>
    <t>AA-027845</t>
  </si>
  <si>
    <t>AA-028657</t>
  </si>
  <si>
    <t>AA-027965</t>
  </si>
  <si>
    <t>AA-029066</t>
  </si>
  <si>
    <t>AA-028473</t>
  </si>
  <si>
    <t>AA-028237</t>
  </si>
  <si>
    <t>AA-028476</t>
  </si>
  <si>
    <t>AA-028294</t>
  </si>
  <si>
    <t>AA-028593</t>
  </si>
  <si>
    <t>AA-028177</t>
  </si>
  <si>
    <t>AA-028399</t>
  </si>
  <si>
    <t>AA-027713</t>
  </si>
  <si>
    <t>AA-027769</t>
  </si>
  <si>
    <t>AA-027938</t>
  </si>
  <si>
    <t>AA-028219</t>
  </si>
  <si>
    <t>AA-028334</t>
  </si>
  <si>
    <t>BB-045474</t>
  </si>
  <si>
    <t>BB-045310</t>
  </si>
  <si>
    <t>BB-045704</t>
  </si>
  <si>
    <t>BB-045648</t>
  </si>
  <si>
    <t>BB-045818</t>
  </si>
  <si>
    <t>BB-045422</t>
  </si>
  <si>
    <t>RAMOS-JIMENEZ, TAMPS-RAMOS</t>
  </si>
  <si>
    <t>BB-044970</t>
  </si>
  <si>
    <t>BB-044862</t>
  </si>
  <si>
    <t>BB-045087</t>
  </si>
  <si>
    <t>BB-045932</t>
  </si>
  <si>
    <t>BB-044976</t>
  </si>
  <si>
    <t>BB-045259</t>
  </si>
  <si>
    <t>BB-045376</t>
  </si>
  <si>
    <t>CC-055114</t>
  </si>
  <si>
    <t>CC-055176</t>
  </si>
  <si>
    <t>BB-044693</t>
  </si>
  <si>
    <t>BB-044695</t>
  </si>
  <si>
    <t>BB-044809</t>
  </si>
  <si>
    <t>BB-045978</t>
  </si>
  <si>
    <t>CC-056026</t>
  </si>
  <si>
    <t>BB-045090</t>
  </si>
  <si>
    <t>BB-045929</t>
  </si>
  <si>
    <t>BB-045206</t>
  </si>
  <si>
    <t>AA-028541</t>
  </si>
  <si>
    <t>AA-028238</t>
  </si>
  <si>
    <t>AA-027963</t>
  </si>
  <si>
    <t>CC-055018</t>
  </si>
  <si>
    <t>CC-055161</t>
  </si>
  <si>
    <t>BB-044525</t>
  </si>
  <si>
    <t>BB-045525</t>
  </si>
  <si>
    <t>BB-045466</t>
  </si>
  <si>
    <t>BB-045014</t>
  </si>
  <si>
    <t>BB-044683</t>
  </si>
  <si>
    <t>BB-045372</t>
  </si>
  <si>
    <t>BB-044911</t>
  </si>
  <si>
    <t>BB-045865</t>
  </si>
  <si>
    <t>BB-044574</t>
  </si>
  <si>
    <t>BB-044905</t>
  </si>
  <si>
    <t>BB-044689</t>
  </si>
  <si>
    <t>BB-045751</t>
  </si>
  <si>
    <t>BB-045416</t>
  </si>
  <si>
    <t>BB-044571</t>
  </si>
  <si>
    <t>BB-044969</t>
  </si>
  <si>
    <t>BB-045800</t>
  </si>
  <si>
    <t>BB-045742</t>
  </si>
  <si>
    <t>CC-055164</t>
  </si>
  <si>
    <t>CC-056277</t>
  </si>
  <si>
    <t>BB-045926</t>
  </si>
  <si>
    <t>BB-045697</t>
  </si>
  <si>
    <t>BB-045694</t>
  </si>
  <si>
    <t>BB-045413</t>
  </si>
  <si>
    <t>BB-045137</t>
  </si>
  <si>
    <t>BB-045138</t>
  </si>
  <si>
    <t>CC-055313</t>
  </si>
  <si>
    <t>CC-054987</t>
  </si>
  <si>
    <t>CC-055652</t>
  </si>
  <si>
    <t>CC-055548</t>
  </si>
  <si>
    <t>CC-055549</t>
  </si>
  <si>
    <t>BB-045644</t>
  </si>
  <si>
    <t>BB-045309</t>
  </si>
  <si>
    <t>CC-056228</t>
  </si>
  <si>
    <t>BB-045766</t>
  </si>
  <si>
    <t>BB-044972</t>
  </si>
  <si>
    <t>BB-045258</t>
  </si>
  <si>
    <t>BB-045870</t>
  </si>
  <si>
    <t>BB-045255</t>
  </si>
  <si>
    <t>CC-056098</t>
  </si>
  <si>
    <t>AA-027558</t>
  </si>
  <si>
    <t>AA-028714</t>
  </si>
  <si>
    <t>AA-028119</t>
  </si>
  <si>
    <t>AA-028599</t>
  </si>
  <si>
    <t>AA-028303</t>
  </si>
  <si>
    <t>AA-027679</t>
  </si>
  <si>
    <t>BB-045494</t>
  </si>
  <si>
    <t>BB-045497</t>
  </si>
  <si>
    <t>BB-045666</t>
  </si>
  <si>
    <t>BB-045890</t>
  </si>
  <si>
    <t>CC-055162</t>
  </si>
  <si>
    <t>BB-044827</t>
  </si>
  <si>
    <t>BB-045722</t>
  </si>
  <si>
    <t>BB-044883</t>
  </si>
  <si>
    <t>BB-045388</t>
  </si>
  <si>
    <t>BB-045893</t>
  </si>
  <si>
    <t>BB-045896</t>
  </si>
  <si>
    <t>BB-045390</t>
  </si>
  <si>
    <t>BB-044725</t>
  </si>
  <si>
    <t>BB-045958</t>
  </si>
  <si>
    <t>BB-044716</t>
  </si>
  <si>
    <t>BB-045166</t>
  </si>
  <si>
    <t>BB-045725</t>
  </si>
  <si>
    <t>CC-057109</t>
  </si>
  <si>
    <t>CC-055165</t>
  </si>
  <si>
    <t>BB-045500</t>
  </si>
  <si>
    <t>CC-057106</t>
  </si>
  <si>
    <t>BB-044889</t>
  </si>
  <si>
    <t>CC-055716</t>
  </si>
  <si>
    <t>AA-028325</t>
  </si>
  <si>
    <t>AA-027580</t>
  </si>
  <si>
    <t>AA-028388</t>
  </si>
  <si>
    <t>AA-028328</t>
  </si>
  <si>
    <t>AA-028385</t>
  </si>
  <si>
    <t>AA-028618</t>
  </si>
  <si>
    <t>AA-029072</t>
  </si>
  <si>
    <t>AA-027929</t>
  </si>
  <si>
    <t>AA-027541</t>
  </si>
  <si>
    <t>AA-027824</t>
  </si>
  <si>
    <t>AA-027704</t>
  </si>
  <si>
    <t>AA-028615</t>
  </si>
  <si>
    <t>IXTAC-NARANJOS-IXTAC</t>
  </si>
  <si>
    <t>AA-029069</t>
  </si>
  <si>
    <t xml:space="preserve">IXTAC - TUXPAN - IXTAC </t>
  </si>
  <si>
    <t>AA-028501</t>
  </si>
  <si>
    <t>AA-029075</t>
  </si>
  <si>
    <t>AA-028382</t>
  </si>
  <si>
    <t>AA-028322</t>
  </si>
  <si>
    <t>AA-028437</t>
  </si>
  <si>
    <t>AA-028682</t>
  </si>
  <si>
    <t>AA-028379</t>
  </si>
  <si>
    <t>AA-027981</t>
  </si>
  <si>
    <t>AA-028144</t>
  </si>
  <si>
    <t>AA-028676</t>
  </si>
  <si>
    <t>AA-027637</t>
  </si>
  <si>
    <t>AA-027983</t>
  </si>
  <si>
    <t>CC-055166</t>
  </si>
  <si>
    <t>BB-044932</t>
  </si>
  <si>
    <t>BB-045887</t>
  </si>
  <si>
    <t>BB-045716</t>
  </si>
  <si>
    <t>BB-045160</t>
  </si>
  <si>
    <t>BB-044927</t>
  </si>
  <si>
    <t>BB-044768</t>
  </si>
  <si>
    <t>BB-044536</t>
  </si>
  <si>
    <t>BB-045383</t>
  </si>
  <si>
    <t>BB-045608</t>
  </si>
  <si>
    <t>BB-044710</t>
  </si>
  <si>
    <t>BB-045099</t>
  </si>
  <si>
    <t>BB-044592</t>
  </si>
  <si>
    <t>BB-045610</t>
  </si>
  <si>
    <t>BB-044713</t>
  </si>
  <si>
    <t>BB-045264</t>
  </si>
  <si>
    <t>BB-045820</t>
  </si>
  <si>
    <t>CC-054919</t>
  </si>
  <si>
    <t>BB-045492</t>
  </si>
  <si>
    <t>BB-045387</t>
  </si>
  <si>
    <t>CC-056293</t>
  </si>
  <si>
    <t>CC-056133</t>
  </si>
  <si>
    <t>BB-044650</t>
  </si>
  <si>
    <t>BB-045489</t>
  </si>
  <si>
    <t>CC-055493</t>
  </si>
  <si>
    <t>BB-045463</t>
  </si>
  <si>
    <t>CC-055318</t>
  </si>
  <si>
    <t>CC-055598</t>
  </si>
  <si>
    <t>BB-044856</t>
  </si>
  <si>
    <t>BB-045135</t>
  </si>
  <si>
    <t>BB-045191</t>
  </si>
  <si>
    <t>BB-045522</t>
  </si>
  <si>
    <t>CC-054910</t>
  </si>
  <si>
    <t>BB-045194</t>
  </si>
  <si>
    <t>BB-045691</t>
  </si>
  <si>
    <t>BB-044908</t>
  </si>
  <si>
    <t>BB-045972</t>
  </si>
  <si>
    <t>BB-045017</t>
  </si>
  <si>
    <t>CC-057009</t>
  </si>
  <si>
    <t>BB-045393</t>
  </si>
  <si>
    <t>BB-044886</t>
  </si>
  <si>
    <t>BB-044995</t>
  </si>
  <si>
    <t>BB-045614</t>
  </si>
  <si>
    <t>CC-054445</t>
  </si>
  <si>
    <t>BB-045652</t>
  </si>
  <si>
    <t>BB-045093</t>
  </si>
  <si>
    <t>BB-045477</t>
  </si>
  <si>
    <t>CC-055376</t>
  </si>
  <si>
    <t>CC-054133</t>
  </si>
  <si>
    <t>CC-055370</t>
  </si>
  <si>
    <t>BB-044581</t>
  </si>
  <si>
    <t>BB-045208</t>
  </si>
  <si>
    <t>CC-055508</t>
  </si>
  <si>
    <t>BB-044798</t>
  </si>
  <si>
    <t>BB-045419</t>
  </si>
  <si>
    <t>BB-044701</t>
  </si>
  <si>
    <t>BB-044918</t>
  </si>
  <si>
    <t>BB-045425</t>
  </si>
  <si>
    <t>CC-056020</t>
  </si>
  <si>
    <t>CC-055564</t>
  </si>
  <si>
    <t>BB-045313</t>
  </si>
  <si>
    <t>BB-045253</t>
  </si>
  <si>
    <t>BB-045984</t>
  </si>
  <si>
    <t>BB-045868</t>
  </si>
  <si>
    <t>CC-055610</t>
  </si>
  <si>
    <t>CC-055428</t>
  </si>
  <si>
    <t>CC-056400</t>
  </si>
  <si>
    <t>CC-055606</t>
  </si>
  <si>
    <t>CC-055501</t>
  </si>
  <si>
    <t>CC-055073</t>
  </si>
  <si>
    <t>CC-055667</t>
  </si>
  <si>
    <t>CC-054954</t>
  </si>
  <si>
    <t>CC-055011</t>
  </si>
  <si>
    <t>CC-055628</t>
  </si>
  <si>
    <t>CC-056016</t>
  </si>
  <si>
    <t>CC-054918</t>
  </si>
  <si>
    <t>CC-054459</t>
  </si>
  <si>
    <t>CC-053846</t>
  </si>
  <si>
    <t>CC-055139</t>
  </si>
  <si>
    <t>BB-044760</t>
  </si>
  <si>
    <t>BB-045384</t>
  </si>
  <si>
    <t>BB-045423</t>
  </si>
  <si>
    <t>BB-045094</t>
  </si>
  <si>
    <t>BB-044757</t>
  </si>
  <si>
    <t>CC-054951</t>
  </si>
  <si>
    <t>BB-044696</t>
  </si>
  <si>
    <t>CC-056392</t>
  </si>
  <si>
    <t>BB-044980</t>
  </si>
  <si>
    <t>BB-045377</t>
  </si>
  <si>
    <t>BB-044705</t>
  </si>
  <si>
    <t>BB-045481</t>
  </si>
  <si>
    <t>BB-045428</t>
  </si>
  <si>
    <t>BB-045659</t>
  </si>
  <si>
    <t>BB-045381</t>
  </si>
  <si>
    <t>BB-045875</t>
  </si>
  <si>
    <t>BB-044925</t>
  </si>
  <si>
    <t>BB-045204</t>
  </si>
  <si>
    <t>BB-044916</t>
  </si>
  <si>
    <t>BB-045262</t>
  </si>
  <si>
    <t>BB-045821</t>
  </si>
  <si>
    <t>CC-055177</t>
  </si>
  <si>
    <t>BB-045317</t>
  </si>
  <si>
    <t>CC-055430</t>
  </si>
  <si>
    <t>CC-055304</t>
  </si>
  <si>
    <t>CC-055398</t>
  </si>
  <si>
    <t>CC-056201</t>
  </si>
  <si>
    <t>CC-056428</t>
  </si>
  <si>
    <t>CC-055887</t>
  </si>
  <si>
    <t>CC-052386</t>
  </si>
  <si>
    <t>CC-055893</t>
  </si>
  <si>
    <t>CC-052371</t>
  </si>
  <si>
    <t>CC-052404</t>
  </si>
  <si>
    <t>CC-052389</t>
  </si>
  <si>
    <t>CC-055956</t>
  </si>
  <si>
    <t>CC-055943</t>
  </si>
  <si>
    <t>CC-055946</t>
  </si>
  <si>
    <t>CC-052314</t>
  </si>
  <si>
    <t>CC-052375</t>
  </si>
  <si>
    <t>CC-052358</t>
  </si>
  <si>
    <t>CC-055890</t>
  </si>
  <si>
    <t>BB-045599</t>
  </si>
  <si>
    <t>BB-045596</t>
  </si>
  <si>
    <t>BB-045601</t>
  </si>
  <si>
    <t>BB-045708</t>
  </si>
  <si>
    <t>BB-045942</t>
  </si>
  <si>
    <t>BB-045541</t>
  </si>
  <si>
    <t>BB-044922</t>
  </si>
  <si>
    <t>BB-044816</t>
  </si>
  <si>
    <t>BB-044869</t>
  </si>
  <si>
    <t>BB-019887</t>
  </si>
  <si>
    <t>BB-019918</t>
  </si>
  <si>
    <t>BB-019900</t>
  </si>
  <si>
    <t>BB-045535</t>
  </si>
  <si>
    <t>BB-045760</t>
  </si>
  <si>
    <t>BB-045036</t>
  </si>
  <si>
    <t>BB-045939</t>
  </si>
  <si>
    <t>BB-045538</t>
  </si>
  <si>
    <t>BB-045811</t>
  </si>
  <si>
    <t>BB-045039</t>
  </si>
  <si>
    <t>BB-045757</t>
  </si>
  <si>
    <t>BB-045145</t>
  </si>
  <si>
    <t>BB-045763</t>
  </si>
  <si>
    <t>BB-045991</t>
  </si>
  <si>
    <t>BB-045478</t>
  </si>
  <si>
    <t>BB-044863</t>
  </si>
  <si>
    <t>BB-044639</t>
  </si>
  <si>
    <t>BB-044983</t>
  </si>
  <si>
    <t>BB-044642</t>
  </si>
  <si>
    <t>BB-045595</t>
  </si>
  <si>
    <t>BB-045026</t>
  </si>
  <si>
    <t>BB-044645</t>
  </si>
  <si>
    <t>BB-044648</t>
  </si>
  <si>
    <t>BB-045475</t>
  </si>
  <si>
    <t>BB-019862</t>
  </si>
  <si>
    <t>BB-042399</t>
  </si>
  <si>
    <t>CC-055307</t>
  </si>
  <si>
    <t>CC-055310</t>
  </si>
  <si>
    <t>BB-045871</t>
  </si>
  <si>
    <t>CC-055425</t>
  </si>
  <si>
    <t>CC-055504</t>
  </si>
  <si>
    <t>CC-055609</t>
  </si>
  <si>
    <t>CC-055554</t>
  </si>
  <si>
    <t>CC-054478</t>
  </si>
  <si>
    <t>CC-056135</t>
  </si>
  <si>
    <t>CC-055603</t>
  </si>
  <si>
    <t>CC-055461</t>
  </si>
  <si>
    <t>CC-055749</t>
  </si>
  <si>
    <t>CC-055791</t>
  </si>
  <si>
    <t>CC-056397</t>
  </si>
  <si>
    <t>CC-054473</t>
  </si>
  <si>
    <t>CC-056394</t>
  </si>
  <si>
    <t>CC-055670</t>
  </si>
  <si>
    <t>CC-054305</t>
  </si>
  <si>
    <t>CC-055752</t>
  </si>
  <si>
    <t>CC-055035</t>
  </si>
  <si>
    <t>CC-054777</t>
  </si>
  <si>
    <t>CC-054672</t>
  </si>
  <si>
    <t>CC-054814</t>
  </si>
  <si>
    <t>CC-054678</t>
  </si>
  <si>
    <t>DD-013243</t>
  </si>
  <si>
    <t>CC-056582</t>
  </si>
  <si>
    <t>DD-012980</t>
  </si>
  <si>
    <t>CC-056564</t>
  </si>
  <si>
    <t>DD-013060</t>
  </si>
  <si>
    <t>DD-013170</t>
  </si>
  <si>
    <t>DD-013143</t>
  </si>
  <si>
    <t>DD-012989</t>
  </si>
  <si>
    <t>CC-054751</t>
  </si>
  <si>
    <t>CC-054811</t>
  </si>
  <si>
    <t>DD-012845</t>
  </si>
  <si>
    <t>DD-012814</t>
  </si>
  <si>
    <t>DD-012882</t>
  </si>
  <si>
    <t>DD-012894</t>
  </si>
  <si>
    <t>DD-013105</t>
  </si>
  <si>
    <t>DD-012940</t>
  </si>
  <si>
    <t>DD-012941</t>
  </si>
  <si>
    <t>CC-054803</t>
  </si>
  <si>
    <t>CC-054662</t>
  </si>
  <si>
    <t>CC-054768</t>
  </si>
  <si>
    <t>CC-054809</t>
  </si>
  <si>
    <t>CC-054669</t>
  </si>
  <si>
    <t>CC-054808</t>
  </si>
  <si>
    <t>CC-056591</t>
  </si>
  <si>
    <t>CC-056585</t>
  </si>
  <si>
    <t>DD-013247</t>
  </si>
  <si>
    <t>CC-056506</t>
  </si>
  <si>
    <t>CC-054718</t>
  </si>
  <si>
    <t>AA-028197</t>
  </si>
  <si>
    <t>AA-027572</t>
  </si>
  <si>
    <t>AA-028496</t>
  </si>
  <si>
    <t>AA-028139</t>
  </si>
  <si>
    <t>AA-027753</t>
  </si>
  <si>
    <t>AA-028200</t>
  </si>
  <si>
    <t>AA-027632</t>
  </si>
  <si>
    <t>AA-027976</t>
  </si>
  <si>
    <t>AA-028610</t>
  </si>
  <si>
    <t>AA-027918</t>
  </si>
  <si>
    <t>AA-028559</t>
  </si>
  <si>
    <t>AA-027635</t>
  </si>
  <si>
    <t>AA-028734</t>
  </si>
  <si>
    <t>AA-028202</t>
  </si>
  <si>
    <t>AA-027690</t>
  </si>
  <si>
    <t>AA-029067</t>
  </si>
  <si>
    <t>AA-027893</t>
  </si>
  <si>
    <t>AA-027578</t>
  </si>
  <si>
    <t>AA-028142</t>
  </si>
  <si>
    <t>AA-028380</t>
  </si>
  <si>
    <t>AA-027810</t>
  </si>
  <si>
    <t>AA-027921</t>
  </si>
  <si>
    <t>AA-027696</t>
  </si>
  <si>
    <t>AA-028254</t>
  </si>
  <si>
    <t>AA-028550</t>
  </si>
  <si>
    <t>AA-028438</t>
  </si>
  <si>
    <t>AA-028136</t>
  </si>
  <si>
    <t>AA-028371</t>
  </si>
  <si>
    <t>AA-028320</t>
  </si>
  <si>
    <t>AA-028499</t>
  </si>
  <si>
    <t>AA-028613</t>
  </si>
  <si>
    <t>AA-027747</t>
  </si>
  <si>
    <t>AA-028377</t>
  </si>
  <si>
    <t>AA-028317</t>
  </si>
  <si>
    <t>AA-027693</t>
  </si>
  <si>
    <t>AA-028194</t>
  </si>
  <si>
    <t>BB-045320</t>
  </si>
  <si>
    <t>BB-044810</t>
  </si>
  <si>
    <t>BB-045149</t>
  </si>
  <si>
    <t>BB-044763</t>
  </si>
  <si>
    <t>BB-045656</t>
  </si>
  <si>
    <t>BB-045257</t>
  </si>
  <si>
    <t>BB-045654</t>
  </si>
  <si>
    <t>BB-044977</t>
  </si>
  <si>
    <t>BB-045705</t>
  </si>
  <si>
    <t>BB-045265</t>
  </si>
  <si>
    <t>BB-045033</t>
  </si>
  <si>
    <t>BB-045426</t>
  </si>
  <si>
    <t>CC-055003</t>
  </si>
  <si>
    <t>BB-044755</t>
  </si>
  <si>
    <t>CC-055178</t>
  </si>
  <si>
    <t>BB-045819</t>
  </si>
  <si>
    <t>BB-044699</t>
  </si>
  <si>
    <t>BB-045933</t>
  </si>
  <si>
    <t>BB-045985</t>
  </si>
  <si>
    <t>BB-044974</t>
  </si>
  <si>
    <t>BB-045878</t>
  </si>
  <si>
    <t>BB-044866</t>
  </si>
  <si>
    <t>BB-044582</t>
  </si>
  <si>
    <t>BB-045650</t>
  </si>
  <si>
    <t>BB-045091</t>
  </si>
  <si>
    <t>BB-045153</t>
  </si>
  <si>
    <t>CC-055727</t>
  </si>
  <si>
    <t>CC-056433</t>
  </si>
  <si>
    <t>TECOMAN - ARANDAS - TECOMAN</t>
  </si>
  <si>
    <t>BB-045484</t>
  </si>
  <si>
    <t>BB-044919</t>
  </si>
  <si>
    <t>CC-056967</t>
  </si>
  <si>
    <t>CC-056353</t>
  </si>
  <si>
    <t>CC-055013</t>
  </si>
  <si>
    <t>BB-045314</t>
  </si>
  <si>
    <t>CC-056975</t>
  </si>
  <si>
    <t>CC-055730</t>
  </si>
  <si>
    <t>Nom_Mes</t>
  </si>
  <si>
    <t>Transportes Bonampak SA de CV</t>
  </si>
  <si>
    <t>Real</t>
  </si>
  <si>
    <t>CF-000336</t>
  </si>
  <si>
    <t>CF-000337</t>
  </si>
  <si>
    <t>AA-028165</t>
  </si>
  <si>
    <t>CC-057056</t>
  </si>
  <si>
    <t>AA-028764</t>
  </si>
  <si>
    <t>CC-057028</t>
  </si>
  <si>
    <t>CC-057121</t>
  </si>
  <si>
    <t>CC-057118</t>
  </si>
  <si>
    <t>CC-057075</t>
  </si>
  <si>
    <t>AA-028398</t>
  </si>
  <si>
    <t>CC-055188</t>
  </si>
  <si>
    <t>CC-057084</t>
  </si>
  <si>
    <t>AA-028747</t>
  </si>
  <si>
    <t>CC-056609</t>
  </si>
  <si>
    <t>CC-057058</t>
  </si>
  <si>
    <t>CC-057110</t>
  </si>
  <si>
    <t>CC-057119</t>
  </si>
  <si>
    <t>CC-057117</t>
  </si>
  <si>
    <t>CC-057114</t>
  </si>
  <si>
    <t>CC-057113</t>
  </si>
  <si>
    <t>CC-056958</t>
  </si>
  <si>
    <t>CC-057041</t>
  </si>
  <si>
    <t>CC-057111</t>
  </si>
  <si>
    <t>AA-028749</t>
  </si>
  <si>
    <t>CC-057007</t>
  </si>
  <si>
    <t>AA-026618</t>
  </si>
  <si>
    <t>IXTAC-AHUACATLAN-IXTAC</t>
  </si>
  <si>
    <t>AA-028707</t>
  </si>
  <si>
    <t>AA-028710</t>
  </si>
  <si>
    <t>CC-057045</t>
  </si>
  <si>
    <t>CC-057043</t>
  </si>
  <si>
    <t>AA-028750</t>
  </si>
  <si>
    <t>CC-057015</t>
  </si>
  <si>
    <t>AA-028709</t>
  </si>
  <si>
    <t>CC-057047</t>
  </si>
  <si>
    <t>CC-057099</t>
  </si>
  <si>
    <t>CC-057051</t>
  </si>
  <si>
    <t>AA-028753</t>
  </si>
  <si>
    <t>AA-028755</t>
  </si>
  <si>
    <t>AA-028774</t>
  </si>
  <si>
    <t>CC-057122</t>
  </si>
  <si>
    <t>CC-056379</t>
  </si>
  <si>
    <t>CC-057116</t>
  </si>
  <si>
    <t>CC-056091</t>
  </si>
  <si>
    <t>TLAQUE - TECOMAN - SAYULA  - TLAQUEPAQUE</t>
  </si>
  <si>
    <t>CC-057120</t>
  </si>
  <si>
    <t>CC-056611</t>
  </si>
  <si>
    <t>CC-057097</t>
  </si>
  <si>
    <t>AA-027518</t>
  </si>
  <si>
    <t>IXTAC-TAPACHULA-IXTAC</t>
  </si>
  <si>
    <t>AA-028576</t>
  </si>
  <si>
    <t>IXTAC-IXHUATLAN DEL SURESTE-IXTAC</t>
  </si>
  <si>
    <t>CC-057115</t>
  </si>
  <si>
    <t>CC-057112</t>
  </si>
  <si>
    <t>CC-056949</t>
  </si>
  <si>
    <t>AA-028728</t>
  </si>
  <si>
    <t>AA-028737</t>
  </si>
  <si>
    <t>CC-057190</t>
  </si>
  <si>
    <t>AA-028866</t>
  </si>
  <si>
    <t>CF-000308</t>
  </si>
  <si>
    <t>CC-056664</t>
  </si>
  <si>
    <t>AF-000076</t>
  </si>
  <si>
    <t>BF-000386</t>
  </si>
  <si>
    <t>CC-057126</t>
  </si>
  <si>
    <t>BB-045897</t>
  </si>
  <si>
    <t>RAMOS-CHIHUAHUA-RAMOS</t>
  </si>
  <si>
    <t>CF-000339</t>
  </si>
  <si>
    <t>AA-028787</t>
  </si>
  <si>
    <t>AF-000077</t>
  </si>
  <si>
    <t>CC-057016</t>
  </si>
  <si>
    <t>AA-028784</t>
  </si>
  <si>
    <t>IXTAC-ACAYUCAN-IXTAC</t>
  </si>
  <si>
    <t>CF-000341</t>
  </si>
  <si>
    <t>AA-028765</t>
  </si>
  <si>
    <t>CC-057158</t>
  </si>
  <si>
    <t>BB-046182</t>
  </si>
  <si>
    <t>CC-057161</t>
  </si>
  <si>
    <t>CC-057093</t>
  </si>
  <si>
    <t>BB-046105</t>
  </si>
  <si>
    <t>BF-000385</t>
  </si>
  <si>
    <t>AA-028827</t>
  </si>
  <si>
    <t>AA-028824</t>
  </si>
  <si>
    <t>DD-013280</t>
  </si>
  <si>
    <t>DD-013274</t>
  </si>
  <si>
    <t>AA-028781</t>
  </si>
  <si>
    <t>DD-013262</t>
  </si>
  <si>
    <t>BB-046016</t>
  </si>
  <si>
    <t>BF-000388</t>
  </si>
  <si>
    <t>BB-046013</t>
  </si>
  <si>
    <t>BB-046056</t>
  </si>
  <si>
    <t>AA-028804</t>
  </si>
  <si>
    <t>CC-056641</t>
  </si>
  <si>
    <t>BF-000387</t>
  </si>
  <si>
    <t>CF-000319</t>
  </si>
  <si>
    <t>CC-056647</t>
  </si>
  <si>
    <t>CC-057173</t>
  </si>
  <si>
    <t>CC-057061</t>
  </si>
  <si>
    <t>BB-046175</t>
  </si>
  <si>
    <t>BB-046113</t>
  </si>
  <si>
    <t>AA-028843</t>
  </si>
  <si>
    <t>AA-028846</t>
  </si>
  <si>
    <t>BB-046169</t>
  </si>
  <si>
    <t>AA-028745</t>
  </si>
  <si>
    <t>BB-046053</t>
  </si>
  <si>
    <t>CC-057144</t>
  </si>
  <si>
    <t>CC-056434</t>
  </si>
  <si>
    <t>BB-046134</t>
  </si>
  <si>
    <t>CF-000340</t>
  </si>
  <si>
    <t>BB-046157</t>
  </si>
  <si>
    <t>CC-057607</t>
  </si>
  <si>
    <t>AA-028878</t>
  </si>
  <si>
    <t>CC-057199</t>
  </si>
  <si>
    <t>CC-057090</t>
  </si>
  <si>
    <t>AA-028830</t>
  </si>
  <si>
    <t>BB-046102</t>
  </si>
  <si>
    <t>CC-057616</t>
  </si>
  <si>
    <t>BB-046000</t>
  </si>
  <si>
    <t>DD-013236</t>
  </si>
  <si>
    <t>AA-028768</t>
  </si>
  <si>
    <t>BB-046185</t>
  </si>
  <si>
    <t>BB-046110</t>
  </si>
  <si>
    <t>CC-057128</t>
  </si>
  <si>
    <t>BB-046033</t>
  </si>
  <si>
    <t>DD-013283</t>
  </si>
  <si>
    <t>AA-028833</t>
  </si>
  <si>
    <t>IXTAC-IXHUATLAN DE MADERO-IXTAC</t>
  </si>
  <si>
    <t>CF-000309</t>
  </si>
  <si>
    <t>CC-057134</t>
  </si>
  <si>
    <t>AA-028836</t>
  </si>
  <si>
    <t>AA-028748</t>
  </si>
  <si>
    <t>BB-046043</t>
  </si>
  <si>
    <t>CC-056653</t>
  </si>
  <si>
    <t>AA-028855</t>
  </si>
  <si>
    <t>CC-057654</t>
  </si>
  <si>
    <t>BB-046065</t>
  </si>
  <si>
    <t>AA-028811</t>
  </si>
  <si>
    <t>CC-057170</t>
  </si>
  <si>
    <t>BF-000384</t>
  </si>
  <si>
    <t>CC-056623</t>
  </si>
  <si>
    <t>BB-046137</t>
  </si>
  <si>
    <t>CC-057200</t>
  </si>
  <si>
    <t>CC-057613</t>
  </si>
  <si>
    <t>CC-057083</t>
  </si>
  <si>
    <t>CC-057193</t>
  </si>
  <si>
    <t>CC-057196</t>
  </si>
  <si>
    <t>AA-028692</t>
  </si>
  <si>
    <t>AA-028872</t>
  </si>
  <si>
    <t>CC-057610</t>
  </si>
  <si>
    <t>DD-013257</t>
  </si>
  <si>
    <t>BB-046119</t>
  </si>
  <si>
    <t>CC-056629</t>
  </si>
  <si>
    <t>BB-046019</t>
  </si>
  <si>
    <t>BB-046191</t>
  </si>
  <si>
    <t>BB-046188</t>
  </si>
  <si>
    <t>AA-028771</t>
  </si>
  <si>
    <t>DD-013271</t>
  </si>
  <si>
    <t>BB-046025</t>
  </si>
  <si>
    <t>BB-046040</t>
  </si>
  <si>
    <t>DD-013293</t>
  </si>
  <si>
    <t>AA-028858</t>
  </si>
  <si>
    <t>CC-056650</t>
  </si>
  <si>
    <t>CC-057008</t>
  </si>
  <si>
    <t>DD-013278</t>
  </si>
  <si>
    <t>CC-057131</t>
  </si>
  <si>
    <t>BB-046059</t>
  </si>
  <si>
    <t>BB-046062</t>
  </si>
  <si>
    <t>CC-057154</t>
  </si>
  <si>
    <t>AA-028861</t>
  </si>
  <si>
    <t>BB-046162</t>
  </si>
  <si>
    <t>CC-056656</t>
  </si>
  <si>
    <t>CC-057176</t>
  </si>
  <si>
    <t>AA-028796</t>
  </si>
  <si>
    <t>IXTAC-TLACHICHUCA-IXTAC</t>
  </si>
  <si>
    <t>CC-057179</t>
  </si>
  <si>
    <t>CC-057182</t>
  </si>
  <si>
    <t>BB-046091</t>
  </si>
  <si>
    <t>AA-028816</t>
  </si>
  <si>
    <t>AA-028813</t>
  </si>
  <si>
    <t>BB-046094</t>
  </si>
  <si>
    <t>CC-057639</t>
  </si>
  <si>
    <t>TECOMAN - CAÑADAS DE OBREGON - TECOMAN</t>
  </si>
  <si>
    <t>BB-046083</t>
  </si>
  <si>
    <t>AA-028793</t>
  </si>
  <si>
    <t>AA-028790</t>
  </si>
  <si>
    <t>BB-046086</t>
  </si>
  <si>
    <t>CC-057137</t>
  </si>
  <si>
    <t>BB-045999</t>
  </si>
  <si>
    <t>BB-045947</t>
  </si>
  <si>
    <t>CC-056615</t>
  </si>
  <si>
    <t>CC-056612</t>
  </si>
  <si>
    <t>CC-057080</t>
  </si>
  <si>
    <t>BB-046126</t>
  </si>
  <si>
    <t>BB-046132</t>
  </si>
  <si>
    <t>BB-045956</t>
  </si>
  <si>
    <t>BB-046155</t>
  </si>
  <si>
    <t>BB-046152</t>
  </si>
  <si>
    <t>CC-056635</t>
  </si>
  <si>
    <t>BB-045934</t>
  </si>
  <si>
    <t>AA-028779</t>
  </si>
  <si>
    <t>BB-046068</t>
  </si>
  <si>
    <t>CC-057166</t>
  </si>
  <si>
    <t>BB-046071</t>
  </si>
  <si>
    <t>BB-046146</t>
  </si>
  <si>
    <t>AA-028852</t>
  </si>
  <si>
    <t>IXTAC-COATZINTLA-IXTAC</t>
  </si>
  <si>
    <t>AA-028864</t>
  </si>
  <si>
    <t>CC-056632</t>
  </si>
  <si>
    <t>CC-057145</t>
  </si>
  <si>
    <t>BB-046129</t>
  </si>
  <si>
    <t>BB-046022</t>
  </si>
  <si>
    <t>BB-046028</t>
  </si>
  <si>
    <t>DD-013281</t>
  </si>
  <si>
    <t>BB-046003</t>
  </si>
  <si>
    <t>DD-013205</t>
  </si>
  <si>
    <t>BB-046009</t>
  </si>
  <si>
    <t>DD-013260</t>
  </si>
  <si>
    <t>BB-046074</t>
  </si>
  <si>
    <t>AA-028782</t>
  </si>
  <si>
    <t>DD-013298</t>
  </si>
  <si>
    <t>DD-013238</t>
  </si>
  <si>
    <t>BB-046089</t>
  </si>
  <si>
    <t>AA-028723</t>
  </si>
  <si>
    <t>AA-028729</t>
  </si>
  <si>
    <t>BB-046108</t>
  </si>
  <si>
    <t>CC-056639</t>
  </si>
  <si>
    <t>BB-046006</t>
  </si>
  <si>
    <t>AA-028785</t>
  </si>
  <si>
    <t>CC-057123</t>
  </si>
  <si>
    <t>BB-046186</t>
  </si>
  <si>
    <t>BB-046170</t>
  </si>
  <si>
    <t>AA-028884</t>
  </si>
  <si>
    <t>CC-057622</t>
  </si>
  <si>
    <t>BB-046167</t>
  </si>
  <si>
    <t>AA-028867</t>
  </si>
  <si>
    <t>BB-046121</t>
  </si>
  <si>
    <t>BB-045974</t>
  </si>
  <si>
    <t>BB-046160</t>
  </si>
  <si>
    <t>CC-057652</t>
  </si>
  <si>
    <t>AA-028769</t>
  </si>
  <si>
    <t>BB-046060</t>
  </si>
  <si>
    <t>DD-013265</t>
  </si>
  <si>
    <t>BB-046103</t>
  </si>
  <si>
    <t>CC-057191</t>
  </si>
  <si>
    <t>BB-046106</t>
  </si>
  <si>
    <t>CC-057194</t>
  </si>
  <si>
    <t>CC-057132</t>
  </si>
  <si>
    <t>BB-046189</t>
  </si>
  <si>
    <t>CC-057129</t>
  </si>
  <si>
    <t>AA-028799</t>
  </si>
  <si>
    <t>BB-046051</t>
  </si>
  <si>
    <t>BB-046097</t>
  </si>
  <si>
    <t>AA-028822</t>
  </si>
  <si>
    <t>AA-028819</t>
  </si>
  <si>
    <t>BB-046100</t>
  </si>
  <si>
    <t>CC-057156</t>
  </si>
  <si>
    <t>BB-046023</t>
  </si>
  <si>
    <t>CC-057138</t>
  </si>
  <si>
    <t>CC-057135</t>
  </si>
  <si>
    <t>DD-013251</t>
  </si>
  <si>
    <t>CC-057197</t>
  </si>
  <si>
    <t>BB-046124</t>
  </si>
  <si>
    <t>BB-045951</t>
  </si>
  <si>
    <t>BB-045948</t>
  </si>
  <si>
    <t>BB-045954</t>
  </si>
  <si>
    <t>CC-057169</t>
  </si>
  <si>
    <t>BB-046111</t>
  </si>
  <si>
    <t>AA-028841</t>
  </si>
  <si>
    <t>CC-057063</t>
  </si>
  <si>
    <t>BB-046026</t>
  </si>
  <si>
    <t>DD-013250</t>
  </si>
  <si>
    <t>CC-057172</t>
  </si>
  <si>
    <t>AA-028810</t>
  </si>
  <si>
    <t>AA-028808</t>
  </si>
  <si>
    <t>AA-028805</t>
  </si>
  <si>
    <t>BB-046048</t>
  </si>
  <si>
    <t>AA-028802</t>
  </si>
  <si>
    <t>AA-028624</t>
  </si>
  <si>
    <t>BB-046057</t>
  </si>
  <si>
    <t>CC-057164</t>
  </si>
  <si>
    <t>AA-028644</t>
  </si>
  <si>
    <t>BB-046174</t>
  </si>
  <si>
    <t>CC-057092</t>
  </si>
  <si>
    <t>AA-028783</t>
  </si>
  <si>
    <t>BB-046035</t>
  </si>
  <si>
    <t>AA-028780</t>
  </si>
  <si>
    <t>BB-046029</t>
  </si>
  <si>
    <t>DD-013282</t>
  </si>
  <si>
    <t>BB-046063</t>
  </si>
  <si>
    <t>AA-028775</t>
  </si>
  <si>
    <t>AA-028777</t>
  </si>
  <si>
    <t>IXTAC-PEROTE-IXTAC</t>
  </si>
  <si>
    <t>BB-046066</t>
  </si>
  <si>
    <t>AA-028772</t>
  </si>
  <si>
    <t>CC-057626</t>
  </si>
  <si>
    <t>BB-046069</t>
  </si>
  <si>
    <t>BB-046034</t>
  </si>
  <si>
    <t>CC-057608</t>
  </si>
  <si>
    <t>AA-028743</t>
  </si>
  <si>
    <t>CC-057605</t>
  </si>
  <si>
    <t>AA-028746</t>
  </si>
  <si>
    <t>BB-046077</t>
  </si>
  <si>
    <t>AA-028837</t>
  </si>
  <si>
    <t>CC-057101</t>
  </si>
  <si>
    <t>CC-057602</t>
  </si>
  <si>
    <t>DD-013254</t>
  </si>
  <si>
    <t>AA-028792</t>
  </si>
  <si>
    <t>CC-057175</t>
  </si>
  <si>
    <t>BB-046171</t>
  </si>
  <si>
    <t>CC-057643</t>
  </si>
  <si>
    <t>CC-057142</t>
  </si>
  <si>
    <t>CC-056662</t>
  </si>
  <si>
    <t>IXTAC-VILLA ALDAMA-IXTAC</t>
  </si>
  <si>
    <t>CC-056659</t>
  </si>
  <si>
    <t>AA-028791</t>
  </si>
  <si>
    <t>CC-057077</t>
  </si>
  <si>
    <t>BB-046114</t>
  </si>
  <si>
    <t>AA-028814</t>
  </si>
  <si>
    <t>CC-056657</t>
  </si>
  <si>
    <t>BB-045935</t>
  </si>
  <si>
    <t>BB-046092</t>
  </si>
  <si>
    <t>AA-028873</t>
  </si>
  <si>
    <t>CC-057159</t>
  </si>
  <si>
    <t>AA-028786</t>
  </si>
  <si>
    <t>CC-057167</t>
  </si>
  <si>
    <t>BB-046039</t>
  </si>
  <si>
    <t>CC-057178</t>
  </si>
  <si>
    <t>BB-045909</t>
  </si>
  <si>
    <t>AA-028795</t>
  </si>
  <si>
    <t>CC-057162</t>
  </si>
  <si>
    <t>CC-057054</t>
  </si>
  <si>
    <t>BB-046002</t>
  </si>
  <si>
    <t>CC-057609</t>
  </si>
  <si>
    <t>BB-045998</t>
  </si>
  <si>
    <t>BB-046004</t>
  </si>
  <si>
    <t>AA-028758</t>
  </si>
  <si>
    <t>BB-046088</t>
  </si>
  <si>
    <t>BB-046107</t>
  </si>
  <si>
    <t>CC-056618</t>
  </si>
  <si>
    <t>BB-045997</t>
  </si>
  <si>
    <t>CC-057104</t>
  </si>
  <si>
    <t>BB-046127</t>
  </si>
  <si>
    <t>AA-028789</t>
  </si>
  <si>
    <t>BB-046042</t>
  </si>
  <si>
    <t>CC-057064</t>
  </si>
  <si>
    <t>DD-013297</t>
  </si>
  <si>
    <t>DD-013197</t>
  </si>
  <si>
    <t>DD-013255</t>
  </si>
  <si>
    <t>CC-057611</t>
  </si>
  <si>
    <t>AA-028788</t>
  </si>
  <si>
    <t>CC-056633</t>
  </si>
  <si>
    <t>AA-028829</t>
  </si>
  <si>
    <t>CC-057130</t>
  </si>
  <si>
    <t>AA-028832</t>
  </si>
  <si>
    <t>DD-013218</t>
  </si>
  <si>
    <t>BB-046005</t>
  </si>
  <si>
    <t>DD-013253</t>
  </si>
  <si>
    <t>CC-056651</t>
  </si>
  <si>
    <t>AA-028798</t>
  </si>
  <si>
    <t>BB-046136</t>
  </si>
  <si>
    <t>BB-045957</t>
  </si>
  <si>
    <t>BB-046130</t>
  </si>
  <si>
    <t>BB-046007</t>
  </si>
  <si>
    <t>BB-046011</t>
  </si>
  <si>
    <t>DD-013264</t>
  </si>
  <si>
    <t>DD-013296</t>
  </si>
  <si>
    <t>CC-057127</t>
  </si>
  <si>
    <t>DD-013292</t>
  </si>
  <si>
    <t>CC-057066</t>
  </si>
  <si>
    <t>CC-057171</t>
  </si>
  <si>
    <t>CC-057618</t>
  </si>
  <si>
    <t>AA-028801</t>
  </si>
  <si>
    <t>CC-057615</t>
  </si>
  <si>
    <t>CC-056614</t>
  </si>
  <si>
    <t>AA-028825</t>
  </si>
  <si>
    <t>DD-013272</t>
  </si>
  <si>
    <t>CC-057098</t>
  </si>
  <si>
    <t>DD-013258</t>
  </si>
  <si>
    <t>DD-013290</t>
  </si>
  <si>
    <t>CC-057105</t>
  </si>
  <si>
    <t>CC-056638</t>
  </si>
  <si>
    <t>CC-057140</t>
  </si>
  <si>
    <t>AA-028844</t>
  </si>
  <si>
    <t>CC-057081</t>
  </si>
  <si>
    <t>AA-028882</t>
  </si>
  <si>
    <t>AA-028835</t>
  </si>
  <si>
    <t>BB-046120</t>
  </si>
  <si>
    <t>CC-055939</t>
  </si>
  <si>
    <t>BB-046010</t>
  </si>
  <si>
    <t>DD-013259</t>
  </si>
  <si>
    <t>CC-057614</t>
  </si>
  <si>
    <t>CC-056610</t>
  </si>
  <si>
    <t>BB-046109</t>
  </si>
  <si>
    <t>AA-028803</t>
  </si>
  <si>
    <t>CC-057653</t>
  </si>
  <si>
    <t>BB-045994</t>
  </si>
  <si>
    <t>BB-046001</t>
  </si>
  <si>
    <t>CC-056199</t>
  </si>
  <si>
    <t>BB-046054</t>
  </si>
  <si>
    <t>CC-056648</t>
  </si>
  <si>
    <t>CC-056654</t>
  </si>
  <si>
    <t>CC-056660</t>
  </si>
  <si>
    <t>BB-046156</t>
  </si>
  <si>
    <t>AA-028865</t>
  </si>
  <si>
    <t>CC-057606</t>
  </si>
  <si>
    <t>DD-013216</t>
  </si>
  <si>
    <t>AA-028840</t>
  </si>
  <si>
    <t>BB-046147</t>
  </si>
  <si>
    <t>CC-056637</t>
  </si>
  <si>
    <t>AA-028713</t>
  </si>
  <si>
    <t>BB-046128</t>
  </si>
  <si>
    <t>BB-045952</t>
  </si>
  <si>
    <t>AA-028868</t>
  </si>
  <si>
    <t>CC-056663</t>
  </si>
  <si>
    <t>BB-046159</t>
  </si>
  <si>
    <t>CC-057644</t>
  </si>
  <si>
    <t>DD-013269</t>
  </si>
  <si>
    <t>CC-057641</t>
  </si>
  <si>
    <t>AA-028797</t>
  </si>
  <si>
    <t>AA-028794</t>
  </si>
  <si>
    <t>BB-046095</t>
  </si>
  <si>
    <t>AA-028856</t>
  </si>
  <si>
    <t>CC-057124</t>
  </si>
  <si>
    <t>AA-028845</t>
  </si>
  <si>
    <t>BB-046133</t>
  </si>
  <si>
    <t>BB-046080</t>
  </si>
  <si>
    <t>AA-028828</t>
  </si>
  <si>
    <t>AA-028831</t>
  </si>
  <si>
    <t>AA-028838</t>
  </si>
  <si>
    <t>BB-046112</t>
  </si>
  <si>
    <t>AA-028800</t>
  </si>
  <si>
    <t>AA-028806</t>
  </si>
  <si>
    <t>CC-057125</t>
  </si>
  <si>
    <t>BB-046161</t>
  </si>
  <si>
    <t>AA-028847</t>
  </si>
  <si>
    <t>CC-057177</t>
  </si>
  <si>
    <t>BB-046135</t>
  </si>
  <si>
    <t>BB-046138</t>
  </si>
  <si>
    <t>BB-046144</t>
  </si>
  <si>
    <t>BB-046141</t>
  </si>
  <si>
    <t>CC-056646</t>
  </si>
  <si>
    <t>DD-013299</t>
  </si>
  <si>
    <t>CC-057180</t>
  </si>
  <si>
    <t>BB-045965</t>
  </si>
  <si>
    <t>CC-057183</t>
  </si>
  <si>
    <t>CC-056643</t>
  </si>
  <si>
    <t>CC-056640</t>
  </si>
  <si>
    <t>BB-046190</t>
  </si>
  <si>
    <t>AA-028773</t>
  </si>
  <si>
    <t>BB-046101</t>
  </si>
  <si>
    <t>AA-028862</t>
  </si>
  <si>
    <t>BB-046104</t>
  </si>
  <si>
    <t>CC-057079</t>
  </si>
  <si>
    <t>CC-057189</t>
  </si>
  <si>
    <t>BB-046064</t>
  </si>
  <si>
    <t>DD-013239</t>
  </si>
  <si>
    <t>AA-028812</t>
  </si>
  <si>
    <t>CC-057192</t>
  </si>
  <si>
    <t>BB-046115</t>
  </si>
  <si>
    <t>BB-045987</t>
  </si>
  <si>
    <t>CC-057642</t>
  </si>
  <si>
    <t>CC-057155</t>
  </si>
  <si>
    <t>AA-028761</t>
  </si>
  <si>
    <t>CC-057157</t>
  </si>
  <si>
    <t>BB-046098</t>
  </si>
  <si>
    <t>BB-046055</t>
  </si>
  <si>
    <t>BB-046052</t>
  </si>
  <si>
    <t>CC-056625</t>
  </si>
  <si>
    <t>CC-057094</t>
  </si>
  <si>
    <t>CC-057617</t>
  </si>
  <si>
    <t>AA-028834</t>
  </si>
  <si>
    <t>CC-057143</t>
  </si>
  <si>
    <t>BB-046049</t>
  </si>
  <si>
    <t>AA-028851</t>
  </si>
  <si>
    <t>BB-046184</t>
  </si>
  <si>
    <t>BB-046168</t>
  </si>
  <si>
    <t>CC-057198</t>
  </si>
  <si>
    <t>AA-028854</t>
  </si>
  <si>
    <t>BB-046118</t>
  </si>
  <si>
    <t>BB-046090</t>
  </si>
  <si>
    <t>AA-028848</t>
  </si>
  <si>
    <t>BB-046093</t>
  </si>
  <si>
    <t>CC-057184</t>
  </si>
  <si>
    <t>CC-057181</t>
  </si>
  <si>
    <t>BB-046096</t>
  </si>
  <si>
    <t>BB-045975</t>
  </si>
  <si>
    <t>BB-046027</t>
  </si>
  <si>
    <t>AA-028778</t>
  </si>
  <si>
    <t>BB-046030</t>
  </si>
  <si>
    <t>CC-057620</t>
  </si>
  <si>
    <t>AA-028885</t>
  </si>
  <si>
    <t>CC-056616</t>
  </si>
  <si>
    <t>BB-045936</t>
  </si>
  <si>
    <t>AA-028809</t>
  </si>
  <si>
    <t>AA-028818</t>
  </si>
  <si>
    <t>AA-028815</t>
  </si>
  <si>
    <t>BB-046151</t>
  </si>
  <si>
    <t>BB-046148</t>
  </si>
  <si>
    <t>BB-046061</t>
  </si>
  <si>
    <t>AA-028770</t>
  </si>
  <si>
    <t>BB-045884</t>
  </si>
  <si>
    <t>AA-028767</t>
  </si>
  <si>
    <t>BB-046181</t>
  </si>
  <si>
    <t>BB-046015</t>
  </si>
  <si>
    <t>BB-045962</t>
  </si>
  <si>
    <t>BB-046008</t>
  </si>
  <si>
    <t>CC-056634</t>
  </si>
  <si>
    <t>CC-056631</t>
  </si>
  <si>
    <t>BB-046179</t>
  </si>
  <si>
    <t>AA-028857</t>
  </si>
  <si>
    <t>AA-028860</t>
  </si>
  <si>
    <t>CC-056613</t>
  </si>
  <si>
    <t>CC-056622</t>
  </si>
  <si>
    <t>CC-057096</t>
  </si>
  <si>
    <t>CC-057102</t>
  </si>
  <si>
    <t>BB-046050</t>
  </si>
  <si>
    <t>BB-046047</t>
  </si>
  <si>
    <t>CC-057621</t>
  </si>
  <si>
    <t>CC-056661</t>
  </si>
  <si>
    <t>BB-046067</t>
  </si>
  <si>
    <t>CC-057082</t>
  </si>
  <si>
    <t>CC-057136</t>
  </si>
  <si>
    <t>BB-046187</t>
  </si>
  <si>
    <t>AA-028730</t>
  </si>
  <si>
    <t>AA-028894</t>
  </si>
  <si>
    <t>CC-057133</t>
  </si>
  <si>
    <t>CC-057141</t>
  </si>
  <si>
    <t>BB-046058</t>
  </si>
  <si>
    <t>CC-057195</t>
  </si>
  <si>
    <t>BB-046045</t>
  </si>
  <si>
    <t>AA-028759</t>
  </si>
  <si>
    <t>AA-028756</t>
  </si>
  <si>
    <t>DD-013256</t>
  </si>
  <si>
    <t>BB-046021</t>
  </si>
  <si>
    <t>CC-056652</t>
  </si>
  <si>
    <t>BB-046018</t>
  </si>
  <si>
    <t>DD-013252</t>
  </si>
  <si>
    <t>CC-057139</t>
  </si>
  <si>
    <t>BB-046163</t>
  </si>
  <si>
    <t>BB-045772</t>
  </si>
  <si>
    <t>AA-028736</t>
  </si>
  <si>
    <t>CC-057153</t>
  </si>
  <si>
    <t>BB-045966</t>
  </si>
  <si>
    <t>BB-046099</t>
  </si>
  <si>
    <t>AA-028821</t>
  </si>
  <si>
    <t>IXTAC-CHIGNAUTLA-IXTAC</t>
  </si>
  <si>
    <t>CC-056658</t>
  </si>
  <si>
    <t>BB-046024</t>
  </si>
  <si>
    <t>CC-056655</t>
  </si>
  <si>
    <t>AA-028733</t>
  </si>
  <si>
    <t>DD-013241</t>
  </si>
  <si>
    <t>CC-057100</t>
  </si>
  <si>
    <t>BB-045963</t>
  </si>
  <si>
    <t>CC-057103</t>
  </si>
  <si>
    <t>BB-046012</t>
  </si>
  <si>
    <t>AA-028757</t>
  </si>
  <si>
    <t>AA-028763</t>
  </si>
  <si>
    <t>AA-028760</t>
  </si>
  <si>
    <t>CC-057623</t>
  </si>
  <si>
    <t>AA-028766</t>
  </si>
  <si>
    <t>BB-046183</t>
  </si>
  <si>
    <t>BB-046017</t>
  </si>
  <si>
    <t>CC-056624</t>
  </si>
  <si>
    <t>BB-046014</t>
  </si>
  <si>
    <t>DD-013261</t>
  </si>
  <si>
    <t>CC-056621</t>
  </si>
  <si>
    <t>DD-013213</t>
  </si>
  <si>
    <t>CC-056630</t>
  </si>
  <si>
    <t>DD-013263</t>
  </si>
  <si>
    <t>CC-056627</t>
  </si>
  <si>
    <t>BB-046020</t>
  </si>
  <si>
    <t>DD-013275</t>
  </si>
  <si>
    <t>AA-028817</t>
  </si>
  <si>
    <t>AA-028826</t>
  </si>
  <si>
    <t>BB-046072</t>
  </si>
  <si>
    <t>AA-028823</t>
  </si>
  <si>
    <t>BB-046076</t>
  </si>
  <si>
    <t>AA-028820</t>
  </si>
  <si>
    <t>CC-057160</t>
  </si>
  <si>
    <t>CC-057163</t>
  </si>
  <si>
    <t>BB-046078</t>
  </si>
  <si>
    <t>CC-057165</t>
  </si>
  <si>
    <t>BB-046131</t>
  </si>
  <si>
    <t>AA-028880</t>
  </si>
  <si>
    <t>AA-028883</t>
  </si>
  <si>
    <t>CC-057629</t>
  </si>
  <si>
    <t>CC-057628</t>
  </si>
  <si>
    <t>DF-000063</t>
  </si>
  <si>
    <t>CF-000343</t>
  </si>
  <si>
    <t>CC-056671</t>
  </si>
  <si>
    <t>BB-045973</t>
  </si>
  <si>
    <t>CF-000342</t>
  </si>
  <si>
    <t>CC-056694</t>
  </si>
  <si>
    <t>AA-028889</t>
  </si>
  <si>
    <t>CC-057673</t>
  </si>
  <si>
    <t>CC-056697</t>
  </si>
  <si>
    <t>AA-028807</t>
  </si>
  <si>
    <t>AA-028908</t>
  </si>
  <si>
    <t>CC-057217</t>
  </si>
  <si>
    <t>DD-013279</t>
  </si>
  <si>
    <t>DD-013267</t>
  </si>
  <si>
    <t>AA-028886</t>
  </si>
  <si>
    <t>CC-057234</t>
  </si>
  <si>
    <t>CC-056677</t>
  </si>
  <si>
    <t>CC-057208</t>
  </si>
  <si>
    <t>CC-057676</t>
  </si>
  <si>
    <t>DD-013266</t>
  </si>
  <si>
    <t>CC-057679</t>
  </si>
  <si>
    <t>CC-057245</t>
  </si>
  <si>
    <t>CC-056684</t>
  </si>
  <si>
    <t>AA-028849</t>
  </si>
  <si>
    <t>BB-046143</t>
  </si>
  <si>
    <t>BB-046217</t>
  </si>
  <si>
    <t>CC-057227</t>
  </si>
  <si>
    <t>CC-057633</t>
  </si>
  <si>
    <t>CC-055186</t>
  </si>
  <si>
    <t>DD-013294</t>
  </si>
  <si>
    <t>CC-053831</t>
  </si>
  <si>
    <t>CC-057685</t>
  </si>
  <si>
    <t>BB-046123</t>
  </si>
  <si>
    <t>AA-028905</t>
  </si>
  <si>
    <t>CC-057682</t>
  </si>
  <si>
    <t>CC-057247</t>
  </si>
  <si>
    <t>CC-056687</t>
  </si>
  <si>
    <t>CC-055192</t>
  </si>
  <si>
    <t>BB-046046</t>
  </si>
  <si>
    <t>DD-013504</t>
  </si>
  <si>
    <t>CC-057237</t>
  </si>
  <si>
    <t>DD-013273</t>
  </si>
  <si>
    <t>CC-057636</t>
  </si>
  <si>
    <t>CC-057702</t>
  </si>
  <si>
    <t>AA-028892</t>
  </si>
  <si>
    <t>CC-057625</t>
  </si>
  <si>
    <t>CC-057215</t>
  </si>
  <si>
    <t>CC-057168</t>
  </si>
  <si>
    <t>AA-028875</t>
  </si>
  <si>
    <t>CC-057201</t>
  </si>
  <si>
    <t>AA-028917</t>
  </si>
  <si>
    <t>CC-056680</t>
  </si>
  <si>
    <t>AA-028881</t>
  </si>
  <si>
    <t>CC-057212</t>
  </si>
  <si>
    <t>AA-028895</t>
  </si>
  <si>
    <t>DD-013508</t>
  </si>
  <si>
    <t>CC-057619</t>
  </si>
  <si>
    <t>AA-028903</t>
  </si>
  <si>
    <t>CC-056692</t>
  </si>
  <si>
    <t>CC-056695</t>
  </si>
  <si>
    <t>BB-046197</t>
  </si>
  <si>
    <t>CC-057206</t>
  </si>
  <si>
    <t>AA-028906</t>
  </si>
  <si>
    <t>CC-057209</t>
  </si>
  <si>
    <t>CC-056666</t>
  </si>
  <si>
    <t>CC-056669</t>
  </si>
  <si>
    <t>CC-057646</t>
  </si>
  <si>
    <t>CC-056672</t>
  </si>
  <si>
    <t>AA-028887</t>
  </si>
  <si>
    <t>CC-057669</t>
  </si>
  <si>
    <t>AA-028850</t>
  </si>
  <si>
    <t>CC-056698</t>
  </si>
  <si>
    <t>BB-046037</t>
  </si>
  <si>
    <t>CC-057677</t>
  </si>
  <si>
    <t>CC-057680</t>
  </si>
  <si>
    <t>AA-028839</t>
  </si>
  <si>
    <t>CC-057688</t>
  </si>
  <si>
    <t>CC-056678</t>
  </si>
  <si>
    <t>CC-056701</t>
  </si>
  <si>
    <t>CC-057091</t>
  </si>
  <si>
    <t>TLAQUEPAQUE - 21 HERMOSILLO - TLAQUEPAQU</t>
  </si>
  <si>
    <t>CC-057686</t>
  </si>
  <si>
    <t>CC-057241</t>
  </si>
  <si>
    <t>CC-057683</t>
  </si>
  <si>
    <t>CC-057232</t>
  </si>
  <si>
    <t>CC-055194</t>
  </si>
  <si>
    <t>AA-028893</t>
  </si>
  <si>
    <t>CC-055984</t>
  </si>
  <si>
    <t>CC-056704</t>
  </si>
  <si>
    <t>DD-013284</t>
  </si>
  <si>
    <t>CC-057244</t>
  </si>
  <si>
    <t>CC-057674</t>
  </si>
  <si>
    <t>CC-057174</t>
  </si>
  <si>
    <t>CC-055187</t>
  </si>
  <si>
    <t>AA-028904</t>
  </si>
  <si>
    <t>DD-012916</t>
  </si>
  <si>
    <t>BB-046087</t>
  </si>
  <si>
    <t>CC-056921</t>
  </si>
  <si>
    <t>DD-013503</t>
  </si>
  <si>
    <t>BB-046198</t>
  </si>
  <si>
    <t>CC-055193</t>
  </si>
  <si>
    <t>CC-057238</t>
  </si>
  <si>
    <t>CC-056667</t>
  </si>
  <si>
    <t>AA-028907</t>
  </si>
  <si>
    <t>CC-057216</t>
  </si>
  <si>
    <t>CC-056681</t>
  </si>
  <si>
    <t>AA-028921</t>
  </si>
  <si>
    <t>CC-057067</t>
  </si>
  <si>
    <t>CC-057213</t>
  </si>
  <si>
    <t>AA-028896</t>
  </si>
  <si>
    <t>CC-057634</t>
  </si>
  <si>
    <t>CC-057630</t>
  </si>
  <si>
    <t>CC-056688</t>
  </si>
  <si>
    <t>DD-013237</t>
  </si>
  <si>
    <t>CC-057714</t>
  </si>
  <si>
    <t>CC-056679</t>
  </si>
  <si>
    <t>DD-013506</t>
  </si>
  <si>
    <t>CC-056682</t>
  </si>
  <si>
    <t>AA-028927</t>
  </si>
  <si>
    <t>DF-000064</t>
  </si>
  <si>
    <t>CC-056693</t>
  </si>
  <si>
    <t>CC-056696</t>
  </si>
  <si>
    <t>DD-013268</t>
  </si>
  <si>
    <t>CC-056673</t>
  </si>
  <si>
    <t>CC-056670</t>
  </si>
  <si>
    <t>DD-013270</t>
  </si>
  <si>
    <t>CC-056676</t>
  </si>
  <si>
    <t>DD-013224</t>
  </si>
  <si>
    <t>CC-057239</t>
  </si>
  <si>
    <t>AA-028876</t>
  </si>
  <si>
    <t>CC-056685</t>
  </si>
  <si>
    <t>CC-057668</t>
  </si>
  <si>
    <t>CC-057689</t>
  </si>
  <si>
    <t>CC-056686</t>
  </si>
  <si>
    <t>CC-057219</t>
  </si>
  <si>
    <t>DD-013288</t>
  </si>
  <si>
    <t>DD-013199</t>
  </si>
  <si>
    <t>CC-057671</t>
  </si>
  <si>
    <t>CC-057218</t>
  </si>
  <si>
    <t>CC-057681</t>
  </si>
  <si>
    <t>AA-028918</t>
  </si>
  <si>
    <t>CC-057236</t>
  </si>
  <si>
    <t>AA-028863</t>
  </si>
  <si>
    <t>CC-057242</t>
  </si>
  <si>
    <t>CC-056691</t>
  </si>
  <si>
    <t>CC-056683</t>
  </si>
  <si>
    <t>CC-057612</t>
  </si>
  <si>
    <t>CC-056702</t>
  </si>
  <si>
    <t>AA-028930</t>
  </si>
  <si>
    <t>CC-056699</t>
  </si>
  <si>
    <t>CC-057726</t>
  </si>
  <si>
    <t>BB-046032</t>
  </si>
  <si>
    <t>CC-056705</t>
  </si>
  <si>
    <t>CC-057214</t>
  </si>
  <si>
    <t>DD-012917</t>
  </si>
  <si>
    <t>CC-057684</t>
  </si>
  <si>
    <t>CC-057687</t>
  </si>
  <si>
    <t>CC-056690</t>
  </si>
  <si>
    <t>CC-057068</t>
  </si>
  <si>
    <t>AA-028842</t>
  </si>
  <si>
    <t>DD-013276</t>
  </si>
  <si>
    <t>DD-013513</t>
  </si>
  <si>
    <t>AA-028859</t>
  </si>
  <si>
    <t>CC-057226</t>
  </si>
  <si>
    <t>AA-028853</t>
  </si>
  <si>
    <t>DD-013509</t>
  </si>
  <si>
    <t>CC-057627</t>
  </si>
  <si>
    <t>CC-057624</t>
  </si>
  <si>
    <t>AA-028897</t>
  </si>
  <si>
    <t>CC-057675</t>
  </si>
  <si>
    <t>CC-057207</t>
  </si>
  <si>
    <t>AA-028874</t>
  </si>
  <si>
    <t>CC-055996</t>
  </si>
  <si>
    <t>CC-057670</t>
  </si>
  <si>
    <t>CC-057672</t>
  </si>
  <si>
    <t>CC-057230</t>
  </si>
  <si>
    <t>CC-057223</t>
  </si>
  <si>
    <t>AA-028916</t>
  </si>
  <si>
    <t>CC-057638</t>
  </si>
  <si>
    <t>CC-057635</t>
  </si>
  <si>
    <t>AA-028913</t>
  </si>
  <si>
    <t>CC-057220</t>
  </si>
  <si>
    <t>CC-057678</t>
  </si>
  <si>
    <t>AA-028922</t>
  </si>
  <si>
    <t>BB-046082</t>
  </si>
  <si>
    <t>CC-057225</t>
  </si>
  <si>
    <t>AA-028877</t>
  </si>
  <si>
    <t>CC-057222</t>
  </si>
  <si>
    <t>CC-057690</t>
  </si>
  <si>
    <t>CC-055995</t>
  </si>
  <si>
    <t>CC-055992</t>
  </si>
  <si>
    <t>CC-057229</t>
  </si>
  <si>
    <t>CC-057228</t>
  </si>
  <si>
    <t>CC-057231</t>
  </si>
  <si>
    <t>BB-046038</t>
  </si>
  <si>
    <t>BB-046044</t>
  </si>
  <si>
    <t>CC-055998</t>
  </si>
  <si>
    <t>CC-057637</t>
  </si>
  <si>
    <t>CC-057647</t>
  </si>
  <si>
    <t>DD-013240</t>
  </si>
  <si>
    <t>CC-055191</t>
  </si>
  <si>
    <t>CC-055189</t>
  </si>
  <si>
    <t>CC-056665</t>
  </si>
  <si>
    <t>AA-028870</t>
  </si>
  <si>
    <t>AA-028955</t>
  </si>
  <si>
    <t>BF-000393</t>
  </si>
  <si>
    <t>AA-028947</t>
  </si>
  <si>
    <t>AA-028941</t>
  </si>
  <si>
    <t>AA-028933</t>
  </si>
  <si>
    <t>AA-028940</t>
  </si>
  <si>
    <t>CF-000344</t>
  </si>
  <si>
    <t>CC-056674</t>
  </si>
  <si>
    <t>AA-028932</t>
  </si>
  <si>
    <t>AA-028935</t>
  </si>
  <si>
    <t>CC-057724</t>
  </si>
  <si>
    <t>CF-000345</t>
  </si>
  <si>
    <t>CC-057666</t>
  </si>
  <si>
    <t>AA-028934</t>
  </si>
  <si>
    <t>CC-057722</t>
  </si>
  <si>
    <t>BF-000390</t>
  </si>
  <si>
    <t>BF-000394</t>
  </si>
  <si>
    <t>BB-046304</t>
  </si>
  <si>
    <t>BB-046313</t>
  </si>
  <si>
    <t>CC-057665</t>
  </si>
  <si>
    <t>BB-046262</t>
  </si>
  <si>
    <t>BB-046296</t>
  </si>
  <si>
    <t>CC-055195</t>
  </si>
  <si>
    <t>CC-055154</t>
  </si>
  <si>
    <t>AA-028953</t>
  </si>
  <si>
    <t>BB-046153</t>
  </si>
  <si>
    <t>BF-000391</t>
  </si>
  <si>
    <t>DD-013511</t>
  </si>
  <si>
    <t>CC-057662</t>
  </si>
  <si>
    <t>CC-057692</t>
  </si>
  <si>
    <t>TECOMAN - ESCUINAPA - TECOMAN</t>
  </si>
  <si>
    <t>BB-044997</t>
  </si>
  <si>
    <t>CC-057660</t>
  </si>
  <si>
    <t>DD-013526</t>
  </si>
  <si>
    <t>CC-055199</t>
  </si>
  <si>
    <t>BB-045968</t>
  </si>
  <si>
    <t>CC-057701</t>
  </si>
  <si>
    <t>BB-046215</t>
  </si>
  <si>
    <t>AA-028969</t>
  </si>
  <si>
    <t>CC-057721</t>
  </si>
  <si>
    <t>BB-046301</t>
  </si>
  <si>
    <t>CC-057632</t>
  </si>
  <si>
    <t>CC-057648</t>
  </si>
  <si>
    <t>CC-057645</t>
  </si>
  <si>
    <t>CC-057731</t>
  </si>
  <si>
    <t>BB-046274</t>
  </si>
  <si>
    <t>BB-046266</t>
  </si>
  <si>
    <t>CC-057718</t>
  </si>
  <si>
    <t>CC-057604</t>
  </si>
  <si>
    <t>BB-045955</t>
  </si>
  <si>
    <t>BB-046339</t>
  </si>
  <si>
    <t>BB-046330</t>
  </si>
  <si>
    <t>BB-046291</t>
  </si>
  <si>
    <t>BB-046297</t>
  </si>
  <si>
    <t>BB-046294</t>
  </si>
  <si>
    <t>BB-019924</t>
  </si>
  <si>
    <t>BF-000395</t>
  </si>
  <si>
    <t>BB-046333</t>
  </si>
  <si>
    <t>DD-013295</t>
  </si>
  <si>
    <t>AA-028946</t>
  </si>
  <si>
    <t>BB-045995</t>
  </si>
  <si>
    <t>BF-000392</t>
  </si>
  <si>
    <t>BB-046154</t>
  </si>
  <si>
    <t>BB-046268</t>
  </si>
  <si>
    <t>BB-046122</t>
  </si>
  <si>
    <t>CC-057695</t>
  </si>
  <si>
    <t>BB-045992</t>
  </si>
  <si>
    <t>BB-046320</t>
  </si>
  <si>
    <t>CC-057720</t>
  </si>
  <si>
    <t>BB-046230</t>
  </si>
  <si>
    <t>BB-046142</t>
  </si>
  <si>
    <t>BB-046226</t>
  </si>
  <si>
    <t>BB-046229</t>
  </si>
  <si>
    <t>BB-046232</t>
  </si>
  <si>
    <t>BB-046235</t>
  </si>
  <si>
    <t>CC-057659</t>
  </si>
  <si>
    <t>CC-057691</t>
  </si>
  <si>
    <t>CC-057719</t>
  </si>
  <si>
    <t>BB-046269</t>
  </si>
  <si>
    <t>CC-057149</t>
  </si>
  <si>
    <t>CC-057065</t>
  </si>
  <si>
    <t>BB-046195</t>
  </si>
  <si>
    <t>AA-028888</t>
  </si>
  <si>
    <t>BB-044959</t>
  </si>
  <si>
    <t>BB-046216</t>
  </si>
  <si>
    <t>AA-028936</t>
  </si>
  <si>
    <t>AA-028920</t>
  </si>
  <si>
    <t>CC-057650</t>
  </si>
  <si>
    <t>CC-057725</t>
  </si>
  <si>
    <t>CC-055196</t>
  </si>
  <si>
    <t>BB-046228</t>
  </si>
  <si>
    <t>BB-046231</t>
  </si>
  <si>
    <t>AA-028879</t>
  </si>
  <si>
    <t>AA-028939</t>
  </si>
  <si>
    <t>AA-028942</t>
  </si>
  <si>
    <t>AA-028923</t>
  </si>
  <si>
    <t>AA-028911</t>
  </si>
  <si>
    <t>CC-055197</t>
  </si>
  <si>
    <t>BB-046302</t>
  </si>
  <si>
    <t>BB-019922</t>
  </si>
  <si>
    <t>BB-046234</t>
  </si>
  <si>
    <t>DD-013543</t>
  </si>
  <si>
    <t>AA-028938</t>
  </si>
  <si>
    <t>BB-046192</t>
  </si>
  <si>
    <t>BB-046298</t>
  </si>
  <si>
    <t>AA-028949</t>
  </si>
  <si>
    <t>BB-046271</t>
  </si>
  <si>
    <t>AA-028952</t>
  </si>
  <si>
    <t>BB-046310</t>
  </si>
  <si>
    <t>AA-028910</t>
  </si>
  <si>
    <t>BB-046223</t>
  </si>
  <si>
    <t>BB-046199</t>
  </si>
  <si>
    <t>AA-028954</t>
  </si>
  <si>
    <t>BB-046221</t>
  </si>
  <si>
    <t>BB-046224</t>
  </si>
  <si>
    <t>CC-055127</t>
  </si>
  <si>
    <t>CC-055201</t>
  </si>
  <si>
    <t>BB-046300</t>
  </si>
  <si>
    <t>AA-028915</t>
  </si>
  <si>
    <t>BB-046307</t>
  </si>
  <si>
    <t>BB-046194</t>
  </si>
  <si>
    <t>BB-046324</t>
  </si>
  <si>
    <t>BB-046306</t>
  </si>
  <si>
    <t>BB-046309</t>
  </si>
  <si>
    <t>BB-046270</t>
  </si>
  <si>
    <t>BB-046206</t>
  </si>
  <si>
    <t>BB-046233</t>
  </si>
  <si>
    <t>BB-046236</t>
  </si>
  <si>
    <t>BB-046140</t>
  </si>
  <si>
    <t>BB-046263</t>
  </si>
  <si>
    <t>BB-046261</t>
  </si>
  <si>
    <t>BB-045993</t>
  </si>
  <si>
    <t>BB-046292</t>
  </si>
  <si>
    <t>BF-000389</t>
  </si>
  <si>
    <t>BB-046225</t>
  </si>
  <si>
    <t>BB-019925</t>
  </si>
  <si>
    <t>BB-046323</t>
  </si>
  <si>
    <t>BB-046275</t>
  </si>
  <si>
    <t>BB-046402</t>
  </si>
  <si>
    <t>BB-046073</t>
  </si>
  <si>
    <t>BB-046299</t>
  </si>
  <si>
    <t>BB-046264</t>
  </si>
  <si>
    <t>BB-046117</t>
  </si>
  <si>
    <t>AA-028951</t>
  </si>
  <si>
    <t>BB-046240</t>
  </si>
  <si>
    <t>BB-046237</t>
  </si>
  <si>
    <t>CC-057656</t>
  </si>
  <si>
    <t>AA-028987</t>
  </si>
  <si>
    <t>BB-046202</t>
  </si>
  <si>
    <t>AA-028928</t>
  </si>
  <si>
    <t>BB-046318</t>
  </si>
  <si>
    <t>BB-046321</t>
  </si>
  <si>
    <t>AA-028919</t>
  </si>
  <si>
    <t>BB-019926</t>
  </si>
  <si>
    <t>CC-057661</t>
  </si>
  <si>
    <t>CC-057658</t>
  </si>
  <si>
    <t>BB-046084</t>
  </si>
  <si>
    <t>BB-046139</t>
  </si>
  <si>
    <t>BB-046289</t>
  </si>
  <si>
    <t>AA-028925</t>
  </si>
  <si>
    <t>BB-046295</t>
  </si>
  <si>
    <t>BB-046328</t>
  </si>
  <si>
    <t>CC-054843</t>
  </si>
  <si>
    <t>BB-046308</t>
  </si>
  <si>
    <t>BB-046311</t>
  </si>
  <si>
    <t>CC-057657</t>
  </si>
  <si>
    <t>BB-046158</t>
  </si>
  <si>
    <t>CC-057151</t>
  </si>
  <si>
    <t>AA-028957</t>
  </si>
  <si>
    <t>BB-046085</t>
  </si>
  <si>
    <t>AA-028912</t>
  </si>
  <si>
    <t>CC-057152</t>
  </si>
  <si>
    <t>CC-057148</t>
  </si>
  <si>
    <t>CC-057603</t>
  </si>
  <si>
    <t>CC-057717</t>
  </si>
  <si>
    <t>BB-046149</t>
  </si>
  <si>
    <t>AA-028909</t>
  </si>
  <si>
    <t>AA-028890</t>
  </si>
  <si>
    <t>BB-046164</t>
  </si>
  <si>
    <t>DD-013289</t>
  </si>
  <si>
    <t>CC-057705</t>
  </si>
  <si>
    <t>AA-028926</t>
  </si>
  <si>
    <t>BB-046204</t>
  </si>
  <si>
    <t>BB-046290</t>
  </si>
  <si>
    <t>BB-046293</t>
  </si>
  <si>
    <t>CC-057655</t>
  </si>
  <si>
    <t>AA-028898</t>
  </si>
  <si>
    <t>BB-046213</t>
  </si>
  <si>
    <t>RAMOS-SABINAS-RAMOS</t>
  </si>
  <si>
    <t>BB-019921</t>
  </si>
  <si>
    <t>CC-057723</t>
  </si>
  <si>
    <t>BB-046031</t>
  </si>
  <si>
    <t>CC-057026</t>
  </si>
  <si>
    <t>AA-028901</t>
  </si>
  <si>
    <t>BB-019923</t>
  </si>
  <si>
    <t>AA-028972</t>
  </si>
  <si>
    <t>BB-046201</t>
  </si>
  <si>
    <t>BB-046288</t>
  </si>
  <si>
    <t>CC-057761</t>
  </si>
  <si>
    <t>CC-057715</t>
  </si>
  <si>
    <t>BB-046305</t>
  </si>
  <si>
    <t>BB-046267</t>
  </si>
  <si>
    <t>BB-046079</t>
  </si>
  <si>
    <t>DD-013510</t>
  </si>
  <si>
    <t>AA-028956</t>
  </si>
  <si>
    <t>AA-028869</t>
  </si>
  <si>
    <t>AA-028929</t>
  </si>
  <si>
    <t>BB-046317</t>
  </si>
  <si>
    <t>BB-046349</t>
  </si>
  <si>
    <t>BB-046272</t>
  </si>
  <si>
    <t>BB-046314</t>
  </si>
  <si>
    <t>AA-028960</t>
  </si>
  <si>
    <t>BB-046273</t>
  </si>
  <si>
    <t>AA-028900</t>
  </si>
  <si>
    <t>BB-046350</t>
  </si>
  <si>
    <t>AA-028975</t>
  </si>
  <si>
    <t>BB-046312</t>
  </si>
  <si>
    <t>BB-046315</t>
  </si>
  <si>
    <t>BB-046196</t>
  </si>
  <si>
    <t>BB-046331</t>
  </si>
  <si>
    <t>CC-057742</t>
  </si>
  <si>
    <t>AA-028899</t>
  </si>
  <si>
    <t>AA-028914</t>
  </si>
  <si>
    <t>BB-046265</t>
  </si>
  <si>
    <t>BB-046203</t>
  </si>
  <si>
    <t>CC-057745</t>
  </si>
  <si>
    <t>BB-046150</t>
  </si>
  <si>
    <t>BB-046316</t>
  </si>
  <si>
    <t>BB-046227</t>
  </si>
  <si>
    <t>CC-057025</t>
  </si>
  <si>
    <t>BB-046200</t>
  </si>
  <si>
    <t>AA-028937</t>
  </si>
  <si>
    <t>CC-057699</t>
  </si>
  <si>
    <t>CC-057696</t>
  </si>
  <si>
    <t>CC-057150</t>
  </si>
  <si>
    <t>DD-013542</t>
  </si>
  <si>
    <t>BB-046081</t>
  </si>
  <si>
    <t>BB-046180</t>
  </si>
  <si>
    <t>BB-046319</t>
  </si>
  <si>
    <t>BB-046322</t>
  </si>
  <si>
    <t>AF-000078</t>
  </si>
  <si>
    <t>AA-029014</t>
  </si>
  <si>
    <t>CC-057781</t>
  </si>
  <si>
    <t>CC-057759</t>
  </si>
  <si>
    <t>AA-028964</t>
  </si>
  <si>
    <t>AA-029010</t>
  </si>
  <si>
    <t>CC-056712</t>
  </si>
  <si>
    <t>AA-028965</t>
  </si>
  <si>
    <t>AA-028993</t>
  </si>
  <si>
    <t>AA-029011</t>
  </si>
  <si>
    <t>AA-028992</t>
  </si>
  <si>
    <t>AA-028989</t>
  </si>
  <si>
    <t>CC-057766</t>
  </si>
  <si>
    <t>CC-057801</t>
  </si>
  <si>
    <t>CC-057796</t>
  </si>
  <si>
    <t>CC-057795</t>
  </si>
  <si>
    <t>CC-057811</t>
  </si>
  <si>
    <t>CC-057812</t>
  </si>
  <si>
    <t>BB-045980</t>
  </si>
  <si>
    <t>BF-000397</t>
  </si>
  <si>
    <t>CC-057763</t>
  </si>
  <si>
    <t>AA-028983</t>
  </si>
  <si>
    <t>AA-028979</t>
  </si>
  <si>
    <t>CC-057739</t>
  </si>
  <si>
    <t>AA-028963</t>
  </si>
  <si>
    <t>CC-057751</t>
  </si>
  <si>
    <t>AA-028995</t>
  </si>
  <si>
    <t>BB-046249</t>
  </si>
  <si>
    <t>CC-057753</t>
  </si>
  <si>
    <t>CC-057756</t>
  </si>
  <si>
    <t>AA-028977</t>
  </si>
  <si>
    <t>CF-000346</t>
  </si>
  <si>
    <t>CC-057706</t>
  </si>
  <si>
    <t>DD-013545</t>
  </si>
  <si>
    <t>CC-057744</t>
  </si>
  <si>
    <t>CC-057778</t>
  </si>
  <si>
    <t>CC-057810</t>
  </si>
  <si>
    <t>CC-055202</t>
  </si>
  <si>
    <t>CC-057651</t>
  </si>
  <si>
    <t>BB-045967</t>
  </si>
  <si>
    <t>CC-057729</t>
  </si>
  <si>
    <t>CC-056154</t>
  </si>
  <si>
    <t>AA-028924</t>
  </si>
  <si>
    <t>BB-045165</t>
  </si>
  <si>
    <t>RAMOS-GPE Y CALVO-RAMOS</t>
  </si>
  <si>
    <t>CC-056725</t>
  </si>
  <si>
    <t>CC-055200</t>
  </si>
  <si>
    <t>CC-057740</t>
  </si>
  <si>
    <t>CC-056718</t>
  </si>
  <si>
    <t>CC-056710</t>
  </si>
  <si>
    <t>CC-057728</t>
  </si>
  <si>
    <t>BB-045768</t>
  </si>
  <si>
    <t>BB-046245</t>
  </si>
  <si>
    <t>BB-046212</t>
  </si>
  <si>
    <t>CC-057799</t>
  </si>
  <si>
    <t>CC-057807</t>
  </si>
  <si>
    <t>DD-013523</t>
  </si>
  <si>
    <t>DD-013522</t>
  </si>
  <si>
    <t>DD-013502</t>
  </si>
  <si>
    <t>CC-057649</t>
  </si>
  <si>
    <t>CC-057752</t>
  </si>
  <si>
    <t>CC-057755</t>
  </si>
  <si>
    <t>CC-057784</t>
  </si>
  <si>
    <t>AA-028967</t>
  </si>
  <si>
    <t>CC-057700</t>
  </si>
  <si>
    <t>AA-028968</t>
  </si>
  <si>
    <t>DD-013287</t>
  </si>
  <si>
    <t>CC-057765</t>
  </si>
  <si>
    <t>CC-056711</t>
  </si>
  <si>
    <t>AA-028986</t>
  </si>
  <si>
    <t>CC-057808</t>
  </si>
  <si>
    <t>BB-045877</t>
  </si>
  <si>
    <t>CC-057800</t>
  </si>
  <si>
    <t>CC-057709</t>
  </si>
  <si>
    <t>SAN MARCOS - YAHUALICA - -SAN MARCOS</t>
  </si>
  <si>
    <t>BB-046428</t>
  </si>
  <si>
    <t>CC-057707</t>
  </si>
  <si>
    <t>DD-013517</t>
  </si>
  <si>
    <t>BB-046214</t>
  </si>
  <si>
    <t>AA-028982</t>
  </si>
  <si>
    <t>BB-046329</t>
  </si>
  <si>
    <t>BB-046332</t>
  </si>
  <si>
    <t>DD-013524</t>
  </si>
  <si>
    <t>DD-013285</t>
  </si>
  <si>
    <t>DD-013286</t>
  </si>
  <si>
    <t>AA-028970</t>
  </si>
  <si>
    <t>IXTAC-SANTIAGO JUXTLAHUACA-IXTAC</t>
  </si>
  <si>
    <t>CC-057775</t>
  </si>
  <si>
    <t>CC-056726</t>
  </si>
  <si>
    <t>DD-013291</t>
  </si>
  <si>
    <t>CC-057815</t>
  </si>
  <si>
    <t>CC-057860</t>
  </si>
  <si>
    <t>DD-013516</t>
  </si>
  <si>
    <t>BB-046145</t>
  </si>
  <si>
    <t>CC-057712</t>
  </si>
  <si>
    <t>BB-046246</t>
  </si>
  <si>
    <t>CC-057802</t>
  </si>
  <si>
    <t>BB-046335</t>
  </si>
  <si>
    <t>DD-013300</t>
  </si>
  <si>
    <t>BB-046421</t>
  </si>
  <si>
    <t>DD-013539</t>
  </si>
  <si>
    <t>BB-046241</t>
  </si>
  <si>
    <t>CC-057809</t>
  </si>
  <si>
    <t>CC-057737</t>
  </si>
  <si>
    <t>CC-057783</t>
  </si>
  <si>
    <t>CC-056724</t>
  </si>
  <si>
    <t>CC-057797</t>
  </si>
  <si>
    <t>CC-057750</t>
  </si>
  <si>
    <t>CC-056719</t>
  </si>
  <si>
    <t>AA-028958</t>
  </si>
  <si>
    <t>BB-046207</t>
  </si>
  <si>
    <t>CC-056707</t>
  </si>
  <si>
    <t>CC-057758</t>
  </si>
  <si>
    <t>CC-056713</t>
  </si>
  <si>
    <t>CC-057780</t>
  </si>
  <si>
    <t>BB-046338</t>
  </si>
  <si>
    <t>BB-046345</t>
  </si>
  <si>
    <t>CC-056716</t>
  </si>
  <si>
    <t>AA-028973</t>
  </si>
  <si>
    <t>BB-046337</t>
  </si>
  <si>
    <t>CC-056708</t>
  </si>
  <si>
    <t>BB-046166</t>
  </si>
  <si>
    <t>CC-057762</t>
  </si>
  <si>
    <t>BB-045816</t>
  </si>
  <si>
    <t>AA-028985</t>
  </si>
  <si>
    <t>BB-045718</t>
  </si>
  <si>
    <t>BB-046303</t>
  </si>
  <si>
    <t>BB-046193</t>
  </si>
  <si>
    <t>RAMOS-JIMENEZ-RAMOS</t>
  </si>
  <si>
    <t>BB-044651</t>
  </si>
  <si>
    <t>CC-056727</t>
  </si>
  <si>
    <t>AA-028991</t>
  </si>
  <si>
    <t>AA-028990</t>
  </si>
  <si>
    <t>AA-028902</t>
  </si>
  <si>
    <t>DD-013546</t>
  </si>
  <si>
    <t>CC-055208</t>
  </si>
  <si>
    <t>BB-045911</t>
  </si>
  <si>
    <t>CC-057861</t>
  </si>
  <si>
    <t>CC-057816</t>
  </si>
  <si>
    <t>CC-057736</t>
  </si>
  <si>
    <t>DD-013518</t>
  </si>
  <si>
    <t>CC-056723</t>
  </si>
  <si>
    <t>AA-028966</t>
  </si>
  <si>
    <t>CC-056721</t>
  </si>
  <si>
    <t>BB-046172</t>
  </si>
  <si>
    <t>CC-057859</t>
  </si>
  <si>
    <t>CC-057813</t>
  </si>
  <si>
    <t>BB-046336</t>
  </si>
  <si>
    <t>BB-045876</t>
  </si>
  <si>
    <t>CC-057734</t>
  </si>
  <si>
    <t>CC-057772</t>
  </si>
  <si>
    <t>CC-057741</t>
  </si>
  <si>
    <t>CC-057804</t>
  </si>
  <si>
    <t>CC-057822</t>
  </si>
  <si>
    <t>CC-057757</t>
  </si>
  <si>
    <t>BB-046220</t>
  </si>
  <si>
    <t>BB-046218</t>
  </si>
  <si>
    <t>CC-056717</t>
  </si>
  <si>
    <t>CC-056722</t>
  </si>
  <si>
    <t>BB-046250</t>
  </si>
  <si>
    <t>BB-045748</t>
  </si>
  <si>
    <t>CC-057760</t>
  </si>
  <si>
    <t>BB-046242</t>
  </si>
  <si>
    <t>AA-028971</t>
  </si>
  <si>
    <t>BB-046401</t>
  </si>
  <si>
    <t>BB-046178</t>
  </si>
  <si>
    <t>CC-056714</t>
  </si>
  <si>
    <t>AA-028980</t>
  </si>
  <si>
    <t>DD-013537</t>
  </si>
  <si>
    <t>DD-013507</t>
  </si>
  <si>
    <t>CC-057727</t>
  </si>
  <si>
    <t>AA-028974</t>
  </si>
  <si>
    <t>CC-057798</t>
  </si>
  <si>
    <t>DD-013512</t>
  </si>
  <si>
    <t>CC-056720</t>
  </si>
  <si>
    <t>BB-046165</t>
  </si>
  <si>
    <t>BB-046238</t>
  </si>
  <si>
    <t>BB-046041</t>
  </si>
  <si>
    <t>BB-046036</t>
  </si>
  <si>
    <t>CC-057803</t>
  </si>
  <si>
    <t>BB-045882</t>
  </si>
  <si>
    <t>BB-045910</t>
  </si>
  <si>
    <t>BB-046247</t>
  </si>
  <si>
    <t>AA-029007</t>
  </si>
  <si>
    <t>BB-046248</t>
  </si>
  <si>
    <t>CC-057814</t>
  </si>
  <si>
    <t>CC-057817</t>
  </si>
  <si>
    <t>AA-028981</t>
  </si>
  <si>
    <t>BB-045487</t>
  </si>
  <si>
    <t>CC-056706</t>
  </si>
  <si>
    <t>DD-013514</t>
  </si>
  <si>
    <t>DD-013538</t>
  </si>
  <si>
    <t>DD-013534</t>
  </si>
  <si>
    <t>CC-057782</t>
  </si>
  <si>
    <t>CC-056715</t>
  </si>
  <si>
    <t>CC-057846</t>
  </si>
  <si>
    <t>CC-057754</t>
  </si>
  <si>
    <t>CC-057776</t>
  </si>
  <si>
    <t>CC-056709</t>
  </si>
  <si>
    <t>DD-013521</t>
  </si>
  <si>
    <t>AA-028978</t>
  </si>
  <si>
    <t>AA-028891</t>
  </si>
  <si>
    <t>CC-057738</t>
  </si>
  <si>
    <t>AA-028943</t>
  </si>
  <si>
    <t>DD-013501</t>
  </si>
  <si>
    <t>CC-057806</t>
  </si>
  <si>
    <t>CC-057693</t>
  </si>
  <si>
    <t>BB-045629</t>
  </si>
  <si>
    <t>BB-046222</t>
  </si>
  <si>
    <t>DD-013544</t>
  </si>
  <si>
    <t>BB-046404</t>
  </si>
  <si>
    <t>BB-046410</t>
  </si>
  <si>
    <t>BB-046219</t>
  </si>
  <si>
    <t>AA-029024</t>
  </si>
  <si>
    <t>CC-056761</t>
  </si>
  <si>
    <t>AA-029019</t>
  </si>
  <si>
    <t>AA-029009</t>
  </si>
  <si>
    <t>AA-029017</t>
  </si>
  <si>
    <t>AA-028997</t>
  </si>
  <si>
    <t>CC-056757</t>
  </si>
  <si>
    <t>AA-029012</t>
  </si>
  <si>
    <t>AA-029037</t>
  </si>
  <si>
    <t>AA-029018</t>
  </si>
  <si>
    <t>DD-013311</t>
  </si>
  <si>
    <t>CC-056755</t>
  </si>
  <si>
    <t>AA-028998</t>
  </si>
  <si>
    <t>CC-056760</t>
  </si>
  <si>
    <t>CC-056758</t>
  </si>
  <si>
    <t>CC-057819</t>
  </si>
  <si>
    <t>DD-013305</t>
  </si>
  <si>
    <t>AA-029001</t>
  </si>
  <si>
    <t>AA-029038</t>
  </si>
  <si>
    <t>DD-013304</t>
  </si>
  <si>
    <t>AA-029020</t>
  </si>
  <si>
    <t>DD-013232</t>
  </si>
  <si>
    <t>AA-029028</t>
  </si>
  <si>
    <t>DD-013313</t>
  </si>
  <si>
    <t>AA-029015</t>
  </si>
  <si>
    <t>DD-013533</t>
  </si>
  <si>
    <t>CC-055211</t>
  </si>
  <si>
    <t>AA-029004</t>
  </si>
  <si>
    <t>AA-028944</t>
  </si>
  <si>
    <t>AA-028984</t>
  </si>
  <si>
    <t>AA-029013</t>
  </si>
  <si>
    <t>AA-029041</t>
  </si>
  <si>
    <t>DD-013309</t>
  </si>
  <si>
    <t>CC-055204</t>
  </si>
  <si>
    <t>CC-055206</t>
  </si>
  <si>
    <t>AA-029008</t>
  </si>
  <si>
    <t>AA-029021</t>
  </si>
  <si>
    <t>AA-028959</t>
  </si>
  <si>
    <t>AA-029023</t>
  </si>
  <si>
    <t>AA-029016</t>
  </si>
  <si>
    <t>AA-028996</t>
  </si>
  <si>
    <t>DD-013515</t>
  </si>
  <si>
    <t>AA-029026</t>
  </si>
  <si>
    <t>AA-029031</t>
  </si>
  <si>
    <t>AA-028976</t>
  </si>
  <si>
    <t>DD-013505</t>
  </si>
  <si>
    <t>AA-028962</t>
  </si>
  <si>
    <t>DD-013306</t>
  </si>
  <si>
    <t>AA-028988</t>
  </si>
  <si>
    <t>AA-029039</t>
  </si>
  <si>
    <t>AA-028948</t>
  </si>
  <si>
    <t>AA-028999</t>
  </si>
  <si>
    <t>DD-013310</t>
  </si>
  <si>
    <t>AA-029040</t>
  </si>
  <si>
    <t>AA-029034</t>
  </si>
  <si>
    <t>AA-029002</t>
  </si>
  <si>
    <t>DD-013303</t>
  </si>
  <si>
    <t>AA-029025</t>
  </si>
  <si>
    <t>DD-013314</t>
  </si>
  <si>
    <t>AA-029042</t>
  </si>
  <si>
    <t>AA-029022</t>
  </si>
  <si>
    <t>CC-056756</t>
  </si>
  <si>
    <t>CC-055198</t>
  </si>
  <si>
    <t>CC-054985</t>
  </si>
  <si>
    <t>DD-013312</t>
  </si>
  <si>
    <t>AA-029006</t>
  </si>
  <si>
    <t>CC-057832</t>
  </si>
  <si>
    <t>AA-028994</t>
  </si>
  <si>
    <t>CC-056759</t>
  </si>
  <si>
    <t>AA-028961</t>
  </si>
  <si>
    <t>CC-057833</t>
  </si>
  <si>
    <t>DD-013527</t>
  </si>
  <si>
    <t>DD-013301</t>
  </si>
  <si>
    <t>CC-057794</t>
  </si>
  <si>
    <t>AF-000079</t>
  </si>
  <si>
    <t>AA-029117</t>
  </si>
  <si>
    <t>CF-000347</t>
  </si>
  <si>
    <t>AA-029116</t>
  </si>
  <si>
    <t>AA-029106</t>
  </si>
  <si>
    <t>CC-057856</t>
  </si>
  <si>
    <t>CC-057857</t>
  </si>
  <si>
    <t>CC-057887</t>
  </si>
  <si>
    <t>CC-057884</t>
  </si>
  <si>
    <t>CC-057851</t>
  </si>
  <si>
    <t>CC-057858</t>
  </si>
  <si>
    <t>CC-057870</t>
  </si>
  <si>
    <t>CC-057932</t>
  </si>
  <si>
    <t>CC-057890</t>
  </si>
  <si>
    <t>CC-057849</t>
  </si>
  <si>
    <t>CC-057837</t>
  </si>
  <si>
    <t>CC-057836</t>
  </si>
  <si>
    <t>CC-057852</t>
  </si>
  <si>
    <t>CC-057853</t>
  </si>
  <si>
    <t>AA-029115</t>
  </si>
  <si>
    <t>AA-029118</t>
  </si>
  <si>
    <t>AA-028931</t>
  </si>
  <si>
    <t>CC-057855</t>
  </si>
  <si>
    <t>CC-057876</t>
  </si>
  <si>
    <t>CC-057883</t>
  </si>
  <si>
    <t>CC-057891</t>
  </si>
  <si>
    <t>CC-057885</t>
  </si>
  <si>
    <t>CC-057867</t>
  </si>
  <si>
    <t>CC-057902</t>
  </si>
  <si>
    <t>CC-057888</t>
  </si>
  <si>
    <t>CC-057889</t>
  </si>
  <si>
    <t>CC-057824</t>
  </si>
  <si>
    <t>DD-013548</t>
  </si>
  <si>
    <t>DD-013315</t>
  </si>
  <si>
    <t>CC-057845</t>
  </si>
  <si>
    <t>DD-013525</t>
  </si>
  <si>
    <t>CC-057838</t>
  </si>
  <si>
    <t>CC-057868</t>
  </si>
  <si>
    <t>CC-057878</t>
  </si>
  <si>
    <t>CC-057848</t>
  </si>
  <si>
    <t>AA-029030</t>
  </si>
  <si>
    <t>AA-029027</t>
  </si>
  <si>
    <t>AA-029043</t>
  </si>
  <si>
    <t>CC-057866</t>
  </si>
  <si>
    <t>CC-057872</t>
  </si>
  <si>
    <t>DD-013540</t>
  </si>
  <si>
    <t>CC-057805</t>
  </si>
  <si>
    <t>DD-013529</t>
  </si>
  <si>
    <t>CC-057881</t>
  </si>
  <si>
    <t>CC-057907</t>
  </si>
  <si>
    <t>AA-029033</t>
  </si>
  <si>
    <t>DD-013520</t>
  </si>
  <si>
    <t>CC-057873</t>
  </si>
  <si>
    <t>CC-057697</t>
  </si>
  <si>
    <t>CC-057875</t>
  </si>
  <si>
    <t>DD-013528</t>
  </si>
  <si>
    <t>CC-057874</t>
  </si>
  <si>
    <t>DD-013532</t>
  </si>
  <si>
    <t>CC-057046</t>
  </si>
  <si>
    <t>CC-057840</t>
  </si>
  <si>
    <t>CC-057879</t>
  </si>
  <si>
    <t>AA-029050</t>
  </si>
  <si>
    <t>CC-057854</t>
  </si>
  <si>
    <t>CC-057767</t>
  </si>
  <si>
    <t>CC-057826</t>
  </si>
  <si>
    <t>CC-057694</t>
  </si>
  <si>
    <t>AA-029003</t>
  </si>
  <si>
    <t>CC-057882</t>
  </si>
  <si>
    <t>CC-057877</t>
  </si>
  <si>
    <t>CC-057886</t>
  </si>
  <si>
    <t>AA-029000</t>
  </si>
  <si>
    <t>AA-029126</t>
  </si>
  <si>
    <t>AA-029127</t>
  </si>
  <si>
    <t>AA-029154</t>
  </si>
  <si>
    <t>AA-029148</t>
  </si>
  <si>
    <t>CC-054827</t>
  </si>
  <si>
    <t>AA-029125</t>
  </si>
  <si>
    <t>CC-057979</t>
  </si>
  <si>
    <t>AA-029171</t>
  </si>
  <si>
    <t>CC-056733</t>
  </si>
  <si>
    <t>AA-029108</t>
  </si>
  <si>
    <t>AA-029114</t>
  </si>
  <si>
    <t>CC-056748</t>
  </si>
  <si>
    <t>AA-029136</t>
  </si>
  <si>
    <t>AA-029107</t>
  </si>
  <si>
    <t>CC-056730</t>
  </si>
  <si>
    <t>DF-000065</t>
  </si>
  <si>
    <t>DD-013340</t>
  </si>
  <si>
    <t>CC-056763</t>
  </si>
  <si>
    <t>AA-029146</t>
  </si>
  <si>
    <t>BB-046477</t>
  </si>
  <si>
    <t>AF-000080</t>
  </si>
  <si>
    <t>BB-046417</t>
  </si>
  <si>
    <t>CF-000349</t>
  </si>
  <si>
    <t>CC-057988</t>
  </si>
  <si>
    <t>AA-029046</t>
  </si>
  <si>
    <t>BB-046584</t>
  </si>
  <si>
    <t>BB-046075</t>
  </si>
  <si>
    <t>CC-057296</t>
  </si>
  <si>
    <t>CF-000351</t>
  </si>
  <si>
    <t>CC-057299</t>
  </si>
  <si>
    <t>CC-057291</t>
  </si>
  <si>
    <t>CC-057352</t>
  </si>
  <si>
    <t>CC-057917</t>
  </si>
  <si>
    <t>BB-046205</t>
  </si>
  <si>
    <t>CF-000350</t>
  </si>
  <si>
    <t>CC-057335</t>
  </si>
  <si>
    <t>CC-057341</t>
  </si>
  <si>
    <t>CC-057309</t>
  </si>
  <si>
    <t>CC-057338</t>
  </si>
  <si>
    <t>BB-046609</t>
  </si>
  <si>
    <t>BF-000398</t>
  </si>
  <si>
    <t>AA-029140</t>
  </si>
  <si>
    <t>BB-046475</t>
  </si>
  <si>
    <t>BB-046574</t>
  </si>
  <si>
    <t>BB-046450</t>
  </si>
  <si>
    <t>CC-057253</t>
  </si>
  <si>
    <t>CC-057310</t>
  </si>
  <si>
    <t>CC-057256</t>
  </si>
  <si>
    <t>CC-057259</t>
  </si>
  <si>
    <t>CC-057315</t>
  </si>
  <si>
    <t>CC-057268</t>
  </si>
  <si>
    <t>BB-046573</t>
  </si>
  <si>
    <t>CC-057356</t>
  </si>
  <si>
    <t>BB-046568</t>
  </si>
  <si>
    <t>BB-046442</t>
  </si>
  <si>
    <t>BB-046448</t>
  </si>
  <si>
    <t>BB-046445</t>
  </si>
  <si>
    <t>CC-056736</t>
  </si>
  <si>
    <t>AA-029129</t>
  </si>
  <si>
    <t>BB-046540</t>
  </si>
  <si>
    <t>CC-056793</t>
  </si>
  <si>
    <t>DD-013327</t>
  </si>
  <si>
    <t>CC-057336</t>
  </si>
  <si>
    <t>DD-013317</t>
  </si>
  <si>
    <t>DD-013363</t>
  </si>
  <si>
    <t>DD-013547</t>
  </si>
  <si>
    <t>DD-013536</t>
  </si>
  <si>
    <t>BB-046536</t>
  </si>
  <si>
    <t>CC-057344</t>
  </si>
  <si>
    <t>CC-057320</t>
  </si>
  <si>
    <t>CC-057233</t>
  </si>
  <si>
    <t>CC-057317</t>
  </si>
  <si>
    <t>CC-057282</t>
  </si>
  <si>
    <t>CC-057978</t>
  </si>
  <si>
    <t>CC-057318</t>
  </si>
  <si>
    <t>CC-057321</t>
  </si>
  <si>
    <t>CC-057358</t>
  </si>
  <si>
    <t>CC-057240</t>
  </si>
  <si>
    <t>DD-013338</t>
  </si>
  <si>
    <t>CC-056754</t>
  </si>
  <si>
    <t>CC-056784</t>
  </si>
  <si>
    <t>CC-056775</t>
  </si>
  <si>
    <t>CC-056745</t>
  </si>
  <si>
    <t>CC-056769</t>
  </si>
  <si>
    <t>CC-056766</t>
  </si>
  <si>
    <t>CC-056742</t>
  </si>
  <si>
    <t>CC-056782</t>
  </si>
  <si>
    <t>CC-057957</t>
  </si>
  <si>
    <t>BB-046286</t>
  </si>
  <si>
    <t>CC-057958</t>
  </si>
  <si>
    <t>CC-057327</t>
  </si>
  <si>
    <t>CC-057330</t>
  </si>
  <si>
    <t>AA-029121</t>
  </si>
  <si>
    <t>CC-057277</t>
  </si>
  <si>
    <t>CC-057292</t>
  </si>
  <si>
    <t>CC-057331</t>
  </si>
  <si>
    <t>CC-057976</t>
  </si>
  <si>
    <t>CC-057935</t>
  </si>
  <si>
    <t>CC-057941</t>
  </si>
  <si>
    <t>CC-057944</t>
  </si>
  <si>
    <t>BB-046436</t>
  </si>
  <si>
    <t>BB-046260</t>
  </si>
  <si>
    <t>BB-046440</t>
  </si>
  <si>
    <t>BB-046443</t>
  </si>
  <si>
    <t>BB-019927</t>
  </si>
  <si>
    <t>CC-056744</t>
  </si>
  <si>
    <t>CC-057353</t>
  </si>
  <si>
    <t>CC-057355</t>
  </si>
  <si>
    <t>CC-057350</t>
  </si>
  <si>
    <t>CC-056741</t>
  </si>
  <si>
    <t>CC-056747</t>
  </si>
  <si>
    <t>CC-056750</t>
  </si>
  <si>
    <t>CC-057303</t>
  </si>
  <si>
    <t>BB-046511</t>
  </si>
  <si>
    <t>BB-046449</t>
  </si>
  <si>
    <t>BB-046446</t>
  </si>
  <si>
    <t>CC-056765</t>
  </si>
  <si>
    <t>DD-013333</t>
  </si>
  <si>
    <t>BB-046554</t>
  </si>
  <si>
    <t>BB-046567</t>
  </si>
  <si>
    <t>BB-046570</t>
  </si>
  <si>
    <t>BB-046285</t>
  </si>
  <si>
    <t>BB-046632</t>
  </si>
  <si>
    <t>CC-057346</t>
  </si>
  <si>
    <t>CC-057304</t>
  </si>
  <si>
    <t>CC-057943</t>
  </si>
  <si>
    <t>CC-056777</t>
  </si>
  <si>
    <t>BB-046619</t>
  </si>
  <si>
    <t>BB-046551</t>
  </si>
  <si>
    <t>BB-046494</t>
  </si>
  <si>
    <t>BB-046481</t>
  </si>
  <si>
    <t>BB-046601</t>
  </si>
  <si>
    <t>BB-046630</t>
  </si>
  <si>
    <t>BF-000400</t>
  </si>
  <si>
    <t>CC-057983</t>
  </si>
  <si>
    <t>CC-057286</t>
  </si>
  <si>
    <t>CC-057912</t>
  </si>
  <si>
    <t>CC-057915</t>
  </si>
  <si>
    <t>BB-046617</t>
  </si>
  <si>
    <t>BB-046347</t>
  </si>
  <si>
    <t>AA-029048</t>
  </si>
  <si>
    <t>BB-046569</t>
  </si>
  <si>
    <t>CF-000348</t>
  </si>
  <si>
    <t>BB-046495</t>
  </si>
  <si>
    <t>BB-046340</t>
  </si>
  <si>
    <t>BB-046441</t>
  </si>
  <si>
    <t>CC-057905</t>
  </si>
  <si>
    <t>DD-013531</t>
  </si>
  <si>
    <t>BB-046522</t>
  </si>
  <si>
    <t>BB-046572</t>
  </si>
  <si>
    <t>BB-046564</t>
  </si>
  <si>
    <t>BB-046454</t>
  </si>
  <si>
    <t>CC-055215</t>
  </si>
  <si>
    <t>BB-046346</t>
  </si>
  <si>
    <t>CC-056739</t>
  </si>
  <si>
    <t>CC-056772</t>
  </si>
  <si>
    <t>DD-013328</t>
  </si>
  <si>
    <t>DD-013351</t>
  </si>
  <si>
    <t>CC-057348</t>
  </si>
  <si>
    <t>CC-057298</t>
  </si>
  <si>
    <t>CC-057290</t>
  </si>
  <si>
    <t>CC-057287</t>
  </si>
  <si>
    <t>CC-057977</t>
  </si>
  <si>
    <t>DD-013348</t>
  </si>
  <si>
    <t>CC-056749</t>
  </si>
  <si>
    <t>AA-029131</t>
  </si>
  <si>
    <t>CC-057972</t>
  </si>
  <si>
    <t>BB-046542</t>
  </si>
  <si>
    <t>BB-046539</t>
  </si>
  <si>
    <t>BB-046484</t>
  </si>
  <si>
    <t>CC-056731</t>
  </si>
  <si>
    <t>AA-029137</t>
  </si>
  <si>
    <t>CC-056783</t>
  </si>
  <si>
    <t>BB-046326</t>
  </si>
  <si>
    <t>BB-046209</t>
  </si>
  <si>
    <t>BB-046560</t>
  </si>
  <si>
    <t>CC-058025</t>
  </si>
  <si>
    <t>CC-057906</t>
  </si>
  <si>
    <t>CC-056788</t>
  </si>
  <si>
    <t>DD-013326</t>
  </si>
  <si>
    <t>CC-057904</t>
  </si>
  <si>
    <t>CC-056785</t>
  </si>
  <si>
    <t>CC-056752</t>
  </si>
  <si>
    <t>CC-057909</t>
  </si>
  <si>
    <t>CC-057919</t>
  </si>
  <si>
    <t>CC-057347</t>
  </si>
  <si>
    <t>CC-057940</t>
  </si>
  <si>
    <t>CC-057937</t>
  </si>
  <si>
    <t>CC-056703</t>
  </si>
  <si>
    <t>BB-046555</t>
  </si>
  <si>
    <t>BB-046451</t>
  </si>
  <si>
    <t>BB-046280</t>
  </si>
  <si>
    <t>BB-046596</t>
  </si>
  <si>
    <t>BB-046424</t>
  </si>
  <si>
    <t>DD-013329</t>
  </si>
  <si>
    <t>CC-057893</t>
  </si>
  <si>
    <t>CC-057962</t>
  </si>
  <si>
    <t>DD-013336</t>
  </si>
  <si>
    <t>BB-046507</t>
  </si>
  <si>
    <t>BB-046588</t>
  </si>
  <si>
    <t>BB-046243</t>
  </si>
  <si>
    <t>CC-057998</t>
  </si>
  <si>
    <t>AA-029045</t>
  </si>
  <si>
    <t>CC-056732</t>
  </si>
  <si>
    <t>BB-046427</t>
  </si>
  <si>
    <t>BB-046433</t>
  </si>
  <si>
    <t>CC-056753</t>
  </si>
  <si>
    <t>BB-046544</t>
  </si>
  <si>
    <t>BB-046282</t>
  </si>
  <si>
    <t>BB-046538</t>
  </si>
  <si>
    <t>AA-029128</t>
  </si>
  <si>
    <t>BB-046547</t>
  </si>
  <si>
    <t>BB-046279</t>
  </si>
  <si>
    <t>BB-046628</t>
  </si>
  <si>
    <t>BB-046625</t>
  </si>
  <si>
    <t>BB-046447</t>
  </si>
  <si>
    <t>CC-057899</t>
  </si>
  <si>
    <t>AA-029157</t>
  </si>
  <si>
    <t>BB-046624</t>
  </si>
  <si>
    <t>BB-046622</t>
  </si>
  <si>
    <t>BB-046626</t>
  </si>
  <si>
    <t>CC-056774</t>
  </si>
  <si>
    <t>CC-056771</t>
  </si>
  <si>
    <t>BB-046620</t>
  </si>
  <si>
    <t>CC-056792</t>
  </si>
  <si>
    <t>CC-057363</t>
  </si>
  <si>
    <t>CC-057278</t>
  </si>
  <si>
    <t>CC-056501</t>
  </si>
  <si>
    <t>BB-046430</t>
  </si>
  <si>
    <t>CC-056786</t>
  </si>
  <si>
    <t>BB-046281</t>
  </si>
  <si>
    <t>CC-055209</t>
  </si>
  <si>
    <t>CC-056746</t>
  </si>
  <si>
    <t>CC-056740</t>
  </si>
  <si>
    <t>CC-056606</t>
  </si>
  <si>
    <t>DD-013339</t>
  </si>
  <si>
    <t>DD-013346</t>
  </si>
  <si>
    <t>BB-046348</t>
  </si>
  <si>
    <t>BB-046513</t>
  </si>
  <si>
    <t>BB-046501</t>
  </si>
  <si>
    <t>CC-057942</t>
  </si>
  <si>
    <t>BB-046488</t>
  </si>
  <si>
    <t>BB-046627</t>
  </si>
  <si>
    <t>CC-057985</t>
  </si>
  <si>
    <t>CC-057945</t>
  </si>
  <si>
    <t>BB-046258</t>
  </si>
  <si>
    <t>BB-046552</t>
  </si>
  <si>
    <t>BB-046498</t>
  </si>
  <si>
    <t>BB-046444</t>
  </si>
  <si>
    <t>BB-046438</t>
  </si>
  <si>
    <t>BB-046563</t>
  </si>
  <si>
    <t>BB-046512</t>
  </si>
  <si>
    <t>BB-046352</t>
  </si>
  <si>
    <t>DD-013530</t>
  </si>
  <si>
    <t>CC-057274</t>
  </si>
  <si>
    <t>BB-046497</t>
  </si>
  <si>
    <t>BB-046176</t>
  </si>
  <si>
    <t>CC-057243</t>
  </si>
  <si>
    <t>BB-046177</t>
  </si>
  <si>
    <t>BB-046455</t>
  </si>
  <si>
    <t>BB-046557</t>
  </si>
  <si>
    <t>BB-046342</t>
  </si>
  <si>
    <t>BB-046562</t>
  </si>
  <si>
    <t>BB-046559</t>
  </si>
  <si>
    <t>CC-057827</t>
  </si>
  <si>
    <t>DD-013318</t>
  </si>
  <si>
    <t>CC-056642</t>
  </si>
  <si>
    <t>AA-029122</t>
  </si>
  <si>
    <t>CC-056790</t>
  </si>
  <si>
    <t>CC-056764</t>
  </si>
  <si>
    <t>BB-046426</t>
  </si>
  <si>
    <t>DD-013342</t>
  </si>
  <si>
    <t>DD-013330</t>
  </si>
  <si>
    <t>DD-013352</t>
  </si>
  <si>
    <t>BB-046415</t>
  </si>
  <si>
    <t>DD-013335</t>
  </si>
  <si>
    <t>BB-046543</t>
  </si>
  <si>
    <t>BB-046486</t>
  </si>
  <si>
    <t>BB-046534</t>
  </si>
  <si>
    <t>BB-046472</t>
  </si>
  <si>
    <t>BB-046537</t>
  </si>
  <si>
    <t>CC-057862</t>
  </si>
  <si>
    <t>CC-057981</t>
  </si>
  <si>
    <t>CC-057984</t>
  </si>
  <si>
    <t>BB-046412</t>
  </si>
  <si>
    <t>BB-046474</t>
  </si>
  <si>
    <t>AA-029113</t>
  </si>
  <si>
    <t>DD-013332</t>
  </si>
  <si>
    <t>CC-056626</t>
  </si>
  <si>
    <t>CC-056780</t>
  </si>
  <si>
    <t>AA-029104</t>
  </si>
  <si>
    <t>CC-057302</t>
  </si>
  <si>
    <t>AA-029036</t>
  </si>
  <si>
    <t>CC-057920</t>
  </si>
  <si>
    <t>AA-029110</t>
  </si>
  <si>
    <t>CC-057936</t>
  </si>
  <si>
    <t>BB-046518</t>
  </si>
  <si>
    <t>BB-046566</t>
  </si>
  <si>
    <t>AA-029119</t>
  </si>
  <si>
    <t>BB-046125</t>
  </si>
  <si>
    <t>CC-056787</t>
  </si>
  <si>
    <t>BB-046467</t>
  </si>
  <si>
    <t>BB-046257</t>
  </si>
  <si>
    <t>BB-046553</t>
  </si>
  <si>
    <t>BB-046254</t>
  </si>
  <si>
    <t>CC-056734</t>
  </si>
  <si>
    <t>BB-046541</t>
  </si>
  <si>
    <t>CC-057910</t>
  </si>
  <si>
    <t>CC-056791</t>
  </si>
  <si>
    <t>BB-046210</t>
  </si>
  <si>
    <t>AA-029138</t>
  </si>
  <si>
    <t>CC-057221</t>
  </si>
  <si>
    <t>CC-057961</t>
  </si>
  <si>
    <t>BB-046633</t>
  </si>
  <si>
    <t>BB-046629</t>
  </si>
  <si>
    <t>CC-057746</t>
  </si>
  <si>
    <t>CC-057954</t>
  </si>
  <si>
    <t>BB-046325</t>
  </si>
  <si>
    <t>BB-046429</t>
  </si>
  <si>
    <t>BB-046491</t>
  </si>
  <si>
    <t>AA-029169</t>
  </si>
  <si>
    <t>BB-046453</t>
  </si>
  <si>
    <t>BB-046456</t>
  </si>
  <si>
    <t>BB-046343</t>
  </si>
  <si>
    <t>CC-057289</t>
  </si>
  <si>
    <t>CC-057254</t>
  </si>
  <si>
    <t>CC-057301</t>
  </si>
  <si>
    <t>CC-057337</t>
  </si>
  <si>
    <t>CC-057354</t>
  </si>
  <si>
    <t>CC-057224</t>
  </si>
  <si>
    <t>CC-057333</t>
  </si>
  <si>
    <t>BB-046208</t>
  </si>
  <si>
    <t>BB-046473</t>
  </si>
  <si>
    <t>DD-013331</t>
  </si>
  <si>
    <t>CC-055212</t>
  </si>
  <si>
    <t>BB-046548</t>
  </si>
  <si>
    <t>BB-046252</t>
  </si>
  <si>
    <t>BB-046466</t>
  </si>
  <si>
    <t>CC-056675</t>
  </si>
  <si>
    <t>DD-013316</t>
  </si>
  <si>
    <t>CC-055203</t>
  </si>
  <si>
    <t>BB-046283</t>
  </si>
  <si>
    <t>BB-046327</t>
  </si>
  <si>
    <t>BB-046255</t>
  </si>
  <si>
    <t>AA-029130</t>
  </si>
  <si>
    <t>BB-046452</t>
  </si>
  <si>
    <t>BB-046517</t>
  </si>
  <si>
    <t>BB-046434</t>
  </si>
  <si>
    <t>BB-019928</t>
  </si>
  <si>
    <t>CC-057339</t>
  </si>
  <si>
    <t>BB-046287</t>
  </si>
  <si>
    <t>BB-046549</t>
  </si>
  <si>
    <t>CC-055210</t>
  </si>
  <si>
    <t>DD-013359</t>
  </si>
  <si>
    <t>BB-046485</t>
  </si>
  <si>
    <t>CC-057316</t>
  </si>
  <si>
    <t>CC-057319</t>
  </si>
  <si>
    <t>CC-057257</t>
  </si>
  <si>
    <t>CC-057235</t>
  </si>
  <si>
    <t>CC-057865</t>
  </si>
  <si>
    <t>BB-046418</t>
  </si>
  <si>
    <t>BB-046598</t>
  </si>
  <si>
    <t>CC-057365</t>
  </si>
  <si>
    <t>CC-057359</t>
  </si>
  <si>
    <t>CC-057267</t>
  </si>
  <si>
    <t>CC-057270</t>
  </si>
  <si>
    <t>BF-000399</t>
  </si>
  <si>
    <t>BB-046276</t>
  </si>
  <si>
    <t>AA-029158</t>
  </si>
  <si>
    <t>CC-057949</t>
  </si>
  <si>
    <t>CC-057952</t>
  </si>
  <si>
    <t>CC-056762</t>
  </si>
  <si>
    <t>CC-056738</t>
  </si>
  <si>
    <t>DD-013549</t>
  </si>
  <si>
    <t>CC-056735</t>
  </si>
  <si>
    <t>CC-056729</t>
  </si>
  <si>
    <t>BB-046587</t>
  </si>
  <si>
    <t>BB-046506</t>
  </si>
  <si>
    <t>BB-046405</t>
  </si>
  <si>
    <t>CC-055216</t>
  </si>
  <si>
    <t>CC-055213</t>
  </si>
  <si>
    <t>DD-013535</t>
  </si>
  <si>
    <t>CC-057982</t>
  </si>
  <si>
    <t>CC-057871</t>
  </si>
  <si>
    <t>DD-013550</t>
  </si>
  <si>
    <t>BB-046437</t>
  </si>
  <si>
    <t>CC-057896</t>
  </si>
  <si>
    <t>BB-046631</t>
  </si>
  <si>
    <t>BB-046431</t>
  </si>
  <si>
    <t>BB-046602</t>
  </si>
  <si>
    <t>BB-046413</t>
  </si>
  <si>
    <t>BB-046469</t>
  </si>
  <si>
    <t>DD-013321</t>
  </si>
  <si>
    <t>CC-057266</t>
  </si>
  <si>
    <t>CC-057938</t>
  </si>
  <si>
    <t>BB-046595</t>
  </si>
  <si>
    <t>BB-046508</t>
  </si>
  <si>
    <t>BB-046457</t>
  </si>
  <si>
    <t>BB-046423</t>
  </si>
  <si>
    <t>CC-055205</t>
  </si>
  <si>
    <t>DD-013350</t>
  </si>
  <si>
    <t>BB-046479</t>
  </si>
  <si>
    <t>BB-046476</t>
  </si>
  <si>
    <t>BB-046482</t>
  </si>
  <si>
    <t>CC-057946</t>
  </si>
  <si>
    <t>BB-046432</t>
  </si>
  <si>
    <t>BB-046256</t>
  </si>
  <si>
    <t>BB-046439</t>
  </si>
  <si>
    <t>BB-046253</t>
  </si>
  <si>
    <t>BB-046334</t>
  </si>
  <si>
    <t>BB-019930</t>
  </si>
  <si>
    <t>BB-046585</t>
  </si>
  <si>
    <t>BB-046591</t>
  </si>
  <si>
    <t>BB-046420</t>
  </si>
  <si>
    <t>BB-046545</t>
  </si>
  <si>
    <t>BB-046600</t>
  </si>
  <si>
    <t>BB-019932</t>
  </si>
  <si>
    <t>BB-046623</t>
  </si>
  <si>
    <t>BB-046502</t>
  </si>
  <si>
    <t>AA-029112</t>
  </si>
  <si>
    <t>CC-057361</t>
  </si>
  <si>
    <t>CC-057265</t>
  </si>
  <si>
    <t>BB-046470</t>
  </si>
  <si>
    <t>BB-046581</t>
  </si>
  <si>
    <t>DD-013307</t>
  </si>
  <si>
    <t>DD-013324</t>
  </si>
  <si>
    <t>BB-046556</t>
  </si>
  <si>
    <t>BB-046565</t>
  </si>
  <si>
    <t>CC-056768</t>
  </si>
  <si>
    <t>BB-046463</t>
  </si>
  <si>
    <t>BB-046590</t>
  </si>
  <si>
    <t>BB-046503</t>
  </si>
  <si>
    <t>BB-046411</t>
  </si>
  <si>
    <t>CC-057364</t>
  </si>
  <si>
    <t>BB-046618</t>
  </si>
  <si>
    <t>ESCOBEDO-LAREDO-ESCOBEDO</t>
  </si>
  <si>
    <t>BB-046353</t>
  </si>
  <si>
    <t>BB-046576</t>
  </si>
  <si>
    <t>BB-046505</t>
  </si>
  <si>
    <t>AA-029103</t>
  </si>
  <si>
    <t>CC-057955</t>
  </si>
  <si>
    <t>AA-029047</t>
  </si>
  <si>
    <t>CC-057258</t>
  </si>
  <si>
    <t>CC-057933</t>
  </si>
  <si>
    <t>CC-057880</t>
  </si>
  <si>
    <t>CC-057956</t>
  </si>
  <si>
    <t>CC-057747</t>
  </si>
  <si>
    <t>CC-056737</t>
  </si>
  <si>
    <t>CC-056776</t>
  </si>
  <si>
    <t>AA-029032</t>
  </si>
  <si>
    <t>BB-046516</t>
  </si>
  <si>
    <t>CC-057965</t>
  </si>
  <si>
    <t>BGU - EL SALTO</t>
  </si>
  <si>
    <t>BB-046529</t>
  </si>
  <si>
    <t>CC-057275</t>
  </si>
  <si>
    <t>CC-057283</t>
  </si>
  <si>
    <t>BB-046621</t>
  </si>
  <si>
    <t>BB-046571</t>
  </si>
  <si>
    <t>BB-046575</t>
  </si>
  <si>
    <t>BB-046460</t>
  </si>
  <si>
    <t>BB-046578</t>
  </si>
  <si>
    <t>DD-013323</t>
  </si>
  <si>
    <t>AA-029029</t>
  </si>
  <si>
    <t>DD-013355</t>
  </si>
  <si>
    <t>DD-013322</t>
  </si>
  <si>
    <t>BB-046487</t>
  </si>
  <si>
    <t>BB-019929</t>
  </si>
  <si>
    <t>CC-057255</t>
  </si>
  <si>
    <t>CC-057246</t>
  </si>
  <si>
    <t>CC-057273</t>
  </si>
  <si>
    <t>CC-057329</t>
  </si>
  <si>
    <t>BB-046523</t>
  </si>
  <si>
    <t>BB-046504</t>
  </si>
  <si>
    <t>AA-029005</t>
  </si>
  <si>
    <t>BB-046532</t>
  </si>
  <si>
    <t>CC-056773</t>
  </si>
  <si>
    <t>CC-056743</t>
  </si>
  <si>
    <t>BB-046599</t>
  </si>
  <si>
    <t>BB-046509</t>
  </si>
  <si>
    <t>DD-013319</t>
  </si>
  <si>
    <t>BB-046464</t>
  </si>
  <si>
    <t>BB-046458</t>
  </si>
  <si>
    <t>CC-057974</t>
  </si>
  <si>
    <t>DD-013320</t>
  </si>
  <si>
    <t>AA-029109</t>
  </si>
  <si>
    <t>CC-057894</t>
  </si>
  <si>
    <t>BB-046403</t>
  </si>
  <si>
    <t>CC-057901</t>
  </si>
  <si>
    <t>BB-046351</t>
  </si>
  <si>
    <t>BB-046409</t>
  </si>
  <si>
    <t>DD-013343</t>
  </si>
  <si>
    <t>CC-056770</t>
  </si>
  <si>
    <t>DD-013334</t>
  </si>
  <si>
    <t>BB-046510</t>
  </si>
  <si>
    <t>CC-058034</t>
  </si>
  <si>
    <t>CC-056779</t>
  </si>
  <si>
    <t>AA-029123</t>
  </si>
  <si>
    <t>CC-057980</t>
  </si>
  <si>
    <t>BB-046603</t>
  </si>
  <si>
    <t>BB-046480</t>
  </si>
  <si>
    <t>AA-029044</t>
  </si>
  <si>
    <t>CC-056728</t>
  </si>
  <si>
    <t>BB-046278</t>
  </si>
  <si>
    <t>BB-046546</t>
  </si>
  <si>
    <t>BB-046422</t>
  </si>
  <si>
    <t>DD-013353</t>
  </si>
  <si>
    <t>BB-046593</t>
  </si>
  <si>
    <t>AA-029120</t>
  </si>
  <si>
    <t>CC-057987</t>
  </si>
  <si>
    <t>CC-057947</t>
  </si>
  <si>
    <t>BB-046435</t>
  </si>
  <si>
    <t>BB-046259</t>
  </si>
  <si>
    <t>BB-046251</t>
  </si>
  <si>
    <t>BB-046550</t>
  </si>
  <si>
    <t>CC-056767</t>
  </si>
  <si>
    <t>BB-046284</t>
  </si>
  <si>
    <t>BB-046561</t>
  </si>
  <si>
    <t>BB-046277</t>
  </si>
  <si>
    <t>BB-046416</t>
  </si>
  <si>
    <t>BB-046425</t>
  </si>
  <si>
    <t>BB-046244</t>
  </si>
  <si>
    <t>BB-046558</t>
  </si>
  <si>
    <t>AA-029168</t>
  </si>
  <si>
    <t>BB-046461</t>
  </si>
  <si>
    <t>BB-046582</t>
  </si>
  <si>
    <t>CC-057733</t>
  </si>
  <si>
    <t>AA-029124</t>
  </si>
  <si>
    <t>DD-013541</t>
  </si>
  <si>
    <t>DD-013362</t>
  </si>
  <si>
    <t>AA-029035</t>
  </si>
  <si>
    <t>DD-013325</t>
  </si>
  <si>
    <t>BB-046465</t>
  </si>
  <si>
    <t>CC-057973</t>
  </si>
  <si>
    <t>BB-046583</t>
  </si>
  <si>
    <t>CC-057970</t>
  </si>
  <si>
    <t>AA-029105</t>
  </si>
  <si>
    <t>CC-056751</t>
  </si>
  <si>
    <t>CC-057269</t>
  </si>
  <si>
    <t>CC-057272</t>
  </si>
  <si>
    <t>CC-057323</t>
  </si>
  <si>
    <t>DD-013308</t>
  </si>
  <si>
    <t>DD-013519</t>
  </si>
  <si>
    <t>CC-057903</t>
  </si>
  <si>
    <t>BB-046407</t>
  </si>
  <si>
    <t>BB-046462</t>
  </si>
  <si>
    <t>BB-046459</t>
  </si>
  <si>
    <t>CC-056778</t>
  </si>
  <si>
    <t>CC-056781</t>
  </si>
  <si>
    <t>BB-046586</t>
  </si>
  <si>
    <t>BB-019931</t>
  </si>
  <si>
    <t>BB-046239</t>
  </si>
  <si>
    <t>DD-013341</t>
  </si>
  <si>
    <t>BB-046533</t>
  </si>
  <si>
    <t>BB-046577</t>
  </si>
  <si>
    <t>BB-046580</t>
  </si>
  <si>
    <t>AA-029111</t>
  </si>
  <si>
    <t>AA-029167</t>
  </si>
  <si>
    <t>SencFull</t>
  </si>
  <si>
    <t>fraccion</t>
  </si>
  <si>
    <t>Sencillo</t>
  </si>
  <si>
    <t>Full</t>
  </si>
  <si>
    <t>CC-058007</t>
  </si>
  <si>
    <t>CF-000352</t>
  </si>
  <si>
    <t>CC-058309</t>
  </si>
  <si>
    <t>CC-058315</t>
  </si>
  <si>
    <t>AA-029177</t>
  </si>
  <si>
    <t>AF-000081</t>
  </si>
  <si>
    <t>CC-056794</t>
  </si>
  <si>
    <t>CC-056803</t>
  </si>
  <si>
    <t>CC-056804</t>
  </si>
  <si>
    <t>CC-058066</t>
  </si>
  <si>
    <t>AA-029184</t>
  </si>
  <si>
    <t>CC-056796</t>
  </si>
  <si>
    <t>CC-056799</t>
  </si>
  <si>
    <t>CC-058308</t>
  </si>
  <si>
    <t>CC-058310</t>
  </si>
  <si>
    <t>AA-028871</t>
  </si>
  <si>
    <t>AA-029186</t>
  </si>
  <si>
    <t>AA-029183</t>
  </si>
  <si>
    <t>BF-000403</t>
  </si>
  <si>
    <t>BB-046496</t>
  </si>
  <si>
    <t>BF-000405</t>
  </si>
  <si>
    <t>AA-029176</t>
  </si>
  <si>
    <t>AA-029147</t>
  </si>
  <si>
    <t>CC-057995</t>
  </si>
  <si>
    <t>CC-058067</t>
  </si>
  <si>
    <t>CC-058032</t>
  </si>
  <si>
    <t>AA-029182</t>
  </si>
  <si>
    <t>AA-029196</t>
  </si>
  <si>
    <t>BB-046672</t>
  </si>
  <si>
    <t>BB-046675</t>
  </si>
  <si>
    <t>DD-013371</t>
  </si>
  <si>
    <t>DD-013365</t>
  </si>
  <si>
    <t>AA-029226</t>
  </si>
  <si>
    <t>AA-029160</t>
  </si>
  <si>
    <t>CC-057951</t>
  </si>
  <si>
    <t>BB-046489</t>
  </si>
  <si>
    <t>AA-029161</t>
  </si>
  <si>
    <t>BB-046649</t>
  </si>
  <si>
    <t>BB-046492</t>
  </si>
  <si>
    <t>AA-029152</t>
  </si>
  <si>
    <t>AA-029212</t>
  </si>
  <si>
    <t>CC-056797</t>
  </si>
  <si>
    <t>CC-057202</t>
  </si>
  <si>
    <t>DD-013347</t>
  </si>
  <si>
    <t>BB-046673</t>
  </si>
  <si>
    <t>BF-000404</t>
  </si>
  <si>
    <t>AA-029178</t>
  </si>
  <si>
    <t>BF-000406</t>
  </si>
  <si>
    <t>AA-029155</t>
  </si>
  <si>
    <t>CC-056800</t>
  </si>
  <si>
    <t>CC-058301</t>
  </si>
  <si>
    <t>CC-057203</t>
  </si>
  <si>
    <t>BF-000401</t>
  </si>
  <si>
    <t>DD-013337</t>
  </si>
  <si>
    <t>AA-029145</t>
  </si>
  <si>
    <t>AA-029149</t>
  </si>
  <si>
    <t>BB-046614</t>
  </si>
  <si>
    <t>CC-058060</t>
  </si>
  <si>
    <t>AA-029190</t>
  </si>
  <si>
    <t>DD-013302</t>
  </si>
  <si>
    <t>DD-013358</t>
  </si>
  <si>
    <t>CC-058314</t>
  </si>
  <si>
    <t>BB-046642</t>
  </si>
  <si>
    <t>AA-029202</t>
  </si>
  <si>
    <t>CC-058031</t>
  </si>
  <si>
    <t>BF-000402</t>
  </si>
  <si>
    <t>CC-058047</t>
  </si>
  <si>
    <t>AA-029134</t>
  </si>
  <si>
    <t>AA-029187</t>
  </si>
  <si>
    <t>CC-057908</t>
  </si>
  <si>
    <t>CC-058069</t>
  </si>
  <si>
    <t>CC-058028</t>
  </si>
  <si>
    <t>AA-029193</t>
  </si>
  <si>
    <t>BB-046648</t>
  </si>
  <si>
    <t>CC-058068</t>
  </si>
  <si>
    <t>CC-057844</t>
  </si>
  <si>
    <t>CC-057664</t>
  </si>
  <si>
    <t>CC-058062</t>
  </si>
  <si>
    <t>BB-046611</t>
  </si>
  <si>
    <t>DD-013354</t>
  </si>
  <si>
    <t>CC-057928</t>
  </si>
  <si>
    <t>CC-056789</t>
  </si>
  <si>
    <t>HERMOSILLO * LA HERRADURA * HERMOSILLO</t>
  </si>
  <si>
    <t>BB-046651</t>
  </si>
  <si>
    <t>DD-013378</t>
  </si>
  <si>
    <t>CC-057843</t>
  </si>
  <si>
    <t>DD-013374</t>
  </si>
  <si>
    <t>AA-029151</t>
  </si>
  <si>
    <t>CC-057964</t>
  </si>
  <si>
    <t>CC-058072</t>
  </si>
  <si>
    <t>CC-057710</t>
  </si>
  <si>
    <t>CC-057925</t>
  </si>
  <si>
    <t>BB-046607</t>
  </si>
  <si>
    <t>CC-057791</t>
  </si>
  <si>
    <t>AA-029141</t>
  </si>
  <si>
    <t>BB-046664</t>
  </si>
  <si>
    <t>AA-029201</t>
  </si>
  <si>
    <t>CC-058000</t>
  </si>
  <si>
    <t>CC-058040</t>
  </si>
  <si>
    <t>AA-029195</t>
  </si>
  <si>
    <t>AA-029198</t>
  </si>
  <si>
    <t>AA-029139</t>
  </si>
  <si>
    <t>AA-029181</t>
  </si>
  <si>
    <t>CC-057950</t>
  </si>
  <si>
    <t>BB-046606</t>
  </si>
  <si>
    <t>BB-046490</t>
  </si>
  <si>
    <t>AA-029143</t>
  </si>
  <si>
    <t>CC-058063</t>
  </si>
  <si>
    <t>DD-013368</t>
  </si>
  <si>
    <t>CC-058065</t>
  </si>
  <si>
    <t>CC-058027</t>
  </si>
  <si>
    <t>AA-029200</t>
  </si>
  <si>
    <t>DD-013364</t>
  </si>
  <si>
    <t>BB-046670</t>
  </si>
  <si>
    <t>AA-029199</t>
  </si>
  <si>
    <t>AA-029215</t>
  </si>
  <si>
    <t>CC-058004</t>
  </si>
  <si>
    <t>BB-046344</t>
  </si>
  <si>
    <t>AA-029192</t>
  </si>
  <si>
    <t>CC-058050</t>
  </si>
  <si>
    <t>DD-013366</t>
  </si>
  <si>
    <t>BB-046665</t>
  </si>
  <si>
    <t>BB-046668</t>
  </si>
  <si>
    <t>CC-058071</t>
  </si>
  <si>
    <t>CC-058030</t>
  </si>
  <si>
    <t>CC-057788</t>
  </si>
  <si>
    <t>BB-046535</t>
  </si>
  <si>
    <t>BB-046663</t>
  </si>
  <si>
    <t>DD-013377</t>
  </si>
  <si>
    <t>CC-058100</t>
  </si>
  <si>
    <t>BB-046500</t>
  </si>
  <si>
    <t>CC-058016</t>
  </si>
  <si>
    <t>CC-058053</t>
  </si>
  <si>
    <t>AA-029166</t>
  </si>
  <si>
    <t>BB-046657</t>
  </si>
  <si>
    <t>DD-013369</t>
  </si>
  <si>
    <t>CC-057748</t>
  </si>
  <si>
    <t>CC-057960</t>
  </si>
  <si>
    <t>CC-058304</t>
  </si>
  <si>
    <t>CC-057930</t>
  </si>
  <si>
    <t>CC-057927</t>
  </si>
  <si>
    <t>AA-029142</t>
  </si>
  <si>
    <t>AA-029101</t>
  </si>
  <si>
    <t>BB-046613</t>
  </si>
  <si>
    <t>BB-046612</t>
  </si>
  <si>
    <t>BB-046610</t>
  </si>
  <si>
    <t>CC-058045</t>
  </si>
  <si>
    <t>CC-056795</t>
  </si>
  <si>
    <t>CC-058313</t>
  </si>
  <si>
    <t>CC-058302</t>
  </si>
  <si>
    <t>AA-029197</t>
  </si>
  <si>
    <t>CC-058013</t>
  </si>
  <si>
    <t>CC-058070</t>
  </si>
  <si>
    <t>CC-058306</t>
  </si>
  <si>
    <t>CC-058001</t>
  </si>
  <si>
    <t>CC-058018</t>
  </si>
  <si>
    <t>CC-056801</t>
  </si>
  <si>
    <t>CC-058312</t>
  </si>
  <si>
    <t>BB-046666</t>
  </si>
  <si>
    <t>BB-046669</t>
  </si>
  <si>
    <t>CC-058038</t>
  </si>
  <si>
    <t>AA-029179</t>
  </si>
  <si>
    <t>BB-046640</t>
  </si>
  <si>
    <t>CC-057663</t>
  </si>
  <si>
    <t>CC-057999</t>
  </si>
  <si>
    <t>CC-058307</t>
  </si>
  <si>
    <t>CC-058012</t>
  </si>
  <si>
    <t>DD-013370</t>
  </si>
  <si>
    <t>BB-046646</t>
  </si>
  <si>
    <t>CC-056798</t>
  </si>
  <si>
    <t>AA-029225</t>
  </si>
  <si>
    <t>CC-058003</t>
  </si>
  <si>
    <t>DD-013375</t>
  </si>
  <si>
    <t>CC-057205</t>
  </si>
  <si>
    <t>AA-029162</t>
  </si>
  <si>
    <t>CC-058061</t>
  </si>
  <si>
    <t>AA-029189</t>
  </si>
  <si>
    <t>CC-057790</t>
  </si>
  <si>
    <t>CC-057842</t>
  </si>
  <si>
    <t>CC-057787</t>
  </si>
  <si>
    <t>CC-057793</t>
  </si>
  <si>
    <t>BB-046647</t>
  </si>
  <si>
    <t>CC-056802</t>
  </si>
  <si>
    <t>AA-029133</t>
  </si>
  <si>
    <t>CC-058043</t>
  </si>
  <si>
    <t>CC-058049</t>
  </si>
  <si>
    <t>CC-058048</t>
  </si>
  <si>
    <t>CC-058037</t>
  </si>
  <si>
    <t>CC-058093</t>
  </si>
  <si>
    <t>BB-046636</t>
  </si>
  <si>
    <t>CC-057929</t>
  </si>
  <si>
    <t>AA-029194</t>
  </si>
  <si>
    <t>BB-046674</t>
  </si>
  <si>
    <t>CC-057711</t>
  </si>
  <si>
    <t>AA-029228</t>
  </si>
  <si>
    <t>CC-058011</t>
  </si>
  <si>
    <t>CC-058042</t>
  </si>
  <si>
    <t>CC-058039</t>
  </si>
  <si>
    <t>BB-046634</t>
  </si>
  <si>
    <t>AA-029185</t>
  </si>
  <si>
    <t>CC-058026</t>
  </si>
  <si>
    <t>CC-058002</t>
  </si>
  <si>
    <t>AA-029174</t>
  </si>
  <si>
    <t>AA-029153</t>
  </si>
  <si>
    <t>BB-046653</t>
  </si>
  <si>
    <t>BB-046671</t>
  </si>
  <si>
    <t>BB-046419</t>
  </si>
  <si>
    <t>BB-046643</t>
  </si>
  <si>
    <t>CC-058064</t>
  </si>
  <si>
    <t>BB-046519</t>
  </si>
  <si>
    <t>CC-058005</t>
  </si>
  <si>
    <t>CC-058008</t>
  </si>
  <si>
    <t>AA-029188</t>
  </si>
  <si>
    <t>AA-029135</t>
  </si>
  <si>
    <t>AA-029165</t>
  </si>
  <si>
    <t>AA-029156</t>
  </si>
  <si>
    <t>BB-046635</t>
  </si>
  <si>
    <t>BB-046483</t>
  </si>
  <si>
    <t>AA-029191</t>
  </si>
  <si>
    <t>AA-029159</t>
  </si>
  <si>
    <t>BB-046644</t>
  </si>
  <si>
    <t>CC-058305</t>
  </si>
  <si>
    <t>CC-058009</t>
  </si>
  <si>
    <t>AA-029180</t>
  </si>
  <si>
    <t>AA-029175</t>
  </si>
  <si>
    <t>BB-046414</t>
  </si>
  <si>
    <t>BB-046471</t>
  </si>
  <si>
    <t>CC-058006</t>
  </si>
  <si>
    <t>CC-057210</t>
  </si>
  <si>
    <t>CC-057204</t>
  </si>
  <si>
    <t>CC-058014</t>
  </si>
  <si>
    <t>CC-057792</t>
  </si>
  <si>
    <t>CC-057841</t>
  </si>
  <si>
    <t>BB-046524</t>
  </si>
  <si>
    <t>CC-057749</t>
  </si>
  <si>
    <t>CC-057789</t>
  </si>
  <si>
    <t>AA-029164</t>
  </si>
  <si>
    <t>CC-058054</t>
  </si>
  <si>
    <t>BB-046530</t>
  </si>
  <si>
    <t>AA-029250</t>
  </si>
  <si>
    <t>AA-029243</t>
  </si>
  <si>
    <t>AA-029232</t>
  </si>
  <si>
    <t>AA-029253</t>
  </si>
  <si>
    <t>AA-029227</t>
  </si>
  <si>
    <t>AA-029224</t>
  </si>
  <si>
    <t>AA-029222</t>
  </si>
  <si>
    <t>AA-029208</t>
  </si>
  <si>
    <t>AA-029242</t>
  </si>
  <si>
    <t>AA-029267</t>
  </si>
  <si>
    <t>BB-046730</t>
  </si>
  <si>
    <t>BB-046733</t>
  </si>
  <si>
    <t>DD-013345</t>
  </si>
  <si>
    <t>CC-056822</t>
  </si>
  <si>
    <t>BB-046527</t>
  </si>
  <si>
    <t>BB-046521</t>
  </si>
  <si>
    <t>CC-055222</t>
  </si>
  <si>
    <t>CC-055221</t>
  </si>
  <si>
    <t>CC-056816</t>
  </si>
  <si>
    <t>DD-013361</t>
  </si>
  <si>
    <t>CC-056835</t>
  </si>
  <si>
    <t>AA-029244</t>
  </si>
  <si>
    <t>AA-029246</t>
  </si>
  <si>
    <t>AA-029223</t>
  </si>
  <si>
    <t>AA-029220</t>
  </si>
  <si>
    <t>AA-029229</t>
  </si>
  <si>
    <t>AA-029254</t>
  </si>
  <si>
    <t>CC-056823</t>
  </si>
  <si>
    <t>CC-056807</t>
  </si>
  <si>
    <t>DD-013392</t>
  </si>
  <si>
    <t>DD-013376</t>
  </si>
  <si>
    <t>CC-056806</t>
  </si>
  <si>
    <t>AA-029245</t>
  </si>
  <si>
    <t>BB-046715</t>
  </si>
  <si>
    <t>BB-046721</t>
  </si>
  <si>
    <t>BB-046718</t>
  </si>
  <si>
    <t>CC-055220</t>
  </si>
  <si>
    <t>CC-055223</t>
  </si>
  <si>
    <t>CC-056831</t>
  </si>
  <si>
    <t>DD-013403</t>
  </si>
  <si>
    <t>BB-019942</t>
  </si>
  <si>
    <t>CC-056826</t>
  </si>
  <si>
    <t>CC-056827</t>
  </si>
  <si>
    <t>AA-029234</t>
  </si>
  <si>
    <t>CC-056828</t>
  </si>
  <si>
    <t>DD-013405</t>
  </si>
  <si>
    <t>DD-013391</t>
  </si>
  <si>
    <t>CC-056825</t>
  </si>
  <si>
    <t>AA-029231</t>
  </si>
  <si>
    <t>AA-029255</t>
  </si>
  <si>
    <t>AA-029240</t>
  </si>
  <si>
    <t>DD-013396</t>
  </si>
  <si>
    <t>BB-046528</t>
  </si>
  <si>
    <t>DD-013373</t>
  </si>
  <si>
    <t>DD-013397</t>
  </si>
  <si>
    <t>DD-013390</t>
  </si>
  <si>
    <t>CC-055227</t>
  </si>
  <si>
    <t>CC-056817</t>
  </si>
  <si>
    <t>CC-055228</t>
  </si>
  <si>
    <t>CC-055224</t>
  </si>
  <si>
    <t>AA-029238</t>
  </si>
  <si>
    <t>CC-055207</t>
  </si>
  <si>
    <t>AA-029204</t>
  </si>
  <si>
    <t>DD-013372</t>
  </si>
  <si>
    <t>BB-046689</t>
  </si>
  <si>
    <t>AA-029249</t>
  </si>
  <si>
    <t>AA-029216</t>
  </si>
  <si>
    <t>AA-029207</t>
  </si>
  <si>
    <t>BB-046697</t>
  </si>
  <si>
    <t>CC-056810</t>
  </si>
  <si>
    <t>AA-029268</t>
  </si>
  <si>
    <t>AA-029172</t>
  </si>
  <si>
    <t>BB-046719</t>
  </si>
  <si>
    <t>BB-046696</t>
  </si>
  <si>
    <t>BB-046732</t>
  </si>
  <si>
    <t>AA-029210</t>
  </si>
  <si>
    <t>BB-046690</t>
  </si>
  <si>
    <t>CC-055214</t>
  </si>
  <si>
    <t>BB-046695</t>
  </si>
  <si>
    <t>AA-029251</t>
  </si>
  <si>
    <t>AA-029209</t>
  </si>
  <si>
    <t>DD-013356</t>
  </si>
  <si>
    <t>DD-013402</t>
  </si>
  <si>
    <t>AA-029205</t>
  </si>
  <si>
    <t>AA-029213</t>
  </si>
  <si>
    <t>BB-046654</t>
  </si>
  <si>
    <t>BB-046681</t>
  </si>
  <si>
    <t>BB-046698</t>
  </si>
  <si>
    <t>AA-029206</t>
  </si>
  <si>
    <t>DD-013387</t>
  </si>
  <si>
    <t>DD-013393</t>
  </si>
  <si>
    <t>AA-029241</t>
  </si>
  <si>
    <t>BB-046729</t>
  </si>
  <si>
    <t>BB-046723</t>
  </si>
  <si>
    <t>BB-046741</t>
  </si>
  <si>
    <t>AA-029144</t>
  </si>
  <si>
    <t>CC-056830</t>
  </si>
  <si>
    <t>BB-046707</t>
  </si>
  <si>
    <t>CC-056832</t>
  </si>
  <si>
    <t>DD-013389</t>
  </si>
  <si>
    <t>BB-046725</t>
  </si>
  <si>
    <t>CC-056824</t>
  </si>
  <si>
    <t>BB-046722</t>
  </si>
  <si>
    <t>AA-029214</t>
  </si>
  <si>
    <t>DD-013360</t>
  </si>
  <si>
    <t>DD-013398</t>
  </si>
  <si>
    <t>DD-013395</t>
  </si>
  <si>
    <t>BB-046712</t>
  </si>
  <si>
    <t>CC-056809</t>
  </si>
  <si>
    <t>AA-029218</t>
  </si>
  <si>
    <t>BB-046728</t>
  </si>
  <si>
    <t>AA-029219</t>
  </si>
  <si>
    <t>BB-046731</t>
  </si>
  <si>
    <t>AA-029211</t>
  </si>
  <si>
    <t>AA-029239</t>
  </si>
  <si>
    <t>CC-056812</t>
  </si>
  <si>
    <t>AA-029221</t>
  </si>
  <si>
    <t>DD-013388</t>
  </si>
  <si>
    <t>DD-013357</t>
  </si>
  <si>
    <t>DD-013382</t>
  </si>
  <si>
    <t>CC-056821</t>
  </si>
  <si>
    <t>BB-046705</t>
  </si>
  <si>
    <t>BB-046708</t>
  </si>
  <si>
    <t>DD-013383</t>
  </si>
  <si>
    <t>CC-056818</t>
  </si>
  <si>
    <t>AA-029217</t>
  </si>
  <si>
    <t>AA-029236</t>
  </si>
  <si>
    <t>AA-029173</t>
  </si>
  <si>
    <t>AA-029170</t>
  </si>
  <si>
    <t>BB-046717</t>
  </si>
  <si>
    <t>BB-046714</t>
  </si>
  <si>
    <t>AA-029230</t>
  </si>
  <si>
    <t>BB-046742</t>
  </si>
  <si>
    <t>CC-056808</t>
  </si>
  <si>
    <t>CC-056811</t>
  </si>
  <si>
    <t>BB-046716</t>
  </si>
  <si>
    <t>BB-046706</t>
  </si>
  <si>
    <t>BB-046709</t>
  </si>
  <si>
    <t>CC-055217</t>
  </si>
  <si>
    <t>BB-046713</t>
  </si>
  <si>
    <t>ESTADO DE RESULTADOS     PRESUPUESTO 2012</t>
  </si>
  <si>
    <t>Premisas para cálculo de presupuesto</t>
  </si>
  <si>
    <t>Gastos de mantenimiento</t>
  </si>
  <si>
    <t>Incremento de salarios</t>
  </si>
  <si>
    <t>Mes de incremento</t>
  </si>
  <si>
    <t>Inflación Acumulada</t>
  </si>
  <si>
    <t>IESPS ($/Litro)</t>
  </si>
  <si>
    <t>Precio Lt diesel Ene-2012</t>
  </si>
  <si>
    <t>Inc. Mensual Lt ($)</t>
  </si>
  <si>
    <t>TRANSPORTES BONAMPAK SA DE CV</t>
  </si>
  <si>
    <t>SALDOS ARRENDAMIENTO FINANCIERO  2012</t>
  </si>
  <si>
    <t>TOTALES</t>
  </si>
  <si>
    <t>LARGO P.</t>
  </si>
  <si>
    <t>CORTO P.</t>
  </si>
  <si>
    <t>CARGOS DIFERIDOS</t>
  </si>
  <si>
    <t>ORIZABA</t>
  </si>
  <si>
    <t>RAMOS</t>
  </si>
  <si>
    <t>ACTIVOS ARRENDADOS</t>
  </si>
  <si>
    <t>SALDOS</t>
  </si>
  <si>
    <t xml:space="preserve">LARGO </t>
  </si>
  <si>
    <t xml:space="preserve">CORTO </t>
  </si>
  <si>
    <t>PLAZO</t>
  </si>
  <si>
    <t>BALANCE</t>
  </si>
  <si>
    <t>ACREEDORES DIVERSOS CORTO PLAZO</t>
  </si>
  <si>
    <t>ACREEDORES DIVERSOS LARGO  PLAZO</t>
  </si>
  <si>
    <t>RESULTADOS</t>
  </si>
  <si>
    <t>INTERESES ARRENDAMIENTO FINANCIERO</t>
  </si>
  <si>
    <t>COMISIONES Y PÉRDIDA EN T.C</t>
  </si>
  <si>
    <t>GASTO FINANCIERO</t>
  </si>
  <si>
    <t>ISR</t>
  </si>
  <si>
    <t>Tasa de ISR sobre producto de operación</t>
  </si>
  <si>
    <t>Gastos de Transportación</t>
  </si>
  <si>
    <t>Provisión ISR diferido</t>
  </si>
  <si>
    <t xml:space="preserve"> BALANCE GENERAL EJERCICIO 2011  V.S. 2012</t>
  </si>
  <si>
    <t>MOVIMIENTOS DE FONDOS TRIMESTRAL EJERCICIO 2012</t>
  </si>
  <si>
    <t xml:space="preserve">      5.2 INVERSIONES A CONSIDERACION EN 2012</t>
  </si>
  <si>
    <t>INDICADORES FINANCIEROS PRESUPUESTO DE 2012</t>
  </si>
  <si>
    <t>Pres.2012</t>
  </si>
  <si>
    <t xml:space="preserve">        TRANSPORTES BONAMPAK, S.A. DE C.V. INDICADORES DE OPERACIÓN -PRESUPUESTO 2012</t>
  </si>
  <si>
    <t>PRIMAS DE SEGUROS POR AMORTIZAR</t>
  </si>
  <si>
    <t>TOTAL  CARGOS DIFERIDOS</t>
  </si>
  <si>
    <t>PROVISION P.T.U.</t>
  </si>
  <si>
    <t>PROV. SEGUROS AUTOS CAMIONES</t>
  </si>
  <si>
    <t>RESERVA PRIMA DE ANTIGÜEDAD E INDEMN.</t>
  </si>
  <si>
    <t>PROVISION  GRATIFICACIÓN ANUAL</t>
  </si>
  <si>
    <t>TOTAL RESERVA</t>
  </si>
  <si>
    <t>Acreedores a Largo Plazo</t>
  </si>
  <si>
    <t>Acreedores Largo Plazo</t>
  </si>
  <si>
    <t xml:space="preserve">   Contenido</t>
  </si>
  <si>
    <t>Resumen Ejecutivo</t>
  </si>
  <si>
    <t>1. Información Macroeconómica</t>
  </si>
  <si>
    <t>Bases del Presupuesto</t>
  </si>
  <si>
    <t>2.1 Cifras Sobresalientes</t>
  </si>
  <si>
    <t>2.2 Comparativo de Resultados Histórico</t>
  </si>
  <si>
    <r>
      <t xml:space="preserve">2.2 "A" Comparativo de Resultados </t>
    </r>
    <r>
      <rPr>
        <i/>
        <u/>
        <sz val="16"/>
        <rFont val="Arial"/>
        <family val="2"/>
      </rPr>
      <t>Reexpresado</t>
    </r>
  </si>
  <si>
    <t>2.3 Comparativo de Balance y Razones Financieras</t>
  </si>
  <si>
    <t xml:space="preserve">Presupuesto </t>
  </si>
  <si>
    <t>3.2 Personal y Kilómetros Recorridos</t>
  </si>
  <si>
    <t>3.3 Presupuesto de Inversiones</t>
  </si>
  <si>
    <t>3.4 Presupuesto de Estado de Resultados Histórico</t>
  </si>
  <si>
    <r>
      <t xml:space="preserve">3.4 "A" Presupuesto de Estado de Resultados </t>
    </r>
    <r>
      <rPr>
        <i/>
        <u/>
        <sz val="16"/>
        <rFont val="Arial"/>
        <family val="2"/>
      </rPr>
      <t>Reexpresado</t>
    </r>
  </si>
  <si>
    <t>3.5 Presupuesto de Balance General</t>
  </si>
  <si>
    <t>3.6 Presupuesto de Flujo de Caja</t>
  </si>
  <si>
    <t>3.7 Presupuesto de Costos de Operación</t>
  </si>
  <si>
    <t>3.8 Presupuesto de Gastos de Administración</t>
  </si>
  <si>
    <t xml:space="preserve">Transportes Bonampak SA de CV </t>
  </si>
  <si>
    <t xml:space="preserve">     1.- Información Macroeconómica</t>
  </si>
  <si>
    <t xml:space="preserve">     Bases del Presupuesto</t>
  </si>
  <si>
    <t>Observaciones</t>
  </si>
  <si>
    <t xml:space="preserve"> Inflación</t>
  </si>
  <si>
    <t>Tipo de Cambio  ( Promedio Anual )</t>
  </si>
  <si>
    <t>PIB Nacional</t>
  </si>
  <si>
    <t xml:space="preserve"> Tarifa de Fletes:</t>
  </si>
  <si>
    <t xml:space="preserve"> Gastos de Transportación:</t>
  </si>
  <si>
    <t xml:space="preserve"> Llantas</t>
  </si>
  <si>
    <t xml:space="preserve"> Diesel  y  Lubricantes</t>
  </si>
  <si>
    <t xml:space="preserve"> Casetas</t>
  </si>
  <si>
    <t xml:space="preserve"> Contrato Laboral</t>
  </si>
  <si>
    <t>Incremento a partir de Marzo</t>
  </si>
  <si>
    <t xml:space="preserve"> Placas y Tenencias</t>
  </si>
  <si>
    <t xml:space="preserve"> Seguros de Flotilla Vehicular</t>
  </si>
  <si>
    <t xml:space="preserve"> Gastos de Mantenimiento:</t>
  </si>
  <si>
    <t xml:space="preserve"> Refacciones en General</t>
  </si>
  <si>
    <t>Incremento de salarios en marzo</t>
  </si>
  <si>
    <t xml:space="preserve"> Gatos de Administración:</t>
  </si>
  <si>
    <t xml:space="preserve"> Sueldos y Prestaciones</t>
  </si>
  <si>
    <t>Incremento de Salarios en Marzo</t>
  </si>
  <si>
    <t xml:space="preserve"> Electricidad y Teléfonos</t>
  </si>
  <si>
    <t xml:space="preserve"> Seguro de Automóviles</t>
  </si>
  <si>
    <t xml:space="preserve"> Aviones y Hoteles</t>
  </si>
  <si>
    <t xml:space="preserve"> Otros</t>
  </si>
  <si>
    <t xml:space="preserve"> Gastos Financieros:</t>
  </si>
  <si>
    <t xml:space="preserve"> Tasa Activa</t>
  </si>
  <si>
    <t xml:space="preserve"> Tasa Pasiva</t>
  </si>
  <si>
    <t xml:space="preserve">  Autotransporte Macuspana, SA de CV</t>
  </si>
  <si>
    <t xml:space="preserve">    2.1- Cifras Sobresalientes</t>
  </si>
  <si>
    <t>Descripción</t>
  </si>
  <si>
    <t>A).- Datos de Operación:</t>
  </si>
  <si>
    <t xml:space="preserve"> - Kms. Recorridos</t>
  </si>
  <si>
    <t xml:space="preserve"> - No. de Unidades Promedio</t>
  </si>
  <si>
    <t xml:space="preserve"> - No. de Viajes Promedio</t>
  </si>
  <si>
    <t>B).- Volumenes y Precios de Fletes</t>
  </si>
  <si>
    <t xml:space="preserve"> Volumenes Transportados ( Tons ):</t>
  </si>
  <si>
    <t xml:space="preserve"> - Volumen de Cemento en Tolva</t>
  </si>
  <si>
    <t xml:space="preserve"> - Volumen de Cemento en Plataforma</t>
  </si>
  <si>
    <t>Total de Volumen de Cemento Transportado</t>
  </si>
  <si>
    <t>Precios Promedio de Fletes por Tonelada ( $ )</t>
  </si>
  <si>
    <r>
      <t xml:space="preserve"> - Flete Promedio por tonelada en tolva (</t>
    </r>
    <r>
      <rPr>
        <b/>
        <u/>
        <sz val="10"/>
        <rFont val="Arial"/>
        <family val="2"/>
      </rPr>
      <t>Histórico</t>
    </r>
    <r>
      <rPr>
        <sz val="10"/>
        <rFont val="Arial"/>
        <family val="2"/>
      </rPr>
      <t>)</t>
    </r>
  </si>
  <si>
    <r>
      <t xml:space="preserve"> - Flete Promedio por tonelada en plataforma (</t>
    </r>
    <r>
      <rPr>
        <b/>
        <u/>
        <sz val="10"/>
        <rFont val="Arial"/>
        <family val="2"/>
      </rPr>
      <t>Histórico</t>
    </r>
    <r>
      <rPr>
        <sz val="10"/>
        <rFont val="Arial"/>
        <family val="2"/>
      </rPr>
      <t>)</t>
    </r>
  </si>
  <si>
    <r>
      <t>Total Precio Promedio por Tonelada (</t>
    </r>
    <r>
      <rPr>
        <b/>
        <u/>
        <sz val="10"/>
        <rFont val="Arial"/>
        <family val="2"/>
      </rPr>
      <t>Histórico</t>
    </r>
    <r>
      <rPr>
        <b/>
        <sz val="10"/>
        <rFont val="Arial"/>
        <family val="2"/>
      </rPr>
      <t>)</t>
    </r>
  </si>
  <si>
    <t xml:space="preserve"> - Flete Promedio por tonelada en tolva</t>
  </si>
  <si>
    <t xml:space="preserve"> - Flete Promedio por tonelada en plataforma</t>
  </si>
  <si>
    <t>Total Precio Promedio por Tonelada</t>
  </si>
  <si>
    <t>C).- Número de Personas ( Promedio )</t>
  </si>
  <si>
    <t xml:space="preserve"> - Administración</t>
  </si>
  <si>
    <t xml:space="preserve"> - Mantenimiento y Operación</t>
  </si>
  <si>
    <t xml:space="preserve"> - Operadores</t>
  </si>
  <si>
    <t>Total Personal Propio</t>
  </si>
  <si>
    <t xml:space="preserve"> - Contratistas</t>
  </si>
  <si>
    <t>Total Personal</t>
  </si>
  <si>
    <t>Número de Viajes</t>
  </si>
  <si>
    <t xml:space="preserve">     Presupuesto 1997</t>
  </si>
  <si>
    <t xml:space="preserve">     2.2 A- Comparativo de Resultados</t>
  </si>
  <si>
    <t>3.- Comparativo de Resultados</t>
  </si>
  <si>
    <t>Real. vs. Pres.96</t>
  </si>
  <si>
    <t>Presp.97 vs. Real 96</t>
  </si>
  <si>
    <t>Resultados</t>
  </si>
  <si>
    <t xml:space="preserve">Resultados </t>
  </si>
  <si>
    <t>Producto Neto</t>
  </si>
  <si>
    <t>Mayores Ingresos por incremento en volumenes de Cemento</t>
  </si>
  <si>
    <t>Costo de Operación</t>
  </si>
  <si>
    <t>Reducción de costos por medidas de Productividad</t>
  </si>
  <si>
    <t>Se tiene incremento por Inflación</t>
  </si>
  <si>
    <t>Utilidad Bruta</t>
  </si>
  <si>
    <t>Gastos de Administración</t>
  </si>
  <si>
    <t>Reducción de Gastos por medidas de Productividad</t>
  </si>
  <si>
    <t>Depreciación</t>
  </si>
  <si>
    <t>Incremento por Adquisición y Renovación de Equipo en 94/95</t>
  </si>
  <si>
    <t xml:space="preserve">Otros Gastos ( Productos ) Ord. </t>
  </si>
  <si>
    <t>Reducción en compras de refacciones</t>
  </si>
  <si>
    <t>UAFIR</t>
  </si>
  <si>
    <t>Gastos ( Productos ) Financieros</t>
  </si>
  <si>
    <t>Reducción en los gastos al prepagar los créditos Bancarios</t>
  </si>
  <si>
    <t>Incremento por el aumento de los Activos.</t>
  </si>
  <si>
    <t>Provisión de IMPAC</t>
  </si>
  <si>
    <t>Utilidad Neta</t>
  </si>
  <si>
    <t>Provisión PTU</t>
  </si>
  <si>
    <t xml:space="preserve">     Presupuesto 1996</t>
  </si>
  <si>
    <t xml:space="preserve">     2.3- Balance y Razones Financieras</t>
  </si>
  <si>
    <t>5.- Balance y Razones Financieras</t>
  </si>
  <si>
    <t>Balance General</t>
  </si>
  <si>
    <t>en</t>
  </si>
  <si>
    <t>Comentarios</t>
  </si>
  <si>
    <t>Previo</t>
  </si>
  <si>
    <t>Est. vs. Pres.96</t>
  </si>
  <si>
    <t>Presp.96 vs. Est.97</t>
  </si>
  <si>
    <t>Activo Total</t>
  </si>
  <si>
    <t>Amortización de Intereses Anticipados</t>
  </si>
  <si>
    <t>Pasivo Total</t>
  </si>
  <si>
    <t>Pagos y  Anticipados de Créditos Bancarios</t>
  </si>
  <si>
    <t>Patrimonio</t>
  </si>
  <si>
    <t>Incremento por Medidas de Produc. y Volumén</t>
  </si>
  <si>
    <t>Razones Financieras</t>
  </si>
  <si>
    <t>Flujo de Efectivo / Producto Neto</t>
  </si>
  <si>
    <t>Razon Circulante</t>
  </si>
  <si>
    <t>Reducción de Pasivos a corto plazo</t>
  </si>
  <si>
    <t>Utilidad Neta / Producto Neto</t>
  </si>
  <si>
    <t>Razon Pasivo a Capital</t>
  </si>
  <si>
    <t>Pagos de Créditos y Medidas de Productividad</t>
  </si>
  <si>
    <t>Razón Circulante ( Veces )</t>
  </si>
  <si>
    <t>Cobertura de la Deuda (Deuda Total a Activo Total)</t>
  </si>
  <si>
    <t>N/D</t>
  </si>
  <si>
    <t>3.1 Volumenes a transportar</t>
  </si>
  <si>
    <t xml:space="preserve">     3.2- Presupuesto del Informe Administrativo / Personal y Kilometros Recorridos</t>
  </si>
  <si>
    <t xml:space="preserve">     Bases del Presupuesto Operativo</t>
  </si>
  <si>
    <t>2.- Personal a Fin de Mes</t>
  </si>
  <si>
    <t>2.1. Administración</t>
  </si>
  <si>
    <t>2.2. Choferes</t>
  </si>
  <si>
    <t xml:space="preserve">   2.2.1. Tolvas</t>
  </si>
  <si>
    <t xml:space="preserve">   2.2.3. Posturero</t>
  </si>
  <si>
    <t xml:space="preserve">   Total</t>
  </si>
  <si>
    <t>2.3. Otros (Taller-Mtto-Operación)</t>
  </si>
  <si>
    <t>3.- Producto de Operaciones</t>
  </si>
  <si>
    <t>3.1. Producto Neto Operaciones</t>
  </si>
  <si>
    <t xml:space="preserve">   3.1.1. Tolva</t>
  </si>
  <si>
    <t xml:space="preserve">   3.1.2. Plataforma</t>
  </si>
  <si>
    <t xml:space="preserve">   3.1.7. Otros Fletes</t>
  </si>
  <si>
    <t>4.- Klms. Recorridos</t>
  </si>
  <si>
    <t xml:space="preserve">   4.1.1. Kms. Recorridos Totales</t>
  </si>
  <si>
    <t xml:space="preserve">   4.1.2. Kms. Recorridos Promedio/Unidad</t>
  </si>
  <si>
    <t xml:space="preserve">   4.1.3. Kms. Recorridos Promedio/ Viaje (Ida)</t>
  </si>
  <si>
    <t xml:space="preserve">     3.1 - Volúmenes a transportar</t>
  </si>
  <si>
    <t xml:space="preserve">3.5 BALANCE GENERAL </t>
  </si>
  <si>
    <t xml:space="preserve">TRANSPORTES BONAMPAK, S.A. DE C.V. </t>
  </si>
  <si>
    <t xml:space="preserve"> 3.6 MOVIMIENTO DE FONDOS </t>
  </si>
  <si>
    <t>3.9 Presupuesto de Gastos ( Productos ) Financieros</t>
  </si>
  <si>
    <t>3.10 Estado de Resultados Cierre del Ejercicio Anterior</t>
  </si>
  <si>
    <t>TRANSPORTES  BONAMPAK, S.A. DE C.V.</t>
  </si>
  <si>
    <t>Mensual</t>
  </si>
  <si>
    <t>No. De Viajes</t>
  </si>
  <si>
    <t xml:space="preserve">   Ingreso por Fletes Otros</t>
  </si>
  <si>
    <t xml:space="preserve">      Fijos</t>
  </si>
  <si>
    <t xml:space="preserve">      Variables</t>
  </si>
  <si>
    <t>4. GASTOS Y PRODUCTOS FINANCIEROS</t>
  </si>
  <si>
    <t>TOTAL GASTOS Y PRODUCTOS FINAN.</t>
  </si>
  <si>
    <t>5. COSTO INTEGRAL DE FINANCIAMIENTO</t>
  </si>
  <si>
    <t xml:space="preserve">  Repomo</t>
  </si>
  <si>
    <t>TOTAL COSTO INTEGRAL DE FINAN.</t>
  </si>
  <si>
    <t>UTILIDAD ANTES DE IMPTO. Y PTU</t>
  </si>
  <si>
    <t xml:space="preserve">   IETU Diferido</t>
  </si>
  <si>
    <t xml:space="preserve">   ISR  Del ejercicio</t>
  </si>
  <si>
    <t>UTILIDAD DEPUES DE IMPUESTOS</t>
  </si>
  <si>
    <t>PARTIDA EXTRAORDINARIA</t>
  </si>
  <si>
    <t>6. FLUJO DE EFECTIVO</t>
  </si>
  <si>
    <t>BALANCE GENERAL AL 31 DE DICIEMBRE DE 2011</t>
  </si>
  <si>
    <t>REAL</t>
  </si>
  <si>
    <t xml:space="preserve">       ACTIVO               </t>
  </si>
  <si>
    <t xml:space="preserve">   Fletes por Cobrar</t>
  </si>
  <si>
    <t xml:space="preserve">   Deudores Diversos</t>
  </si>
  <si>
    <t xml:space="preserve">    Impuestos por Recuperar</t>
  </si>
  <si>
    <t xml:space="preserve">       TOTAL CIRCULANTE</t>
  </si>
  <si>
    <t xml:space="preserve"> 1.3 ACTIVO FIJO </t>
  </si>
  <si>
    <t xml:space="preserve">     Prima de Seguros por Amortizar y otros</t>
  </si>
  <si>
    <t xml:space="preserve">     Impuestos Diferidos</t>
  </si>
  <si>
    <t xml:space="preserve">       ACTIVO TOTAL</t>
  </si>
  <si>
    <t xml:space="preserve">       PASIVO TOTAL Y CAPITAL CONTABLE</t>
  </si>
  <si>
    <t xml:space="preserve">   P.T.U. por pagar</t>
  </si>
  <si>
    <t xml:space="preserve">       TOTAL PASIVO CORTO PLAZO</t>
  </si>
  <si>
    <t xml:space="preserve">   Reserva Prima de Antigüedad  e Indemnizacion</t>
  </si>
  <si>
    <t xml:space="preserve">       TOTAL PASIVO LARGO PLAZO</t>
  </si>
  <si>
    <t xml:space="preserve">       PASIVO TOTAL</t>
  </si>
  <si>
    <t xml:space="preserve">       CAPITAL CONTABLE</t>
  </si>
  <si>
    <t xml:space="preserve">   Actualizaciòn de Capital Social</t>
  </si>
  <si>
    <t xml:space="preserve">   Reserva Legal</t>
  </si>
  <si>
    <t xml:space="preserve">   Exc. O Insuf. De Actualizaciòn de Capital Cont.</t>
  </si>
  <si>
    <t xml:space="preserve">       TOTAL CAPITAL CONTABLE</t>
  </si>
  <si>
    <t xml:space="preserve">       TOTAL PASIVO Y CAPITAL CONTABLE</t>
  </si>
  <si>
    <t>De Acuerdo Contrato</t>
  </si>
  <si>
    <t>2 Tractores</t>
  </si>
  <si>
    <t xml:space="preserve">    tractores</t>
  </si>
  <si>
    <t xml:space="preserve">   sopladores</t>
  </si>
  <si>
    <t>10 tractores</t>
  </si>
  <si>
    <t>5 tractores</t>
  </si>
  <si>
    <t xml:space="preserve"> - Remodelación Ramos Arizpe</t>
  </si>
  <si>
    <t>-  Sistema de seguridad patrimonial</t>
  </si>
  <si>
    <t>Seguridad</t>
  </si>
  <si>
    <t>-  Sistema Integral vs Incendios</t>
  </si>
  <si>
    <t>-  Sistema arrestador de caídas</t>
  </si>
  <si>
    <t>-  Sistema de extintores de espumas para equipo móvil</t>
  </si>
  <si>
    <t>- Techado estacionamiento (Orizaba)</t>
  </si>
  <si>
    <t>-  Alcoholímetro de celda de combustión (6)</t>
  </si>
  <si>
    <t>-  Sistema de tratamiento de aguas</t>
  </si>
  <si>
    <t xml:space="preserve"> - Urbanización Ramos Arizpe</t>
  </si>
  <si>
    <t>-  Piso de concreto Hermosillo</t>
  </si>
  <si>
    <t>-  Techado en Hermosillo</t>
  </si>
  <si>
    <t>-  Oficina móvil Hermosillo</t>
  </si>
  <si>
    <t>Monto etiquetado PTU 2011, 2012 y Reembolso GGA</t>
  </si>
  <si>
    <t>Monto disponible de efectivo</t>
  </si>
  <si>
    <t>- Nave de Pintura Sandblast (Orizaba)</t>
  </si>
  <si>
    <t>Provisión Aguinado Transportación</t>
  </si>
  <si>
    <t>Provisión Aguinado Administración</t>
  </si>
  <si>
    <t>Provisión Aguinado Mantenimiento</t>
  </si>
  <si>
    <t>IVA ACREDITABLE</t>
  </si>
  <si>
    <t xml:space="preserve">    Disminución de Capital Social</t>
  </si>
  <si>
    <t xml:space="preserve">      6.2 INVERSIONES A CONSIDERACION EN 2012</t>
  </si>
  <si>
    <t xml:space="preserve">   ISR</t>
  </si>
  <si>
    <t xml:space="preserve">   Provisión ISR diferido</t>
  </si>
  <si>
    <t xml:space="preserve">  -Arco de lavado  (Orizaba y Gdl) Maq y Eq.</t>
  </si>
  <si>
    <t>-  Piso de concreto Hermosillo (sin fecha)</t>
  </si>
  <si>
    <t>-  Techado en Hermosillo   (sin fecha)</t>
  </si>
  <si>
    <t>-  Oficina móvil Hermosillo  (sin fecha)</t>
  </si>
  <si>
    <t>-  Adquisición de Terreno Hermosillo</t>
  </si>
  <si>
    <t>Maquinaria, equipo y Herramental</t>
  </si>
  <si>
    <t>Tarifa 2013</t>
  </si>
  <si>
    <t>Porciento de incremento diesel 2012</t>
  </si>
  <si>
    <t>Porciento de incremento a la tarifa por inflación (80%)</t>
  </si>
  <si>
    <t>Orizaba</t>
  </si>
  <si>
    <t>Hermosillo</t>
  </si>
  <si>
    <t>Ramos Arizpe</t>
  </si>
  <si>
    <t xml:space="preserve"> San Luis Potosí</t>
  </si>
  <si>
    <t>Inflación proyectada 2013</t>
  </si>
  <si>
    <t>Porciento de incremento a tarifa por diesel (20%)</t>
  </si>
  <si>
    <t>Días Hábiles por mes</t>
  </si>
  <si>
    <t>Toneladas por mes</t>
  </si>
  <si>
    <t>Participación de Carga Por Base</t>
  </si>
  <si>
    <t>% de participación de Carga por Base</t>
  </si>
  <si>
    <t>Toneladas a transportar según contrato</t>
  </si>
  <si>
    <t>Toneladas promedio diarias a transportar</t>
  </si>
  <si>
    <t>Porcentaje de participación por mes año anterior</t>
  </si>
  <si>
    <t>Precio del diesel 2013</t>
  </si>
  <si>
    <t>IEPS</t>
  </si>
  <si>
    <t>Incremento Salarial operadores</t>
  </si>
  <si>
    <t>Gasto anual  en Unfiformes y Zapatos Operaciones</t>
  </si>
  <si>
    <t>Primas de Seguro anual tractores</t>
  </si>
  <si>
    <t>Tenencias y Placas</t>
  </si>
  <si>
    <t>Incripción a CANACAR</t>
  </si>
  <si>
    <t>Inspecciones fisicomecánicas</t>
  </si>
  <si>
    <t>Inflación Anual 2012</t>
  </si>
  <si>
    <t>Incremento Sueldos</t>
  </si>
  <si>
    <t>Inflación mensual 2013</t>
  </si>
  <si>
    <t>AL 31/12/2011</t>
  </si>
  <si>
    <t>AL 31/12/2012</t>
  </si>
  <si>
    <t>RESUMEN DEPRECIACIÓN CONTABLE</t>
  </si>
  <si>
    <t>EQUIPO DE TRANSPORTE</t>
  </si>
  <si>
    <t>EQUIPO DE CÓMPUTO</t>
  </si>
  <si>
    <t>MAQUINARIA Y EQUIPO</t>
  </si>
  <si>
    <t xml:space="preserve"> MOBILIARIO Y EQUIPO DE OFICINA</t>
  </si>
  <si>
    <t>Gtos Diversos Operación</t>
  </si>
  <si>
    <t>No deducibles</t>
  </si>
  <si>
    <t>Gasto en Telefonía Op</t>
  </si>
  <si>
    <t>Gastos de Accidente Mes</t>
  </si>
  <si>
    <t>Renta hosting Copiloto (USD)</t>
  </si>
  <si>
    <t>Precio promedio del dólar 2013</t>
  </si>
  <si>
    <t>Gastos de Seguridad</t>
  </si>
  <si>
    <t>Maniobras</t>
  </si>
  <si>
    <t>Meta de Reducción de Correctivo (promedio)</t>
  </si>
  <si>
    <t>Mtto correctivo/km 2013 tractor</t>
  </si>
  <si>
    <t>Mtto correctivo/km 2013 Remolque</t>
  </si>
  <si>
    <t>Matto Sopladores Anual</t>
  </si>
  <si>
    <t>Mano de Obra talleres externos</t>
  </si>
  <si>
    <t>Otros Gastos Var de Matto (Diversos Conceptos)</t>
  </si>
  <si>
    <t>Flujo de Efectivo Acumulado</t>
  </si>
  <si>
    <t>Incremento Total a la tarifa para el año 2013</t>
  </si>
  <si>
    <t>Utilidad Antes de ISR /PTU</t>
  </si>
  <si>
    <t>Flujo de Efectivo</t>
  </si>
  <si>
    <t>Estimulos Fiscales</t>
  </si>
  <si>
    <t xml:space="preserve">Kilometros </t>
  </si>
  <si>
    <t>TOTAL DE DEPRECIACION</t>
  </si>
  <si>
    <t>DEPRECIACION TOTAL</t>
  </si>
  <si>
    <t>Transportes Bonampak, S.A. de C.V.</t>
  </si>
  <si>
    <t>Datos de las Inversiones:</t>
  </si>
  <si>
    <t>Cantidad</t>
  </si>
  <si>
    <t>EC</t>
  </si>
  <si>
    <t>Mejoras a la Base la Paz</t>
  </si>
  <si>
    <t>Operaciones</t>
  </si>
  <si>
    <t>EDIFICIOS</t>
  </si>
  <si>
    <t>Mejoras a fosa y área de lavado</t>
  </si>
  <si>
    <t>Mantenimiento</t>
  </si>
  <si>
    <t>ET-R</t>
  </si>
  <si>
    <t>Equipo y Herramientas Especializadas</t>
  </si>
  <si>
    <t>EQUIPO DE TRANSPORTE (TRACTORES)</t>
  </si>
  <si>
    <t>MEJORAS A EDIFICIOS</t>
  </si>
  <si>
    <t>Pago de dividendos</t>
  </si>
  <si>
    <t>Amort. Seguros</t>
  </si>
  <si>
    <t>Incremento (decremento) reserva</t>
  </si>
  <si>
    <t>Amortización de crédito TEISA</t>
  </si>
  <si>
    <t xml:space="preserve">  DEPRECIACION</t>
  </si>
  <si>
    <t>Amort. De Capital</t>
  </si>
  <si>
    <t>Costo de Diesel X kilómetro</t>
  </si>
  <si>
    <t>0000000-00-000000-000000</t>
  </si>
  <si>
    <t>0402990000</t>
  </si>
  <si>
    <t>0404010000</t>
  </si>
  <si>
    <t>0403010000</t>
  </si>
  <si>
    <t>0504030100</t>
  </si>
  <si>
    <t>0505020000</t>
  </si>
  <si>
    <t>0506010000</t>
  </si>
  <si>
    <t>Anual</t>
  </si>
  <si>
    <t>PRESUPUESTO  2014</t>
  </si>
  <si>
    <t>Guadalajara</t>
  </si>
  <si>
    <t>Provisión de ISR</t>
  </si>
  <si>
    <t>Kilometros Por recorrer Granel</t>
  </si>
  <si>
    <t>Volumen Transportado Tons.  Granel</t>
  </si>
  <si>
    <t>Número de Viajes granel</t>
  </si>
  <si>
    <t>Kilómetro por recorrer Otros</t>
  </si>
  <si>
    <t>Volumen Transportado Tons.  Otros</t>
  </si>
  <si>
    <t>Número de Viajes otros</t>
  </si>
  <si>
    <t>Datos</t>
  </si>
  <si>
    <t>Categoría</t>
  </si>
  <si>
    <t>Cat_Descr</t>
  </si>
  <si>
    <t>EA</t>
  </si>
  <si>
    <t>EDIFICIOS ARRENDAMIENTO FINANC</t>
  </si>
  <si>
    <t>EQUIPO DE COMPUTO</t>
  </si>
  <si>
    <t>EG</t>
  </si>
  <si>
    <t>EQUIPO DE GEOLOCALIZADORES</t>
  </si>
  <si>
    <t>EO</t>
  </si>
  <si>
    <t>EQUIPO DE OFICINA</t>
  </si>
  <si>
    <t>ER</t>
  </si>
  <si>
    <t>EQUIPO DE RADIOCOMUNICACIÓN</t>
  </si>
  <si>
    <t>ES</t>
  </si>
  <si>
    <t>EQUIPO SATELITAL GPRS</t>
  </si>
  <si>
    <t>ET</t>
  </si>
  <si>
    <t>HE</t>
  </si>
  <si>
    <t>HERRAMIENTAS</t>
  </si>
  <si>
    <t>ME</t>
  </si>
  <si>
    <t>MAQUINARIA  Y EQUIPOS</t>
  </si>
  <si>
    <t>RI</t>
  </si>
  <si>
    <t>REMODELACIÓN DE INSTALACIONES</t>
  </si>
  <si>
    <t>SO</t>
  </si>
  <si>
    <t>SOFTWARE</t>
  </si>
  <si>
    <t>TD</t>
  </si>
  <si>
    <t>TELEFONIA Y DATOS</t>
  </si>
  <si>
    <t xml:space="preserve"> Enero</t>
  </si>
  <si>
    <t xml:space="preserve"> Febrero</t>
  </si>
  <si>
    <t xml:space="preserve"> Marzo</t>
  </si>
  <si>
    <t xml:space="preserve"> Abril</t>
  </si>
  <si>
    <t xml:space="preserve"> Mayo</t>
  </si>
  <si>
    <t xml:space="preserve"> Junio</t>
  </si>
  <si>
    <t xml:space="preserve"> Julio</t>
  </si>
  <si>
    <t xml:space="preserve"> Agosto</t>
  </si>
  <si>
    <t xml:space="preserve"> Septiembre</t>
  </si>
  <si>
    <t xml:space="preserve"> Octubre</t>
  </si>
  <si>
    <t xml:space="preserve"> Noviembre</t>
  </si>
  <si>
    <t xml:space="preserve"> Diciembre</t>
  </si>
  <si>
    <t>PRESUPUESTOS 2014</t>
  </si>
  <si>
    <t>Meses</t>
  </si>
  <si>
    <t>SALDOS ARRENDAMIENTO FINANCIERO  2014</t>
  </si>
  <si>
    <t>Intereses Tractocamiones KASA</t>
  </si>
  <si>
    <t>Utilidad cambiaria</t>
  </si>
  <si>
    <t>Otros Productos</t>
  </si>
  <si>
    <t>Venta de Activo Fijo</t>
  </si>
  <si>
    <t>Servicios de Logística</t>
  </si>
  <si>
    <t>Recuperación de gtos intercom</t>
  </si>
  <si>
    <t>Otros Gastos</t>
  </si>
  <si>
    <t>Gastos Corporativos</t>
  </si>
  <si>
    <t>Recuperación de sueldos</t>
  </si>
  <si>
    <t>total</t>
  </si>
  <si>
    <t>Recuperación de Licencias de Sw</t>
  </si>
  <si>
    <t>Recuperación Salario FV y AT</t>
  </si>
  <si>
    <t>EQUIPO DE TRANSPORTE (Remolques)</t>
  </si>
  <si>
    <t>Presupuesto 2014</t>
  </si>
  <si>
    <t>Inversiones Presupuestadas en Activos Fijos (Importe en Pesos ($))</t>
  </si>
  <si>
    <t>Valores Presupuestados  ($)</t>
  </si>
  <si>
    <t>Inversión x</t>
  </si>
  <si>
    <t>Inversión</t>
  </si>
  <si>
    <t>Reemplazo</t>
  </si>
  <si>
    <t>Nueva</t>
  </si>
  <si>
    <t>Inversiones</t>
  </si>
  <si>
    <t>Operciones</t>
  </si>
  <si>
    <t>07_Frenos Electromagneticos</t>
  </si>
  <si>
    <t>Control de Rondas para Vigilancia</t>
  </si>
  <si>
    <t>Mobiliario, equipo y Herramientas Base Mexicali</t>
  </si>
  <si>
    <t>Mojoras y Adaptaciones base Hermosillo</t>
  </si>
  <si>
    <t>1 Camioneta Pick Up Guadalajara</t>
  </si>
  <si>
    <t>1 Camioneta Tornado  compras y Mantenimiento Hermosillo</t>
  </si>
  <si>
    <t>Equpo y Herramientas ( Compresor de Aire )</t>
  </si>
  <si>
    <t>Alcoholimetro tipo baston</t>
  </si>
  <si>
    <t>10_Tractocamiones</t>
  </si>
  <si>
    <t>10_Frenos Electromagneticos</t>
  </si>
  <si>
    <t>Sistema Suavisador de agua y tratamiento</t>
  </si>
  <si>
    <t>Hidrolavadora a Gasolina</t>
  </si>
  <si>
    <t>Linea de Vida retractil en área de lavado</t>
  </si>
  <si>
    <t>Porta Power para reparaciones</t>
  </si>
  <si>
    <t>Equipo de Aire Acondicionado para caseta de vigilancia</t>
  </si>
  <si>
    <t>08_Tractocamiones</t>
  </si>
  <si>
    <t>08_Frenos Electromagneticos</t>
  </si>
  <si>
    <t>Obra Civil  Estacionamientos</t>
  </si>
  <si>
    <t>1 Camioneta Pick Up</t>
  </si>
  <si>
    <t>Kit reparación y vacio de aire acondicionado</t>
  </si>
  <si>
    <t>Prensa Hidráulica</t>
  </si>
  <si>
    <t>Sillo área de descanso operadores</t>
  </si>
  <si>
    <t>Clima área de trafico</t>
  </si>
  <si>
    <t>Mobiliario para Sistemas Coorporativo</t>
  </si>
  <si>
    <t>Staff</t>
  </si>
  <si>
    <t>Camara Fotografica y video</t>
  </si>
  <si>
    <t>Base</t>
  </si>
  <si>
    <t>Occ.</t>
  </si>
  <si>
    <t>Área</t>
  </si>
  <si>
    <t>RA.</t>
  </si>
  <si>
    <t>OZ</t>
  </si>
  <si>
    <t>AD</t>
  </si>
  <si>
    <t>unitario</t>
  </si>
  <si>
    <t>Proy. Num.</t>
  </si>
  <si>
    <t>AL</t>
  </si>
  <si>
    <t>ARCO DE LAVADO</t>
  </si>
  <si>
    <t>ED</t>
  </si>
  <si>
    <t>EE</t>
  </si>
  <si>
    <t>EQUIPO ECOLOGICO</t>
  </si>
  <si>
    <t>EI</t>
  </si>
  <si>
    <t>ESTACION DIESEL</t>
  </si>
  <si>
    <t>TA</t>
  </si>
  <si>
    <t>TERRENOS ARRENDAMIENTO FINANCI</t>
  </si>
  <si>
    <t>TE</t>
  </si>
  <si>
    <t>TERRENOS</t>
  </si>
  <si>
    <t>TO</t>
  </si>
  <si>
    <t>FRENOS ELECTRO MAGNETICOS</t>
  </si>
  <si>
    <t>ET-U</t>
  </si>
  <si>
    <t>Transportes Bonampak, SA de CV</t>
  </si>
  <si>
    <t xml:space="preserve">     3.6.- Presupuesto del Flujo de Caja</t>
  </si>
  <si>
    <t xml:space="preserve">     Bases del Presupuesto Financiero</t>
  </si>
  <si>
    <t>TRANSACCIONES DE OPERACION:</t>
  </si>
  <si>
    <t>Ingresos:</t>
  </si>
  <si>
    <t>.</t>
  </si>
  <si>
    <t>Cobros a Otros clientes</t>
  </si>
  <si>
    <t>Cobros a Concretos y Cementos Apasco</t>
  </si>
  <si>
    <t>Intereses Ganados</t>
  </si>
  <si>
    <t>otros ingresos y recuperaciones de gastos</t>
  </si>
  <si>
    <t>Total Ingresos</t>
  </si>
  <si>
    <t>Egresos:</t>
  </si>
  <si>
    <t>Gastos variables de operación (incluye salariosvariables - IMSS)</t>
  </si>
  <si>
    <t>Gastos Fijpos de Operación - IMSS</t>
  </si>
  <si>
    <t>Gatos de Admon menos IMSS</t>
  </si>
  <si>
    <t>IS Nóminas</t>
  </si>
  <si>
    <t>Otros Impuestos</t>
  </si>
  <si>
    <t>Pago de PTU</t>
  </si>
  <si>
    <t>Pago ISR</t>
  </si>
  <si>
    <t>FLUJO</t>
  </si>
  <si>
    <t>Total Egresos</t>
  </si>
  <si>
    <t>GTS_FINANCIEROS</t>
  </si>
  <si>
    <t>Sobrante ( Faltante ) Operativo</t>
  </si>
  <si>
    <t>PTS_FINANCIEROS</t>
  </si>
  <si>
    <t>OTROS_INGRESOS</t>
  </si>
  <si>
    <t>Inversiones  :</t>
  </si>
  <si>
    <t>TONTOMETRO</t>
  </si>
  <si>
    <t>TRACTOS_REEMPLAZO</t>
  </si>
  <si>
    <t>Costo tractores</t>
  </si>
  <si>
    <t>CAJAS SECAS</t>
  </si>
  <si>
    <t>SOPLADORES</t>
  </si>
  <si>
    <t>TOLVAS</t>
  </si>
  <si>
    <t>PLANAS_REEMPLAZO</t>
  </si>
  <si>
    <t>DOLLYS</t>
  </si>
  <si>
    <t>Renovación Tractocamiones (C/freno electromagnétio)</t>
  </si>
  <si>
    <t>Renovación Tolvas</t>
  </si>
  <si>
    <t>Renovación Dollys</t>
  </si>
  <si>
    <t>Sopladores Wittig</t>
  </si>
  <si>
    <t>Cajas secas</t>
  </si>
  <si>
    <t>Total Inversiones</t>
  </si>
  <si>
    <t>TRANSACCIONES DE FINANCIAMIENTO</t>
  </si>
  <si>
    <t>Préstamos</t>
  </si>
  <si>
    <t>Pagos al Capital Arrendamiento Financiero</t>
  </si>
  <si>
    <t>Pago de capital Préstamo adquisición de activos</t>
  </si>
  <si>
    <t>Pago de Intereses y Comisiones Bancarias</t>
  </si>
  <si>
    <t>Neto Transacciones de Financiamiento</t>
  </si>
  <si>
    <t xml:space="preserve">Sobrante ( Faltante ) Después de Financiamientos </t>
  </si>
  <si>
    <t xml:space="preserve"> ( Des. ) Inversión Temporal de Excedentes de Efectivo</t>
  </si>
  <si>
    <t>Saldo a Principio del Mes en Bancos</t>
  </si>
  <si>
    <t>Saldo a Fin del Mes en Bancos</t>
  </si>
  <si>
    <t>Saldo Inicial en Inversiones Temporales</t>
  </si>
  <si>
    <t>Rendimiento por Inversiones Temporales</t>
  </si>
  <si>
    <t>Saldo Final por Inversiones Temporales</t>
  </si>
  <si>
    <t>Saldo Final Disponible en M N $</t>
  </si>
  <si>
    <t>P UNIT</t>
  </si>
  <si>
    <t>ANT</t>
  </si>
  <si>
    <t>REM</t>
  </si>
  <si>
    <t>Factor de Cobranza Clientes Foraneos</t>
  </si>
  <si>
    <t>Factor de Cobranza Concretos y C.Apasco</t>
  </si>
  <si>
    <t>Calculo de Cobranza:</t>
  </si>
  <si>
    <t>Cobros a otros clientes</t>
  </si>
  <si>
    <t>Tontometros</t>
  </si>
  <si>
    <t>Facturación del Mes</t>
  </si>
  <si>
    <t>Menos: Facturación no cobrada en el mes</t>
  </si>
  <si>
    <t>Mas: Facturación pendiente del mes anterior</t>
  </si>
  <si>
    <t>Cobranza del mes</t>
  </si>
  <si>
    <t>Rendimientos por inversiones</t>
  </si>
  <si>
    <t>dias mes</t>
  </si>
  <si>
    <t>tasa ints.</t>
  </si>
  <si>
    <t>dias año</t>
  </si>
  <si>
    <t>imss patronal</t>
  </si>
  <si>
    <t>Saldo Flujo de  efectivo</t>
  </si>
  <si>
    <t>EQUIPO DE TRANSPORTE (utilitarios)</t>
  </si>
  <si>
    <t>Total de Inversiones (Hoja de Inversiones)</t>
  </si>
  <si>
    <t>DEPRECIACIÓN FINANCIERA DE INVERSIONES NUEVAS</t>
  </si>
  <si>
    <t>Depreciaicón FISCAL 2014</t>
  </si>
  <si>
    <t>De inversiones anteriores a 2014</t>
  </si>
  <si>
    <t>Total de Depreciación Fiscal</t>
  </si>
  <si>
    <t>3.4 ESTADO DE RESULTADOS     PRESUPUESTO 2014</t>
  </si>
  <si>
    <t>DEPRECIACIÓN FISCAL DE INVERSIONES NUEVAS</t>
  </si>
  <si>
    <t>Total por categoría</t>
  </si>
  <si>
    <t>Calcular ingreso en Enero</t>
  </si>
  <si>
    <t>2 cajas en Gdl</t>
  </si>
  <si>
    <t>3 en Oz</t>
  </si>
  <si>
    <t>5 cajas En enero pedirlas y empiezan a producir en febrero 100,000</t>
  </si>
  <si>
    <t>En Gdl:</t>
  </si>
  <si>
    <t>1200 kms viaje redondo</t>
  </si>
  <si>
    <t>2.4 viajes a la semana</t>
  </si>
  <si>
    <t>por viaje</t>
  </si>
  <si>
    <t>viajes promedio</t>
  </si>
  <si>
    <t>Remodelación hermosillo</t>
  </si>
  <si>
    <t>Agregar a Gdl  Remodelación</t>
  </si>
  <si>
    <t>Enero,  2014</t>
  </si>
  <si>
    <t>Remodelaciones a Base Gdl</t>
  </si>
  <si>
    <t>Reseva Legal</t>
  </si>
  <si>
    <t>AL 31/12/2013</t>
  </si>
  <si>
    <t>AL 31/12/2014</t>
  </si>
  <si>
    <t xml:space="preserve">   2.2.2. Otros fletes</t>
  </si>
  <si>
    <t xml:space="preserve"> INVERSIONES A CONSIDERACION EN 2014</t>
  </si>
  <si>
    <t>Reserva Legal</t>
  </si>
  <si>
    <t>PTU</t>
  </si>
  <si>
    <t>3.10 ESTADO DE RESULTADOS  AL 31 DE DICIEMBRE DE 2013</t>
  </si>
  <si>
    <t>Cemento a Granel</t>
  </si>
  <si>
    <t xml:space="preserve">     3.3- Presupuesto de Inversiones</t>
  </si>
  <si>
    <t xml:space="preserve"> INVERSIONES PRESUPUESTADAS EN ACTIVOS FIJOS-IMPORTE EN "$"</t>
  </si>
  <si>
    <t xml:space="preserve">              Valores Presupuestados</t>
  </si>
  <si>
    <t xml:space="preserve">                     Datos de los proyectos</t>
  </si>
  <si>
    <t xml:space="preserve">   Erogaciones hasta Conclusión</t>
  </si>
  <si>
    <t xml:space="preserve">            Evaluación</t>
  </si>
  <si>
    <t>Valuación</t>
  </si>
  <si>
    <t xml:space="preserve"> Proyectos ya Iniciados</t>
  </si>
  <si>
    <t>Proyecto</t>
  </si>
  <si>
    <t>Clase de</t>
  </si>
  <si>
    <t>Originalmente</t>
  </si>
  <si>
    <t>Costo</t>
  </si>
  <si>
    <t>Proyectos</t>
  </si>
  <si>
    <t>Años</t>
  </si>
  <si>
    <t xml:space="preserve">Año del </t>
  </si>
  <si>
    <t>TIR</t>
  </si>
  <si>
    <t>Payback</t>
  </si>
  <si>
    <t>No.</t>
  </si>
  <si>
    <t>Unidad / Proyecto</t>
  </si>
  <si>
    <t>Ubicación</t>
  </si>
  <si>
    <t>Prioridad</t>
  </si>
  <si>
    <t>Tipo</t>
  </si>
  <si>
    <t>Aprobado</t>
  </si>
  <si>
    <t>Actualizado</t>
  </si>
  <si>
    <t>Nuevos</t>
  </si>
  <si>
    <t>Anteriores</t>
  </si>
  <si>
    <t>Posteriores</t>
  </si>
  <si>
    <t>Fav.( Desfav.)</t>
  </si>
  <si>
    <t>Operacional</t>
  </si>
  <si>
    <t>Estático</t>
  </si>
  <si>
    <t xml:space="preserve"> 1-4-5-6</t>
  </si>
  <si>
    <t>Operación</t>
  </si>
  <si>
    <t>N/A</t>
  </si>
  <si>
    <t>Carriles Desaceleración / Acceso ATM</t>
  </si>
  <si>
    <t>Nave ATM</t>
  </si>
  <si>
    <t>Remoción Gasolinera</t>
  </si>
  <si>
    <t>Estación de Servicio para Arco de Lavado</t>
  </si>
  <si>
    <t>Ampliación Area de Lavadora / Arco</t>
  </si>
  <si>
    <t>Equipo de Lavado en Remolques</t>
  </si>
  <si>
    <t xml:space="preserve"> X X X X X X X</t>
  </si>
  <si>
    <t>Otras Inversiones Menores</t>
  </si>
  <si>
    <t>Mobiliario, Equipo y Herramienta</t>
  </si>
  <si>
    <t>e</t>
  </si>
  <si>
    <t>Equipo de Transporte / Camionetas</t>
  </si>
  <si>
    <t>Administración</t>
  </si>
  <si>
    <t xml:space="preserve">   Camioneta Pick Up</t>
  </si>
  <si>
    <t>Compras</t>
  </si>
  <si>
    <t xml:space="preserve">   Automovil</t>
  </si>
  <si>
    <t>Tipos de Inversiones en Activos Fijos</t>
  </si>
  <si>
    <t>Prioridades de Inversiones</t>
  </si>
  <si>
    <t>Resumen Proyectos Presupuestados por Prioridad</t>
  </si>
  <si>
    <t xml:space="preserve">Reemplazos </t>
  </si>
  <si>
    <t>Clase 1.- Inversiones que se consideran vitales para el proceso</t>
  </si>
  <si>
    <t>Racionalización</t>
  </si>
  <si>
    <t xml:space="preserve">               productivo o que son ineludibles por razones legales </t>
  </si>
  <si>
    <t xml:space="preserve">Clase 1 .-                 </t>
  </si>
  <si>
    <t>Ampliación y Diversificación</t>
  </si>
  <si>
    <t xml:space="preserve">               o de seguridad.</t>
  </si>
  <si>
    <t xml:space="preserve">Clase 2.-                    </t>
  </si>
  <si>
    <t xml:space="preserve">Clase 2.- Todas las demas Inversiones no comprendidas en la </t>
  </si>
  <si>
    <t xml:space="preserve">              clase 1.</t>
  </si>
  <si>
    <t>Otras Inversiones Pendientes</t>
  </si>
  <si>
    <t xml:space="preserve">   Máquinas de Soldar (2 pzs)</t>
  </si>
  <si>
    <t>FEB</t>
  </si>
  <si>
    <t xml:space="preserve">   Carretes (2 pzs)</t>
  </si>
  <si>
    <t>ENE-FEB</t>
  </si>
  <si>
    <t xml:space="preserve">   Pistola de Impacto</t>
  </si>
  <si>
    <t>MAR</t>
  </si>
  <si>
    <t xml:space="preserve">   Calibrador Master para Llantas</t>
  </si>
  <si>
    <t xml:space="preserve">   Porta Power</t>
  </si>
  <si>
    <t>MAY</t>
  </si>
  <si>
    <t xml:space="preserve">   Resanado Area de Lavado</t>
  </si>
  <si>
    <t xml:space="preserve">   Engrasadora</t>
  </si>
  <si>
    <t>Sumas</t>
  </si>
  <si>
    <t>Actualización Conmutador</t>
  </si>
  <si>
    <t>Equipo de Transporte</t>
  </si>
  <si>
    <t xml:space="preserve">25 Frenos electromagnéticos </t>
  </si>
  <si>
    <t>5 dollyes</t>
  </si>
  <si>
    <t>10 Cajas Secas</t>
  </si>
  <si>
    <t>10 Tolvas Cementeras</t>
  </si>
  <si>
    <t>1 y 3</t>
  </si>
  <si>
    <t>Productos financieros</t>
  </si>
  <si>
    <t>Productos por Inversión</t>
  </si>
  <si>
    <t>Gastos financieros</t>
  </si>
  <si>
    <t>Intereses Arrendamiento financiero</t>
  </si>
  <si>
    <t>intereses Financiamiento KASA</t>
  </si>
  <si>
    <t>Comisiones Bancarias</t>
  </si>
  <si>
    <t xml:space="preserve">     3.9.-Presupuesto de Gastos ( Productos ) Financieros</t>
  </si>
  <si>
    <t>Total de gastos y productos financieros</t>
  </si>
  <si>
    <t>04_remolques tipo tolva</t>
  </si>
  <si>
    <t xml:space="preserve"> 05_Remolques tipo Caja</t>
  </si>
  <si>
    <t>02_dollyes</t>
  </si>
  <si>
    <t>Mejoras y Adaptaciones base Hermosillo</t>
  </si>
  <si>
    <t>05_remolques tipo caja</t>
  </si>
  <si>
    <t>06_remolques tipo tolva</t>
  </si>
  <si>
    <t>03_dollyes</t>
  </si>
  <si>
    <t>Total Por Base</t>
  </si>
  <si>
    <t>Importes</t>
  </si>
  <si>
    <t xml:space="preserve">  Transportes Bonampak , SA de CV</t>
  </si>
  <si>
    <t xml:space="preserve">     3.7.-Presupuesto de Costos de Operación</t>
  </si>
  <si>
    <t xml:space="preserve">     Unidad de Negocio Orizaba</t>
  </si>
  <si>
    <t>Cuenta</t>
  </si>
  <si>
    <t>Nombre de la Cuenta</t>
  </si>
  <si>
    <t>Unidades</t>
  </si>
  <si>
    <t>Kilometros Recorridos</t>
  </si>
  <si>
    <t>Toneladas Transportadas</t>
  </si>
  <si>
    <t>Estancias Turistica A</t>
  </si>
  <si>
    <t>Estancias Normal B</t>
  </si>
  <si>
    <t>1.- Costo de Mantenimiento</t>
  </si>
  <si>
    <t>Costo Variable de Mantenimiento</t>
  </si>
  <si>
    <t xml:space="preserve">   Llantas</t>
  </si>
  <si>
    <t>0501160500</t>
  </si>
  <si>
    <t xml:space="preserve">   Mano de Obra Talleres externos</t>
  </si>
  <si>
    <t>0501154000</t>
  </si>
  <si>
    <t xml:space="preserve">   Mantenimiento Preventivo Tractores</t>
  </si>
  <si>
    <t>0501150300</t>
  </si>
  <si>
    <t xml:space="preserve">   Mantenimiento Preventivo Remolques</t>
  </si>
  <si>
    <t>0501150400</t>
  </si>
  <si>
    <t>0501153800</t>
  </si>
  <si>
    <t>0501150800</t>
  </si>
  <si>
    <t>0501150600</t>
  </si>
  <si>
    <t>0501150700</t>
  </si>
  <si>
    <t>0501150500</t>
  </si>
  <si>
    <t xml:space="preserve">   Mantenimiento Correctivo Tractores</t>
  </si>
  <si>
    <t>0501151100</t>
  </si>
  <si>
    <t>0501152700</t>
  </si>
  <si>
    <t>0501153300</t>
  </si>
  <si>
    <t xml:space="preserve">   Mantenimiento Correctivo Remolques</t>
  </si>
  <si>
    <t>0501151200</t>
  </si>
  <si>
    <t>0501151300</t>
  </si>
  <si>
    <t>0501151500</t>
  </si>
  <si>
    <t>0501151600</t>
  </si>
  <si>
    <t>0501152800</t>
  </si>
  <si>
    <t>0501152900</t>
  </si>
  <si>
    <t>0501153000</t>
  </si>
  <si>
    <t>0501153100</t>
  </si>
  <si>
    <t>0501153200</t>
  </si>
  <si>
    <t xml:space="preserve">   Mantenimiento de Instalaciones</t>
  </si>
  <si>
    <t>0501060100</t>
  </si>
  <si>
    <t xml:space="preserve">   Mtto. Equipo de Oficina y Radio Comunicación</t>
  </si>
  <si>
    <t>0501060200</t>
  </si>
  <si>
    <t>0501060600</t>
  </si>
  <si>
    <t>0501060800</t>
  </si>
  <si>
    <t xml:space="preserve">   Varios y Materiales de Consumo</t>
  </si>
  <si>
    <t>0501150100</t>
  </si>
  <si>
    <t xml:space="preserve">   Sand Blasteo</t>
  </si>
  <si>
    <t>0501153700</t>
  </si>
  <si>
    <t>Total Costo Variable de Mantenimiento</t>
  </si>
  <si>
    <t>Costo Fijo de Mantenimiento</t>
  </si>
  <si>
    <t xml:space="preserve">   Sueldos y Prestaciones de Mantenimiento.</t>
  </si>
  <si>
    <t>0501100300</t>
  </si>
  <si>
    <t xml:space="preserve">   Gasto de Vehículos de Mantenimiento</t>
  </si>
  <si>
    <t>0501060400</t>
  </si>
  <si>
    <t xml:space="preserve">   Erogaciones Mens. x Serv. y Papelería</t>
  </si>
  <si>
    <t>0501130200</t>
  </si>
  <si>
    <t xml:space="preserve">   Capacitación</t>
  </si>
  <si>
    <t>0501050400</t>
  </si>
  <si>
    <t xml:space="preserve">   Gastos de Viaje y Reunión y Atenciones Prov</t>
  </si>
  <si>
    <t>0501140100</t>
  </si>
  <si>
    <t xml:space="preserve">   Herramientas Menores</t>
  </si>
  <si>
    <t>0501153600</t>
  </si>
  <si>
    <t xml:space="preserve">   Uniformes y Eq. de Seguridad</t>
  </si>
  <si>
    <t>0501050200</t>
  </si>
  <si>
    <t xml:space="preserve">   Servicio de Teléfono</t>
  </si>
  <si>
    <t>0501090200</t>
  </si>
  <si>
    <t xml:space="preserve">   Facilidades / Administrativas</t>
  </si>
  <si>
    <t>0501171000</t>
  </si>
  <si>
    <t xml:space="preserve">   Diversos</t>
  </si>
  <si>
    <t>0501040600</t>
  </si>
  <si>
    <t>0501140300</t>
  </si>
  <si>
    <t>0501050100</t>
  </si>
  <si>
    <t>0501179900</t>
  </si>
  <si>
    <t>0501153400</t>
  </si>
  <si>
    <t>0501060900</t>
  </si>
  <si>
    <t>0501153500</t>
  </si>
  <si>
    <t xml:space="preserve">   Gastos no Deducibles</t>
  </si>
  <si>
    <t>0501170600</t>
  </si>
  <si>
    <t>Total Costo Fijo de Mantenimiento</t>
  </si>
  <si>
    <t>Total Costo de Mantenimiento</t>
  </si>
  <si>
    <t>2.- COSTO DE TRANSPORTACION</t>
  </si>
  <si>
    <t>Costo Variable de Transportación</t>
  </si>
  <si>
    <t xml:space="preserve">   Diesel </t>
  </si>
  <si>
    <t>0501160301</t>
  </si>
  <si>
    <t xml:space="preserve">   Sueldos y Prestaciones de Transportación</t>
  </si>
  <si>
    <t>0501010100</t>
  </si>
  <si>
    <t>0501160200</t>
  </si>
  <si>
    <t>0501160100</t>
  </si>
  <si>
    <t xml:space="preserve">   Peajes</t>
  </si>
  <si>
    <t>0501160401</t>
  </si>
  <si>
    <t>0501160402</t>
  </si>
  <si>
    <t xml:space="preserve">   No Deducibles</t>
  </si>
  <si>
    <t xml:space="preserve">   Servicios , Enlonadas, Siniestros, Verif.</t>
  </si>
  <si>
    <t>0501080900</t>
  </si>
  <si>
    <t>0501080800</t>
  </si>
  <si>
    <t>0501161000</t>
  </si>
  <si>
    <t>Total Costo Variable de Transportación</t>
  </si>
  <si>
    <t>Costo Fijo de Transportación</t>
  </si>
  <si>
    <t>Sueldos y Prestaciones de Transportación</t>
  </si>
  <si>
    <t>Emplacamientos, Tenencias y Permisos SCT</t>
  </si>
  <si>
    <t>0501080700</t>
  </si>
  <si>
    <t>Cuotas Sindicales</t>
  </si>
  <si>
    <t>0501170300</t>
  </si>
  <si>
    <t>Seguro de las Unidades</t>
  </si>
  <si>
    <t>0501070300</t>
  </si>
  <si>
    <t>Uniformes y Equipo</t>
  </si>
  <si>
    <t>Seguro de Vida</t>
  </si>
  <si>
    <t>0501040400</t>
  </si>
  <si>
    <t>Capacitación</t>
  </si>
  <si>
    <t>Gastos de Viaje</t>
  </si>
  <si>
    <t>Becas y Fomento Deportivo</t>
  </si>
  <si>
    <t>0501040700</t>
  </si>
  <si>
    <t xml:space="preserve">       Gastos de Vehiculos</t>
  </si>
  <si>
    <t>0501151000</t>
  </si>
  <si>
    <t>0501170500</t>
  </si>
  <si>
    <t xml:space="preserve"> Papeleria</t>
  </si>
  <si>
    <t>Gastos de Teléfono</t>
  </si>
  <si>
    <t>Servicios de Rastreo Satelital</t>
  </si>
  <si>
    <t>0501160900</t>
  </si>
  <si>
    <t>Diversos</t>
  </si>
  <si>
    <t>0501160800</t>
  </si>
  <si>
    <t>0501050300</t>
  </si>
  <si>
    <t>0501080400</t>
  </si>
  <si>
    <t>Total Costo Fijo de Transportación</t>
  </si>
  <si>
    <t>Total Costo de Transportación</t>
  </si>
  <si>
    <t>TOTAL COSTO DE OPERACION</t>
  </si>
  <si>
    <t>REPARACION TALLERES EXTERNOS</t>
  </si>
  <si>
    <t>MTTO PREVENTIVO TRACTOR</t>
  </si>
  <si>
    <t>MTTO PREVENTIVO TOLVA</t>
  </si>
  <si>
    <t>MTTO. CUIDADO DE LA IMAGEN</t>
  </si>
  <si>
    <t>MTTO PREVENTIVO DOLLY</t>
  </si>
  <si>
    <t>MTTO PREVENTIVO CAJA SECA</t>
  </si>
  <si>
    <t>MTTO PREVENTIVO PLANA</t>
  </si>
  <si>
    <t>MTTO PREVENTIVO CAJA VOLTEO</t>
  </si>
  <si>
    <t>SERVICIO  OUTSORCING</t>
  </si>
  <si>
    <t>MTTO CORRECTIVO TRACTOR</t>
  </si>
  <si>
    <t>AUXILIO CARRETERA TRACTOR</t>
  </si>
  <si>
    <t>AUXILIO CARR COMPR./SOPLADOR</t>
  </si>
  <si>
    <t>MTTO CORRECTIVO TOLVA</t>
  </si>
  <si>
    <t>AUXILIO CARRETERA TOLVA</t>
  </si>
  <si>
    <t>MTTO CORRECTIVO CAJA VOLTEO</t>
  </si>
  <si>
    <t>MTTO CORRECTIVO PLANA</t>
  </si>
  <si>
    <t>MTTO CORRECTIVO DOLLY</t>
  </si>
  <si>
    <t>AUXILIO CARRETERA CAJA VOLTEO</t>
  </si>
  <si>
    <t>AUXILIO CARRETERA CAJA SECA</t>
  </si>
  <si>
    <t>AUXILIO CARRETERA PLANA</t>
  </si>
  <si>
    <t>AUXILIO CARRETERA DOLLY</t>
  </si>
  <si>
    <t>MANTENIMIENTO DE EDIFICIOS</t>
  </si>
  <si>
    <t>MTTO. DE EQUIPO DE OFICINA</t>
  </si>
  <si>
    <t>MTTO. EQUIPO RADIOCOMUNICACION</t>
  </si>
  <si>
    <t>MTTO. DE MAQUINARIA Y EQUIPO</t>
  </si>
  <si>
    <t>LAVADO LOCAL</t>
  </si>
  <si>
    <t>SANDBLASTEO</t>
  </si>
  <si>
    <t>MTTO. DE VEHICULOS UTILITARIOS</t>
  </si>
  <si>
    <t>PAPELERÍA Y ARTICULOS DE ESC.</t>
  </si>
  <si>
    <t xml:space="preserve">   Energía Eléctrica y Agua</t>
  </si>
  <si>
    <t>0501080100</t>
  </si>
  <si>
    <t>LUZ</t>
  </si>
  <si>
    <t>0501080200</t>
  </si>
  <si>
    <t>AGUA</t>
  </si>
  <si>
    <t xml:space="preserve">   Combustible y Mantto.  Arco de Lavado</t>
  </si>
  <si>
    <t>GASTOS DE CAPACITACION</t>
  </si>
  <si>
    <t>GTOS DE VIAJE(HOSP.TRANS.VIAT)</t>
  </si>
  <si>
    <t>HERRAMIENTAS MENORES</t>
  </si>
  <si>
    <t>ZAPATOS, UNIFORMES Y EQUIPO</t>
  </si>
  <si>
    <t>PROGRAMAS Y GASTOS  SEGURIDAD</t>
  </si>
  <si>
    <t>GASTOS NO DEDUCIBLES</t>
  </si>
  <si>
    <t>GASTOS DE COMEDOR</t>
  </si>
  <si>
    <t>COCHES, PASAJES Y TAXIS</t>
  </si>
  <si>
    <t>OTROS GASTOS</t>
  </si>
  <si>
    <t>0501160700</t>
  </si>
  <si>
    <t>I.E.P.S</t>
  </si>
  <si>
    <t>0501100200</t>
  </si>
  <si>
    <t>SERVICIO DE LIMPIEZA</t>
  </si>
  <si>
    <t>FLETES PAGADOS POR COMPRAS</t>
  </si>
  <si>
    <t>INSUMOS DE MANTENIMIENTO</t>
  </si>
  <si>
    <t>MANIOBRAS DE ARRASTRE</t>
  </si>
  <si>
    <t xml:space="preserve">   Vigilancia</t>
  </si>
  <si>
    <t>0501100100</t>
  </si>
  <si>
    <t>VIGILANCIA</t>
  </si>
  <si>
    <t>FACILIDADES ADMINISTRATIVAS</t>
  </si>
  <si>
    <t>DIESEL Y COMBUSTIBLES CON IVA</t>
  </si>
  <si>
    <t>0501160302</t>
  </si>
  <si>
    <t>DIESEL Y COMBUSTIBLES SIN IVA</t>
  </si>
  <si>
    <t>SUELDOS Y SALARIOS</t>
  </si>
  <si>
    <t>LLANTAS Y CAMARAS NUEVAS</t>
  </si>
  <si>
    <t>LLANTAS RENOVADAS</t>
  </si>
  <si>
    <t>CASETAS SUJETAS ESTIMULO</t>
  </si>
  <si>
    <t>CASETAS NO SUJETAS ESTIMULO</t>
  </si>
  <si>
    <t>INSPECCIONES FISICO MECANICAS</t>
  </si>
  <si>
    <t>VERIFICACIONES</t>
  </si>
  <si>
    <t>ENLONADAS</t>
  </si>
  <si>
    <t>TALACHAS</t>
  </si>
  <si>
    <t>0501120100</t>
  </si>
  <si>
    <t>0501120200</t>
  </si>
  <si>
    <t>Seguro de Gastos Médicos</t>
  </si>
  <si>
    <t>0501040500</t>
  </si>
  <si>
    <t>Arrendamiento Personas Físicas</t>
  </si>
  <si>
    <t>0501110400</t>
  </si>
  <si>
    <t>Vigilancia</t>
  </si>
  <si>
    <t>Arrendamiento Personas Morales</t>
  </si>
  <si>
    <t>0501160600</t>
  </si>
  <si>
    <t>PERMISOS Y PLACAS</t>
  </si>
  <si>
    <t>CUOTAS SINDICALES</t>
  </si>
  <si>
    <t>SEGURO UNIDADES (FLOTILLA)</t>
  </si>
  <si>
    <t>DEDUCIBLES SINIESTRO REMOLQUES</t>
  </si>
  <si>
    <t>DEDUCIBLES SINIESTRO TRACTORES</t>
  </si>
  <si>
    <t>SEGURO DE VIDA</t>
  </si>
  <si>
    <t>BECAS Y FOMENTO DEPORTIVO</t>
  </si>
  <si>
    <t>MTTO PREV.VEHÍCULO UTILITARIO</t>
  </si>
  <si>
    <t>TELEFONIA CELULAR</t>
  </si>
  <si>
    <t>SEGURO  GASTOS MEDICOS MAYORES</t>
  </si>
  <si>
    <t>RENTAS PERSONAS FISICAS</t>
  </si>
  <si>
    <t>SERVICIO LOCALIZADOR SATELITAL</t>
  </si>
  <si>
    <t>FLETES DIESEL</t>
  </si>
  <si>
    <t>EXAMENES MEDICOS</t>
  </si>
  <si>
    <t>GASTOS DE CONTRATACION</t>
  </si>
  <si>
    <t>TENENCIAS DE CAMIONETAS</t>
  </si>
  <si>
    <t>ACEITES,LUBRICANTES,GRASAS</t>
  </si>
  <si>
    <t>Saldo en Caja</t>
  </si>
  <si>
    <t xml:space="preserve">01_Tractocamiones </t>
  </si>
  <si>
    <t>19 Tractocamiones International</t>
  </si>
  <si>
    <t>IVMS (Localizadores Satelitales)</t>
  </si>
  <si>
    <t>Ingresos Cemento a Granel</t>
  </si>
  <si>
    <t>Ingresos Otros Fletes</t>
  </si>
  <si>
    <t>Precios Litro diesel 2014</t>
  </si>
  <si>
    <t>Litros de Diesel</t>
  </si>
  <si>
    <t>Rendimiento de diesel</t>
  </si>
  <si>
    <t>$ de diesel Por kilómetro</t>
  </si>
  <si>
    <t>Costo de Llantas</t>
  </si>
  <si>
    <t>Costo de Mantto</t>
  </si>
  <si>
    <t>Costo de Transportación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</si>
</sst>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6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_-&quot;$&quot;\ * #,##0_-;\-&quot;$&quot;\ * #,##0_-;_-&quot;$&quot;\ * &quot;-&quot;??_-;_-@_-"/>
    <numFmt numFmtId="168" formatCode="0.0%"/>
    <numFmt numFmtId="169" formatCode="#,##0.0_);[Red]\(#,##0.0\)"/>
    <numFmt numFmtId="170" formatCode="#,##0%\);[Red]\(#,##0\)%"/>
    <numFmt numFmtId="171" formatCode="0.0_);[Red]\(0.0\)"/>
    <numFmt numFmtId="172" formatCode="0_);[Red]\(0\)"/>
    <numFmt numFmtId="173" formatCode="#,##0.0%\);[Red]\(#,##0.0\)%"/>
    <numFmt numFmtId="174" formatCode="#,##0.00%\);[Red]\(#,##0.00\)%"/>
    <numFmt numFmtId="175" formatCode="#,##0.0"/>
    <numFmt numFmtId="176" formatCode="#,##0.0;[Red]\-#,##0.0"/>
    <numFmt numFmtId="177" formatCode="#,##0.0;\-#,##0.0"/>
    <numFmt numFmtId="178" formatCode="#,##0_ ;\-#,##0\ "/>
    <numFmt numFmtId="179" formatCode="#,##0.0_ ;\-#,##0.0\ "/>
    <numFmt numFmtId="180" formatCode="0.00_ ;\-0.00\ "/>
    <numFmt numFmtId="181" formatCode="d\-mmm\-yy"/>
    <numFmt numFmtId="182" formatCode="#,##0_ ;[Red]\-#,##0\ "/>
    <numFmt numFmtId="183" formatCode="#,##0.0_);\(#,##0.0\)"/>
    <numFmt numFmtId="184" formatCode="mmmm\ d\,\ yyyy"/>
    <numFmt numFmtId="185" formatCode="#,##0_);\(#,##0\)"/>
    <numFmt numFmtId="186" formatCode="_-* #,##0_-;\-* #,##0_-;_-* &quot;-&quot;??_-;_-@_-"/>
    <numFmt numFmtId="187" formatCode="0.000"/>
    <numFmt numFmtId="188" formatCode="_-* #,##0.000_-;\-* #,##0.000_-;_-* &quot;-&quot;??_-;_-@_-"/>
    <numFmt numFmtId="189" formatCode="_-* #,##0.00000_-;\-* #,##0.00000_-;_-* &quot;-&quot;??_-;_-@_-"/>
    <numFmt numFmtId="190" formatCode="_(* #,##0_);_(* \(#,##0\);_(* &quot;-&quot;??_);_(@_)"/>
    <numFmt numFmtId="191" formatCode="_-&quot;$&quot;* #,##0_-;\-&quot;$&quot;* #,##0_-;_-&quot;$&quot;* &quot;-&quot;??_-;_-@_-"/>
    <numFmt numFmtId="192" formatCode="#,##0.00_ ;\-#,##0.00\ "/>
    <numFmt numFmtId="193" formatCode="#,##0.000"/>
    <numFmt numFmtId="194" formatCode="#,##0.0_)%;\(#,##0.0\)%"/>
    <numFmt numFmtId="195" formatCode="#,##0.00_)%;\(#,##0.00\)%"/>
    <numFmt numFmtId="196" formatCode="_-* #,##0.00_-;\-* #,##0.00_-;_-* \-??_-;_-@_-"/>
    <numFmt numFmtId="197" formatCode="#,##0.000_ ;\-#,##0.000\ "/>
    <numFmt numFmtId="198" formatCode="0.0000%"/>
    <numFmt numFmtId="199" formatCode="0.000%"/>
    <numFmt numFmtId="200" formatCode="ddd/dd/mm/yy"/>
    <numFmt numFmtId="201" formatCode="\ 0\ \ \ &quot;Tractocamión Columbia Modelo CLD (Reemplazo)&quot;"/>
    <numFmt numFmtId="202" formatCode="\ 0\ \ \ &quot;Tolva Cementera (Reemplazo)&quot;"/>
    <numFmt numFmtId="203" formatCode="\ 0\ \ \ &quot;Dolly (Reemplazo)&quot;"/>
    <numFmt numFmtId="204" formatCode="\ 0\ \ \ &quot;Tolva Cementera&quot;"/>
    <numFmt numFmtId="205" formatCode="\ 0\ \ \ &quot;Soplador Wittig&quot;"/>
    <numFmt numFmtId="206" formatCode="\ 0\ \ \ &quot;Motor S-60 Reliabit&quot;"/>
    <numFmt numFmtId="207" formatCode="\ 0\ \ \ &quot;Tractocamión Columbia Modelo CLD-2003&quot;"/>
    <numFmt numFmtId="208" formatCode="mmmm\-yy"/>
    <numFmt numFmtId="209" formatCode="#,##0.00000"/>
    <numFmt numFmtId="210" formatCode="#,##0.0000"/>
    <numFmt numFmtId="211" formatCode="_(* #,##0.0000_);_(* \(#,##0.0000\);_(* &quot;-&quot;??_);_(@_)"/>
    <numFmt numFmtId="212" formatCode="_(* #,##0.000_);_(* \(#,##0.000\);_(* &quot;-&quot;??_);_(@_)"/>
    <numFmt numFmtId="213" formatCode="0.0000"/>
    <numFmt numFmtId="214" formatCode="_(* #,##0.0_);_(* \(#,##0.0\);_(* &quot;-&quot;??_);_(@_)"/>
    <numFmt numFmtId="215" formatCode="&quot;$&quot;#,##0.00"/>
    <numFmt numFmtId="216" formatCode="_-* #,##0.00_-;\-* #,##0.00_-;_-* &quot;-&quot;_-;_-@_-"/>
  </numFmts>
  <fonts count="13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MS Sans Serif"/>
      <family val="2"/>
    </font>
    <font>
      <sz val="10"/>
      <name val="MS Sans Serif"/>
      <family val="2"/>
    </font>
    <font>
      <b/>
      <u/>
      <sz val="10"/>
      <name val="MS Sans Serif"/>
      <family val="2"/>
    </font>
    <font>
      <sz val="10"/>
      <name val="MS Sans Serif"/>
      <family val="2"/>
    </font>
    <font>
      <b/>
      <sz val="12"/>
      <name val="MS Sans Serif"/>
      <family val="2"/>
    </font>
    <font>
      <b/>
      <sz val="10"/>
      <name val="MS Sans Serif"/>
      <family val="2"/>
    </font>
    <font>
      <b/>
      <u/>
      <sz val="12"/>
      <name val="MS Sans Serif"/>
      <family val="2"/>
    </font>
    <font>
      <sz val="12"/>
      <name val="MS Sans Serif"/>
      <family val="2"/>
    </font>
    <font>
      <b/>
      <sz val="12"/>
      <name val="MS Sans Serif"/>
      <family val="2"/>
    </font>
    <font>
      <b/>
      <sz val="14"/>
      <name val="MS Sans Serif"/>
      <family val="2"/>
    </font>
    <font>
      <sz val="12"/>
      <name val="MS Sans Serif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u/>
      <sz val="14"/>
      <name val="MS Sans Serif"/>
      <family val="2"/>
    </font>
    <font>
      <b/>
      <sz val="13"/>
      <name val="MS Sans Serif"/>
      <family val="2"/>
    </font>
    <font>
      <sz val="11"/>
      <name val="Arial"/>
      <family val="2"/>
    </font>
    <font>
      <b/>
      <sz val="13"/>
      <name val="MS Sans Serif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u/>
      <sz val="10"/>
      <name val="MS Sans Serif"/>
      <family val="2"/>
    </font>
    <font>
      <b/>
      <sz val="8"/>
      <name val="Arial"/>
      <family val="2"/>
    </font>
    <font>
      <sz val="8"/>
      <name val="Arial"/>
      <family val="2"/>
    </font>
    <font>
      <b/>
      <u/>
      <sz val="8"/>
      <name val="Arial"/>
      <family val="2"/>
    </font>
    <font>
      <b/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13"/>
      <name val="MS Sans Serif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  <font>
      <sz val="14"/>
      <name val="Times New Roman"/>
      <family val="1"/>
    </font>
    <font>
      <sz val="12"/>
      <color indexed="8"/>
      <name val="Times New Roman"/>
      <family val="1"/>
    </font>
    <font>
      <b/>
      <sz val="12"/>
      <name val="Arial"/>
      <family val="2"/>
    </font>
    <font>
      <b/>
      <sz val="8.5"/>
      <name val="MS Sans Serif"/>
      <family val="2"/>
    </font>
    <font>
      <b/>
      <sz val="8"/>
      <name val="Arial"/>
      <family val="2"/>
    </font>
    <font>
      <b/>
      <u/>
      <sz val="12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sz val="11"/>
      <color indexed="8"/>
      <name val="Arial"/>
      <family val="2"/>
    </font>
    <font>
      <sz val="10"/>
      <color indexed="10"/>
      <name val="Times New Roman"/>
      <family val="1"/>
    </font>
    <font>
      <b/>
      <sz val="9"/>
      <name val="Times New Roman"/>
      <family val="1"/>
    </font>
    <font>
      <b/>
      <sz val="9"/>
      <name val="Arial"/>
      <family val="2"/>
    </font>
    <font>
      <sz val="9"/>
      <name val="Arial"/>
      <family val="2"/>
    </font>
    <font>
      <sz val="9"/>
      <color indexed="12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color indexed="10"/>
      <name val="Arial"/>
      <family val="2"/>
    </font>
    <font>
      <b/>
      <u/>
      <sz val="9"/>
      <name val="Arial"/>
      <family val="2"/>
    </font>
    <font>
      <sz val="9"/>
      <color indexed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6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0"/>
      <color theme="1"/>
      <name val="Arial"/>
      <family val="2"/>
    </font>
    <font>
      <b/>
      <sz val="12"/>
      <color rgb="FFFF0000"/>
      <name val="Times New Roman"/>
      <family val="1"/>
    </font>
    <font>
      <sz val="10"/>
      <color rgb="FFFF0000"/>
      <name val="Times New Roman"/>
      <family val="1"/>
    </font>
    <font>
      <sz val="30"/>
      <name val="Arial"/>
      <family val="2"/>
    </font>
    <font>
      <sz val="24"/>
      <name val="Arial"/>
      <family val="2"/>
    </font>
    <font>
      <b/>
      <sz val="24"/>
      <name val="Arial"/>
      <family val="2"/>
    </font>
    <font>
      <b/>
      <sz val="20"/>
      <name val="Arial"/>
      <family val="2"/>
    </font>
    <font>
      <u/>
      <sz val="5"/>
      <color indexed="12"/>
      <name val="Arial"/>
      <family val="2"/>
    </font>
    <font>
      <b/>
      <u/>
      <sz val="20"/>
      <name val="Arial"/>
      <family val="2"/>
    </font>
    <font>
      <sz val="20"/>
      <name val="Arial"/>
      <family val="2"/>
    </font>
    <font>
      <u/>
      <sz val="16"/>
      <name val="Arial"/>
      <family val="2"/>
    </font>
    <font>
      <i/>
      <u/>
      <sz val="16"/>
      <name val="Arial"/>
      <family val="2"/>
    </font>
    <font>
      <sz val="14"/>
      <name val="Arial"/>
      <family val="2"/>
    </font>
    <font>
      <b/>
      <u/>
      <sz val="10"/>
      <name val="Arial"/>
      <family val="2"/>
    </font>
    <font>
      <b/>
      <sz val="10"/>
      <color indexed="9"/>
      <name val="Arial"/>
      <family val="2"/>
    </font>
    <font>
      <u/>
      <sz val="18"/>
      <name val="Arial"/>
      <family val="2"/>
    </font>
    <font>
      <sz val="18"/>
      <name val="Arial"/>
      <family val="2"/>
    </font>
    <font>
      <u/>
      <sz val="16"/>
      <color indexed="61"/>
      <name val="Arial"/>
      <family val="2"/>
    </font>
    <font>
      <b/>
      <sz val="11"/>
      <name val="Arial"/>
      <family val="2"/>
    </font>
    <font>
      <b/>
      <sz val="7"/>
      <name val="Arial"/>
      <family val="2"/>
    </font>
    <font>
      <b/>
      <sz val="12"/>
      <color theme="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FF00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sz val="10"/>
      <color theme="0"/>
      <name val="Times New Roman"/>
      <family val="1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color indexed="11"/>
      <name val="Arial"/>
      <family val="2"/>
    </font>
    <font>
      <sz val="10"/>
      <name val="MS Sans Serif"/>
      <family val="2"/>
    </font>
    <font>
      <sz val="11"/>
      <name val="Calibri"/>
      <family val="2"/>
    </font>
    <font>
      <sz val="10"/>
      <name val="Arial"/>
      <family val="2"/>
    </font>
    <font>
      <u/>
      <sz val="5"/>
      <color indexed="12"/>
      <name val="Arial"/>
      <family val="2"/>
    </font>
    <font>
      <b/>
      <sz val="12"/>
      <color indexed="57"/>
      <name val="Arial"/>
      <family val="2"/>
    </font>
    <font>
      <sz val="12"/>
      <color indexed="9"/>
      <name val="Arial"/>
      <family val="2"/>
    </font>
    <font>
      <sz val="12"/>
      <color indexed="10"/>
      <name val="Arial"/>
      <family val="2"/>
    </font>
    <font>
      <b/>
      <u/>
      <sz val="16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/>
        </stop>
      </gradient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gradientFill type="path">
        <stop position="0">
          <color theme="3" tint="-0.25098422193060094"/>
        </stop>
        <stop position="1">
          <color theme="3" tint="0.59999389629810485"/>
        </stop>
      </gradientFill>
    </fill>
    <fill>
      <patternFill patternType="solid">
        <fgColor theme="3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14999847407452621"/>
        <bgColor indexed="64"/>
      </patternFill>
    </fill>
  </fills>
  <borders count="152">
    <border>
      <left/>
      <right/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16"/>
      </left>
      <right style="thin">
        <color indexed="64"/>
      </right>
      <top style="double">
        <color indexed="16"/>
      </top>
      <bottom/>
      <diagonal/>
    </border>
    <border>
      <left/>
      <right style="thin">
        <color indexed="64"/>
      </right>
      <top style="double">
        <color indexed="16"/>
      </top>
      <bottom/>
      <diagonal/>
    </border>
    <border>
      <left/>
      <right/>
      <top style="double">
        <color indexed="16"/>
      </top>
      <bottom/>
      <diagonal/>
    </border>
    <border>
      <left/>
      <right style="double">
        <color indexed="16"/>
      </right>
      <top style="double">
        <color indexed="16"/>
      </top>
      <bottom/>
      <diagonal/>
    </border>
    <border>
      <left style="double">
        <color indexed="16"/>
      </left>
      <right style="thin">
        <color indexed="64"/>
      </right>
      <top/>
      <bottom/>
      <diagonal/>
    </border>
    <border>
      <left/>
      <right style="double">
        <color indexed="16"/>
      </right>
      <top/>
      <bottom style="thin">
        <color indexed="64"/>
      </bottom>
      <diagonal/>
    </border>
    <border>
      <left/>
      <right style="double">
        <color indexed="16"/>
      </right>
      <top style="thin">
        <color indexed="64"/>
      </top>
      <bottom/>
      <diagonal/>
    </border>
    <border>
      <left/>
      <right style="double">
        <color indexed="16"/>
      </right>
      <top/>
      <bottom/>
      <diagonal/>
    </border>
    <border>
      <left style="double">
        <color indexed="16"/>
      </left>
      <right style="thin">
        <color indexed="64"/>
      </right>
      <top/>
      <bottom style="double">
        <color indexed="16"/>
      </bottom>
      <diagonal/>
    </border>
    <border>
      <left/>
      <right style="thin">
        <color indexed="64"/>
      </right>
      <top/>
      <bottom style="double">
        <color indexed="16"/>
      </bottom>
      <diagonal/>
    </border>
    <border>
      <left/>
      <right/>
      <top/>
      <bottom style="double">
        <color indexed="16"/>
      </bottom>
      <diagonal/>
    </border>
    <border>
      <left/>
      <right style="double">
        <color indexed="16"/>
      </right>
      <top/>
      <bottom style="double">
        <color indexed="16"/>
      </bottom>
      <diagonal/>
    </border>
    <border>
      <left style="thin">
        <color indexed="64"/>
      </left>
      <right/>
      <top style="double">
        <color indexed="16"/>
      </top>
      <bottom/>
      <diagonal/>
    </border>
    <border>
      <left style="thin">
        <color indexed="64"/>
      </left>
      <right/>
      <top/>
      <bottom style="double">
        <color indexed="16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double">
        <color auto="1"/>
      </right>
      <top/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ouble">
        <color auto="1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indexed="64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45">
    <xf numFmtId="0" fontId="0" fillId="0" borderId="0"/>
    <xf numFmtId="165" fontId="12" fillId="0" borderId="0" applyFont="0" applyFill="0" applyBorder="0" applyAlignment="0" applyProtection="0"/>
    <xf numFmtId="40" fontId="17" fillId="0" borderId="0" applyFont="0" applyFill="0" applyBorder="0" applyAlignment="0" applyProtection="0"/>
    <xf numFmtId="40" fontId="17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7" fillId="0" borderId="0"/>
    <xf numFmtId="0" fontId="17" fillId="0" borderId="0"/>
    <xf numFmtId="9" fontId="12" fillId="0" borderId="0" applyFont="0" applyFill="0" applyBorder="0" applyAlignment="0" applyProtection="0"/>
    <xf numFmtId="0" fontId="78" fillId="0" borderId="80" applyNumberFormat="0" applyFill="0" applyAlignment="0" applyProtection="0"/>
    <xf numFmtId="0" fontId="71" fillId="0" borderId="81" applyNumberFormat="0" applyFill="0" applyAlignment="0" applyProtection="0"/>
    <xf numFmtId="0" fontId="79" fillId="7" borderId="0" applyNumberFormat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44" fontId="10" fillId="0" borderId="0" applyFon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12" fillId="0" borderId="0"/>
    <xf numFmtId="196" fontId="12" fillId="0" borderId="0" applyFill="0" applyBorder="0" applyAlignment="0" applyProtection="0"/>
    <xf numFmtId="0" fontId="8" fillId="0" borderId="0"/>
    <xf numFmtId="0" fontId="31" fillId="0" borderId="0" applyNumberFormat="0" applyFill="0" applyBorder="0" applyAlignment="0" applyProtection="0"/>
    <xf numFmtId="14" fontId="12" fillId="0" borderId="6" applyFont="0" applyFill="0" applyBorder="0" applyProtection="0">
      <alignment horizontal="center"/>
    </xf>
    <xf numFmtId="200" fontId="12" fillId="0" borderId="6" applyFont="0" applyFill="0" applyBorder="0" applyProtection="0">
      <alignment horizontal="center"/>
    </xf>
    <xf numFmtId="0" fontId="124" fillId="0" borderId="0">
      <alignment vertical="top"/>
    </xf>
    <xf numFmtId="9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>
      <alignment vertical="top"/>
    </xf>
    <xf numFmtId="40" fontId="15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27" fillId="0" borderId="0"/>
    <xf numFmtId="0" fontId="124" fillId="0" borderId="0">
      <alignment vertical="top"/>
    </xf>
    <xf numFmtId="0" fontId="124" fillId="0" borderId="0">
      <alignment vertical="top"/>
    </xf>
    <xf numFmtId="0" fontId="130" fillId="0" borderId="0" applyNumberFormat="0" applyFill="0" applyBorder="0" applyAlignment="0" applyProtection="0">
      <alignment vertical="top"/>
      <protection locked="0"/>
    </xf>
    <xf numFmtId="165" fontId="129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</cellStyleXfs>
  <cellXfs count="1811">
    <xf numFmtId="0" fontId="0" fillId="0" borderId="0" xfId="0"/>
    <xf numFmtId="0" fontId="13" fillId="0" borderId="0" xfId="0" applyFont="1"/>
    <xf numFmtId="0" fontId="14" fillId="0" borderId="1" xfId="0" applyFont="1" applyBorder="1" applyAlignment="1">
      <alignment horizontal="center"/>
    </xf>
    <xf numFmtId="38" fontId="14" fillId="0" borderId="2" xfId="1" applyNumberFormat="1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38" fontId="14" fillId="0" borderId="4" xfId="1" applyNumberFormat="1" applyFont="1" applyBorder="1" applyAlignment="1">
      <alignment horizontal="center"/>
    </xf>
    <xf numFmtId="0" fontId="0" fillId="0" borderId="5" xfId="0" applyBorder="1"/>
    <xf numFmtId="38" fontId="15" fillId="0" borderId="6" xfId="1" applyNumberFormat="1" applyFont="1" applyBorder="1"/>
    <xf numFmtId="0" fontId="15" fillId="0" borderId="5" xfId="0" applyFont="1" applyBorder="1"/>
    <xf numFmtId="38" fontId="14" fillId="0" borderId="6" xfId="1" applyNumberFormat="1" applyFont="1" applyBorder="1"/>
    <xf numFmtId="0" fontId="14" fillId="0" borderId="5" xfId="0" applyFont="1" applyBorder="1"/>
    <xf numFmtId="0" fontId="16" fillId="0" borderId="5" xfId="0" applyFont="1" applyBorder="1"/>
    <xf numFmtId="0" fontId="14" fillId="0" borderId="8" xfId="0" applyFont="1" applyBorder="1"/>
    <xf numFmtId="38" fontId="15" fillId="0" borderId="9" xfId="1" applyNumberFormat="1" applyFont="1" applyBorder="1"/>
    <xf numFmtId="0" fontId="0" fillId="0" borderId="12" xfId="0" applyBorder="1"/>
    <xf numFmtId="0" fontId="0" fillId="0" borderId="13" xfId="0" applyBorder="1" applyAlignment="1">
      <alignment horizontal="center"/>
    </xf>
    <xf numFmtId="0" fontId="17" fillId="0" borderId="5" xfId="0" applyFont="1" applyBorder="1"/>
    <xf numFmtId="166" fontId="14" fillId="0" borderId="2" xfId="0" applyNumberFormat="1" applyFont="1" applyBorder="1" applyAlignment="1">
      <alignment horizontal="center"/>
    </xf>
    <xf numFmtId="166" fontId="14" fillId="0" borderId="4" xfId="0" applyNumberFormat="1" applyFont="1" applyBorder="1" applyAlignment="1">
      <alignment horizontal="center"/>
    </xf>
    <xf numFmtId="166" fontId="0" fillId="0" borderId="6" xfId="0" applyNumberFormat="1" applyBorder="1"/>
    <xf numFmtId="166" fontId="14" fillId="0" borderId="7" xfId="1" applyNumberFormat="1" applyFont="1" applyBorder="1"/>
    <xf numFmtId="166" fontId="14" fillId="0" borderId="14" xfId="0" applyNumberFormat="1" applyFont="1" applyBorder="1"/>
    <xf numFmtId="166" fontId="14" fillId="0" borderId="7" xfId="0" applyNumberFormat="1" applyFont="1" applyBorder="1"/>
    <xf numFmtId="166" fontId="14" fillId="0" borderId="6" xfId="0" applyNumberFormat="1" applyFont="1" applyBorder="1"/>
    <xf numFmtId="166" fontId="0" fillId="0" borderId="9" xfId="0" applyNumberFormat="1" applyBorder="1"/>
    <xf numFmtId="166" fontId="14" fillId="0" borderId="15" xfId="1" applyNumberFormat="1" applyFont="1" applyBorder="1"/>
    <xf numFmtId="166" fontId="0" fillId="0" borderId="7" xfId="0" applyNumberFormat="1" applyBorder="1"/>
    <xf numFmtId="0" fontId="18" fillId="0" borderId="0" xfId="0" applyFont="1"/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/>
    <xf numFmtId="0" fontId="17" fillId="0" borderId="0" xfId="0" applyFont="1"/>
    <xf numFmtId="0" fontId="0" fillId="0" borderId="0" xfId="0" applyAlignment="1">
      <alignment horizontal="centerContinuous"/>
    </xf>
    <xf numFmtId="0" fontId="20" fillId="0" borderId="0" xfId="0" applyFont="1"/>
    <xf numFmtId="0" fontId="21" fillId="0" borderId="0" xfId="0" applyFont="1"/>
    <xf numFmtId="0" fontId="21" fillId="0" borderId="0" xfId="0" applyFont="1" applyAlignment="1">
      <alignment horizontal="center"/>
    </xf>
    <xf numFmtId="167" fontId="21" fillId="0" borderId="0" xfId="4" applyNumberFormat="1" applyFont="1"/>
    <xf numFmtId="167" fontId="21" fillId="0" borderId="0" xfId="4" applyNumberFormat="1" applyFont="1" applyAlignment="1">
      <alignment horizontal="center"/>
    </xf>
    <xf numFmtId="167" fontId="21" fillId="0" borderId="0" xfId="0" applyNumberFormat="1" applyFont="1" applyAlignment="1">
      <alignment horizontal="center"/>
    </xf>
    <xf numFmtId="0" fontId="0" fillId="0" borderId="16" xfId="0" applyBorder="1"/>
    <xf numFmtId="38" fontId="15" fillId="0" borderId="4" xfId="1" applyNumberFormat="1" applyFont="1" applyBorder="1" applyAlignment="1">
      <alignment horizontal="center"/>
    </xf>
    <xf numFmtId="38" fontId="0" fillId="0" borderId="0" xfId="0" applyNumberFormat="1"/>
    <xf numFmtId="0" fontId="23" fillId="0" borderId="0" xfId="0" applyFont="1"/>
    <xf numFmtId="38" fontId="21" fillId="0" borderId="6" xfId="0" applyNumberFormat="1" applyFont="1" applyBorder="1" applyAlignment="1">
      <alignment horizontal="center"/>
    </xf>
    <xf numFmtId="0" fontId="19" fillId="0" borderId="0" xfId="0" applyFont="1"/>
    <xf numFmtId="0" fontId="24" fillId="0" borderId="0" xfId="0" applyFont="1"/>
    <xf numFmtId="38" fontId="21" fillId="0" borderId="1" xfId="0" applyNumberFormat="1" applyFont="1" applyBorder="1" applyAlignment="1">
      <alignment horizontal="center"/>
    </xf>
    <xf numFmtId="38" fontId="21" fillId="0" borderId="2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37" fontId="21" fillId="0" borderId="0" xfId="0" applyNumberFormat="1" applyFont="1" applyAlignment="1">
      <alignment horizontal="center"/>
    </xf>
    <xf numFmtId="0" fontId="0" fillId="0" borderId="0" xfId="0" applyBorder="1"/>
    <xf numFmtId="0" fontId="28" fillId="0" borderId="0" xfId="0" applyFont="1"/>
    <xf numFmtId="0" fontId="27" fillId="0" borderId="0" xfId="0" applyFont="1"/>
    <xf numFmtId="0" fontId="24" fillId="0" borderId="0" xfId="0" applyFont="1" applyAlignment="1">
      <alignment horizontal="left"/>
    </xf>
    <xf numFmtId="0" fontId="29" fillId="0" borderId="1" xfId="0" applyFont="1" applyBorder="1" applyAlignment="1">
      <alignment horizontal="centerContinuous"/>
    </xf>
    <xf numFmtId="0" fontId="29" fillId="0" borderId="2" xfId="0" applyFont="1" applyBorder="1" applyAlignment="1">
      <alignment horizontal="centerContinuous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center"/>
    </xf>
    <xf numFmtId="0" fontId="30" fillId="0" borderId="0" xfId="0" applyFont="1" applyAlignment="1">
      <alignment horizontal="left"/>
    </xf>
    <xf numFmtId="0" fontId="22" fillId="0" borderId="0" xfId="0" applyFont="1"/>
    <xf numFmtId="0" fontId="29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34" fillId="0" borderId="5" xfId="0" applyFont="1" applyBorder="1"/>
    <xf numFmtId="171" fontId="14" fillId="0" borderId="7" xfId="1" applyNumberFormat="1" applyFont="1" applyBorder="1"/>
    <xf numFmtId="0" fontId="33" fillId="0" borderId="1" xfId="0" applyFont="1" applyBorder="1" applyAlignment="1">
      <alignment horizontal="center"/>
    </xf>
    <xf numFmtId="0" fontId="35" fillId="0" borderId="0" xfId="0" applyFont="1"/>
    <xf numFmtId="0" fontId="36" fillId="0" borderId="0" xfId="0" applyFont="1"/>
    <xf numFmtId="0" fontId="36" fillId="0" borderId="10" xfId="0" applyFont="1" applyBorder="1"/>
    <xf numFmtId="0" fontId="35" fillId="0" borderId="10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37" fillId="0" borderId="0" xfId="0" applyFont="1"/>
    <xf numFmtId="3" fontId="36" fillId="0" borderId="0" xfId="0" applyNumberFormat="1" applyFont="1" applyAlignment="1">
      <alignment horizontal="right"/>
    </xf>
    <xf numFmtId="4" fontId="36" fillId="0" borderId="0" xfId="0" applyNumberFormat="1" applyFont="1"/>
    <xf numFmtId="0" fontId="36" fillId="0" borderId="0" xfId="0" applyFont="1" applyAlignment="1">
      <alignment horizontal="right"/>
    </xf>
    <xf numFmtId="3" fontId="38" fillId="0" borderId="26" xfId="0" applyNumberFormat="1" applyFont="1" applyBorder="1"/>
    <xf numFmtId="2" fontId="38" fillId="0" borderId="0" xfId="0" applyNumberFormat="1" applyFont="1" applyAlignment="1">
      <alignment horizontal="center"/>
    </xf>
    <xf numFmtId="165" fontId="38" fillId="0" borderId="26" xfId="1" applyFont="1" applyBorder="1"/>
    <xf numFmtId="0" fontId="38" fillId="0" borderId="26" xfId="0" applyFont="1" applyBorder="1"/>
    <xf numFmtId="0" fontId="38" fillId="0" borderId="0" xfId="0" applyFont="1" applyAlignment="1">
      <alignment horizontal="center"/>
    </xf>
    <xf numFmtId="4" fontId="38" fillId="0" borderId="26" xfId="0" applyNumberFormat="1" applyFont="1" applyBorder="1"/>
    <xf numFmtId="0" fontId="38" fillId="0" borderId="0" xfId="0" applyFont="1" applyBorder="1"/>
    <xf numFmtId="4" fontId="38" fillId="0" borderId="0" xfId="0" applyNumberFormat="1" applyFont="1" applyBorder="1"/>
    <xf numFmtId="0" fontId="39" fillId="0" borderId="26" xfId="0" applyFont="1" applyBorder="1"/>
    <xf numFmtId="0" fontId="39" fillId="0" borderId="0" xfId="0" applyFont="1" applyBorder="1"/>
    <xf numFmtId="3" fontId="0" fillId="0" borderId="0" xfId="0" applyNumberFormat="1"/>
    <xf numFmtId="3" fontId="0" fillId="0" borderId="27" xfId="0" applyNumberFormat="1" applyBorder="1"/>
    <xf numFmtId="2" fontId="38" fillId="0" borderId="26" xfId="0" applyNumberFormat="1" applyFont="1" applyBorder="1"/>
    <xf numFmtId="3" fontId="21" fillId="0" borderId="0" xfId="0" applyNumberFormat="1" applyFont="1" applyAlignment="1">
      <alignment horizontal="left"/>
    </xf>
    <xf numFmtId="0" fontId="41" fillId="0" borderId="0" xfId="0" applyFont="1"/>
    <xf numFmtId="38" fontId="21" fillId="0" borderId="11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" fontId="0" fillId="0" borderId="0" xfId="0" applyNumberFormat="1" applyBorder="1"/>
    <xf numFmtId="0" fontId="0" fillId="0" borderId="28" xfId="0" applyBorder="1"/>
    <xf numFmtId="0" fontId="0" fillId="0" borderId="29" xfId="0" applyBorder="1"/>
    <xf numFmtId="3" fontId="17" fillId="0" borderId="0" xfId="0" applyNumberFormat="1" applyFont="1"/>
    <xf numFmtId="0" fontId="42" fillId="0" borderId="5" xfId="0" applyFont="1" applyBorder="1" applyAlignment="1">
      <alignment horizontal="right"/>
    </xf>
    <xf numFmtId="38" fontId="21" fillId="0" borderId="17" xfId="0" applyNumberFormat="1" applyFont="1" applyBorder="1" applyAlignment="1">
      <alignment horizontal="center"/>
    </xf>
    <xf numFmtId="38" fontId="21" fillId="0" borderId="19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center"/>
    </xf>
    <xf numFmtId="0" fontId="0" fillId="0" borderId="30" xfId="0" applyBorder="1" applyAlignment="1">
      <alignment horizontal="center"/>
    </xf>
    <xf numFmtId="167" fontId="17" fillId="0" borderId="0" xfId="4" applyNumberFormat="1" applyFont="1" applyAlignment="1">
      <alignment horizontal="center"/>
    </xf>
    <xf numFmtId="0" fontId="40" fillId="0" borderId="0" xfId="0" applyFont="1"/>
    <xf numFmtId="38" fontId="44" fillId="0" borderId="6" xfId="1" applyNumberFormat="1" applyFont="1" applyBorder="1" applyAlignment="1">
      <alignment horizontal="centerContinuous"/>
    </xf>
    <xf numFmtId="0" fontId="32" fillId="0" borderId="0" xfId="0" applyFont="1"/>
    <xf numFmtId="0" fontId="44" fillId="0" borderId="0" xfId="0" applyFont="1" applyAlignment="1">
      <alignment horizontal="centerContinuous"/>
    </xf>
    <xf numFmtId="0" fontId="44" fillId="0" borderId="0" xfId="0" applyFont="1" applyAlignment="1"/>
    <xf numFmtId="0" fontId="44" fillId="0" borderId="0" xfId="0" applyFont="1"/>
    <xf numFmtId="38" fontId="32" fillId="0" borderId="0" xfId="1" applyNumberFormat="1" applyFont="1"/>
    <xf numFmtId="38" fontId="32" fillId="0" borderId="0" xfId="1" applyNumberFormat="1" applyFont="1" applyAlignment="1">
      <alignment horizontal="centerContinuous"/>
    </xf>
    <xf numFmtId="38" fontId="32" fillId="0" borderId="0" xfId="1" applyNumberFormat="1" applyFont="1" applyAlignment="1"/>
    <xf numFmtId="0" fontId="45" fillId="0" borderId="1" xfId="0" applyFont="1" applyBorder="1" applyAlignment="1">
      <alignment horizontal="center"/>
    </xf>
    <xf numFmtId="38" fontId="45" fillId="0" borderId="2" xfId="1" applyNumberFormat="1" applyFont="1" applyBorder="1" applyAlignment="1">
      <alignment horizontal="centerContinuous"/>
    </xf>
    <xf numFmtId="38" fontId="45" fillId="0" borderId="2" xfId="1" applyNumberFormat="1" applyFont="1" applyBorder="1" applyAlignment="1">
      <alignment horizontal="center"/>
    </xf>
    <xf numFmtId="38" fontId="45" fillId="0" borderId="21" xfId="1" applyNumberFormat="1" applyFont="1" applyBorder="1" applyAlignment="1">
      <alignment horizontal="center"/>
    </xf>
    <xf numFmtId="38" fontId="45" fillId="0" borderId="31" xfId="1" applyNumberFormat="1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38" fontId="45" fillId="0" borderId="4" xfId="1" applyNumberFormat="1" applyFont="1" applyBorder="1" applyAlignment="1">
      <alignment horizontal="centerContinuous"/>
    </xf>
    <xf numFmtId="38" fontId="45" fillId="0" borderId="32" xfId="1" applyNumberFormat="1" applyFont="1" applyBorder="1" applyAlignment="1">
      <alignment horizontal="center"/>
    </xf>
    <xf numFmtId="0" fontId="44" fillId="0" borderId="5" xfId="0" applyFont="1" applyBorder="1"/>
    <xf numFmtId="38" fontId="44" fillId="0" borderId="6" xfId="1" applyNumberFormat="1" applyFont="1" applyBorder="1"/>
    <xf numFmtId="38" fontId="44" fillId="0" borderId="16" xfId="1" applyNumberFormat="1" applyFont="1" applyBorder="1"/>
    <xf numFmtId="38" fontId="44" fillId="0" borderId="33" xfId="1" applyNumberFormat="1" applyFont="1" applyBorder="1"/>
    <xf numFmtId="0" fontId="45" fillId="0" borderId="5" xfId="0" applyFont="1" applyBorder="1"/>
    <xf numFmtId="38" fontId="44" fillId="0" borderId="6" xfId="1" applyNumberFormat="1" applyFont="1" applyBorder="1" applyAlignment="1">
      <alignment horizontal="center"/>
    </xf>
    <xf numFmtId="38" fontId="44" fillId="0" borderId="16" xfId="1" applyNumberFormat="1" applyFont="1" applyBorder="1" applyAlignment="1">
      <alignment horizontal="center"/>
    </xf>
    <xf numFmtId="0" fontId="45" fillId="0" borderId="8" xfId="0" applyFont="1" applyBorder="1"/>
    <xf numFmtId="0" fontId="44" fillId="0" borderId="1" xfId="0" applyFont="1" applyBorder="1"/>
    <xf numFmtId="0" fontId="44" fillId="0" borderId="2" xfId="0" applyFont="1" applyBorder="1" applyAlignment="1">
      <alignment horizontal="center"/>
    </xf>
    <xf numFmtId="0" fontId="44" fillId="0" borderId="31" xfId="0" applyFont="1" applyBorder="1" applyAlignment="1">
      <alignment horizontal="center"/>
    </xf>
    <xf numFmtId="0" fontId="44" fillId="0" borderId="4" xfId="0" applyFont="1" applyBorder="1" applyAlignment="1">
      <alignment horizontal="center"/>
    </xf>
    <xf numFmtId="0" fontId="44" fillId="0" borderId="32" xfId="0" applyFont="1" applyBorder="1" applyAlignment="1">
      <alignment horizontal="center"/>
    </xf>
    <xf numFmtId="0" fontId="44" fillId="0" borderId="6" xfId="0" applyFont="1" applyBorder="1"/>
    <xf numFmtId="0" fontId="44" fillId="0" borderId="33" xfId="0" applyFont="1" applyBorder="1"/>
    <xf numFmtId="38" fontId="44" fillId="0" borderId="33" xfId="0" applyNumberFormat="1" applyFont="1" applyBorder="1"/>
    <xf numFmtId="0" fontId="45" fillId="0" borderId="0" xfId="0" applyFont="1"/>
    <xf numFmtId="0" fontId="44" fillId="0" borderId="34" xfId="0" applyFont="1" applyBorder="1"/>
    <xf numFmtId="0" fontId="44" fillId="0" borderId="10" xfId="0" applyFont="1" applyBorder="1"/>
    <xf numFmtId="0" fontId="44" fillId="0" borderId="35" xfId="0" applyFont="1" applyBorder="1" applyAlignment="1">
      <alignment horizontal="center"/>
    </xf>
    <xf numFmtId="0" fontId="44" fillId="0" borderId="21" xfId="0" applyFont="1" applyBorder="1" applyAlignment="1">
      <alignment horizontal="center"/>
    </xf>
    <xf numFmtId="0" fontId="44" fillId="0" borderId="11" xfId="0" applyFont="1" applyBorder="1" applyAlignment="1">
      <alignment horizontal="center"/>
    </xf>
    <xf numFmtId="0" fontId="44" fillId="0" borderId="36" xfId="0" applyFont="1" applyBorder="1"/>
    <xf numFmtId="0" fontId="44" fillId="0" borderId="0" xfId="0" applyFont="1" applyBorder="1"/>
    <xf numFmtId="0" fontId="44" fillId="0" borderId="37" xfId="0" applyFont="1" applyBorder="1" applyAlignment="1">
      <alignment horizontal="center"/>
    </xf>
    <xf numFmtId="0" fontId="44" fillId="0" borderId="16" xfId="0" applyFont="1" applyBorder="1" applyAlignment="1">
      <alignment horizontal="center"/>
    </xf>
    <xf numFmtId="0" fontId="44" fillId="0" borderId="38" xfId="0" applyFont="1" applyBorder="1" applyAlignment="1">
      <alignment horizontal="center"/>
    </xf>
    <xf numFmtId="0" fontId="44" fillId="0" borderId="30" xfId="0" applyFont="1" applyBorder="1"/>
    <xf numFmtId="0" fontId="44" fillId="0" borderId="4" xfId="0" applyFont="1" applyBorder="1"/>
    <xf numFmtId="0" fontId="44" fillId="0" borderId="13" xfId="0" applyFont="1" applyBorder="1"/>
    <xf numFmtId="0" fontId="31" fillId="0" borderId="36" xfId="0" applyFont="1" applyBorder="1"/>
    <xf numFmtId="0" fontId="31" fillId="0" borderId="0" xfId="0" applyFont="1" applyBorder="1"/>
    <xf numFmtId="38" fontId="44" fillId="0" borderId="37" xfId="0" applyNumberFormat="1" applyFont="1" applyBorder="1"/>
    <xf numFmtId="38" fontId="44" fillId="0" borderId="16" xfId="0" applyNumberFormat="1" applyFont="1" applyBorder="1"/>
    <xf numFmtId="38" fontId="44" fillId="0" borderId="39" xfId="0" applyNumberFormat="1" applyFont="1" applyBorder="1"/>
    <xf numFmtId="0" fontId="44" fillId="0" borderId="37" xfId="0" applyFont="1" applyBorder="1"/>
    <xf numFmtId="0" fontId="44" fillId="0" borderId="16" xfId="0" applyFont="1" applyBorder="1"/>
    <xf numFmtId="169" fontId="44" fillId="0" borderId="16" xfId="7" applyNumberFormat="1" applyFont="1" applyBorder="1"/>
    <xf numFmtId="169" fontId="44" fillId="0" borderId="12" xfId="7" applyNumberFormat="1" applyFont="1" applyBorder="1"/>
    <xf numFmtId="3" fontId="44" fillId="0" borderId="37" xfId="0" applyNumberFormat="1" applyFont="1" applyBorder="1"/>
    <xf numFmtId="169" fontId="44" fillId="0" borderId="33" xfId="7" applyNumberFormat="1" applyFont="1" applyBorder="1"/>
    <xf numFmtId="169" fontId="44" fillId="0" borderId="16" xfId="0" applyNumberFormat="1" applyFont="1" applyBorder="1"/>
    <xf numFmtId="169" fontId="44" fillId="0" borderId="33" xfId="0" applyNumberFormat="1" applyFont="1" applyBorder="1"/>
    <xf numFmtId="0" fontId="44" fillId="0" borderId="12" xfId="0" applyFont="1" applyBorder="1"/>
    <xf numFmtId="166" fontId="44" fillId="0" borderId="16" xfId="0" applyNumberFormat="1" applyFont="1" applyBorder="1"/>
    <xf numFmtId="166" fontId="44" fillId="0" borderId="6" xfId="0" applyNumberFormat="1" applyFont="1" applyBorder="1"/>
    <xf numFmtId="166" fontId="44" fillId="0" borderId="33" xfId="0" applyNumberFormat="1" applyFont="1" applyBorder="1"/>
    <xf numFmtId="0" fontId="31" fillId="0" borderId="40" xfId="0" applyFont="1" applyBorder="1"/>
    <xf numFmtId="0" fontId="31" fillId="0" borderId="41" xfId="0" applyFont="1" applyBorder="1"/>
    <xf numFmtId="38" fontId="44" fillId="0" borderId="22" xfId="0" applyNumberFormat="1" applyFont="1" applyBorder="1"/>
    <xf numFmtId="38" fontId="44" fillId="0" borderId="42" xfId="0" applyNumberFormat="1" applyFont="1" applyBorder="1"/>
    <xf numFmtId="3" fontId="44" fillId="0" borderId="6" xfId="0" applyNumberFormat="1" applyFont="1" applyBorder="1" applyAlignment="1">
      <alignment horizontal="center"/>
    </xf>
    <xf numFmtId="3" fontId="44" fillId="0" borderId="16" xfId="0" applyNumberFormat="1" applyFont="1" applyBorder="1" applyAlignment="1">
      <alignment horizontal="center"/>
    </xf>
    <xf numFmtId="38" fontId="44" fillId="0" borderId="6" xfId="0" applyNumberFormat="1" applyFont="1" applyBorder="1" applyAlignment="1">
      <alignment horizontal="center"/>
    </xf>
    <xf numFmtId="0" fontId="46" fillId="2" borderId="0" xfId="0" applyFont="1" applyFill="1"/>
    <xf numFmtId="0" fontId="31" fillId="2" borderId="0" xfId="0" applyFont="1" applyFill="1"/>
    <xf numFmtId="0" fontId="31" fillId="0" borderId="43" xfId="0" applyFont="1" applyBorder="1"/>
    <xf numFmtId="0" fontId="31" fillId="0" borderId="44" xfId="0" applyFont="1" applyBorder="1" applyAlignment="1">
      <alignment horizontal="center"/>
    </xf>
    <xf numFmtId="0" fontId="31" fillId="0" borderId="45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47" xfId="0" applyFont="1" applyBorder="1"/>
    <xf numFmtId="0" fontId="31" fillId="0" borderId="4" xfId="0" applyFont="1" applyBorder="1" applyAlignment="1">
      <alignment horizontal="center"/>
    </xf>
    <xf numFmtId="0" fontId="31" fillId="0" borderId="27" xfId="0" applyFont="1" applyBorder="1" applyAlignment="1">
      <alignment horizontal="center"/>
    </xf>
    <xf numFmtId="0" fontId="31" fillId="0" borderId="48" xfId="0" applyFont="1" applyBorder="1" applyAlignment="1">
      <alignment horizontal="center"/>
    </xf>
    <xf numFmtId="0" fontId="31" fillId="0" borderId="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9" xfId="0" applyFont="1" applyBorder="1" applyAlignment="1">
      <alignment horizontal="center"/>
    </xf>
    <xf numFmtId="168" fontId="31" fillId="0" borderId="6" xfId="0" applyNumberFormat="1" applyFont="1" applyBorder="1" applyAlignment="1">
      <alignment horizontal="center"/>
    </xf>
    <xf numFmtId="168" fontId="31" fillId="0" borderId="0" xfId="0" applyNumberFormat="1" applyFont="1" applyBorder="1" applyAlignment="1">
      <alignment horizontal="center"/>
    </xf>
    <xf numFmtId="168" fontId="31" fillId="0" borderId="50" xfId="0" applyNumberFormat="1" applyFont="1" applyBorder="1" applyAlignment="1">
      <alignment horizontal="center"/>
    </xf>
    <xf numFmtId="174" fontId="31" fillId="0" borderId="0" xfId="0" applyNumberFormat="1" applyFont="1" applyBorder="1" applyAlignment="1">
      <alignment horizontal="center"/>
    </xf>
    <xf numFmtId="166" fontId="31" fillId="0" borderId="6" xfId="0" applyNumberFormat="1" applyFont="1" applyBorder="1" applyAlignment="1">
      <alignment horizontal="center"/>
    </xf>
    <xf numFmtId="166" fontId="31" fillId="0" borderId="0" xfId="0" applyNumberFormat="1" applyFont="1" applyBorder="1" applyAlignment="1">
      <alignment horizontal="center"/>
    </xf>
    <xf numFmtId="166" fontId="31" fillId="0" borderId="50" xfId="0" applyNumberFormat="1" applyFont="1" applyBorder="1" applyAlignment="1">
      <alignment horizontal="center"/>
    </xf>
    <xf numFmtId="173" fontId="31" fillId="0" borderId="0" xfId="0" applyNumberFormat="1" applyFont="1" applyBorder="1" applyAlignment="1">
      <alignment horizontal="center"/>
    </xf>
    <xf numFmtId="0" fontId="31" fillId="0" borderId="51" xfId="0" applyFont="1" applyBorder="1"/>
    <xf numFmtId="168" fontId="31" fillId="0" borderId="52" xfId="0" applyNumberFormat="1" applyFont="1" applyBorder="1" applyAlignment="1">
      <alignment horizontal="center"/>
    </xf>
    <xf numFmtId="168" fontId="31" fillId="0" borderId="53" xfId="0" applyNumberFormat="1" applyFont="1" applyBorder="1" applyAlignment="1">
      <alignment horizontal="center"/>
    </xf>
    <xf numFmtId="168" fontId="31" fillId="0" borderId="54" xfId="0" applyNumberFormat="1" applyFont="1" applyBorder="1" applyAlignment="1">
      <alignment horizontal="center"/>
    </xf>
    <xf numFmtId="0" fontId="31" fillId="0" borderId="55" xfId="0" applyFont="1" applyBorder="1" applyAlignment="1">
      <alignment horizontal="center"/>
    </xf>
    <xf numFmtId="0" fontId="31" fillId="0" borderId="38" xfId="0" applyFont="1" applyBorder="1" applyAlignment="1">
      <alignment horizontal="center"/>
    </xf>
    <xf numFmtId="0" fontId="31" fillId="0" borderId="37" xfId="0" applyFont="1" applyBorder="1" applyAlignment="1">
      <alignment horizontal="center"/>
    </xf>
    <xf numFmtId="0" fontId="31" fillId="0" borderId="50" xfId="0" applyFont="1" applyBorder="1" applyAlignment="1">
      <alignment horizontal="center"/>
    </xf>
    <xf numFmtId="168" fontId="31" fillId="0" borderId="37" xfId="0" applyNumberFormat="1" applyFont="1" applyBorder="1" applyAlignment="1">
      <alignment horizontal="center"/>
    </xf>
    <xf numFmtId="166" fontId="31" fillId="0" borderId="37" xfId="0" applyNumberFormat="1" applyFont="1" applyBorder="1" applyAlignment="1">
      <alignment horizontal="center"/>
    </xf>
    <xf numFmtId="168" fontId="31" fillId="0" borderId="56" xfId="0" applyNumberFormat="1" applyFont="1" applyBorder="1" applyAlignment="1">
      <alignment horizontal="center"/>
    </xf>
    <xf numFmtId="0" fontId="47" fillId="0" borderId="36" xfId="0" applyFont="1" applyBorder="1"/>
    <xf numFmtId="38" fontId="44" fillId="0" borderId="37" xfId="0" applyNumberFormat="1" applyFont="1" applyBorder="1" applyAlignment="1">
      <alignment horizontal="right"/>
    </xf>
    <xf numFmtId="3" fontId="44" fillId="0" borderId="7" xfId="0" applyNumberFormat="1" applyFont="1" applyBorder="1" applyAlignment="1">
      <alignment horizontal="center"/>
    </xf>
    <xf numFmtId="3" fontId="44" fillId="0" borderId="57" xfId="0" applyNumberFormat="1" applyFont="1" applyBorder="1" applyAlignment="1">
      <alignment horizontal="center"/>
    </xf>
    <xf numFmtId="3" fontId="44" fillId="0" borderId="59" xfId="0" applyNumberFormat="1" applyFont="1" applyBorder="1" applyAlignment="1">
      <alignment horizontal="center"/>
    </xf>
    <xf numFmtId="0" fontId="17" fillId="0" borderId="27" xfId="0" applyFont="1" applyBorder="1" applyAlignment="1">
      <alignment horizontal="center"/>
    </xf>
    <xf numFmtId="3" fontId="21" fillId="0" borderId="0" xfId="0" applyNumberFormat="1" applyFont="1"/>
    <xf numFmtId="166" fontId="0" fillId="0" borderId="0" xfId="0" applyNumberFormat="1" applyAlignment="1">
      <alignment horizontal="centerContinuous"/>
    </xf>
    <xf numFmtId="38" fontId="44" fillId="0" borderId="33" xfId="1" applyNumberFormat="1" applyFont="1" applyBorder="1" applyAlignment="1">
      <alignment horizontal="center"/>
    </xf>
    <xf numFmtId="2" fontId="0" fillId="0" borderId="0" xfId="0" applyNumberFormat="1" applyAlignment="1">
      <alignment horizontal="centerContinuous"/>
    </xf>
    <xf numFmtId="1" fontId="21" fillId="0" borderId="3" xfId="0" applyNumberFormat="1" applyFont="1" applyBorder="1" applyAlignment="1">
      <alignment horizontal="center"/>
    </xf>
    <xf numFmtId="1" fontId="21" fillId="0" borderId="4" xfId="0" applyNumberFormat="1" applyFont="1" applyBorder="1" applyAlignment="1">
      <alignment horizontal="center"/>
    </xf>
    <xf numFmtId="0" fontId="19" fillId="0" borderId="5" xfId="0" applyFont="1" applyBorder="1"/>
    <xf numFmtId="171" fontId="14" fillId="0" borderId="6" xfId="1" applyNumberFormat="1" applyFont="1" applyBorder="1"/>
    <xf numFmtId="3" fontId="44" fillId="0" borderId="30" xfId="0" applyNumberFormat="1" applyFont="1" applyBorder="1" applyAlignment="1">
      <alignment horizontal="center"/>
    </xf>
    <xf numFmtId="38" fontId="44" fillId="0" borderId="7" xfId="0" applyNumberFormat="1" applyFont="1" applyBorder="1" applyAlignment="1">
      <alignment horizontal="center"/>
    </xf>
    <xf numFmtId="3" fontId="44" fillId="0" borderId="9" xfId="0" applyNumberFormat="1" applyFont="1" applyBorder="1" applyAlignment="1">
      <alignment horizontal="center"/>
    </xf>
    <xf numFmtId="38" fontId="44" fillId="0" borderId="30" xfId="0" applyNumberFormat="1" applyFont="1" applyBorder="1" applyAlignment="1">
      <alignment horizontal="center"/>
    </xf>
    <xf numFmtId="38" fontId="44" fillId="0" borderId="4" xfId="0" applyNumberFormat="1" applyFont="1" applyBorder="1" applyAlignment="1">
      <alignment horizontal="center"/>
    </xf>
    <xf numFmtId="38" fontId="44" fillId="0" borderId="32" xfId="0" applyNumberFormat="1" applyFont="1" applyBorder="1" applyAlignment="1">
      <alignment horizontal="center"/>
    </xf>
    <xf numFmtId="3" fontId="44" fillId="0" borderId="32" xfId="0" applyNumberFormat="1" applyFont="1" applyBorder="1" applyAlignment="1">
      <alignment horizontal="center"/>
    </xf>
    <xf numFmtId="0" fontId="44" fillId="0" borderId="39" xfId="0" applyFont="1" applyBorder="1"/>
    <xf numFmtId="38" fontId="44" fillId="0" borderId="33" xfId="0" applyNumberFormat="1" applyFont="1" applyBorder="1" applyAlignment="1">
      <alignment horizontal="center"/>
    </xf>
    <xf numFmtId="3" fontId="44" fillId="0" borderId="33" xfId="0" applyNumberFormat="1" applyFont="1" applyBorder="1" applyAlignment="1">
      <alignment horizontal="center"/>
    </xf>
    <xf numFmtId="38" fontId="44" fillId="0" borderId="59" xfId="0" applyNumberFormat="1" applyFont="1" applyBorder="1" applyAlignment="1">
      <alignment horizontal="center"/>
    </xf>
    <xf numFmtId="3" fontId="44" fillId="0" borderId="42" xfId="0" applyNumberFormat="1" applyFont="1" applyBorder="1" applyAlignment="1">
      <alignment horizontal="center"/>
    </xf>
    <xf numFmtId="38" fontId="44" fillId="0" borderId="7" xfId="1" applyNumberFormat="1" applyFont="1" applyBorder="1" applyAlignment="1">
      <alignment horizontal="center"/>
    </xf>
    <xf numFmtId="38" fontId="44" fillId="0" borderId="14" xfId="1" applyNumberFormat="1" applyFont="1" applyBorder="1" applyAlignment="1">
      <alignment horizontal="center"/>
    </xf>
    <xf numFmtId="38" fontId="44" fillId="0" borderId="59" xfId="1" applyNumberFormat="1" applyFont="1" applyBorder="1" applyAlignment="1">
      <alignment horizontal="center"/>
    </xf>
    <xf numFmtId="38" fontId="44" fillId="0" borderId="4" xfId="1" applyNumberFormat="1" applyFont="1" applyBorder="1" applyAlignment="1">
      <alignment horizontal="center"/>
    </xf>
    <xf numFmtId="38" fontId="44" fillId="0" borderId="9" xfId="1" applyNumberFormat="1" applyFont="1" applyBorder="1" applyAlignment="1">
      <alignment horizontal="center"/>
    </xf>
    <xf numFmtId="38" fontId="44" fillId="0" borderId="29" xfId="1" applyNumberFormat="1" applyFont="1" applyBorder="1" applyAlignment="1">
      <alignment horizontal="center"/>
    </xf>
    <xf numFmtId="38" fontId="44" fillId="0" borderId="24" xfId="1" applyNumberFormat="1" applyFont="1" applyBorder="1" applyAlignment="1">
      <alignment horizontal="center"/>
    </xf>
    <xf numFmtId="38" fontId="44" fillId="0" borderId="60" xfId="1" applyNumberFormat="1" applyFont="1" applyBorder="1" applyAlignment="1">
      <alignment horizontal="center"/>
    </xf>
    <xf numFmtId="0" fontId="44" fillId="0" borderId="33" xfId="0" applyFont="1" applyBorder="1" applyAlignment="1">
      <alignment horizontal="center"/>
    </xf>
    <xf numFmtId="0" fontId="44" fillId="0" borderId="32" xfId="0" applyFont="1" applyBorder="1"/>
    <xf numFmtId="1" fontId="21" fillId="0" borderId="13" xfId="0" applyNumberFormat="1" applyFont="1" applyBorder="1" applyAlignment="1">
      <alignment horizontal="center"/>
    </xf>
    <xf numFmtId="0" fontId="0" fillId="0" borderId="61" xfId="0" applyBorder="1"/>
    <xf numFmtId="0" fontId="42" fillId="0" borderId="0" xfId="0" applyFont="1"/>
    <xf numFmtId="167" fontId="21" fillId="0" borderId="0" xfId="0" applyNumberFormat="1" applyFont="1"/>
    <xf numFmtId="0" fontId="49" fillId="0" borderId="0" xfId="0" applyFont="1"/>
    <xf numFmtId="0" fontId="0" fillId="0" borderId="33" xfId="0" applyBorder="1"/>
    <xf numFmtId="0" fontId="43" fillId="0" borderId="0" xfId="0" applyFont="1"/>
    <xf numFmtId="0" fontId="50" fillId="0" borderId="0" xfId="0" applyFont="1"/>
    <xf numFmtId="176" fontId="44" fillId="0" borderId="37" xfId="0" applyNumberFormat="1" applyFont="1" applyBorder="1"/>
    <xf numFmtId="176" fontId="44" fillId="0" borderId="33" xfId="0" applyNumberFormat="1" applyFont="1" applyBorder="1"/>
    <xf numFmtId="38" fontId="44" fillId="0" borderId="0" xfId="0" applyNumberFormat="1" applyFont="1" applyBorder="1"/>
    <xf numFmtId="177" fontId="0" fillId="0" borderId="6" xfId="0" applyNumberFormat="1" applyBorder="1"/>
    <xf numFmtId="178" fontId="14" fillId="0" borderId="0" xfId="1" applyNumberFormat="1" applyFont="1" applyBorder="1"/>
    <xf numFmtId="178" fontId="0" fillId="0" borderId="6" xfId="0" applyNumberFormat="1" applyBorder="1"/>
    <xf numFmtId="178" fontId="0" fillId="0" borderId="16" xfId="0" applyNumberFormat="1" applyBorder="1"/>
    <xf numFmtId="178" fontId="0" fillId="0" borderId="12" xfId="0" applyNumberFormat="1" applyBorder="1"/>
    <xf numFmtId="178" fontId="0" fillId="0" borderId="7" xfId="0" applyNumberFormat="1" applyBorder="1"/>
    <xf numFmtId="178" fontId="0" fillId="0" borderId="14" xfId="0" applyNumberFormat="1" applyBorder="1"/>
    <xf numFmtId="178" fontId="17" fillId="0" borderId="14" xfId="1" applyNumberFormat="1" applyFont="1" applyBorder="1"/>
    <xf numFmtId="178" fontId="0" fillId="0" borderId="9" xfId="0" applyNumberFormat="1" applyBorder="1"/>
    <xf numFmtId="179" fontId="0" fillId="0" borderId="6" xfId="0" applyNumberFormat="1" applyBorder="1"/>
    <xf numFmtId="179" fontId="0" fillId="0" borderId="7" xfId="0" applyNumberFormat="1" applyBorder="1"/>
    <xf numFmtId="179" fontId="0" fillId="0" borderId="14" xfId="0" applyNumberFormat="1" applyBorder="1"/>
    <xf numFmtId="179" fontId="0" fillId="0" borderId="9" xfId="0" applyNumberFormat="1" applyBorder="1"/>
    <xf numFmtId="179" fontId="0" fillId="0" borderId="16" xfId="0" applyNumberFormat="1" applyBorder="1"/>
    <xf numFmtId="179" fontId="0" fillId="0" borderId="22" xfId="0" applyNumberFormat="1" applyBorder="1"/>
    <xf numFmtId="179" fontId="0" fillId="0" borderId="33" xfId="0" applyNumberFormat="1" applyBorder="1"/>
    <xf numFmtId="179" fontId="0" fillId="0" borderId="59" xfId="0" applyNumberFormat="1" applyBorder="1"/>
    <xf numFmtId="179" fontId="0" fillId="0" borderId="42" xfId="0" applyNumberFormat="1" applyBorder="1"/>
    <xf numFmtId="0" fontId="0" fillId="0" borderId="12" xfId="0" applyFill="1" applyBorder="1"/>
    <xf numFmtId="0" fontId="33" fillId="0" borderId="0" xfId="0" applyFont="1"/>
    <xf numFmtId="0" fontId="40" fillId="0" borderId="0" xfId="0" applyFont="1" applyAlignment="1">
      <alignment horizontal="center"/>
    </xf>
    <xf numFmtId="0" fontId="48" fillId="0" borderId="0" xfId="0" applyFont="1"/>
    <xf numFmtId="0" fontId="40" fillId="0" borderId="5" xfId="0" applyFont="1" applyBorder="1"/>
    <xf numFmtId="0" fontId="40" fillId="0" borderId="6" xfId="0" applyFont="1" applyBorder="1"/>
    <xf numFmtId="0" fontId="40" fillId="0" borderId="12" xfId="0" applyFont="1" applyBorder="1"/>
    <xf numFmtId="0" fontId="40" fillId="0" borderId="1" xfId="0" applyFont="1" applyBorder="1" applyAlignment="1">
      <alignment horizontal="centerContinuous"/>
    </xf>
    <xf numFmtId="0" fontId="40" fillId="0" borderId="2" xfId="0" applyFont="1" applyBorder="1" applyAlignment="1">
      <alignment horizontal="centerContinuous"/>
    </xf>
    <xf numFmtId="0" fontId="53" fillId="0" borderId="0" xfId="0" applyFont="1"/>
    <xf numFmtId="0" fontId="40" fillId="0" borderId="6" xfId="0" applyFont="1" applyBorder="1" applyAlignment="1">
      <alignment horizontal="center"/>
    </xf>
    <xf numFmtId="3" fontId="40" fillId="0" borderId="6" xfId="0" applyNumberFormat="1" applyFont="1" applyBorder="1" applyProtection="1">
      <protection locked="0"/>
    </xf>
    <xf numFmtId="0" fontId="40" fillId="0" borderId="8" xfId="0" applyFont="1" applyBorder="1"/>
    <xf numFmtId="0" fontId="40" fillId="0" borderId="9" xfId="0" applyFont="1" applyBorder="1"/>
    <xf numFmtId="0" fontId="40" fillId="0" borderId="0" xfId="0" applyFont="1" applyBorder="1"/>
    <xf numFmtId="166" fontId="40" fillId="0" borderId="0" xfId="0" applyNumberFormat="1" applyFont="1" applyBorder="1" applyAlignment="1">
      <alignment horizontal="center"/>
    </xf>
    <xf numFmtId="38" fontId="40" fillId="0" borderId="0" xfId="0" applyNumberFormat="1" applyFont="1"/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53" fillId="0" borderId="11" xfId="0" applyFont="1" applyBorder="1"/>
    <xf numFmtId="38" fontId="15" fillId="0" borderId="0" xfId="1" applyNumberFormat="1" applyFont="1"/>
    <xf numFmtId="0" fontId="53" fillId="0" borderId="64" xfId="0" applyFont="1" applyBorder="1"/>
    <xf numFmtId="0" fontId="40" fillId="0" borderId="0" xfId="0" applyFont="1" applyBorder="1" applyAlignment="1">
      <alignment horizontal="center"/>
    </xf>
    <xf numFmtId="38" fontId="44" fillId="0" borderId="0" xfId="1" applyNumberFormat="1" applyFont="1" applyBorder="1"/>
    <xf numFmtId="40" fontId="40" fillId="0" borderId="9" xfId="0" applyNumberFormat="1" applyFont="1" applyBorder="1"/>
    <xf numFmtId="40" fontId="40" fillId="0" borderId="23" xfId="0" applyNumberFormat="1" applyFont="1" applyBorder="1"/>
    <xf numFmtId="0" fontId="40" fillId="0" borderId="2" xfId="0" applyFont="1" applyBorder="1" applyAlignment="1">
      <alignment horizontal="center"/>
    </xf>
    <xf numFmtId="0" fontId="40" fillId="0" borderId="11" xfId="0" applyFont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40" fillId="0" borderId="13" xfId="0" applyFont="1" applyBorder="1" applyAlignment="1">
      <alignment horizontal="center"/>
    </xf>
    <xf numFmtId="0" fontId="40" fillId="2" borderId="0" xfId="0" applyFont="1" applyFill="1"/>
    <xf numFmtId="0" fontId="48" fillId="2" borderId="0" xfId="0" applyFont="1" applyFill="1"/>
    <xf numFmtId="0" fontId="40" fillId="0" borderId="43" xfId="0" applyFont="1" applyBorder="1"/>
    <xf numFmtId="0" fontId="40" fillId="0" borderId="44" xfId="0" applyFont="1" applyBorder="1" applyAlignment="1">
      <alignment horizontal="center"/>
    </xf>
    <xf numFmtId="0" fontId="40" fillId="0" borderId="45" xfId="0" applyFont="1" applyBorder="1" applyAlignment="1">
      <alignment horizontal="center"/>
    </xf>
    <xf numFmtId="0" fontId="40" fillId="0" borderId="46" xfId="0" applyFont="1" applyBorder="1" applyAlignment="1">
      <alignment horizontal="center"/>
    </xf>
    <xf numFmtId="0" fontId="40" fillId="0" borderId="47" xfId="0" applyFont="1" applyBorder="1"/>
    <xf numFmtId="0" fontId="40" fillId="0" borderId="50" xfId="0" applyFont="1" applyBorder="1" applyAlignment="1">
      <alignment horizontal="center"/>
    </xf>
    <xf numFmtId="0" fontId="53" fillId="0" borderId="10" xfId="0" applyFont="1" applyBorder="1"/>
    <xf numFmtId="0" fontId="40" fillId="0" borderId="27" xfId="0" applyFont="1" applyBorder="1" applyAlignment="1">
      <alignment horizontal="center"/>
    </xf>
    <xf numFmtId="0" fontId="40" fillId="0" borderId="48" xfId="0" applyFont="1" applyBorder="1" applyAlignment="1">
      <alignment horizontal="center"/>
    </xf>
    <xf numFmtId="168" fontId="40" fillId="0" borderId="6" xfId="0" applyNumberFormat="1" applyFont="1" applyBorder="1" applyAlignment="1">
      <alignment horizontal="center"/>
    </xf>
    <xf numFmtId="168" fontId="40" fillId="0" borderId="0" xfId="0" applyNumberFormat="1" applyFont="1" applyBorder="1" applyAlignment="1">
      <alignment horizontal="center"/>
    </xf>
    <xf numFmtId="168" fontId="40" fillId="0" borderId="50" xfId="0" applyNumberFormat="1" applyFont="1" applyBorder="1" applyAlignment="1">
      <alignment horizontal="center"/>
    </xf>
    <xf numFmtId="173" fontId="40" fillId="0" borderId="6" xfId="0" applyNumberFormat="1" applyFont="1" applyBorder="1" applyAlignment="1">
      <alignment horizontal="center"/>
    </xf>
    <xf numFmtId="173" fontId="40" fillId="0" borderId="50" xfId="0" applyNumberFormat="1" applyFont="1" applyBorder="1" applyAlignment="1">
      <alignment horizontal="center"/>
    </xf>
    <xf numFmtId="166" fontId="40" fillId="0" borderId="6" xfId="0" applyNumberFormat="1" applyFont="1" applyBorder="1" applyAlignment="1" applyProtection="1">
      <alignment horizontal="center"/>
    </xf>
    <xf numFmtId="166" fontId="40" fillId="0" borderId="50" xfId="0" applyNumberFormat="1" applyFont="1" applyBorder="1" applyAlignment="1" applyProtection="1">
      <alignment horizontal="center"/>
    </xf>
    <xf numFmtId="2" fontId="40" fillId="0" borderId="6" xfId="0" applyNumberFormat="1" applyFont="1" applyBorder="1" applyAlignment="1" applyProtection="1">
      <alignment horizontal="center"/>
    </xf>
    <xf numFmtId="2" fontId="40" fillId="0" borderId="50" xfId="0" applyNumberFormat="1" applyFont="1" applyBorder="1" applyAlignment="1" applyProtection="1">
      <alignment horizontal="center"/>
    </xf>
    <xf numFmtId="10" fontId="40" fillId="0" borderId="0" xfId="0" applyNumberFormat="1" applyFont="1" applyBorder="1" applyAlignment="1">
      <alignment horizontal="center"/>
    </xf>
    <xf numFmtId="0" fontId="40" fillId="0" borderId="51" xfId="0" applyFont="1" applyBorder="1"/>
    <xf numFmtId="168" fontId="40" fillId="0" borderId="52" xfId="0" applyNumberFormat="1" applyFont="1" applyBorder="1" applyAlignment="1">
      <alignment horizontal="center"/>
    </xf>
    <xf numFmtId="168" fontId="40" fillId="0" borderId="53" xfId="0" applyNumberFormat="1" applyFont="1" applyBorder="1" applyAlignment="1">
      <alignment horizontal="center"/>
    </xf>
    <xf numFmtId="168" fontId="40" fillId="0" borderId="54" xfId="0" applyNumberFormat="1" applyFont="1" applyBorder="1" applyAlignment="1">
      <alignment horizontal="center"/>
    </xf>
    <xf numFmtId="0" fontId="52" fillId="0" borderId="0" xfId="0" applyFont="1"/>
    <xf numFmtId="0" fontId="53" fillId="0" borderId="36" xfId="0" applyFont="1" applyBorder="1"/>
    <xf numFmtId="0" fontId="53" fillId="0" borderId="0" xfId="0" applyFont="1" applyBorder="1"/>
    <xf numFmtId="0" fontId="53" fillId="0" borderId="40" xfId="0" applyFont="1" applyBorder="1"/>
    <xf numFmtId="0" fontId="53" fillId="0" borderId="41" xfId="0" applyFont="1" applyBorder="1"/>
    <xf numFmtId="0" fontId="53" fillId="0" borderId="65" xfId="0" applyFont="1" applyBorder="1"/>
    <xf numFmtId="0" fontId="53" fillId="0" borderId="26" xfId="0" applyFont="1" applyBorder="1"/>
    <xf numFmtId="0" fontId="53" fillId="0" borderId="58" xfId="0" applyFont="1" applyBorder="1" applyAlignment="1">
      <alignment horizontal="center"/>
    </xf>
    <xf numFmtId="0" fontId="53" fillId="0" borderId="39" xfId="0" applyFont="1" applyBorder="1" applyAlignment="1">
      <alignment horizontal="center"/>
    </xf>
    <xf numFmtId="0" fontId="53" fillId="0" borderId="16" xfId="0" applyFont="1" applyBorder="1" applyAlignment="1">
      <alignment horizontal="center"/>
    </xf>
    <xf numFmtId="0" fontId="53" fillId="0" borderId="12" xfId="0" applyFont="1" applyBorder="1" applyAlignment="1">
      <alignment horizontal="center"/>
    </xf>
    <xf numFmtId="0" fontId="53" fillId="0" borderId="30" xfId="0" applyFont="1" applyBorder="1" applyAlignment="1">
      <alignment horizontal="center"/>
    </xf>
    <xf numFmtId="0" fontId="53" fillId="0" borderId="30" xfId="0" applyFont="1" applyBorder="1"/>
    <xf numFmtId="0" fontId="53" fillId="0" borderId="32" xfId="0" applyFont="1" applyBorder="1"/>
    <xf numFmtId="38" fontId="53" fillId="0" borderId="16" xfId="0" applyNumberFormat="1" applyFont="1" applyBorder="1" applyAlignment="1">
      <alignment horizontal="center"/>
    </xf>
    <xf numFmtId="38" fontId="53" fillId="0" borderId="16" xfId="7" applyNumberFormat="1" applyFont="1" applyBorder="1" applyAlignment="1">
      <alignment horizontal="center"/>
    </xf>
    <xf numFmtId="171" fontId="53" fillId="0" borderId="12" xfId="0" applyNumberFormat="1" applyFont="1" applyBorder="1" applyAlignment="1">
      <alignment horizontal="center"/>
    </xf>
    <xf numFmtId="169" fontId="53" fillId="0" borderId="16" xfId="7" applyNumberFormat="1" applyFont="1" applyBorder="1" applyAlignment="1">
      <alignment horizontal="center"/>
    </xf>
    <xf numFmtId="166" fontId="53" fillId="0" borderId="16" xfId="0" applyNumberFormat="1" applyFont="1" applyBorder="1" applyAlignment="1">
      <alignment horizontal="center"/>
    </xf>
    <xf numFmtId="3" fontId="53" fillId="0" borderId="16" xfId="0" applyNumberFormat="1" applyFont="1" applyBorder="1" applyAlignment="1">
      <alignment horizontal="center"/>
    </xf>
    <xf numFmtId="3" fontId="40" fillId="0" borderId="16" xfId="0" applyNumberFormat="1" applyFont="1" applyBorder="1" applyAlignment="1">
      <alignment horizontal="center"/>
    </xf>
    <xf numFmtId="38" fontId="53" fillId="0" borderId="22" xfId="0" applyNumberFormat="1" applyFont="1" applyBorder="1" applyAlignment="1">
      <alignment horizontal="center"/>
    </xf>
    <xf numFmtId="37" fontId="40" fillId="0" borderId="0" xfId="0" applyNumberFormat="1" applyFont="1" applyAlignment="1">
      <alignment horizontal="center"/>
    </xf>
    <xf numFmtId="0" fontId="40" fillId="0" borderId="34" xfId="0" applyFont="1" applyBorder="1" applyAlignment="1">
      <alignment horizontal="center"/>
    </xf>
    <xf numFmtId="38" fontId="40" fillId="0" borderId="31" xfId="0" applyNumberFormat="1" applyFont="1" applyBorder="1" applyAlignment="1">
      <alignment horizontal="center"/>
    </xf>
    <xf numFmtId="0" fontId="40" fillId="0" borderId="36" xfId="0" applyFont="1" applyBorder="1" applyAlignment="1">
      <alignment horizontal="center"/>
    </xf>
    <xf numFmtId="38" fontId="40" fillId="0" borderId="33" xfId="0" applyNumberFormat="1" applyFont="1" applyBorder="1" applyAlignment="1">
      <alignment horizontal="center"/>
    </xf>
    <xf numFmtId="172" fontId="40" fillId="0" borderId="32" xfId="0" applyNumberFormat="1" applyFont="1" applyBorder="1" applyAlignment="1">
      <alignment horizontal="center"/>
    </xf>
    <xf numFmtId="38" fontId="40" fillId="0" borderId="33" xfId="0" applyNumberFormat="1" applyFont="1" applyBorder="1"/>
    <xf numFmtId="38" fontId="40" fillId="0" borderId="36" xfId="0" applyNumberFormat="1" applyFont="1" applyBorder="1" applyAlignment="1">
      <alignment horizontal="center"/>
    </xf>
    <xf numFmtId="3" fontId="40" fillId="0" borderId="0" xfId="0" applyNumberFormat="1" applyFont="1" applyAlignment="1">
      <alignment horizontal="center"/>
    </xf>
    <xf numFmtId="38" fontId="40" fillId="0" borderId="32" xfId="0" applyNumberFormat="1" applyFont="1" applyBorder="1" applyAlignment="1">
      <alignment horizontal="center"/>
    </xf>
    <xf numFmtId="37" fontId="40" fillId="0" borderId="36" xfId="0" applyNumberFormat="1" applyFont="1" applyBorder="1" applyAlignment="1">
      <alignment horizontal="center"/>
    </xf>
    <xf numFmtId="38" fontId="40" fillId="0" borderId="40" xfId="0" applyNumberFormat="1" applyFont="1" applyBorder="1" applyAlignment="1">
      <alignment horizontal="center"/>
    </xf>
    <xf numFmtId="38" fontId="40" fillId="0" borderId="60" xfId="0" applyNumberFormat="1" applyFont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7" xfId="0" applyFont="1" applyBorder="1" applyAlignment="1">
      <alignment horizontal="center"/>
    </xf>
    <xf numFmtId="0" fontId="40" fillId="0" borderId="18" xfId="0" applyFont="1" applyBorder="1" applyAlignment="1">
      <alignment horizontal="center"/>
    </xf>
    <xf numFmtId="0" fontId="40" fillId="0" borderId="19" xfId="0" applyFont="1" applyBorder="1"/>
    <xf numFmtId="0" fontId="51" fillId="0" borderId="0" xfId="0" applyFont="1"/>
    <xf numFmtId="0" fontId="40" fillId="0" borderId="28" xfId="0" applyFont="1" applyBorder="1"/>
    <xf numFmtId="166" fontId="40" fillId="0" borderId="0" xfId="0" applyNumberFormat="1" applyFont="1" applyAlignment="1">
      <alignment horizontal="centerContinuous"/>
    </xf>
    <xf numFmtId="0" fontId="40" fillId="0" borderId="33" xfId="0" applyFont="1" applyBorder="1"/>
    <xf numFmtId="0" fontId="40" fillId="0" borderId="16" xfId="0" applyFont="1" applyBorder="1"/>
    <xf numFmtId="0" fontId="48" fillId="0" borderId="0" xfId="0" applyFont="1" applyAlignment="1">
      <alignment horizontal="left"/>
    </xf>
    <xf numFmtId="0" fontId="40" fillId="0" borderId="23" xfId="0" applyFont="1" applyBorder="1"/>
    <xf numFmtId="0" fontId="40" fillId="0" borderId="22" xfId="0" applyFont="1" applyBorder="1"/>
    <xf numFmtId="0" fontId="53" fillId="0" borderId="34" xfId="0" applyFont="1" applyBorder="1"/>
    <xf numFmtId="0" fontId="17" fillId="0" borderId="0" xfId="0" applyFont="1" applyAlignment="1">
      <alignment horizontal="center"/>
    </xf>
    <xf numFmtId="2" fontId="17" fillId="0" borderId="0" xfId="0" applyNumberFormat="1" applyFont="1"/>
    <xf numFmtId="0" fontId="19" fillId="0" borderId="0" xfId="0" quotePrefix="1" applyFont="1" applyAlignment="1">
      <alignment horizontal="center"/>
    </xf>
    <xf numFmtId="0" fontId="0" fillId="0" borderId="0" xfId="0" applyAlignment="1">
      <alignment horizontal="right"/>
    </xf>
    <xf numFmtId="175" fontId="14" fillId="0" borderId="7" xfId="1" applyNumberFormat="1" applyFont="1" applyBorder="1"/>
    <xf numFmtId="38" fontId="33" fillId="0" borderId="0" xfId="1" applyNumberFormat="1" applyFont="1"/>
    <xf numFmtId="38" fontId="33" fillId="0" borderId="2" xfId="1" applyNumberFormat="1" applyFont="1" applyBorder="1" applyAlignment="1">
      <alignment horizontal="center"/>
    </xf>
    <xf numFmtId="38" fontId="33" fillId="0" borderId="11" xfId="1" applyNumberFormat="1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1" fontId="33" fillId="0" borderId="4" xfId="1" applyNumberFormat="1" applyFont="1" applyBorder="1" applyAlignment="1">
      <alignment horizontal="center"/>
    </xf>
    <xf numFmtId="38" fontId="33" fillId="0" borderId="13" xfId="1" applyNumberFormat="1" applyFont="1" applyBorder="1" applyAlignment="1">
      <alignment horizontal="center"/>
    </xf>
    <xf numFmtId="0" fontId="33" fillId="0" borderId="5" xfId="0" applyFont="1" applyBorder="1"/>
    <xf numFmtId="38" fontId="33" fillId="0" borderId="6" xfId="1" applyNumberFormat="1" applyFont="1" applyBorder="1"/>
    <xf numFmtId="38" fontId="33" fillId="0" borderId="12" xfId="1" applyNumberFormat="1" applyFont="1" applyBorder="1"/>
    <xf numFmtId="178" fontId="33" fillId="0" borderId="6" xfId="1" applyNumberFormat="1" applyFont="1" applyBorder="1" applyProtection="1">
      <protection locked="0"/>
    </xf>
    <xf numFmtId="178" fontId="33" fillId="0" borderId="12" xfId="1" applyNumberFormat="1" applyFont="1" applyBorder="1" applyProtection="1">
      <protection locked="0"/>
    </xf>
    <xf numFmtId="178" fontId="33" fillId="0" borderId="7" xfId="1" applyNumberFormat="1" applyFont="1" applyBorder="1" applyProtection="1">
      <protection locked="0"/>
    </xf>
    <xf numFmtId="178" fontId="33" fillId="0" borderId="57" xfId="1" applyNumberFormat="1" applyFont="1" applyBorder="1" applyProtection="1">
      <protection locked="0"/>
    </xf>
    <xf numFmtId="178" fontId="33" fillId="0" borderId="12" xfId="1" applyNumberFormat="1" applyFont="1" applyBorder="1"/>
    <xf numFmtId="178" fontId="33" fillId="0" borderId="6" xfId="1" applyNumberFormat="1" applyFont="1" applyBorder="1"/>
    <xf numFmtId="178" fontId="33" fillId="0" borderId="7" xfId="1" applyNumberFormat="1" applyFont="1" applyBorder="1"/>
    <xf numFmtId="178" fontId="33" fillId="0" borderId="57" xfId="1" applyNumberFormat="1" applyFont="1" applyBorder="1"/>
    <xf numFmtId="178" fontId="33" fillId="0" borderId="4" xfId="1" applyNumberFormat="1" applyFont="1" applyBorder="1"/>
    <xf numFmtId="178" fontId="33" fillId="0" borderId="13" xfId="1" applyNumberFormat="1" applyFont="1" applyBorder="1"/>
    <xf numFmtId="0" fontId="33" fillId="0" borderId="8" xfId="0" applyFont="1" applyBorder="1"/>
    <xf numFmtId="178" fontId="33" fillId="0" borderId="9" xfId="1" applyNumberFormat="1" applyFont="1" applyBorder="1"/>
    <xf numFmtId="178" fontId="33" fillId="0" borderId="23" xfId="1" applyNumberFormat="1" applyFont="1" applyBorder="1"/>
    <xf numFmtId="0" fontId="33" fillId="0" borderId="0" xfId="0" applyFont="1" applyBorder="1"/>
    <xf numFmtId="38" fontId="33" fillId="0" borderId="0" xfId="1" applyNumberFormat="1" applyFont="1" applyBorder="1"/>
    <xf numFmtId="0" fontId="54" fillId="0" borderId="0" xfId="0" applyFont="1"/>
    <xf numFmtId="0" fontId="17" fillId="0" borderId="0" xfId="0" applyFont="1" applyAlignment="1">
      <alignment horizontal="left"/>
    </xf>
    <xf numFmtId="3" fontId="0" fillId="0" borderId="0" xfId="0" applyNumberFormat="1" applyAlignment="1">
      <alignment horizontal="right"/>
    </xf>
    <xf numFmtId="4" fontId="17" fillId="0" borderId="0" xfId="0" applyNumberFormat="1" applyFont="1" applyAlignment="1">
      <alignment horizontal="center"/>
    </xf>
    <xf numFmtId="3" fontId="0" fillId="0" borderId="27" xfId="0" applyNumberFormat="1" applyBorder="1" applyAlignment="1">
      <alignment horizontal="right"/>
    </xf>
    <xf numFmtId="3" fontId="40" fillId="0" borderId="6" xfId="0" applyNumberFormat="1" applyFont="1" applyBorder="1" applyAlignment="1">
      <alignment horizontal="right"/>
    </xf>
    <xf numFmtId="3" fontId="40" fillId="0" borderId="6" xfId="0" applyNumberFormat="1" applyFont="1" applyBorder="1"/>
    <xf numFmtId="3" fontId="40" fillId="0" borderId="12" xfId="0" applyNumberFormat="1" applyFont="1" applyBorder="1"/>
    <xf numFmtId="3" fontId="40" fillId="0" borderId="30" xfId="0" applyNumberFormat="1" applyFont="1" applyBorder="1" applyAlignment="1">
      <alignment horizontal="right"/>
    </xf>
    <xf numFmtId="3" fontId="40" fillId="0" borderId="4" xfId="0" applyNumberFormat="1" applyFont="1" applyBorder="1"/>
    <xf numFmtId="3" fontId="40" fillId="0" borderId="32" xfId="0" applyNumberFormat="1" applyFont="1" applyBorder="1"/>
    <xf numFmtId="3" fontId="40" fillId="0" borderId="39" xfId="0" applyNumberFormat="1" applyFont="1" applyBorder="1"/>
    <xf numFmtId="3" fontId="40" fillId="0" borderId="30" xfId="0" applyNumberFormat="1" applyFont="1" applyBorder="1"/>
    <xf numFmtId="3" fontId="40" fillId="0" borderId="7" xfId="0" applyNumberFormat="1" applyFont="1" applyBorder="1"/>
    <xf numFmtId="3" fontId="40" fillId="0" borderId="57" xfId="0" applyNumberFormat="1" applyFont="1" applyBorder="1"/>
    <xf numFmtId="3" fontId="40" fillId="0" borderId="30" xfId="0" applyNumberFormat="1" applyFont="1" applyBorder="1" applyProtection="1">
      <protection locked="0"/>
    </xf>
    <xf numFmtId="3" fontId="40" fillId="0" borderId="59" xfId="0" applyNumberFormat="1" applyFont="1" applyBorder="1"/>
    <xf numFmtId="3" fontId="40" fillId="0" borderId="15" xfId="0" applyNumberFormat="1" applyFont="1" applyBorder="1"/>
    <xf numFmtId="175" fontId="53" fillId="0" borderId="12" xfId="0" applyNumberFormat="1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34" fillId="0" borderId="66" xfId="0" applyFont="1" applyBorder="1" applyAlignment="1">
      <alignment horizontal="center"/>
    </xf>
    <xf numFmtId="0" fontId="34" fillId="0" borderId="7" xfId="0" applyFont="1" applyBorder="1" applyAlignment="1">
      <alignment horizontal="center"/>
    </xf>
    <xf numFmtId="175" fontId="53" fillId="0" borderId="16" xfId="0" applyNumberFormat="1" applyFont="1" applyBorder="1" applyAlignment="1">
      <alignment horizontal="center"/>
    </xf>
    <xf numFmtId="175" fontId="44" fillId="0" borderId="16" xfId="0" applyNumberFormat="1" applyFont="1" applyBorder="1"/>
    <xf numFmtId="175" fontId="53" fillId="0" borderId="16" xfId="7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5" fillId="0" borderId="6" xfId="0" applyFont="1" applyBorder="1"/>
    <xf numFmtId="0" fontId="17" fillId="0" borderId="6" xfId="0" applyFont="1" applyBorder="1"/>
    <xf numFmtId="0" fontId="14" fillId="0" borderId="6" xfId="0" applyFont="1" applyBorder="1"/>
    <xf numFmtId="38" fontId="21" fillId="0" borderId="19" xfId="0" applyNumberFormat="1" applyFont="1" applyBorder="1"/>
    <xf numFmtId="38" fontId="56" fillId="0" borderId="18" xfId="0" applyNumberFormat="1" applyFont="1" applyBorder="1"/>
    <xf numFmtId="38" fontId="56" fillId="0" borderId="19" xfId="0" applyNumberFormat="1" applyFont="1" applyBorder="1"/>
    <xf numFmtId="38" fontId="18" fillId="0" borderId="67" xfId="0" applyNumberFormat="1" applyFont="1" applyBorder="1"/>
    <xf numFmtId="0" fontId="56" fillId="0" borderId="0" xfId="0" applyFont="1"/>
    <xf numFmtId="38" fontId="56" fillId="0" borderId="0" xfId="0" applyNumberFormat="1" applyFont="1"/>
    <xf numFmtId="170" fontId="56" fillId="0" borderId="0" xfId="0" applyNumberFormat="1" applyFont="1"/>
    <xf numFmtId="38" fontId="56" fillId="0" borderId="5" xfId="0" applyNumberFormat="1" applyFont="1" applyBorder="1"/>
    <xf numFmtId="38" fontId="56" fillId="0" borderId="6" xfId="0" applyNumberFormat="1" applyFont="1" applyBorder="1"/>
    <xf numFmtId="38" fontId="56" fillId="0" borderId="12" xfId="0" applyNumberFormat="1" applyFont="1" applyBorder="1"/>
    <xf numFmtId="38" fontId="21" fillId="0" borderId="5" xfId="0" applyNumberFormat="1" applyFont="1" applyBorder="1"/>
    <xf numFmtId="38" fontId="21" fillId="0" borderId="6" xfId="0" applyNumberFormat="1" applyFont="1" applyBorder="1"/>
    <xf numFmtId="38" fontId="21" fillId="0" borderId="6" xfId="0" applyNumberFormat="1" applyFont="1" applyBorder="1" applyAlignment="1">
      <alignment horizontal="right"/>
    </xf>
    <xf numFmtId="38" fontId="21" fillId="0" borderId="12" xfId="0" applyNumberFormat="1" applyFont="1" applyBorder="1" applyAlignment="1">
      <alignment horizontal="right"/>
    </xf>
    <xf numFmtId="38" fontId="56" fillId="0" borderId="3" xfId="0" applyNumberFormat="1" applyFont="1" applyBorder="1"/>
    <xf numFmtId="38" fontId="56" fillId="0" borderId="4" xfId="0" applyNumberFormat="1" applyFont="1" applyBorder="1"/>
    <xf numFmtId="38" fontId="56" fillId="0" borderId="13" xfId="0" applyNumberFormat="1" applyFont="1" applyBorder="1"/>
    <xf numFmtId="38" fontId="21" fillId="0" borderId="16" xfId="0" applyNumberFormat="1" applyFont="1" applyBorder="1"/>
    <xf numFmtId="38" fontId="21" fillId="0" borderId="12" xfId="0" applyNumberFormat="1" applyFont="1" applyBorder="1"/>
    <xf numFmtId="38" fontId="18" fillId="0" borderId="20" xfId="0" applyNumberFormat="1" applyFont="1" applyBorder="1"/>
    <xf numFmtId="38" fontId="18" fillId="0" borderId="24" xfId="0" applyNumberFormat="1" applyFont="1" applyBorder="1"/>
    <xf numFmtId="38" fontId="18" fillId="0" borderId="24" xfId="0" applyNumberFormat="1" applyFont="1" applyBorder="1" applyAlignment="1">
      <alignment horizontal="center"/>
    </xf>
    <xf numFmtId="38" fontId="18" fillId="0" borderId="68" xfId="0" applyNumberFormat="1" applyFont="1" applyBorder="1" applyAlignment="1">
      <alignment horizontal="center"/>
    </xf>
    <xf numFmtId="3" fontId="56" fillId="0" borderId="0" xfId="0" applyNumberFormat="1" applyFont="1"/>
    <xf numFmtId="3" fontId="56" fillId="0" borderId="0" xfId="0" applyNumberFormat="1" applyFont="1" applyBorder="1"/>
    <xf numFmtId="38" fontId="56" fillId="0" borderId="39" xfId="0" applyNumberFormat="1" applyFont="1" applyBorder="1"/>
    <xf numFmtId="38" fontId="56" fillId="0" borderId="33" xfId="0" applyNumberFormat="1" applyFont="1" applyBorder="1"/>
    <xf numFmtId="38" fontId="21" fillId="0" borderId="33" xfId="0" applyNumberFormat="1" applyFont="1" applyBorder="1"/>
    <xf numFmtId="38" fontId="18" fillId="0" borderId="42" xfId="0" applyNumberFormat="1" applyFont="1" applyBorder="1" applyAlignment="1">
      <alignment horizontal="center"/>
    </xf>
    <xf numFmtId="38" fontId="56" fillId="0" borderId="32" xfId="0" applyNumberFormat="1" applyFont="1" applyBorder="1"/>
    <xf numFmtId="38" fontId="40" fillId="0" borderId="9" xfId="0" applyNumberFormat="1" applyFont="1" applyBorder="1"/>
    <xf numFmtId="181" fontId="56" fillId="0" borderId="0" xfId="0" applyNumberFormat="1" applyFont="1"/>
    <xf numFmtId="169" fontId="53" fillId="0" borderId="16" xfId="0" applyNumberFormat="1" applyFont="1" applyBorder="1" applyAlignment="1">
      <alignment horizontal="center"/>
    </xf>
    <xf numFmtId="181" fontId="0" fillId="0" borderId="0" xfId="0" applyNumberFormat="1"/>
    <xf numFmtId="0" fontId="57" fillId="0" borderId="58" xfId="0" applyFont="1" applyBorder="1" applyAlignment="1">
      <alignment horizontal="center"/>
    </xf>
    <xf numFmtId="0" fontId="44" fillId="0" borderId="58" xfId="0" applyFont="1" applyBorder="1" applyAlignment="1">
      <alignment horizontal="center"/>
    </xf>
    <xf numFmtId="0" fontId="44" fillId="0" borderId="15" xfId="0" applyFont="1" applyBorder="1" applyAlignment="1">
      <alignment horizontal="center"/>
    </xf>
    <xf numFmtId="0" fontId="44" fillId="0" borderId="39" xfId="0" applyFont="1" applyBorder="1" applyAlignment="1">
      <alignment horizontal="center"/>
    </xf>
    <xf numFmtId="0" fontId="44" fillId="0" borderId="65" xfId="0" applyFont="1" applyBorder="1" applyAlignment="1">
      <alignment horizontal="center"/>
    </xf>
    <xf numFmtId="0" fontId="44" fillId="0" borderId="62" xfId="0" applyFont="1" applyBorder="1" applyAlignment="1">
      <alignment horizontal="center"/>
    </xf>
    <xf numFmtId="38" fontId="44" fillId="0" borderId="12" xfId="0" applyNumberFormat="1" applyFont="1" applyBorder="1"/>
    <xf numFmtId="176" fontId="44" fillId="0" borderId="12" xfId="0" applyNumberFormat="1" applyFont="1" applyBorder="1"/>
    <xf numFmtId="40" fontId="44" fillId="0" borderId="12" xfId="0" applyNumberFormat="1" applyFont="1" applyBorder="1"/>
    <xf numFmtId="38" fontId="44" fillId="0" borderId="23" xfId="0" applyNumberFormat="1" applyFont="1" applyBorder="1"/>
    <xf numFmtId="38" fontId="44" fillId="0" borderId="69" xfId="0" applyNumberFormat="1" applyFont="1" applyBorder="1"/>
    <xf numFmtId="38" fontId="44" fillId="0" borderId="58" xfId="0" applyNumberFormat="1" applyFont="1" applyBorder="1"/>
    <xf numFmtId="38" fontId="44" fillId="0" borderId="5" xfId="0" applyNumberFormat="1" applyFont="1" applyBorder="1"/>
    <xf numFmtId="176" fontId="44" fillId="0" borderId="5" xfId="0" applyNumberFormat="1" applyFont="1" applyBorder="1"/>
    <xf numFmtId="176" fontId="44" fillId="0" borderId="16" xfId="0" applyNumberFormat="1" applyFont="1" applyBorder="1"/>
    <xf numFmtId="40" fontId="44" fillId="0" borderId="5" xfId="0" applyNumberFormat="1" applyFont="1" applyBorder="1"/>
    <xf numFmtId="40" fontId="44" fillId="0" borderId="16" xfId="0" applyNumberFormat="1" applyFont="1" applyBorder="1"/>
    <xf numFmtId="38" fontId="44" fillId="0" borderId="8" xfId="0" applyNumberFormat="1" applyFont="1" applyBorder="1"/>
    <xf numFmtId="0" fontId="44" fillId="0" borderId="30" xfId="0" applyFont="1" applyBorder="1" applyAlignment="1">
      <alignment horizontal="center"/>
    </xf>
    <xf numFmtId="0" fontId="44" fillId="0" borderId="6" xfId="0" applyFont="1" applyBorder="1" applyAlignment="1">
      <alignment horizontal="center"/>
    </xf>
    <xf numFmtId="2" fontId="44" fillId="0" borderId="16" xfId="0" applyNumberFormat="1" applyFont="1" applyBorder="1"/>
    <xf numFmtId="2" fontId="44" fillId="0" borderId="33" xfId="0" applyNumberFormat="1" applyFont="1" applyBorder="1"/>
    <xf numFmtId="38" fontId="56" fillId="0" borderId="30" xfId="0" applyNumberFormat="1" applyFont="1" applyBorder="1"/>
    <xf numFmtId="1" fontId="45" fillId="0" borderId="4" xfId="1" applyNumberFormat="1" applyFont="1" applyBorder="1" applyAlignment="1">
      <alignment horizontal="centerContinuous"/>
    </xf>
    <xf numFmtId="38" fontId="44" fillId="0" borderId="6" xfId="1" applyNumberFormat="1" applyFont="1" applyBorder="1" applyAlignment="1">
      <alignment horizontal="left"/>
    </xf>
    <xf numFmtId="38" fontId="44" fillId="0" borderId="33" xfId="1" applyNumberFormat="1" applyFont="1" applyBorder="1" applyAlignment="1">
      <alignment horizontal="left"/>
    </xf>
    <xf numFmtId="38" fontId="44" fillId="0" borderId="6" xfId="1" applyNumberFormat="1" applyFont="1" applyBorder="1" applyAlignment="1"/>
    <xf numFmtId="38" fontId="44" fillId="0" borderId="16" xfId="1" applyNumberFormat="1" applyFont="1" applyBorder="1" applyAlignment="1"/>
    <xf numFmtId="38" fontId="44" fillId="0" borderId="33" xfId="1" applyNumberFormat="1" applyFont="1" applyBorder="1" applyAlignment="1"/>
    <xf numFmtId="3" fontId="44" fillId="0" borderId="0" xfId="0" applyNumberFormat="1" applyFont="1" applyAlignment="1">
      <alignment horizontal="center"/>
    </xf>
    <xf numFmtId="0" fontId="45" fillId="0" borderId="10" xfId="0" applyFont="1" applyBorder="1" applyAlignment="1">
      <alignment horizontal="center"/>
    </xf>
    <xf numFmtId="3" fontId="58" fillId="0" borderId="0" xfId="0" applyNumberFormat="1" applyFont="1" applyAlignment="1">
      <alignment horizontal="center"/>
    </xf>
    <xf numFmtId="38" fontId="44" fillId="0" borderId="0" xfId="0" applyNumberFormat="1" applyFont="1"/>
    <xf numFmtId="0" fontId="59" fillId="0" borderId="0" xfId="0" applyFont="1"/>
    <xf numFmtId="3" fontId="44" fillId="0" borderId="63" xfId="0" applyNumberFormat="1" applyFont="1" applyBorder="1" applyAlignment="1">
      <alignment horizontal="center"/>
    </xf>
    <xf numFmtId="0" fontId="45" fillId="0" borderId="0" xfId="0" applyFont="1" applyBorder="1"/>
    <xf numFmtId="38" fontId="44" fillId="0" borderId="0" xfId="1" applyNumberFormat="1" applyFont="1" applyBorder="1" applyAlignment="1">
      <alignment horizontal="center"/>
    </xf>
    <xf numFmtId="4" fontId="31" fillId="0" borderId="37" xfId="0" applyNumberFormat="1" applyFont="1" applyBorder="1" applyAlignment="1">
      <alignment horizontal="center"/>
    </xf>
    <xf numFmtId="4" fontId="31" fillId="0" borderId="0" xfId="0" applyNumberFormat="1" applyFont="1" applyBorder="1" applyAlignment="1">
      <alignment horizontal="center"/>
    </xf>
    <xf numFmtId="4" fontId="31" fillId="0" borderId="0" xfId="7" applyNumberFormat="1" applyFont="1" applyBorder="1" applyAlignment="1">
      <alignment horizontal="center"/>
    </xf>
    <xf numFmtId="38" fontId="60" fillId="0" borderId="0" xfId="3" applyNumberFormat="1" applyFont="1" applyAlignment="1">
      <alignment horizontal="centerContinuous"/>
    </xf>
    <xf numFmtId="38" fontId="61" fillId="0" borderId="0" xfId="3" applyNumberFormat="1" applyFont="1" applyAlignment="1">
      <alignment horizontal="centerContinuous"/>
    </xf>
    <xf numFmtId="0" fontId="61" fillId="0" borderId="0" xfId="0" applyFont="1"/>
    <xf numFmtId="38" fontId="61" fillId="0" borderId="0" xfId="5" applyNumberFormat="1" applyFont="1" applyAlignment="1">
      <alignment horizontal="centerContinuous"/>
    </xf>
    <xf numFmtId="38" fontId="61" fillId="0" borderId="0" xfId="2" applyNumberFormat="1" applyFont="1" applyAlignment="1">
      <alignment horizontal="centerContinuous"/>
    </xf>
    <xf numFmtId="166" fontId="61" fillId="0" borderId="0" xfId="5" applyNumberFormat="1" applyFont="1" applyAlignment="1">
      <alignment horizontal="centerContinuous"/>
    </xf>
    <xf numFmtId="38" fontId="61" fillId="0" borderId="0" xfId="2" applyNumberFormat="1" applyFont="1" applyAlignment="1">
      <alignment horizontal="left"/>
    </xf>
    <xf numFmtId="38" fontId="60" fillId="0" borderId="0" xfId="5" applyNumberFormat="1" applyFont="1" applyAlignment="1">
      <alignment horizontal="centerContinuous"/>
    </xf>
    <xf numFmtId="0" fontId="61" fillId="0" borderId="0" xfId="6" applyFont="1" applyAlignment="1">
      <alignment horizontal="centerContinuous"/>
    </xf>
    <xf numFmtId="0" fontId="61" fillId="0" borderId="0" xfId="5" applyFont="1"/>
    <xf numFmtId="38" fontId="60" fillId="0" borderId="0" xfId="5" applyNumberFormat="1" applyFont="1"/>
    <xf numFmtId="38" fontId="60" fillId="0" borderId="0" xfId="2" applyNumberFormat="1" applyFont="1"/>
    <xf numFmtId="166" fontId="60" fillId="0" borderId="0" xfId="5" applyNumberFormat="1" applyFont="1"/>
    <xf numFmtId="38" fontId="61" fillId="0" borderId="0" xfId="2" applyNumberFormat="1" applyFont="1"/>
    <xf numFmtId="0" fontId="61" fillId="0" borderId="0" xfId="6" applyFont="1"/>
    <xf numFmtId="38" fontId="61" fillId="0" borderId="0" xfId="3" applyNumberFormat="1" applyFont="1"/>
    <xf numFmtId="0" fontId="60" fillId="0" borderId="1" xfId="5" applyFont="1" applyBorder="1" applyAlignment="1">
      <alignment horizontal="center"/>
    </xf>
    <xf numFmtId="38" fontId="60" fillId="0" borderId="2" xfId="5" applyNumberFormat="1" applyFont="1" applyBorder="1" applyAlignment="1">
      <alignment horizontal="center"/>
    </xf>
    <xf numFmtId="38" fontId="60" fillId="0" borderId="2" xfId="2" applyNumberFormat="1" applyFont="1" applyBorder="1" applyAlignment="1">
      <alignment horizontal="center"/>
    </xf>
    <xf numFmtId="166" fontId="60" fillId="0" borderId="11" xfId="5" applyNumberFormat="1" applyFont="1" applyBorder="1" applyAlignment="1">
      <alignment horizontal="center"/>
    </xf>
    <xf numFmtId="0" fontId="60" fillId="0" borderId="1" xfId="6" applyFont="1" applyBorder="1" applyAlignment="1">
      <alignment horizontal="center"/>
    </xf>
    <xf numFmtId="38" fontId="60" fillId="0" borderId="2" xfId="3" quotePrefix="1" applyNumberFormat="1" applyFont="1" applyBorder="1" applyAlignment="1">
      <alignment horizontal="center"/>
    </xf>
    <xf numFmtId="38" fontId="60" fillId="0" borderId="2" xfId="3" applyNumberFormat="1" applyFont="1" applyBorder="1" applyAlignment="1">
      <alignment horizontal="center"/>
    </xf>
    <xf numFmtId="38" fontId="60" fillId="0" borderId="31" xfId="3" applyNumberFormat="1" applyFont="1" applyBorder="1" applyAlignment="1">
      <alignment horizontal="center"/>
    </xf>
    <xf numFmtId="0" fontId="60" fillId="0" borderId="3" xfId="5" applyFont="1" applyBorder="1" applyAlignment="1">
      <alignment horizontal="center"/>
    </xf>
    <xf numFmtId="38" fontId="60" fillId="0" borderId="4" xfId="5" applyNumberFormat="1" applyFont="1" applyBorder="1" applyAlignment="1">
      <alignment horizontal="center"/>
    </xf>
    <xf numFmtId="38" fontId="60" fillId="0" borderId="4" xfId="2" applyNumberFormat="1" applyFont="1" applyBorder="1" applyAlignment="1">
      <alignment horizontal="center"/>
    </xf>
    <xf numFmtId="166" fontId="60" fillId="0" borderId="13" xfId="5" applyNumberFormat="1" applyFont="1" applyBorder="1" applyAlignment="1">
      <alignment horizontal="center"/>
    </xf>
    <xf numFmtId="0" fontId="60" fillId="0" borderId="3" xfId="6" applyFont="1" applyBorder="1" applyAlignment="1">
      <alignment horizontal="center"/>
    </xf>
    <xf numFmtId="1" fontId="60" fillId="0" borderId="4" xfId="3" applyNumberFormat="1" applyFont="1" applyBorder="1" applyAlignment="1">
      <alignment horizontal="center"/>
    </xf>
    <xf numFmtId="0" fontId="61" fillId="0" borderId="5" xfId="5" applyFont="1" applyBorder="1"/>
    <xf numFmtId="183" fontId="61" fillId="0" borderId="6" xfId="5" applyNumberFormat="1" applyFont="1" applyBorder="1"/>
    <xf numFmtId="183" fontId="61" fillId="0" borderId="6" xfId="2" applyNumberFormat="1" applyFont="1" applyBorder="1"/>
    <xf numFmtId="183" fontId="61" fillId="0" borderId="12" xfId="5" applyNumberFormat="1" applyFont="1" applyBorder="1"/>
    <xf numFmtId="0" fontId="61" fillId="0" borderId="5" xfId="6" applyFont="1" applyBorder="1"/>
    <xf numFmtId="38" fontId="61" fillId="0" borderId="6" xfId="3" applyNumberFormat="1" applyFont="1" applyBorder="1"/>
    <xf numFmtId="38" fontId="61" fillId="0" borderId="33" xfId="3" applyNumberFormat="1" applyFont="1" applyBorder="1"/>
    <xf numFmtId="178" fontId="62" fillId="0" borderId="37" xfId="1" applyNumberFormat="1" applyFont="1" applyBorder="1"/>
    <xf numFmtId="38" fontId="62" fillId="0" borderId="6" xfId="5" applyNumberFormat="1" applyFont="1" applyBorder="1" applyProtection="1">
      <protection locked="0"/>
    </xf>
    <xf numFmtId="38" fontId="60" fillId="0" borderId="6" xfId="2" applyNumberFormat="1" applyFont="1" applyBorder="1"/>
    <xf numFmtId="169" fontId="61" fillId="0" borderId="12" xfId="5" applyNumberFormat="1" applyFont="1" applyBorder="1"/>
    <xf numFmtId="0" fontId="60" fillId="0" borderId="5" xfId="6" applyFont="1" applyBorder="1"/>
    <xf numFmtId="38" fontId="61" fillId="0" borderId="6" xfId="5" applyNumberFormat="1" applyFont="1" applyBorder="1"/>
    <xf numFmtId="38" fontId="61" fillId="0" borderId="6" xfId="2" applyNumberFormat="1" applyFont="1" applyBorder="1"/>
    <xf numFmtId="0" fontId="60" fillId="0" borderId="5" xfId="5" applyFont="1" applyBorder="1"/>
    <xf numFmtId="38" fontId="61" fillId="0" borderId="6" xfId="5" applyNumberFormat="1" applyFont="1" applyFill="1" applyBorder="1"/>
    <xf numFmtId="38" fontId="61" fillId="0" borderId="0" xfId="0" applyNumberFormat="1" applyFont="1"/>
    <xf numFmtId="38" fontId="60" fillId="0" borderId="6" xfId="3" applyNumberFormat="1" applyFont="1" applyBorder="1"/>
    <xf numFmtId="38" fontId="60" fillId="0" borderId="33" xfId="3" applyNumberFormat="1" applyFont="1" applyBorder="1"/>
    <xf numFmtId="38" fontId="60" fillId="0" borderId="7" xfId="2" applyNumberFormat="1" applyFont="1" applyBorder="1"/>
    <xf numFmtId="169" fontId="60" fillId="0" borderId="57" xfId="2" applyNumberFormat="1" applyFont="1" applyBorder="1"/>
    <xf numFmtId="166" fontId="60" fillId="0" borderId="0" xfId="0" applyNumberFormat="1" applyFont="1"/>
    <xf numFmtId="38" fontId="63" fillId="0" borderId="7" xfId="5" applyNumberFormat="1" applyFont="1" applyBorder="1" applyProtection="1">
      <protection locked="0"/>
    </xf>
    <xf numFmtId="169" fontId="60" fillId="0" borderId="57" xfId="5" applyNumberFormat="1" applyFont="1" applyBorder="1"/>
    <xf numFmtId="0" fontId="61" fillId="0" borderId="5" xfId="5" applyFont="1" applyBorder="1" applyAlignment="1">
      <alignment horizontal="center"/>
    </xf>
    <xf numFmtId="38" fontId="64" fillId="0" borderId="6" xfId="5" applyNumberFormat="1" applyFont="1" applyBorder="1" applyProtection="1">
      <protection locked="0"/>
    </xf>
    <xf numFmtId="38" fontId="60" fillId="0" borderId="7" xfId="3" applyNumberFormat="1" applyFont="1" applyBorder="1"/>
    <xf numFmtId="38" fontId="60" fillId="0" borderId="59" xfId="3" applyNumberFormat="1" applyFont="1" applyBorder="1"/>
    <xf numFmtId="169" fontId="60" fillId="0" borderId="59" xfId="5" applyNumberFormat="1" applyFont="1" applyBorder="1"/>
    <xf numFmtId="38" fontId="61" fillId="0" borderId="0" xfId="5" applyNumberFormat="1" applyFont="1" applyBorder="1"/>
    <xf numFmtId="0" fontId="61" fillId="0" borderId="5" xfId="6" quotePrefix="1" applyFont="1" applyBorder="1" applyAlignment="1">
      <alignment horizontal="left"/>
    </xf>
    <xf numFmtId="0" fontId="65" fillId="0" borderId="0" xfId="0" applyFont="1"/>
    <xf numFmtId="0" fontId="63" fillId="0" borderId="5" xfId="0" applyFont="1" applyBorder="1"/>
    <xf numFmtId="0" fontId="61" fillId="0" borderId="5" xfId="5" quotePrefix="1" applyFont="1" applyBorder="1" applyAlignment="1">
      <alignment horizontal="left"/>
    </xf>
    <xf numFmtId="0" fontId="64" fillId="0" borderId="5" xfId="0" applyFont="1" applyBorder="1"/>
    <xf numFmtId="0" fontId="66" fillId="0" borderId="5" xfId="5" applyFont="1" applyBorder="1"/>
    <xf numFmtId="0" fontId="61" fillId="0" borderId="5" xfId="0" applyFont="1" applyBorder="1" applyAlignment="1">
      <alignment horizontal="left"/>
    </xf>
    <xf numFmtId="38" fontId="61" fillId="0" borderId="0" xfId="2" applyNumberFormat="1" applyFont="1" applyBorder="1"/>
    <xf numFmtId="38" fontId="61" fillId="0" borderId="4" xfId="3" applyNumberFormat="1" applyFont="1" applyBorder="1"/>
    <xf numFmtId="38" fontId="61" fillId="0" borderId="32" xfId="3" applyNumberFormat="1" applyFont="1" applyBorder="1"/>
    <xf numFmtId="0" fontId="60" fillId="0" borderId="8" xfId="6" applyFont="1" applyBorder="1"/>
    <xf numFmtId="38" fontId="60" fillId="0" borderId="9" xfId="3" applyNumberFormat="1" applyFont="1" applyBorder="1"/>
    <xf numFmtId="38" fontId="60" fillId="0" borderId="42" xfId="3" applyNumberFormat="1" applyFont="1" applyBorder="1"/>
    <xf numFmtId="0" fontId="60" fillId="0" borderId="40" xfId="5" applyFont="1" applyBorder="1"/>
    <xf numFmtId="38" fontId="61" fillId="0" borderId="41" xfId="5" applyNumberFormat="1" applyFont="1" applyBorder="1"/>
    <xf numFmtId="38" fontId="61" fillId="0" borderId="41" xfId="2" applyNumberFormat="1" applyFont="1" applyBorder="1"/>
    <xf numFmtId="166" fontId="61" fillId="0" borderId="23" xfId="5" applyNumberFormat="1" applyFont="1" applyBorder="1"/>
    <xf numFmtId="0" fontId="60" fillId="0" borderId="34" xfId="0" applyFont="1" applyBorder="1"/>
    <xf numFmtId="0" fontId="61" fillId="0" borderId="10" xfId="0" applyFont="1" applyBorder="1"/>
    <xf numFmtId="0" fontId="61" fillId="0" borderId="11" xfId="0" applyFont="1" applyBorder="1"/>
    <xf numFmtId="0" fontId="60" fillId="0" borderId="36" xfId="0" applyFont="1" applyBorder="1" applyAlignment="1">
      <alignment horizontal="center"/>
    </xf>
    <xf numFmtId="0" fontId="60" fillId="0" borderId="0" xfId="0" applyFont="1" applyBorder="1" applyAlignment="1">
      <alignment horizontal="right"/>
    </xf>
    <xf numFmtId="184" fontId="61" fillId="0" borderId="0" xfId="0" applyNumberFormat="1" applyFont="1" applyBorder="1"/>
    <xf numFmtId="0" fontId="61" fillId="0" borderId="0" xfId="0" applyFont="1" applyBorder="1"/>
    <xf numFmtId="0" fontId="61" fillId="0" borderId="12" xfId="0" applyFont="1" applyBorder="1"/>
    <xf numFmtId="0" fontId="61" fillId="0" borderId="36" xfId="0" applyFont="1" applyBorder="1"/>
    <xf numFmtId="0" fontId="65" fillId="0" borderId="0" xfId="0" applyFont="1" applyBorder="1"/>
    <xf numFmtId="0" fontId="61" fillId="0" borderId="62" xfId="0" applyFont="1" applyBorder="1"/>
    <xf numFmtId="0" fontId="61" fillId="0" borderId="27" xfId="0" applyFont="1" applyBorder="1"/>
    <xf numFmtId="0" fontId="61" fillId="0" borderId="13" xfId="0" applyFont="1" applyBorder="1"/>
    <xf numFmtId="0" fontId="60" fillId="0" borderId="36" xfId="0" applyFont="1" applyBorder="1"/>
    <xf numFmtId="0" fontId="61" fillId="0" borderId="15" xfId="0" applyFont="1" applyBorder="1"/>
    <xf numFmtId="0" fontId="60" fillId="0" borderId="12" xfId="0" applyFont="1" applyBorder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6" xfId="0" applyFont="1" applyBorder="1" applyAlignment="1">
      <alignment horizontal="center"/>
    </xf>
    <xf numFmtId="0" fontId="60" fillId="0" borderId="16" xfId="0" applyFont="1" applyBorder="1" applyAlignment="1">
      <alignment horizontal="center"/>
    </xf>
    <xf numFmtId="0" fontId="61" fillId="0" borderId="4" xfId="0" applyFont="1" applyBorder="1"/>
    <xf numFmtId="0" fontId="60" fillId="0" borderId="4" xfId="0" applyFont="1" applyBorder="1" applyAlignment="1">
      <alignment horizontal="center"/>
    </xf>
    <xf numFmtId="3" fontId="61" fillId="0" borderId="0" xfId="0" applyNumberFormat="1" applyFont="1" applyBorder="1"/>
    <xf numFmtId="3" fontId="61" fillId="0" borderId="6" xfId="0" applyNumberFormat="1" applyFont="1" applyBorder="1"/>
    <xf numFmtId="3" fontId="60" fillId="0" borderId="16" xfId="0" applyNumberFormat="1" applyFont="1" applyBorder="1"/>
    <xf numFmtId="3" fontId="60" fillId="0" borderId="12" xfId="0" applyNumberFormat="1" applyFont="1" applyBorder="1"/>
    <xf numFmtId="3" fontId="61" fillId="0" borderId="16" xfId="0" applyNumberFormat="1" applyFont="1" applyBorder="1"/>
    <xf numFmtId="3" fontId="61" fillId="0" borderId="12" xfId="0" applyNumberFormat="1" applyFont="1" applyBorder="1"/>
    <xf numFmtId="0" fontId="61" fillId="0" borderId="36" xfId="0" quotePrefix="1" applyFont="1" applyBorder="1" applyAlignment="1">
      <alignment horizontal="left"/>
    </xf>
    <xf numFmtId="185" fontId="61" fillId="0" borderId="0" xfId="0" applyNumberFormat="1" applyFont="1" applyBorder="1"/>
    <xf numFmtId="3" fontId="67" fillId="0" borderId="0" xfId="0" applyNumberFormat="1" applyFont="1" applyBorder="1"/>
    <xf numFmtId="3" fontId="61" fillId="0" borderId="33" xfId="0" applyNumberFormat="1" applyFont="1" applyBorder="1"/>
    <xf numFmtId="0" fontId="61" fillId="0" borderId="62" xfId="0" quotePrefix="1" applyFont="1" applyBorder="1" applyAlignment="1">
      <alignment horizontal="left"/>
    </xf>
    <xf numFmtId="3" fontId="67" fillId="0" borderId="27" xfId="0" applyNumberFormat="1" applyFont="1" applyBorder="1"/>
    <xf numFmtId="3" fontId="61" fillId="0" borderId="4" xfId="0" applyNumberFormat="1" applyFont="1" applyBorder="1"/>
    <xf numFmtId="3" fontId="65" fillId="0" borderId="30" xfId="0" applyNumberFormat="1" applyFont="1" applyBorder="1"/>
    <xf numFmtId="3" fontId="61" fillId="0" borderId="0" xfId="0" applyNumberFormat="1" applyFont="1"/>
    <xf numFmtId="0" fontId="60" fillId="0" borderId="62" xfId="0" applyFont="1" applyBorder="1"/>
    <xf numFmtId="3" fontId="60" fillId="0" borderId="27" xfId="0" applyNumberFormat="1" applyFont="1" applyBorder="1"/>
    <xf numFmtId="3" fontId="60" fillId="0" borderId="14" xfId="0" applyNumberFormat="1" applyFont="1" applyBorder="1"/>
    <xf numFmtId="3" fontId="60" fillId="0" borderId="13" xfId="0" applyNumberFormat="1" applyFont="1" applyBorder="1"/>
    <xf numFmtId="3" fontId="60" fillId="0" borderId="0" xfId="0" applyNumberFormat="1" applyFont="1" applyFill="1" applyBorder="1"/>
    <xf numFmtId="0" fontId="61" fillId="0" borderId="58" xfId="0" applyFont="1" applyBorder="1"/>
    <xf numFmtId="0" fontId="61" fillId="0" borderId="26" xfId="0" applyFont="1" applyBorder="1"/>
    <xf numFmtId="0" fontId="61" fillId="0" borderId="6" xfId="0" applyFont="1" applyBorder="1"/>
    <xf numFmtId="0" fontId="61" fillId="0" borderId="16" xfId="0" applyFont="1" applyBorder="1"/>
    <xf numFmtId="38" fontId="60" fillId="0" borderId="0" xfId="2" applyNumberFormat="1" applyFont="1" applyBorder="1"/>
    <xf numFmtId="3" fontId="65" fillId="0" borderId="16" xfId="0" applyNumberFormat="1" applyFont="1" applyBorder="1"/>
    <xf numFmtId="3" fontId="60" fillId="0" borderId="0" xfId="0" applyNumberFormat="1" applyFont="1" applyBorder="1"/>
    <xf numFmtId="3" fontId="60" fillId="0" borderId="6" xfId="0" applyNumberFormat="1" applyFont="1" applyBorder="1"/>
    <xf numFmtId="3" fontId="61" fillId="0" borderId="27" xfId="0" applyNumberFormat="1" applyFont="1" applyBorder="1"/>
    <xf numFmtId="3" fontId="61" fillId="0" borderId="30" xfId="0" applyNumberFormat="1" applyFont="1" applyBorder="1"/>
    <xf numFmtId="3" fontId="60" fillId="0" borderId="30" xfId="0" applyNumberFormat="1" applyFont="1" applyBorder="1"/>
    <xf numFmtId="0" fontId="65" fillId="0" borderId="40" xfId="0" quotePrefix="1" applyFont="1" applyBorder="1" applyAlignment="1">
      <alignment horizontal="left"/>
    </xf>
    <xf numFmtId="0" fontId="61" fillId="0" borderId="41" xfId="0" applyFont="1" applyBorder="1"/>
    <xf numFmtId="2" fontId="61" fillId="0" borderId="41" xfId="0" applyNumberFormat="1" applyFont="1" applyBorder="1"/>
    <xf numFmtId="2" fontId="61" fillId="0" borderId="9" xfId="0" applyNumberFormat="1" applyFont="1" applyBorder="1"/>
    <xf numFmtId="2" fontId="65" fillId="0" borderId="24" xfId="0" applyNumberFormat="1" applyFont="1" applyBorder="1"/>
    <xf numFmtId="2" fontId="65" fillId="0" borderId="22" xfId="0" applyNumberFormat="1" applyFont="1" applyBorder="1"/>
    <xf numFmtId="2" fontId="65" fillId="0" borderId="23" xfId="0" applyNumberFormat="1" applyFont="1" applyBorder="1"/>
    <xf numFmtId="180" fontId="61" fillId="0" borderId="0" xfId="1" applyNumberFormat="1" applyFont="1"/>
    <xf numFmtId="2" fontId="61" fillId="0" borderId="0" xfId="0" applyNumberFormat="1" applyFont="1"/>
    <xf numFmtId="10" fontId="61" fillId="0" borderId="0" xfId="7" applyNumberFormat="1" applyFont="1"/>
    <xf numFmtId="182" fontId="61" fillId="0" borderId="0" xfId="0" applyNumberFormat="1" applyFont="1"/>
    <xf numFmtId="4" fontId="31" fillId="0" borderId="50" xfId="0" applyNumberFormat="1" applyFont="1" applyBorder="1" applyAlignment="1">
      <alignment horizontal="center"/>
    </xf>
    <xf numFmtId="175" fontId="40" fillId="0" borderId="6" xfId="0" applyNumberFormat="1" applyFont="1" applyBorder="1" applyAlignment="1">
      <alignment horizontal="center"/>
    </xf>
    <xf numFmtId="175" fontId="40" fillId="0" borderId="0" xfId="0" applyNumberFormat="1" applyFont="1" applyBorder="1" applyAlignment="1">
      <alignment horizontal="center"/>
    </xf>
    <xf numFmtId="175" fontId="40" fillId="0" borderId="50" xfId="0" applyNumberFormat="1" applyFont="1" applyBorder="1" applyAlignment="1">
      <alignment horizontal="center"/>
    </xf>
    <xf numFmtId="38" fontId="56" fillId="0" borderId="16" xfId="0" applyNumberFormat="1" applyFont="1" applyBorder="1"/>
    <xf numFmtId="0" fontId="44" fillId="0" borderId="50" xfId="0" applyFont="1" applyBorder="1"/>
    <xf numFmtId="38" fontId="61" fillId="0" borderId="16" xfId="3" applyNumberFormat="1" applyFont="1" applyBorder="1"/>
    <xf numFmtId="38" fontId="61" fillId="0" borderId="37" xfId="3" applyNumberFormat="1" applyFont="1" applyBorder="1"/>
    <xf numFmtId="38" fontId="61" fillId="0" borderId="0" xfId="3" applyNumberFormat="1" applyFont="1" applyBorder="1"/>
    <xf numFmtId="38" fontId="60" fillId="0" borderId="16" xfId="3" applyNumberFormat="1" applyFont="1" applyBorder="1"/>
    <xf numFmtId="38" fontId="61" fillId="0" borderId="30" xfId="3" applyNumberFormat="1" applyFont="1" applyBorder="1"/>
    <xf numFmtId="178" fontId="44" fillId="0" borderId="0" xfId="0" applyNumberFormat="1" applyFont="1" applyAlignment="1">
      <alignment horizontal="center"/>
    </xf>
    <xf numFmtId="38" fontId="17" fillId="0" borderId="0" xfId="2" applyNumberFormat="1" applyAlignment="1">
      <alignment horizontal="left"/>
    </xf>
    <xf numFmtId="38" fontId="17" fillId="0" borderId="0" xfId="2" applyNumberFormat="1"/>
    <xf numFmtId="38" fontId="61" fillId="0" borderId="6" xfId="3" applyNumberFormat="1" applyFont="1" applyFill="1" applyBorder="1"/>
    <xf numFmtId="166" fontId="42" fillId="0" borderId="0" xfId="0" applyNumberFormat="1" applyFont="1"/>
    <xf numFmtId="0" fontId="69" fillId="0" borderId="0" xfId="0" applyFont="1"/>
    <xf numFmtId="0" fontId="68" fillId="0" borderId="0" xfId="0" applyFont="1"/>
    <xf numFmtId="3" fontId="60" fillId="0" borderId="32" xfId="0" applyNumberFormat="1" applyFont="1" applyBorder="1"/>
    <xf numFmtId="3" fontId="67" fillId="0" borderId="4" xfId="0" applyNumberFormat="1" applyFont="1" applyBorder="1"/>
    <xf numFmtId="0" fontId="17" fillId="0" borderId="0" xfId="6"/>
    <xf numFmtId="38" fontId="17" fillId="0" borderId="0" xfId="3" applyNumberFormat="1"/>
    <xf numFmtId="180" fontId="53" fillId="0" borderId="12" xfId="0" applyNumberFormat="1" applyFont="1" applyBorder="1" applyAlignment="1">
      <alignment horizontal="center"/>
    </xf>
    <xf numFmtId="180" fontId="53" fillId="0" borderId="42" xfId="0" applyNumberFormat="1" applyFont="1" applyBorder="1" applyAlignment="1">
      <alignment horizontal="center"/>
    </xf>
    <xf numFmtId="0" fontId="19" fillId="0" borderId="14" xfId="0" applyFont="1" applyBorder="1"/>
    <xf numFmtId="38" fontId="44" fillId="0" borderId="32" xfId="1" applyNumberFormat="1" applyFont="1" applyBorder="1" applyAlignment="1">
      <alignment horizontal="center"/>
    </xf>
    <xf numFmtId="0" fontId="70" fillId="0" borderId="0" xfId="0" applyFont="1"/>
    <xf numFmtId="3" fontId="70" fillId="0" borderId="0" xfId="0" applyNumberFormat="1" applyFont="1"/>
    <xf numFmtId="0" fontId="34" fillId="0" borderId="6" xfId="0" applyFont="1" applyBorder="1"/>
    <xf numFmtId="0" fontId="16" fillId="0" borderId="6" xfId="0" applyFont="1" applyBorder="1"/>
    <xf numFmtId="0" fontId="19" fillId="0" borderId="6" xfId="0" applyFont="1" applyBorder="1"/>
    <xf numFmtId="0" fontId="14" fillId="0" borderId="9" xfId="0" applyFont="1" applyBorder="1"/>
    <xf numFmtId="38" fontId="60" fillId="0" borderId="0" xfId="3" applyNumberFormat="1" applyFont="1" applyAlignment="1">
      <alignment horizontal="center"/>
    </xf>
    <xf numFmtId="178" fontId="0" fillId="3" borderId="7" xfId="0" applyNumberFormat="1" applyFill="1" applyBorder="1"/>
    <xf numFmtId="38" fontId="60" fillId="0" borderId="2" xfId="3" applyNumberFormat="1" applyFont="1" applyFill="1" applyBorder="1" applyAlignment="1">
      <alignment horizontal="center"/>
    </xf>
    <xf numFmtId="3" fontId="56" fillId="0" borderId="16" xfId="0" applyNumberFormat="1" applyFont="1" applyBorder="1"/>
    <xf numFmtId="3" fontId="56" fillId="0" borderId="5" xfId="0" applyNumberFormat="1" applyFont="1" applyBorder="1"/>
    <xf numFmtId="0" fontId="0" fillId="0" borderId="24" xfId="0" applyBorder="1"/>
    <xf numFmtId="1" fontId="60" fillId="0" borderId="13" xfId="3" applyNumberFormat="1" applyFont="1" applyBorder="1" applyAlignment="1">
      <alignment horizontal="center"/>
    </xf>
    <xf numFmtId="38" fontId="61" fillId="0" borderId="12" xfId="3" applyNumberFormat="1" applyFont="1" applyBorder="1"/>
    <xf numFmtId="0" fontId="61" fillId="0" borderId="36" xfId="6" applyFont="1" applyBorder="1"/>
    <xf numFmtId="38" fontId="60" fillId="0" borderId="12" xfId="3" applyNumberFormat="1" applyFont="1" applyBorder="1"/>
    <xf numFmtId="38" fontId="60" fillId="0" borderId="57" xfId="3" applyNumberFormat="1" applyFont="1" applyBorder="1"/>
    <xf numFmtId="3" fontId="44" fillId="0" borderId="0" xfId="0" applyNumberFormat="1" applyFont="1"/>
    <xf numFmtId="1" fontId="44" fillId="0" borderId="16" xfId="0" applyNumberFormat="1" applyFont="1" applyBorder="1"/>
    <xf numFmtId="1" fontId="44" fillId="0" borderId="33" xfId="0" applyNumberFormat="1" applyFont="1" applyBorder="1"/>
    <xf numFmtId="0" fontId="0" fillId="0" borderId="0" xfId="0" applyAlignment="1">
      <alignment horizontal="center"/>
    </xf>
    <xf numFmtId="0" fontId="71" fillId="0" borderId="0" xfId="0" applyFont="1"/>
    <xf numFmtId="0" fontId="71" fillId="0" borderId="0" xfId="0" applyFont="1" applyAlignment="1">
      <alignment horizontal="center"/>
    </xf>
    <xf numFmtId="165" fontId="71" fillId="0" borderId="0" xfId="1" applyFont="1"/>
    <xf numFmtId="165" fontId="11" fillId="0" borderId="0" xfId="1" applyFont="1" applyAlignment="1">
      <alignment horizontal="center"/>
    </xf>
    <xf numFmtId="10" fontId="0" fillId="0" borderId="0" xfId="0" applyNumberFormat="1"/>
    <xf numFmtId="165" fontId="11" fillId="0" borderId="0" xfId="1" applyFont="1"/>
    <xf numFmtId="10" fontId="11" fillId="0" borderId="0" xfId="7" applyNumberFormat="1" applyFont="1"/>
    <xf numFmtId="17" fontId="0" fillId="0" borderId="0" xfId="0" applyNumberFormat="1"/>
    <xf numFmtId="0" fontId="73" fillId="0" borderId="0" xfId="0" applyFont="1" applyAlignment="1">
      <alignment horizontal="center"/>
    </xf>
    <xf numFmtId="165" fontId="11" fillId="0" borderId="0" xfId="1" applyFont="1" applyFill="1" applyAlignment="1"/>
    <xf numFmtId="0" fontId="72" fillId="0" borderId="0" xfId="0" applyFont="1" applyAlignment="1">
      <alignment horizontal="center"/>
    </xf>
    <xf numFmtId="187" fontId="0" fillId="0" borderId="0" xfId="0" applyNumberFormat="1" applyAlignment="1">
      <alignment horizontal="center"/>
    </xf>
    <xf numFmtId="0" fontId="74" fillId="0" borderId="0" xfId="0" applyFont="1"/>
    <xf numFmtId="0" fontId="71" fillId="0" borderId="4" xfId="0" applyFont="1" applyBorder="1"/>
    <xf numFmtId="0" fontId="71" fillId="0" borderId="30" xfId="0" applyFont="1" applyBorder="1"/>
    <xf numFmtId="0" fontId="71" fillId="0" borderId="30" xfId="0" applyFont="1" applyBorder="1" applyAlignment="1">
      <alignment horizontal="center"/>
    </xf>
    <xf numFmtId="0" fontId="71" fillId="0" borderId="30" xfId="0" applyFont="1" applyBorder="1" applyAlignment="1">
      <alignment wrapText="1"/>
    </xf>
    <xf numFmtId="0" fontId="71" fillId="0" borderId="38" xfId="0" applyFont="1" applyBorder="1" applyAlignment="1">
      <alignment horizontal="center" wrapText="1"/>
    </xf>
    <xf numFmtId="0" fontId="0" fillId="0" borderId="7" xfId="0" applyBorder="1"/>
    <xf numFmtId="0" fontId="0" fillId="0" borderId="14" xfId="0" applyBorder="1"/>
    <xf numFmtId="0" fontId="0" fillId="0" borderId="14" xfId="0" applyBorder="1" applyAlignment="1">
      <alignment horizontal="center"/>
    </xf>
    <xf numFmtId="165" fontId="11" fillId="0" borderId="14" xfId="1" applyFont="1" applyBorder="1"/>
    <xf numFmtId="2" fontId="0" fillId="0" borderId="66" xfId="0" applyNumberFormat="1" applyBorder="1" applyAlignment="1">
      <alignment horizontal="center"/>
    </xf>
    <xf numFmtId="0" fontId="75" fillId="0" borderId="76" xfId="0" applyFont="1" applyBorder="1" applyAlignment="1">
      <alignment vertical="center" wrapText="1"/>
    </xf>
    <xf numFmtId="0" fontId="75" fillId="0" borderId="77" xfId="0" applyFont="1" applyBorder="1" applyAlignment="1">
      <alignment vertical="center" wrapText="1"/>
    </xf>
    <xf numFmtId="0" fontId="76" fillId="0" borderId="0" xfId="0" applyFont="1"/>
    <xf numFmtId="0" fontId="75" fillId="0" borderId="0" xfId="0" applyFont="1" applyBorder="1" applyAlignment="1">
      <alignment vertical="center" wrapText="1"/>
    </xf>
    <xf numFmtId="43" fontId="0" fillId="0" borderId="0" xfId="0" applyNumberFormat="1"/>
    <xf numFmtId="2" fontId="0" fillId="0" borderId="14" xfId="0" applyNumberFormat="1" applyFont="1" applyBorder="1" applyAlignment="1">
      <alignment horizontal="center"/>
    </xf>
    <xf numFmtId="4" fontId="0" fillId="0" borderId="14" xfId="0" applyNumberFormat="1" applyBorder="1"/>
    <xf numFmtId="0" fontId="0" fillId="0" borderId="15" xfId="0" applyBorder="1"/>
    <xf numFmtId="0" fontId="0" fillId="0" borderId="58" xfId="0" applyBorder="1"/>
    <xf numFmtId="0" fontId="0" fillId="0" borderId="58" xfId="0" applyBorder="1" applyAlignment="1">
      <alignment horizontal="center"/>
    </xf>
    <xf numFmtId="165" fontId="11" fillId="0" borderId="58" xfId="1" applyFont="1" applyBorder="1"/>
    <xf numFmtId="2" fontId="0" fillId="0" borderId="78" xfId="0" applyNumberFormat="1" applyBorder="1" applyAlignment="1">
      <alignment horizontal="center"/>
    </xf>
    <xf numFmtId="22" fontId="0" fillId="0" borderId="0" xfId="0" applyNumberFormat="1"/>
    <xf numFmtId="0" fontId="12" fillId="0" borderId="0" xfId="0" applyFont="1"/>
    <xf numFmtId="189" fontId="0" fillId="0" borderId="0" xfId="0" applyNumberFormat="1"/>
    <xf numFmtId="9" fontId="0" fillId="0" borderId="0" xfId="0" applyNumberFormat="1"/>
    <xf numFmtId="4" fontId="0" fillId="0" borderId="0" xfId="0" applyNumberFormat="1"/>
    <xf numFmtId="190" fontId="0" fillId="0" borderId="0" xfId="1" applyNumberFormat="1" applyFont="1"/>
    <xf numFmtId="10" fontId="0" fillId="0" borderId="0" xfId="7" applyNumberFormat="1" applyFont="1"/>
    <xf numFmtId="0" fontId="80" fillId="10" borderId="80" xfId="8" applyFont="1" applyFill="1"/>
    <xf numFmtId="3" fontId="81" fillId="10" borderId="80" xfId="8" applyNumberFormat="1" applyFont="1" applyFill="1"/>
    <xf numFmtId="3" fontId="0" fillId="0" borderId="0" xfId="1" applyNumberFormat="1" applyFont="1"/>
    <xf numFmtId="0" fontId="82" fillId="7" borderId="0" xfId="10" applyFont="1" applyAlignment="1">
      <alignment horizontal="center"/>
    </xf>
    <xf numFmtId="3" fontId="82" fillId="7" borderId="0" xfId="10" applyNumberFormat="1" applyFont="1" applyAlignment="1">
      <alignment horizontal="center"/>
    </xf>
    <xf numFmtId="0" fontId="83" fillId="0" borderId="0" xfId="0" applyFont="1" applyBorder="1" applyAlignment="1">
      <alignment horizontal="center"/>
    </xf>
    <xf numFmtId="0" fontId="83" fillId="0" borderId="0" xfId="0" applyFont="1" applyAlignment="1">
      <alignment horizontal="center"/>
    </xf>
    <xf numFmtId="0" fontId="82" fillId="7" borderId="0" xfId="10" applyFont="1"/>
    <xf numFmtId="3" fontId="84" fillId="7" borderId="0" xfId="10" applyNumberFormat="1" applyFont="1"/>
    <xf numFmtId="3" fontId="84" fillId="7" borderId="0" xfId="10" applyNumberFormat="1" applyFont="1" applyAlignment="1">
      <alignment horizontal="center"/>
    </xf>
    <xf numFmtId="0" fontId="85" fillId="0" borderId="0" xfId="0" applyFont="1" applyBorder="1"/>
    <xf numFmtId="0" fontId="85" fillId="0" borderId="0" xfId="0" applyFont="1"/>
    <xf numFmtId="0" fontId="84" fillId="7" borderId="0" xfId="10" applyFont="1"/>
    <xf numFmtId="165" fontId="85" fillId="0" borderId="0" xfId="1" applyFont="1" applyBorder="1"/>
    <xf numFmtId="0" fontId="84" fillId="7" borderId="81" xfId="10" applyFont="1" applyBorder="1"/>
    <xf numFmtId="3" fontId="84" fillId="7" borderId="81" xfId="10" applyNumberFormat="1" applyFont="1" applyBorder="1"/>
    <xf numFmtId="43" fontId="83" fillId="0" borderId="0" xfId="9" applyNumberFormat="1" applyFont="1" applyBorder="1"/>
    <xf numFmtId="0" fontId="83" fillId="0" borderId="0" xfId="9" applyFont="1" applyBorder="1"/>
    <xf numFmtId="0" fontId="83" fillId="0" borderId="81" xfId="9" applyFont="1"/>
    <xf numFmtId="0" fontId="79" fillId="7" borderId="0" xfId="10"/>
    <xf numFmtId="3" fontId="79" fillId="7" borderId="0" xfId="10" applyNumberFormat="1"/>
    <xf numFmtId="0" fontId="86" fillId="7" borderId="0" xfId="10" applyFont="1" applyAlignment="1">
      <alignment horizontal="center"/>
    </xf>
    <xf numFmtId="3" fontId="86" fillId="7" borderId="0" xfId="10" applyNumberFormat="1" applyFont="1" applyAlignment="1">
      <alignment horizontal="center"/>
    </xf>
    <xf numFmtId="0" fontId="87" fillId="7" borderId="0" xfId="10" applyFont="1" applyAlignment="1">
      <alignment horizontal="center"/>
    </xf>
    <xf numFmtId="3" fontId="81" fillId="7" borderId="0" xfId="10" applyNumberFormat="1" applyFont="1" applyAlignment="1">
      <alignment horizontal="center"/>
    </xf>
    <xf numFmtId="3" fontId="77" fillId="7" borderId="0" xfId="10" applyNumberFormat="1" applyFont="1" applyAlignment="1">
      <alignment horizontal="center"/>
    </xf>
    <xf numFmtId="3" fontId="87" fillId="7" borderId="0" xfId="10" applyNumberFormat="1" applyFont="1" applyAlignment="1">
      <alignment horizontal="center"/>
    </xf>
    <xf numFmtId="0" fontId="89" fillId="7" borderId="0" xfId="10" applyFont="1" applyAlignment="1">
      <alignment horizontal="center"/>
    </xf>
    <xf numFmtId="191" fontId="79" fillId="7" borderId="82" xfId="4" applyNumberFormat="1" applyFont="1" applyFill="1" applyBorder="1"/>
    <xf numFmtId="191" fontId="79" fillId="7" borderId="0" xfId="4" applyNumberFormat="1" applyFont="1" applyFill="1" applyBorder="1"/>
    <xf numFmtId="191" fontId="0" fillId="0" borderId="0" xfId="4" applyNumberFormat="1" applyFont="1" applyBorder="1"/>
    <xf numFmtId="191" fontId="0" fillId="0" borderId="0" xfId="4" applyNumberFormat="1" applyFont="1"/>
    <xf numFmtId="3" fontId="79" fillId="7" borderId="0" xfId="10" applyNumberFormat="1" applyBorder="1"/>
    <xf numFmtId="9" fontId="0" fillId="5" borderId="0" xfId="0" applyNumberFormat="1" applyFill="1"/>
    <xf numFmtId="165" fontId="0" fillId="0" borderId="0" xfId="1" applyFont="1"/>
    <xf numFmtId="192" fontId="14" fillId="0" borderId="0" xfId="1" applyNumberFormat="1" applyFont="1" applyBorder="1"/>
    <xf numFmtId="165" fontId="44" fillId="0" borderId="0" xfId="1" applyFont="1"/>
    <xf numFmtId="0" fontId="44" fillId="6" borderId="5" xfId="0" applyFont="1" applyFill="1" applyBorder="1"/>
    <xf numFmtId="3" fontId="0" fillId="0" borderId="0" xfId="11" applyNumberFormat="1" applyFont="1"/>
    <xf numFmtId="3" fontId="10" fillId="0" borderId="0" xfId="12" applyNumberFormat="1"/>
    <xf numFmtId="0" fontId="10" fillId="0" borderId="0" xfId="12" applyBorder="1"/>
    <xf numFmtId="0" fontId="10" fillId="0" borderId="0" xfId="12"/>
    <xf numFmtId="0" fontId="83" fillId="0" borderId="0" xfId="12" applyFont="1" applyBorder="1" applyAlignment="1">
      <alignment horizontal="center"/>
    </xf>
    <xf numFmtId="0" fontId="83" fillId="0" borderId="0" xfId="12" applyFont="1" applyAlignment="1">
      <alignment horizontal="center"/>
    </xf>
    <xf numFmtId="0" fontId="85" fillId="0" borderId="0" xfId="12" applyFont="1" applyBorder="1"/>
    <xf numFmtId="0" fontId="85" fillId="0" borderId="0" xfId="12" applyFont="1"/>
    <xf numFmtId="43" fontId="85" fillId="0" borderId="0" xfId="11" applyFont="1" applyBorder="1"/>
    <xf numFmtId="44" fontId="84" fillId="7" borderId="0" xfId="13" applyFont="1" applyFill="1"/>
    <xf numFmtId="3" fontId="84" fillId="7" borderId="82" xfId="13" applyNumberFormat="1" applyFont="1" applyFill="1" applyBorder="1"/>
    <xf numFmtId="3" fontId="84" fillId="7" borderId="0" xfId="13" applyNumberFormat="1" applyFont="1" applyFill="1"/>
    <xf numFmtId="44" fontId="85" fillId="0" borderId="0" xfId="13" applyFont="1" applyBorder="1"/>
    <xf numFmtId="44" fontId="85" fillId="0" borderId="0" xfId="13" applyFont="1"/>
    <xf numFmtId="0" fontId="72" fillId="0" borderId="0" xfId="12" applyFont="1" applyBorder="1" applyAlignment="1">
      <alignment horizontal="center"/>
    </xf>
    <xf numFmtId="0" fontId="72" fillId="0" borderId="0" xfId="12" applyFont="1" applyAlignment="1">
      <alignment horizontal="center"/>
    </xf>
    <xf numFmtId="0" fontId="88" fillId="0" borderId="0" xfId="12" applyFont="1" applyBorder="1" applyAlignment="1">
      <alignment horizontal="center"/>
    </xf>
    <xf numFmtId="0" fontId="88" fillId="0" borderId="0" xfId="12" applyFont="1" applyAlignment="1">
      <alignment horizontal="center"/>
    </xf>
    <xf numFmtId="191" fontId="81" fillId="7" borderId="0" xfId="13" applyNumberFormat="1" applyFont="1" applyFill="1"/>
    <xf numFmtId="191" fontId="79" fillId="7" borderId="82" xfId="13" applyNumberFormat="1" applyFont="1" applyFill="1" applyBorder="1"/>
    <xf numFmtId="191" fontId="79" fillId="7" borderId="0" xfId="13" applyNumberFormat="1" applyFont="1" applyFill="1" applyBorder="1"/>
    <xf numFmtId="191" fontId="0" fillId="0" borderId="0" xfId="13" applyNumberFormat="1" applyFont="1" applyBorder="1"/>
    <xf numFmtId="191" fontId="0" fillId="0" borderId="0" xfId="13" applyNumberFormat="1" applyFont="1"/>
    <xf numFmtId="0" fontId="45" fillId="6" borderId="5" xfId="0" applyFont="1" applyFill="1" applyBorder="1"/>
    <xf numFmtId="0" fontId="91" fillId="0" borderId="0" xfId="0" applyFont="1"/>
    <xf numFmtId="38" fontId="91" fillId="0" borderId="0" xfId="0" applyNumberFormat="1" applyFont="1"/>
    <xf numFmtId="0" fontId="92" fillId="0" borderId="0" xfId="0" applyFont="1"/>
    <xf numFmtId="3" fontId="44" fillId="0" borderId="83" xfId="0" applyNumberFormat="1" applyFont="1" applyBorder="1" applyAlignment="1">
      <alignment horizontal="center"/>
    </xf>
    <xf numFmtId="0" fontId="12" fillId="0" borderId="5" xfId="0" applyFont="1" applyBorder="1"/>
    <xf numFmtId="0" fontId="12" fillId="0" borderId="5" xfId="0" applyFont="1" applyBorder="1" applyAlignment="1">
      <alignment horizontal="left" indent="1"/>
    </xf>
    <xf numFmtId="0" fontId="36" fillId="0" borderId="0" xfId="0" applyFont="1" applyFill="1" applyBorder="1"/>
    <xf numFmtId="0" fontId="12" fillId="0" borderId="0" xfId="0" applyFont="1" applyFill="1"/>
    <xf numFmtId="0" fontId="12" fillId="0" borderId="0" xfId="0" applyFont="1" applyFill="1" applyBorder="1"/>
    <xf numFmtId="0" fontId="94" fillId="0" borderId="0" xfId="0" applyFont="1" applyFill="1" applyBorder="1"/>
    <xf numFmtId="0" fontId="95" fillId="0" borderId="0" xfId="0" applyFont="1" applyFill="1" applyBorder="1" applyAlignment="1">
      <alignment horizontal="left"/>
    </xf>
    <xf numFmtId="0" fontId="96" fillId="0" borderId="0" xfId="0" applyFont="1" applyFill="1" applyBorder="1"/>
    <xf numFmtId="0" fontId="98" fillId="0" borderId="0" xfId="14" applyFont="1" applyFill="1" applyBorder="1" applyAlignment="1" applyProtection="1"/>
    <xf numFmtId="0" fontId="12" fillId="0" borderId="83" xfId="0" applyFont="1" applyFill="1" applyBorder="1"/>
    <xf numFmtId="0" fontId="99" fillId="0" borderId="0" xfId="0" applyFont="1" applyFill="1" applyBorder="1"/>
    <xf numFmtId="0" fontId="100" fillId="0" borderId="0" xfId="14" applyFont="1" applyFill="1" applyBorder="1" applyAlignment="1" applyProtection="1"/>
    <xf numFmtId="0" fontId="38" fillId="0" borderId="0" xfId="0" applyFont="1" applyFill="1" applyBorder="1" applyAlignment="1">
      <alignment horizontal="left"/>
    </xf>
    <xf numFmtId="9" fontId="38" fillId="0" borderId="0" xfId="0" applyNumberFormat="1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02" fillId="0" borderId="0" xfId="0" applyFont="1" applyFill="1" applyBorder="1"/>
    <xf numFmtId="175" fontId="12" fillId="0" borderId="0" xfId="0" applyNumberFormat="1" applyFont="1" applyFill="1" applyBorder="1" applyAlignment="1">
      <alignment horizontal="center"/>
    </xf>
    <xf numFmtId="0" fontId="100" fillId="0" borderId="0" xfId="14" applyFont="1" applyFill="1" applyAlignment="1" applyProtection="1"/>
    <xf numFmtId="0" fontId="36" fillId="0" borderId="34" xfId="0" applyFont="1" applyFill="1" applyBorder="1"/>
    <xf numFmtId="165" fontId="36" fillId="0" borderId="10" xfId="1" applyNumberFormat="1" applyFont="1" applyFill="1" applyBorder="1" applyAlignment="1">
      <alignment horizontal="center"/>
    </xf>
    <xf numFmtId="0" fontId="12" fillId="0" borderId="11" xfId="0" applyFont="1" applyFill="1" applyBorder="1"/>
    <xf numFmtId="0" fontId="36" fillId="0" borderId="0" xfId="0" applyFont="1" applyFill="1"/>
    <xf numFmtId="0" fontId="99" fillId="0" borderId="36" xfId="0" applyFont="1" applyFill="1" applyBorder="1"/>
    <xf numFmtId="165" fontId="36" fillId="0" borderId="0" xfId="1" applyNumberFormat="1" applyFont="1" applyFill="1" applyBorder="1" applyAlignment="1">
      <alignment horizontal="center"/>
    </xf>
    <xf numFmtId="0" fontId="36" fillId="0" borderId="83" xfId="0" applyFont="1" applyFill="1" applyBorder="1"/>
    <xf numFmtId="0" fontId="12" fillId="0" borderId="36" xfId="0" applyFont="1" applyFill="1" applyBorder="1"/>
    <xf numFmtId="3" fontId="13" fillId="0" borderId="36" xfId="0" applyNumberFormat="1" applyFont="1" applyFill="1" applyBorder="1"/>
    <xf numFmtId="165" fontId="12" fillId="0" borderId="0" xfId="1" applyNumberFormat="1" applyFont="1" applyFill="1" applyBorder="1" applyAlignment="1">
      <alignment horizontal="center"/>
    </xf>
    <xf numFmtId="0" fontId="13" fillId="0" borderId="36" xfId="0" applyFont="1" applyFill="1" applyBorder="1"/>
    <xf numFmtId="0" fontId="12" fillId="2" borderId="69" xfId="0" applyFont="1" applyFill="1" applyBorder="1"/>
    <xf numFmtId="165" fontId="60" fillId="2" borderId="84" xfId="1" applyNumberFormat="1" applyFont="1" applyFill="1" applyBorder="1" applyAlignment="1">
      <alignment horizontal="center"/>
    </xf>
    <xf numFmtId="0" fontId="42" fillId="2" borderId="85" xfId="0" applyFont="1" applyFill="1" applyBorder="1"/>
    <xf numFmtId="0" fontId="42" fillId="2" borderId="5" xfId="0" applyFont="1" applyFill="1" applyBorder="1" applyAlignment="1">
      <alignment horizontal="center"/>
    </xf>
    <xf numFmtId="165" fontId="60" fillId="2" borderId="86" xfId="1" applyNumberFormat="1" applyFont="1" applyFill="1" applyBorder="1" applyAlignment="1">
      <alignment horizontal="center"/>
    </xf>
    <xf numFmtId="0" fontId="42" fillId="2" borderId="87" xfId="0" applyFont="1" applyFill="1" applyBorder="1" applyAlignment="1">
      <alignment horizontal="center"/>
    </xf>
    <xf numFmtId="0" fontId="12" fillId="2" borderId="3" xfId="0" applyFont="1" applyFill="1" applyBorder="1"/>
    <xf numFmtId="1" fontId="60" fillId="2" borderId="88" xfId="1" applyNumberFormat="1" applyFont="1" applyFill="1" applyBorder="1" applyAlignment="1">
      <alignment horizontal="center"/>
    </xf>
    <xf numFmtId="0" fontId="42" fillId="2" borderId="89" xfId="0" applyFont="1" applyFill="1" applyBorder="1"/>
    <xf numFmtId="0" fontId="12" fillId="12" borderId="5" xfId="0" applyFont="1" applyFill="1" applyBorder="1"/>
    <xf numFmtId="1" fontId="60" fillId="12" borderId="86" xfId="1" applyNumberFormat="1" applyFont="1" applyFill="1" applyBorder="1" applyAlignment="1">
      <alignment horizontal="center"/>
    </xf>
    <xf numFmtId="0" fontId="42" fillId="12" borderId="87" xfId="0" applyFont="1" applyFill="1" applyBorder="1"/>
    <xf numFmtId="0" fontId="42" fillId="0" borderId="5" xfId="0" applyFont="1" applyBorder="1"/>
    <xf numFmtId="168" fontId="42" fillId="0" borderId="6" xfId="1" applyNumberFormat="1" applyFont="1" applyBorder="1" applyAlignment="1">
      <alignment horizontal="center"/>
    </xf>
    <xf numFmtId="0" fontId="42" fillId="12" borderId="5" xfId="0" applyFont="1" applyFill="1" applyBorder="1"/>
    <xf numFmtId="2" fontId="42" fillId="12" borderId="86" xfId="1" applyNumberFormat="1" applyFont="1" applyFill="1" applyBorder="1" applyAlignment="1">
      <alignment horizontal="center"/>
    </xf>
    <xf numFmtId="175" fontId="12" fillId="0" borderId="86" xfId="1" applyNumberFormat="1" applyFont="1" applyBorder="1" applyAlignment="1">
      <alignment horizontal="center"/>
    </xf>
    <xf numFmtId="0" fontId="12" fillId="0" borderId="87" xfId="0" applyFont="1" applyBorder="1"/>
    <xf numFmtId="168" fontId="42" fillId="0" borderId="6" xfId="7" applyNumberFormat="1" applyFont="1" applyBorder="1" applyAlignment="1">
      <alignment horizontal="center"/>
    </xf>
    <xf numFmtId="175" fontId="12" fillId="0" borderId="6" xfId="1" applyNumberFormat="1" applyFont="1" applyBorder="1" applyAlignment="1">
      <alignment horizontal="center"/>
    </xf>
    <xf numFmtId="0" fontId="103" fillId="0" borderId="5" xfId="0" applyFont="1" applyBorder="1"/>
    <xf numFmtId="9" fontId="104" fillId="0" borderId="6" xfId="7" applyFont="1" applyBorder="1" applyAlignment="1">
      <alignment horizontal="center"/>
    </xf>
    <xf numFmtId="175" fontId="42" fillId="0" borderId="86" xfId="1" applyNumberFormat="1" applyFont="1" applyBorder="1" applyAlignment="1">
      <alignment horizontal="center"/>
    </xf>
    <xf numFmtId="168" fontId="12" fillId="0" borderId="86" xfId="1" applyNumberFormat="1" applyFont="1" applyFill="1" applyBorder="1" applyAlignment="1">
      <alignment horizontal="center"/>
    </xf>
    <xf numFmtId="10" fontId="12" fillId="0" borderId="86" xfId="1" applyNumberFormat="1" applyFont="1" applyFill="1" applyBorder="1" applyAlignment="1">
      <alignment horizontal="center"/>
    </xf>
    <xf numFmtId="9" fontId="12" fillId="0" borderId="86" xfId="1" applyNumberFormat="1" applyFont="1" applyFill="1" applyBorder="1" applyAlignment="1">
      <alignment horizontal="center"/>
    </xf>
    <xf numFmtId="9" fontId="42" fillId="0" borderId="86" xfId="1" applyNumberFormat="1" applyFont="1" applyBorder="1" applyAlignment="1">
      <alignment horizontal="center"/>
    </xf>
    <xf numFmtId="168" fontId="12" fillId="0" borderId="86" xfId="1" applyNumberFormat="1" applyFont="1" applyBorder="1" applyAlignment="1">
      <alignment horizontal="center"/>
    </xf>
    <xf numFmtId="9" fontId="12" fillId="0" borderId="86" xfId="1" applyNumberFormat="1" applyFont="1" applyBorder="1" applyAlignment="1">
      <alignment horizontal="center"/>
    </xf>
    <xf numFmtId="9" fontId="12" fillId="0" borderId="6" xfId="1" applyNumberFormat="1" applyFont="1" applyBorder="1" applyAlignment="1">
      <alignment horizontal="center"/>
    </xf>
    <xf numFmtId="0" fontId="12" fillId="0" borderId="83" xfId="0" applyFont="1" applyBorder="1"/>
    <xf numFmtId="0" fontId="12" fillId="0" borderId="8" xfId="0" applyFont="1" applyBorder="1"/>
    <xf numFmtId="175" fontId="12" fillId="0" borderId="9" xfId="1" applyNumberFormat="1" applyFont="1" applyBorder="1" applyAlignment="1">
      <alignment horizontal="center"/>
    </xf>
    <xf numFmtId="0" fontId="12" fillId="0" borderId="23" xfId="0" applyFont="1" applyBorder="1"/>
    <xf numFmtId="165" fontId="12" fillId="0" borderId="0" xfId="1" applyNumberFormat="1" applyFont="1" applyFill="1" applyAlignment="1">
      <alignment horizontal="center"/>
    </xf>
    <xf numFmtId="0" fontId="70" fillId="0" borderId="0" xfId="0" applyFont="1" applyFill="1" applyBorder="1"/>
    <xf numFmtId="0" fontId="36" fillId="0" borderId="0" xfId="0" applyFont="1" applyFill="1" applyBorder="1" applyAlignment="1">
      <alignment horizontal="center"/>
    </xf>
    <xf numFmtId="0" fontId="105" fillId="0" borderId="0" xfId="14" applyFont="1" applyFill="1" applyBorder="1" applyAlignment="1" applyProtection="1"/>
    <xf numFmtId="0" fontId="13" fillId="0" borderId="0" xfId="0" applyFont="1" applyFill="1" applyBorder="1"/>
    <xf numFmtId="0" fontId="61" fillId="0" borderId="0" xfId="0" applyFont="1" applyFill="1" applyBorder="1" applyAlignment="1">
      <alignment horizontal="center"/>
    </xf>
    <xf numFmtId="0" fontId="13" fillId="0" borderId="41" xfId="0" applyFont="1" applyFill="1" applyBorder="1"/>
    <xf numFmtId="0" fontId="12" fillId="0" borderId="41" xfId="0" applyFont="1" applyFill="1" applyBorder="1"/>
    <xf numFmtId="0" fontId="12" fillId="0" borderId="41" xfId="0" applyFont="1" applyFill="1" applyBorder="1" applyAlignment="1">
      <alignment horizontal="center"/>
    </xf>
    <xf numFmtId="0" fontId="12" fillId="0" borderId="5" xfId="0" applyFont="1" applyFill="1" applyBorder="1"/>
    <xf numFmtId="0" fontId="60" fillId="0" borderId="6" xfId="0" applyFont="1" applyFill="1" applyBorder="1" applyAlignment="1">
      <alignment horizontal="center"/>
    </xf>
    <xf numFmtId="0" fontId="60" fillId="0" borderId="83" xfId="0" applyFont="1" applyFill="1" applyBorder="1" applyAlignment="1">
      <alignment horizontal="center"/>
    </xf>
    <xf numFmtId="0" fontId="42" fillId="0" borderId="5" xfId="0" applyFont="1" applyFill="1" applyBorder="1" applyAlignment="1">
      <alignment horizontal="center"/>
    </xf>
    <xf numFmtId="0" fontId="12" fillId="0" borderId="3" xfId="0" applyFont="1" applyFill="1" applyBorder="1"/>
    <xf numFmtId="0" fontId="60" fillId="0" borderId="4" xfId="0" applyFont="1" applyFill="1" applyBorder="1" applyAlignment="1">
      <alignment horizontal="center"/>
    </xf>
    <xf numFmtId="0" fontId="60" fillId="0" borderId="13" xfId="0" applyFont="1" applyFill="1" applyBorder="1" applyAlignment="1">
      <alignment horizontal="center"/>
    </xf>
    <xf numFmtId="0" fontId="12" fillId="0" borderId="6" xfId="0" applyFont="1" applyFill="1" applyBorder="1"/>
    <xf numFmtId="0" fontId="12" fillId="0" borderId="83" xfId="0" applyFont="1" applyFill="1" applyBorder="1" applyAlignment="1">
      <alignment horizontal="center"/>
    </xf>
    <xf numFmtId="0" fontId="51" fillId="0" borderId="5" xfId="0" applyFont="1" applyFill="1" applyBorder="1"/>
    <xf numFmtId="175" fontId="12" fillId="0" borderId="6" xfId="0" applyNumberFormat="1" applyFont="1" applyFill="1" applyBorder="1" applyAlignment="1">
      <alignment horizontal="center"/>
    </xf>
    <xf numFmtId="175" fontId="12" fillId="0" borderId="83" xfId="0" applyNumberFormat="1" applyFont="1" applyFill="1" applyBorder="1" applyAlignment="1">
      <alignment horizontal="center"/>
    </xf>
    <xf numFmtId="193" fontId="12" fillId="0" borderId="6" xfId="0" applyNumberFormat="1" applyFont="1" applyFill="1" applyBorder="1" applyAlignment="1">
      <alignment horizontal="center"/>
    </xf>
    <xf numFmtId="3" fontId="12" fillId="0" borderId="6" xfId="0" applyNumberFormat="1" applyFont="1" applyFill="1" applyBorder="1" applyAlignment="1">
      <alignment horizontal="center"/>
    </xf>
    <xf numFmtId="194" fontId="15" fillId="0" borderId="83" xfId="7" applyNumberFormat="1" applyFont="1" applyBorder="1" applyAlignment="1">
      <alignment horizontal="center"/>
    </xf>
    <xf numFmtId="3" fontId="12" fillId="0" borderId="0" xfId="0" applyNumberFormat="1" applyFont="1" applyFill="1"/>
    <xf numFmtId="0" fontId="103" fillId="0" borderId="5" xfId="0" applyFont="1" applyFill="1" applyBorder="1" applyAlignment="1">
      <alignment horizontal="left"/>
    </xf>
    <xf numFmtId="0" fontId="42" fillId="0" borderId="5" xfId="0" applyFont="1" applyFill="1" applyBorder="1"/>
    <xf numFmtId="3" fontId="12" fillId="0" borderId="7" xfId="0" applyNumberFormat="1" applyFont="1" applyFill="1" applyBorder="1" applyAlignment="1">
      <alignment horizontal="center"/>
    </xf>
    <xf numFmtId="194" fontId="15" fillId="0" borderId="59" xfId="7" applyNumberFormat="1" applyFont="1" applyBorder="1" applyAlignment="1">
      <alignment horizontal="center"/>
    </xf>
    <xf numFmtId="4" fontId="12" fillId="0" borderId="6" xfId="0" applyNumberFormat="1" applyFont="1" applyFill="1" applyBorder="1" applyAlignment="1">
      <alignment horizontal="center"/>
    </xf>
    <xf numFmtId="195" fontId="15" fillId="0" borderId="83" xfId="7" applyNumberFormat="1" applyFont="1" applyBorder="1" applyAlignment="1">
      <alignment horizontal="center"/>
    </xf>
    <xf numFmtId="4" fontId="12" fillId="0" borderId="7" xfId="0" applyNumberFormat="1" applyFont="1" applyFill="1" applyBorder="1" applyAlignment="1">
      <alignment horizontal="center"/>
    </xf>
    <xf numFmtId="195" fontId="15" fillId="0" borderId="59" xfId="7" applyNumberFormat="1" applyFont="1" applyBorder="1" applyAlignment="1">
      <alignment horizontal="center"/>
    </xf>
    <xf numFmtId="3" fontId="12" fillId="0" borderId="4" xfId="0" applyNumberFormat="1" applyFont="1" applyFill="1" applyBorder="1" applyAlignment="1">
      <alignment horizontal="center"/>
    </xf>
    <xf numFmtId="0" fontId="42" fillId="0" borderId="8" xfId="0" applyFont="1" applyFill="1" applyBorder="1"/>
    <xf numFmtId="3" fontId="12" fillId="0" borderId="9" xfId="0" applyNumberFormat="1" applyFont="1" applyFill="1" applyBorder="1" applyAlignment="1">
      <alignment horizontal="center"/>
    </xf>
    <xf numFmtId="194" fontId="15" fillId="0" borderId="60" xfId="7" applyNumberFormat="1" applyFont="1" applyBorder="1" applyAlignment="1">
      <alignment horizontal="center"/>
    </xf>
    <xf numFmtId="0" fontId="42" fillId="0" borderId="0" xfId="0" applyFont="1" applyFill="1"/>
    <xf numFmtId="0" fontId="12" fillId="0" borderId="0" xfId="0" applyFont="1" applyFill="1" applyAlignment="1">
      <alignment horizontal="center"/>
    </xf>
    <xf numFmtId="178" fontId="0" fillId="0" borderId="83" xfId="0" applyNumberFormat="1" applyBorder="1"/>
    <xf numFmtId="0" fontId="36" fillId="0" borderId="11" xfId="0" applyFont="1" applyFill="1" applyBorder="1"/>
    <xf numFmtId="0" fontId="36" fillId="0" borderId="10" xfId="0" applyFont="1" applyFill="1" applyBorder="1"/>
    <xf numFmtId="0" fontId="106" fillId="0" borderId="0" xfId="14" applyFont="1" applyFill="1" applyBorder="1" applyAlignment="1" applyProtection="1"/>
    <xf numFmtId="0" fontId="107" fillId="0" borderId="0" xfId="14" applyFont="1" applyFill="1" applyBorder="1" applyAlignment="1" applyProtection="1"/>
    <xf numFmtId="0" fontId="70" fillId="0" borderId="36" xfId="0" applyFont="1" applyFill="1" applyBorder="1"/>
    <xf numFmtId="0" fontId="36" fillId="0" borderId="36" xfId="0" applyFont="1" applyFill="1" applyBorder="1"/>
    <xf numFmtId="0" fontId="61" fillId="0" borderId="0" xfId="0" applyFont="1" applyFill="1" applyBorder="1"/>
    <xf numFmtId="0" fontId="12" fillId="0" borderId="13" xfId="0" applyFont="1" applyFill="1" applyBorder="1"/>
    <xf numFmtId="0" fontId="13" fillId="0" borderId="62" xfId="0" applyFont="1" applyFill="1" applyBorder="1"/>
    <xf numFmtId="0" fontId="12" fillId="0" borderId="27" xfId="0" applyFont="1" applyFill="1" applyBorder="1"/>
    <xf numFmtId="0" fontId="12" fillId="0" borderId="34" xfId="0" applyFont="1" applyFill="1" applyBorder="1"/>
    <xf numFmtId="0" fontId="108" fillId="0" borderId="35" xfId="0" applyFont="1" applyFill="1" applyBorder="1" applyAlignment="1">
      <alignment horizontal="center"/>
    </xf>
    <xf numFmtId="0" fontId="60" fillId="0" borderId="21" xfId="0" applyFont="1" applyFill="1" applyBorder="1" applyAlignment="1">
      <alignment horizontal="center"/>
    </xf>
    <xf numFmtId="0" fontId="108" fillId="0" borderId="10" xfId="0" applyFont="1" applyFill="1" applyBorder="1" applyAlignment="1">
      <alignment horizontal="center"/>
    </xf>
    <xf numFmtId="0" fontId="108" fillId="0" borderId="11" xfId="0" applyFont="1" applyFill="1" applyBorder="1" applyAlignment="1">
      <alignment horizontal="center"/>
    </xf>
    <xf numFmtId="0" fontId="42" fillId="0" borderId="83" xfId="0" applyFont="1" applyFill="1" applyBorder="1"/>
    <xf numFmtId="0" fontId="60" fillId="0" borderId="37" xfId="0" applyFont="1" applyFill="1" applyBorder="1" applyAlignment="1">
      <alignment horizontal="center"/>
    </xf>
    <xf numFmtId="0" fontId="60" fillId="0" borderId="16" xfId="0" applyFont="1" applyFill="1" applyBorder="1" applyAlignment="1">
      <alignment horizontal="center"/>
    </xf>
    <xf numFmtId="0" fontId="108" fillId="0" borderId="30" xfId="0" applyFont="1" applyFill="1" applyBorder="1" applyAlignment="1">
      <alignment horizontal="center"/>
    </xf>
    <xf numFmtId="0" fontId="108" fillId="0" borderId="83" xfId="0" applyFont="1" applyFill="1" applyBorder="1" applyAlignment="1">
      <alignment horizontal="center"/>
    </xf>
    <xf numFmtId="0" fontId="108" fillId="0" borderId="3" xfId="0" applyFont="1" applyFill="1" applyBorder="1" applyAlignment="1">
      <alignment horizontal="center"/>
    </xf>
    <xf numFmtId="0" fontId="108" fillId="0" borderId="38" xfId="0" applyFont="1" applyFill="1" applyBorder="1" applyAlignment="1">
      <alignment horizontal="center"/>
    </xf>
    <xf numFmtId="0" fontId="108" fillId="0" borderId="27" xfId="0" applyFont="1" applyFill="1" applyBorder="1" applyAlignment="1">
      <alignment horizontal="center"/>
    </xf>
    <xf numFmtId="0" fontId="108" fillId="0" borderId="13" xfId="0" applyFont="1" applyFill="1" applyBorder="1" applyAlignment="1">
      <alignment horizontal="center"/>
    </xf>
    <xf numFmtId="0" fontId="42" fillId="0" borderId="13" xfId="0" applyFont="1" applyFill="1" applyBorder="1"/>
    <xf numFmtId="0" fontId="12" fillId="0" borderId="62" xfId="0" applyFont="1" applyFill="1" applyBorder="1"/>
    <xf numFmtId="0" fontId="60" fillId="0" borderId="38" xfId="0" applyFont="1" applyFill="1" applyBorder="1" applyAlignment="1">
      <alignment horizontal="center"/>
    </xf>
    <xf numFmtId="0" fontId="60" fillId="0" borderId="30" xfId="0" applyFont="1" applyFill="1" applyBorder="1" applyAlignment="1">
      <alignment horizontal="center"/>
    </xf>
    <xf numFmtId="0" fontId="35" fillId="0" borderId="4" xfId="0" applyFont="1" applyFill="1" applyBorder="1" applyAlignment="1">
      <alignment horizontal="center"/>
    </xf>
    <xf numFmtId="0" fontId="12" fillId="0" borderId="37" xfId="0" applyFont="1" applyFill="1" applyBorder="1"/>
    <xf numFmtId="0" fontId="12" fillId="0" borderId="33" xfId="0" applyFont="1" applyFill="1" applyBorder="1"/>
    <xf numFmtId="0" fontId="12" fillId="0" borderId="16" xfId="0" applyFont="1" applyFill="1" applyBorder="1"/>
    <xf numFmtId="175" fontId="12" fillId="0" borderId="37" xfId="0" applyNumberFormat="1" applyFont="1" applyFill="1" applyBorder="1" applyAlignment="1">
      <alignment horizontal="center"/>
    </xf>
    <xf numFmtId="175" fontId="12" fillId="0" borderId="33" xfId="0" applyNumberFormat="1" applyFont="1" applyFill="1" applyBorder="1" applyAlignment="1">
      <alignment horizontal="center"/>
    </xf>
    <xf numFmtId="175" fontId="12" fillId="0" borderId="16" xfId="0" applyNumberFormat="1" applyFont="1" applyFill="1" applyBorder="1" applyAlignment="1">
      <alignment horizontal="center"/>
    </xf>
    <xf numFmtId="0" fontId="103" fillId="0" borderId="36" xfId="0" applyFont="1" applyFill="1" applyBorder="1"/>
    <xf numFmtId="175" fontId="12" fillId="0" borderId="16" xfId="0" applyNumberFormat="1" applyFont="1" applyFill="1" applyBorder="1" applyAlignment="1"/>
    <xf numFmtId="0" fontId="40" fillId="0" borderId="36" xfId="0" applyFont="1" applyFill="1" applyBorder="1"/>
    <xf numFmtId="3" fontId="40" fillId="0" borderId="37" xfId="0" applyNumberFormat="1" applyFont="1" applyFill="1" applyBorder="1" applyAlignment="1">
      <alignment horizontal="right"/>
    </xf>
    <xf numFmtId="194" fontId="15" fillId="0" borderId="16" xfId="7" applyNumberFormat="1" applyFont="1" applyBorder="1" applyAlignment="1">
      <alignment horizontal="center"/>
    </xf>
    <xf numFmtId="0" fontId="40" fillId="0" borderId="83" xfId="0" applyFont="1" applyFill="1" applyBorder="1"/>
    <xf numFmtId="3" fontId="40" fillId="0" borderId="0" xfId="0" applyNumberFormat="1" applyFont="1" applyFill="1"/>
    <xf numFmtId="3" fontId="40" fillId="0" borderId="37" xfId="7" applyNumberFormat="1" applyFont="1" applyFill="1" applyBorder="1" applyAlignment="1">
      <alignment horizontal="right"/>
    </xf>
    <xf numFmtId="9" fontId="40" fillId="0" borderId="37" xfId="7" applyFont="1" applyFill="1" applyBorder="1" applyAlignment="1">
      <alignment horizontal="center"/>
    </xf>
    <xf numFmtId="9" fontId="40" fillId="0" borderId="16" xfId="0" applyNumberFormat="1" applyFont="1" applyFill="1" applyBorder="1" applyAlignment="1">
      <alignment horizontal="center"/>
    </xf>
    <xf numFmtId="0" fontId="40" fillId="0" borderId="0" xfId="0" applyFont="1" applyFill="1"/>
    <xf numFmtId="3" fontId="13" fillId="0" borderId="66" xfId="0" applyNumberFormat="1" applyFont="1" applyFill="1" applyBorder="1" applyAlignment="1">
      <alignment horizontal="right"/>
    </xf>
    <xf numFmtId="194" fontId="14" fillId="0" borderId="14" xfId="7" applyNumberFormat="1" applyFont="1" applyBorder="1" applyAlignment="1">
      <alignment horizontal="center"/>
    </xf>
    <xf numFmtId="194" fontId="14" fillId="0" borderId="57" xfId="7" applyNumberFormat="1" applyFont="1" applyBorder="1" applyAlignment="1">
      <alignment horizontal="center"/>
    </xf>
    <xf numFmtId="3" fontId="13" fillId="0" borderId="37" xfId="0" applyNumberFormat="1" applyFont="1" applyFill="1" applyBorder="1" applyAlignment="1">
      <alignment horizontal="right"/>
    </xf>
    <xf numFmtId="9" fontId="13" fillId="0" borderId="37" xfId="7" applyFont="1" applyFill="1" applyBorder="1" applyAlignment="1">
      <alignment horizontal="center"/>
    </xf>
    <xf numFmtId="9" fontId="13" fillId="0" borderId="16" xfId="0" applyNumberFormat="1" applyFont="1" applyFill="1" applyBorder="1" applyAlignment="1">
      <alignment horizontal="center"/>
    </xf>
    <xf numFmtId="3" fontId="13" fillId="0" borderId="37" xfId="7" applyNumberFormat="1" applyFont="1" applyFill="1" applyBorder="1" applyAlignment="1">
      <alignment horizontal="right"/>
    </xf>
    <xf numFmtId="194" fontId="15" fillId="0" borderId="16" xfId="7" applyNumberFormat="1" applyFont="1" applyFill="1" applyBorder="1" applyAlignment="1">
      <alignment horizontal="center"/>
    </xf>
    <xf numFmtId="190" fontId="40" fillId="0" borderId="16" xfId="0" applyNumberFormat="1" applyFont="1" applyFill="1" applyBorder="1"/>
    <xf numFmtId="190" fontId="13" fillId="0" borderId="14" xfId="0" applyNumberFormat="1" applyFont="1" applyFill="1" applyBorder="1"/>
    <xf numFmtId="0" fontId="13" fillId="0" borderId="40" xfId="0" applyFont="1" applyFill="1" applyBorder="1"/>
    <xf numFmtId="194" fontId="14" fillId="0" borderId="24" xfId="7" applyNumberFormat="1" applyFont="1" applyBorder="1" applyAlignment="1">
      <alignment horizontal="center"/>
    </xf>
    <xf numFmtId="194" fontId="14" fillId="0" borderId="60" xfId="7" applyNumberFormat="1" applyFont="1" applyBorder="1" applyAlignment="1">
      <alignment horizontal="center"/>
    </xf>
    <xf numFmtId="0" fontId="40" fillId="0" borderId="23" xfId="0" applyFont="1" applyFill="1" applyBorder="1"/>
    <xf numFmtId="3" fontId="13" fillId="0" borderId="90" xfId="0" applyNumberFormat="1" applyFont="1" applyFill="1" applyBorder="1" applyAlignment="1">
      <alignment horizontal="right"/>
    </xf>
    <xf numFmtId="9" fontId="13" fillId="0" borderId="90" xfId="7" applyFont="1" applyFill="1" applyBorder="1" applyAlignment="1">
      <alignment horizontal="center"/>
    </xf>
    <xf numFmtId="9" fontId="13" fillId="0" borderId="22" xfId="7" applyNumberFormat="1" applyFont="1" applyFill="1" applyBorder="1" applyAlignment="1">
      <alignment horizontal="center"/>
    </xf>
    <xf numFmtId="0" fontId="60" fillId="0" borderId="31" xfId="0" applyFont="1" applyFill="1" applyBorder="1" applyAlignment="1">
      <alignment horizontal="center"/>
    </xf>
    <xf numFmtId="0" fontId="51" fillId="0" borderId="5" xfId="0" applyFont="1" applyFill="1" applyBorder="1" applyAlignment="1">
      <alignment horizontal="center"/>
    </xf>
    <xf numFmtId="0" fontId="60" fillId="0" borderId="33" xfId="0" applyFont="1" applyFill="1" applyBorder="1" applyAlignment="1">
      <alignment horizontal="center"/>
    </xf>
    <xf numFmtId="0" fontId="42" fillId="0" borderId="83" xfId="0" applyFont="1" applyFill="1" applyBorder="1" applyAlignment="1">
      <alignment horizontal="center"/>
    </xf>
    <xf numFmtId="0" fontId="60" fillId="0" borderId="32" xfId="0" applyFont="1" applyFill="1" applyBorder="1" applyAlignment="1">
      <alignment horizontal="center"/>
    </xf>
    <xf numFmtId="0" fontId="13" fillId="0" borderId="5" xfId="0" applyFont="1" applyFill="1" applyBorder="1"/>
    <xf numFmtId="194" fontId="15" fillId="0" borderId="33" xfId="7" applyNumberFormat="1" applyFont="1" applyBorder="1" applyAlignment="1">
      <alignment horizontal="center"/>
    </xf>
    <xf numFmtId="0" fontId="61" fillId="0" borderId="83" xfId="0" applyFont="1" applyFill="1" applyBorder="1"/>
    <xf numFmtId="9" fontId="12" fillId="0" borderId="6" xfId="7" applyFont="1" applyFill="1" applyBorder="1" applyAlignment="1">
      <alignment horizontal="center"/>
    </xf>
    <xf numFmtId="168" fontId="12" fillId="0" borderId="6" xfId="0" applyNumberFormat="1" applyFont="1" applyFill="1" applyBorder="1" applyAlignment="1">
      <alignment horizontal="center"/>
    </xf>
    <xf numFmtId="3" fontId="40" fillId="0" borderId="6" xfId="0" applyNumberFormat="1" applyFont="1" applyFill="1" applyBorder="1" applyAlignment="1">
      <alignment horizontal="center"/>
    </xf>
    <xf numFmtId="168" fontId="12" fillId="0" borderId="33" xfId="0" applyNumberFormat="1" applyFont="1" applyFill="1" applyBorder="1" applyAlignment="1">
      <alignment horizontal="center"/>
    </xf>
    <xf numFmtId="0" fontId="51" fillId="0" borderId="91" xfId="0" applyFont="1" applyFill="1" applyBorder="1"/>
    <xf numFmtId="175" fontId="12" fillId="0" borderId="92" xfId="0" applyNumberFormat="1" applyFont="1" applyFill="1" applyBorder="1" applyAlignment="1">
      <alignment horizontal="center"/>
    </xf>
    <xf numFmtId="168" fontId="12" fillId="0" borderId="93" xfId="0" applyNumberFormat="1" applyFont="1" applyFill="1" applyBorder="1" applyAlignment="1">
      <alignment horizontal="center"/>
    </xf>
    <xf numFmtId="0" fontId="61" fillId="0" borderId="94" xfId="0" applyFont="1" applyFill="1" applyBorder="1"/>
    <xf numFmtId="9" fontId="12" fillId="0" borderId="92" xfId="7" applyFont="1" applyFill="1" applyBorder="1" applyAlignment="1">
      <alignment horizontal="center"/>
    </xf>
    <xf numFmtId="168" fontId="12" fillId="0" borderId="92" xfId="0" applyNumberFormat="1" applyFont="1" applyFill="1" applyBorder="1" applyAlignment="1">
      <alignment horizontal="center"/>
    </xf>
    <xf numFmtId="0" fontId="12" fillId="0" borderId="94" xfId="0" applyFont="1" applyFill="1" applyBorder="1"/>
    <xf numFmtId="168" fontId="12" fillId="0" borderId="6" xfId="7" applyNumberFormat="1" applyFont="1" applyFill="1" applyBorder="1" applyAlignment="1">
      <alignment horizontal="center"/>
    </xf>
    <xf numFmtId="175" fontId="12" fillId="0" borderId="6" xfId="1" applyNumberFormat="1" applyFont="1" applyFill="1" applyBorder="1" applyAlignment="1">
      <alignment horizontal="center"/>
    </xf>
    <xf numFmtId="175" fontId="12" fillId="0" borderId="33" xfId="1" applyNumberFormat="1" applyFont="1" applyFill="1" applyBorder="1" applyAlignment="1">
      <alignment horizontal="center"/>
    </xf>
    <xf numFmtId="0" fontId="51" fillId="0" borderId="8" xfId="0" applyFont="1" applyFill="1" applyBorder="1"/>
    <xf numFmtId="168" fontId="12" fillId="0" borderId="9" xfId="0" applyNumberFormat="1" applyFont="1" applyFill="1" applyBorder="1" applyAlignment="1">
      <alignment horizontal="center"/>
    </xf>
    <xf numFmtId="168" fontId="12" fillId="0" borderId="42" xfId="0" applyNumberFormat="1" applyFont="1" applyFill="1" applyBorder="1" applyAlignment="1">
      <alignment horizontal="center"/>
    </xf>
    <xf numFmtId="0" fontId="61" fillId="0" borderId="23" xfId="0" applyFont="1" applyFill="1" applyBorder="1"/>
    <xf numFmtId="190" fontId="12" fillId="0" borderId="0" xfId="1" applyNumberFormat="1" applyFont="1" applyFill="1" applyBorder="1" applyAlignment="1">
      <alignment horizontal="center"/>
    </xf>
    <xf numFmtId="3" fontId="12" fillId="0" borderId="0" xfId="7" applyNumberFormat="1" applyFont="1" applyFill="1"/>
    <xf numFmtId="190" fontId="12" fillId="0" borderId="0" xfId="1" applyNumberFormat="1" applyFont="1" applyFill="1"/>
    <xf numFmtId="0" fontId="60" fillId="0" borderId="15" xfId="0" applyFont="1" applyFill="1" applyBorder="1" applyAlignment="1">
      <alignment horizontal="center"/>
    </xf>
    <xf numFmtId="0" fontId="42" fillId="0" borderId="70" xfId="0" applyFont="1" applyFill="1" applyBorder="1" applyAlignment="1">
      <alignment horizontal="center"/>
    </xf>
    <xf numFmtId="0" fontId="42" fillId="0" borderId="6" xfId="0" applyFont="1" applyFill="1" applyBorder="1" applyAlignment="1">
      <alignment horizontal="center"/>
    </xf>
    <xf numFmtId="3" fontId="42" fillId="0" borderId="7" xfId="0" applyNumberFormat="1" applyFont="1" applyFill="1" applyBorder="1"/>
    <xf numFmtId="1" fontId="42" fillId="0" borderId="57" xfId="0" applyNumberFormat="1" applyFont="1" applyFill="1" applyBorder="1"/>
    <xf numFmtId="41" fontId="12" fillId="0" borderId="6" xfId="0" applyNumberFormat="1" applyFont="1" applyFill="1" applyBorder="1"/>
    <xf numFmtId="41" fontId="42" fillId="0" borderId="83" xfId="0" applyNumberFormat="1" applyFont="1" applyFill="1" applyBorder="1"/>
    <xf numFmtId="41" fontId="42" fillId="0" borderId="7" xfId="0" applyNumberFormat="1" applyFont="1" applyFill="1" applyBorder="1"/>
    <xf numFmtId="41" fontId="42" fillId="0" borderId="57" xfId="0" applyNumberFormat="1" applyFont="1" applyFill="1" applyBorder="1"/>
    <xf numFmtId="41" fontId="42" fillId="0" borderId="0" xfId="0" applyNumberFormat="1" applyFont="1" applyFill="1" applyBorder="1"/>
    <xf numFmtId="41" fontId="13" fillId="0" borderId="7" xfId="0" applyNumberFormat="1" applyFont="1" applyFill="1" applyBorder="1"/>
    <xf numFmtId="41" fontId="13" fillId="0" borderId="57" xfId="0" applyNumberFormat="1" applyFont="1" applyFill="1" applyBorder="1"/>
    <xf numFmtId="41" fontId="12" fillId="0" borderId="6" xfId="1" applyNumberFormat="1" applyFont="1" applyFill="1" applyBorder="1"/>
    <xf numFmtId="41" fontId="42" fillId="0" borderId="83" xfId="1" applyNumberFormat="1" applyFont="1" applyFill="1" applyBorder="1"/>
    <xf numFmtId="41" fontId="42" fillId="0" borderId="7" xfId="1" applyNumberFormat="1" applyFont="1" applyFill="1" applyBorder="1"/>
    <xf numFmtId="41" fontId="42" fillId="0" borderId="57" xfId="1" applyNumberFormat="1" applyFont="1" applyFill="1" applyBorder="1"/>
    <xf numFmtId="0" fontId="12" fillId="0" borderId="8" xfId="0" applyFont="1" applyFill="1" applyBorder="1"/>
    <xf numFmtId="41" fontId="12" fillId="0" borderId="9" xfId="1" applyNumberFormat="1" applyFont="1" applyFill="1" applyBorder="1"/>
    <xf numFmtId="41" fontId="42" fillId="0" borderId="23" xfId="1" applyNumberFormat="1" applyFont="1" applyFill="1" applyBorder="1"/>
    <xf numFmtId="3" fontId="13" fillId="0" borderId="0" xfId="0" applyNumberFormat="1" applyFont="1" applyFill="1" applyBorder="1"/>
    <xf numFmtId="0" fontId="108" fillId="0" borderId="0" xfId="0" applyFont="1" applyFill="1" applyBorder="1"/>
    <xf numFmtId="0" fontId="44" fillId="0" borderId="0" xfId="0" applyFont="1" applyBorder="1" applyAlignment="1">
      <alignment horizontal="center" vertical="center" wrapText="1"/>
    </xf>
    <xf numFmtId="0" fontId="44" fillId="0" borderId="41" xfId="0" applyFont="1" applyBorder="1" applyAlignment="1">
      <alignment vertical="center" wrapText="1"/>
    </xf>
    <xf numFmtId="0" fontId="44" fillId="0" borderId="0" xfId="0" applyFont="1" applyBorder="1" applyAlignment="1">
      <alignment horizontal="left" vertical="center" wrapText="1"/>
    </xf>
    <xf numFmtId="0" fontId="44" fillId="0" borderId="5" xfId="0" applyFont="1" applyFill="1" applyBorder="1"/>
    <xf numFmtId="0" fontId="45" fillId="0" borderId="5" xfId="0" applyFont="1" applyFill="1" applyBorder="1"/>
    <xf numFmtId="0" fontId="12" fillId="0" borderId="0" xfId="15"/>
    <xf numFmtId="0" fontId="12" fillId="0" borderId="0" xfId="15" applyFont="1"/>
    <xf numFmtId="0" fontId="13" fillId="0" borderId="0" xfId="15" applyFont="1" applyBorder="1" applyAlignment="1">
      <alignment horizontal="center"/>
    </xf>
    <xf numFmtId="0" fontId="42" fillId="0" borderId="95" xfId="15" applyFont="1" applyBorder="1" applyAlignment="1">
      <alignment horizontal="center"/>
    </xf>
    <xf numFmtId="38" fontId="42" fillId="0" borderId="96" xfId="15" applyNumberFormat="1" applyFont="1" applyBorder="1" applyAlignment="1">
      <alignment horizontal="center"/>
    </xf>
    <xf numFmtId="38" fontId="42" fillId="0" borderId="97" xfId="15" applyNumberFormat="1" applyFont="1" applyBorder="1" applyAlignment="1">
      <alignment horizontal="center"/>
    </xf>
    <xf numFmtId="38" fontId="42" fillId="0" borderId="98" xfId="15" applyNumberFormat="1" applyFont="1" applyBorder="1" applyAlignment="1">
      <alignment horizontal="center"/>
    </xf>
    <xf numFmtId="0" fontId="42" fillId="0" borderId="99" xfId="15" applyFont="1" applyBorder="1" applyAlignment="1">
      <alignment horizontal="center"/>
    </xf>
    <xf numFmtId="38" fontId="42" fillId="0" borderId="100" xfId="15" applyNumberFormat="1" applyFont="1" applyBorder="1" applyAlignment="1">
      <alignment horizontal="center"/>
    </xf>
    <xf numFmtId="38" fontId="42" fillId="0" borderId="79" xfId="15" applyNumberFormat="1" applyFont="1" applyBorder="1" applyAlignment="1">
      <alignment horizontal="center"/>
    </xf>
    <xf numFmtId="38" fontId="42" fillId="0" borderId="101" xfId="15" applyNumberFormat="1" applyFont="1" applyBorder="1" applyAlignment="1">
      <alignment horizontal="center"/>
    </xf>
    <xf numFmtId="0" fontId="12" fillId="0" borderId="102" xfId="15" applyFont="1" applyBorder="1"/>
    <xf numFmtId="38" fontId="12" fillId="0" borderId="74" xfId="15" applyNumberFormat="1" applyFont="1" applyBorder="1"/>
    <xf numFmtId="38" fontId="12" fillId="0" borderId="103" xfId="15" applyNumberFormat="1" applyFont="1" applyBorder="1"/>
    <xf numFmtId="38" fontId="12" fillId="0" borderId="104" xfId="15" applyNumberFormat="1" applyFont="1" applyBorder="1"/>
    <xf numFmtId="38" fontId="12" fillId="0" borderId="74" xfId="15" applyNumberFormat="1" applyFont="1" applyFill="1" applyBorder="1"/>
    <xf numFmtId="0" fontId="42" fillId="0" borderId="102" xfId="15" applyFont="1" applyBorder="1"/>
    <xf numFmtId="38" fontId="12" fillId="0" borderId="74" xfId="15" quotePrefix="1" applyNumberFormat="1" applyBorder="1"/>
    <xf numFmtId="166" fontId="12" fillId="0" borderId="74" xfId="15" applyNumberFormat="1" applyFont="1" applyBorder="1"/>
    <xf numFmtId="166" fontId="12" fillId="0" borderId="104" xfId="15" applyNumberFormat="1" applyFont="1" applyBorder="1"/>
    <xf numFmtId="38" fontId="12" fillId="0" borderId="74" xfId="15" quotePrefix="1" applyNumberFormat="1" applyFont="1" applyBorder="1"/>
    <xf numFmtId="0" fontId="42" fillId="0" borderId="74" xfId="15" applyFont="1" applyBorder="1"/>
    <xf numFmtId="0" fontId="42" fillId="0" borderId="104" xfId="15" applyFont="1" applyBorder="1"/>
    <xf numFmtId="38" fontId="42" fillId="0" borderId="73" xfId="16" applyNumberFormat="1" applyFont="1" applyFill="1" applyBorder="1" applyAlignment="1" applyProtection="1"/>
    <xf numFmtId="1" fontId="42" fillId="0" borderId="73" xfId="16" applyNumberFormat="1" applyFont="1" applyFill="1" applyBorder="1" applyAlignment="1" applyProtection="1"/>
    <xf numFmtId="38" fontId="42" fillId="0" borderId="75" xfId="16" applyNumberFormat="1" applyFont="1" applyFill="1" applyBorder="1" applyAlignment="1" applyProtection="1"/>
    <xf numFmtId="1" fontId="42" fillId="0" borderId="105" xfId="16" applyNumberFormat="1" applyFont="1" applyFill="1" applyBorder="1" applyAlignment="1" applyProtection="1"/>
    <xf numFmtId="0" fontId="12" fillId="0" borderId="74" xfId="15" applyFont="1" applyBorder="1"/>
    <xf numFmtId="0" fontId="12" fillId="0" borderId="104" xfId="15" applyFont="1" applyBorder="1"/>
    <xf numFmtId="0" fontId="42" fillId="0" borderId="102" xfId="15" applyFont="1" applyFill="1" applyBorder="1"/>
    <xf numFmtId="0" fontId="42" fillId="0" borderId="74" xfId="15" applyFont="1" applyFill="1" applyBorder="1"/>
    <xf numFmtId="38" fontId="12" fillId="0" borderId="103" xfId="15" applyNumberFormat="1" applyFont="1" applyFill="1" applyBorder="1"/>
    <xf numFmtId="0" fontId="42" fillId="0" borderId="104" xfId="15" applyFont="1" applyFill="1" applyBorder="1"/>
    <xf numFmtId="0" fontId="12" fillId="0" borderId="0" xfId="15" applyFill="1"/>
    <xf numFmtId="38" fontId="12" fillId="0" borderId="75" xfId="15" applyNumberFormat="1" applyFont="1" applyBorder="1"/>
    <xf numFmtId="166" fontId="12" fillId="0" borderId="73" xfId="15" applyNumberFormat="1" applyFont="1" applyBorder="1"/>
    <xf numFmtId="166" fontId="12" fillId="0" borderId="105" xfId="15" applyNumberFormat="1" applyFont="1" applyBorder="1"/>
    <xf numFmtId="38" fontId="12" fillId="0" borderId="73" xfId="15" applyNumberFormat="1" applyFont="1" applyBorder="1"/>
    <xf numFmtId="169" fontId="12" fillId="0" borderId="74" xfId="15" applyNumberFormat="1" applyFont="1" applyBorder="1"/>
    <xf numFmtId="169" fontId="12" fillId="0" borderId="104" xfId="15" applyNumberFormat="1" applyFont="1" applyBorder="1"/>
    <xf numFmtId="169" fontId="12" fillId="0" borderId="73" xfId="15" applyNumberFormat="1" applyFont="1" applyBorder="1"/>
    <xf numFmtId="169" fontId="12" fillId="0" borderId="105" xfId="15" applyNumberFormat="1" applyFont="1" applyBorder="1"/>
    <xf numFmtId="0" fontId="103" fillId="0" borderId="102" xfId="15" applyFont="1" applyBorder="1"/>
    <xf numFmtId="0" fontId="103" fillId="0" borderId="74" xfId="15" applyFont="1" applyBorder="1"/>
    <xf numFmtId="0" fontId="103" fillId="0" borderId="104" xfId="15" applyFont="1" applyBorder="1"/>
    <xf numFmtId="38" fontId="42" fillId="0" borderId="74" xfId="16" applyNumberFormat="1" applyFont="1" applyFill="1" applyBorder="1" applyAlignment="1" applyProtection="1"/>
    <xf numFmtId="38" fontId="42" fillId="0" borderId="103" xfId="16" applyNumberFormat="1" applyFont="1" applyFill="1" applyBorder="1" applyAlignment="1" applyProtection="1"/>
    <xf numFmtId="38" fontId="0" fillId="0" borderId="74" xfId="16" applyNumberFormat="1" applyFont="1" applyFill="1" applyBorder="1" applyAlignment="1" applyProtection="1"/>
    <xf numFmtId="38" fontId="0" fillId="0" borderId="75" xfId="16" applyNumberFormat="1" applyFont="1" applyFill="1" applyBorder="1" applyAlignment="1" applyProtection="1"/>
    <xf numFmtId="169" fontId="42" fillId="0" borderId="74" xfId="15" applyNumberFormat="1" applyFont="1" applyBorder="1"/>
    <xf numFmtId="169" fontId="12" fillId="0" borderId="103" xfId="15" applyNumberFormat="1" applyFont="1" applyBorder="1"/>
    <xf numFmtId="169" fontId="42" fillId="0" borderId="104" xfId="15" applyNumberFormat="1" applyFont="1" applyBorder="1"/>
    <xf numFmtId="0" fontId="42" fillId="0" borderId="106" xfId="15" applyFont="1" applyBorder="1"/>
    <xf numFmtId="38" fontId="12" fillId="0" borderId="107" xfId="15" applyNumberFormat="1" applyFont="1" applyBorder="1"/>
    <xf numFmtId="0" fontId="42" fillId="0" borderId="107" xfId="15" applyFont="1" applyBorder="1"/>
    <xf numFmtId="38" fontId="12" fillId="0" borderId="108" xfId="15" applyNumberFormat="1" applyFont="1" applyBorder="1"/>
    <xf numFmtId="0" fontId="42" fillId="0" borderId="109" xfId="15" applyFont="1" applyBorder="1"/>
    <xf numFmtId="38" fontId="12" fillId="0" borderId="0" xfId="15" applyNumberFormat="1"/>
    <xf numFmtId="38" fontId="12" fillId="0" borderId="0" xfId="0" applyNumberFormat="1" applyFont="1" applyFill="1"/>
    <xf numFmtId="190" fontId="13" fillId="0" borderId="0" xfId="0" applyNumberFormat="1" applyFont="1" applyFill="1" applyBorder="1"/>
    <xf numFmtId="194" fontId="14" fillId="0" borderId="0" xfId="7" applyNumberFormat="1" applyFont="1" applyBorder="1" applyAlignment="1">
      <alignment horizontal="center"/>
    </xf>
    <xf numFmtId="0" fontId="40" fillId="0" borderId="0" xfId="0" applyFont="1" applyFill="1" applyBorder="1"/>
    <xf numFmtId="3" fontId="13" fillId="0" borderId="0" xfId="0" applyNumberFormat="1" applyFont="1" applyFill="1" applyBorder="1" applyAlignment="1">
      <alignment horizontal="right"/>
    </xf>
    <xf numFmtId="9" fontId="13" fillId="0" borderId="0" xfId="7" applyFont="1" applyFill="1" applyBorder="1" applyAlignment="1">
      <alignment horizontal="center"/>
    </xf>
    <xf numFmtId="9" fontId="13" fillId="0" borderId="0" xfId="7" applyNumberFormat="1" applyFont="1" applyFill="1" applyBorder="1" applyAlignment="1">
      <alignment horizontal="center"/>
    </xf>
    <xf numFmtId="190" fontId="40" fillId="0" borderId="37" xfId="0" applyNumberFormat="1" applyFont="1" applyFill="1" applyBorder="1"/>
    <xf numFmtId="38" fontId="13" fillId="0" borderId="0" xfId="16" applyNumberFormat="1" applyFont="1" applyFill="1" applyBorder="1" applyAlignment="1" applyProtection="1">
      <alignment horizontal="center"/>
    </xf>
    <xf numFmtId="38" fontId="42" fillId="0" borderId="98" xfId="16" applyNumberFormat="1" applyFont="1" applyFill="1" applyBorder="1" applyAlignment="1" applyProtection="1">
      <alignment horizontal="center"/>
    </xf>
    <xf numFmtId="38" fontId="42" fillId="0" borderId="101" xfId="16" applyNumberFormat="1" applyFont="1" applyFill="1" applyBorder="1" applyAlignment="1" applyProtection="1">
      <alignment horizontal="center"/>
    </xf>
    <xf numFmtId="38" fontId="0" fillId="0" borderId="104" xfId="16" applyNumberFormat="1" applyFont="1" applyFill="1" applyBorder="1" applyAlignment="1" applyProtection="1"/>
    <xf numFmtId="0" fontId="42" fillId="0" borderId="102" xfId="15" applyFont="1" applyBorder="1" applyAlignment="1">
      <alignment horizontal="left"/>
    </xf>
    <xf numFmtId="38" fontId="0" fillId="0" borderId="104" xfId="16" quotePrefix="1" applyNumberFormat="1" applyFont="1" applyFill="1" applyBorder="1" applyAlignment="1" applyProtection="1"/>
    <xf numFmtId="38" fontId="42" fillId="0" borderId="104" xfId="16" applyNumberFormat="1" applyFont="1" applyFill="1" applyBorder="1" applyAlignment="1" applyProtection="1"/>
    <xf numFmtId="38" fontId="42" fillId="0" borderId="105" xfId="16" applyNumberFormat="1" applyFont="1" applyFill="1" applyBorder="1" applyAlignment="1" applyProtection="1"/>
    <xf numFmtId="0" fontId="12" fillId="0" borderId="102" xfId="15" applyFont="1" applyFill="1" applyBorder="1"/>
    <xf numFmtId="40" fontId="0" fillId="0" borderId="104" xfId="16" applyNumberFormat="1" applyFont="1" applyFill="1" applyBorder="1" applyAlignment="1" applyProtection="1"/>
    <xf numFmtId="40" fontId="0" fillId="0" borderId="101" xfId="16" applyNumberFormat="1" applyFont="1" applyFill="1" applyBorder="1" applyAlignment="1" applyProtection="1"/>
    <xf numFmtId="0" fontId="42" fillId="0" borderId="106" xfId="15" applyFont="1" applyBorder="1" applyAlignment="1">
      <alignment horizontal="left"/>
    </xf>
    <xf numFmtId="38" fontId="42" fillId="0" borderId="109" xfId="16" applyNumberFormat="1" applyFont="1" applyFill="1" applyBorder="1" applyAlignment="1" applyProtection="1"/>
    <xf numFmtId="0" fontId="60" fillId="0" borderId="0" xfId="15" applyFont="1"/>
    <xf numFmtId="40" fontId="60" fillId="0" borderId="0" xfId="15" applyNumberFormat="1" applyFont="1"/>
    <xf numFmtId="168" fontId="109" fillId="0" borderId="6" xfId="7" applyNumberFormat="1" applyFont="1" applyBorder="1" applyAlignment="1">
      <alignment horizontal="center"/>
    </xf>
    <xf numFmtId="38" fontId="40" fillId="0" borderId="6" xfId="0" applyNumberFormat="1" applyFont="1" applyBorder="1"/>
    <xf numFmtId="0" fontId="21" fillId="0" borderId="0" xfId="0" quotePrefix="1" applyFont="1"/>
    <xf numFmtId="3" fontId="56" fillId="0" borderId="6" xfId="0" applyNumberFormat="1" applyFont="1" applyBorder="1"/>
    <xf numFmtId="38" fontId="18" fillId="0" borderId="24" xfId="0" applyNumberFormat="1" applyFont="1" applyBorder="1" applyAlignment="1">
      <alignment horizontal="right"/>
    </xf>
    <xf numFmtId="38" fontId="110" fillId="8" borderId="0" xfId="0" applyNumberFormat="1" applyFont="1" applyFill="1"/>
    <xf numFmtId="38" fontId="21" fillId="0" borderId="83" xfId="0" applyNumberFormat="1" applyFont="1" applyBorder="1" applyAlignment="1">
      <alignment horizontal="right"/>
    </xf>
    <xf numFmtId="38" fontId="56" fillId="0" borderId="83" xfId="0" applyNumberFormat="1" applyFont="1" applyBorder="1"/>
    <xf numFmtId="38" fontId="21" fillId="0" borderId="83" xfId="0" applyNumberFormat="1" applyFont="1" applyBorder="1"/>
    <xf numFmtId="0" fontId="21" fillId="9" borderId="0" xfId="0" quotePrefix="1" applyFont="1" applyFill="1"/>
    <xf numFmtId="0" fontId="21" fillId="0" borderId="0" xfId="0" quotePrefix="1" applyFont="1" applyFill="1"/>
    <xf numFmtId="4" fontId="0" fillId="0" borderId="27" xfId="0" applyNumberFormat="1" applyBorder="1"/>
    <xf numFmtId="4" fontId="42" fillId="0" borderId="0" xfId="0" applyNumberFormat="1" applyFont="1"/>
    <xf numFmtId="38" fontId="42" fillId="0" borderId="0" xfId="0" applyNumberFormat="1" applyFont="1"/>
    <xf numFmtId="178" fontId="12" fillId="0" borderId="6" xfId="1" applyNumberFormat="1" applyFont="1" applyBorder="1" applyProtection="1">
      <protection locked="0"/>
    </xf>
    <xf numFmtId="165" fontId="56" fillId="0" borderId="0" xfId="1" applyFont="1"/>
    <xf numFmtId="0" fontId="45" fillId="0" borderId="5" xfId="0" applyFont="1" applyBorder="1" applyAlignment="1"/>
    <xf numFmtId="0" fontId="12" fillId="0" borderId="0" xfId="0" applyFont="1" applyAlignment="1">
      <alignment wrapText="1"/>
    </xf>
    <xf numFmtId="0" fontId="45" fillId="0" borderId="1" xfId="0" applyFont="1" applyBorder="1"/>
    <xf numFmtId="0" fontId="45" fillId="0" borderId="2" xfId="0" applyFont="1" applyBorder="1" applyAlignment="1">
      <alignment horizontal="center"/>
    </xf>
    <xf numFmtId="0" fontId="45" fillId="0" borderId="31" xfId="0" applyFont="1" applyBorder="1" applyAlignment="1">
      <alignment horizontal="center"/>
    </xf>
    <xf numFmtId="0" fontId="56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4" fontId="42" fillId="5" borderId="0" xfId="0" applyNumberFormat="1" applyFont="1" applyFill="1"/>
    <xf numFmtId="0" fontId="0" fillId="0" borderId="10" xfId="0" applyBorder="1" applyAlignment="1">
      <alignment horizontal="center"/>
    </xf>
    <xf numFmtId="38" fontId="44" fillId="0" borderId="0" xfId="0" applyNumberFormat="1" applyFont="1" applyBorder="1" applyAlignment="1">
      <alignment horizontal="center" vertical="center" wrapText="1"/>
    </xf>
    <xf numFmtId="38" fontId="44" fillId="0" borderId="59" xfId="0" applyNumberFormat="1" applyFont="1" applyFill="1" applyBorder="1" applyAlignment="1">
      <alignment horizontal="center"/>
    </xf>
    <xf numFmtId="197" fontId="14" fillId="0" borderId="0" xfId="1" applyNumberFormat="1" applyFont="1" applyBorder="1"/>
    <xf numFmtId="178" fontId="12" fillId="0" borderId="27" xfId="0" applyNumberFormat="1" applyFont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178" fontId="0" fillId="6" borderId="0" xfId="0" applyNumberFormat="1" applyFill="1"/>
    <xf numFmtId="0" fontId="42" fillId="6" borderId="0" xfId="0" applyFont="1" applyFill="1" applyAlignment="1">
      <alignment horizontal="center"/>
    </xf>
    <xf numFmtId="188" fontId="0" fillId="0" borderId="14" xfId="0" applyNumberFormat="1" applyBorder="1"/>
    <xf numFmtId="188" fontId="0" fillId="0" borderId="30" xfId="0" applyNumberFormat="1" applyBorder="1"/>
    <xf numFmtId="188" fontId="0" fillId="0" borderId="58" xfId="0" applyNumberFormat="1" applyBorder="1"/>
    <xf numFmtId="0" fontId="71" fillId="0" borderId="27" xfId="0" applyFont="1" applyBorder="1"/>
    <xf numFmtId="198" fontId="0" fillId="0" borderId="0" xfId="0" applyNumberFormat="1"/>
    <xf numFmtId="198" fontId="0" fillId="0" borderId="0" xfId="7" applyNumberFormat="1" applyFont="1"/>
    <xf numFmtId="190" fontId="0" fillId="0" borderId="0" xfId="0" applyNumberFormat="1"/>
    <xf numFmtId="0" fontId="90" fillId="11" borderId="110" xfId="0" applyFont="1" applyFill="1" applyBorder="1"/>
    <xf numFmtId="199" fontId="0" fillId="0" borderId="0" xfId="7" applyNumberFormat="1" applyFont="1"/>
    <xf numFmtId="0" fontId="12" fillId="13" borderId="0" xfId="0" applyFont="1" applyFill="1" applyAlignment="1">
      <alignment wrapText="1"/>
    </xf>
    <xf numFmtId="0" fontId="0" fillId="13" borderId="0" xfId="0" applyFill="1"/>
    <xf numFmtId="190" fontId="61" fillId="0" borderId="0" xfId="1" applyNumberFormat="1" applyFont="1"/>
    <xf numFmtId="0" fontId="42" fillId="13" borderId="0" xfId="0" applyFont="1" applyFill="1"/>
    <xf numFmtId="0" fontId="90" fillId="11" borderId="110" xfId="0" applyFont="1" applyFill="1" applyBorder="1" applyAlignment="1">
      <alignment horizontal="center"/>
    </xf>
    <xf numFmtId="190" fontId="60" fillId="13" borderId="0" xfId="0" applyNumberFormat="1" applyFont="1" applyFill="1"/>
    <xf numFmtId="190" fontId="42" fillId="13" borderId="0" xfId="0" applyNumberFormat="1" applyFont="1" applyFill="1"/>
    <xf numFmtId="0" fontId="90" fillId="14" borderId="110" xfId="0" applyFont="1" applyFill="1" applyBorder="1" applyAlignment="1">
      <alignment horizontal="center"/>
    </xf>
    <xf numFmtId="0" fontId="0" fillId="0" borderId="0" xfId="0" applyFill="1"/>
    <xf numFmtId="0" fontId="15" fillId="0" borderId="5" xfId="0" applyFont="1" applyFill="1" applyBorder="1"/>
    <xf numFmtId="0" fontId="17" fillId="0" borderId="5" xfId="0" applyFont="1" applyFill="1" applyBorder="1"/>
    <xf numFmtId="4" fontId="0" fillId="0" borderId="75" xfId="0" applyNumberFormat="1" applyBorder="1"/>
    <xf numFmtId="0" fontId="12" fillId="5" borderId="0" xfId="0" applyFont="1" applyFill="1" applyAlignment="1">
      <alignment wrapText="1"/>
    </xf>
    <xf numFmtId="198" fontId="0" fillId="5" borderId="0" xfId="7" applyNumberFormat="1" applyFont="1" applyFill="1"/>
    <xf numFmtId="0" fontId="80" fillId="15" borderId="80" xfId="8" applyFont="1" applyFill="1"/>
    <xf numFmtId="3" fontId="81" fillId="15" borderId="80" xfId="8" applyNumberFormat="1" applyFont="1" applyFill="1"/>
    <xf numFmtId="3" fontId="77" fillId="16" borderId="0" xfId="10" applyNumberFormat="1" applyFont="1" applyFill="1" applyAlignment="1">
      <alignment horizontal="center"/>
    </xf>
    <xf numFmtId="0" fontId="82" fillId="7" borderId="0" xfId="10" applyNumberFormat="1" applyFont="1" applyAlignment="1">
      <alignment horizontal="center"/>
    </xf>
    <xf numFmtId="3" fontId="84" fillId="16" borderId="0" xfId="10" applyNumberFormat="1" applyFont="1" applyFill="1"/>
    <xf numFmtId="186" fontId="84" fillId="7" borderId="0" xfId="1" applyNumberFormat="1" applyFont="1" applyFill="1"/>
    <xf numFmtId="3" fontId="84" fillId="16" borderId="0" xfId="10" applyNumberFormat="1" applyFont="1" applyFill="1" applyBorder="1"/>
    <xf numFmtId="3" fontId="84" fillId="16" borderId="0" xfId="10" applyNumberFormat="1" applyFont="1" applyFill="1" applyAlignment="1">
      <alignment horizontal="center"/>
    </xf>
    <xf numFmtId="3" fontId="115" fillId="16" borderId="0" xfId="10" applyNumberFormat="1" applyFont="1" applyFill="1"/>
    <xf numFmtId="164" fontId="115" fillId="7" borderId="0" xfId="4" applyFont="1" applyFill="1"/>
    <xf numFmtId="3" fontId="115" fillId="7" borderId="82" xfId="4" applyNumberFormat="1" applyFont="1" applyFill="1" applyBorder="1"/>
    <xf numFmtId="3" fontId="115" fillId="16" borderId="82" xfId="4" applyNumberFormat="1" applyFont="1" applyFill="1" applyBorder="1"/>
    <xf numFmtId="164" fontId="116" fillId="0" borderId="0" xfId="4" applyFont="1" applyBorder="1"/>
    <xf numFmtId="164" fontId="116" fillId="0" borderId="0" xfId="4" applyFont="1"/>
    <xf numFmtId="0" fontId="79" fillId="0" borderId="0" xfId="10" applyFill="1"/>
    <xf numFmtId="3" fontId="79" fillId="0" borderId="0" xfId="10" applyNumberFormat="1" applyFill="1"/>
    <xf numFmtId="0" fontId="0" fillId="0" borderId="0" xfId="0" applyFill="1" applyBorder="1"/>
    <xf numFmtId="0" fontId="81" fillId="7" borderId="111" xfId="10" applyFont="1" applyBorder="1" applyAlignment="1">
      <alignment horizontal="center"/>
    </xf>
    <xf numFmtId="0" fontId="81" fillId="7" borderId="112" xfId="10" applyFont="1" applyBorder="1" applyAlignment="1">
      <alignment horizontal="center"/>
    </xf>
    <xf numFmtId="3" fontId="81" fillId="7" borderId="112" xfId="10" applyNumberFormat="1" applyFont="1" applyBorder="1" applyAlignment="1">
      <alignment horizontal="center"/>
    </xf>
    <xf numFmtId="3" fontId="77" fillId="16" borderId="112" xfId="10" applyNumberFormat="1" applyFont="1" applyFill="1" applyBorder="1" applyAlignment="1">
      <alignment horizontal="center"/>
    </xf>
    <xf numFmtId="3" fontId="81" fillId="7" borderId="113" xfId="10" applyNumberFormat="1" applyFont="1" applyBorder="1" applyAlignment="1">
      <alignment horizontal="center"/>
    </xf>
    <xf numFmtId="0" fontId="117" fillId="0" borderId="0" xfId="0" applyFont="1" applyBorder="1" applyAlignment="1">
      <alignment horizontal="center"/>
    </xf>
    <xf numFmtId="0" fontId="117" fillId="0" borderId="0" xfId="0" applyFont="1" applyAlignment="1">
      <alignment horizontal="center"/>
    </xf>
    <xf numFmtId="0" fontId="89" fillId="7" borderId="114" xfId="10" applyFont="1" applyBorder="1" applyAlignment="1">
      <alignment horizontal="center"/>
    </xf>
    <xf numFmtId="0" fontId="89" fillId="7" borderId="0" xfId="10" applyFont="1" applyBorder="1" applyAlignment="1">
      <alignment horizontal="center"/>
    </xf>
    <xf numFmtId="3" fontId="79" fillId="16" borderId="0" xfId="10" applyNumberFormat="1" applyFill="1" applyBorder="1"/>
    <xf numFmtId="3" fontId="79" fillId="7" borderId="115" xfId="10" applyNumberFormat="1" applyBorder="1"/>
    <xf numFmtId="0" fontId="79" fillId="7" borderId="114" xfId="10" applyBorder="1"/>
    <xf numFmtId="0" fontId="79" fillId="7" borderId="0" xfId="10" applyBorder="1"/>
    <xf numFmtId="191" fontId="81" fillId="7" borderId="114" xfId="4" applyNumberFormat="1" applyFont="1" applyFill="1" applyBorder="1"/>
    <xf numFmtId="191" fontId="81" fillId="7" borderId="0" xfId="4" applyNumberFormat="1" applyFont="1" applyFill="1" applyBorder="1"/>
    <xf numFmtId="191" fontId="79" fillId="16" borderId="0" xfId="4" applyNumberFormat="1" applyFont="1" applyFill="1" applyBorder="1"/>
    <xf numFmtId="191" fontId="79" fillId="7" borderId="116" xfId="4" applyNumberFormat="1" applyFont="1" applyFill="1" applyBorder="1"/>
    <xf numFmtId="191" fontId="118" fillId="7" borderId="114" xfId="4" applyNumberFormat="1" applyFont="1" applyFill="1" applyBorder="1" applyAlignment="1"/>
    <xf numFmtId="191" fontId="118" fillId="7" borderId="0" xfId="4" applyNumberFormat="1" applyFont="1" applyFill="1" applyBorder="1" applyAlignment="1"/>
    <xf numFmtId="0" fontId="118" fillId="7" borderId="114" xfId="10" applyFont="1" applyBorder="1" applyAlignment="1">
      <alignment horizontal="center"/>
    </xf>
    <xf numFmtId="0" fontId="118" fillId="7" borderId="0" xfId="10" applyFont="1" applyBorder="1" applyAlignment="1">
      <alignment horizontal="center"/>
    </xf>
    <xf numFmtId="191" fontId="79" fillId="7" borderId="115" xfId="4" applyNumberFormat="1" applyFont="1" applyFill="1" applyBorder="1"/>
    <xf numFmtId="3" fontId="119" fillId="7" borderId="0" xfId="10" applyNumberFormat="1" applyFont="1" applyBorder="1"/>
    <xf numFmtId="191" fontId="119" fillId="7" borderId="82" xfId="4" applyNumberFormat="1" applyFont="1" applyFill="1" applyBorder="1"/>
    <xf numFmtId="191" fontId="119" fillId="7" borderId="116" xfId="4" applyNumberFormat="1" applyFont="1" applyFill="1" applyBorder="1"/>
    <xf numFmtId="191" fontId="118" fillId="7" borderId="114" xfId="4" applyNumberFormat="1" applyFont="1" applyFill="1" applyBorder="1"/>
    <xf numFmtId="191" fontId="118" fillId="7" borderId="0" xfId="4" applyNumberFormat="1" applyFont="1" applyFill="1" applyBorder="1"/>
    <xf numFmtId="0" fontId="79" fillId="7" borderId="117" xfId="10" applyBorder="1"/>
    <xf numFmtId="0" fontId="79" fillId="7" borderId="118" xfId="10" applyBorder="1"/>
    <xf numFmtId="3" fontId="79" fillId="7" borderId="118" xfId="10" applyNumberFormat="1" applyBorder="1"/>
    <xf numFmtId="3" fontId="79" fillId="16" borderId="118" xfId="10" applyNumberFormat="1" applyFill="1" applyBorder="1"/>
    <xf numFmtId="3" fontId="79" fillId="7" borderId="119" xfId="10" applyNumberFormat="1" applyBorder="1"/>
    <xf numFmtId="0" fontId="72" fillId="0" borderId="0" xfId="0" applyFont="1"/>
    <xf numFmtId="0" fontId="116" fillId="17" borderId="0" xfId="0" applyFont="1" applyFill="1" applyAlignment="1">
      <alignment horizontal="left"/>
    </xf>
    <xf numFmtId="164" fontId="116" fillId="17" borderId="82" xfId="4" applyFont="1" applyFill="1" applyBorder="1"/>
    <xf numFmtId="0" fontId="15" fillId="0" borderId="5" xfId="0" applyFont="1" applyFill="1" applyBorder="1" applyAlignment="1">
      <alignment horizontal="left" indent="1"/>
    </xf>
    <xf numFmtId="49" fontId="0" fillId="0" borderId="0" xfId="0" applyNumberFormat="1"/>
    <xf numFmtId="43" fontId="0" fillId="6" borderId="0" xfId="0" applyNumberFormat="1" applyFill="1"/>
    <xf numFmtId="165" fontId="0" fillId="18" borderId="0" xfId="1" applyFont="1" applyFill="1"/>
    <xf numFmtId="4" fontId="114" fillId="0" borderId="0" xfId="0" applyNumberFormat="1" applyFont="1"/>
    <xf numFmtId="9" fontId="12" fillId="0" borderId="0" xfId="7" applyFont="1"/>
    <xf numFmtId="38" fontId="14" fillId="0" borderId="6" xfId="1" applyNumberFormat="1" applyFont="1" applyFill="1" applyBorder="1"/>
    <xf numFmtId="166" fontId="0" fillId="0" borderId="6" xfId="0" applyNumberFormat="1" applyFill="1" applyBorder="1"/>
    <xf numFmtId="178" fontId="15" fillId="0" borderId="0" xfId="1" applyNumberFormat="1" applyFont="1" applyFill="1" applyBorder="1"/>
    <xf numFmtId="0" fontId="15" fillId="0" borderId="6" xfId="0" applyFont="1" applyFill="1" applyBorder="1"/>
    <xf numFmtId="178" fontId="0" fillId="0" borderId="6" xfId="0" applyNumberFormat="1" applyFill="1" applyBorder="1"/>
    <xf numFmtId="179" fontId="0" fillId="0" borderId="6" xfId="0" applyNumberFormat="1" applyFill="1" applyBorder="1"/>
    <xf numFmtId="179" fontId="0" fillId="0" borderId="16" xfId="0" applyNumberFormat="1" applyFill="1" applyBorder="1"/>
    <xf numFmtId="179" fontId="0" fillId="0" borderId="33" xfId="0" applyNumberFormat="1" applyFill="1" applyBorder="1"/>
    <xf numFmtId="38" fontId="0" fillId="0" borderId="0" xfId="0" applyNumberFormat="1" applyFill="1"/>
    <xf numFmtId="178" fontId="0" fillId="0" borderId="0" xfId="0" applyNumberFormat="1" applyFill="1"/>
    <xf numFmtId="0" fontId="34" fillId="0" borderId="5" xfId="0" applyFont="1" applyFill="1" applyBorder="1"/>
    <xf numFmtId="38" fontId="14" fillId="0" borderId="7" xfId="1" applyNumberFormat="1" applyFont="1" applyFill="1" applyBorder="1"/>
    <xf numFmtId="166" fontId="0" fillId="0" borderId="7" xfId="0" applyNumberFormat="1" applyFill="1" applyBorder="1"/>
    <xf numFmtId="178" fontId="15" fillId="0" borderId="63" xfId="1" applyNumberFormat="1" applyFont="1" applyFill="1" applyBorder="1"/>
    <xf numFmtId="0" fontId="34" fillId="0" borderId="6" xfId="0" applyFont="1" applyFill="1" applyBorder="1"/>
    <xf numFmtId="178" fontId="0" fillId="0" borderId="14" xfId="0" applyNumberFormat="1" applyFill="1" applyBorder="1"/>
    <xf numFmtId="179" fontId="0" fillId="0" borderId="14" xfId="0" applyNumberFormat="1" applyFill="1" applyBorder="1"/>
    <xf numFmtId="178" fontId="0" fillId="0" borderId="7" xfId="0" applyNumberFormat="1" applyFill="1" applyBorder="1"/>
    <xf numFmtId="179" fontId="0" fillId="0" borderId="59" xfId="0" applyNumberFormat="1" applyFill="1" applyBorder="1"/>
    <xf numFmtId="0" fontId="17" fillId="0" borderId="6" xfId="0" applyFont="1" applyFill="1" applyBorder="1"/>
    <xf numFmtId="177" fontId="0" fillId="0" borderId="6" xfId="0" applyNumberFormat="1" applyFill="1" applyBorder="1"/>
    <xf numFmtId="0" fontId="12" fillId="13" borderId="0" xfId="0" applyFont="1" applyFill="1"/>
    <xf numFmtId="194" fontId="14" fillId="0" borderId="59" xfId="7" applyNumberFormat="1" applyFont="1" applyBorder="1" applyAlignment="1">
      <alignment horizontal="center"/>
    </xf>
    <xf numFmtId="190" fontId="13" fillId="0" borderId="78" xfId="0" applyNumberFormat="1" applyFont="1" applyFill="1" applyBorder="1"/>
    <xf numFmtId="194" fontId="14" fillId="0" borderId="78" xfId="7" applyNumberFormat="1" applyFont="1" applyBorder="1" applyAlignment="1">
      <alignment horizontal="center"/>
    </xf>
    <xf numFmtId="194" fontId="14" fillId="0" borderId="39" xfId="7" applyNumberFormat="1" applyFont="1" applyBorder="1" applyAlignment="1">
      <alignment horizontal="center"/>
    </xf>
    <xf numFmtId="190" fontId="13" fillId="0" borderId="68" xfId="0" applyNumberFormat="1" applyFont="1" applyFill="1" applyBorder="1"/>
    <xf numFmtId="190" fontId="0" fillId="0" borderId="16" xfId="0" applyNumberFormat="1" applyFill="1" applyBorder="1" applyAlignment="1">
      <alignment horizontal="right"/>
    </xf>
    <xf numFmtId="2" fontId="12" fillId="0" borderId="105" xfId="15" applyNumberFormat="1" applyFont="1" applyBorder="1"/>
    <xf numFmtId="0" fontId="12" fillId="0" borderId="102" xfId="15" applyFont="1" applyBorder="1" applyAlignment="1">
      <alignment horizontal="left" indent="1"/>
    </xf>
    <xf numFmtId="2" fontId="12" fillId="0" borderId="104" xfId="15" applyNumberFormat="1" applyFont="1" applyBorder="1"/>
    <xf numFmtId="0" fontId="14" fillId="0" borderId="5" xfId="0" applyFont="1" applyFill="1" applyBorder="1"/>
    <xf numFmtId="178" fontId="14" fillId="0" borderId="0" xfId="1" applyNumberFormat="1" applyFont="1" applyFill="1" applyBorder="1"/>
    <xf numFmtId="166" fontId="14" fillId="0" borderId="7" xfId="1" applyNumberFormat="1" applyFont="1" applyFill="1" applyBorder="1"/>
    <xf numFmtId="0" fontId="12" fillId="0" borderId="38" xfId="0" applyFont="1" applyFill="1" applyBorder="1"/>
    <xf numFmtId="3" fontId="40" fillId="0" borderId="38" xfId="0" applyNumberFormat="1" applyFont="1" applyFill="1" applyBorder="1" applyAlignment="1">
      <alignment horizontal="right"/>
    </xf>
    <xf numFmtId="44" fontId="0" fillId="0" borderId="0" xfId="0" applyNumberFormat="1"/>
    <xf numFmtId="3" fontId="10" fillId="0" borderId="0" xfId="12" applyNumberFormat="1" applyBorder="1"/>
    <xf numFmtId="0" fontId="9" fillId="18" borderId="0" xfId="12" applyFont="1" applyFill="1"/>
    <xf numFmtId="3" fontId="0" fillId="18" borderId="0" xfId="11" applyNumberFormat="1" applyFont="1" applyFill="1"/>
    <xf numFmtId="3" fontId="10" fillId="18" borderId="0" xfId="12" applyNumberFormat="1" applyFill="1"/>
    <xf numFmtId="0" fontId="123" fillId="0" borderId="5" xfId="0" applyFont="1" applyBorder="1"/>
    <xf numFmtId="191" fontId="79" fillId="7" borderId="0" xfId="10" applyNumberFormat="1"/>
    <xf numFmtId="44" fontId="79" fillId="7" borderId="0" xfId="10" applyNumberFormat="1"/>
    <xf numFmtId="194" fontId="15" fillId="0" borderId="120" xfId="7" applyNumberFormat="1" applyFont="1" applyBorder="1" applyAlignment="1">
      <alignment horizontal="center"/>
    </xf>
    <xf numFmtId="0" fontId="12" fillId="0" borderId="30" xfId="0" applyFont="1" applyFill="1" applyBorder="1"/>
    <xf numFmtId="190" fontId="14" fillId="0" borderId="6" xfId="1" applyNumberFormat="1" applyFont="1" applyFill="1" applyBorder="1"/>
    <xf numFmtId="190" fontId="15" fillId="0" borderId="0" xfId="1" applyNumberFormat="1" applyFont="1" applyFill="1" applyBorder="1"/>
    <xf numFmtId="190" fontId="14" fillId="0" borderId="7" xfId="1" applyNumberFormat="1" applyFont="1" applyBorder="1"/>
    <xf numFmtId="190" fontId="14" fillId="0" borderId="6" xfId="1" applyNumberFormat="1" applyFont="1" applyBorder="1"/>
    <xf numFmtId="190" fontId="14" fillId="0" borderId="7" xfId="1" applyNumberFormat="1" applyFont="1" applyFill="1" applyBorder="1"/>
    <xf numFmtId="190" fontId="14" fillId="0" borderId="14" xfId="1" applyNumberFormat="1" applyFont="1" applyBorder="1"/>
    <xf numFmtId="190" fontId="15" fillId="0" borderId="63" xfId="1" applyNumberFormat="1" applyFont="1" applyBorder="1"/>
    <xf numFmtId="190" fontId="15" fillId="0" borderId="0" xfId="1" applyNumberFormat="1" applyFont="1" applyBorder="1"/>
    <xf numFmtId="190" fontId="15" fillId="0" borderId="63" xfId="1" applyNumberFormat="1" applyFont="1" applyFill="1" applyBorder="1"/>
    <xf numFmtId="190" fontId="14" fillId="0" borderId="0" xfId="1" applyNumberFormat="1" applyFont="1" applyBorder="1"/>
    <xf numFmtId="190" fontId="17" fillId="0" borderId="0" xfId="1" applyNumberFormat="1" applyFont="1" applyBorder="1"/>
    <xf numFmtId="190" fontId="17" fillId="0" borderId="63" xfId="1" applyNumberFormat="1" applyFont="1" applyBorder="1"/>
    <xf numFmtId="190" fontId="14" fillId="0" borderId="41" xfId="1" applyNumberFormat="1" applyFont="1" applyBorder="1"/>
    <xf numFmtId="0" fontId="0" fillId="0" borderId="121" xfId="0" applyBorder="1" applyAlignment="1">
      <alignment vertical="top"/>
    </xf>
    <xf numFmtId="0" fontId="0" fillId="0" borderId="122" xfId="0" applyBorder="1" applyAlignment="1">
      <alignment vertical="top"/>
    </xf>
    <xf numFmtId="0" fontId="0" fillId="0" borderId="123" xfId="0" applyBorder="1" applyAlignment="1">
      <alignment vertical="top"/>
    </xf>
    <xf numFmtId="0" fontId="0" fillId="0" borderId="124" xfId="0" applyBorder="1" applyAlignment="1">
      <alignment vertical="top"/>
    </xf>
    <xf numFmtId="0" fontId="0" fillId="0" borderId="125" xfId="0" applyBorder="1" applyAlignment="1">
      <alignment vertical="top"/>
    </xf>
    <xf numFmtId="0" fontId="0" fillId="0" borderId="126" xfId="0" applyBorder="1" applyAlignment="1">
      <alignment vertical="top"/>
    </xf>
    <xf numFmtId="0" fontId="0" fillId="0" borderId="121" xfId="0" pivotButton="1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4" xfId="0" applyFont="1" applyFill="1" applyBorder="1" applyAlignment="1">
      <alignment vertical="top"/>
    </xf>
    <xf numFmtId="190" fontId="0" fillId="0" borderId="121" xfId="1" applyNumberFormat="1" applyFont="1" applyBorder="1" applyAlignment="1">
      <alignment vertical="top"/>
    </xf>
    <xf numFmtId="190" fontId="0" fillId="0" borderId="124" xfId="1" applyNumberFormat="1" applyFont="1" applyBorder="1" applyAlignment="1">
      <alignment vertical="top"/>
    </xf>
    <xf numFmtId="190" fontId="0" fillId="0" borderId="14" xfId="1" applyNumberFormat="1" applyFont="1" applyBorder="1" applyAlignment="1">
      <alignment vertical="top"/>
    </xf>
    <xf numFmtId="190" fontId="0" fillId="0" borderId="14" xfId="1" applyNumberFormat="1" applyFont="1" applyBorder="1"/>
    <xf numFmtId="190" fontId="0" fillId="0" borderId="125" xfId="1" applyNumberFormat="1" applyFont="1" applyBorder="1" applyAlignment="1">
      <alignment vertical="top"/>
    </xf>
    <xf numFmtId="185" fontId="42" fillId="0" borderId="37" xfId="1" applyNumberFormat="1" applyFont="1" applyBorder="1"/>
    <xf numFmtId="164" fontId="0" fillId="0" borderId="0" xfId="0" applyNumberFormat="1"/>
    <xf numFmtId="0" fontId="120" fillId="19" borderId="0" xfId="12" applyFont="1" applyFill="1"/>
    <xf numFmtId="0" fontId="10" fillId="19" borderId="0" xfId="12" applyFill="1"/>
    <xf numFmtId="4" fontId="10" fillId="19" borderId="0" xfId="12" applyNumberFormat="1" applyFill="1"/>
    <xf numFmtId="0" fontId="74" fillId="19" borderId="0" xfId="12" applyFont="1" applyFill="1"/>
    <xf numFmtId="0" fontId="121" fillId="19" borderId="41" xfId="12" applyFont="1" applyFill="1" applyBorder="1"/>
    <xf numFmtId="0" fontId="10" fillId="19" borderId="41" xfId="12" applyFill="1" applyBorder="1"/>
    <xf numFmtId="4" fontId="10" fillId="19" borderId="41" xfId="12" applyNumberFormat="1" applyFill="1" applyBorder="1"/>
    <xf numFmtId="0" fontId="10" fillId="21" borderId="0" xfId="12" applyFill="1"/>
    <xf numFmtId="4" fontId="10" fillId="21" borderId="10" xfId="12" applyNumberFormat="1" applyFill="1" applyBorder="1"/>
    <xf numFmtId="4" fontId="10" fillId="21" borderId="11" xfId="12" applyNumberFormat="1" applyFill="1" applyBorder="1"/>
    <xf numFmtId="4" fontId="10" fillId="21" borderId="0" xfId="12" applyNumberFormat="1" applyFill="1" applyBorder="1"/>
    <xf numFmtId="4" fontId="10" fillId="21" borderId="83" xfId="12" applyNumberFormat="1" applyFill="1" applyBorder="1"/>
    <xf numFmtId="0" fontId="10" fillId="21" borderId="41" xfId="12" applyFill="1" applyBorder="1"/>
    <xf numFmtId="4" fontId="10" fillId="21" borderId="41" xfId="12" applyNumberFormat="1" applyFill="1" applyBorder="1"/>
    <xf numFmtId="4" fontId="10" fillId="21" borderId="23" xfId="12" applyNumberFormat="1" applyFill="1" applyBorder="1"/>
    <xf numFmtId="0" fontId="10" fillId="0" borderId="0" xfId="12" applyAlignment="1">
      <alignment horizontal="center"/>
    </xf>
    <xf numFmtId="4" fontId="10" fillId="0" borderId="0" xfId="12" applyNumberFormat="1" applyBorder="1" applyAlignment="1">
      <alignment horizontal="center"/>
    </xf>
    <xf numFmtId="4" fontId="10" fillId="0" borderId="83" xfId="12" applyNumberFormat="1" applyBorder="1" applyAlignment="1">
      <alignment horizontal="center"/>
    </xf>
    <xf numFmtId="0" fontId="10" fillId="0" borderId="27" xfId="12" applyBorder="1" applyAlignment="1">
      <alignment horizontal="center"/>
    </xf>
    <xf numFmtId="4" fontId="10" fillId="0" borderId="27" xfId="12" applyNumberFormat="1" applyBorder="1" applyAlignment="1">
      <alignment horizontal="center"/>
    </xf>
    <xf numFmtId="4" fontId="10" fillId="0" borderId="120" xfId="12" applyNumberFormat="1" applyBorder="1" applyAlignment="1">
      <alignment horizontal="center"/>
    </xf>
    <xf numFmtId="0" fontId="10" fillId="0" borderId="0" xfId="12" applyAlignment="1">
      <alignment horizontal="left"/>
    </xf>
    <xf numFmtId="4" fontId="10" fillId="0" borderId="0" xfId="12" applyNumberFormat="1" applyBorder="1"/>
    <xf numFmtId="4" fontId="10" fillId="0" borderId="0" xfId="12" applyNumberFormat="1"/>
    <xf numFmtId="0" fontId="122" fillId="0" borderId="0" xfId="12" applyFont="1" applyAlignment="1">
      <alignment horizontal="right"/>
    </xf>
    <xf numFmtId="4" fontId="122" fillId="0" borderId="83" xfId="12" applyNumberFormat="1" applyFont="1" applyBorder="1"/>
    <xf numFmtId="4" fontId="122" fillId="0" borderId="0" xfId="12" applyNumberFormat="1" applyFont="1"/>
    <xf numFmtId="0" fontId="10" fillId="0" borderId="41" xfId="12" applyBorder="1" applyAlignment="1">
      <alignment horizontal="center"/>
    </xf>
    <xf numFmtId="0" fontId="10" fillId="0" borderId="41" xfId="12" applyBorder="1"/>
    <xf numFmtId="4" fontId="10" fillId="0" borderId="41" xfId="12" applyNumberFormat="1" applyBorder="1"/>
    <xf numFmtId="4" fontId="10" fillId="0" borderId="23" xfId="12" applyNumberFormat="1" applyBorder="1"/>
    <xf numFmtId="0" fontId="7" fillId="0" borderId="27" xfId="12" applyFont="1" applyBorder="1" applyAlignment="1">
      <alignment horizontal="center"/>
    </xf>
    <xf numFmtId="0" fontId="7" fillId="0" borderId="27" xfId="12" applyFont="1" applyBorder="1" applyAlignment="1">
      <alignment horizontal="center" wrapText="1"/>
    </xf>
    <xf numFmtId="0" fontId="7" fillId="0" borderId="0" xfId="12" applyFont="1" applyAlignment="1">
      <alignment horizontal="center"/>
    </xf>
    <xf numFmtId="0" fontId="7" fillId="0" borderId="0" xfId="12" applyFont="1"/>
    <xf numFmtId="0" fontId="6" fillId="0" borderId="0" xfId="12" applyFont="1"/>
    <xf numFmtId="190" fontId="10" fillId="0" borderId="0" xfId="1" applyNumberFormat="1" applyFont="1"/>
    <xf numFmtId="0" fontId="124" fillId="0" borderId="0" xfId="21" applyFont="1">
      <alignment vertical="top"/>
    </xf>
    <xf numFmtId="0" fontId="6" fillId="19" borderId="0" xfId="12" applyFont="1" applyFill="1"/>
    <xf numFmtId="190" fontId="6" fillId="0" borderId="0" xfId="1" applyNumberFormat="1" applyFont="1"/>
    <xf numFmtId="190" fontId="7" fillId="0" borderId="0" xfId="1" applyNumberFormat="1" applyFont="1"/>
    <xf numFmtId="190" fontId="10" fillId="19" borderId="0" xfId="12" applyNumberFormat="1" applyFill="1"/>
    <xf numFmtId="37" fontId="12" fillId="0" borderId="0" xfId="15" applyNumberFormat="1" applyFont="1" applyFill="1" applyBorder="1"/>
    <xf numFmtId="37" fontId="12" fillId="0" borderId="0" xfId="15" applyNumberFormat="1" applyFont="1" applyFill="1"/>
    <xf numFmtId="37" fontId="12" fillId="0" borderId="0" xfId="15" applyNumberFormat="1" applyFont="1" applyFill="1" applyAlignment="1">
      <alignment horizontal="right"/>
    </xf>
    <xf numFmtId="37" fontId="99" fillId="0" borderId="0" xfId="14" applyNumberFormat="1" applyFont="1" applyFill="1" applyBorder="1" applyAlignment="1" applyProtection="1"/>
    <xf numFmtId="0" fontId="13" fillId="0" borderId="0" xfId="15" applyFont="1" applyFill="1" applyBorder="1"/>
    <xf numFmtId="37" fontId="13" fillId="0" borderId="0" xfId="15" applyNumberFormat="1" applyFont="1" applyFill="1" applyBorder="1"/>
    <xf numFmtId="37" fontId="13" fillId="0" borderId="27" xfId="15" applyNumberFormat="1" applyFont="1" applyFill="1" applyBorder="1"/>
    <xf numFmtId="37" fontId="12" fillId="0" borderId="1" xfId="15" applyNumberFormat="1" applyFont="1" applyFill="1" applyBorder="1"/>
    <xf numFmtId="37" fontId="60" fillId="0" borderId="2" xfId="15" applyNumberFormat="1" applyFont="1" applyFill="1" applyBorder="1" applyAlignment="1">
      <alignment horizontal="center"/>
    </xf>
    <xf numFmtId="37" fontId="42" fillId="0" borderId="11" xfId="15" applyNumberFormat="1" applyFont="1" applyFill="1" applyBorder="1" applyAlignment="1">
      <alignment horizontal="center"/>
    </xf>
    <xf numFmtId="37" fontId="38" fillId="0" borderId="5" xfId="15" applyNumberFormat="1" applyFont="1" applyFill="1" applyBorder="1" applyAlignment="1">
      <alignment horizontal="center"/>
    </xf>
    <xf numFmtId="37" fontId="42" fillId="0" borderId="6" xfId="15" applyNumberFormat="1" applyFont="1" applyFill="1" applyBorder="1" applyAlignment="1">
      <alignment horizontal="center"/>
    </xf>
    <xf numFmtId="1" fontId="42" fillId="0" borderId="83" xfId="15" applyNumberFormat="1" applyFont="1" applyFill="1" applyBorder="1" applyAlignment="1">
      <alignment horizontal="center"/>
    </xf>
    <xf numFmtId="37" fontId="12" fillId="0" borderId="3" xfId="15" applyNumberFormat="1" applyFont="1" applyFill="1" applyBorder="1"/>
    <xf numFmtId="37" fontId="60" fillId="0" borderId="4" xfId="15" applyNumberFormat="1" applyFont="1" applyFill="1" applyBorder="1" applyAlignment="1">
      <alignment horizontal="center"/>
    </xf>
    <xf numFmtId="37" fontId="60" fillId="0" borderId="120" xfId="15" applyNumberFormat="1" applyFont="1" applyFill="1" applyBorder="1" applyAlignment="1">
      <alignment horizontal="center"/>
    </xf>
    <xf numFmtId="37" fontId="12" fillId="0" borderId="5" xfId="15" applyNumberFormat="1" applyFont="1" applyFill="1" applyBorder="1"/>
    <xf numFmtId="37" fontId="12" fillId="0" borderId="6" xfId="15" applyNumberFormat="1" applyFont="1" applyFill="1" applyBorder="1"/>
    <xf numFmtId="37" fontId="12" fillId="0" borderId="83" xfId="15" applyNumberFormat="1" applyFont="1" applyFill="1" applyBorder="1"/>
    <xf numFmtId="37" fontId="42" fillId="0" borderId="5" xfId="15" applyNumberFormat="1" applyFont="1" applyFill="1" applyBorder="1"/>
    <xf numFmtId="41" fontId="12" fillId="0" borderId="6" xfId="15" applyNumberFormat="1" applyFont="1" applyFill="1" applyBorder="1"/>
    <xf numFmtId="41" fontId="12" fillId="0" borderId="83" xfId="15" applyNumberFormat="1" applyFont="1" applyFill="1" applyBorder="1"/>
    <xf numFmtId="0" fontId="125" fillId="0" borderId="0" xfId="15" applyFont="1"/>
    <xf numFmtId="41" fontId="42" fillId="0" borderId="7" xfId="15" applyNumberFormat="1" applyFont="1" applyFill="1" applyBorder="1"/>
    <xf numFmtId="41" fontId="42" fillId="0" borderId="57" xfId="15" applyNumberFormat="1" applyFont="1" applyFill="1" applyBorder="1"/>
    <xf numFmtId="41" fontId="12" fillId="0" borderId="39" xfId="15" applyNumberFormat="1" applyFont="1" applyFill="1" applyBorder="1"/>
    <xf numFmtId="2" fontId="12" fillId="0" borderId="0" xfId="15" applyNumberFormat="1" applyFont="1" applyFill="1" applyAlignment="1">
      <alignment horizontal="right"/>
    </xf>
    <xf numFmtId="37" fontId="42" fillId="0" borderId="0" xfId="15" applyNumberFormat="1" applyFont="1" applyFill="1" applyAlignment="1">
      <alignment horizontal="center"/>
    </xf>
    <xf numFmtId="37" fontId="42" fillId="22" borderId="0" xfId="15" applyNumberFormat="1" applyFont="1" applyFill="1" applyAlignment="1">
      <alignment horizontal="right"/>
    </xf>
    <xf numFmtId="37" fontId="12" fillId="23" borderId="0" xfId="15" applyNumberFormat="1" applyFont="1" applyFill="1"/>
    <xf numFmtId="190" fontId="42" fillId="0" borderId="14" xfId="15" applyNumberFormat="1" applyFont="1" applyFill="1" applyBorder="1"/>
    <xf numFmtId="190" fontId="42" fillId="0" borderId="59" xfId="15" applyNumberFormat="1" applyFont="1" applyFill="1" applyBorder="1"/>
    <xf numFmtId="37" fontId="12" fillId="0" borderId="6" xfId="15" applyNumberFormat="1" applyFont="1" applyFill="1" applyBorder="1" applyAlignment="1">
      <alignment horizontal="center"/>
    </xf>
    <xf numFmtId="37" fontId="42" fillId="22" borderId="0" xfId="15" applyNumberFormat="1" applyFont="1" applyFill="1"/>
    <xf numFmtId="4" fontId="126" fillId="24" borderId="0" xfId="15" applyNumberFormat="1" applyFont="1" applyFill="1"/>
    <xf numFmtId="37" fontId="12" fillId="0" borderId="5" xfId="15" applyNumberFormat="1" applyFont="1" applyFill="1" applyBorder="1" applyAlignment="1">
      <alignment horizontal="right"/>
    </xf>
    <xf numFmtId="41" fontId="104" fillId="25" borderId="6" xfId="15" applyNumberFormat="1" applyFont="1" applyFill="1" applyBorder="1"/>
    <xf numFmtId="41" fontId="104" fillId="25" borderId="83" xfId="15" applyNumberFormat="1" applyFont="1" applyFill="1" applyBorder="1"/>
    <xf numFmtId="41" fontId="42" fillId="0" borderId="83" xfId="15" applyNumberFormat="1" applyFont="1" applyFill="1" applyBorder="1"/>
    <xf numFmtId="41" fontId="42" fillId="0" borderId="6" xfId="15" applyNumberFormat="1" applyFont="1" applyFill="1" applyBorder="1"/>
    <xf numFmtId="165" fontId="12" fillId="0" borderId="0" xfId="1" applyFont="1" applyFill="1"/>
    <xf numFmtId="3" fontId="12" fillId="0" borderId="5" xfId="15" applyNumberFormat="1" applyFont="1" applyFill="1" applyBorder="1"/>
    <xf numFmtId="41" fontId="104" fillId="26" borderId="57" xfId="15" applyNumberFormat="1" applyFont="1" applyFill="1" applyBorder="1"/>
    <xf numFmtId="38" fontId="125" fillId="0" borderId="0" xfId="15" applyNumberFormat="1" applyFont="1"/>
    <xf numFmtId="41" fontId="12" fillId="0" borderId="0" xfId="15" applyNumberFormat="1" applyFont="1" applyFill="1" applyBorder="1"/>
    <xf numFmtId="41" fontId="12" fillId="0" borderId="0" xfId="15" applyNumberFormat="1" applyFont="1" applyFill="1"/>
    <xf numFmtId="37" fontId="104" fillId="0" borderId="0" xfId="15" applyNumberFormat="1" applyFont="1" applyFill="1" applyAlignment="1">
      <alignment horizontal="right"/>
    </xf>
    <xf numFmtId="41" fontId="104" fillId="0" borderId="0" xfId="15" applyNumberFormat="1" applyFont="1" applyFill="1" applyBorder="1"/>
    <xf numFmtId="37" fontId="125" fillId="0" borderId="0" xfId="15" applyNumberFormat="1" applyFont="1" applyFill="1"/>
    <xf numFmtId="41" fontId="125" fillId="0" borderId="0" xfId="15" applyNumberFormat="1" applyFont="1" applyFill="1"/>
    <xf numFmtId="190" fontId="12" fillId="0" borderId="0" xfId="15" applyNumberFormat="1" applyFont="1"/>
    <xf numFmtId="37" fontId="104" fillId="0" borderId="0" xfId="15" applyNumberFormat="1" applyFont="1" applyFill="1"/>
    <xf numFmtId="41" fontId="104" fillId="0" borderId="0" xfId="15" applyNumberFormat="1" applyFont="1" applyFill="1"/>
    <xf numFmtId="37" fontId="42" fillId="0" borderId="0" xfId="15" applyNumberFormat="1" applyFont="1" applyFill="1"/>
    <xf numFmtId="41" fontId="42" fillId="0" borderId="0" xfId="15" applyNumberFormat="1" applyFont="1" applyFill="1"/>
    <xf numFmtId="37" fontId="42" fillId="0" borderId="0" xfId="15" applyNumberFormat="1" applyFont="1" applyFill="1" applyAlignment="1">
      <alignment horizontal="right"/>
    </xf>
    <xf numFmtId="37" fontId="42" fillId="0" borderId="0" xfId="15" applyNumberFormat="1" applyFont="1" applyFill="1" applyBorder="1"/>
    <xf numFmtId="190" fontId="12" fillId="0" borderId="16" xfId="15" applyNumberFormat="1" applyFont="1" applyFill="1" applyBorder="1"/>
    <xf numFmtId="190" fontId="12" fillId="0" borderId="33" xfId="15" applyNumberFormat="1" applyFont="1" applyFill="1" applyBorder="1"/>
    <xf numFmtId="41" fontId="12" fillId="0" borderId="0" xfId="15" applyNumberFormat="1" applyFill="1"/>
    <xf numFmtId="37" fontId="104" fillId="26" borderId="6" xfId="15" applyNumberFormat="1" applyFont="1" applyFill="1" applyBorder="1"/>
    <xf numFmtId="37" fontId="104" fillId="0" borderId="0" xfId="15" applyNumberFormat="1" applyFont="1" applyFill="1" applyBorder="1"/>
    <xf numFmtId="37" fontId="42" fillId="0" borderId="127" xfId="15" applyNumberFormat="1" applyFont="1" applyFill="1" applyBorder="1"/>
    <xf numFmtId="41" fontId="12" fillId="0" borderId="0" xfId="15" applyNumberFormat="1" applyAlignment="1">
      <alignment horizontal="right"/>
    </xf>
    <xf numFmtId="37" fontId="42" fillId="0" borderId="8" xfId="15" applyNumberFormat="1" applyFont="1" applyFill="1" applyBorder="1"/>
    <xf numFmtId="190" fontId="42" fillId="0" borderId="24" xfId="15" applyNumberFormat="1" applyFont="1" applyFill="1" applyBorder="1"/>
    <xf numFmtId="190" fontId="104" fillId="27" borderId="60" xfId="15" applyNumberFormat="1" applyFont="1" applyFill="1" applyBorder="1"/>
    <xf numFmtId="190" fontId="12" fillId="0" borderId="0" xfId="15" applyNumberFormat="1"/>
    <xf numFmtId="43" fontId="12" fillId="0" borderId="0" xfId="15" applyNumberFormat="1"/>
    <xf numFmtId="0" fontId="12" fillId="0" borderId="0" xfId="15" applyFill="1" applyAlignment="1">
      <alignment horizontal="right"/>
    </xf>
    <xf numFmtId="41" fontId="12" fillId="0" borderId="0" xfId="15" applyNumberFormat="1" applyFill="1" applyBorder="1"/>
    <xf numFmtId="190" fontId="12" fillId="0" borderId="27" xfId="15" applyNumberFormat="1" applyBorder="1" applyAlignment="1">
      <alignment horizontal="center"/>
    </xf>
    <xf numFmtId="0" fontId="12" fillId="0" borderId="0" xfId="15" applyAlignment="1">
      <alignment horizontal="right"/>
    </xf>
    <xf numFmtId="41" fontId="12" fillId="0" borderId="0" xfId="15" applyNumberFormat="1"/>
    <xf numFmtId="0" fontId="12" fillId="0" borderId="0" xfId="15" applyFill="1" applyBorder="1"/>
    <xf numFmtId="0" fontId="12" fillId="0" borderId="0" xfId="15" applyBorder="1"/>
    <xf numFmtId="9" fontId="12" fillId="0" borderId="0" xfId="22" applyFont="1" applyFill="1"/>
    <xf numFmtId="37" fontId="103" fillId="0" borderId="0" xfId="15" applyNumberFormat="1" applyFont="1" applyFill="1" applyBorder="1"/>
    <xf numFmtId="0" fontId="12" fillId="0" borderId="0" xfId="15" applyFont="1" applyFill="1" applyBorder="1"/>
    <xf numFmtId="37" fontId="60" fillId="0" borderId="6" xfId="15" applyNumberFormat="1" applyFont="1" applyFill="1" applyBorder="1" applyAlignment="1">
      <alignment horizontal="center"/>
    </xf>
    <xf numFmtId="37" fontId="12" fillId="0" borderId="27" xfId="15" applyNumberFormat="1" applyFont="1" applyFill="1" applyBorder="1"/>
    <xf numFmtId="0" fontId="12" fillId="0" borderId="0" xfId="15" applyFont="1" applyFill="1"/>
    <xf numFmtId="37" fontId="12" fillId="28" borderId="27" xfId="15" applyNumberFormat="1" applyFont="1" applyFill="1" applyBorder="1"/>
    <xf numFmtId="9" fontId="12" fillId="0" borderId="0" xfId="22" applyFont="1" applyFill="1" applyAlignment="1">
      <alignment horizontal="right"/>
    </xf>
    <xf numFmtId="10" fontId="12" fillId="0" borderId="0" xfId="22" applyNumberFormat="1" applyFont="1" applyFill="1"/>
    <xf numFmtId="37" fontId="104" fillId="25" borderId="0" xfId="15" applyNumberFormat="1" applyFont="1" applyFill="1"/>
    <xf numFmtId="165" fontId="36" fillId="0" borderId="0" xfId="1" applyFont="1" applyFill="1"/>
    <xf numFmtId="190" fontId="10" fillId="19" borderId="0" xfId="1" applyNumberFormat="1" applyFont="1" applyFill="1"/>
    <xf numFmtId="0" fontId="0" fillId="13" borderId="0" xfId="0" applyFill="1" applyAlignment="1">
      <alignment wrapText="1"/>
    </xf>
    <xf numFmtId="0" fontId="0" fillId="13" borderId="121" xfId="0" applyFill="1" applyBorder="1" applyAlignment="1">
      <alignment horizontal="center" vertical="center"/>
    </xf>
    <xf numFmtId="0" fontId="0" fillId="13" borderId="124" xfId="0" applyFill="1" applyBorder="1" applyAlignment="1">
      <alignment horizontal="center" vertical="center"/>
    </xf>
    <xf numFmtId="0" fontId="0" fillId="13" borderId="14" xfId="0" applyFill="1" applyBorder="1" applyAlignment="1">
      <alignment horizontal="center" vertical="center"/>
    </xf>
    <xf numFmtId="186" fontId="0" fillId="0" borderId="0" xfId="0" applyNumberFormat="1"/>
    <xf numFmtId="43" fontId="12" fillId="0" borderId="0" xfId="0" applyNumberFormat="1" applyFont="1"/>
    <xf numFmtId="190" fontId="10" fillId="19" borderId="41" xfId="1" applyNumberFormat="1" applyFont="1" applyFill="1" applyBorder="1"/>
    <xf numFmtId="190" fontId="10" fillId="21" borderId="0" xfId="1" applyNumberFormat="1" applyFont="1" applyFill="1"/>
    <xf numFmtId="190" fontId="10" fillId="21" borderId="41" xfId="1" applyNumberFormat="1" applyFont="1" applyFill="1" applyBorder="1"/>
    <xf numFmtId="190" fontId="10" fillId="0" borderId="0" xfId="1" applyNumberFormat="1" applyFont="1" applyAlignment="1">
      <alignment horizontal="center"/>
    </xf>
    <xf numFmtId="190" fontId="10" fillId="0" borderId="41" xfId="1" applyNumberFormat="1" applyFont="1" applyBorder="1"/>
    <xf numFmtId="0" fontId="6" fillId="0" borderId="0" xfId="12" applyFont="1" applyAlignment="1">
      <alignment horizontal="center"/>
    </xf>
    <xf numFmtId="0" fontId="44" fillId="5" borderId="5" xfId="0" applyFont="1" applyFill="1" applyBorder="1"/>
    <xf numFmtId="0" fontId="33" fillId="6" borderId="5" xfId="0" applyFont="1" applyFill="1" applyBorder="1"/>
    <xf numFmtId="3" fontId="128" fillId="0" borderId="30" xfId="0" applyNumberFormat="1" applyFont="1" applyFill="1" applyBorder="1"/>
    <xf numFmtId="3" fontId="43" fillId="0" borderId="0" xfId="0" applyNumberFormat="1" applyFont="1"/>
    <xf numFmtId="4" fontId="0" fillId="0" borderId="16" xfId="0" applyNumberFormat="1" applyFont="1" applyFill="1" applyBorder="1"/>
    <xf numFmtId="0" fontId="44" fillId="6" borderId="5" xfId="0" applyFont="1" applyFill="1" applyBorder="1" applyAlignment="1">
      <alignment horizontal="left" indent="1"/>
    </xf>
    <xf numFmtId="3" fontId="79" fillId="6" borderId="0" xfId="10" applyNumberFormat="1" applyFill="1"/>
    <xf numFmtId="38" fontId="10" fillId="19" borderId="0" xfId="12" applyNumberFormat="1" applyFill="1"/>
    <xf numFmtId="0" fontId="61" fillId="13" borderId="0" xfId="0" applyFont="1" applyFill="1" applyAlignment="1">
      <alignment vertical="center"/>
    </xf>
    <xf numFmtId="0" fontId="99" fillId="0" borderId="0" xfId="38" applyFont="1" applyFill="1" applyBorder="1" applyAlignment="1" applyProtection="1"/>
    <xf numFmtId="0" fontId="107" fillId="0" borderId="0" xfId="38" applyFont="1" applyFill="1" applyBorder="1" applyAlignment="1" applyProtection="1"/>
    <xf numFmtId="0" fontId="131" fillId="0" borderId="0" xfId="0" applyFont="1" applyFill="1" applyBorder="1"/>
    <xf numFmtId="0" fontId="13" fillId="0" borderId="27" xfId="0" applyFont="1" applyFill="1" applyBorder="1"/>
    <xf numFmtId="0" fontId="13" fillId="0" borderId="34" xfId="0" applyFont="1" applyFill="1" applyBorder="1"/>
    <xf numFmtId="0" fontId="12" fillId="0" borderId="10" xfId="0" applyFont="1" applyFill="1" applyBorder="1"/>
    <xf numFmtId="0" fontId="42" fillId="0" borderId="36" xfId="0" applyFont="1" applyFill="1" applyBorder="1"/>
    <xf numFmtId="41" fontId="12" fillId="0" borderId="27" xfId="0" applyNumberFormat="1" applyFont="1" applyFill="1" applyBorder="1"/>
    <xf numFmtId="0" fontId="12" fillId="0" borderId="120" xfId="0" applyFont="1" applyFill="1" applyBorder="1"/>
    <xf numFmtId="0" fontId="42" fillId="0" borderId="0" xfId="0" applyFont="1" applyFill="1" applyBorder="1"/>
    <xf numFmtId="0" fontId="42" fillId="0" borderId="6" xfId="0" applyFont="1" applyFill="1" applyBorder="1"/>
    <xf numFmtId="0" fontId="42" fillId="0" borderId="27" xfId="0" applyFont="1" applyFill="1" applyBorder="1"/>
    <xf numFmtId="0" fontId="42" fillId="0" borderId="4" xfId="0" applyFont="1" applyFill="1" applyBorder="1"/>
    <xf numFmtId="0" fontId="42" fillId="0" borderId="0" xfId="0" applyFont="1" applyFill="1" applyBorder="1" applyAlignment="1">
      <alignment horizontal="center"/>
    </xf>
    <xf numFmtId="0" fontId="42" fillId="0" borderId="62" xfId="0" applyFont="1" applyFill="1" applyBorder="1"/>
    <xf numFmtId="0" fontId="42" fillId="0" borderId="120" xfId="0" applyFont="1" applyFill="1" applyBorder="1"/>
    <xf numFmtId="0" fontId="42" fillId="0" borderId="3" xfId="0" applyFont="1" applyFill="1" applyBorder="1"/>
    <xf numFmtId="0" fontId="42" fillId="0" borderId="4" xfId="0" applyFont="1" applyFill="1" applyBorder="1" applyAlignment="1">
      <alignment horizontal="center"/>
    </xf>
    <xf numFmtId="0" fontId="42" fillId="0" borderId="120" xfId="0" applyFont="1" applyFill="1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201" fontId="40" fillId="0" borderId="6" xfId="0" applyNumberFormat="1" applyFont="1" applyFill="1" applyBorder="1" applyAlignment="1">
      <alignment horizontal="left"/>
    </xf>
    <xf numFmtId="0" fontId="40" fillId="0" borderId="6" xfId="0" applyFont="1" applyFill="1" applyBorder="1"/>
    <xf numFmtId="0" fontId="40" fillId="0" borderId="6" xfId="0" applyFont="1" applyFill="1" applyBorder="1" applyAlignment="1">
      <alignment horizontal="center"/>
    </xf>
    <xf numFmtId="41" fontId="40" fillId="0" borderId="6" xfId="0" applyNumberFormat="1" applyFont="1" applyFill="1" applyBorder="1"/>
    <xf numFmtId="3" fontId="40" fillId="0" borderId="6" xfId="0" applyNumberFormat="1" applyFont="1" applyFill="1" applyBorder="1"/>
    <xf numFmtId="0" fontId="40" fillId="0" borderId="83" xfId="0" applyFont="1" applyFill="1" applyBorder="1" applyAlignment="1">
      <alignment horizontal="center"/>
    </xf>
    <xf numFmtId="202" fontId="40" fillId="0" borderId="6" xfId="0" applyNumberFormat="1" applyFont="1" applyFill="1" applyBorder="1" applyAlignment="1">
      <alignment horizontal="left"/>
    </xf>
    <xf numFmtId="15" fontId="40" fillId="0" borderId="6" xfId="0" applyNumberFormat="1" applyFont="1" applyFill="1" applyBorder="1"/>
    <xf numFmtId="203" fontId="40" fillId="0" borderId="6" xfId="0" applyNumberFormat="1" applyFont="1" applyFill="1" applyBorder="1" applyAlignment="1">
      <alignment horizontal="left"/>
    </xf>
    <xf numFmtId="204" fontId="40" fillId="0" borderId="6" xfId="0" applyNumberFormat="1" applyFont="1" applyFill="1" applyBorder="1" applyAlignment="1">
      <alignment horizontal="left"/>
    </xf>
    <xf numFmtId="205" fontId="40" fillId="0" borderId="6" xfId="0" applyNumberFormat="1" applyFont="1" applyFill="1" applyBorder="1" applyAlignment="1">
      <alignment horizontal="left"/>
    </xf>
    <xf numFmtId="206" fontId="40" fillId="0" borderId="6" xfId="0" applyNumberFormat="1" applyFont="1" applyFill="1" applyBorder="1" applyAlignment="1">
      <alignment horizontal="left"/>
    </xf>
    <xf numFmtId="207" fontId="40" fillId="0" borderId="6" xfId="0" applyNumberFormat="1" applyFont="1" applyFill="1" applyBorder="1" applyAlignment="1">
      <alignment horizontal="left"/>
    </xf>
    <xf numFmtId="41" fontId="12" fillId="0" borderId="0" xfId="0" applyNumberFormat="1" applyFont="1" applyFill="1"/>
    <xf numFmtId="207" fontId="40" fillId="28" borderId="6" xfId="0" applyNumberFormat="1" applyFont="1" applyFill="1" applyBorder="1" applyAlignment="1">
      <alignment horizontal="left"/>
    </xf>
    <xf numFmtId="41" fontId="40" fillId="0" borderId="6" xfId="39" applyNumberFormat="1" applyFont="1" applyFill="1" applyBorder="1"/>
    <xf numFmtId="0" fontId="40" fillId="0" borderId="20" xfId="0" applyFont="1" applyFill="1" applyBorder="1"/>
    <xf numFmtId="0" fontId="40" fillId="0" borderId="29" xfId="0" applyFont="1" applyFill="1" applyBorder="1"/>
    <xf numFmtId="41" fontId="40" fillId="0" borderId="29" xfId="0" applyNumberFormat="1" applyFont="1" applyFill="1" applyBorder="1"/>
    <xf numFmtId="41" fontId="13" fillId="0" borderId="29" xfId="0" applyNumberFormat="1" applyFont="1" applyFill="1" applyBorder="1"/>
    <xf numFmtId="3" fontId="40" fillId="0" borderId="29" xfId="0" applyNumberFormat="1" applyFont="1" applyFill="1" applyBorder="1"/>
    <xf numFmtId="0" fontId="40" fillId="0" borderId="61" xfId="0" applyFont="1" applyFill="1" applyBorder="1"/>
    <xf numFmtId="0" fontId="40" fillId="0" borderId="5" xfId="0" applyFont="1" applyFill="1" applyBorder="1"/>
    <xf numFmtId="0" fontId="103" fillId="0" borderId="6" xfId="0" applyFont="1" applyFill="1" applyBorder="1" applyAlignment="1">
      <alignment horizontal="left"/>
    </xf>
    <xf numFmtId="4" fontId="40" fillId="0" borderId="6" xfId="0" applyNumberFormat="1" applyFont="1" applyFill="1" applyBorder="1"/>
    <xf numFmtId="3" fontId="132" fillId="0" borderId="6" xfId="0" applyNumberFormat="1" applyFont="1" applyFill="1" applyBorder="1"/>
    <xf numFmtId="190" fontId="40" fillId="0" borderId="6" xfId="39" applyNumberFormat="1" applyFont="1" applyFill="1" applyBorder="1"/>
    <xf numFmtId="41" fontId="13" fillId="0" borderId="6" xfId="0" applyNumberFormat="1" applyFont="1" applyFill="1" applyBorder="1"/>
    <xf numFmtId="15" fontId="132" fillId="0" borderId="6" xfId="0" applyNumberFormat="1" applyFont="1" applyFill="1" applyBorder="1"/>
    <xf numFmtId="208" fontId="40" fillId="0" borderId="6" xfId="0" applyNumberFormat="1" applyFont="1" applyFill="1" applyBorder="1"/>
    <xf numFmtId="15" fontId="133" fillId="0" borderId="6" xfId="0" applyNumberFormat="1" applyFont="1" applyFill="1" applyBorder="1"/>
    <xf numFmtId="4" fontId="125" fillId="0" borderId="0" xfId="0" applyNumberFormat="1" applyFont="1" applyFill="1"/>
    <xf numFmtId="3" fontId="133" fillId="0" borderId="6" xfId="0" applyNumberFormat="1" applyFont="1" applyFill="1" applyBorder="1"/>
    <xf numFmtId="0" fontId="133" fillId="0" borderId="6" xfId="0" applyFont="1" applyFill="1" applyBorder="1"/>
    <xf numFmtId="4" fontId="12" fillId="0" borderId="0" xfId="0" applyNumberFormat="1" applyFont="1" applyFill="1"/>
    <xf numFmtId="0" fontId="40" fillId="0" borderId="127" xfId="0" applyFont="1" applyFill="1" applyBorder="1"/>
    <xf numFmtId="0" fontId="12" fillId="0" borderId="7" xfId="0" applyFont="1" applyFill="1" applyBorder="1"/>
    <xf numFmtId="0" fontId="12" fillId="0" borderId="14" xfId="0" applyFont="1" applyFill="1" applyBorder="1"/>
    <xf numFmtId="41" fontId="40" fillId="0" borderId="14" xfId="0" applyNumberFormat="1" applyFont="1" applyFill="1" applyBorder="1"/>
    <xf numFmtId="41" fontId="13" fillId="0" borderId="14" xfId="0" applyNumberFormat="1" applyFont="1" applyFill="1" applyBorder="1"/>
    <xf numFmtId="0" fontId="68" fillId="0" borderId="14" xfId="0" applyFont="1" applyFill="1" applyBorder="1"/>
    <xf numFmtId="0" fontId="12" fillId="0" borderId="59" xfId="0" applyFont="1" applyFill="1" applyBorder="1"/>
    <xf numFmtId="0" fontId="68" fillId="0" borderId="0" xfId="0" applyFont="1" applyFill="1" applyBorder="1"/>
    <xf numFmtId="0" fontId="12" fillId="0" borderId="6" xfId="0" applyFont="1" applyFill="1" applyBorder="1" applyAlignment="1">
      <alignment horizontal="center"/>
    </xf>
    <xf numFmtId="0" fontId="125" fillId="0" borderId="0" xfId="0" applyFont="1" applyFill="1" applyBorder="1"/>
    <xf numFmtId="0" fontId="125" fillId="0" borderId="83" xfId="0" applyFont="1" applyFill="1" applyBorder="1"/>
    <xf numFmtId="3" fontId="125" fillId="0" borderId="0" xfId="0" applyNumberFormat="1" applyFont="1" applyFill="1" applyBorder="1"/>
    <xf numFmtId="0" fontId="125" fillId="0" borderId="0" xfId="0" applyFont="1" applyFill="1" applyBorder="1" applyAlignment="1"/>
    <xf numFmtId="190" fontId="42" fillId="0" borderId="0" xfId="39" applyNumberFormat="1" applyFont="1" applyFill="1" applyBorder="1"/>
    <xf numFmtId="0" fontId="12" fillId="0" borderId="40" xfId="0" applyFont="1" applyFill="1" applyBorder="1"/>
    <xf numFmtId="0" fontId="12" fillId="0" borderId="9" xfId="0" applyFont="1" applyFill="1" applyBorder="1" applyAlignment="1">
      <alignment horizontal="center"/>
    </xf>
    <xf numFmtId="0" fontId="12" fillId="0" borderId="9" xfId="0" applyFont="1" applyFill="1" applyBorder="1"/>
    <xf numFmtId="41" fontId="12" fillId="0" borderId="41" xfId="0" applyNumberFormat="1" applyFont="1" applyFill="1" applyBorder="1"/>
    <xf numFmtId="3" fontId="125" fillId="0" borderId="41" xfId="0" applyNumberFormat="1" applyFont="1" applyFill="1" applyBorder="1"/>
    <xf numFmtId="0" fontId="125" fillId="0" borderId="41" xfId="0" applyFont="1" applyFill="1" applyBorder="1"/>
    <xf numFmtId="0" fontId="12" fillId="0" borderId="23" xfId="0" applyFont="1" applyFill="1" applyBorder="1"/>
    <xf numFmtId="40" fontId="12" fillId="0" borderId="0" xfId="0" applyNumberFormat="1" applyFont="1" applyFill="1"/>
    <xf numFmtId="40" fontId="68" fillId="0" borderId="0" xfId="0" applyNumberFormat="1" applyFont="1" applyFill="1"/>
    <xf numFmtId="0" fontId="40" fillId="0" borderId="1" xfId="0" applyFont="1" applyFill="1" applyBorder="1"/>
    <xf numFmtId="0" fontId="134" fillId="0" borderId="2" xfId="0" applyFont="1" applyFill="1" applyBorder="1" applyAlignment="1">
      <alignment horizontal="left"/>
    </xf>
    <xf numFmtId="0" fontId="40" fillId="0" borderId="2" xfId="0" applyFont="1" applyFill="1" applyBorder="1"/>
    <xf numFmtId="40" fontId="40" fillId="0" borderId="2" xfId="0" applyNumberFormat="1" applyFont="1" applyFill="1" applyBorder="1"/>
    <xf numFmtId="3" fontId="40" fillId="0" borderId="2" xfId="0" applyNumberFormat="1" applyFont="1" applyFill="1" applyBorder="1"/>
    <xf numFmtId="3" fontId="132" fillId="0" borderId="2" xfId="0" applyNumberFormat="1" applyFont="1" applyFill="1" applyBorder="1"/>
    <xf numFmtId="40" fontId="40" fillId="0" borderId="11" xfId="0" applyNumberFormat="1" applyFont="1" applyFill="1" applyBorder="1"/>
    <xf numFmtId="40" fontId="40" fillId="0" borderId="6" xfId="0" applyNumberFormat="1" applyFont="1" applyFill="1" applyBorder="1"/>
    <xf numFmtId="3" fontId="40" fillId="0" borderId="6" xfId="39" applyNumberFormat="1" applyFont="1" applyFill="1" applyBorder="1"/>
    <xf numFmtId="40" fontId="40" fillId="0" borderId="83" xfId="0" applyNumberFormat="1" applyFont="1" applyFill="1" applyBorder="1" applyAlignment="1">
      <alignment horizontal="center"/>
    </xf>
    <xf numFmtId="3" fontId="13" fillId="0" borderId="6" xfId="0" applyNumberFormat="1" applyFont="1" applyFill="1" applyBorder="1" applyAlignment="1">
      <alignment horizontal="right"/>
    </xf>
    <xf numFmtId="3" fontId="13" fillId="0" borderId="58" xfId="0" applyNumberFormat="1" applyFont="1" applyFill="1" applyBorder="1"/>
    <xf numFmtId="40" fontId="125" fillId="0" borderId="0" xfId="0" applyNumberFormat="1" applyFont="1" applyFill="1"/>
    <xf numFmtId="3" fontId="13" fillId="0" borderId="6" xfId="0" applyNumberFormat="1" applyFont="1" applyFill="1" applyBorder="1"/>
    <xf numFmtId="0" fontId="40" fillId="0" borderId="8" xfId="0" applyFont="1" applyFill="1" applyBorder="1" applyAlignment="1">
      <alignment horizontal="center"/>
    </xf>
    <xf numFmtId="0" fontId="40" fillId="0" borderId="9" xfId="0" applyFont="1" applyFill="1" applyBorder="1"/>
    <xf numFmtId="0" fontId="40" fillId="0" borderId="9" xfId="0" applyFont="1" applyFill="1" applyBorder="1" applyAlignment="1">
      <alignment horizontal="center"/>
    </xf>
    <xf numFmtId="40" fontId="40" fillId="0" borderId="9" xfId="0" applyNumberFormat="1" applyFont="1" applyFill="1" applyBorder="1"/>
    <xf numFmtId="3" fontId="40" fillId="0" borderId="9" xfId="0" applyNumberFormat="1" applyFont="1" applyFill="1" applyBorder="1"/>
    <xf numFmtId="3" fontId="132" fillId="0" borderId="9" xfId="0" applyNumberFormat="1" applyFont="1" applyFill="1" applyBorder="1"/>
    <xf numFmtId="40" fontId="40" fillId="0" borderId="23" xfId="0" applyNumberFormat="1" applyFont="1" applyFill="1" applyBorder="1" applyAlignment="1">
      <alignment horizontal="center"/>
    </xf>
    <xf numFmtId="3" fontId="68" fillId="0" borderId="0" xfId="0" applyNumberFormat="1" applyFont="1" applyFill="1"/>
    <xf numFmtId="0" fontId="40" fillId="0" borderId="41" xfId="0" applyFont="1" applyFill="1" applyBorder="1"/>
    <xf numFmtId="0" fontId="40" fillId="0" borderId="3" xfId="0" applyFont="1" applyFill="1" applyBorder="1"/>
    <xf numFmtId="0" fontId="13" fillId="0" borderId="0" xfId="0" applyFont="1" applyFill="1" applyBorder="1" applyAlignment="1">
      <alignment horizontal="center"/>
    </xf>
    <xf numFmtId="1" fontId="42" fillId="0" borderId="83" xfId="0" applyNumberFormat="1" applyFont="1" applyFill="1" applyBorder="1" applyAlignment="1">
      <alignment horizontal="center"/>
    </xf>
    <xf numFmtId="0" fontId="42" fillId="0" borderId="2" xfId="0" applyFont="1" applyFill="1" applyBorder="1" applyAlignment="1">
      <alignment horizontal="center"/>
    </xf>
    <xf numFmtId="0" fontId="42" fillId="0" borderId="11" xfId="0" applyFont="1" applyFill="1" applyBorder="1" applyAlignment="1">
      <alignment horizontal="center"/>
    </xf>
    <xf numFmtId="0" fontId="13" fillId="0" borderId="83" xfId="0" applyFont="1" applyFill="1" applyBorder="1" applyAlignment="1">
      <alignment horizontal="center"/>
    </xf>
    <xf numFmtId="0" fontId="12" fillId="0" borderId="36" xfId="0" applyFont="1" applyBorder="1" applyAlignment="1">
      <alignment horizontal="left" indent="1"/>
    </xf>
    <xf numFmtId="0" fontId="0" fillId="0" borderId="36" xfId="0" applyBorder="1" applyAlignment="1">
      <alignment horizontal="left" indent="1"/>
    </xf>
    <xf numFmtId="0" fontId="0" fillId="0" borderId="36" xfId="0" applyBorder="1"/>
    <xf numFmtId="0" fontId="0" fillId="0" borderId="83" xfId="0" applyBorder="1"/>
    <xf numFmtId="0" fontId="29" fillId="0" borderId="36" xfId="0" applyFont="1" applyBorder="1"/>
    <xf numFmtId="0" fontId="13" fillId="0" borderId="78" xfId="0" applyFont="1" applyFill="1" applyBorder="1" applyAlignment="1">
      <alignment horizontal="center"/>
    </xf>
    <xf numFmtId="0" fontId="0" fillId="0" borderId="37" xfId="0" applyBorder="1"/>
    <xf numFmtId="0" fontId="12" fillId="0" borderId="36" xfId="0" applyFont="1" applyBorder="1"/>
    <xf numFmtId="0" fontId="108" fillId="0" borderId="36" xfId="0" applyFont="1" applyFill="1" applyBorder="1"/>
    <xf numFmtId="0" fontId="42" fillId="0" borderId="36" xfId="0" applyFont="1" applyBorder="1"/>
    <xf numFmtId="190" fontId="0" fillId="0" borderId="37" xfId="1" applyNumberFormat="1" applyFont="1" applyBorder="1"/>
    <xf numFmtId="190" fontId="0" fillId="0" borderId="0" xfId="1" applyNumberFormat="1" applyFont="1" applyBorder="1"/>
    <xf numFmtId="190" fontId="0" fillId="0" borderId="83" xfId="1" applyNumberFormat="1" applyFont="1" applyBorder="1"/>
    <xf numFmtId="190" fontId="0" fillId="0" borderId="0" xfId="1" applyNumberFormat="1" applyFont="1" applyFill="1" applyBorder="1"/>
    <xf numFmtId="190" fontId="0" fillId="0" borderId="66" xfId="1" applyNumberFormat="1" applyFont="1" applyBorder="1"/>
    <xf numFmtId="190" fontId="0" fillId="0" borderId="63" xfId="1" applyNumberFormat="1" applyFont="1" applyBorder="1"/>
    <xf numFmtId="190" fontId="0" fillId="0" borderId="57" xfId="1" applyNumberFormat="1" applyFont="1" applyBorder="1"/>
    <xf numFmtId="190" fontId="0" fillId="0" borderId="37" xfId="0" applyNumberFormat="1" applyBorder="1"/>
    <xf numFmtId="190" fontId="0" fillId="0" borderId="66" xfId="0" applyNumberFormat="1" applyBorder="1"/>
    <xf numFmtId="0" fontId="12" fillId="0" borderId="40" xfId="0" applyFont="1" applyBorder="1"/>
    <xf numFmtId="0" fontId="5" fillId="0" borderId="0" xfId="12" applyFont="1"/>
    <xf numFmtId="0" fontId="4" fillId="0" borderId="0" xfId="12" applyFont="1" applyAlignment="1">
      <alignment horizontal="center"/>
    </xf>
    <xf numFmtId="0" fontId="4" fillId="0" borderId="0" xfId="12" applyFont="1"/>
    <xf numFmtId="0" fontId="7" fillId="0" borderId="129" xfId="12" applyFont="1" applyBorder="1" applyAlignment="1">
      <alignment horizontal="center"/>
    </xf>
    <xf numFmtId="0" fontId="10" fillId="0" borderId="129" xfId="12" applyBorder="1"/>
    <xf numFmtId="190" fontId="10" fillId="0" borderId="129" xfId="1" applyNumberFormat="1" applyFont="1" applyBorder="1"/>
    <xf numFmtId="0" fontId="10" fillId="0" borderId="130" xfId="12" applyBorder="1" applyAlignment="1">
      <alignment horizontal="center"/>
    </xf>
    <xf numFmtId="0" fontId="7" fillId="0" borderId="130" xfId="12" applyFont="1" applyBorder="1" applyAlignment="1">
      <alignment horizontal="center"/>
    </xf>
    <xf numFmtId="0" fontId="71" fillId="0" borderId="130" xfId="12" applyFont="1" applyBorder="1" applyAlignment="1">
      <alignment horizontal="left"/>
    </xf>
    <xf numFmtId="0" fontId="10" fillId="0" borderId="130" xfId="12" applyBorder="1"/>
    <xf numFmtId="4" fontId="10" fillId="0" borderId="130" xfId="12" applyNumberFormat="1" applyBorder="1"/>
    <xf numFmtId="0" fontId="10" fillId="0" borderId="128" xfId="12" applyBorder="1"/>
    <xf numFmtId="0" fontId="10" fillId="0" borderId="83" xfId="12" applyBorder="1"/>
    <xf numFmtId="0" fontId="6" fillId="0" borderId="0" xfId="12" applyFont="1" applyBorder="1"/>
    <xf numFmtId="190" fontId="7" fillId="0" borderId="0" xfId="12" applyNumberFormat="1" applyFont="1" applyBorder="1"/>
    <xf numFmtId="190" fontId="10" fillId="0" borderId="0" xfId="1" applyNumberFormat="1" applyFont="1" applyBorder="1"/>
    <xf numFmtId="165" fontId="10" fillId="0" borderId="0" xfId="1" applyFont="1" applyBorder="1"/>
    <xf numFmtId="0" fontId="10" fillId="0" borderId="131" xfId="12" applyBorder="1"/>
    <xf numFmtId="190" fontId="10" fillId="0" borderId="83" xfId="1" applyNumberFormat="1" applyFont="1" applyBorder="1"/>
    <xf numFmtId="0" fontId="10" fillId="0" borderId="132" xfId="12" applyBorder="1"/>
    <xf numFmtId="190" fontId="7" fillId="0" borderId="129" xfId="1" applyNumberFormat="1" applyFont="1" applyBorder="1"/>
    <xf numFmtId="190" fontId="10" fillId="0" borderId="128" xfId="1" applyNumberFormat="1" applyFont="1" applyBorder="1"/>
    <xf numFmtId="190" fontId="7" fillId="0" borderId="0" xfId="1" applyNumberFormat="1" applyFont="1" applyBorder="1"/>
    <xf numFmtId="0" fontId="10" fillId="0" borderId="133" xfId="12" applyBorder="1"/>
    <xf numFmtId="190" fontId="10" fillId="0" borderId="134" xfId="1" applyNumberFormat="1" applyFont="1" applyBorder="1"/>
    <xf numFmtId="190" fontId="10" fillId="0" borderId="130" xfId="1" applyNumberFormat="1" applyFont="1" applyBorder="1"/>
    <xf numFmtId="190" fontId="10" fillId="0" borderId="131" xfId="1" applyNumberFormat="1" applyFont="1" applyBorder="1"/>
    <xf numFmtId="3" fontId="10" fillId="0" borderId="83" xfId="12" applyNumberFormat="1" applyBorder="1"/>
    <xf numFmtId="3" fontId="122" fillId="0" borderId="0" xfId="12" applyNumberFormat="1" applyFont="1"/>
    <xf numFmtId="3" fontId="122" fillId="0" borderId="83" xfId="12" applyNumberFormat="1" applyFont="1" applyBorder="1"/>
    <xf numFmtId="3" fontId="10" fillId="0" borderId="41" xfId="12" applyNumberFormat="1" applyBorder="1"/>
    <xf numFmtId="3" fontId="10" fillId="0" borderId="23" xfId="12" applyNumberFormat="1" applyBorder="1"/>
    <xf numFmtId="3" fontId="10" fillId="0" borderId="130" xfId="12" applyNumberFormat="1" applyBorder="1"/>
    <xf numFmtId="3" fontId="10" fillId="0" borderId="129" xfId="12" applyNumberFormat="1" applyBorder="1"/>
    <xf numFmtId="3" fontId="10" fillId="0" borderId="128" xfId="12" applyNumberFormat="1" applyBorder="1"/>
    <xf numFmtId="0" fontId="6" fillId="29" borderId="0" xfId="12" applyFont="1" applyFill="1" applyBorder="1" applyAlignment="1">
      <alignment horizontal="center"/>
    </xf>
    <xf numFmtId="0" fontId="6" fillId="29" borderId="83" xfId="12" applyFont="1" applyFill="1" applyBorder="1" applyAlignment="1">
      <alignment horizontal="center"/>
    </xf>
    <xf numFmtId="0" fontId="10" fillId="0" borderId="132" xfId="12" applyBorder="1" applyAlignment="1">
      <alignment horizontal="center"/>
    </xf>
    <xf numFmtId="0" fontId="7" fillId="0" borderId="0" xfId="12" applyFont="1" applyBorder="1" applyAlignment="1">
      <alignment horizontal="center"/>
    </xf>
    <xf numFmtId="0" fontId="5" fillId="0" borderId="0" xfId="12" applyFont="1" applyBorder="1"/>
    <xf numFmtId="0" fontId="4" fillId="0" borderId="0" xfId="12" applyFont="1" applyBorder="1" applyAlignment="1">
      <alignment horizontal="center"/>
    </xf>
    <xf numFmtId="0" fontId="4" fillId="0" borderId="0" xfId="12" applyFont="1" applyBorder="1"/>
    <xf numFmtId="0" fontId="10" fillId="0" borderId="134" xfId="12" applyBorder="1" applyAlignment="1">
      <alignment horizontal="center"/>
    </xf>
    <xf numFmtId="3" fontId="10" fillId="0" borderId="132" xfId="12" applyNumberFormat="1" applyBorder="1"/>
    <xf numFmtId="3" fontId="10" fillId="0" borderId="134" xfId="12" applyNumberFormat="1" applyBorder="1"/>
    <xf numFmtId="0" fontId="10" fillId="0" borderId="0" xfId="12" applyBorder="1" applyAlignment="1">
      <alignment horizontal="center"/>
    </xf>
    <xf numFmtId="0" fontId="4" fillId="0" borderId="130" xfId="12" applyFont="1" applyBorder="1"/>
    <xf numFmtId="4" fontId="10" fillId="0" borderId="132" xfId="12" applyNumberFormat="1" applyBorder="1"/>
    <xf numFmtId="0" fontId="6" fillId="0" borderId="0" xfId="12" applyFont="1" applyBorder="1" applyAlignment="1">
      <alignment horizontal="center"/>
    </xf>
    <xf numFmtId="0" fontId="122" fillId="0" borderId="83" xfId="12" applyFont="1" applyBorder="1" applyAlignment="1">
      <alignment horizontal="right"/>
    </xf>
    <xf numFmtId="0" fontId="10" fillId="0" borderId="133" xfId="12" applyBorder="1" applyAlignment="1">
      <alignment horizontal="center"/>
    </xf>
    <xf numFmtId="0" fontId="10" fillId="0" borderId="65" xfId="12" applyBorder="1"/>
    <xf numFmtId="0" fontId="6" fillId="0" borderId="62" xfId="12" applyFont="1" applyBorder="1" applyAlignment="1">
      <alignment horizontal="center" wrapText="1"/>
    </xf>
    <xf numFmtId="3" fontId="10" fillId="0" borderId="65" xfId="12" applyNumberFormat="1" applyBorder="1"/>
    <xf numFmtId="3" fontId="122" fillId="0" borderId="132" xfId="12" applyNumberFormat="1" applyFont="1" applyBorder="1"/>
    <xf numFmtId="0" fontId="42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90" fontId="14" fillId="6" borderId="7" xfId="1" applyNumberFormat="1" applyFont="1" applyFill="1" applyBorder="1"/>
    <xf numFmtId="3" fontId="12" fillId="0" borderId="0" xfId="15" applyNumberFormat="1" applyFont="1" applyFill="1" applyBorder="1"/>
    <xf numFmtId="3" fontId="99" fillId="0" borderId="0" xfId="14" applyNumberFormat="1" applyFont="1" applyFill="1" applyBorder="1" applyAlignment="1" applyProtection="1"/>
    <xf numFmtId="3" fontId="36" fillId="0" borderId="0" xfId="15" applyNumberFormat="1" applyFont="1" applyFill="1" applyBorder="1"/>
    <xf numFmtId="3" fontId="13" fillId="0" borderId="0" xfId="15" applyNumberFormat="1" applyFont="1" applyFill="1" applyBorder="1"/>
    <xf numFmtId="3" fontId="12" fillId="0" borderId="1" xfId="15" applyNumberFormat="1" applyFont="1" applyFill="1" applyBorder="1"/>
    <xf numFmtId="3" fontId="12" fillId="0" borderId="135" xfId="15" applyNumberFormat="1" applyFont="1" applyFill="1" applyBorder="1"/>
    <xf numFmtId="3" fontId="60" fillId="0" borderId="135" xfId="15" applyNumberFormat="1" applyFont="1" applyFill="1" applyBorder="1" applyAlignment="1">
      <alignment horizontal="center"/>
    </xf>
    <xf numFmtId="3" fontId="42" fillId="0" borderId="128" xfId="15" applyNumberFormat="1" applyFont="1" applyFill="1" applyBorder="1" applyAlignment="1">
      <alignment horizontal="center"/>
    </xf>
    <xf numFmtId="3" fontId="38" fillId="0" borderId="3" xfId="15" applyNumberFormat="1" applyFont="1" applyFill="1" applyBorder="1" applyAlignment="1">
      <alignment horizontal="center"/>
    </xf>
    <xf numFmtId="3" fontId="51" fillId="0" borderId="4" xfId="15" applyNumberFormat="1" applyFont="1" applyFill="1" applyBorder="1" applyAlignment="1">
      <alignment horizontal="center"/>
    </xf>
    <xf numFmtId="3" fontId="42" fillId="0" borderId="4" xfId="15" applyNumberFormat="1" applyFont="1" applyFill="1" applyBorder="1" applyAlignment="1">
      <alignment horizontal="center"/>
    </xf>
    <xf numFmtId="1" fontId="42" fillId="0" borderId="120" xfId="15" applyNumberFormat="1" applyFont="1" applyFill="1" applyBorder="1" applyAlignment="1">
      <alignment horizontal="center"/>
    </xf>
    <xf numFmtId="3" fontId="42" fillId="0" borderId="3" xfId="15" applyNumberFormat="1" applyFont="1" applyFill="1" applyBorder="1" applyAlignment="1">
      <alignment horizontal="right"/>
    </xf>
    <xf numFmtId="3" fontId="42" fillId="0" borderId="4" xfId="15" applyNumberFormat="1" applyFont="1" applyFill="1" applyBorder="1" applyAlignment="1">
      <alignment horizontal="right"/>
    </xf>
    <xf numFmtId="3" fontId="42" fillId="0" borderId="4" xfId="15" applyNumberFormat="1" applyFont="1" applyFill="1" applyBorder="1"/>
    <xf numFmtId="193" fontId="60" fillId="0" borderId="4" xfId="15" applyNumberFormat="1" applyFont="1" applyFill="1" applyBorder="1" applyAlignment="1">
      <alignment horizontal="center"/>
    </xf>
    <xf numFmtId="193" fontId="60" fillId="0" borderId="120" xfId="15" applyNumberFormat="1" applyFont="1" applyFill="1" applyBorder="1" applyAlignment="1">
      <alignment horizontal="center"/>
    </xf>
    <xf numFmtId="3" fontId="42" fillId="0" borderId="5" xfId="15" applyNumberFormat="1" applyFont="1" applyFill="1" applyBorder="1" applyAlignment="1">
      <alignment horizontal="right"/>
    </xf>
    <xf numFmtId="3" fontId="42" fillId="0" borderId="6" xfId="15" applyNumberFormat="1" applyFont="1" applyFill="1" applyBorder="1" applyAlignment="1">
      <alignment horizontal="right"/>
    </xf>
    <xf numFmtId="3" fontId="42" fillId="0" borderId="6" xfId="15" applyNumberFormat="1" applyFont="1" applyFill="1" applyBorder="1"/>
    <xf numFmtId="3" fontId="60" fillId="0" borderId="6" xfId="15" applyNumberFormat="1" applyFont="1" applyFill="1" applyBorder="1" applyAlignment="1">
      <alignment horizontal="center"/>
    </xf>
    <xf numFmtId="193" fontId="60" fillId="0" borderId="83" xfId="15" applyNumberFormat="1" applyFont="1" applyFill="1" applyBorder="1" applyAlignment="1">
      <alignment horizontal="center"/>
    </xf>
    <xf numFmtId="3" fontId="40" fillId="0" borderId="5" xfId="15" applyNumberFormat="1" applyFont="1" applyFill="1" applyBorder="1" applyAlignment="1">
      <alignment horizontal="right"/>
    </xf>
    <xf numFmtId="3" fontId="40" fillId="0" borderId="6" xfId="15" applyNumberFormat="1" applyFont="1" applyFill="1" applyBorder="1" applyAlignment="1">
      <alignment horizontal="right"/>
    </xf>
    <xf numFmtId="3" fontId="40" fillId="0" borderId="6" xfId="15" applyNumberFormat="1" applyFont="1" applyFill="1" applyBorder="1"/>
    <xf numFmtId="41" fontId="40" fillId="0" borderId="6" xfId="15" applyNumberFormat="1" applyFont="1" applyFill="1" applyBorder="1"/>
    <xf numFmtId="41" fontId="40" fillId="0" borderId="83" xfId="15" applyNumberFormat="1" applyFont="1" applyFill="1" applyBorder="1"/>
    <xf numFmtId="3" fontId="40" fillId="23" borderId="5" xfId="15" applyNumberFormat="1" applyFont="1" applyFill="1" applyBorder="1" applyAlignment="1">
      <alignment horizontal="right"/>
    </xf>
    <xf numFmtId="3" fontId="13" fillId="0" borderId="5" xfId="15" applyNumberFormat="1" applyFont="1" applyFill="1" applyBorder="1"/>
    <xf numFmtId="3" fontId="13" fillId="0" borderId="6" xfId="15" applyNumberFormat="1" applyFont="1" applyFill="1" applyBorder="1"/>
    <xf numFmtId="3" fontId="40" fillId="0" borderId="83" xfId="15" applyNumberFormat="1" applyFont="1" applyFill="1" applyBorder="1"/>
    <xf numFmtId="9" fontId="13" fillId="0" borderId="6" xfId="15" applyNumberFormat="1" applyFont="1" applyFill="1" applyBorder="1"/>
    <xf numFmtId="3" fontId="13" fillId="0" borderId="136" xfId="15" applyNumberFormat="1" applyFont="1" applyFill="1" applyBorder="1"/>
    <xf numFmtId="0" fontId="3" fillId="0" borderId="5" xfId="40" applyFill="1" applyBorder="1" applyAlignment="1">
      <alignment horizontal="left" indent="3"/>
    </xf>
    <xf numFmtId="49" fontId="124" fillId="0" borderId="136" xfId="21" applyNumberFormat="1" applyFont="1" applyFill="1" applyBorder="1">
      <alignment vertical="top"/>
    </xf>
    <xf numFmtId="0" fontId="124" fillId="0" borderId="6" xfId="21" applyFont="1" applyFill="1" applyBorder="1">
      <alignment vertical="top"/>
    </xf>
    <xf numFmtId="41" fontId="13" fillId="0" borderId="83" xfId="15" applyNumberFormat="1" applyFont="1" applyFill="1" applyBorder="1"/>
    <xf numFmtId="49" fontId="124" fillId="0" borderId="136" xfId="15" applyNumberFormat="1" applyFont="1" applyFill="1" applyBorder="1" applyAlignment="1">
      <alignment vertical="top"/>
    </xf>
    <xf numFmtId="49" fontId="12" fillId="0" borderId="136" xfId="15" applyNumberFormat="1" applyFill="1" applyBorder="1"/>
    <xf numFmtId="4" fontId="40" fillId="0" borderId="6" xfId="15" applyNumberFormat="1" applyFont="1" applyFill="1" applyBorder="1"/>
    <xf numFmtId="0" fontId="3" fillId="0" borderId="137" xfId="15" applyFont="1" applyFill="1" applyBorder="1" applyAlignment="1">
      <alignment horizontal="left"/>
    </xf>
    <xf numFmtId="3" fontId="40" fillId="0" borderId="136" xfId="15" applyNumberFormat="1" applyFont="1" applyFill="1" applyBorder="1"/>
    <xf numFmtId="3" fontId="40" fillId="0" borderId="6" xfId="15" applyNumberFormat="1" applyFont="1" applyFill="1" applyBorder="1" applyAlignment="1">
      <alignment horizontal="center"/>
    </xf>
    <xf numFmtId="3" fontId="40" fillId="0" borderId="5" xfId="15" applyNumberFormat="1" applyFont="1" applyFill="1" applyBorder="1"/>
    <xf numFmtId="9" fontId="13" fillId="0" borderId="6" xfId="7" applyNumberFormat="1" applyFont="1" applyFill="1" applyBorder="1"/>
    <xf numFmtId="41" fontId="13" fillId="0" borderId="7" xfId="15" applyNumberFormat="1" applyFont="1" applyFill="1" applyBorder="1"/>
    <xf numFmtId="41" fontId="13" fillId="0" borderId="57" xfId="15" applyNumberFormat="1" applyFont="1" applyFill="1" applyBorder="1"/>
    <xf numFmtId="41" fontId="52" fillId="0" borderId="83" xfId="15" applyNumberFormat="1" applyFont="1" applyFill="1" applyBorder="1"/>
    <xf numFmtId="41" fontId="13" fillId="0" borderId="6" xfId="15" applyNumberFormat="1" applyFont="1" applyFill="1" applyBorder="1"/>
    <xf numFmtId="3" fontId="13" fillId="0" borderId="5" xfId="15" applyNumberFormat="1" applyFont="1" applyFill="1" applyBorder="1" applyAlignment="1">
      <alignment horizontal="left"/>
    </xf>
    <xf numFmtId="3" fontId="13" fillId="0" borderId="6" xfId="15" applyNumberFormat="1" applyFont="1" applyFill="1" applyBorder="1" applyAlignment="1">
      <alignment horizontal="left"/>
    </xf>
    <xf numFmtId="209" fontId="40" fillId="0" borderId="6" xfId="15" applyNumberFormat="1" applyFont="1" applyFill="1" applyBorder="1"/>
    <xf numFmtId="210" fontId="40" fillId="0" borderId="6" xfId="15" applyNumberFormat="1" applyFont="1" applyFill="1" applyBorder="1"/>
    <xf numFmtId="4" fontId="13" fillId="0" borderId="6" xfId="15" applyNumberFormat="1" applyFont="1" applyFill="1" applyBorder="1"/>
    <xf numFmtId="4" fontId="13" fillId="0" borderId="83" xfId="15" applyNumberFormat="1" applyFont="1" applyFill="1" applyBorder="1"/>
    <xf numFmtId="4" fontId="40" fillId="0" borderId="33" xfId="15" applyNumberFormat="1" applyFont="1" applyFill="1" applyBorder="1"/>
    <xf numFmtId="3" fontId="40" fillId="0" borderId="33" xfId="15" applyNumberFormat="1" applyFont="1" applyFill="1" applyBorder="1"/>
    <xf numFmtId="193" fontId="13" fillId="0" borderId="6" xfId="15" applyNumberFormat="1" applyFont="1" applyFill="1" applyBorder="1"/>
    <xf numFmtId="187" fontId="40" fillId="0" borderId="6" xfId="7" applyNumberFormat="1" applyFont="1" applyFill="1" applyBorder="1"/>
    <xf numFmtId="10" fontId="40" fillId="0" borderId="83" xfId="7" applyNumberFormat="1" applyFont="1" applyFill="1" applyBorder="1"/>
    <xf numFmtId="10" fontId="40" fillId="0" borderId="6" xfId="7" applyNumberFormat="1" applyFont="1" applyFill="1" applyBorder="1"/>
    <xf numFmtId="3" fontId="13" fillId="0" borderId="83" xfId="15" applyNumberFormat="1" applyFont="1" applyFill="1" applyBorder="1"/>
    <xf numFmtId="211" fontId="40" fillId="0" borderId="6" xfId="1" applyNumberFormat="1" applyFont="1" applyFill="1" applyBorder="1"/>
    <xf numFmtId="212" fontId="40" fillId="0" borderId="6" xfId="1" applyNumberFormat="1" applyFont="1" applyFill="1" applyBorder="1"/>
    <xf numFmtId="165" fontId="40" fillId="0" borderId="6" xfId="1" applyFont="1" applyFill="1" applyBorder="1"/>
    <xf numFmtId="213" fontId="40" fillId="0" borderId="6" xfId="1" applyNumberFormat="1" applyFont="1" applyFill="1" applyBorder="1"/>
    <xf numFmtId="198" fontId="40" fillId="0" borderId="6" xfId="15" applyNumberFormat="1" applyFont="1" applyFill="1" applyBorder="1"/>
    <xf numFmtId="0" fontId="124" fillId="0" borderId="6" xfId="21" applyFont="1" applyFill="1" applyBorder="1" applyAlignment="1">
      <alignment vertical="top" wrapText="1"/>
    </xf>
    <xf numFmtId="3" fontId="13" fillId="0" borderId="7" xfId="15" applyNumberFormat="1" applyFont="1" applyFill="1" applyBorder="1"/>
    <xf numFmtId="3" fontId="13" fillId="0" borderId="57" xfId="15" applyNumberFormat="1" applyFont="1" applyFill="1" applyBorder="1"/>
    <xf numFmtId="4" fontId="40" fillId="0" borderId="83" xfId="15" applyNumberFormat="1" applyFont="1" applyFill="1" applyBorder="1"/>
    <xf numFmtId="3" fontId="13" fillId="0" borderId="8" xfId="15" applyNumberFormat="1" applyFont="1" applyFill="1" applyBorder="1"/>
    <xf numFmtId="3" fontId="13" fillId="0" borderId="138" xfId="15" applyNumberFormat="1" applyFont="1" applyFill="1" applyBorder="1"/>
    <xf numFmtId="3" fontId="13" fillId="0" borderId="29" xfId="15" applyNumberFormat="1" applyFont="1" applyFill="1" applyBorder="1"/>
    <xf numFmtId="3" fontId="13" fillId="0" borderId="61" xfId="15" applyNumberFormat="1" applyFont="1" applyFill="1" applyBorder="1"/>
    <xf numFmtId="3" fontId="12" fillId="0" borderId="0" xfId="15" applyNumberFormat="1" applyFont="1" applyFill="1"/>
    <xf numFmtId="3" fontId="12" fillId="0" borderId="0" xfId="15" applyNumberFormat="1" applyFont="1" applyFill="1" applyAlignment="1">
      <alignment horizontal="center"/>
    </xf>
    <xf numFmtId="3" fontId="13" fillId="0" borderId="132" xfId="15" applyNumberFormat="1" applyFont="1" applyFill="1" applyBorder="1"/>
    <xf numFmtId="0" fontId="3" fillId="0" borderId="132" xfId="40" applyFill="1" applyBorder="1" applyAlignment="1">
      <alignment horizontal="left" indent="3"/>
    </xf>
    <xf numFmtId="3" fontId="40" fillId="0" borderId="132" xfId="15" applyNumberFormat="1" applyFont="1" applyFill="1" applyBorder="1"/>
    <xf numFmtId="3" fontId="12" fillId="0" borderId="0" xfId="15" applyNumberFormat="1"/>
    <xf numFmtId="49" fontId="12" fillId="0" borderId="6" xfId="15" applyNumberFormat="1" applyFill="1" applyBorder="1"/>
    <xf numFmtId="214" fontId="12" fillId="0" borderId="0" xfId="1" applyNumberFormat="1"/>
    <xf numFmtId="49" fontId="124" fillId="6" borderId="136" xfId="15" applyNumberFormat="1" applyFont="1" applyFill="1" applyBorder="1" applyAlignment="1">
      <alignment vertical="top"/>
    </xf>
    <xf numFmtId="190" fontId="0" fillId="0" borderId="90" xfId="1" applyNumberFormat="1" applyFont="1" applyBorder="1"/>
    <xf numFmtId="190" fontId="0" fillId="0" borderId="41" xfId="1" applyNumberFormat="1" applyFont="1" applyBorder="1"/>
    <xf numFmtId="190" fontId="0" fillId="0" borderId="23" xfId="0" applyNumberFormat="1" applyBorder="1"/>
    <xf numFmtId="0" fontId="0" fillId="0" borderId="133" xfId="0" applyBorder="1"/>
    <xf numFmtId="0" fontId="12" fillId="0" borderId="129" xfId="0" applyFont="1" applyBorder="1"/>
    <xf numFmtId="0" fontId="12" fillId="0" borderId="128" xfId="0" applyFont="1" applyBorder="1"/>
    <xf numFmtId="0" fontId="12" fillId="0" borderId="132" xfId="0" applyFont="1" applyBorder="1"/>
    <xf numFmtId="0" fontId="12" fillId="0" borderId="139" xfId="0" applyFont="1" applyBorder="1"/>
    <xf numFmtId="0" fontId="0" fillId="0" borderId="140" xfId="0" applyBorder="1"/>
    <xf numFmtId="0" fontId="12" fillId="0" borderId="62" xfId="0" applyFont="1" applyBorder="1"/>
    <xf numFmtId="0" fontId="0" fillId="0" borderId="38" xfId="0" applyBorder="1"/>
    <xf numFmtId="0" fontId="0" fillId="0" borderId="27" xfId="0" applyBorder="1"/>
    <xf numFmtId="0" fontId="0" fillId="0" borderId="120" xfId="0" applyBorder="1"/>
    <xf numFmtId="0" fontId="12" fillId="0" borderId="141" xfId="0" applyFont="1" applyBorder="1"/>
    <xf numFmtId="190" fontId="0" fillId="0" borderId="140" xfId="1" applyNumberFormat="1" applyFont="1" applyBorder="1"/>
    <xf numFmtId="190" fontId="0" fillId="0" borderId="38" xfId="1" applyNumberFormat="1" applyFont="1" applyBorder="1"/>
    <xf numFmtId="190" fontId="0" fillId="0" borderId="27" xfId="1" applyNumberFormat="1" applyFont="1" applyBorder="1"/>
    <xf numFmtId="190" fontId="0" fillId="0" borderId="120" xfId="1" applyNumberFormat="1" applyFont="1" applyBorder="1"/>
    <xf numFmtId="190" fontId="0" fillId="0" borderId="142" xfId="1" applyNumberFormat="1" applyFont="1" applyBorder="1"/>
    <xf numFmtId="190" fontId="0" fillId="0" borderId="143" xfId="1" applyNumberFormat="1" applyFont="1" applyBorder="1"/>
    <xf numFmtId="190" fontId="0" fillId="0" borderId="144" xfId="1" applyNumberFormat="1" applyFont="1" applyBorder="1"/>
    <xf numFmtId="190" fontId="12" fillId="0" borderId="132" xfId="1" applyNumberFormat="1" applyFont="1" applyBorder="1"/>
    <xf numFmtId="190" fontId="0" fillId="0" borderId="132" xfId="1" applyNumberFormat="1" applyFont="1" applyBorder="1"/>
    <xf numFmtId="190" fontId="12" fillId="0" borderId="145" xfId="1" applyNumberFormat="1" applyFont="1" applyBorder="1"/>
    <xf numFmtId="190" fontId="0" fillId="0" borderId="146" xfId="1" applyNumberFormat="1" applyFont="1" applyBorder="1"/>
    <xf numFmtId="190" fontId="0" fillId="0" borderId="147" xfId="1" applyNumberFormat="1" applyFont="1" applyBorder="1"/>
    <xf numFmtId="190" fontId="0" fillId="0" borderId="148" xfId="1" applyNumberFormat="1" applyFont="1" applyBorder="1"/>
    <xf numFmtId="190" fontId="12" fillId="0" borderId="62" xfId="1" applyNumberFormat="1" applyFont="1" applyBorder="1"/>
    <xf numFmtId="0" fontId="0" fillId="0" borderId="149" xfId="0" applyBorder="1"/>
    <xf numFmtId="3" fontId="10" fillId="0" borderId="150" xfId="12" applyNumberFormat="1" applyBorder="1"/>
    <xf numFmtId="190" fontId="10" fillId="0" borderId="133" xfId="1" applyNumberFormat="1" applyFont="1" applyBorder="1"/>
    <xf numFmtId="190" fontId="10" fillId="0" borderId="132" xfId="1" applyNumberFormat="1" applyFont="1" applyBorder="1"/>
    <xf numFmtId="0" fontId="2" fillId="21" borderId="0" xfId="12" applyFont="1" applyFill="1"/>
    <xf numFmtId="4" fontId="10" fillId="21" borderId="0" xfId="12" applyNumberFormat="1" applyFill="1"/>
    <xf numFmtId="0" fontId="2" fillId="0" borderId="129" xfId="12" applyFont="1" applyBorder="1"/>
    <xf numFmtId="215" fontId="113" fillId="0" borderId="0" xfId="0" applyNumberFormat="1" applyFont="1"/>
    <xf numFmtId="0" fontId="33" fillId="0" borderId="5" xfId="0" applyFont="1" applyFill="1" applyBorder="1"/>
    <xf numFmtId="190" fontId="10" fillId="0" borderId="12" xfId="1" applyNumberFormat="1" applyFont="1" applyBorder="1"/>
    <xf numFmtId="0" fontId="1" fillId="0" borderId="0" xfId="12" applyFont="1" applyAlignment="1">
      <alignment horizontal="center"/>
    </xf>
    <xf numFmtId="0" fontId="10" fillId="0" borderId="0" xfId="12" applyBorder="1" applyAlignment="1"/>
    <xf numFmtId="0" fontId="1" fillId="0" borderId="0" xfId="12" applyFont="1"/>
    <xf numFmtId="0" fontId="1" fillId="0" borderId="12" xfId="12" applyFont="1" applyBorder="1"/>
    <xf numFmtId="0" fontId="1" fillId="19" borderId="0" xfId="12" applyFont="1" applyFill="1"/>
    <xf numFmtId="165" fontId="12" fillId="0" borderId="0" xfId="1" applyFont="1"/>
    <xf numFmtId="0" fontId="12" fillId="0" borderId="0" xfId="0" applyFont="1" applyProtection="1">
      <protection hidden="1"/>
    </xf>
    <xf numFmtId="165" fontId="61" fillId="0" borderId="0" xfId="1" applyFont="1"/>
    <xf numFmtId="43" fontId="61" fillId="0" borderId="0" xfId="0" applyNumberFormat="1" applyFont="1"/>
    <xf numFmtId="4" fontId="12" fillId="0" borderId="0" xfId="15" applyNumberFormat="1"/>
    <xf numFmtId="193" fontId="12" fillId="0" borderId="0" xfId="15" applyNumberFormat="1"/>
    <xf numFmtId="216" fontId="12" fillId="0" borderId="0" xfId="15" applyNumberFormat="1"/>
    <xf numFmtId="37" fontId="126" fillId="0" borderId="0" xfId="15" applyNumberFormat="1" applyFont="1" applyFill="1"/>
    <xf numFmtId="37" fontId="126" fillId="0" borderId="0" xfId="15" applyNumberFormat="1" applyFont="1" applyFill="1" applyAlignment="1">
      <alignment horizontal="right"/>
    </xf>
    <xf numFmtId="41" fontId="42" fillId="0" borderId="0" xfId="15" applyNumberFormat="1" applyFont="1" applyAlignment="1">
      <alignment horizontal="center"/>
    </xf>
    <xf numFmtId="0" fontId="42" fillId="0" borderId="0" xfId="0" applyFont="1" applyAlignment="1">
      <alignment horizontal="center"/>
    </xf>
    <xf numFmtId="190" fontId="42" fillId="0" borderId="151" xfId="1" applyNumberFormat="1" applyFont="1" applyFill="1" applyBorder="1"/>
    <xf numFmtId="0" fontId="38" fillId="0" borderId="0" xfId="0" applyFont="1" applyAlignment="1">
      <alignment horizontal="center"/>
    </xf>
    <xf numFmtId="0" fontId="55" fillId="0" borderId="0" xfId="0" quotePrefix="1" applyFont="1" applyAlignment="1">
      <alignment horizontal="center"/>
    </xf>
    <xf numFmtId="0" fontId="93" fillId="0" borderId="0" xfId="0" applyFont="1" applyFill="1" applyBorder="1" applyAlignment="1">
      <alignment horizontal="center"/>
    </xf>
    <xf numFmtId="0" fontId="94" fillId="0" borderId="0" xfId="0" applyFont="1" applyFill="1" applyBorder="1" applyAlignment="1">
      <alignment horizontal="center"/>
    </xf>
    <xf numFmtId="38" fontId="13" fillId="0" borderId="0" xfId="16" applyNumberFormat="1" applyFont="1" applyFill="1" applyBorder="1" applyAlignment="1" applyProtection="1">
      <alignment horizontal="center"/>
    </xf>
    <xf numFmtId="0" fontId="13" fillId="0" borderId="0" xfId="15" applyFont="1" applyBorder="1" applyAlignment="1">
      <alignment horizontal="right" vertical="top"/>
    </xf>
    <xf numFmtId="0" fontId="38" fillId="0" borderId="0" xfId="15" applyFont="1" applyBorder="1" applyAlignment="1">
      <alignment horizontal="center"/>
    </xf>
    <xf numFmtId="38" fontId="32" fillId="0" borderId="0" xfId="1" applyNumberFormat="1" applyFont="1" applyAlignment="1">
      <alignment horizontal="left"/>
    </xf>
    <xf numFmtId="0" fontId="56" fillId="0" borderId="0" xfId="0" applyFont="1" applyAlignment="1">
      <alignment horizontal="center" vertical="center" wrapText="1"/>
    </xf>
    <xf numFmtId="0" fontId="48" fillId="0" borderId="0" xfId="0" applyFont="1" applyAlignment="1">
      <alignment horizontal="center"/>
    </xf>
    <xf numFmtId="0" fontId="13" fillId="0" borderId="41" xfId="0" applyFont="1" applyBorder="1" applyAlignment="1">
      <alignment horizontal="center"/>
    </xf>
    <xf numFmtId="0" fontId="48" fillId="0" borderId="41" xfId="0" applyFont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40" fillId="0" borderId="0" xfId="0" applyFont="1" applyAlignment="1">
      <alignment horizontal="center"/>
    </xf>
    <xf numFmtId="0" fontId="48" fillId="2" borderId="0" xfId="0" applyFont="1" applyFill="1" applyAlignment="1">
      <alignment horizontal="center"/>
    </xf>
    <xf numFmtId="0" fontId="44" fillId="0" borderId="72" xfId="0" applyFont="1" applyBorder="1" applyAlignment="1">
      <alignment horizontal="center"/>
    </xf>
    <xf numFmtId="0" fontId="44" fillId="0" borderId="64" xfId="0" applyFont="1" applyBorder="1" applyAlignment="1">
      <alignment horizontal="center"/>
    </xf>
    <xf numFmtId="0" fontId="44" fillId="0" borderId="25" xfId="0" applyFont="1" applyBorder="1" applyAlignment="1">
      <alignment horizontal="center"/>
    </xf>
    <xf numFmtId="0" fontId="44" fillId="0" borderId="71" xfId="0" applyFont="1" applyBorder="1" applyAlignment="1">
      <alignment horizontal="center"/>
    </xf>
    <xf numFmtId="0" fontId="52" fillId="0" borderId="0" xfId="0" applyFont="1" applyAlignment="1">
      <alignment horizontal="left"/>
    </xf>
    <xf numFmtId="0" fontId="0" fillId="0" borderId="27" xfId="0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60" fillId="0" borderId="66" xfId="0" applyFont="1" applyBorder="1" applyAlignment="1">
      <alignment horizontal="center"/>
    </xf>
    <xf numFmtId="0" fontId="60" fillId="0" borderId="63" xfId="0" applyFont="1" applyBorder="1" applyAlignment="1">
      <alignment horizontal="center"/>
    </xf>
    <xf numFmtId="0" fontId="60" fillId="0" borderId="7" xfId="0" applyFont="1" applyBorder="1" applyAlignment="1">
      <alignment horizontal="center"/>
    </xf>
    <xf numFmtId="38" fontId="60" fillId="4" borderId="66" xfId="3" applyNumberFormat="1" applyFont="1" applyFill="1" applyBorder="1" applyAlignment="1">
      <alignment horizontal="center"/>
    </xf>
    <xf numFmtId="38" fontId="60" fillId="4" borderId="7" xfId="3" applyNumberFormat="1" applyFont="1" applyFill="1" applyBorder="1" applyAlignment="1">
      <alignment horizontal="center"/>
    </xf>
    <xf numFmtId="38" fontId="60" fillId="0" borderId="0" xfId="3" applyNumberFormat="1" applyFont="1" applyAlignment="1">
      <alignment horizontal="center"/>
    </xf>
    <xf numFmtId="0" fontId="50" fillId="0" borderId="0" xfId="0" applyFont="1" applyAlignment="1">
      <alignment horizontal="center"/>
    </xf>
    <xf numFmtId="0" fontId="13" fillId="0" borderId="0" xfId="15" applyFont="1" applyBorder="1" applyAlignment="1">
      <alignment horizontal="center"/>
    </xf>
    <xf numFmtId="0" fontId="42" fillId="0" borderId="0" xfId="15" applyFont="1" applyBorder="1" applyAlignment="1">
      <alignment horizontal="right" vertical="top"/>
    </xf>
    <xf numFmtId="0" fontId="10" fillId="20" borderId="10" xfId="12" applyFill="1" applyBorder="1" applyAlignment="1">
      <alignment horizontal="center" vertical="center"/>
    </xf>
    <xf numFmtId="0" fontId="10" fillId="20" borderId="11" xfId="12" applyFill="1" applyBorder="1" applyAlignment="1">
      <alignment horizontal="center" vertical="center"/>
    </xf>
    <xf numFmtId="0" fontId="10" fillId="20" borderId="27" xfId="12" applyFill="1" applyBorder="1" applyAlignment="1">
      <alignment horizontal="center" vertical="center"/>
    </xf>
    <xf numFmtId="0" fontId="10" fillId="20" borderId="120" xfId="12" applyFill="1" applyBorder="1" applyAlignment="1">
      <alignment horizontal="center" vertical="center"/>
    </xf>
    <xf numFmtId="4" fontId="10" fillId="0" borderId="0" xfId="12" applyNumberFormat="1" applyBorder="1" applyAlignment="1">
      <alignment horizontal="center"/>
    </xf>
    <xf numFmtId="4" fontId="10" fillId="0" borderId="83" xfId="12" applyNumberFormat="1" applyBorder="1" applyAlignment="1">
      <alignment horizontal="center"/>
    </xf>
    <xf numFmtId="190" fontId="6" fillId="0" borderId="0" xfId="1" applyNumberFormat="1" applyFont="1" applyAlignment="1">
      <alignment horizontal="center"/>
    </xf>
  </cellXfs>
  <cellStyles count="45">
    <cellStyle name="=C:\WINNT\SYSTEM32\COMMAND.COM" xfId="18"/>
    <cellStyle name="=C:\WINNT\SYSTEM32\COMMAND.COM 2" xfId="23"/>
    <cellStyle name="Date" xfId="19"/>
    <cellStyle name="Day" xfId="20"/>
    <cellStyle name="Énfasis1" xfId="10" builtinId="29"/>
    <cellStyle name="Hipervínculo" xfId="14" builtinId="8"/>
    <cellStyle name="Hipervínculo 2" xfId="38"/>
    <cellStyle name="Millares" xfId="1" builtinId="3"/>
    <cellStyle name="Millares 2" xfId="11"/>
    <cellStyle name="Millares 2 2" xfId="24"/>
    <cellStyle name="Millares 2 3" xfId="41"/>
    <cellStyle name="Millares 3" xfId="16"/>
    <cellStyle name="Millares 4" xfId="25"/>
    <cellStyle name="Millares 5" xfId="26"/>
    <cellStyle name="Millares 6" xfId="27"/>
    <cellStyle name="Millares 7" xfId="39"/>
    <cellStyle name="Millares_ Inf. Trim.Estado de Resultados" xfId="2"/>
    <cellStyle name="Millares_Inf. Trimestral Balance General" xfId="3"/>
    <cellStyle name="Moneda" xfId="4" builtinId="4"/>
    <cellStyle name="Moneda 2" xfId="13"/>
    <cellStyle name="Moneda 2 2" xfId="42"/>
    <cellStyle name="Normal" xfId="0" builtinId="0"/>
    <cellStyle name="Normal 2" xfId="12"/>
    <cellStyle name="Normal 2 2" xfId="28"/>
    <cellStyle name="Normal 2 3" xfId="43"/>
    <cellStyle name="Normal 3" xfId="15"/>
    <cellStyle name="Normal 3 2" xfId="29"/>
    <cellStyle name="Normal 4" xfId="17"/>
    <cellStyle name="Normal 4 2" xfId="30"/>
    <cellStyle name="Normal 4 3" xfId="44"/>
    <cellStyle name="Normal 5" xfId="21"/>
    <cellStyle name="Normal 5 2" xfId="31"/>
    <cellStyle name="Normal 6" xfId="32"/>
    <cellStyle name="Normal 6 2" xfId="33"/>
    <cellStyle name="Normal 6 3" xfId="34"/>
    <cellStyle name="Normal 6 3 2" xfId="40"/>
    <cellStyle name="Normal 7" xfId="35"/>
    <cellStyle name="Normal 8" xfId="36"/>
    <cellStyle name="Normal 8 2" xfId="37"/>
    <cellStyle name="Normal_ Inf. Trim.Estado de Resultados" xfId="5"/>
    <cellStyle name="Normal_Inf. Trimestral Balance General" xfId="6"/>
    <cellStyle name="Porcentaje" xfId="7" builtinId="5"/>
    <cellStyle name="Porcentaje 2" xfId="22"/>
    <cellStyle name="Título 2" xfId="8" builtinId="17"/>
    <cellStyle name="Total" xfId="9" builtinId="25"/>
  </cellStyles>
  <dxfs count="20">
    <dxf>
      <numFmt numFmtId="27" formatCode="dd/mm/yyyy\ hh:mm"/>
    </dxf>
    <dxf>
      <numFmt numFmtId="27" formatCode="dd/mm/yyyy\ hh:mm"/>
    </dxf>
    <dxf>
      <numFmt numFmtId="188" formatCode="_-* #,##0.000_-;\-* #,##0.000_-;_-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5.xml"/><Relationship Id="rId50" Type="http://schemas.openxmlformats.org/officeDocument/2006/relationships/externalLink" Target="externalLinks/externalLink8.xml"/><Relationship Id="rId55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4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3.xml"/><Relationship Id="rId53" Type="http://schemas.openxmlformats.org/officeDocument/2006/relationships/externalLink" Target="externalLinks/externalLink11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7.xml"/><Relationship Id="rId57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2.xml"/><Relationship Id="rId52" Type="http://schemas.openxmlformats.org/officeDocument/2006/relationships/externalLink" Target="externalLinks/externalLink10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externalLink" Target="externalLinks/externalLink6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9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18</xdr:row>
      <xdr:rowOff>12700</xdr:rowOff>
    </xdr:from>
    <xdr:to>
      <xdr:col>5</xdr:col>
      <xdr:colOff>504825</xdr:colOff>
      <xdr:row>23</xdr:row>
      <xdr:rowOff>12700</xdr:rowOff>
    </xdr:to>
    <xdr:pic>
      <xdr:nvPicPr>
        <xdr:cNvPr id="2" name="Imagen 1" descr="Descripción: Descripción: Descripción: Descripción: tbknewnom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064000"/>
          <a:ext cx="1266825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47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2049" name="Line 1"/>
        <xdr:cNvSpPr>
          <a:spLocks noChangeShapeType="1"/>
        </xdr:cNvSpPr>
      </xdr:nvSpPr>
      <xdr:spPr bwMode="auto">
        <a:xfrm>
          <a:off x="1781175" y="9172575"/>
          <a:ext cx="6696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47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2050" name="Line 2"/>
        <xdr:cNvSpPr>
          <a:spLocks noChangeShapeType="1"/>
        </xdr:cNvSpPr>
      </xdr:nvSpPr>
      <xdr:spPr bwMode="auto">
        <a:xfrm>
          <a:off x="1781175" y="9172575"/>
          <a:ext cx="6696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47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2051" name="Line 3"/>
        <xdr:cNvSpPr>
          <a:spLocks noChangeShapeType="1"/>
        </xdr:cNvSpPr>
      </xdr:nvSpPr>
      <xdr:spPr bwMode="auto">
        <a:xfrm>
          <a:off x="1781175" y="9172575"/>
          <a:ext cx="6696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9525</xdr:colOff>
      <xdr:row>47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2052" name="Line 4"/>
        <xdr:cNvSpPr>
          <a:spLocks noChangeShapeType="1"/>
        </xdr:cNvSpPr>
      </xdr:nvSpPr>
      <xdr:spPr bwMode="auto">
        <a:xfrm>
          <a:off x="1790700" y="9172575"/>
          <a:ext cx="66865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48</xdr:row>
      <xdr:rowOff>0</xdr:rowOff>
    </xdr:from>
    <xdr:to>
      <xdr:col>9</xdr:col>
      <xdr:colOff>0</xdr:colOff>
      <xdr:row>48</xdr:row>
      <xdr:rowOff>0</xdr:rowOff>
    </xdr:to>
    <xdr:sp macro="" textlink="">
      <xdr:nvSpPr>
        <xdr:cNvPr id="4097" name="Line 1"/>
        <xdr:cNvSpPr>
          <a:spLocks noChangeShapeType="1"/>
        </xdr:cNvSpPr>
      </xdr:nvSpPr>
      <xdr:spPr bwMode="auto">
        <a:xfrm>
          <a:off x="1781175" y="9267825"/>
          <a:ext cx="6762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9</xdr:col>
      <xdr:colOff>0</xdr:colOff>
      <xdr:row>48</xdr:row>
      <xdr:rowOff>0</xdr:rowOff>
    </xdr:to>
    <xdr:sp macro="" textlink="">
      <xdr:nvSpPr>
        <xdr:cNvPr id="4098" name="Line 2"/>
        <xdr:cNvSpPr>
          <a:spLocks noChangeShapeType="1"/>
        </xdr:cNvSpPr>
      </xdr:nvSpPr>
      <xdr:spPr bwMode="auto">
        <a:xfrm>
          <a:off x="1781175" y="9267825"/>
          <a:ext cx="6762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9</xdr:col>
      <xdr:colOff>0</xdr:colOff>
      <xdr:row>48</xdr:row>
      <xdr:rowOff>0</xdr:rowOff>
    </xdr:to>
    <xdr:sp macro="" textlink="">
      <xdr:nvSpPr>
        <xdr:cNvPr id="4099" name="Line 3"/>
        <xdr:cNvSpPr>
          <a:spLocks noChangeShapeType="1"/>
        </xdr:cNvSpPr>
      </xdr:nvSpPr>
      <xdr:spPr bwMode="auto">
        <a:xfrm>
          <a:off x="1781175" y="9267825"/>
          <a:ext cx="6762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9525</xdr:colOff>
      <xdr:row>48</xdr:row>
      <xdr:rowOff>0</xdr:rowOff>
    </xdr:from>
    <xdr:to>
      <xdr:col>9</xdr:col>
      <xdr:colOff>0</xdr:colOff>
      <xdr:row>48</xdr:row>
      <xdr:rowOff>0</xdr:rowOff>
    </xdr:to>
    <xdr:sp macro="" textlink="">
      <xdr:nvSpPr>
        <xdr:cNvPr id="4100" name="Line 4"/>
        <xdr:cNvSpPr>
          <a:spLocks noChangeShapeType="1"/>
        </xdr:cNvSpPr>
      </xdr:nvSpPr>
      <xdr:spPr bwMode="auto">
        <a:xfrm>
          <a:off x="1790700" y="9267825"/>
          <a:ext cx="6753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9</xdr:col>
      <xdr:colOff>0</xdr:colOff>
      <xdr:row>48</xdr:row>
      <xdr:rowOff>0</xdr:rowOff>
    </xdr:to>
    <xdr:sp macro="" textlink="">
      <xdr:nvSpPr>
        <xdr:cNvPr id="4101" name="Line 5"/>
        <xdr:cNvSpPr>
          <a:spLocks noChangeShapeType="1"/>
        </xdr:cNvSpPr>
      </xdr:nvSpPr>
      <xdr:spPr bwMode="auto">
        <a:xfrm>
          <a:off x="1781175" y="9267825"/>
          <a:ext cx="6762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9</xdr:col>
      <xdr:colOff>0</xdr:colOff>
      <xdr:row>48</xdr:row>
      <xdr:rowOff>0</xdr:rowOff>
    </xdr:to>
    <xdr:sp macro="" textlink="">
      <xdr:nvSpPr>
        <xdr:cNvPr id="4102" name="Line 6"/>
        <xdr:cNvSpPr>
          <a:spLocks noChangeShapeType="1"/>
        </xdr:cNvSpPr>
      </xdr:nvSpPr>
      <xdr:spPr bwMode="auto">
        <a:xfrm>
          <a:off x="1781175" y="9267825"/>
          <a:ext cx="6762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9</xdr:col>
      <xdr:colOff>0</xdr:colOff>
      <xdr:row>48</xdr:row>
      <xdr:rowOff>0</xdr:rowOff>
    </xdr:to>
    <xdr:sp macro="" textlink="">
      <xdr:nvSpPr>
        <xdr:cNvPr id="4103" name="Line 7"/>
        <xdr:cNvSpPr>
          <a:spLocks noChangeShapeType="1"/>
        </xdr:cNvSpPr>
      </xdr:nvSpPr>
      <xdr:spPr bwMode="auto">
        <a:xfrm>
          <a:off x="1781175" y="9267825"/>
          <a:ext cx="6762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9525</xdr:colOff>
      <xdr:row>48</xdr:row>
      <xdr:rowOff>0</xdr:rowOff>
    </xdr:from>
    <xdr:to>
      <xdr:col>9</xdr:col>
      <xdr:colOff>0</xdr:colOff>
      <xdr:row>48</xdr:row>
      <xdr:rowOff>0</xdr:rowOff>
    </xdr:to>
    <xdr:sp macro="" textlink="">
      <xdr:nvSpPr>
        <xdr:cNvPr id="4104" name="Line 8"/>
        <xdr:cNvSpPr>
          <a:spLocks noChangeShapeType="1"/>
        </xdr:cNvSpPr>
      </xdr:nvSpPr>
      <xdr:spPr bwMode="auto">
        <a:xfrm>
          <a:off x="1790700" y="9267825"/>
          <a:ext cx="6753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uillermo%20Rodr&#237;guez/Documents/presupuesto/Definitivo%209_Dic_2008/Ppto_2009_Opci&#243;n_GG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es-2014-V%200%20(TBK%20Ori%20V%203.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es-2014-V%200%20(TBK%20Ram%20%20V%203.0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fharo/AppData/Local/Microsoft/Windows/Temporary%20Internet%20Files/Content.Outlook/BVJI1DV0/Definitivo%209_Dic_2008/Ppto_201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uillermo%20Rodr&#237;guez/Dropbox/Presupuesto%202014/C&#233;dulas/Cierre%20201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Pres-2014-V%200%20(TBK%20Gdl%20V%203.0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res-2014-V%200%20(TBK%20LaP%20V%203.0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res-2014-V%200%20(TBK%20Her%20V%203.0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Pres-2014-V%200%20(TBK%20Tij%20V%203.0)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RESUPUESTO%20FISCAL%202014%20(V3.0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oseidon/Dropbox/Procedimientos/FINANCIEROS/Ppto_Corto_20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oseidon/Dropbox/Procedimientos/FINANCIEROS/Ppto_Corto_201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uillermo%20Rodr&#237;guez/AppData/Local/Microsoft/Windows/Temporary%20Internet%20Files/Content.Outlook/ZKNBDJKT/1%20ARRENDAMIENTO%20FINANCIERO%20PRESUPUES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Contenido"/>
      <sheetName val="Resumen Ejecutivo"/>
      <sheetName val="Información Macroeconomica"/>
      <sheetName val="Cifras Sobresalientes"/>
      <sheetName val="Comparativo de Resultados"/>
      <sheetName val="Comparativo de Resultados Reex"/>
      <sheetName val="Balance y Razones Financieras"/>
      <sheetName val="Volumenes y Unidades"/>
      <sheetName val="No. de Personas y Klms."/>
      <sheetName val="No. de Personas Calendarizado"/>
      <sheetName val="Inversiones"/>
      <sheetName val="Estado de Resultados"/>
      <sheetName val="Estado de Resultados Ajustes"/>
      <sheetName val="Estado de Resultados Reexpresad"/>
      <sheetName val="Balance Presupuestado"/>
      <sheetName val="Presup. de Flujo de Caja"/>
      <sheetName val="Costo de Operación"/>
      <sheetName val="Gastos de Administración"/>
      <sheetName val="Gastos y Productos Ordinarios"/>
      <sheetName val="Gastos y Productos Financieros"/>
      <sheetName val="Efectivo2008"/>
      <sheetName val="Créditos"/>
      <sheetName val="Depreciación 2008"/>
      <sheetName val="Sueldos 2008"/>
      <sheetName val="Plantilla"/>
      <sheetName val="ANALISIS 2006-2007"/>
      <sheetName val="Operdores y Admtvs_nov'08"/>
      <sheetName val="Equipo"/>
      <sheetName val="VOLUMENES"/>
      <sheetName val="Validación_Tarifa_Ppto"/>
      <sheetName val="Distribución_Equipo"/>
      <sheetName val="Operación_2005"/>
      <sheetName val="VOLUMENES (3)"/>
      <sheetName val="VOLUMENESviejos al CIE"/>
      <sheetName val="INPC"/>
      <sheetName val="Bases Macroeconomicas"/>
      <sheetName val="Inversiones Areas 2009"/>
      <sheetName val="Arrendamiento_Cómpu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6">
          <cell r="H26">
            <v>0</v>
          </cell>
        </row>
        <row r="48">
          <cell r="H48">
            <v>0</v>
          </cell>
        </row>
      </sheetData>
      <sheetData sheetId="12" refreshError="1">
        <row r="26">
          <cell r="N26">
            <v>96252392.093495175</v>
          </cell>
        </row>
        <row r="32">
          <cell r="P32">
            <v>88316277.766977832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9">
          <cell r="C109">
            <v>0.15</v>
          </cell>
        </row>
      </sheetData>
      <sheetData sheetId="25" refreshError="1">
        <row r="105">
          <cell r="E105">
            <v>1</v>
          </cell>
          <cell r="F105" t="str">
            <v>DOS SEMANAS</v>
          </cell>
          <cell r="G105">
            <v>15</v>
          </cell>
        </row>
        <row r="106">
          <cell r="E106">
            <v>2</v>
          </cell>
          <cell r="F106" t="str">
            <v>TRES SEMANAS</v>
          </cell>
          <cell r="G106">
            <v>22</v>
          </cell>
        </row>
        <row r="107">
          <cell r="E107">
            <v>3</v>
          </cell>
          <cell r="F107" t="str">
            <v>CUATRO SEMANAS</v>
          </cell>
          <cell r="G107">
            <v>30</v>
          </cell>
        </row>
        <row r="111">
          <cell r="E111">
            <v>1</v>
          </cell>
          <cell r="F111">
            <v>6</v>
          </cell>
        </row>
        <row r="112">
          <cell r="E112">
            <v>2</v>
          </cell>
          <cell r="F112">
            <v>8</v>
          </cell>
        </row>
        <row r="113">
          <cell r="E113">
            <v>3</v>
          </cell>
          <cell r="F113">
            <v>10</v>
          </cell>
        </row>
        <row r="114">
          <cell r="E114">
            <v>4</v>
          </cell>
          <cell r="F114">
            <v>12</v>
          </cell>
        </row>
        <row r="115">
          <cell r="E115">
            <v>5</v>
          </cell>
          <cell r="F115">
            <v>14</v>
          </cell>
        </row>
        <row r="116">
          <cell r="E116">
            <v>6</v>
          </cell>
          <cell r="F116">
            <v>14</v>
          </cell>
        </row>
        <row r="117">
          <cell r="E117">
            <v>7</v>
          </cell>
          <cell r="F117">
            <v>14</v>
          </cell>
        </row>
        <row r="118">
          <cell r="E118">
            <v>8</v>
          </cell>
          <cell r="F118">
            <v>14</v>
          </cell>
        </row>
        <row r="119">
          <cell r="E119">
            <v>9</v>
          </cell>
          <cell r="F119">
            <v>14</v>
          </cell>
        </row>
        <row r="120">
          <cell r="E120">
            <v>10</v>
          </cell>
          <cell r="F120">
            <v>16</v>
          </cell>
        </row>
        <row r="121">
          <cell r="E121">
            <v>11</v>
          </cell>
          <cell r="F121">
            <v>16</v>
          </cell>
        </row>
        <row r="122">
          <cell r="E122">
            <v>12</v>
          </cell>
          <cell r="F122">
            <v>16</v>
          </cell>
        </row>
        <row r="123">
          <cell r="E123">
            <v>13</v>
          </cell>
          <cell r="F123">
            <v>16</v>
          </cell>
        </row>
        <row r="124">
          <cell r="E124">
            <v>14</v>
          </cell>
          <cell r="F124">
            <v>16</v>
          </cell>
        </row>
        <row r="125">
          <cell r="E125">
            <v>15</v>
          </cell>
          <cell r="F125">
            <v>18</v>
          </cell>
        </row>
        <row r="126">
          <cell r="E126">
            <v>16</v>
          </cell>
          <cell r="F126">
            <v>18</v>
          </cell>
        </row>
        <row r="127">
          <cell r="E127">
            <v>17</v>
          </cell>
          <cell r="F127">
            <v>18</v>
          </cell>
        </row>
        <row r="128">
          <cell r="E128">
            <v>18</v>
          </cell>
          <cell r="F128">
            <v>18</v>
          </cell>
        </row>
        <row r="129">
          <cell r="E129">
            <v>19</v>
          </cell>
          <cell r="F129">
            <v>18</v>
          </cell>
        </row>
        <row r="130">
          <cell r="E130">
            <v>20</v>
          </cell>
          <cell r="F130">
            <v>20</v>
          </cell>
        </row>
        <row r="131">
          <cell r="E131">
            <v>21</v>
          </cell>
          <cell r="F131">
            <v>20</v>
          </cell>
        </row>
        <row r="132">
          <cell r="E132">
            <v>22</v>
          </cell>
          <cell r="F132">
            <v>20</v>
          </cell>
        </row>
        <row r="133">
          <cell r="E133">
            <v>23</v>
          </cell>
          <cell r="F133">
            <v>20</v>
          </cell>
        </row>
        <row r="134">
          <cell r="E134">
            <v>24</v>
          </cell>
          <cell r="F134">
            <v>20</v>
          </cell>
        </row>
      </sheetData>
      <sheetData sheetId="26" refreshError="1"/>
      <sheetData sheetId="27" refreshError="1"/>
      <sheetData sheetId="28" refreshError="1"/>
      <sheetData sheetId="29" refreshError="1">
        <row r="44">
          <cell r="E44">
            <v>23</v>
          </cell>
        </row>
        <row r="196">
          <cell r="D196">
            <v>2.1120000000000001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>
        <row r="2">
          <cell r="C2">
            <v>360.96800000000002</v>
          </cell>
        </row>
      </sheetData>
      <sheetData sheetId="36" refreshError="1">
        <row r="25">
          <cell r="B25">
            <v>3.7499999999999999E-2</v>
          </cell>
        </row>
        <row r="46">
          <cell r="R46">
            <v>12.64</v>
          </cell>
        </row>
        <row r="57">
          <cell r="E57">
            <v>564.34782608695662</v>
          </cell>
        </row>
        <row r="61">
          <cell r="E61">
            <v>962.60869565217399</v>
          </cell>
        </row>
        <row r="86">
          <cell r="E86">
            <v>0.3694022495870487</v>
          </cell>
        </row>
      </sheetData>
      <sheetData sheetId="37" refreshError="1">
        <row r="10">
          <cell r="F10">
            <v>0</v>
          </cell>
        </row>
        <row r="11">
          <cell r="F11">
            <v>0</v>
          </cell>
        </row>
        <row r="29">
          <cell r="D29" t="str">
            <v>Obra Civil Ampliación Patio Maniobras</v>
          </cell>
          <cell r="F29">
            <v>0</v>
          </cell>
        </row>
      </sheetData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Información Macroeconómica"/>
      <sheetName val="Personal y KMS Recorridos"/>
      <sheetName val="Premisas Presupuesto 2014"/>
      <sheetName val="Edo.Res.detalle"/>
      <sheetName val="Gastos de Operación"/>
      <sheetName val="Vol e Ingresos 2014"/>
      <sheetName val="Presupuesto Otros"/>
      <sheetName val="Gtos Transp 2014"/>
      <sheetName val="Gtos Mtto 2014"/>
      <sheetName val="Gtos Transp 2014 (Otros)"/>
      <sheetName val="Gtos Mtto 2014 (Otros)"/>
      <sheetName val="Información Op. 2013"/>
      <sheetName val="Costo op 2013"/>
      <sheetName val="Cat. cuentas"/>
      <sheetName val="Depreciación 2013"/>
      <sheetName val="Hoja1"/>
    </sheetNames>
    <sheetDataSet>
      <sheetData sheetId="0"/>
      <sheetData sheetId="1"/>
      <sheetData sheetId="2"/>
      <sheetData sheetId="3">
        <row r="9">
          <cell r="C9">
            <v>4.2900000000000001E-2</v>
          </cell>
        </row>
      </sheetData>
      <sheetData sheetId="4">
        <row r="7">
          <cell r="D7">
            <v>241045.3166115972</v>
          </cell>
          <cell r="E7">
            <v>235355.42231744813</v>
          </cell>
          <cell r="F7">
            <v>243345.63133875901</v>
          </cell>
          <cell r="G7">
            <v>256851.63185743525</v>
          </cell>
          <cell r="H7">
            <v>247717.49865270226</v>
          </cell>
          <cell r="I7">
            <v>248921.82545184722</v>
          </cell>
          <cell r="J7">
            <v>268698.30556810007</v>
          </cell>
          <cell r="K7">
            <v>263148.58863147703</v>
          </cell>
          <cell r="L7">
            <v>232882.35273255102</v>
          </cell>
          <cell r="M7">
            <v>300724.81424021372</v>
          </cell>
          <cell r="N7">
            <v>267310.94599130109</v>
          </cell>
          <cell r="O7">
            <v>267310.94599130109</v>
          </cell>
        </row>
        <row r="8">
          <cell r="D8">
            <v>17896.561572742881</v>
          </cell>
          <cell r="E8">
            <v>17474.111781935626</v>
          </cell>
          <cell r="F8">
            <v>18067.349890599613</v>
          </cell>
          <cell r="G8">
            <v>19070.111418107168</v>
          </cell>
          <cell r="H8">
            <v>18391.941936907322</v>
          </cell>
          <cell r="I8">
            <v>18481.357939746867</v>
          </cell>
          <cell r="J8">
            <v>19949.675180122638</v>
          </cell>
          <cell r="K8">
            <v>19537.632945642697</v>
          </cell>
          <cell r="L8">
            <v>17290.497170700077</v>
          </cell>
          <cell r="M8">
            <v>22327.503517414174</v>
          </cell>
          <cell r="N8">
            <v>19846.669793257046</v>
          </cell>
          <cell r="O8">
            <v>19846.669793257046</v>
          </cell>
        </row>
        <row r="9">
          <cell r="D9">
            <v>525.63571579846723</v>
          </cell>
          <cell r="E9">
            <v>513.22804199602683</v>
          </cell>
          <cell r="F9">
            <v>530.65189945708505</v>
          </cell>
          <cell r="G9">
            <v>560.10377327900233</v>
          </cell>
          <cell r="H9">
            <v>540.1854163793131</v>
          </cell>
          <cell r="I9">
            <v>542.81163284359673</v>
          </cell>
          <cell r="J9">
            <v>585.93723440270446</v>
          </cell>
          <cell r="K9">
            <v>573.83523849808728</v>
          </cell>
          <cell r="L9">
            <v>507.83514028048995</v>
          </cell>
          <cell r="M9">
            <v>655.77587324055344</v>
          </cell>
          <cell r="N9">
            <v>582.9118873249364</v>
          </cell>
          <cell r="O9">
            <v>582.9118873249364</v>
          </cell>
        </row>
        <row r="11">
          <cell r="D11">
            <v>51609.079668903629</v>
          </cell>
          <cell r="E11">
            <v>51609.079668903629</v>
          </cell>
          <cell r="F11">
            <v>51609.079668903629</v>
          </cell>
          <cell r="G11">
            <v>51609.079668903629</v>
          </cell>
          <cell r="H11">
            <v>51609.079668903629</v>
          </cell>
          <cell r="I11">
            <v>51609.079668903629</v>
          </cell>
          <cell r="J11">
            <v>51609.079668903629</v>
          </cell>
          <cell r="K11">
            <v>51609.079668903629</v>
          </cell>
          <cell r="L11">
            <v>51609.079668903629</v>
          </cell>
          <cell r="M11">
            <v>51609.079668903629</v>
          </cell>
          <cell r="N11">
            <v>51609.079668903629</v>
          </cell>
          <cell r="O11">
            <v>51609.079668903629</v>
          </cell>
        </row>
        <row r="13">
          <cell r="D13">
            <v>70</v>
          </cell>
          <cell r="E13">
            <v>70</v>
          </cell>
          <cell r="F13">
            <v>70</v>
          </cell>
          <cell r="G13">
            <v>70</v>
          </cell>
          <cell r="H13">
            <v>70</v>
          </cell>
          <cell r="I13">
            <v>70</v>
          </cell>
          <cell r="J13">
            <v>70</v>
          </cell>
          <cell r="K13">
            <v>70</v>
          </cell>
          <cell r="L13">
            <v>70</v>
          </cell>
          <cell r="M13">
            <v>70</v>
          </cell>
          <cell r="N13">
            <v>70</v>
          </cell>
          <cell r="O13">
            <v>70</v>
          </cell>
        </row>
        <row r="16">
          <cell r="D16">
            <v>5828047.6634224709</v>
          </cell>
          <cell r="E16">
            <v>5934711.3598075649</v>
          </cell>
          <cell r="F16">
            <v>6136192.0980845485</v>
          </cell>
          <cell r="G16">
            <v>6476758.7776813442</v>
          </cell>
          <cell r="H16">
            <v>6246432.9005107395</v>
          </cell>
          <cell r="I16">
            <v>6276801.1489472073</v>
          </cell>
          <cell r="J16">
            <v>6861532.5959873181</v>
          </cell>
          <cell r="K16">
            <v>6719813.9365464589</v>
          </cell>
          <cell r="L16">
            <v>5946929.4044343317</v>
          </cell>
          <cell r="M16">
            <v>7679367.7986498959</v>
          </cell>
          <cell r="N16">
            <v>6826104.7099110195</v>
          </cell>
          <cell r="O16">
            <v>6826104.7099110195</v>
          </cell>
        </row>
        <row r="18">
          <cell r="D18">
            <v>1032181.5933780726</v>
          </cell>
          <cell r="E18">
            <v>1032181.5933780726</v>
          </cell>
          <cell r="F18">
            <v>1032181.5933780726</v>
          </cell>
          <cell r="G18">
            <v>1032181.5933780726</v>
          </cell>
          <cell r="H18">
            <v>1032181.5933780726</v>
          </cell>
          <cell r="I18">
            <v>1032181.5933780726</v>
          </cell>
          <cell r="J18">
            <v>1032181.5933780726</v>
          </cell>
          <cell r="K18">
            <v>1032181.5933780726</v>
          </cell>
          <cell r="L18">
            <v>1032181.5933780726</v>
          </cell>
          <cell r="M18">
            <v>1032181.5933780726</v>
          </cell>
          <cell r="N18">
            <v>1032181.5933780726</v>
          </cell>
          <cell r="O18">
            <v>1032181.5933780726</v>
          </cell>
        </row>
        <row r="25">
          <cell r="D25">
            <v>269223.35077986674</v>
          </cell>
          <cell r="E25">
            <v>299971.00323060004</v>
          </cell>
          <cell r="F25">
            <v>316122.51331165299</v>
          </cell>
          <cell r="G25">
            <v>282633.10618764797</v>
          </cell>
          <cell r="H25">
            <v>287625.33759725292</v>
          </cell>
          <cell r="I25">
            <v>282640.83031868591</v>
          </cell>
          <cell r="J25">
            <v>284329.65232494235</v>
          </cell>
          <cell r="K25">
            <v>287849.67106377374</v>
          </cell>
          <cell r="L25">
            <v>284091.81489653699</v>
          </cell>
          <cell r="M25">
            <v>283274.5137434135</v>
          </cell>
          <cell r="N25">
            <v>287928.56693326618</v>
          </cell>
          <cell r="O25">
            <v>274360.00830572046</v>
          </cell>
        </row>
        <row r="26">
          <cell r="D26">
            <v>727357.52818262251</v>
          </cell>
          <cell r="E26">
            <v>705180.39398406609</v>
          </cell>
          <cell r="F26">
            <v>716487.88148150058</v>
          </cell>
          <cell r="G26">
            <v>745767.08716827712</v>
          </cell>
          <cell r="H26">
            <v>768158.15183784277</v>
          </cell>
          <cell r="I26">
            <v>743246.96216276812</v>
          </cell>
          <cell r="J26">
            <v>778510.55486177839</v>
          </cell>
          <cell r="K26">
            <v>768961.59719760425</v>
          </cell>
          <cell r="L26">
            <v>715757.33475070144</v>
          </cell>
          <cell r="M26">
            <v>865519.34692489309</v>
          </cell>
          <cell r="N26">
            <v>785373.94896342093</v>
          </cell>
          <cell r="O26">
            <v>787839.03831334726</v>
          </cell>
        </row>
        <row r="28">
          <cell r="D28">
            <v>364395.24071074172</v>
          </cell>
          <cell r="E28">
            <v>547843.09550807334</v>
          </cell>
          <cell r="F28">
            <v>448036.32931360899</v>
          </cell>
          <cell r="G28">
            <v>394297.86250866408</v>
          </cell>
          <cell r="H28">
            <v>391699.82535934768</v>
          </cell>
          <cell r="I28">
            <v>392213.99253534904</v>
          </cell>
          <cell r="J28">
            <v>393069.47168244008</v>
          </cell>
          <cell r="K28">
            <v>423408.56343264348</v>
          </cell>
          <cell r="L28">
            <v>394893.99414267461</v>
          </cell>
          <cell r="M28">
            <v>395143.65726339805</v>
          </cell>
          <cell r="N28">
            <v>369135.13940882531</v>
          </cell>
          <cell r="O28">
            <v>369628.42774051375</v>
          </cell>
        </row>
        <row r="29">
          <cell r="D29">
            <v>3621573.321263826</v>
          </cell>
          <cell r="E29">
            <v>3597223.1452089311</v>
          </cell>
          <cell r="F29">
            <v>3750456.9529412528</v>
          </cell>
          <cell r="G29">
            <v>3927733.4487781646</v>
          </cell>
          <cell r="H29">
            <v>3884943.0225512222</v>
          </cell>
          <cell r="I29">
            <v>3907059.3056588066</v>
          </cell>
          <cell r="J29">
            <v>4151295.106126532</v>
          </cell>
          <cell r="K29">
            <v>4095991.675499157</v>
          </cell>
          <cell r="L29">
            <v>3763171.9709883644</v>
          </cell>
          <cell r="M29">
            <v>4592906.2045880342</v>
          </cell>
          <cell r="N29">
            <v>4210862.5743015129</v>
          </cell>
          <cell r="O29">
            <v>4233136.8406213438</v>
          </cell>
        </row>
      </sheetData>
      <sheetData sheetId="5">
        <row r="21">
          <cell r="F21">
            <v>3269.0689616968584</v>
          </cell>
          <cell r="G21">
            <v>3265.8122338234525</v>
          </cell>
          <cell r="H21">
            <v>3277.2614504760304</v>
          </cell>
          <cell r="I21">
            <v>3296.9656345808116</v>
          </cell>
          <cell r="J21">
            <v>3288.1348179755787</v>
          </cell>
          <cell r="K21">
            <v>3292.493869271299</v>
          </cell>
          <cell r="L21">
            <v>3322.7978205896784</v>
          </cell>
          <cell r="M21">
            <v>3317.6404060039276</v>
          </cell>
          <cell r="N21">
            <v>3282.3496497142291</v>
          </cell>
          <cell r="O21">
            <v>3385.8305398454227</v>
          </cell>
          <cell r="P21">
            <v>3332.9029772003382</v>
          </cell>
          <cell r="Q21">
            <v>3335.9472466556408</v>
          </cell>
        </row>
        <row r="22">
          <cell r="F22">
            <v>101890.88432721922</v>
          </cell>
          <cell r="G22">
            <v>100241.8108452435</v>
          </cell>
          <cell r="H22">
            <v>103374.10179988034</v>
          </cell>
          <cell r="I22">
            <v>108464.4012319262</v>
          </cell>
          <cell r="J22">
            <v>105598.78078695184</v>
          </cell>
          <cell r="K22">
            <v>106371.2711855158</v>
          </cell>
          <cell r="L22">
            <v>113741.54184738893</v>
          </cell>
          <cell r="M22">
            <v>112134.90498406554</v>
          </cell>
          <cell r="N22">
            <v>101681.38540375518</v>
          </cell>
          <cell r="O22">
            <v>126336.80828036877</v>
          </cell>
          <cell r="P22">
            <v>114724.44432933739</v>
          </cell>
          <cell r="Q22">
            <v>115093.33321785615</v>
          </cell>
        </row>
        <row r="23">
          <cell r="F23">
            <v>124988.57683895464</v>
          </cell>
          <cell r="G23">
            <v>122965.67411339705</v>
          </cell>
          <cell r="H23">
            <v>126808.02557840443</v>
          </cell>
          <cell r="I23">
            <v>133052.24738388334</v>
          </cell>
          <cell r="J23">
            <v>129537.0180918526</v>
          </cell>
          <cell r="K23">
            <v>130484.62470235357</v>
          </cell>
          <cell r="L23">
            <v>139525.66548856389</v>
          </cell>
          <cell r="M23">
            <v>137554.81935870898</v>
          </cell>
          <cell r="N23">
            <v>124731.58650595316</v>
          </cell>
          <cell r="O23">
            <v>154976.15879579546</v>
          </cell>
          <cell r="P23">
            <v>140731.38259663881</v>
          </cell>
          <cell r="Q23">
            <v>141183.8950808724</v>
          </cell>
        </row>
        <row r="24">
          <cell r="F24">
            <v>7586.6713041479088</v>
          </cell>
          <cell r="G24">
            <v>7463.8832986580583</v>
          </cell>
          <cell r="H24">
            <v>7697.1098729359801</v>
          </cell>
          <cell r="I24">
            <v>8076.1273766667427</v>
          </cell>
          <cell r="J24">
            <v>7862.7567641529931</v>
          </cell>
          <cell r="K24">
            <v>7920.2754595516271</v>
          </cell>
          <cell r="L24">
            <v>8469.0568476360058</v>
          </cell>
          <cell r="M24">
            <v>8349.428621149942</v>
          </cell>
          <cell r="N24">
            <v>7571.0722691469928</v>
          </cell>
          <cell r="O24">
            <v>9406.88506500931</v>
          </cell>
          <cell r="P24">
            <v>8542.242570812441</v>
          </cell>
          <cell r="Q24">
            <v>8569.7095887250216</v>
          </cell>
        </row>
        <row r="25">
          <cell r="F25">
            <v>24074.001913504355</v>
          </cell>
          <cell r="G25">
            <v>23684.371394319758</v>
          </cell>
          <cell r="H25">
            <v>24424.445238348955</v>
          </cell>
          <cell r="I25">
            <v>25627.142408724241</v>
          </cell>
          <cell r="J25">
            <v>24950.075441142129</v>
          </cell>
          <cell r="K25">
            <v>25132.593587451163</v>
          </cell>
          <cell r="L25">
            <v>26873.984990505061</v>
          </cell>
          <cell r="M25">
            <v>26494.381072280736</v>
          </cell>
          <cell r="N25">
            <v>24024.503103893931</v>
          </cell>
          <cell r="O25">
            <v>29849.898588770418</v>
          </cell>
          <cell r="P25">
            <v>27106.217700893794</v>
          </cell>
          <cell r="Q25">
            <v>27193.375957166769</v>
          </cell>
        </row>
        <row r="26">
          <cell r="F26">
            <v>39580.527472563816</v>
          </cell>
          <cell r="G26">
            <v>38939.928476013745</v>
          </cell>
          <cell r="H26">
            <v>40156.698052612133</v>
          </cell>
          <cell r="I26">
            <v>42134.075497552461</v>
          </cell>
          <cell r="J26">
            <v>41020.896732865382</v>
          </cell>
          <cell r="K26">
            <v>41320.978311747931</v>
          </cell>
          <cell r="L26">
            <v>44184.033258603195</v>
          </cell>
          <cell r="M26">
            <v>43559.919188663596</v>
          </cell>
          <cell r="N26">
            <v>39499.145531967326</v>
          </cell>
          <cell r="O26">
            <v>49076.789783061409</v>
          </cell>
          <cell r="P26">
            <v>44565.851504136059</v>
          </cell>
          <cell r="Q26">
            <v>44709.150062027176</v>
          </cell>
        </row>
        <row r="27">
          <cell r="F27">
            <v>4385.3483412351488</v>
          </cell>
          <cell r="G27">
            <v>4418.6759963228642</v>
          </cell>
          <cell r="H27">
            <v>4407.127932906702</v>
          </cell>
          <cell r="I27">
            <v>4380.9909538463016</v>
          </cell>
          <cell r="J27">
            <v>4422.5187264344549</v>
          </cell>
          <cell r="K27">
            <v>4433.317494760513</v>
          </cell>
          <cell r="L27">
            <v>4391.5885688905255</v>
          </cell>
          <cell r="M27">
            <v>4420.8648356742551</v>
          </cell>
          <cell r="N27">
            <v>4529.7302220064121</v>
          </cell>
          <cell r="O27">
            <v>4358.4101586474562</v>
          </cell>
          <cell r="P27">
            <v>4452.5282395379954</v>
          </cell>
          <cell r="Q27">
            <v>4466.8450505976034</v>
          </cell>
        </row>
        <row r="28">
          <cell r="F28">
            <v>11876.985090845194</v>
          </cell>
          <cell r="G28">
            <v>11967.247490041093</v>
          </cell>
          <cell r="H28">
            <v>11935.971484955651</v>
          </cell>
          <cell r="I28">
            <v>11865.183833333733</v>
          </cell>
          <cell r="J28">
            <v>11977.654884093316</v>
          </cell>
          <cell r="K28">
            <v>12006.901548309725</v>
          </cell>
          <cell r="L28">
            <v>11893.885707411842</v>
          </cell>
          <cell r="M28">
            <v>11973.175596617775</v>
          </cell>
          <cell r="N28">
            <v>12268.019351267365</v>
          </cell>
          <cell r="O28">
            <v>11804.027513003528</v>
          </cell>
          <cell r="P28">
            <v>12058.930648748737</v>
          </cell>
          <cell r="Q28">
            <v>12097.705345368508</v>
          </cell>
        </row>
        <row r="29">
          <cell r="F29">
            <v>22535.817864680626</v>
          </cell>
          <cell r="G29">
            <v>22707.08498110361</v>
          </cell>
          <cell r="H29">
            <v>22647.740766326107</v>
          </cell>
          <cell r="I29">
            <v>22513.425735043493</v>
          </cell>
          <cell r="J29">
            <v>22726.832344177059</v>
          </cell>
          <cell r="K29">
            <v>22782.326014741528</v>
          </cell>
          <cell r="L29">
            <v>22567.88570124298</v>
          </cell>
          <cell r="M29">
            <v>22718.333183326031</v>
          </cell>
          <cell r="N29">
            <v>23277.78030753295</v>
          </cell>
          <cell r="O29">
            <v>22397.385537493872</v>
          </cell>
          <cell r="P29">
            <v>22881.047897625809</v>
          </cell>
          <cell r="Q29">
            <v>22954.62039890435</v>
          </cell>
        </row>
        <row r="31">
          <cell r="F31">
            <v>175554.9833258868</v>
          </cell>
          <cell r="G31">
            <v>172713.67843837914</v>
          </cell>
          <cell r="H31">
            <v>178110.5232095673</v>
          </cell>
          <cell r="I31">
            <v>186880.95873789908</v>
          </cell>
          <cell r="J31">
            <v>181943.57937606933</v>
          </cell>
          <cell r="K31">
            <v>183274.55750953784</v>
          </cell>
          <cell r="L31">
            <v>195973.31610502847</v>
          </cell>
          <cell r="M31">
            <v>193205.12825766724</v>
          </cell>
          <cell r="N31">
            <v>175194.0228704116</v>
          </cell>
          <cell r="O31">
            <v>217674.58804144431</v>
          </cell>
          <cell r="P31">
            <v>197666.82804153574</v>
          </cell>
          <cell r="Q31">
            <v>198302.41269761787</v>
          </cell>
        </row>
        <row r="32">
          <cell r="F32">
            <v>5872.0367336738509</v>
          </cell>
          <cell r="G32">
            <v>5776.9995757707857</v>
          </cell>
          <cell r="H32">
            <v>5957.5155038405974</v>
          </cell>
          <cell r="I32">
            <v>6250.8727108933927</v>
          </cell>
          <cell r="J32">
            <v>6085.725174597439</v>
          </cell>
          <cell r="K32">
            <v>6130.2442895970735</v>
          </cell>
          <cell r="L32">
            <v>6554.9976946676416</v>
          </cell>
          <cell r="M32">
            <v>6462.4061861985247</v>
          </cell>
          <cell r="N32">
            <v>5859.9631769237167</v>
          </cell>
          <cell r="O32">
            <v>7280.870942831305</v>
          </cell>
          <cell r="P32">
            <v>6611.6429924067888</v>
          </cell>
          <cell r="Q32">
            <v>6632.9022946331788</v>
          </cell>
        </row>
        <row r="33">
          <cell r="F33">
            <v>609.07615850488173</v>
          </cell>
          <cell r="G33">
            <v>613.70499948928682</v>
          </cell>
          <cell r="H33">
            <v>612.10110179259755</v>
          </cell>
          <cell r="I33">
            <v>608.47096581198628</v>
          </cell>
          <cell r="J33">
            <v>614.23871200478538</v>
          </cell>
          <cell r="K33">
            <v>615.73854093896023</v>
          </cell>
          <cell r="L33">
            <v>609.94285679035079</v>
          </cell>
          <cell r="M33">
            <v>614.00900495475753</v>
          </cell>
          <cell r="N33">
            <v>629.12919750089054</v>
          </cell>
          <cell r="O33">
            <v>605.33474425659119</v>
          </cell>
          <cell r="P33">
            <v>618.40669993583265</v>
          </cell>
          <cell r="Q33">
            <v>620.39514591633372</v>
          </cell>
        </row>
        <row r="34">
          <cell r="F34">
            <v>79013.546423766194</v>
          </cell>
          <cell r="G34">
            <v>77734.735811956823</v>
          </cell>
          <cell r="H34">
            <v>80163.740314087991</v>
          </cell>
          <cell r="I34">
            <v>84111.125923120155</v>
          </cell>
          <cell r="J34">
            <v>81888.916983066927</v>
          </cell>
          <cell r="K34">
            <v>82487.961798232398</v>
          </cell>
          <cell r="L34">
            <v>88203.401672396561</v>
          </cell>
          <cell r="M34">
            <v>86957.499477862119</v>
          </cell>
          <cell r="N34">
            <v>78851.08583640201</v>
          </cell>
          <cell r="O34">
            <v>97970.68041958964</v>
          </cell>
          <cell r="P34">
            <v>88965.615205042501</v>
          </cell>
          <cell r="Q34">
            <v>89251.678276441351</v>
          </cell>
        </row>
        <row r="36">
          <cell r="F36">
            <v>13156.045023705447</v>
          </cell>
          <cell r="G36">
            <v>13256.027988968595</v>
          </cell>
          <cell r="H36">
            <v>13221.383798720106</v>
          </cell>
          <cell r="I36">
            <v>13142.972861538905</v>
          </cell>
          <cell r="J36">
            <v>13267.556179303363</v>
          </cell>
          <cell r="K36">
            <v>13299.952484281541</v>
          </cell>
          <cell r="L36">
            <v>13174.765706671578</v>
          </cell>
          <cell r="M36">
            <v>13262.594507022766</v>
          </cell>
          <cell r="N36">
            <v>13589.190666019236</v>
          </cell>
          <cell r="O36">
            <v>13075.23047594237</v>
          </cell>
          <cell r="P36">
            <v>13357.584718613987</v>
          </cell>
          <cell r="Q36">
            <v>13400.53515179281</v>
          </cell>
        </row>
        <row r="37">
          <cell r="F37">
            <v>31634.834857712849</v>
          </cell>
          <cell r="G37">
            <v>31122.834519164418</v>
          </cell>
          <cell r="H37">
            <v>32095.340624401681</v>
          </cell>
          <cell r="I37">
            <v>33675.764456939381</v>
          </cell>
          <cell r="J37">
            <v>32786.053565329901</v>
          </cell>
          <cell r="K37">
            <v>33025.894512330204</v>
          </cell>
          <cell r="L37">
            <v>35314.198287339423</v>
          </cell>
          <cell r="M37">
            <v>34815.37356731516</v>
          </cell>
          <cell r="N37">
            <v>31569.79013962629</v>
          </cell>
          <cell r="O37">
            <v>39224.74608783357</v>
          </cell>
          <cell r="P37">
            <v>35619.367468105564</v>
          </cell>
          <cell r="Q37">
            <v>35733.899196298829</v>
          </cell>
        </row>
        <row r="38">
          <cell r="F38">
            <v>39580.527472563816</v>
          </cell>
          <cell r="G38">
            <v>38939.928476013745</v>
          </cell>
          <cell r="H38">
            <v>40156.698052612133</v>
          </cell>
          <cell r="I38">
            <v>42134.075497552461</v>
          </cell>
          <cell r="J38">
            <v>41020.896732865382</v>
          </cell>
          <cell r="K38">
            <v>41320.978311747931</v>
          </cell>
          <cell r="L38">
            <v>44184.033258603195</v>
          </cell>
          <cell r="M38">
            <v>43559.919188663596</v>
          </cell>
          <cell r="N38">
            <v>39499.145531967326</v>
          </cell>
          <cell r="O38">
            <v>49076.789783061409</v>
          </cell>
          <cell r="P38">
            <v>44565.851504136059</v>
          </cell>
          <cell r="Q38">
            <v>44709.150062027176</v>
          </cell>
        </row>
        <row r="39">
          <cell r="F39">
            <v>354.2568527910426</v>
          </cell>
          <cell r="G39">
            <v>348.5233116052604</v>
          </cell>
          <cell r="H39">
            <v>359.41374152882383</v>
          </cell>
          <cell r="I39">
            <v>377.11182579286304</v>
          </cell>
          <cell r="J39">
            <v>367.14856277052922</v>
          </cell>
          <cell r="K39">
            <v>369.83437729862487</v>
          </cell>
          <cell r="L39">
            <v>395.45952429909943</v>
          </cell>
          <cell r="M39">
            <v>389.87352784282007</v>
          </cell>
          <cell r="N39">
            <v>353.52846153426299</v>
          </cell>
          <cell r="O39">
            <v>439.25107126695826</v>
          </cell>
          <cell r="P39">
            <v>398.87690498192205</v>
          </cell>
          <cell r="Q39">
            <v>400.15946737736238</v>
          </cell>
        </row>
        <row r="40">
          <cell r="F40">
            <v>1254.5710782675437</v>
          </cell>
          <cell r="G40">
            <v>1234.2662206732123</v>
          </cell>
          <cell r="H40">
            <v>1272.8337693440667</v>
          </cell>
          <cell r="I40">
            <v>1335.5100577022827</v>
          </cell>
          <cell r="J40">
            <v>1300.2259932317911</v>
          </cell>
          <cell r="K40">
            <v>1309.7375812278801</v>
          </cell>
          <cell r="L40">
            <v>1400.4869006831409</v>
          </cell>
          <cell r="M40">
            <v>1380.704560434421</v>
          </cell>
          <cell r="N40">
            <v>1251.9915414224013</v>
          </cell>
          <cell r="O40">
            <v>1555.5710094748954</v>
          </cell>
          <cell r="P40">
            <v>1412.5892691604797</v>
          </cell>
          <cell r="Q40">
            <v>1417.1313568426679</v>
          </cell>
        </row>
        <row r="41">
          <cell r="F41">
            <v>121.81523170097637</v>
          </cell>
          <cell r="G41">
            <v>122.74099989785735</v>
          </cell>
          <cell r="H41">
            <v>122.4202203585195</v>
          </cell>
          <cell r="I41">
            <v>121.69419316239727</v>
          </cell>
          <cell r="J41">
            <v>122.84774240095706</v>
          </cell>
          <cell r="K41">
            <v>123.14770818779203</v>
          </cell>
          <cell r="L41">
            <v>121.98857135807016</v>
          </cell>
          <cell r="M41">
            <v>122.80180099095152</v>
          </cell>
          <cell r="N41">
            <v>125.82583950017811</v>
          </cell>
          <cell r="O41">
            <v>121.06694885131823</v>
          </cell>
          <cell r="P41">
            <v>123.68133998716652</v>
          </cell>
          <cell r="Q41">
            <v>124.07902918326675</v>
          </cell>
        </row>
        <row r="42">
          <cell r="F42">
            <v>365.44569510292905</v>
          </cell>
          <cell r="G42">
            <v>368.22299969357209</v>
          </cell>
          <cell r="H42">
            <v>367.26066107555852</v>
          </cell>
          <cell r="I42">
            <v>365.08257948719177</v>
          </cell>
          <cell r="J42">
            <v>368.54322720287121</v>
          </cell>
          <cell r="K42">
            <v>369.4431245633761</v>
          </cell>
          <cell r="L42">
            <v>365.96571407421044</v>
          </cell>
          <cell r="M42">
            <v>368.40540297285463</v>
          </cell>
          <cell r="N42">
            <v>377.4775185005343</v>
          </cell>
          <cell r="O42">
            <v>363.2008465539547</v>
          </cell>
          <cell r="P42">
            <v>371.0440199614996</v>
          </cell>
          <cell r="Q42">
            <v>372.23708754980026</v>
          </cell>
        </row>
        <row r="43">
          <cell r="F43">
            <v>159.68533522884167</v>
          </cell>
          <cell r="G43">
            <v>157.10087584834793</v>
          </cell>
          <cell r="H43">
            <v>162.00986191150881</v>
          </cell>
          <cell r="I43">
            <v>169.987476166097</v>
          </cell>
          <cell r="J43">
            <v>165.49642120651109</v>
          </cell>
          <cell r="K43">
            <v>166.7070828772803</v>
          </cell>
          <cell r="L43">
            <v>178.25791148319229</v>
          </cell>
          <cell r="M43">
            <v>175.73995957998878</v>
          </cell>
          <cell r="N43">
            <v>159.35700452443831</v>
          </cell>
          <cell r="O43">
            <v>197.99745301261709</v>
          </cell>
          <cell r="P43">
            <v>179.7983349799905</v>
          </cell>
          <cell r="Q43">
            <v>180.37646467445995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17847.347900375604</v>
          </cell>
          <cell r="G45">
            <v>6949.9042988521887</v>
          </cell>
          <cell r="H45">
            <v>6908.8639212233775</v>
          </cell>
          <cell r="I45">
            <v>6845.2983653848451</v>
          </cell>
          <cell r="J45">
            <v>28637.621261337863</v>
          </cell>
          <cell r="K45">
            <v>6881.7836928472025</v>
          </cell>
          <cell r="L45">
            <v>6794.803160335503</v>
          </cell>
          <cell r="M45">
            <v>6817.8921978742574</v>
          </cell>
          <cell r="N45">
            <v>6963.1775257380123</v>
          </cell>
          <cell r="O45">
            <v>6678.2091140565853</v>
          </cell>
          <cell r="P45">
            <v>6800.4852533136582</v>
          </cell>
          <cell r="Q45">
            <v>6800.4852533136582</v>
          </cell>
        </row>
        <row r="46">
          <cell r="F46">
            <v>1578.3368891488631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1818.1220845324679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8095.8676139647123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10354.29469458299</v>
          </cell>
          <cell r="G49">
            <v>10432.984991317875</v>
          </cell>
          <cell r="H49">
            <v>734.52132215111703</v>
          </cell>
          <cell r="I49">
            <v>730.16515897438353</v>
          </cell>
          <cell r="J49">
            <v>10442.05810408135</v>
          </cell>
          <cell r="K49">
            <v>10467.555195962323</v>
          </cell>
          <cell r="L49">
            <v>731.93142814842088</v>
          </cell>
          <cell r="M49">
            <v>736.81080594570926</v>
          </cell>
          <cell r="N49">
            <v>10695.196357515139</v>
          </cell>
          <cell r="O49">
            <v>10290.690652362049</v>
          </cell>
          <cell r="P49">
            <v>742.0880399229992</v>
          </cell>
          <cell r="Q49">
            <v>744.47417509960053</v>
          </cell>
        </row>
        <row r="50">
          <cell r="F50">
            <v>9712.8423947622341</v>
          </cell>
          <cell r="G50">
            <v>9754.2516475118427</v>
          </cell>
          <cell r="H50">
            <v>9696.6511175064952</v>
          </cell>
          <cell r="I50">
            <v>9607.4363022945199</v>
          </cell>
          <cell r="J50">
            <v>9666.7075987638364</v>
          </cell>
          <cell r="K50">
            <v>9658.6437794346693</v>
          </cell>
          <cell r="L50">
            <v>9536.5658390673725</v>
          </cell>
          <cell r="M50">
            <v>9568.9715057884314</v>
          </cell>
          <cell r="N50">
            <v>9772.8807378779111</v>
          </cell>
          <cell r="O50">
            <v>9372.9250723601199</v>
          </cell>
          <cell r="P50">
            <v>9544.5407064051342</v>
          </cell>
          <cell r="Q50">
            <v>9544.5407064051342</v>
          </cell>
        </row>
        <row r="58">
          <cell r="F58">
            <v>99635.36</v>
          </cell>
          <cell r="G58">
            <v>99635.36</v>
          </cell>
          <cell r="H58">
            <v>99635.36</v>
          </cell>
          <cell r="I58">
            <v>99635.36</v>
          </cell>
          <cell r="J58">
            <v>99635.36</v>
          </cell>
          <cell r="K58">
            <v>99635.36</v>
          </cell>
          <cell r="L58">
            <v>99635.36</v>
          </cell>
          <cell r="M58">
            <v>99635.36</v>
          </cell>
          <cell r="N58">
            <v>99635.36</v>
          </cell>
          <cell r="O58">
            <v>99635.36</v>
          </cell>
          <cell r="P58">
            <v>99635.36</v>
          </cell>
          <cell r="Q58">
            <v>99635.36</v>
          </cell>
        </row>
        <row r="59">
          <cell r="F59">
            <v>132553</v>
          </cell>
          <cell r="G59">
            <v>132553</v>
          </cell>
          <cell r="H59">
            <v>137815.3541</v>
          </cell>
          <cell r="I59">
            <v>137815.3541</v>
          </cell>
          <cell r="J59">
            <v>137815.3541</v>
          </cell>
          <cell r="K59">
            <v>137815.3541</v>
          </cell>
          <cell r="L59">
            <v>137815.3541</v>
          </cell>
          <cell r="M59">
            <v>137815.3541</v>
          </cell>
          <cell r="N59">
            <v>137815.3541</v>
          </cell>
          <cell r="O59">
            <v>137815.3541</v>
          </cell>
          <cell r="P59">
            <v>137815.3541</v>
          </cell>
          <cell r="Q59">
            <v>137815.3541</v>
          </cell>
        </row>
        <row r="60"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3575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12120</v>
          </cell>
          <cell r="Q60">
            <v>0</v>
          </cell>
        </row>
        <row r="61">
          <cell r="F61">
            <v>250.83333333333334</v>
          </cell>
          <cell r="G61">
            <v>251.66666666666666</v>
          </cell>
          <cell r="H61">
            <v>252.5</v>
          </cell>
          <cell r="I61">
            <v>253.33333333333334</v>
          </cell>
          <cell r="J61">
            <v>254.16666666666666</v>
          </cell>
          <cell r="K61">
            <v>255</v>
          </cell>
          <cell r="L61">
            <v>255.83333333333337</v>
          </cell>
          <cell r="M61">
            <v>256.66666666666663</v>
          </cell>
          <cell r="N61">
            <v>257.5</v>
          </cell>
          <cell r="O61">
            <v>258.33333333333337</v>
          </cell>
          <cell r="P61">
            <v>259.16666666666663</v>
          </cell>
          <cell r="Q61">
            <v>260</v>
          </cell>
        </row>
        <row r="65">
          <cell r="F65">
            <v>0</v>
          </cell>
          <cell r="G65">
            <v>0</v>
          </cell>
          <cell r="H65">
            <v>3800</v>
          </cell>
          <cell r="I65">
            <v>3800</v>
          </cell>
          <cell r="J65">
            <v>3800</v>
          </cell>
          <cell r="K65">
            <v>3800</v>
          </cell>
          <cell r="L65">
            <v>3800</v>
          </cell>
          <cell r="M65">
            <v>3800</v>
          </cell>
          <cell r="N65">
            <v>3800</v>
          </cell>
          <cell r="O65">
            <v>3800</v>
          </cell>
          <cell r="P65">
            <v>0</v>
          </cell>
          <cell r="Q65">
            <v>0</v>
          </cell>
        </row>
        <row r="66">
          <cell r="F66">
            <v>3210.666666666667</v>
          </cell>
          <cell r="G66">
            <v>3221.333333333333</v>
          </cell>
          <cell r="H66">
            <v>3232</v>
          </cell>
          <cell r="I66">
            <v>3242.666666666667</v>
          </cell>
          <cell r="J66">
            <v>3253.333333333333</v>
          </cell>
          <cell r="K66">
            <v>3264</v>
          </cell>
          <cell r="L66">
            <v>3274.666666666667</v>
          </cell>
          <cell r="M66">
            <v>3285.333333333333</v>
          </cell>
          <cell r="N66">
            <v>3296</v>
          </cell>
          <cell r="O66">
            <v>3306.666666666667</v>
          </cell>
          <cell r="P66">
            <v>3317.333333333333</v>
          </cell>
          <cell r="Q66">
            <v>3328</v>
          </cell>
        </row>
        <row r="67">
          <cell r="F67">
            <v>2648.8</v>
          </cell>
          <cell r="G67">
            <v>1212.0266666666666</v>
          </cell>
          <cell r="H67">
            <v>2666.4</v>
          </cell>
          <cell r="I67">
            <v>1220.0533333333335</v>
          </cell>
          <cell r="J67">
            <v>2684</v>
          </cell>
          <cell r="K67">
            <v>1228.08</v>
          </cell>
          <cell r="L67">
            <v>2701.6000000000004</v>
          </cell>
          <cell r="M67">
            <v>1236.1066666666666</v>
          </cell>
          <cell r="N67">
            <v>2719.2000000000003</v>
          </cell>
          <cell r="O67">
            <v>1244.1333333333334</v>
          </cell>
          <cell r="P67">
            <v>2736.7999999999997</v>
          </cell>
          <cell r="Q67">
            <v>1252.1600000000001</v>
          </cell>
        </row>
        <row r="68">
          <cell r="F68">
            <v>0</v>
          </cell>
          <cell r="G68">
            <v>32200</v>
          </cell>
          <cell r="H68">
            <v>32200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70">
          <cell r="F70">
            <v>446.55</v>
          </cell>
          <cell r="G70">
            <v>446.55</v>
          </cell>
          <cell r="H70">
            <v>446.55</v>
          </cell>
          <cell r="I70">
            <v>446.55</v>
          </cell>
          <cell r="J70">
            <v>446.55</v>
          </cell>
          <cell r="K70">
            <v>446.55</v>
          </cell>
          <cell r="L70">
            <v>446.55</v>
          </cell>
          <cell r="M70">
            <v>446.55</v>
          </cell>
          <cell r="N70">
            <v>446.55</v>
          </cell>
          <cell r="O70">
            <v>446.55</v>
          </cell>
          <cell r="P70">
            <v>446.55</v>
          </cell>
          <cell r="Q70">
            <v>446.55</v>
          </cell>
        </row>
        <row r="71">
          <cell r="F71">
            <v>1074.1210566000429</v>
          </cell>
          <cell r="G71">
            <v>1052.2506153000229</v>
          </cell>
          <cell r="H71">
            <v>1091.5766058264974</v>
          </cell>
          <cell r="I71">
            <v>1155.9630438239772</v>
          </cell>
          <cell r="J71">
            <v>1118.5220819598269</v>
          </cell>
          <cell r="K71">
            <v>1127.645109342971</v>
          </cell>
          <cell r="L71">
            <v>1221.2127791378214</v>
          </cell>
          <cell r="M71">
            <v>1199.8854818868967</v>
          </cell>
          <cell r="N71">
            <v>1065.3273982685037</v>
          </cell>
          <cell r="O71">
            <v>1380.126821706747</v>
          </cell>
          <cell r="P71">
            <v>1230.7367499664467</v>
          </cell>
          <cell r="Q71">
            <v>1234.6941028602296</v>
          </cell>
        </row>
        <row r="72">
          <cell r="F72">
            <v>16120</v>
          </cell>
          <cell r="G72">
            <v>16120</v>
          </cell>
          <cell r="H72">
            <v>16759.964</v>
          </cell>
          <cell r="I72">
            <v>16759.964</v>
          </cell>
          <cell r="J72">
            <v>16759.964</v>
          </cell>
          <cell r="K72">
            <v>16759.964</v>
          </cell>
          <cell r="L72">
            <v>16759.964</v>
          </cell>
          <cell r="M72">
            <v>16759.964</v>
          </cell>
          <cell r="N72">
            <v>16759.964</v>
          </cell>
          <cell r="O72">
            <v>16759.964</v>
          </cell>
          <cell r="P72">
            <v>16759.964</v>
          </cell>
          <cell r="Q72">
            <v>16759.964</v>
          </cell>
        </row>
        <row r="74">
          <cell r="F74">
            <v>166.352</v>
          </cell>
          <cell r="G74">
            <v>166.352</v>
          </cell>
          <cell r="H74">
            <v>166.352</v>
          </cell>
          <cell r="I74">
            <v>166.352</v>
          </cell>
          <cell r="J74">
            <v>166.352</v>
          </cell>
          <cell r="K74">
            <v>166.352</v>
          </cell>
          <cell r="L74">
            <v>166.352</v>
          </cell>
          <cell r="M74">
            <v>166.352</v>
          </cell>
          <cell r="N74">
            <v>166.352</v>
          </cell>
          <cell r="O74">
            <v>166.352</v>
          </cell>
          <cell r="P74">
            <v>166.352</v>
          </cell>
          <cell r="Q74">
            <v>166.352</v>
          </cell>
        </row>
        <row r="75">
          <cell r="F75">
            <v>6626.88</v>
          </cell>
          <cell r="G75">
            <v>6626.88</v>
          </cell>
          <cell r="H75">
            <v>6626.88</v>
          </cell>
          <cell r="I75">
            <v>6626.88</v>
          </cell>
          <cell r="J75">
            <v>6626.88</v>
          </cell>
          <cell r="K75">
            <v>6626.88</v>
          </cell>
          <cell r="L75">
            <v>6626.88</v>
          </cell>
          <cell r="M75">
            <v>6626.88</v>
          </cell>
          <cell r="N75">
            <v>6626.88</v>
          </cell>
          <cell r="O75">
            <v>6626.88</v>
          </cell>
          <cell r="P75">
            <v>6626.88</v>
          </cell>
          <cell r="Q75">
            <v>6626.88</v>
          </cell>
        </row>
        <row r="78">
          <cell r="F78">
            <v>400</v>
          </cell>
          <cell r="G78">
            <v>400</v>
          </cell>
          <cell r="H78">
            <v>400</v>
          </cell>
          <cell r="I78">
            <v>400</v>
          </cell>
          <cell r="J78">
            <v>400</v>
          </cell>
          <cell r="K78">
            <v>400</v>
          </cell>
          <cell r="L78">
            <v>400</v>
          </cell>
          <cell r="M78">
            <v>400</v>
          </cell>
          <cell r="N78">
            <v>400</v>
          </cell>
          <cell r="O78">
            <v>400</v>
          </cell>
          <cell r="P78">
            <v>400</v>
          </cell>
          <cell r="Q78">
            <v>400</v>
          </cell>
        </row>
        <row r="79">
          <cell r="F79">
            <v>5016.666666666667</v>
          </cell>
          <cell r="G79">
            <v>5033.333333333333</v>
          </cell>
          <cell r="H79">
            <v>5050</v>
          </cell>
          <cell r="I79">
            <v>5066.666666666667</v>
          </cell>
          <cell r="J79">
            <v>5083.333333333333</v>
          </cell>
          <cell r="K79">
            <v>5100</v>
          </cell>
          <cell r="L79">
            <v>5116.666666666667</v>
          </cell>
          <cell r="M79">
            <v>5133.333333333333</v>
          </cell>
          <cell r="N79">
            <v>5150</v>
          </cell>
          <cell r="O79">
            <v>5166.666666666667</v>
          </cell>
          <cell r="P79">
            <v>5183.333333333333</v>
          </cell>
          <cell r="Q79">
            <v>5200</v>
          </cell>
        </row>
        <row r="80"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5000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2">
          <cell r="F82">
            <v>0</v>
          </cell>
          <cell r="G82">
            <v>0</v>
          </cell>
          <cell r="H82">
            <v>4888</v>
          </cell>
          <cell r="I82">
            <v>4888</v>
          </cell>
          <cell r="J82">
            <v>4888</v>
          </cell>
          <cell r="K82">
            <v>4888</v>
          </cell>
          <cell r="L82">
            <v>4888</v>
          </cell>
          <cell r="M82">
            <v>4888</v>
          </cell>
          <cell r="N82">
            <v>4888</v>
          </cell>
          <cell r="O82">
            <v>4888</v>
          </cell>
          <cell r="P82">
            <v>0</v>
          </cell>
          <cell r="Q82">
            <v>0</v>
          </cell>
        </row>
        <row r="83">
          <cell r="F83">
            <v>1074.1210566000429</v>
          </cell>
          <cell r="G83">
            <v>1052.2506153000229</v>
          </cell>
          <cell r="H83">
            <v>1091.5766058264974</v>
          </cell>
          <cell r="I83">
            <v>1155.9630438239772</v>
          </cell>
          <cell r="J83">
            <v>1118.5220819598269</v>
          </cell>
          <cell r="K83">
            <v>1127.645109342971</v>
          </cell>
          <cell r="L83">
            <v>1221.2127791378214</v>
          </cell>
          <cell r="M83">
            <v>1199.8854818868967</v>
          </cell>
          <cell r="N83">
            <v>1065.3273982685037</v>
          </cell>
          <cell r="O83">
            <v>1380.126821706747</v>
          </cell>
          <cell r="P83">
            <v>1230.7367499664467</v>
          </cell>
          <cell r="Q83">
            <v>1234.6941028602296</v>
          </cell>
        </row>
        <row r="94">
          <cell r="F94">
            <v>1743586.3911686563</v>
          </cell>
          <cell r="G94">
            <v>1724460.3582392847</v>
          </cell>
          <cell r="H94">
            <v>1787660.8123947168</v>
          </cell>
          <cell r="I94">
            <v>1885398.023517933</v>
          </cell>
          <cell r="J94">
            <v>1844977.4848857494</v>
          </cell>
          <cell r="K94">
            <v>1867872.5029131116</v>
          </cell>
          <cell r="L94">
            <v>2007278.0877319563</v>
          </cell>
          <cell r="M94">
            <v>1988703.7946601068</v>
          </cell>
          <cell r="N94">
            <v>1812121.577314541</v>
          </cell>
          <cell r="O94">
            <v>2262395.6101347273</v>
          </cell>
          <cell r="P94">
            <v>2064258.0408453362</v>
          </cell>
          <cell r="Q94">
            <v>2080676.5791311632</v>
          </cell>
        </row>
        <row r="96">
          <cell r="F96">
            <v>854900.1054809849</v>
          </cell>
          <cell r="G96">
            <v>865534.98497177183</v>
          </cell>
          <cell r="H96">
            <v>922482.41949425265</v>
          </cell>
          <cell r="I96">
            <v>953745.8138127682</v>
          </cell>
          <cell r="J96">
            <v>978913.64505021798</v>
          </cell>
          <cell r="K96">
            <v>971006.39842554345</v>
          </cell>
          <cell r="L96">
            <v>1005859.7453097921</v>
          </cell>
          <cell r="M96">
            <v>984686.63995309104</v>
          </cell>
          <cell r="N96">
            <v>928128.04045608081</v>
          </cell>
          <cell r="O96">
            <v>1073052.2972153439</v>
          </cell>
          <cell r="P96">
            <v>1000075.7821495417</v>
          </cell>
          <cell r="Q96">
            <v>1002664.7388161541</v>
          </cell>
        </row>
        <row r="97">
          <cell r="F97">
            <v>36426.516357247696</v>
          </cell>
          <cell r="G97">
            <v>35718.298643073409</v>
          </cell>
          <cell r="H97">
            <v>38170.334700478052</v>
          </cell>
          <cell r="I97">
            <v>39918.157471307808</v>
          </cell>
          <cell r="J97">
            <v>38736.101689142823</v>
          </cell>
          <cell r="K97">
            <v>38891.954622818885</v>
          </cell>
          <cell r="L97">
            <v>41451.245378527841</v>
          </cell>
          <cell r="M97">
            <v>40733.051889635542</v>
          </cell>
          <cell r="N97">
            <v>36816.273105398344</v>
          </cell>
          <cell r="O97">
            <v>45595.822527765464</v>
          </cell>
          <cell r="P97">
            <v>41271.706020721307</v>
          </cell>
          <cell r="Q97">
            <v>41271.706020721307</v>
          </cell>
        </row>
        <row r="98">
          <cell r="F98">
            <v>52793.986892974121</v>
          </cell>
          <cell r="G98">
            <v>51767.546803211051</v>
          </cell>
          <cell r="H98">
            <v>55321.352448695558</v>
          </cell>
          <cell r="I98">
            <v>57854.52173530696</v>
          </cell>
          <cell r="J98">
            <v>56141.334647682386</v>
          </cell>
          <cell r="K98">
            <v>56367.216740195152</v>
          </cell>
          <cell r="L98">
            <v>60076.469672512001</v>
          </cell>
          <cell r="M98">
            <v>59035.57140852922</v>
          </cell>
          <cell r="N98">
            <v>53358.872440949934</v>
          </cell>
          <cell r="O98">
            <v>66083.32329386397</v>
          </cell>
          <cell r="P98">
            <v>59816.258171366753</v>
          </cell>
          <cell r="Q98">
            <v>59816.258171366753</v>
          </cell>
        </row>
        <row r="99">
          <cell r="F99">
            <v>793951.04763461067</v>
          </cell>
          <cell r="G99">
            <v>781101.18744067661</v>
          </cell>
          <cell r="H99">
            <v>805508.52968086931</v>
          </cell>
          <cell r="I99">
            <v>845173.00598345685</v>
          </cell>
          <cell r="J99">
            <v>822843.60557209176</v>
          </cell>
          <cell r="K99">
            <v>828862.98174374097</v>
          </cell>
          <cell r="L99">
            <v>886293.38046864048</v>
          </cell>
          <cell r="M99">
            <v>873774.19360293949</v>
          </cell>
          <cell r="N99">
            <v>792318.59649964527</v>
          </cell>
          <cell r="O99">
            <v>984437.83220964856</v>
          </cell>
          <cell r="P99">
            <v>893952.32327219378</v>
          </cell>
          <cell r="Q99">
            <v>896826.76804155775</v>
          </cell>
        </row>
        <row r="100">
          <cell r="F100">
            <v>85677.970415276635</v>
          </cell>
          <cell r="G100">
            <v>84291.298094840313</v>
          </cell>
          <cell r="H100">
            <v>86925.177793848125</v>
          </cell>
          <cell r="I100">
            <v>91205.506961893392</v>
          </cell>
          <cell r="J100">
            <v>88795.865065789694</v>
          </cell>
          <cell r="K100">
            <v>89445.43651618257</v>
          </cell>
          <cell r="L100">
            <v>95642.947077506236</v>
          </cell>
          <cell r="M100">
            <v>94291.958845802947</v>
          </cell>
          <cell r="N100">
            <v>85501.80703535206</v>
          </cell>
          <cell r="O100">
            <v>106234.050216348</v>
          </cell>
          <cell r="P100">
            <v>96469.449765411395</v>
          </cell>
          <cell r="Q100">
            <v>96779.640922213352</v>
          </cell>
        </row>
        <row r="101">
          <cell r="F101">
            <v>8406.6919154266998</v>
          </cell>
          <cell r="G101">
            <v>8270.6321216540946</v>
          </cell>
          <cell r="H101">
            <v>8529.0674588187485</v>
          </cell>
          <cell r="I101">
            <v>8949.0518309737108</v>
          </cell>
          <cell r="J101">
            <v>8712.6186270957096</v>
          </cell>
          <cell r="K101">
            <v>8776.3543462548114</v>
          </cell>
          <cell r="L101">
            <v>9384.4518732984907</v>
          </cell>
          <cell r="M101">
            <v>9251.8933895920236</v>
          </cell>
          <cell r="N101">
            <v>8389.4068273856556</v>
          </cell>
          <cell r="O101">
            <v>10423.647137859472</v>
          </cell>
          <cell r="P101">
            <v>9465.5480224114235</v>
          </cell>
          <cell r="Q101">
            <v>9495.98386814265</v>
          </cell>
        </row>
        <row r="102">
          <cell r="F102">
            <v>10932.176440930025</v>
          </cell>
          <cell r="G102">
            <v>10978.784142254399</v>
          </cell>
          <cell r="H102">
            <v>10913.952537713063</v>
          </cell>
          <cell r="I102">
            <v>10813.537843290735</v>
          </cell>
          <cell r="J102">
            <v>10880.249959533314</v>
          </cell>
          <cell r="K102">
            <v>10871.173821765264</v>
          </cell>
          <cell r="L102">
            <v>10733.770420227491</v>
          </cell>
          <cell r="M102">
            <v>10770.244240339267</v>
          </cell>
          <cell r="N102">
            <v>10999.75189757654</v>
          </cell>
          <cell r="O102">
            <v>10549.58646440242</v>
          </cell>
          <cell r="P102">
            <v>10742.74643911939</v>
          </cell>
          <cell r="Q102">
            <v>10742.74643911939</v>
          </cell>
        </row>
        <row r="103">
          <cell r="F103">
            <v>4007.5491247113819</v>
          </cell>
          <cell r="G103">
            <v>4024.6347117997852</v>
          </cell>
          <cell r="H103">
            <v>4000.8685531179226</v>
          </cell>
          <cell r="I103">
            <v>3964.0582415651638</v>
          </cell>
          <cell r="J103">
            <v>3988.5137637112048</v>
          </cell>
          <cell r="K103">
            <v>3985.1866066565558</v>
          </cell>
          <cell r="L103">
            <v>3934.8168669674455</v>
          </cell>
          <cell r="M103">
            <v>3948.1875463242627</v>
          </cell>
          <cell r="N103">
            <v>4032.3211327007321</v>
          </cell>
          <cell r="O103">
            <v>3867.2981752466367</v>
          </cell>
          <cell r="P103">
            <v>3938.1073221524666</v>
          </cell>
          <cell r="Q103">
            <v>3938.1073221524666</v>
          </cell>
        </row>
        <row r="104">
          <cell r="F104">
            <v>15054.905711881464</v>
          </cell>
          <cell r="G104">
            <v>15119.090053643356</v>
          </cell>
          <cell r="H104">
            <v>15029.809232135067</v>
          </cell>
          <cell r="I104">
            <v>14891.526268556507</v>
          </cell>
          <cell r="J104">
            <v>14983.396778083945</v>
          </cell>
          <cell r="K104">
            <v>14970.897858123739</v>
          </cell>
          <cell r="L104">
            <v>14781.677050554428</v>
          </cell>
          <cell r="M104">
            <v>14831.905833972069</v>
          </cell>
          <cell r="N104">
            <v>15147.965143710762</v>
          </cell>
          <cell r="O104">
            <v>14528.033862158187</v>
          </cell>
          <cell r="P104">
            <v>14794.038094927959</v>
          </cell>
          <cell r="Q104">
            <v>14794.038094927959</v>
          </cell>
        </row>
        <row r="106">
          <cell r="F106">
            <v>15835.980121126926</v>
          </cell>
          <cell r="G106">
            <v>15956.329986721455</v>
          </cell>
          <cell r="H106">
            <v>15914.628646607536</v>
          </cell>
          <cell r="I106">
            <v>15820.245111111644</v>
          </cell>
          <cell r="J106">
            <v>15970.20651212442</v>
          </cell>
          <cell r="K106">
            <v>16009.202064412966</v>
          </cell>
          <cell r="L106">
            <v>15858.51427654912</v>
          </cell>
          <cell r="M106">
            <v>15964.234128823698</v>
          </cell>
          <cell r="N106">
            <v>16357.359135023155</v>
          </cell>
          <cell r="O106">
            <v>15738.703350671369</v>
          </cell>
          <cell r="P106">
            <v>16078.574198331649</v>
          </cell>
          <cell r="Q106">
            <v>16130.273793824677</v>
          </cell>
        </row>
        <row r="112">
          <cell r="F112">
            <v>201821.12525371381</v>
          </cell>
          <cell r="G112">
            <v>201821.12525371381</v>
          </cell>
          <cell r="H112">
            <v>201821.12525371381</v>
          </cell>
          <cell r="I112">
            <v>201821.12525371381</v>
          </cell>
          <cell r="J112">
            <v>201821.12525371381</v>
          </cell>
          <cell r="K112">
            <v>201821.12525371381</v>
          </cell>
          <cell r="L112">
            <v>201821.12525371381</v>
          </cell>
          <cell r="M112">
            <v>201821.12525371381</v>
          </cell>
          <cell r="N112">
            <v>201821.12525371381</v>
          </cell>
          <cell r="O112">
            <v>201821.12525371381</v>
          </cell>
          <cell r="P112">
            <v>201821.12525371381</v>
          </cell>
          <cell r="Q112">
            <v>201821.12525371381</v>
          </cell>
        </row>
        <row r="113"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F114">
            <v>0</v>
          </cell>
          <cell r="G114">
            <v>126485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F115">
            <v>127849.75000000001</v>
          </cell>
          <cell r="G115">
            <v>128274.49999999999</v>
          </cell>
          <cell r="H115">
            <v>128699.25</v>
          </cell>
          <cell r="I115">
            <v>129124.00000000001</v>
          </cell>
          <cell r="J115">
            <v>129548.74999999999</v>
          </cell>
          <cell r="K115">
            <v>129973.5</v>
          </cell>
          <cell r="L115">
            <v>130398.25000000001</v>
          </cell>
          <cell r="M115">
            <v>130823</v>
          </cell>
          <cell r="N115">
            <v>131247.75</v>
          </cell>
          <cell r="O115">
            <v>131672.5</v>
          </cell>
          <cell r="P115">
            <v>132097.25</v>
          </cell>
          <cell r="Q115">
            <v>132522</v>
          </cell>
        </row>
        <row r="118">
          <cell r="F118">
            <v>0</v>
          </cell>
          <cell r="G118">
            <v>57400</v>
          </cell>
          <cell r="H118">
            <v>57400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F119">
            <v>1938.44</v>
          </cell>
          <cell r="G119">
            <v>1944.8799999999999</v>
          </cell>
          <cell r="H119">
            <v>1951.32</v>
          </cell>
          <cell r="I119">
            <v>1957.7600000000002</v>
          </cell>
          <cell r="J119">
            <v>1964.1999999999998</v>
          </cell>
          <cell r="K119">
            <v>1970.64</v>
          </cell>
          <cell r="L119">
            <v>1977.0800000000002</v>
          </cell>
          <cell r="M119">
            <v>1983.52</v>
          </cell>
          <cell r="N119">
            <v>1989.96</v>
          </cell>
          <cell r="O119">
            <v>1996.4</v>
          </cell>
          <cell r="P119">
            <v>2002.84</v>
          </cell>
          <cell r="Q119">
            <v>2009.28</v>
          </cell>
        </row>
        <row r="120">
          <cell r="F120">
            <v>0</v>
          </cell>
          <cell r="G120">
            <v>0</v>
          </cell>
          <cell r="H120">
            <v>17169</v>
          </cell>
          <cell r="I120">
            <v>17169</v>
          </cell>
          <cell r="J120">
            <v>17169</v>
          </cell>
          <cell r="K120">
            <v>17169</v>
          </cell>
          <cell r="L120">
            <v>17169</v>
          </cell>
          <cell r="M120">
            <v>17169</v>
          </cell>
          <cell r="N120">
            <v>17169</v>
          </cell>
          <cell r="O120">
            <v>17169</v>
          </cell>
          <cell r="P120">
            <v>0</v>
          </cell>
          <cell r="Q120">
            <v>0</v>
          </cell>
        </row>
        <row r="121">
          <cell r="F121">
            <v>6020.0000000000009</v>
          </cell>
          <cell r="G121">
            <v>6040</v>
          </cell>
          <cell r="H121">
            <v>6060</v>
          </cell>
          <cell r="I121">
            <v>9004</v>
          </cell>
          <cell r="J121">
            <v>6100</v>
          </cell>
          <cell r="K121">
            <v>6120</v>
          </cell>
          <cell r="L121">
            <v>6140.0000000000009</v>
          </cell>
          <cell r="M121">
            <v>9108</v>
          </cell>
          <cell r="N121">
            <v>6180</v>
          </cell>
          <cell r="O121">
            <v>6200.0000000000009</v>
          </cell>
          <cell r="P121">
            <v>6220</v>
          </cell>
          <cell r="Q121">
            <v>6240</v>
          </cell>
        </row>
        <row r="122"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27000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1500</v>
          </cell>
          <cell r="O123">
            <v>0</v>
          </cell>
          <cell r="P123">
            <v>0</v>
          </cell>
          <cell r="Q123">
            <v>0</v>
          </cell>
        </row>
        <row r="124"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F125">
            <v>602</v>
          </cell>
          <cell r="G125">
            <v>604</v>
          </cell>
          <cell r="H125">
            <v>606</v>
          </cell>
          <cell r="I125">
            <v>608</v>
          </cell>
          <cell r="J125">
            <v>610</v>
          </cell>
          <cell r="K125">
            <v>612</v>
          </cell>
          <cell r="L125">
            <v>614</v>
          </cell>
          <cell r="M125">
            <v>616</v>
          </cell>
          <cell r="N125">
            <v>618</v>
          </cell>
          <cell r="O125">
            <v>620.00000000000011</v>
          </cell>
          <cell r="P125">
            <v>622</v>
          </cell>
          <cell r="Q125">
            <v>624</v>
          </cell>
        </row>
        <row r="126">
          <cell r="F126">
            <v>7255.1033333333335</v>
          </cell>
          <cell r="G126">
            <v>7279.206666666666</v>
          </cell>
          <cell r="H126">
            <v>7303.31</v>
          </cell>
          <cell r="I126">
            <v>7327.4133333333339</v>
          </cell>
          <cell r="J126">
            <v>7351.5166666666664</v>
          </cell>
          <cell r="K126">
            <v>7375.62</v>
          </cell>
          <cell r="L126">
            <v>7399.7233333333343</v>
          </cell>
          <cell r="M126">
            <v>7423.8266666666659</v>
          </cell>
          <cell r="N126">
            <v>7447.93</v>
          </cell>
          <cell r="O126">
            <v>7472.0333333333338</v>
          </cell>
          <cell r="P126">
            <v>7496.1366666666663</v>
          </cell>
          <cell r="Q126">
            <v>7520.2400000000007</v>
          </cell>
        </row>
        <row r="130">
          <cell r="F130">
            <v>8145</v>
          </cell>
          <cell r="G130">
            <v>8145</v>
          </cell>
          <cell r="H130">
            <v>8145</v>
          </cell>
          <cell r="I130">
            <v>8145</v>
          </cell>
          <cell r="J130">
            <v>8145</v>
          </cell>
          <cell r="K130">
            <v>8145</v>
          </cell>
          <cell r="L130">
            <v>8145</v>
          </cell>
          <cell r="M130">
            <v>8145</v>
          </cell>
          <cell r="N130">
            <v>8145</v>
          </cell>
          <cell r="O130">
            <v>8145</v>
          </cell>
          <cell r="P130">
            <v>8145</v>
          </cell>
          <cell r="Q130">
            <v>8145</v>
          </cell>
        </row>
        <row r="132">
          <cell r="F132">
            <v>4030</v>
          </cell>
          <cell r="G132">
            <v>4030</v>
          </cell>
          <cell r="H132">
            <v>4189.991</v>
          </cell>
          <cell r="I132">
            <v>4189.991</v>
          </cell>
          <cell r="J132">
            <v>4189.991</v>
          </cell>
          <cell r="K132">
            <v>4189.991</v>
          </cell>
          <cell r="L132">
            <v>4189.991</v>
          </cell>
          <cell r="M132">
            <v>4189.991</v>
          </cell>
          <cell r="N132">
            <v>4189.991</v>
          </cell>
          <cell r="O132">
            <v>4189.991</v>
          </cell>
          <cell r="P132">
            <v>4189.991</v>
          </cell>
          <cell r="Q132">
            <v>4189.991</v>
          </cell>
        </row>
        <row r="133">
          <cell r="F133">
            <v>166.352</v>
          </cell>
          <cell r="G133">
            <v>166.352</v>
          </cell>
          <cell r="H133">
            <v>166.352</v>
          </cell>
          <cell r="I133">
            <v>166.352</v>
          </cell>
          <cell r="J133">
            <v>166.352</v>
          </cell>
          <cell r="K133">
            <v>166.352</v>
          </cell>
          <cell r="L133">
            <v>166.352</v>
          </cell>
          <cell r="M133">
            <v>166.352</v>
          </cell>
          <cell r="N133">
            <v>166.352</v>
          </cell>
          <cell r="O133">
            <v>166.352</v>
          </cell>
          <cell r="P133">
            <v>166.352</v>
          </cell>
          <cell r="Q133">
            <v>166.352</v>
          </cell>
        </row>
        <row r="134">
          <cell r="F134">
            <v>0</v>
          </cell>
          <cell r="G134">
            <v>0</v>
          </cell>
          <cell r="H134">
            <v>8713</v>
          </cell>
          <cell r="I134">
            <v>8713</v>
          </cell>
          <cell r="J134">
            <v>8713</v>
          </cell>
          <cell r="K134">
            <v>8713</v>
          </cell>
          <cell r="L134">
            <v>8713</v>
          </cell>
          <cell r="M134">
            <v>8713</v>
          </cell>
          <cell r="N134">
            <v>8713</v>
          </cell>
          <cell r="O134">
            <v>8713</v>
          </cell>
          <cell r="P134">
            <v>0</v>
          </cell>
          <cell r="Q134">
            <v>0</v>
          </cell>
        </row>
        <row r="135">
          <cell r="F135">
            <v>1400</v>
          </cell>
          <cell r="G135">
            <v>1400</v>
          </cell>
          <cell r="H135">
            <v>1400</v>
          </cell>
          <cell r="I135">
            <v>1400</v>
          </cell>
          <cell r="J135">
            <v>1400</v>
          </cell>
          <cell r="K135">
            <v>1400</v>
          </cell>
          <cell r="L135">
            <v>1400</v>
          </cell>
          <cell r="M135">
            <v>1400</v>
          </cell>
          <cell r="N135">
            <v>1400</v>
          </cell>
          <cell r="O135">
            <v>1400</v>
          </cell>
          <cell r="P135">
            <v>1400</v>
          </cell>
          <cell r="Q135">
            <v>1400</v>
          </cell>
        </row>
        <row r="136">
          <cell r="F136">
            <v>826.04165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7">
          <cell r="F137">
            <v>4341.4284736945265</v>
          </cell>
          <cell r="G137">
            <v>4253.0315876929462</v>
          </cell>
          <cell r="H137">
            <v>4411.9810598951753</v>
          </cell>
          <cell r="I137">
            <v>4672.220921616934</v>
          </cell>
          <cell r="J137">
            <v>4520.8904389671952</v>
          </cell>
          <cell r="K137">
            <v>4557.7642816352154</v>
          </cell>
          <cell r="L137">
            <v>4935.9500953929546</v>
          </cell>
          <cell r="M137">
            <v>4849.7485122630296</v>
          </cell>
          <cell r="N137">
            <v>4305.8858889608009</v>
          </cell>
          <cell r="O137">
            <v>5578.2556763508856</v>
          </cell>
          <cell r="P137">
            <v>4974.444488444803</v>
          </cell>
          <cell r="Q137">
            <v>4990.4394867999317</v>
          </cell>
        </row>
      </sheetData>
      <sheetData sheetId="6"/>
      <sheetData sheetId="7"/>
      <sheetData sheetId="8">
        <row r="10">
          <cell r="D10">
            <v>17896.561572742881</v>
          </cell>
          <cell r="E10">
            <v>17474.111781935626</v>
          </cell>
          <cell r="F10">
            <v>18067.349890599613</v>
          </cell>
          <cell r="G10">
            <v>19070.111418107168</v>
          </cell>
          <cell r="H10">
            <v>18391.941936907322</v>
          </cell>
          <cell r="I10">
            <v>18481.357939746867</v>
          </cell>
          <cell r="J10">
            <v>19949.675180122638</v>
          </cell>
          <cell r="K10">
            <v>19537.632945642697</v>
          </cell>
          <cell r="L10">
            <v>17290.497170700077</v>
          </cell>
          <cell r="M10">
            <v>22327.503517414174</v>
          </cell>
          <cell r="N10">
            <v>19846.669793257046</v>
          </cell>
          <cell r="O10">
            <v>19846.669793257046</v>
          </cell>
        </row>
      </sheetData>
      <sheetData sheetId="9"/>
      <sheetData sheetId="10"/>
      <sheetData sheetId="11"/>
      <sheetData sheetId="12"/>
      <sheetData sheetId="13"/>
      <sheetData sheetId="14">
        <row r="1">
          <cell r="A1" t="str">
            <v>0501010100</v>
          </cell>
          <cell r="B1" t="str">
            <v>SUELDOS Y SALARIOS</v>
          </cell>
        </row>
        <row r="2">
          <cell r="A2" t="str">
            <v>0501010200</v>
          </cell>
          <cell r="B2" t="str">
            <v>ESTANCIAS (SUELDOS)</v>
          </cell>
        </row>
        <row r="3">
          <cell r="A3" t="str">
            <v>0501010301</v>
          </cell>
          <cell r="B3" t="str">
            <v>GRATIFICACION ANUAL GRAVADA</v>
          </cell>
        </row>
        <row r="4">
          <cell r="A4" t="str">
            <v>0501010302</v>
          </cell>
          <cell r="B4" t="str">
            <v>=caratula!F[22]C</v>
          </cell>
        </row>
        <row r="5">
          <cell r="A5" t="str">
            <v>0501010303</v>
          </cell>
          <cell r="B5" t="str">
            <v>PROVISION GRATIFICACION ANUAL</v>
          </cell>
        </row>
        <row r="6">
          <cell r="A6" t="str">
            <v>0501010400</v>
          </cell>
          <cell r="B6" t="str">
            <v>VACACIONES</v>
          </cell>
        </row>
        <row r="7">
          <cell r="A7" t="str">
            <v>0501010501</v>
          </cell>
          <cell r="B7" t="str">
            <v>PRIMA VACACIONAL GRAVADA</v>
          </cell>
        </row>
        <row r="8">
          <cell r="A8" t="str">
            <v>0501010502</v>
          </cell>
          <cell r="B8" t="str">
            <v>PRIMA VACACIONAL EXENTA</v>
          </cell>
        </row>
        <row r="9">
          <cell r="A9" t="str">
            <v>0501010503</v>
          </cell>
          <cell r="B9" t="str">
            <v>PROVISION PRIMA VACACIONAL</v>
          </cell>
        </row>
        <row r="10">
          <cell r="A10" t="str">
            <v>0501010600</v>
          </cell>
          <cell r="B10" t="str">
            <v>GRATIF. BONOS E INCENTIVOS</v>
          </cell>
        </row>
        <row r="11">
          <cell r="A11" t="str">
            <v>0501010701</v>
          </cell>
          <cell r="B11" t="str">
            <v>TIEMPO EXTRA GRAVADO</v>
          </cell>
        </row>
        <row r="12">
          <cell r="A12" t="str">
            <v>0501010702</v>
          </cell>
          <cell r="B12" t="str">
            <v>TIEMPO EXTRA EXENTO</v>
          </cell>
        </row>
        <row r="13">
          <cell r="A13" t="str">
            <v>0501010800</v>
          </cell>
          <cell r="B13" t="str">
            <v>BONO DE AUTOS</v>
          </cell>
        </row>
        <row r="14">
          <cell r="A14" t="str">
            <v>0501010901</v>
          </cell>
          <cell r="B14" t="str">
            <v>DIAS FESTIVOS GRAVADO</v>
          </cell>
        </row>
        <row r="15">
          <cell r="A15" t="str">
            <v>0501010902</v>
          </cell>
          <cell r="B15" t="str">
            <v>DIAS FESTIVOS EXENTO</v>
          </cell>
        </row>
        <row r="16">
          <cell r="A16" t="str">
            <v>0501011001</v>
          </cell>
          <cell r="B16" t="str">
            <v>PRIMA DOMINICAL GRAVADA</v>
          </cell>
        </row>
        <row r="17">
          <cell r="A17" t="str">
            <v>0501011002</v>
          </cell>
          <cell r="B17" t="str">
            <v>PRIMA DOMINICAL EXENTA</v>
          </cell>
        </row>
        <row r="18">
          <cell r="A18" t="str">
            <v>0501020100</v>
          </cell>
          <cell r="B18" t="str">
            <v>CUOTAS PATRONALES AL IMSS</v>
          </cell>
        </row>
        <row r="19">
          <cell r="A19" t="str">
            <v>0501020200</v>
          </cell>
          <cell r="B19" t="str">
            <v>CESANTIA Y VEJEZ</v>
          </cell>
        </row>
        <row r="20">
          <cell r="A20" t="str">
            <v>0501020300</v>
          </cell>
          <cell r="B20" t="str">
            <v>RETIRO</v>
          </cell>
        </row>
        <row r="21">
          <cell r="A21" t="str">
            <v>0501020400</v>
          </cell>
          <cell r="B21" t="str">
            <v>5% INFONAVIT</v>
          </cell>
        </row>
        <row r="22">
          <cell r="A22" t="str">
            <v>0501020500</v>
          </cell>
          <cell r="B22" t="str">
            <v>IMPUESTO ESTATAL DE NOMINAS</v>
          </cell>
        </row>
        <row r="23">
          <cell r="A23" t="str">
            <v>0501030100</v>
          </cell>
          <cell r="B23" t="str">
            <v>PRIMA DE ANTIGUEDAD</v>
          </cell>
        </row>
        <row r="24">
          <cell r="A24" t="str">
            <v>0501030101</v>
          </cell>
          <cell r="B24" t="str">
            <v>PRIMA DE ANTIGUEDAD GRAVADO</v>
          </cell>
        </row>
        <row r="25">
          <cell r="A25" t="str">
            <v>0501030102</v>
          </cell>
          <cell r="B25" t="str">
            <v>PRIMA DE ANTIGUEDAD EXENTA</v>
          </cell>
        </row>
        <row r="26">
          <cell r="A26" t="str">
            <v>0501030200</v>
          </cell>
          <cell r="B26" t="str">
            <v>INDEMNIZACION LEGAL</v>
          </cell>
        </row>
        <row r="27">
          <cell r="A27" t="str">
            <v>0501030201</v>
          </cell>
          <cell r="B27" t="str">
            <v>INDEMNIZACION LEGAL GRAVADO</v>
          </cell>
        </row>
        <row r="28">
          <cell r="A28" t="str">
            <v>0501030202</v>
          </cell>
          <cell r="B28" t="str">
            <v>INDEMNIZACION LEGAL EXENTA</v>
          </cell>
        </row>
        <row r="29">
          <cell r="A29" t="str">
            <v>0501040100</v>
          </cell>
          <cell r="B29" t="str">
            <v>FONDO DE AHORRO</v>
          </cell>
        </row>
        <row r="30">
          <cell r="A30" t="str">
            <v>0501040201</v>
          </cell>
          <cell r="B30" t="str">
            <v>VALES DE DESPENSA</v>
          </cell>
        </row>
        <row r="31">
          <cell r="A31" t="str">
            <v>0501040202</v>
          </cell>
          <cell r="B31" t="str">
            <v>VALES DE DESP.REB.PROMEDIO</v>
          </cell>
        </row>
        <row r="32">
          <cell r="A32" t="str">
            <v>0501040300</v>
          </cell>
          <cell r="B32" t="str">
            <v>PLAN DE PREVISION SOCIAL</v>
          </cell>
        </row>
        <row r="33">
          <cell r="A33" t="str">
            <v>0501040400</v>
          </cell>
          <cell r="B33" t="str">
            <v>SEGURO DE VIDA</v>
          </cell>
        </row>
        <row r="34">
          <cell r="A34" t="str">
            <v>0501040500</v>
          </cell>
          <cell r="B34" t="str">
            <v>SEGURO  GASTOS MEDICOS MAYORES</v>
          </cell>
        </row>
        <row r="35">
          <cell r="A35" t="str">
            <v>0501040600</v>
          </cell>
          <cell r="B35" t="str">
            <v>GASTOS DE COMEDOR</v>
          </cell>
        </row>
        <row r="36">
          <cell r="A36" t="str">
            <v>0501040700</v>
          </cell>
          <cell r="B36" t="str">
            <v>BECAS Y FOMENTO DEPORTIVO</v>
          </cell>
        </row>
        <row r="37">
          <cell r="A37" t="str">
            <v>0501050100</v>
          </cell>
          <cell r="B37" t="str">
            <v>EXAMENES MEDICOS</v>
          </cell>
        </row>
        <row r="38">
          <cell r="A38" t="str">
            <v>0501050200</v>
          </cell>
          <cell r="B38" t="str">
            <v>ZAPATOS, UNIFORMES Y EQUIPO</v>
          </cell>
        </row>
        <row r="39">
          <cell r="A39" t="str">
            <v>0501050300</v>
          </cell>
          <cell r="B39" t="str">
            <v>GASTOS DE CONTRATACION</v>
          </cell>
        </row>
        <row r="40">
          <cell r="A40" t="str">
            <v>0501050400</v>
          </cell>
          <cell r="B40" t="str">
            <v>GASTOS DE CAPACITACION</v>
          </cell>
        </row>
        <row r="41">
          <cell r="A41" t="str">
            <v>0501060100</v>
          </cell>
          <cell r="B41" t="str">
            <v>MANTENIMIENTO DE EDIFICIOS</v>
          </cell>
        </row>
        <row r="42">
          <cell r="A42" t="str">
            <v>0501060200</v>
          </cell>
          <cell r="B42" t="str">
            <v>MTTO. DE EQUIPO DE OFICINA</v>
          </cell>
        </row>
        <row r="43">
          <cell r="A43" t="str">
            <v>0501060300</v>
          </cell>
          <cell r="B43" t="str">
            <v>MTTO. EQUIPO DE COMPUTO</v>
          </cell>
        </row>
        <row r="44">
          <cell r="A44" t="str">
            <v>0501060400</v>
          </cell>
          <cell r="B44" t="str">
            <v>MTTO. DE VEHICULOS UTILITARIOS</v>
          </cell>
        </row>
        <row r="45">
          <cell r="A45" t="str">
            <v>0501060500</v>
          </cell>
          <cell r="B45" t="str">
            <v>MTTO. ARCO DE LAVADO</v>
          </cell>
        </row>
        <row r="46">
          <cell r="A46" t="str">
            <v>0501060600</v>
          </cell>
          <cell r="B46" t="str">
            <v>MTTO. EQUIPO RADIOCOMUNICACION</v>
          </cell>
        </row>
        <row r="47">
          <cell r="A47" t="str">
            <v>0501060700</v>
          </cell>
          <cell r="B47" t="str">
            <v>MATERIALES Y CONS. DE LIMPIEZA</v>
          </cell>
        </row>
        <row r="48">
          <cell r="A48" t="str">
            <v>0501060800</v>
          </cell>
          <cell r="B48" t="str">
            <v>MTTO. DE MAQUINARIA Y EQUIPO</v>
          </cell>
        </row>
        <row r="49">
          <cell r="A49" t="str">
            <v>0501060900</v>
          </cell>
          <cell r="B49" t="str">
            <v>INSUMOS DE MANTENIMIENTO</v>
          </cell>
        </row>
        <row r="50">
          <cell r="A50" t="str">
            <v>0501070100</v>
          </cell>
          <cell r="B50" t="str">
            <v>SEGURO MULTIPLE EMPRESARIAL</v>
          </cell>
        </row>
        <row r="51">
          <cell r="A51" t="str">
            <v>0501070200</v>
          </cell>
          <cell r="B51" t="str">
            <v>SEGURO VEHICULOS UTILITARIOS</v>
          </cell>
        </row>
        <row r="52">
          <cell r="A52" t="str">
            <v>0501070300</v>
          </cell>
          <cell r="B52" t="str">
            <v>SEGURO UNIDADES (FLOTILLA)</v>
          </cell>
        </row>
        <row r="53">
          <cell r="A53" t="str">
            <v>0501070400</v>
          </cell>
          <cell r="B53" t="str">
            <v>SEGURO RESPONSABILIDAD CIVIL</v>
          </cell>
        </row>
        <row r="54">
          <cell r="A54" t="str">
            <v>0501070500</v>
          </cell>
          <cell r="B54" t="str">
            <v>FIANZAS</v>
          </cell>
        </row>
        <row r="55">
          <cell r="A55" t="str">
            <v>0501080100</v>
          </cell>
          <cell r="B55" t="str">
            <v>LUZ</v>
          </cell>
        </row>
        <row r="56">
          <cell r="A56" t="str">
            <v>0501080200</v>
          </cell>
          <cell r="B56" t="str">
            <v>AGUA</v>
          </cell>
        </row>
        <row r="57">
          <cell r="A57" t="str">
            <v>0501080300</v>
          </cell>
          <cell r="B57" t="str">
            <v>IMPUESTOS PREDIAL</v>
          </cell>
        </row>
        <row r="58">
          <cell r="A58" t="str">
            <v>0501080400</v>
          </cell>
          <cell r="B58" t="str">
            <v>TENENCIAS DE CAMIONETAS</v>
          </cell>
        </row>
        <row r="59">
          <cell r="A59" t="str">
            <v>0501080500</v>
          </cell>
          <cell r="B59" t="str">
            <v>TENENCIAS DE TRACTORES</v>
          </cell>
        </row>
        <row r="60">
          <cell r="A60" t="str">
            <v>0501080600</v>
          </cell>
          <cell r="B60" t="str">
            <v>TENENCIAS DE REMOLQUES</v>
          </cell>
        </row>
        <row r="61">
          <cell r="A61" t="str">
            <v>0501080700</v>
          </cell>
          <cell r="B61" t="str">
            <v>PERMISOS Y PLACAS</v>
          </cell>
        </row>
        <row r="62">
          <cell r="A62" t="str">
            <v>0501080800</v>
          </cell>
          <cell r="B62" t="str">
            <v>VERIFICACIONES</v>
          </cell>
        </row>
        <row r="63">
          <cell r="A63" t="str">
            <v>0501080900</v>
          </cell>
          <cell r="B63" t="str">
            <v>INSPECCIONES FISICO MECANICAS</v>
          </cell>
        </row>
        <row r="64">
          <cell r="A64" t="str">
            <v>0501090100</v>
          </cell>
          <cell r="B64" t="str">
            <v>TELEFONIA FIJA</v>
          </cell>
        </row>
        <row r="65">
          <cell r="A65" t="str">
            <v>0501090200</v>
          </cell>
          <cell r="B65" t="str">
            <v>TELEFONIA CELULAR</v>
          </cell>
        </row>
        <row r="66">
          <cell r="A66" t="str">
            <v>0501090300</v>
          </cell>
          <cell r="B66" t="str">
            <v>SERVICIO DE INTERNET</v>
          </cell>
        </row>
        <row r="67">
          <cell r="A67" t="str">
            <v>0501090400</v>
          </cell>
          <cell r="B67" t="str">
            <v>RED PRIVADA DE DATOS</v>
          </cell>
        </row>
        <row r="68">
          <cell r="A68" t="str">
            <v>0501100100</v>
          </cell>
          <cell r="B68" t="str">
            <v>VIGILANCIA</v>
          </cell>
        </row>
        <row r="69">
          <cell r="A69" t="str">
            <v>0501100200</v>
          </cell>
          <cell r="B69" t="str">
            <v>SERVICIO DE LIMPIEZA</v>
          </cell>
        </row>
        <row r="70">
          <cell r="A70" t="str">
            <v>0501100300</v>
          </cell>
          <cell r="B70" t="str">
            <v>SERVICIO  OUTSORCING</v>
          </cell>
        </row>
        <row r="71">
          <cell r="A71" t="str">
            <v>0501100400</v>
          </cell>
          <cell r="B71" t="str">
            <v>ASESORIA Y CONSULTORIA</v>
          </cell>
        </row>
        <row r="72">
          <cell r="A72" t="str">
            <v>0501110100</v>
          </cell>
          <cell r="B72" t="str">
            <v>HONORARIOS PERSONAS FISICAS</v>
          </cell>
        </row>
        <row r="73">
          <cell r="A73" t="str">
            <v>0501110200</v>
          </cell>
          <cell r="B73" t="str">
            <v>HONORARIOS PERSONAS MORALES</v>
          </cell>
        </row>
        <row r="74">
          <cell r="A74" t="str">
            <v>0501110300</v>
          </cell>
          <cell r="B74" t="str">
            <v>RENTAS PERSONAS MORALES</v>
          </cell>
        </row>
        <row r="75">
          <cell r="A75" t="str">
            <v>0501110400</v>
          </cell>
          <cell r="B75" t="str">
            <v>RENTAS PERSONAS FISICAS</v>
          </cell>
        </row>
        <row r="76">
          <cell r="A76" t="str">
            <v>0501120100</v>
          </cell>
          <cell r="B76" t="str">
            <v>DEDUCIBLES SINIESTRO REMOLQUES</v>
          </cell>
        </row>
        <row r="77">
          <cell r="A77" t="str">
            <v>0501120200</v>
          </cell>
          <cell r="B77" t="str">
            <v>DEDUCIBLES SINIESTRO TRACTORES</v>
          </cell>
        </row>
        <row r="78">
          <cell r="A78" t="str">
            <v>0501120300</v>
          </cell>
          <cell r="B78" t="str">
            <v>DED. SINIESTRO VEHICULOS UTIL.</v>
          </cell>
        </row>
        <row r="79">
          <cell r="A79" t="str">
            <v>0501130100</v>
          </cell>
          <cell r="B79" t="str">
            <v>PAQUETERÍA Y ENVIOS</v>
          </cell>
        </row>
        <row r="80">
          <cell r="A80" t="str">
            <v>0501130200</v>
          </cell>
          <cell r="B80" t="str">
            <v>PAPELERÍA Y ARTICULOS DE ESC.</v>
          </cell>
        </row>
        <row r="81">
          <cell r="A81" t="str">
            <v>0501130300</v>
          </cell>
          <cell r="B81" t="str">
            <v>CONSUMIBLES DE COMPUTO</v>
          </cell>
        </row>
        <row r="82">
          <cell r="A82" t="str">
            <v>0501130400</v>
          </cell>
          <cell r="B82" t="str">
            <v>GASTOS DE MUEBLES Y ENSERES</v>
          </cell>
        </row>
        <row r="83">
          <cell r="A83" t="str">
            <v>0501140100</v>
          </cell>
          <cell r="B83" t="str">
            <v>GTOS DE VIAJE(HOSP.TRANS.VIAT)</v>
          </cell>
        </row>
        <row r="84">
          <cell r="A84" t="str">
            <v>0501140200</v>
          </cell>
          <cell r="B84" t="str">
            <v>GASTOS DE TRABAJO Y NEGOCIO</v>
          </cell>
        </row>
        <row r="85">
          <cell r="A85" t="str">
            <v>0501140300</v>
          </cell>
          <cell r="B85" t="str">
            <v>COCHES, PASAJES Y TAXIS</v>
          </cell>
        </row>
        <row r="86">
          <cell r="A86" t="str">
            <v>0501150100</v>
          </cell>
          <cell r="B86" t="str">
            <v>LAVADO LOCAL</v>
          </cell>
        </row>
        <row r="87">
          <cell r="A87" t="str">
            <v>0501150200</v>
          </cell>
          <cell r="B87" t="str">
            <v>LAVADO FORANEO</v>
          </cell>
        </row>
        <row r="88">
          <cell r="A88" t="str">
            <v>0501150300</v>
          </cell>
          <cell r="B88" t="str">
            <v>MTTO PREVENTIVO TRACTOR</v>
          </cell>
        </row>
        <row r="89">
          <cell r="A89" t="str">
            <v>0501150400</v>
          </cell>
          <cell r="B89" t="str">
            <v>MTTO PREVENTIVO TOLVA</v>
          </cell>
        </row>
        <row r="90">
          <cell r="A90" t="str">
            <v>0501150500</v>
          </cell>
          <cell r="B90" t="str">
            <v>MTTO PREVENTIVO CAJA VOLTEO</v>
          </cell>
        </row>
        <row r="91">
          <cell r="A91" t="str">
            <v>0501150600</v>
          </cell>
          <cell r="B91" t="str">
            <v>MTTO PREVENTIVO CAJA SECA</v>
          </cell>
        </row>
        <row r="92">
          <cell r="A92" t="str">
            <v>0501150700</v>
          </cell>
          <cell r="B92" t="str">
            <v>MTTO PREVENTIVO PLANA</v>
          </cell>
        </row>
        <row r="93">
          <cell r="A93" t="str">
            <v>0501150800</v>
          </cell>
          <cell r="B93" t="str">
            <v>MTTO PREVENTIVO DOLLY</v>
          </cell>
        </row>
        <row r="94">
          <cell r="A94" t="str">
            <v>0501150900</v>
          </cell>
          <cell r="B94" t="str">
            <v>MTTO PREV. COMPRESOR/SOPLADOR</v>
          </cell>
        </row>
        <row r="95">
          <cell r="A95" t="str">
            <v>0501151000</v>
          </cell>
          <cell r="B95" t="str">
            <v>MTTO PREV.VEHÍCULO UTILITARIO</v>
          </cell>
        </row>
        <row r="96">
          <cell r="A96" t="str">
            <v>0501151100</v>
          </cell>
          <cell r="B96" t="str">
            <v>MTTO CORRECTIVO TRACTOR</v>
          </cell>
        </row>
        <row r="97">
          <cell r="A97" t="str">
            <v>0501151200</v>
          </cell>
          <cell r="B97" t="str">
            <v>MTTO CORRECTIVO TOLVA</v>
          </cell>
        </row>
        <row r="98">
          <cell r="A98" t="str">
            <v>0501151300</v>
          </cell>
          <cell r="B98" t="str">
            <v>MTTO CORRECTIVO CAJA VOLTEO</v>
          </cell>
        </row>
        <row r="99">
          <cell r="A99" t="str">
            <v>0501151400</v>
          </cell>
          <cell r="B99" t="str">
            <v>MTTO CORRECTIVO CAJA SECA</v>
          </cell>
        </row>
        <row r="100">
          <cell r="A100" t="str">
            <v>0501151500</v>
          </cell>
          <cell r="B100" t="str">
            <v>MTTO CORRECTIVO PLANA</v>
          </cell>
        </row>
        <row r="101">
          <cell r="A101" t="str">
            <v>0501151600</v>
          </cell>
          <cell r="B101" t="str">
            <v>MTTO CORRECTIVO DOLLY</v>
          </cell>
        </row>
        <row r="102">
          <cell r="A102" t="str">
            <v>0501151700</v>
          </cell>
          <cell r="B102" t="str">
            <v>MTTO CORR. COMPRESOR/SOPLADOR</v>
          </cell>
        </row>
        <row r="103">
          <cell r="A103" t="str">
            <v>0501151800</v>
          </cell>
          <cell r="B103" t="str">
            <v>MTTO CORR.VEHÍCULO UTILITARIO</v>
          </cell>
        </row>
        <row r="104">
          <cell r="A104" t="str">
            <v>0501151900</v>
          </cell>
          <cell r="B104" t="str">
            <v>CAMPAÑA TRACTOR</v>
          </cell>
        </row>
        <row r="105">
          <cell r="A105" t="str">
            <v>0501152000</v>
          </cell>
          <cell r="B105" t="str">
            <v>CAMPAÑA TOLVA</v>
          </cell>
        </row>
        <row r="106">
          <cell r="A106" t="str">
            <v>0501152100</v>
          </cell>
          <cell r="B106" t="str">
            <v>CAMPAÑA CAJA VOLTEO</v>
          </cell>
        </row>
        <row r="107">
          <cell r="A107" t="str">
            <v>0501152200</v>
          </cell>
          <cell r="B107" t="str">
            <v>CAMPAÑA CAJA SECA</v>
          </cell>
        </row>
        <row r="108">
          <cell r="A108" t="str">
            <v>0501152300</v>
          </cell>
          <cell r="B108" t="str">
            <v>CAMPAÑA PLANA</v>
          </cell>
        </row>
        <row r="109">
          <cell r="A109" t="str">
            <v>0501152400</v>
          </cell>
          <cell r="B109" t="str">
            <v>CAMPAÑA DOLLY</v>
          </cell>
        </row>
        <row r="110">
          <cell r="A110" t="str">
            <v>0501152500</v>
          </cell>
          <cell r="B110" t="str">
            <v>CAMPAÑA COMPRESOR/SOPLADOR</v>
          </cell>
        </row>
        <row r="111">
          <cell r="A111" t="str">
            <v>0501152600</v>
          </cell>
          <cell r="B111" t="str">
            <v>CAMPAÑA VEHÍCULO UTILITARIO</v>
          </cell>
        </row>
        <row r="112">
          <cell r="A112" t="str">
            <v>0501152700</v>
          </cell>
          <cell r="B112" t="str">
            <v>AUXILIO CARRETERA TRACTOR</v>
          </cell>
        </row>
        <row r="113">
          <cell r="A113" t="str">
            <v>0501152800</v>
          </cell>
          <cell r="B113" t="str">
            <v>AUXILIO CARRETERA TOLVA</v>
          </cell>
        </row>
        <row r="114">
          <cell r="A114" t="str">
            <v>0501152900</v>
          </cell>
          <cell r="B114" t="str">
            <v>AUXILIO CARRETERA CAJA VOLTEO</v>
          </cell>
        </row>
        <row r="115">
          <cell r="A115" t="str">
            <v>0501153000</v>
          </cell>
          <cell r="B115" t="str">
            <v>AUXILIO CARRETERA CAJA SECA</v>
          </cell>
        </row>
        <row r="116">
          <cell r="A116" t="str">
            <v>0501153100</v>
          </cell>
          <cell r="B116" t="str">
            <v>AUXILIO CARRETERA PLANA</v>
          </cell>
        </row>
        <row r="117">
          <cell r="A117" t="str">
            <v>0501153200</v>
          </cell>
          <cell r="B117" t="str">
            <v>AUXILIO CARRETERA DOLLY</v>
          </cell>
        </row>
        <row r="118">
          <cell r="A118" t="str">
            <v>0501153300</v>
          </cell>
          <cell r="B118" t="str">
            <v>AUXILIO CARR COMPR./SOPLADOR</v>
          </cell>
        </row>
        <row r="119">
          <cell r="A119" t="str">
            <v>0501153400</v>
          </cell>
          <cell r="B119" t="str">
            <v>FLETES PAGADOS POR COMPRAS</v>
          </cell>
        </row>
        <row r="120">
          <cell r="A120" t="str">
            <v>0501153500</v>
          </cell>
          <cell r="B120" t="str">
            <v>MANIOBRAS DE ARRASTRE</v>
          </cell>
        </row>
        <row r="121">
          <cell r="A121" t="str">
            <v>0501153600</v>
          </cell>
          <cell r="B121" t="str">
            <v>HERRAMIENTAS MENORES</v>
          </cell>
        </row>
        <row r="122">
          <cell r="A122" t="str">
            <v>0501153700</v>
          </cell>
          <cell r="B122" t="str">
            <v>SANDBLASTEO</v>
          </cell>
        </row>
        <row r="123">
          <cell r="A123" t="str">
            <v>0501153800</v>
          </cell>
          <cell r="B123" t="str">
            <v>MTTO. CUIDADO DE LA IMAGEN</v>
          </cell>
        </row>
        <row r="124">
          <cell r="A124" t="str">
            <v>0501153900</v>
          </cell>
          <cell r="B124" t="str">
            <v>LONAS Y ACCESORIOS</v>
          </cell>
        </row>
        <row r="125">
          <cell r="A125" t="str">
            <v>0501154000</v>
          </cell>
          <cell r="B125" t="str">
            <v>REPARACION TALLERES EXTERNOS</v>
          </cell>
        </row>
        <row r="126">
          <cell r="A126" t="str">
            <v>0501160100</v>
          </cell>
          <cell r="B126" t="str">
            <v>LLANTAS RENOVADAS</v>
          </cell>
        </row>
        <row r="127">
          <cell r="A127" t="str">
            <v>0501160200</v>
          </cell>
          <cell r="B127" t="str">
            <v>LLANTAS Y CAMARAS NUEVAS</v>
          </cell>
        </row>
        <row r="128">
          <cell r="A128" t="str">
            <v>0501160301</v>
          </cell>
          <cell r="B128" t="str">
            <v>DIESEL Y COMBUSTIBLES CON IVA</v>
          </cell>
        </row>
        <row r="129">
          <cell r="A129" t="str">
            <v>0501160302</v>
          </cell>
          <cell r="B129" t="str">
            <v>DIESEL Y COMBUSTIBLES SIN IVA</v>
          </cell>
        </row>
        <row r="130">
          <cell r="A130" t="str">
            <v>0501160401</v>
          </cell>
          <cell r="B130" t="str">
            <v>CASETAS SUJETAS ESTIMULO</v>
          </cell>
        </row>
        <row r="131">
          <cell r="A131" t="str">
            <v>0501160402</v>
          </cell>
          <cell r="B131" t="str">
            <v>CASETAS NO SUJETAS ESTIMULO</v>
          </cell>
        </row>
        <row r="132">
          <cell r="A132" t="str">
            <v>0501160500</v>
          </cell>
          <cell r="B132" t="str">
            <v>TALACHAS</v>
          </cell>
        </row>
        <row r="133">
          <cell r="A133" t="str">
            <v>0501160600</v>
          </cell>
          <cell r="B133" t="str">
            <v>ACEITES,LUBRICANTES,GRASAS</v>
          </cell>
        </row>
        <row r="134">
          <cell r="A134" t="str">
            <v>0501160700</v>
          </cell>
          <cell r="B134" t="str">
            <v>I.E.P.S</v>
          </cell>
        </row>
        <row r="135">
          <cell r="A135" t="str">
            <v>0501160800</v>
          </cell>
          <cell r="B135" t="str">
            <v>FLETES DIESEL</v>
          </cell>
        </row>
        <row r="136">
          <cell r="A136" t="str">
            <v>0501160900</v>
          </cell>
          <cell r="B136" t="str">
            <v>SERVICIO LOCALIZADOR SATELITAL</v>
          </cell>
        </row>
        <row r="137">
          <cell r="A137" t="str">
            <v>0501161000</v>
          </cell>
          <cell r="B137" t="str">
            <v>ENLONADAS</v>
          </cell>
        </row>
        <row r="138">
          <cell r="A138" t="str">
            <v>0501170100</v>
          </cell>
          <cell r="B138" t="str">
            <v>CUOTAS , SUSCRIPCIONES, APORT.</v>
          </cell>
        </row>
        <row r="139">
          <cell r="A139" t="str">
            <v>0501170200</v>
          </cell>
          <cell r="B139" t="str">
            <v>EVENTOS Y RECONOCIMIENTOS</v>
          </cell>
        </row>
        <row r="140">
          <cell r="A140" t="str">
            <v>0501170300</v>
          </cell>
          <cell r="B140" t="str">
            <v>CUOTAS SINDICALES</v>
          </cell>
        </row>
        <row r="141">
          <cell r="A141" t="str">
            <v>0501170400</v>
          </cell>
          <cell r="B141" t="str">
            <v>GASTOS LEGALES</v>
          </cell>
        </row>
        <row r="142">
          <cell r="A142" t="str">
            <v>0501170500</v>
          </cell>
          <cell r="B142" t="str">
            <v>PROGRAMAS Y GASTOS  SEGURIDAD</v>
          </cell>
        </row>
        <row r="143">
          <cell r="A143" t="str">
            <v>0501170600</v>
          </cell>
          <cell r="B143" t="str">
            <v>FACILIDADES ADMINISTRATIVAS</v>
          </cell>
        </row>
        <row r="144">
          <cell r="A144" t="str">
            <v>0501170700</v>
          </cell>
          <cell r="B144" t="str">
            <v>DEDUCCION CIEGA</v>
          </cell>
        </row>
        <row r="145">
          <cell r="A145" t="str">
            <v>0501170800</v>
          </cell>
          <cell r="B145" t="str">
            <v>16% DE DEDUCCION CIEGA</v>
          </cell>
        </row>
        <row r="146">
          <cell r="A146" t="str">
            <v>0501170900</v>
          </cell>
          <cell r="B146" t="str">
            <v>RECARGOS</v>
          </cell>
        </row>
        <row r="147">
          <cell r="A147" t="str">
            <v>0501171000</v>
          </cell>
          <cell r="B147" t="str">
            <v>GASTOS NO DEDUCIBLES</v>
          </cell>
        </row>
        <row r="148">
          <cell r="A148" t="str">
            <v>0501171100</v>
          </cell>
          <cell r="B148" t="str">
            <v>PUBLICIDAD</v>
          </cell>
        </row>
        <row r="149">
          <cell r="A149" t="str">
            <v>0501179900</v>
          </cell>
          <cell r="B149" t="str">
            <v>OTROS GASTOS</v>
          </cell>
        </row>
        <row r="150">
          <cell r="A150" t="str">
            <v>0502010100</v>
          </cell>
          <cell r="B150" t="str">
            <v>DEP. TRACTOCAMIONES</v>
          </cell>
        </row>
        <row r="151">
          <cell r="A151" t="str">
            <v>0502010200</v>
          </cell>
          <cell r="B151" t="str">
            <v>DEP. PLATAFORMAS</v>
          </cell>
        </row>
        <row r="152">
          <cell r="A152" t="str">
            <v>0502010300</v>
          </cell>
          <cell r="B152" t="str">
            <v>DEP. TOLVAS</v>
          </cell>
        </row>
        <row r="153">
          <cell r="A153" t="str">
            <v>0502010400</v>
          </cell>
          <cell r="B153" t="str">
            <v>DEP. DOLLYS</v>
          </cell>
        </row>
        <row r="154">
          <cell r="A154" t="str">
            <v>0502010500</v>
          </cell>
          <cell r="B154" t="str">
            <v>DEP. CAJAS DE VOLTEO</v>
          </cell>
        </row>
        <row r="155">
          <cell r="A155" t="str">
            <v>0502010600</v>
          </cell>
          <cell r="B155" t="str">
            <v>DEP. CAJAS SECAS</v>
          </cell>
        </row>
        <row r="156">
          <cell r="A156" t="str">
            <v>0502010700</v>
          </cell>
          <cell r="B156" t="str">
            <v>DEP. TANQUE</v>
          </cell>
        </row>
        <row r="157">
          <cell r="A157" t="str">
            <v>0502010800</v>
          </cell>
          <cell r="B157" t="str">
            <v>DEP. VEHICULO UTILITARIO</v>
          </cell>
        </row>
        <row r="158">
          <cell r="A158" t="str">
            <v>0502010900</v>
          </cell>
          <cell r="B158" t="str">
            <v>DEP. COMPRESORES /SOPLADORES</v>
          </cell>
        </row>
        <row r="159">
          <cell r="A159" t="str">
            <v>0502020100</v>
          </cell>
          <cell r="B159" t="str">
            <v>DEP. EQUIPO DE OFICINA</v>
          </cell>
        </row>
        <row r="160">
          <cell r="A160" t="str">
            <v>0502020200</v>
          </cell>
          <cell r="B160" t="str">
            <v>DEP. EQUIPO DE RADIOCOM.</v>
          </cell>
        </row>
        <row r="161">
          <cell r="A161" t="str">
            <v>0502030100</v>
          </cell>
          <cell r="B161" t="str">
            <v>DEP.  COMPUTADORAS</v>
          </cell>
        </row>
        <row r="162">
          <cell r="A162" t="str">
            <v>0502030200</v>
          </cell>
          <cell r="B162" t="str">
            <v>DEP. EQUIPO GEOLOCALIZADORES</v>
          </cell>
        </row>
        <row r="163">
          <cell r="A163" t="str">
            <v>0502030300</v>
          </cell>
          <cell r="B163" t="str">
            <v>DEP.  SOTFWARE</v>
          </cell>
        </row>
        <row r="164">
          <cell r="A164" t="str">
            <v>0502040100</v>
          </cell>
          <cell r="B164" t="str">
            <v>DEP.  MAQUINARIAS Y EQUIPOS</v>
          </cell>
        </row>
        <row r="165">
          <cell r="A165" t="str">
            <v>0502040200</v>
          </cell>
          <cell r="B165" t="str">
            <v>DEP.  HERRAMIENTAS</v>
          </cell>
        </row>
        <row r="166">
          <cell r="A166" t="str">
            <v>0502040300</v>
          </cell>
          <cell r="B166" t="str">
            <v>DEP.  ARCO DE LAVADO</v>
          </cell>
        </row>
        <row r="167">
          <cell r="A167" t="str">
            <v>0502040400</v>
          </cell>
          <cell r="B167" t="str">
            <v>DEP.  ESTACION DIESEL</v>
          </cell>
        </row>
        <row r="168">
          <cell r="A168" t="str">
            <v>0502040500</v>
          </cell>
          <cell r="B168" t="str">
            <v>DEP.  EQUIPO SATELITAL GPRS</v>
          </cell>
        </row>
        <row r="169">
          <cell r="A169" t="str">
            <v>0502050100</v>
          </cell>
          <cell r="B169" t="str">
            <v>AMORT. DE EDIFICIOS</v>
          </cell>
        </row>
        <row r="170">
          <cell r="A170" t="str">
            <v>0502060100</v>
          </cell>
          <cell r="B170" t="str">
            <v>AMORT. EDIFICIOS ARREND. FIN.</v>
          </cell>
        </row>
        <row r="171">
          <cell r="A171" t="str">
            <v>0502070100</v>
          </cell>
          <cell r="B171" t="str">
            <v>AMORT REMOD. INSTALACIONES</v>
          </cell>
        </row>
        <row r="172">
          <cell r="A172" t="str">
            <v>0502080100</v>
          </cell>
          <cell r="B172" t="str">
            <v>DEP. EQUIPO ECOLOGICO</v>
          </cell>
        </row>
        <row r="173">
          <cell r="A173" t="str">
            <v>0503010000</v>
          </cell>
          <cell r="B173" t="str">
            <v>SERVICIO DE COLABORACIÓN TEISA</v>
          </cell>
        </row>
        <row r="174">
          <cell r="A174" t="str">
            <v>0503020000</v>
          </cell>
          <cell r="B174" t="str">
            <v>SERVICIO DE COLABORACIÓN ATM</v>
          </cell>
        </row>
        <row r="175">
          <cell r="A175" t="str">
            <v>0503030000</v>
          </cell>
          <cell r="B175" t="str">
            <v>SERVICIO DE COLABORACION TBK</v>
          </cell>
        </row>
        <row r="176">
          <cell r="A176" t="str">
            <v>0503040000</v>
          </cell>
          <cell r="B176" t="str">
            <v>DEPURACIÒN DE SALDOS</v>
          </cell>
        </row>
        <row r="177">
          <cell r="A177" t="str">
            <v>0503050000</v>
          </cell>
          <cell r="B177" t="str">
            <v>PÉRDIDA X BAJA ACTIVOS OBSOLES</v>
          </cell>
        </row>
        <row r="178">
          <cell r="A178" t="str">
            <v>0503060000</v>
          </cell>
          <cell r="B178" t="str">
            <v>SALDO PENDIENTE POR DEDUCIR</v>
          </cell>
        </row>
        <row r="179">
          <cell r="A179" t="str">
            <v>0503070000</v>
          </cell>
          <cell r="B179" t="str">
            <v>DIFERENCIA DE INVENTARIOS</v>
          </cell>
        </row>
        <row r="180">
          <cell r="A180" t="str">
            <v>0503990000</v>
          </cell>
          <cell r="B180" t="str">
            <v>OTROS GASTOS</v>
          </cell>
        </row>
        <row r="181">
          <cell r="A181" t="str">
            <v>0504010000</v>
          </cell>
          <cell r="B181" t="str">
            <v>COMISIONES BANCARIAS</v>
          </cell>
        </row>
        <row r="182">
          <cell r="A182" t="str">
            <v>0504020000</v>
          </cell>
          <cell r="B182" t="str">
            <v>CUOTA USO DE SITEMAS BANCARIOS</v>
          </cell>
        </row>
        <row r="183">
          <cell r="A183" t="str">
            <v>0504030000</v>
          </cell>
          <cell r="B183" t="str">
            <v>INTERESES</v>
          </cell>
        </row>
        <row r="184">
          <cell r="A184" t="str">
            <v>0504030100</v>
          </cell>
          <cell r="B184" t="str">
            <v>INTERESES ARRENDAMIENTO FINAN</v>
          </cell>
        </row>
        <row r="185">
          <cell r="A185" t="str">
            <v>0504030200</v>
          </cell>
          <cell r="B185" t="str">
            <v>INTERESES PRESTAMO</v>
          </cell>
        </row>
        <row r="186">
          <cell r="A186" t="str">
            <v>0504040000</v>
          </cell>
          <cell r="B186" t="str">
            <v>PÉRDIDA CAMBIARIA</v>
          </cell>
        </row>
        <row r="187">
          <cell r="A187" t="str">
            <v>0504040100</v>
          </cell>
          <cell r="B187" t="str">
            <v>PERDIDA CAMBIARIA FINANCIERA</v>
          </cell>
        </row>
        <row r="188">
          <cell r="A188" t="str">
            <v>0504040200</v>
          </cell>
          <cell r="B188" t="str">
            <v>PERDIDA CAMB. ADQ.ACTIVO FIJO</v>
          </cell>
        </row>
        <row r="189">
          <cell r="A189" t="str">
            <v>0504049900</v>
          </cell>
          <cell r="B189" t="str">
            <v>PERDIDA CAMBIARIA OTROS</v>
          </cell>
        </row>
        <row r="190">
          <cell r="A190" t="str">
            <v>0505010000</v>
          </cell>
          <cell r="B190" t="str">
            <v>PROVISION IETU</v>
          </cell>
        </row>
        <row r="191">
          <cell r="A191" t="str">
            <v>0505020000</v>
          </cell>
          <cell r="B191" t="str">
            <v>PROVISION ISR</v>
          </cell>
        </row>
        <row r="192">
          <cell r="A192" t="str">
            <v>0506010000</v>
          </cell>
          <cell r="B192" t="str">
            <v>PROVISION PTU</v>
          </cell>
        </row>
        <row r="193">
          <cell r="A193" t="str">
            <v>0507010000</v>
          </cell>
          <cell r="B193" t="str">
            <v>PROVISION IETU DIFERIDO</v>
          </cell>
        </row>
        <row r="194">
          <cell r="A194" t="str">
            <v>0507020000</v>
          </cell>
          <cell r="B194" t="str">
            <v>PROVISION ISR DIFERIDO</v>
          </cell>
        </row>
        <row r="195">
          <cell r="A195" t="str">
            <v>0507030000</v>
          </cell>
          <cell r="B195" t="str">
            <v>PROVISION PTU DIFERIDO</v>
          </cell>
        </row>
      </sheetData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Información Macroeconómica"/>
      <sheetName val="Personal y KMS Recorridos"/>
      <sheetName val="Premisas Presupuesto 2014"/>
      <sheetName val="Edo.Res.detalle"/>
      <sheetName val="Gastos de Operación"/>
      <sheetName val="Vol e Ingresos 2014"/>
      <sheetName val="Presupuesto Otros"/>
      <sheetName val="Gtos Transp 2014"/>
      <sheetName val="Gtos Mtto 2014"/>
      <sheetName val="Gtos Transp 2014 (Otros)"/>
      <sheetName val="Gtos Mtto 2014 (Otros)"/>
      <sheetName val="Información Op. 2013"/>
      <sheetName val="Costo op 2013"/>
      <sheetName val="Cat. cuentas"/>
    </sheetNames>
    <sheetDataSet>
      <sheetData sheetId="0"/>
      <sheetData sheetId="1"/>
      <sheetData sheetId="2"/>
      <sheetData sheetId="3"/>
      <sheetData sheetId="4">
        <row r="7">
          <cell r="D7">
            <v>261509.95335371714</v>
          </cell>
          <cell r="E7">
            <v>255334.11007423658</v>
          </cell>
          <cell r="F7">
            <v>264006.23699455062</v>
          </cell>
          <cell r="G7">
            <v>278657.27625175525</v>
          </cell>
          <cell r="H7">
            <v>268755.11517448362</v>
          </cell>
          <cell r="I7">
            <v>270049.49327901669</v>
          </cell>
          <cell r="J7">
            <v>291506.31266018614</v>
          </cell>
          <cell r="K7">
            <v>285479.79345278424</v>
          </cell>
          <cell r="L7">
            <v>252653.79914623161</v>
          </cell>
          <cell r="M7">
            <v>326253.31036913814</v>
          </cell>
          <cell r="N7">
            <v>290005.49094189657</v>
          </cell>
          <cell r="O7">
            <v>289971.08765595045</v>
          </cell>
        </row>
        <row r="8">
          <cell r="D8">
            <v>30342.195661376027</v>
          </cell>
          <cell r="E8">
            <v>29625.714564725913</v>
          </cell>
          <cell r="F8">
            <v>30631.812368307961</v>
          </cell>
          <cell r="G8">
            <v>32331.77393639951</v>
          </cell>
          <cell r="H8">
            <v>31182.641717095597</v>
          </cell>
          <cell r="I8">
            <v>31333.175974464837</v>
          </cell>
          <cell r="J8">
            <v>33822.70654113574</v>
          </cell>
          <cell r="K8">
            <v>33123.630452057099</v>
          </cell>
          <cell r="L8">
            <v>29314.647891408844</v>
          </cell>
          <cell r="M8">
            <v>37854.251938792011</v>
          </cell>
          <cell r="N8">
            <v>33648.44616781512</v>
          </cell>
          <cell r="O8">
            <v>33645.44616781512</v>
          </cell>
        </row>
        <row r="9">
          <cell r="D9">
            <v>990.5165964750887</v>
          </cell>
          <cell r="E9">
            <v>967.12768621540636</v>
          </cell>
          <cell r="F9">
            <v>999.97097242245468</v>
          </cell>
          <cell r="G9">
            <v>1055.466259261533</v>
          </cell>
          <cell r="H9">
            <v>1017.9516789916554</v>
          </cell>
          <cell r="I9">
            <v>1022.8680151977269</v>
          </cell>
          <cell r="J9">
            <v>1104.138145619992</v>
          </cell>
          <cell r="K9">
            <v>1081.3179087482279</v>
          </cell>
          <cell r="L9">
            <v>956.97247603945027</v>
          </cell>
          <cell r="M9">
            <v>1235.7471048193881</v>
          </cell>
          <cell r="N9">
            <v>1098.4486725198594</v>
          </cell>
          <cell r="O9">
            <v>1098.3568513344146</v>
          </cell>
        </row>
        <row r="11">
          <cell r="D11">
            <v>0</v>
          </cell>
          <cell r="E11">
            <v>24897.902097902097</v>
          </cell>
          <cell r="F11">
            <v>27062.937062937061</v>
          </cell>
          <cell r="G11">
            <v>27062.937062937061</v>
          </cell>
          <cell r="H11">
            <v>84436.363636363632</v>
          </cell>
          <cell r="I11">
            <v>81188.811188811189</v>
          </cell>
          <cell r="J11">
            <v>87683.91608391609</v>
          </cell>
          <cell r="K11">
            <v>84436.363636363632</v>
          </cell>
          <cell r="L11">
            <v>81188.811188811189</v>
          </cell>
          <cell r="M11">
            <v>87683.91608391609</v>
          </cell>
          <cell r="N11">
            <v>77941.258741258745</v>
          </cell>
          <cell r="O11">
            <v>84436.363636363632</v>
          </cell>
        </row>
        <row r="13">
          <cell r="D13">
            <v>0</v>
          </cell>
          <cell r="E13">
            <v>20.748251748251747</v>
          </cell>
          <cell r="F13">
            <v>22.55244755244755</v>
          </cell>
          <cell r="G13">
            <v>22.55244755244755</v>
          </cell>
          <cell r="H13">
            <v>70.36363636363636</v>
          </cell>
          <cell r="I13">
            <v>67.657342657342653</v>
          </cell>
          <cell r="J13">
            <v>73.069930069930066</v>
          </cell>
          <cell r="K13">
            <v>70.36363636363636</v>
          </cell>
          <cell r="L13">
            <v>67.657342657342653</v>
          </cell>
          <cell r="M13">
            <v>73.069930069930066</v>
          </cell>
          <cell r="N13">
            <v>64.951048951048946</v>
          </cell>
          <cell r="O13">
            <v>70.36363636363636</v>
          </cell>
        </row>
        <row r="16">
          <cell r="D16">
            <v>6758460.4201867748</v>
          </cell>
          <cell r="E16">
            <v>6882083.2796128346</v>
          </cell>
          <cell r="F16">
            <v>7115814.4055977883</v>
          </cell>
          <cell r="G16">
            <v>7510711.7900302215</v>
          </cell>
          <cell r="H16">
            <v>7243794.5693133408</v>
          </cell>
          <cell r="I16">
            <v>7278718.4678575648</v>
          </cell>
          <cell r="J16">
            <v>7956829.2259416915</v>
          </cell>
          <cell r="K16">
            <v>7792349.2145622</v>
          </cell>
          <cell r="L16">
            <v>6896317.0683144536</v>
          </cell>
          <cell r="M16">
            <v>8905262.1901992634</v>
          </cell>
          <cell r="N16">
            <v>7915850.5022273669</v>
          </cell>
          <cell r="O16">
            <v>7915015.0045490647</v>
          </cell>
        </row>
        <row r="18">
          <cell r="D18">
            <v>0</v>
          </cell>
          <cell r="E18">
            <v>397551.32367632358</v>
          </cell>
          <cell r="F18">
            <v>432121.00399600388</v>
          </cell>
          <cell r="G18">
            <v>432121.00399600388</v>
          </cell>
          <cell r="H18">
            <v>1348217.5324675322</v>
          </cell>
          <cell r="I18">
            <v>1296363.0119880117</v>
          </cell>
          <cell r="J18">
            <v>1400072.0529470528</v>
          </cell>
          <cell r="K18">
            <v>1348217.5324675322</v>
          </cell>
          <cell r="L18">
            <v>1296363.0119880117</v>
          </cell>
          <cell r="M18">
            <v>1400072.0529470528</v>
          </cell>
          <cell r="N18">
            <v>1244508.4915084913</v>
          </cell>
          <cell r="O18">
            <v>1348217.5324675322</v>
          </cell>
        </row>
        <row r="25">
          <cell r="D25">
            <v>240500.87661208663</v>
          </cell>
          <cell r="E25">
            <v>261856.04458643499</v>
          </cell>
          <cell r="F25">
            <v>269888.33090074669</v>
          </cell>
          <cell r="G25">
            <v>260805.22042788935</v>
          </cell>
          <cell r="H25">
            <v>245335.69449629044</v>
          </cell>
          <cell r="I25">
            <v>246085.40018795413</v>
          </cell>
          <cell r="J25">
            <v>253365.96640727331</v>
          </cell>
          <cell r="K25">
            <v>272675.77687208896</v>
          </cell>
          <cell r="L25">
            <v>241213.03525036745</v>
          </cell>
          <cell r="M25">
            <v>265178.85653271037</v>
          </cell>
          <cell r="N25">
            <v>251655.54269780984</v>
          </cell>
          <cell r="O25">
            <v>264404.34592997161</v>
          </cell>
        </row>
        <row r="26">
          <cell r="D26">
            <v>695164.89173708088</v>
          </cell>
          <cell r="E26">
            <v>741789.30214770744</v>
          </cell>
          <cell r="F26">
            <v>768451.90183003154</v>
          </cell>
          <cell r="G26">
            <v>881199.19590285118</v>
          </cell>
          <cell r="H26">
            <v>929920.52724445646</v>
          </cell>
          <cell r="I26">
            <v>924419.00044496171</v>
          </cell>
          <cell r="J26">
            <v>986335.45912596781</v>
          </cell>
          <cell r="K26">
            <v>969633.56136661815</v>
          </cell>
          <cell r="L26">
            <v>878554.35808576527</v>
          </cell>
          <cell r="M26">
            <v>1076453.1473174812</v>
          </cell>
          <cell r="N26">
            <v>961957.98349799553</v>
          </cell>
          <cell r="O26">
            <v>976813.92797280103</v>
          </cell>
        </row>
        <row r="28">
          <cell r="D28">
            <v>503181.39373322227</v>
          </cell>
          <cell r="E28">
            <v>398100.10940096021</v>
          </cell>
          <cell r="F28">
            <v>480748.94162318233</v>
          </cell>
          <cell r="G28">
            <v>618610.90717873792</v>
          </cell>
          <cell r="H28">
            <v>433856.92784732481</v>
          </cell>
          <cell r="I28">
            <v>430447.93006954703</v>
          </cell>
          <cell r="J28">
            <v>443235.56229176931</v>
          </cell>
          <cell r="K28">
            <v>434755.84451399144</v>
          </cell>
          <cell r="L28">
            <v>435351.88673621375</v>
          </cell>
          <cell r="M28">
            <v>433315.32895843592</v>
          </cell>
          <cell r="N28">
            <v>405550.32118065812</v>
          </cell>
          <cell r="O28">
            <v>410129.28340288036</v>
          </cell>
        </row>
        <row r="29">
          <cell r="D29">
            <v>3099504.2104537101</v>
          </cell>
          <cell r="E29">
            <v>3262879.5765411546</v>
          </cell>
          <cell r="F29">
            <v>3410945.6197274732</v>
          </cell>
          <cell r="G29">
            <v>3581932.2548698839</v>
          </cell>
          <cell r="H29">
            <v>4236322.8200448034</v>
          </cell>
          <cell r="I29">
            <v>4187606.5629886054</v>
          </cell>
          <cell r="J29">
            <v>4516890.428189422</v>
          </cell>
          <cell r="K29">
            <v>4440208.7467284789</v>
          </cell>
          <cell r="L29">
            <v>4058125.0434479308</v>
          </cell>
          <cell r="M29">
            <v>5007234.7220958723</v>
          </cell>
          <cell r="N29">
            <v>4481611.813100365</v>
          </cell>
          <cell r="O29">
            <v>4597413.9806697899</v>
          </cell>
        </row>
      </sheetData>
      <sheetData sheetId="5">
        <row r="22">
          <cell r="F22">
            <v>81325.005677108857</v>
          </cell>
          <cell r="G22">
            <v>87147.237374867123</v>
          </cell>
          <cell r="H22">
            <v>90517.404515915361</v>
          </cell>
          <cell r="I22">
            <v>95073.62058145112</v>
          </cell>
          <cell r="J22">
            <v>109836.35097264397</v>
          </cell>
          <cell r="K22">
            <v>109228.94803253641</v>
          </cell>
          <cell r="L22">
            <v>117921.50589238745</v>
          </cell>
          <cell r="M22">
            <v>115037.43237886831</v>
          </cell>
          <cell r="N22">
            <v>103819.19247270703</v>
          </cell>
          <cell r="O22">
            <v>128727.21232804592</v>
          </cell>
          <cell r="P22">
            <v>114424.98124108599</v>
          </cell>
          <cell r="Q22">
            <v>116434.1460484089</v>
          </cell>
        </row>
        <row r="23">
          <cell r="F23">
            <v>102604.53170675784</v>
          </cell>
          <cell r="G23">
            <v>109950.21034351789</v>
          </cell>
          <cell r="H23">
            <v>114202.21645654163</v>
          </cell>
          <cell r="I23">
            <v>119950.61342088012</v>
          </cell>
          <cell r="J23">
            <v>138576.16439244093</v>
          </cell>
          <cell r="K23">
            <v>137809.82821197406</v>
          </cell>
          <cell r="L23">
            <v>148776.88343832199</v>
          </cell>
          <cell r="M23">
            <v>145138.16236110003</v>
          </cell>
          <cell r="N23">
            <v>130984.5543464161</v>
          </cell>
          <cell r="O23">
            <v>162410.01434757092</v>
          </cell>
          <cell r="P23">
            <v>144365.45707000018</v>
          </cell>
          <cell r="Q23">
            <v>146900.34055953298</v>
          </cell>
        </row>
        <row r="24">
          <cell r="F24">
            <v>10093.113619582886</v>
          </cell>
          <cell r="G24">
            <v>9854.7537135175789</v>
          </cell>
          <cell r="H24">
            <v>10189.458994168148</v>
          </cell>
          <cell r="I24">
            <v>10754.923528009125</v>
          </cell>
          <cell r="J24">
            <v>10372.744434821301</v>
          </cell>
          <cell r="K24">
            <v>10422.701635716374</v>
          </cell>
          <cell r="L24">
            <v>11250.838818074726</v>
          </cell>
          <cell r="M24">
            <v>11018.242152782095</v>
          </cell>
          <cell r="N24">
            <v>9751.3057093967855</v>
          </cell>
          <cell r="O24">
            <v>12591.91739393098</v>
          </cell>
          <cell r="P24">
            <v>11192.913817778675</v>
          </cell>
          <cell r="Q24">
            <v>11191.58600493833</v>
          </cell>
        </row>
        <row r="25">
          <cell r="F25">
            <v>40448.413941131788</v>
          </cell>
          <cell r="G25">
            <v>43344.202706362616</v>
          </cell>
          <cell r="H25">
            <v>45020.414277907454</v>
          </cell>
          <cell r="I25">
            <v>47286.528025943735</v>
          </cell>
          <cell r="J25">
            <v>54629.030184936797</v>
          </cell>
          <cell r="K25">
            <v>54326.927709247131</v>
          </cell>
          <cell r="L25">
            <v>58650.323392961916</v>
          </cell>
          <cell r="M25">
            <v>57215.878988806013</v>
          </cell>
          <cell r="N25">
            <v>51636.291165388764</v>
          </cell>
          <cell r="O25">
            <v>64024.730479648322</v>
          </cell>
          <cell r="P25">
            <v>56911.265703710247</v>
          </cell>
          <cell r="Q25">
            <v>57910.558960758564</v>
          </cell>
        </row>
        <row r="26">
          <cell r="F26">
            <v>5270.3666194659463</v>
          </cell>
          <cell r="G26">
            <v>5647.6834771184867</v>
          </cell>
          <cell r="H26">
            <v>5866.0912872909639</v>
          </cell>
          <cell r="I26">
            <v>6161.3624509747942</v>
          </cell>
          <cell r="J26">
            <v>7118.0792789432253</v>
          </cell>
          <cell r="K26">
            <v>7078.7157873153446</v>
          </cell>
          <cell r="L26">
            <v>7642.0476481728783</v>
          </cell>
          <cell r="M26">
            <v>7455.1417310176139</v>
          </cell>
          <cell r="N26">
            <v>6728.1299510819454</v>
          </cell>
          <cell r="O26">
            <v>8342.3246911817168</v>
          </cell>
          <cell r="P26">
            <v>7415.4510847551637</v>
          </cell>
          <cell r="Q26">
            <v>7545.6574714053277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5270.3666194659463</v>
          </cell>
          <cell r="G28">
            <v>5647.6834771184867</v>
          </cell>
          <cell r="H28">
            <v>5866.0912872909639</v>
          </cell>
          <cell r="I28">
            <v>6161.3624509747942</v>
          </cell>
          <cell r="J28">
            <v>7118.0792789432253</v>
          </cell>
          <cell r="K28">
            <v>7078.7157873153446</v>
          </cell>
          <cell r="L28">
            <v>7642.0476481728783</v>
          </cell>
          <cell r="M28">
            <v>7455.1417310176139</v>
          </cell>
          <cell r="N28">
            <v>6728.1299510819454</v>
          </cell>
          <cell r="O28">
            <v>8342.3246911817168</v>
          </cell>
          <cell r="P28">
            <v>7415.4510847551637</v>
          </cell>
          <cell r="Q28">
            <v>7545.6574714053277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310491.90678874467</v>
          </cell>
          <cell r="G31">
            <v>339611.92120253027</v>
          </cell>
          <cell r="H31">
            <v>352152.38559335505</v>
          </cell>
          <cell r="I31">
            <v>446682.88530431699</v>
          </cell>
          <cell r="J31">
            <v>452015.84184146079</v>
          </cell>
          <cell r="K31">
            <v>438777.93311915378</v>
          </cell>
          <cell r="L31">
            <v>471973.08775153483</v>
          </cell>
          <cell r="M31">
            <v>459531.79512946471</v>
          </cell>
          <cell r="N31">
            <v>423552.8019196525</v>
          </cell>
          <cell r="O31">
            <v>516217.91510041594</v>
          </cell>
          <cell r="P31">
            <v>458634.06860999361</v>
          </cell>
          <cell r="Q31">
            <v>469306.01912556856</v>
          </cell>
        </row>
        <row r="32">
          <cell r="F32">
            <v>725.55814221496894</v>
          </cell>
          <cell r="G32">
            <v>777.50240682335937</v>
          </cell>
          <cell r="H32">
            <v>807.57006177713174</v>
          </cell>
          <cell r="I32">
            <v>848.2193016574879</v>
          </cell>
          <cell r="J32">
            <v>979.9281057021127</v>
          </cell>
          <cell r="K32">
            <v>974.50903262451448</v>
          </cell>
          <cell r="L32">
            <v>1052.0615157676532</v>
          </cell>
          <cell r="M32">
            <v>1026.330647345847</v>
          </cell>
          <cell r="N32">
            <v>926.24476063158022</v>
          </cell>
          <cell r="O32">
            <v>1148.4668983618474</v>
          </cell>
          <cell r="P32">
            <v>1020.8665357109693</v>
          </cell>
          <cell r="Q32">
            <v>1038.7917221018906</v>
          </cell>
        </row>
        <row r="33">
          <cell r="F33">
            <v>903.00000000000011</v>
          </cell>
          <cell r="G33">
            <v>994.34502877089483</v>
          </cell>
          <cell r="H33">
            <v>1002.1804114564064</v>
          </cell>
          <cell r="I33">
            <v>1000.5725968953346</v>
          </cell>
          <cell r="J33">
            <v>1202.4708921432575</v>
          </cell>
          <cell r="K33">
            <v>1193.9913664948908</v>
          </cell>
          <cell r="L33">
            <v>1198.0330631138902</v>
          </cell>
          <cell r="M33">
            <v>1197.2914965937989</v>
          </cell>
          <cell r="N33">
            <v>1224.8859935071375</v>
          </cell>
          <cell r="O33">
            <v>1179.947017750646</v>
          </cell>
          <cell r="P33">
            <v>1183.7510949858668</v>
          </cell>
          <cell r="Q33">
            <v>1208.5528155324507</v>
          </cell>
        </row>
        <row r="34">
          <cell r="F34">
            <v>97706.941847943832</v>
          </cell>
          <cell r="G34">
            <v>95399.48565963564</v>
          </cell>
          <cell r="H34">
            <v>98639.618548784318</v>
          </cell>
          <cell r="I34">
            <v>104113.62908779956</v>
          </cell>
          <cell r="J34">
            <v>100413.9233437612</v>
          </cell>
          <cell r="K34">
            <v>100897.53677631688</v>
          </cell>
          <cell r="L34">
            <v>108914.36434494892</v>
          </cell>
          <cell r="M34">
            <v>106662.69952610861</v>
          </cell>
          <cell r="N34">
            <v>94398.05156269799</v>
          </cell>
          <cell r="O34">
            <v>121896.74930200298</v>
          </cell>
          <cell r="P34">
            <v>108353.61819180075</v>
          </cell>
          <cell r="Q34">
            <v>108340.76422652637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2006.6666666666667</v>
          </cell>
          <cell r="G37">
            <v>2209.6556194908776</v>
          </cell>
          <cell r="H37">
            <v>2227.0675810142366</v>
          </cell>
          <cell r="I37">
            <v>2223.4946597674102</v>
          </cell>
          <cell r="J37">
            <v>2672.1575380961276</v>
          </cell>
          <cell r="K37">
            <v>2653.314147766424</v>
          </cell>
          <cell r="L37">
            <v>2662.2956958086452</v>
          </cell>
          <cell r="M37">
            <v>2660.6477702084417</v>
          </cell>
          <cell r="N37">
            <v>2721.9688744603054</v>
          </cell>
          <cell r="O37">
            <v>2622.1044838903244</v>
          </cell>
          <cell r="P37">
            <v>2630.5579888574812</v>
          </cell>
          <cell r="Q37">
            <v>2685.672923405446</v>
          </cell>
        </row>
        <row r="38">
          <cell r="F38">
            <v>16452.35344133067</v>
          </cell>
          <cell r="G38">
            <v>17630.212734561563</v>
          </cell>
          <cell r="H38">
            <v>18312.01017803216</v>
          </cell>
          <cell r="I38">
            <v>19233.74976404442</v>
          </cell>
          <cell r="J38">
            <v>22220.305450487416</v>
          </cell>
          <cell r="K38">
            <v>22097.425559256553</v>
          </cell>
          <cell r="L38">
            <v>23855.962592592914</v>
          </cell>
          <cell r="M38">
            <v>23272.50371177106</v>
          </cell>
          <cell r="N38">
            <v>21003.011734621934</v>
          </cell>
          <cell r="O38">
            <v>26041.997502551189</v>
          </cell>
          <cell r="P38">
            <v>23148.602551230768</v>
          </cell>
          <cell r="Q38">
            <v>23555.064121774056</v>
          </cell>
        </row>
        <row r="39">
          <cell r="F39">
            <v>301</v>
          </cell>
          <cell r="G39">
            <v>331.44834292363169</v>
          </cell>
          <cell r="H39">
            <v>334.0601371521355</v>
          </cell>
          <cell r="I39">
            <v>333.52419896511151</v>
          </cell>
          <cell r="J39">
            <v>400.82363071441915</v>
          </cell>
          <cell r="K39">
            <v>397.99712216496363</v>
          </cell>
          <cell r="L39">
            <v>399.34435437129667</v>
          </cell>
          <cell r="M39">
            <v>399.09716553126628</v>
          </cell>
          <cell r="N39">
            <v>408.29533116904582</v>
          </cell>
          <cell r="O39">
            <v>393.31567258354869</v>
          </cell>
          <cell r="P39">
            <v>394.58369832862223</v>
          </cell>
          <cell r="Q39">
            <v>402.85093851081689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100.33333333333334</v>
          </cell>
          <cell r="G42">
            <v>110.48278097454389</v>
          </cell>
          <cell r="H42">
            <v>111.35337905071184</v>
          </cell>
          <cell r="I42">
            <v>111.17473298837052</v>
          </cell>
          <cell r="J42">
            <v>133.60787690480637</v>
          </cell>
          <cell r="K42">
            <v>132.66570738832121</v>
          </cell>
          <cell r="L42">
            <v>133.11478479043222</v>
          </cell>
          <cell r="M42">
            <v>133.03238851042209</v>
          </cell>
          <cell r="N42">
            <v>136.09844372301529</v>
          </cell>
          <cell r="O42">
            <v>131.10522419451624</v>
          </cell>
          <cell r="P42">
            <v>131.52789944287406</v>
          </cell>
          <cell r="Q42">
            <v>134.28364617027231</v>
          </cell>
        </row>
        <row r="43">
          <cell r="F43">
            <v>100.33333333333334</v>
          </cell>
          <cell r="G43">
            <v>110.48278097454389</v>
          </cell>
          <cell r="H43">
            <v>111.35337905071184</v>
          </cell>
          <cell r="I43">
            <v>111.17473298837052</v>
          </cell>
          <cell r="J43">
            <v>133.60787690480637</v>
          </cell>
          <cell r="K43">
            <v>132.66570738832121</v>
          </cell>
          <cell r="L43">
            <v>133.11478479043222</v>
          </cell>
          <cell r="M43">
            <v>133.03238851042209</v>
          </cell>
          <cell r="N43">
            <v>136.09844372301529</v>
          </cell>
          <cell r="O43">
            <v>131.10522419451624</v>
          </cell>
          <cell r="P43">
            <v>131.52789944287406</v>
          </cell>
          <cell r="Q43">
            <v>134.28364617027231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2000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1800</v>
          </cell>
          <cell r="G48">
            <v>1097.5110692835485</v>
          </cell>
          <cell r="H48">
            <v>3087.0243697227043</v>
          </cell>
          <cell r="I48">
            <v>1097.1190755431301</v>
          </cell>
          <cell r="J48">
            <v>1314.1758384079317</v>
          </cell>
          <cell r="K48">
            <v>10405.153520652644</v>
          </cell>
          <cell r="L48">
            <v>3251.989856443784</v>
          </cell>
          <cell r="M48">
            <v>10366.160143669254</v>
          </cell>
          <cell r="N48">
            <v>1321.3441138156822</v>
          </cell>
          <cell r="O48">
            <v>1268.7602341404795</v>
          </cell>
          <cell r="P48">
            <v>3552.5220428300395</v>
          </cell>
          <cell r="Q48">
            <v>1291.1889054833875</v>
          </cell>
        </row>
        <row r="49">
          <cell r="F49">
            <v>3010.0000000000005</v>
          </cell>
          <cell r="G49">
            <v>3314.4834292363166</v>
          </cell>
          <cell r="H49">
            <v>3340.6013715213548</v>
          </cell>
          <cell r="I49">
            <v>3335.2419896511155</v>
          </cell>
          <cell r="J49">
            <v>4008.2363071441914</v>
          </cell>
          <cell r="K49">
            <v>3979.9712216496364</v>
          </cell>
          <cell r="L49">
            <v>3993.4435437129673</v>
          </cell>
          <cell r="M49">
            <v>3990.9716553126632</v>
          </cell>
          <cell r="N49">
            <v>4082.9533116904581</v>
          </cell>
          <cell r="O49">
            <v>3933.1567258354871</v>
          </cell>
          <cell r="P49">
            <v>3945.8369832862222</v>
          </cell>
          <cell r="Q49">
            <v>4028.5093851081692</v>
          </cell>
        </row>
        <row r="50">
          <cell r="F50">
            <v>16555</v>
          </cell>
          <cell r="G50">
            <v>16610</v>
          </cell>
          <cell r="H50">
            <v>16665</v>
          </cell>
          <cell r="I50">
            <v>16720</v>
          </cell>
          <cell r="J50">
            <v>16775</v>
          </cell>
          <cell r="K50">
            <v>16830</v>
          </cell>
          <cell r="L50">
            <v>16885</v>
          </cell>
          <cell r="M50">
            <v>16940</v>
          </cell>
          <cell r="N50">
            <v>16995</v>
          </cell>
          <cell r="O50">
            <v>17050</v>
          </cell>
          <cell r="P50">
            <v>17105</v>
          </cell>
          <cell r="Q50">
            <v>17160</v>
          </cell>
        </row>
        <row r="58">
          <cell r="F58">
            <v>122235</v>
          </cell>
          <cell r="G58">
            <v>122235</v>
          </cell>
          <cell r="H58">
            <v>122235</v>
          </cell>
          <cell r="I58">
            <v>122235</v>
          </cell>
          <cell r="J58">
            <v>122235</v>
          </cell>
          <cell r="K58">
            <v>122235</v>
          </cell>
          <cell r="L58">
            <v>122235</v>
          </cell>
          <cell r="M58">
            <v>122235</v>
          </cell>
          <cell r="N58">
            <v>122235</v>
          </cell>
          <cell r="O58">
            <v>122235</v>
          </cell>
          <cell r="P58">
            <v>122235</v>
          </cell>
          <cell r="Q58">
            <v>122235</v>
          </cell>
        </row>
        <row r="59">
          <cell r="F59">
            <v>83534.956045419967</v>
          </cell>
          <cell r="G59">
            <v>81562.186786434992</v>
          </cell>
          <cell r="H59">
            <v>84332.351867413308</v>
          </cell>
          <cell r="I59">
            <v>89012.37993011158</v>
          </cell>
          <cell r="J59">
            <v>85849.301126660765</v>
          </cell>
          <cell r="K59">
            <v>86262.768440931875</v>
          </cell>
          <cell r="L59">
            <v>93116.788492153864</v>
          </cell>
          <cell r="M59">
            <v>91191.71829638863</v>
          </cell>
          <cell r="N59">
            <v>80706.006542862742</v>
          </cell>
          <cell r="O59">
            <v>104216.13247162216</v>
          </cell>
          <cell r="P59">
            <v>92637.3762378151</v>
          </cell>
          <cell r="Q59">
            <v>92626.386686777085</v>
          </cell>
        </row>
        <row r="60">
          <cell r="F60">
            <v>650</v>
          </cell>
          <cell r="G60">
            <v>0</v>
          </cell>
          <cell r="H60">
            <v>0</v>
          </cell>
          <cell r="I60">
            <v>3575</v>
          </cell>
          <cell r="J60">
            <v>0</v>
          </cell>
          <cell r="K60">
            <v>0</v>
          </cell>
          <cell r="L60">
            <v>0</v>
          </cell>
          <cell r="M60">
            <v>12300</v>
          </cell>
          <cell r="N60">
            <v>0</v>
          </cell>
          <cell r="O60">
            <v>0</v>
          </cell>
          <cell r="P60">
            <v>0</v>
          </cell>
          <cell r="Q60">
            <v>3575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F65">
            <v>0</v>
          </cell>
          <cell r="G65">
            <v>0</v>
          </cell>
          <cell r="H65">
            <v>2500</v>
          </cell>
          <cell r="I65">
            <v>2500</v>
          </cell>
          <cell r="J65">
            <v>2500</v>
          </cell>
          <cell r="K65">
            <v>2500</v>
          </cell>
          <cell r="L65">
            <v>2500</v>
          </cell>
          <cell r="M65">
            <v>2500</v>
          </cell>
          <cell r="N65">
            <v>2500</v>
          </cell>
          <cell r="O65">
            <v>2500</v>
          </cell>
          <cell r="P65">
            <v>0</v>
          </cell>
          <cell r="Q65">
            <v>0</v>
          </cell>
        </row>
        <row r="66">
          <cell r="F66">
            <v>3612.0000000000005</v>
          </cell>
          <cell r="G66">
            <v>3623.9999999999995</v>
          </cell>
          <cell r="H66">
            <v>3636</v>
          </cell>
          <cell r="I66">
            <v>3648.0000000000005</v>
          </cell>
          <cell r="J66">
            <v>3660</v>
          </cell>
          <cell r="K66">
            <v>3672</v>
          </cell>
          <cell r="L66">
            <v>3684.0000000000005</v>
          </cell>
          <cell r="M66">
            <v>3696</v>
          </cell>
          <cell r="N66">
            <v>3708</v>
          </cell>
          <cell r="O66">
            <v>3720.0000000000005</v>
          </cell>
          <cell r="P66">
            <v>3732</v>
          </cell>
          <cell r="Q66">
            <v>3744</v>
          </cell>
        </row>
        <row r="67">
          <cell r="F67">
            <v>2500</v>
          </cell>
          <cell r="G67">
            <v>2516.6666666666665</v>
          </cell>
          <cell r="H67">
            <v>2541.833333333333</v>
          </cell>
          <cell r="I67">
            <v>2575.7244444444445</v>
          </cell>
          <cell r="J67">
            <v>2618.6531851851851</v>
          </cell>
          <cell r="K67">
            <v>2671.0262488888889</v>
          </cell>
          <cell r="L67">
            <v>2733.3501946962965</v>
          </cell>
          <cell r="M67">
            <v>2806.239533221531</v>
          </cell>
          <cell r="N67">
            <v>2890.4267192181769</v>
          </cell>
          <cell r="O67">
            <v>2986.7742765254497</v>
          </cell>
          <cell r="P67">
            <v>3096.2893333313827</v>
          </cell>
          <cell r="Q67">
            <v>3220.1409066646384</v>
          </cell>
        </row>
        <row r="68">
          <cell r="F68">
            <v>0</v>
          </cell>
          <cell r="G68">
            <v>23800</v>
          </cell>
          <cell r="H68">
            <v>23800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F69">
            <v>0</v>
          </cell>
          <cell r="G69">
            <v>0</v>
          </cell>
          <cell r="H69">
            <v>2500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F71">
            <v>1500</v>
          </cell>
          <cell r="G71">
            <v>1510</v>
          </cell>
          <cell r="H71">
            <v>1525.1</v>
          </cell>
          <cell r="I71">
            <v>1545.4346666666668</v>
          </cell>
          <cell r="J71">
            <v>1571.191911111111</v>
          </cell>
          <cell r="K71">
            <v>1602.6157493333333</v>
          </cell>
          <cell r="L71">
            <v>1640.0101168177778</v>
          </cell>
          <cell r="M71">
            <v>1683.7437199329183</v>
          </cell>
          <cell r="N71">
            <v>1734.2560315309058</v>
          </cell>
          <cell r="O71">
            <v>1792.0645659152694</v>
          </cell>
          <cell r="P71">
            <v>1857.7735999988292</v>
          </cell>
          <cell r="Q71">
            <v>1932.0845439987825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F74">
            <v>320</v>
          </cell>
          <cell r="G74">
            <v>320</v>
          </cell>
          <cell r="H74">
            <v>320</v>
          </cell>
          <cell r="I74">
            <v>320</v>
          </cell>
          <cell r="J74">
            <v>320</v>
          </cell>
          <cell r="K74">
            <v>320</v>
          </cell>
          <cell r="L74">
            <v>320</v>
          </cell>
          <cell r="M74">
            <v>320</v>
          </cell>
          <cell r="N74">
            <v>320</v>
          </cell>
          <cell r="O74">
            <v>320</v>
          </cell>
          <cell r="P74">
            <v>320</v>
          </cell>
          <cell r="Q74">
            <v>320</v>
          </cell>
        </row>
        <row r="75">
          <cell r="F75">
            <v>5126.88</v>
          </cell>
          <cell r="G75">
            <v>5126.88</v>
          </cell>
          <cell r="H75">
            <v>5126.88</v>
          </cell>
          <cell r="I75">
            <v>5126.88</v>
          </cell>
          <cell r="J75">
            <v>5126.88</v>
          </cell>
          <cell r="K75">
            <v>5126.88</v>
          </cell>
          <cell r="L75">
            <v>5126.88</v>
          </cell>
          <cell r="M75">
            <v>5126.88</v>
          </cell>
          <cell r="N75">
            <v>5126.88</v>
          </cell>
          <cell r="O75">
            <v>5126.88</v>
          </cell>
          <cell r="P75">
            <v>5126.88</v>
          </cell>
          <cell r="Q75">
            <v>5126.88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F78">
            <v>262.04056666666668</v>
          </cell>
          <cell r="G78">
            <v>262.91113333333334</v>
          </cell>
          <cell r="H78">
            <v>263.7817</v>
          </cell>
          <cell r="I78">
            <v>264.65226666666672</v>
          </cell>
          <cell r="J78">
            <v>265.52283333333332</v>
          </cell>
          <cell r="K78">
            <v>266.39340000000004</v>
          </cell>
          <cell r="L78">
            <v>267.2639666666667</v>
          </cell>
          <cell r="M78">
            <v>268.13453333333331</v>
          </cell>
          <cell r="N78">
            <v>269.00510000000003</v>
          </cell>
          <cell r="O78">
            <v>269.87566666666669</v>
          </cell>
          <cell r="P78">
            <v>270.74623333333335</v>
          </cell>
          <cell r="Q78">
            <v>271.61680000000001</v>
          </cell>
        </row>
        <row r="79">
          <cell r="F79">
            <v>18060</v>
          </cell>
          <cell r="G79">
            <v>18180.399999999998</v>
          </cell>
          <cell r="H79">
            <v>18362.203999999998</v>
          </cell>
          <cell r="I79">
            <v>27220.366720000002</v>
          </cell>
          <cell r="J79">
            <v>18361</v>
          </cell>
          <cell r="K79">
            <v>18544.007999999998</v>
          </cell>
          <cell r="L79">
            <v>18790.655426666668</v>
          </cell>
          <cell r="M79">
            <v>27517.322093333336</v>
          </cell>
          <cell r="N79">
            <v>18601.8</v>
          </cell>
          <cell r="O79">
            <v>18786.413333333334</v>
          </cell>
          <cell r="P79">
            <v>19035.484813333329</v>
          </cell>
          <cell r="Q79">
            <v>27875.484813333329</v>
          </cell>
        </row>
        <row r="80">
          <cell r="F80">
            <v>1500</v>
          </cell>
          <cell r="G80">
            <v>1510</v>
          </cell>
          <cell r="H80">
            <v>1525.1</v>
          </cell>
          <cell r="I80">
            <v>1545.4346666666668</v>
          </cell>
          <cell r="J80">
            <v>1571.191911111111</v>
          </cell>
          <cell r="K80">
            <v>1602.6157493333333</v>
          </cell>
          <cell r="L80">
            <v>1640.0101168177778</v>
          </cell>
          <cell r="M80">
            <v>1683.7437199329183</v>
          </cell>
          <cell r="N80">
            <v>1734.2560315309058</v>
          </cell>
          <cell r="O80">
            <v>1792.0645659152694</v>
          </cell>
          <cell r="P80">
            <v>1857.7735999988292</v>
          </cell>
          <cell r="Q80">
            <v>1932.0845439987825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3">
          <cell r="F83">
            <v>1200</v>
          </cell>
          <cell r="G83">
            <v>1208</v>
          </cell>
          <cell r="H83">
            <v>1220.08</v>
          </cell>
          <cell r="I83">
            <v>1236.3477333333333</v>
          </cell>
          <cell r="J83">
            <v>1256.9535288888887</v>
          </cell>
          <cell r="K83">
            <v>1282.0925994666666</v>
          </cell>
          <cell r="L83">
            <v>1312.0080934542223</v>
          </cell>
          <cell r="M83">
            <v>1346.9949759463348</v>
          </cell>
          <cell r="N83">
            <v>1387.4048252247248</v>
          </cell>
          <cell r="O83">
            <v>1433.6516527322158</v>
          </cell>
          <cell r="P83">
            <v>1486.2188799990636</v>
          </cell>
          <cell r="Q83">
            <v>1545.6676351990261</v>
          </cell>
        </row>
        <row r="94"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F95">
            <v>1541457.9098960725</v>
          </cell>
          <cell r="G95">
            <v>1620249.8434986619</v>
          </cell>
          <cell r="H95">
            <v>1699858.8237174265</v>
          </cell>
          <cell r="I95">
            <v>1785336.2049657032</v>
          </cell>
          <cell r="J95">
            <v>2127672.8637480699</v>
          </cell>
          <cell r="K95">
            <v>2096460.0447170425</v>
          </cell>
          <cell r="L95">
            <v>2286092.6898288177</v>
          </cell>
          <cell r="M95">
            <v>2245344.6590684783</v>
          </cell>
          <cell r="N95">
            <v>2038801.4099543502</v>
          </cell>
          <cell r="O95">
            <v>2568896.9632758684</v>
          </cell>
          <cell r="P95">
            <v>2286795.9818610372</v>
          </cell>
          <cell r="Q95">
            <v>2351428.5179612334</v>
          </cell>
        </row>
        <row r="96">
          <cell r="F96">
            <v>926728</v>
          </cell>
          <cell r="G96">
            <v>977932.72727517586</v>
          </cell>
          <cell r="H96">
            <v>1014257.0319468292</v>
          </cell>
          <cell r="I96">
            <v>1064282.8197577188</v>
          </cell>
          <cell r="J96">
            <v>1257874.0957899161</v>
          </cell>
          <cell r="K96">
            <v>1242520.5884949057</v>
          </cell>
          <cell r="L96">
            <v>1313335.9337834665</v>
          </cell>
          <cell r="M96">
            <v>1298449.4233039203</v>
          </cell>
          <cell r="N96">
            <v>1206165.2533546346</v>
          </cell>
          <cell r="O96">
            <v>1429854.0500415</v>
          </cell>
          <cell r="P96">
            <v>1298573.2160914964</v>
          </cell>
          <cell r="Q96">
            <v>1329321.9610119287</v>
          </cell>
        </row>
        <row r="97">
          <cell r="F97">
            <v>70339.981742285177</v>
          </cell>
          <cell r="G97">
            <v>73560.925105109287</v>
          </cell>
          <cell r="H97">
            <v>79313.731696287534</v>
          </cell>
          <cell r="I97">
            <v>83269.61162552255</v>
          </cell>
          <cell r="J97">
            <v>96388.772806098976</v>
          </cell>
          <cell r="K97">
            <v>95915.839878739876</v>
          </cell>
          <cell r="L97">
            <v>103693.33795924175</v>
          </cell>
          <cell r="M97">
            <v>100955.566453787</v>
          </cell>
          <cell r="N97">
            <v>90949.563188885732</v>
          </cell>
          <cell r="O97">
            <v>113498.1546364996</v>
          </cell>
          <cell r="P97">
            <v>100157.19135892486</v>
          </cell>
          <cell r="Q97">
            <v>102217.53041089745</v>
          </cell>
        </row>
        <row r="98">
          <cell r="F98">
            <v>43296.893796141063</v>
          </cell>
          <cell r="G98">
            <v>45307.703210556916</v>
          </cell>
          <cell r="H98">
            <v>48848.1047989125</v>
          </cell>
          <cell r="I98">
            <v>51285.048413841694</v>
          </cell>
          <cell r="J98">
            <v>59362.02006875199</v>
          </cell>
          <cell r="K98">
            <v>59069.806179303232</v>
          </cell>
          <cell r="L98">
            <v>63857.292325646908</v>
          </cell>
          <cell r="M98">
            <v>62174.487467913401</v>
          </cell>
          <cell r="N98">
            <v>56014.744525280315</v>
          </cell>
          <cell r="O98">
            <v>69890.581471837068</v>
          </cell>
          <cell r="P98">
            <v>61686.938014663305</v>
          </cell>
          <cell r="Q98">
            <v>62951.105990377859</v>
          </cell>
        </row>
        <row r="99">
          <cell r="F99">
            <v>430870.45</v>
          </cell>
          <cell r="G99">
            <v>453445.00874502759</v>
          </cell>
          <cell r="H99">
            <v>473169.51459216315</v>
          </cell>
          <cell r="I99">
            <v>498524.98752369115</v>
          </cell>
          <cell r="J99">
            <v>578907.71226479602</v>
          </cell>
          <cell r="K99">
            <v>577939.560261279</v>
          </cell>
          <cell r="L99">
            <v>626787.6986448681</v>
          </cell>
          <cell r="M99">
            <v>612425.42169839959</v>
          </cell>
          <cell r="N99">
            <v>553658.21216716839</v>
          </cell>
          <cell r="O99">
            <v>692628.78816676047</v>
          </cell>
          <cell r="P99">
            <v>613848.80017644935</v>
          </cell>
          <cell r="Q99">
            <v>628251.87315532367</v>
          </cell>
        </row>
        <row r="100">
          <cell r="F100">
            <v>60746.582783050355</v>
          </cell>
          <cell r="G100">
            <v>63859.947826198957</v>
          </cell>
          <cell r="H100">
            <v>66644.632042836558</v>
          </cell>
          <cell r="I100">
            <v>70206.023397394325</v>
          </cell>
          <cell r="J100">
            <v>81531.417596399464</v>
          </cell>
          <cell r="K100">
            <v>81399.688356507642</v>
          </cell>
          <cell r="L100">
            <v>88285.726694130208</v>
          </cell>
          <cell r="M100">
            <v>86250.601351602265</v>
          </cell>
          <cell r="N100">
            <v>77968.437003057596</v>
          </cell>
          <cell r="O100">
            <v>97576.437181537825</v>
          </cell>
          <cell r="P100">
            <v>86434.56348007686</v>
          </cell>
          <cell r="Q100">
            <v>88482.552457937054</v>
          </cell>
        </row>
        <row r="101">
          <cell r="F101">
            <v>4509.6289028276115</v>
          </cell>
          <cell r="G101">
            <v>4848.5376751494341</v>
          </cell>
          <cell r="H101">
            <v>5052.7164666148647</v>
          </cell>
          <cell r="I101">
            <v>5324.5612104173106</v>
          </cell>
          <cell r="J101">
            <v>6171.5768729418905</v>
          </cell>
          <cell r="K101">
            <v>6157.5703869044328</v>
          </cell>
          <cell r="L101">
            <v>6669.3206717741014</v>
          </cell>
          <cell r="M101">
            <v>6527.3981440885054</v>
          </cell>
          <cell r="N101">
            <v>5909.9843841888642</v>
          </cell>
          <cell r="O101">
            <v>7351.6067131060126</v>
          </cell>
          <cell r="P101">
            <v>6555.8868045767131</v>
          </cell>
          <cell r="Q101">
            <v>6692.4504397663541</v>
          </cell>
        </row>
        <row r="102">
          <cell r="F102">
            <v>12723.810000000003</v>
          </cell>
          <cell r="G102">
            <v>13964.522318460711</v>
          </cell>
          <cell r="H102">
            <v>14028.11126632909</v>
          </cell>
          <cell r="I102">
            <v>13959.534664586436</v>
          </cell>
          <cell r="J102">
            <v>16721.323674493229</v>
          </cell>
          <cell r="K102">
            <v>16549.149552201918</v>
          </cell>
          <cell r="L102">
            <v>16551.080422127197</v>
          </cell>
          <cell r="M102">
            <v>16487.131512202541</v>
          </cell>
          <cell r="N102">
            <v>16812.531448809121</v>
          </cell>
          <cell r="O102">
            <v>16143.464154758978</v>
          </cell>
          <cell r="P102">
            <v>16143.434104921891</v>
          </cell>
          <cell r="Q102">
            <v>16428.842307478586</v>
          </cell>
        </row>
        <row r="103">
          <cell r="F103">
            <v>3814.2866666666669</v>
          </cell>
          <cell r="G103">
            <v>4186.2218380873155</v>
          </cell>
          <cell r="H103">
            <v>4205.2842475387079</v>
          </cell>
          <cell r="I103">
            <v>4184.7266615898207</v>
          </cell>
          <cell r="J103">
            <v>5012.6433780948619</v>
          </cell>
          <cell r="K103">
            <v>4961.0297923056387</v>
          </cell>
          <cell r="L103">
            <v>4961.6086198275098</v>
          </cell>
          <cell r="M103">
            <v>4942.4383025661318</v>
          </cell>
          <cell r="N103">
            <v>5039.9852354056402</v>
          </cell>
          <cell r="O103">
            <v>4839.4152442789091</v>
          </cell>
          <cell r="P103">
            <v>4839.4062360735888</v>
          </cell>
          <cell r="Q103">
            <v>4924.9646263332124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F106">
            <v>5016.666666666667</v>
          </cell>
          <cell r="G106">
            <v>5524.1390487271938</v>
          </cell>
          <cell r="H106">
            <v>5567.6689525355914</v>
          </cell>
          <cell r="I106">
            <v>5558.7366494185253</v>
          </cell>
          <cell r="J106">
            <v>6680.393845240319</v>
          </cell>
          <cell r="K106">
            <v>6633.2853694160603</v>
          </cell>
          <cell r="L106">
            <v>6655.739239521612</v>
          </cell>
          <cell r="M106">
            <v>6651.6194255211049</v>
          </cell>
          <cell r="N106">
            <v>6804.922186150764</v>
          </cell>
          <cell r="O106">
            <v>6555.2612097258116</v>
          </cell>
          <cell r="P106">
            <v>6576.3949721437039</v>
          </cell>
          <cell r="Q106">
            <v>6714.1823085136148</v>
          </cell>
        </row>
        <row r="112">
          <cell r="F112">
            <v>194204</v>
          </cell>
          <cell r="G112">
            <v>201156.75588984901</v>
          </cell>
          <cell r="H112">
            <v>201156.75588984901</v>
          </cell>
          <cell r="I112">
            <v>201156.75588984901</v>
          </cell>
          <cell r="J112">
            <v>215062.26766954706</v>
          </cell>
          <cell r="K112">
            <v>215062.26766954706</v>
          </cell>
          <cell r="L112">
            <v>215062.26766954706</v>
          </cell>
          <cell r="M112">
            <v>215062.26766954706</v>
          </cell>
          <cell r="N112">
            <v>215062.26766954706</v>
          </cell>
          <cell r="O112">
            <v>215062.26766954706</v>
          </cell>
          <cell r="P112">
            <v>215062.26766954706</v>
          </cell>
          <cell r="Q112">
            <v>215062.26766954706</v>
          </cell>
        </row>
        <row r="113"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F114">
            <v>0</v>
          </cell>
          <cell r="G114">
            <v>0</v>
          </cell>
          <cell r="H114">
            <v>0</v>
          </cell>
          <cell r="I114">
            <v>138825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F115">
            <v>141336.22222222222</v>
          </cell>
          <cell r="G115">
            <v>141805.77777777775</v>
          </cell>
          <cell r="H115">
            <v>142275.33333333331</v>
          </cell>
          <cell r="I115">
            <v>142744.88888888891</v>
          </cell>
          <cell r="J115">
            <v>143214.44444444444</v>
          </cell>
          <cell r="K115">
            <v>143684</v>
          </cell>
          <cell r="L115">
            <v>144153.55555555556</v>
          </cell>
          <cell r="M115">
            <v>144623.11111111109</v>
          </cell>
          <cell r="N115">
            <v>145092.66666666666</v>
          </cell>
          <cell r="O115">
            <v>145562.22222222222</v>
          </cell>
          <cell r="P115">
            <v>146031.77777777775</v>
          </cell>
          <cell r="Q115">
            <v>146501.33333333331</v>
          </cell>
        </row>
        <row r="116"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F118">
            <v>0</v>
          </cell>
          <cell r="G118">
            <v>0</v>
          </cell>
          <cell r="H118">
            <v>63000</v>
          </cell>
          <cell r="I118">
            <v>63000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F119">
            <v>3792.6000000000004</v>
          </cell>
          <cell r="G119">
            <v>3805.2</v>
          </cell>
          <cell r="H119">
            <v>3817.8</v>
          </cell>
          <cell r="I119">
            <v>3830.4000000000005</v>
          </cell>
          <cell r="J119">
            <v>3843</v>
          </cell>
          <cell r="K119">
            <v>3855.6</v>
          </cell>
          <cell r="L119">
            <v>3868.2000000000003</v>
          </cell>
          <cell r="M119">
            <v>3880.7999999999997</v>
          </cell>
          <cell r="N119">
            <v>3893.4</v>
          </cell>
          <cell r="O119">
            <v>3906.0000000000005</v>
          </cell>
          <cell r="P119">
            <v>3918.6</v>
          </cell>
          <cell r="Q119">
            <v>3931.2000000000003</v>
          </cell>
        </row>
        <row r="120">
          <cell r="F120">
            <v>0</v>
          </cell>
          <cell r="G120">
            <v>0</v>
          </cell>
          <cell r="H120">
            <v>18425</v>
          </cell>
          <cell r="I120">
            <v>18425</v>
          </cell>
          <cell r="J120">
            <v>18425</v>
          </cell>
          <cell r="K120">
            <v>18425</v>
          </cell>
          <cell r="L120">
            <v>18425</v>
          </cell>
          <cell r="M120">
            <v>18425</v>
          </cell>
          <cell r="N120">
            <v>18425</v>
          </cell>
          <cell r="O120">
            <v>18425</v>
          </cell>
          <cell r="P120">
            <v>0</v>
          </cell>
          <cell r="Q120">
            <v>0</v>
          </cell>
        </row>
        <row r="121">
          <cell r="F121">
            <v>7324.3333333333339</v>
          </cell>
          <cell r="G121">
            <v>6040</v>
          </cell>
          <cell r="H121">
            <v>6060</v>
          </cell>
          <cell r="I121">
            <v>7397.3333333333339</v>
          </cell>
          <cell r="J121">
            <v>6100</v>
          </cell>
          <cell r="K121">
            <v>6120</v>
          </cell>
          <cell r="L121">
            <v>6140.0000000000009</v>
          </cell>
          <cell r="M121">
            <v>6160</v>
          </cell>
          <cell r="N121">
            <v>7519</v>
          </cell>
          <cell r="O121">
            <v>6200.0000000000009</v>
          </cell>
          <cell r="P121">
            <v>6220</v>
          </cell>
          <cell r="Q121">
            <v>6240</v>
          </cell>
        </row>
        <row r="122">
          <cell r="F122">
            <v>0</v>
          </cell>
          <cell r="G122">
            <v>0</v>
          </cell>
          <cell r="H122">
            <v>3000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3000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F123">
            <v>2000</v>
          </cell>
          <cell r="G123">
            <v>0</v>
          </cell>
          <cell r="H123">
            <v>0</v>
          </cell>
          <cell r="I123">
            <v>0</v>
          </cell>
          <cell r="J123">
            <v>4000</v>
          </cell>
          <cell r="K123">
            <v>0</v>
          </cell>
          <cell r="L123">
            <v>0</v>
          </cell>
          <cell r="M123">
            <v>0</v>
          </cell>
          <cell r="N123">
            <v>2000</v>
          </cell>
          <cell r="O123">
            <v>0</v>
          </cell>
          <cell r="P123">
            <v>0</v>
          </cell>
          <cell r="Q123">
            <v>4000</v>
          </cell>
        </row>
        <row r="124">
          <cell r="F124">
            <v>101970</v>
          </cell>
          <cell r="G124">
            <v>12000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12000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</row>
        <row r="126">
          <cell r="F126">
            <v>10653.192666666668</v>
          </cell>
          <cell r="G126">
            <v>10688.585333333334</v>
          </cell>
          <cell r="H126">
            <v>10723.978000000001</v>
          </cell>
          <cell r="I126">
            <v>10759.370666666669</v>
          </cell>
          <cell r="J126">
            <v>10794.763333333334</v>
          </cell>
          <cell r="K126">
            <v>10830.156000000001</v>
          </cell>
          <cell r="L126">
            <v>10865.548666666669</v>
          </cell>
          <cell r="M126">
            <v>10900.941333333334</v>
          </cell>
          <cell r="N126">
            <v>10936.334000000001</v>
          </cell>
          <cell r="O126">
            <v>10971.726666666669</v>
          </cell>
          <cell r="P126">
            <v>11007.119333333334</v>
          </cell>
          <cell r="Q126">
            <v>11042.512000000001</v>
          </cell>
        </row>
        <row r="127"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F130">
            <v>9422.503999999999</v>
          </cell>
          <cell r="G130">
            <v>9453.8079999999991</v>
          </cell>
          <cell r="H130">
            <v>9485.1119999999992</v>
          </cell>
          <cell r="I130">
            <v>9516.4159999999993</v>
          </cell>
          <cell r="J130">
            <v>9547.7199999999975</v>
          </cell>
          <cell r="K130">
            <v>9579.0239999999994</v>
          </cell>
          <cell r="L130">
            <v>9610.3279999999995</v>
          </cell>
          <cell r="M130">
            <v>9641.6319999999978</v>
          </cell>
          <cell r="N130">
            <v>9672.9359999999997</v>
          </cell>
          <cell r="O130">
            <v>9704.24</v>
          </cell>
          <cell r="P130">
            <v>9735.5439999999981</v>
          </cell>
          <cell r="Q130">
            <v>9766.848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  <row r="133">
          <cell r="F133">
            <v>301</v>
          </cell>
          <cell r="G133">
            <v>302</v>
          </cell>
          <cell r="H133">
            <v>303</v>
          </cell>
          <cell r="I133">
            <v>304</v>
          </cell>
          <cell r="J133">
            <v>305</v>
          </cell>
          <cell r="K133">
            <v>306</v>
          </cell>
          <cell r="L133">
            <v>307</v>
          </cell>
          <cell r="M133">
            <v>308</v>
          </cell>
          <cell r="N133">
            <v>309</v>
          </cell>
          <cell r="O133">
            <v>310.00000000000006</v>
          </cell>
          <cell r="P133">
            <v>311</v>
          </cell>
          <cell r="Q133">
            <v>312</v>
          </cell>
        </row>
        <row r="134">
          <cell r="F134">
            <v>6065.2800000000007</v>
          </cell>
          <cell r="G134">
            <v>6040.2024000000001</v>
          </cell>
          <cell r="H134">
            <v>6040.2024000000001</v>
          </cell>
          <cell r="I134">
            <v>6040.2024000000001</v>
          </cell>
          <cell r="J134">
            <v>6040.2024000000001</v>
          </cell>
          <cell r="K134">
            <v>6040.2024000000001</v>
          </cell>
          <cell r="L134">
            <v>6040.2024000000001</v>
          </cell>
          <cell r="M134">
            <v>6040.2024000000001</v>
          </cell>
          <cell r="N134">
            <v>6040.2024000000001</v>
          </cell>
          <cell r="O134">
            <v>6040.2024000000001</v>
          </cell>
          <cell r="P134">
            <v>6040.2024000000001</v>
          </cell>
          <cell r="Q134">
            <v>6040.2024000000001</v>
          </cell>
        </row>
        <row r="135">
          <cell r="F135">
            <v>0</v>
          </cell>
          <cell r="G135">
            <v>0</v>
          </cell>
          <cell r="H135">
            <v>9562.5</v>
          </cell>
          <cell r="I135">
            <v>9562.5</v>
          </cell>
          <cell r="J135">
            <v>9562.5</v>
          </cell>
          <cell r="K135">
            <v>9562.5</v>
          </cell>
          <cell r="L135">
            <v>9562.5</v>
          </cell>
          <cell r="M135">
            <v>9562.5</v>
          </cell>
          <cell r="N135">
            <v>9562.5</v>
          </cell>
          <cell r="O135">
            <v>9562.5</v>
          </cell>
          <cell r="P135">
            <v>0</v>
          </cell>
          <cell r="Q135">
            <v>0</v>
          </cell>
        </row>
        <row r="136">
          <cell r="F136">
            <v>4360</v>
          </cell>
          <cell r="G136">
            <v>4360</v>
          </cell>
          <cell r="H136">
            <v>4360</v>
          </cell>
          <cell r="I136">
            <v>4360</v>
          </cell>
          <cell r="J136">
            <v>4360</v>
          </cell>
          <cell r="K136">
            <v>4360</v>
          </cell>
          <cell r="L136">
            <v>4360</v>
          </cell>
          <cell r="M136">
            <v>4360</v>
          </cell>
          <cell r="N136">
            <v>4360</v>
          </cell>
          <cell r="O136">
            <v>4360</v>
          </cell>
          <cell r="P136">
            <v>4360</v>
          </cell>
          <cell r="Q136">
            <v>4360</v>
          </cell>
        </row>
        <row r="137">
          <cell r="F137">
            <v>19253.52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F140">
            <v>2498.7415110000002</v>
          </cell>
          <cell r="G140">
            <v>2447.7800000000002</v>
          </cell>
          <cell r="H140">
            <v>2539.2600000000002</v>
          </cell>
          <cell r="I140">
            <v>2689.04</v>
          </cell>
          <cell r="J140">
            <v>2602.0300000000002</v>
          </cell>
          <cell r="K140">
            <v>2623.18</v>
          </cell>
          <cell r="L140">
            <v>2840.96</v>
          </cell>
          <cell r="M140">
            <v>2791.39</v>
          </cell>
          <cell r="N140">
            <v>2478.58</v>
          </cell>
          <cell r="O140">
            <v>3211.17</v>
          </cell>
          <cell r="P140">
            <v>2863.81</v>
          </cell>
          <cell r="Q140">
            <v>2872.92</v>
          </cell>
        </row>
      </sheetData>
      <sheetData sheetId="6"/>
      <sheetData sheetId="7">
        <row r="49">
          <cell r="G49">
            <v>15.967261904761902</v>
          </cell>
        </row>
        <row r="50">
          <cell r="G50">
            <v>0.30069930069930068</v>
          </cell>
        </row>
        <row r="51">
          <cell r="G51">
            <v>1200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Contenido"/>
      <sheetName val="Resumen Ejecutivo"/>
      <sheetName val="Información Macroeconomica"/>
      <sheetName val="Cifras Sobresalientes"/>
      <sheetName val="Comparativo de Resultados"/>
      <sheetName val="Comparativo de Resultados Reex"/>
      <sheetName val="Balance y Razones Financieras"/>
      <sheetName val="Volumenes y Unidades"/>
      <sheetName val="No. de Personas y Klms."/>
      <sheetName val="No. de Personas Calendarizado"/>
      <sheetName val="Inversiones"/>
      <sheetName val="Estado de Resultados"/>
      <sheetName val="Estado de Resultados Ajustes"/>
      <sheetName val="Estado de Resultados Reexpresad"/>
      <sheetName val="Balance Presupuestado"/>
      <sheetName val="Presup. de Flujo de Caja"/>
      <sheetName val="Costo de Operación"/>
      <sheetName val="Gastos de Administración"/>
      <sheetName val="Gastos y Productos Ordinarios"/>
      <sheetName val="Gastos y Productos Financieros"/>
      <sheetName val="Efectivo2008"/>
      <sheetName val="Créditos"/>
      <sheetName val="Depreciación 2008"/>
      <sheetName val="Sueldos 2008"/>
      <sheetName val="Plantilla"/>
      <sheetName val="ANALISIS 2006-2007"/>
      <sheetName val="Operdores y Admtvs_nov'08"/>
      <sheetName val="Equipo"/>
      <sheetName val="VOLUMENES"/>
      <sheetName val="Validación_Tarifa_Ppto"/>
      <sheetName val="Distribución_Equipo"/>
      <sheetName val="Operación_2005"/>
      <sheetName val="VOLUMENES (3)"/>
      <sheetName val="VOLUMENESviejos al CIE"/>
      <sheetName val="INPC"/>
      <sheetName val="Bases Macroeconomicas"/>
      <sheetName val="Inversiones Areas 2009"/>
      <sheetName val="Arrendamiento_Cómputo"/>
    </sheetNames>
    <sheetDataSet>
      <sheetData sheetId="0"/>
      <sheetData sheetId="1"/>
      <sheetData sheetId="2"/>
      <sheetData sheetId="3"/>
      <sheetData sheetId="4"/>
      <sheetData sheetId="5">
        <row r="8">
          <cell r="B8">
            <v>2011</v>
          </cell>
        </row>
      </sheetData>
      <sheetData sheetId="6">
        <row r="9">
          <cell r="B9">
            <v>2011</v>
          </cell>
        </row>
      </sheetData>
      <sheetData sheetId="7"/>
      <sheetData sheetId="8">
        <row r="8">
          <cell r="N8">
            <v>2012</v>
          </cell>
        </row>
        <row r="14">
          <cell r="N14">
            <v>0</v>
          </cell>
        </row>
        <row r="48">
          <cell r="N48">
            <v>7996.9792968571428</v>
          </cell>
        </row>
      </sheetData>
      <sheetData sheetId="9"/>
      <sheetData sheetId="10">
        <row r="16">
          <cell r="B16">
            <v>6</v>
          </cell>
        </row>
      </sheetData>
      <sheetData sheetId="11"/>
      <sheetData sheetId="12">
        <row r="17">
          <cell r="N17">
            <v>96252392.093495175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26">
          <cell r="N26">
            <v>96252392.093495175</v>
          </cell>
        </row>
      </sheetData>
      <sheetData sheetId="13"/>
      <sheetData sheetId="14">
        <row r="22">
          <cell r="N22">
            <v>0</v>
          </cell>
        </row>
        <row r="30">
          <cell r="N30">
            <v>99859502.734152079</v>
          </cell>
        </row>
      </sheetData>
      <sheetData sheetId="15">
        <row r="29">
          <cell r="E29">
            <v>8873192.7728491072</v>
          </cell>
        </row>
      </sheetData>
      <sheetData sheetId="16"/>
      <sheetData sheetId="17"/>
      <sheetData sheetId="18"/>
      <sheetData sheetId="19"/>
      <sheetData sheetId="20"/>
      <sheetData sheetId="21">
        <row r="8">
          <cell r="O8">
            <v>7574.4472499999993</v>
          </cell>
        </row>
        <row r="23">
          <cell r="O23">
            <v>96514884.672933266</v>
          </cell>
        </row>
        <row r="37">
          <cell r="N37">
            <v>658052.33085613057</v>
          </cell>
        </row>
        <row r="38">
          <cell r="N38">
            <v>725969.57999999984</v>
          </cell>
        </row>
        <row r="44">
          <cell r="N44">
            <v>140953.60732628917</v>
          </cell>
        </row>
      </sheetData>
      <sheetData sheetId="22"/>
      <sheetData sheetId="23"/>
      <sheetData sheetId="24"/>
      <sheetData sheetId="25">
        <row r="105">
          <cell r="K105">
            <v>1</v>
          </cell>
        </row>
      </sheetData>
      <sheetData sheetId="26"/>
      <sheetData sheetId="27"/>
      <sheetData sheetId="28"/>
      <sheetData sheetId="29">
        <row r="167">
          <cell r="D167">
            <v>0</v>
          </cell>
        </row>
      </sheetData>
      <sheetData sheetId="30"/>
      <sheetData sheetId="31"/>
      <sheetData sheetId="32"/>
      <sheetData sheetId="33"/>
      <sheetData sheetId="34"/>
      <sheetData sheetId="35"/>
      <sheetData sheetId="36">
        <row r="15">
          <cell r="N15">
            <v>8.2022205095509268E-2</v>
          </cell>
        </row>
      </sheetData>
      <sheetData sheetId="37"/>
      <sheetData sheetId="3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>
        <row r="7">
          <cell r="O7">
            <v>12232090</v>
          </cell>
        </row>
        <row r="9">
          <cell r="O9">
            <v>1114400</v>
          </cell>
        </row>
        <row r="10">
          <cell r="O10">
            <v>38223</v>
          </cell>
        </row>
        <row r="14">
          <cell r="O14">
            <v>1297021</v>
          </cell>
        </row>
        <row r="15">
          <cell r="O15">
            <v>292397202</v>
          </cell>
        </row>
        <row r="16">
          <cell r="O16">
            <v>4685513</v>
          </cell>
        </row>
        <row r="18">
          <cell r="O18">
            <v>298379736</v>
          </cell>
        </row>
        <row r="22">
          <cell r="O22">
            <v>33946341.039999999</v>
          </cell>
        </row>
        <row r="23">
          <cell r="O23">
            <v>139040771.89340001</v>
          </cell>
        </row>
        <row r="25">
          <cell r="O25">
            <v>10440474.900000002</v>
          </cell>
        </row>
        <row r="26">
          <cell r="O26">
            <v>32029082.745999999</v>
          </cell>
        </row>
        <row r="32">
          <cell r="O32">
            <v>34043662</v>
          </cell>
        </row>
        <row r="33">
          <cell r="O33">
            <v>18512289</v>
          </cell>
        </row>
        <row r="34">
          <cell r="O34">
            <v>-19905140</v>
          </cell>
        </row>
        <row r="43">
          <cell r="O43">
            <v>-1600195</v>
          </cell>
        </row>
        <row r="44">
          <cell r="O44">
            <v>6470739</v>
          </cell>
        </row>
        <row r="57">
          <cell r="O57">
            <v>10574483</v>
          </cell>
        </row>
        <row r="59">
          <cell r="O59">
            <v>-6205462.4700000007</v>
          </cell>
        </row>
        <row r="62">
          <cell r="O62">
            <v>41032689.890599996</v>
          </cell>
        </row>
        <row r="64">
          <cell r="O64">
            <v>59544978.890599996</v>
          </cell>
        </row>
      </sheetData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Información Macroeconómica"/>
      <sheetName val="Personal y KMS Recorridos"/>
      <sheetName val="Premisas Presupuesto 2013"/>
      <sheetName val="Edo.Res.detalle"/>
      <sheetName val="Gastos de Operación"/>
      <sheetName val="Vol e Ingresos 2014"/>
      <sheetName val="Gtos Transp 2014"/>
      <sheetName val="Gtos Mtto 2014"/>
      <sheetName val="Gtos Transp 2014 (Otros)"/>
      <sheetName val="Gtos Mtto 2014 (Otros)"/>
      <sheetName val="Presupuesto Otros"/>
      <sheetName val="Información Op. 2013"/>
      <sheetName val="Costo op 2013"/>
    </sheetNames>
    <sheetDataSet>
      <sheetData sheetId="0"/>
      <sheetData sheetId="1"/>
      <sheetData sheetId="2"/>
      <sheetData sheetId="3"/>
      <sheetData sheetId="4">
        <row r="7">
          <cell r="D7">
            <v>317265.89535029576</v>
          </cell>
          <cell r="E7">
            <v>309776.80809874565</v>
          </cell>
          <cell r="F7">
            <v>320293.58915393188</v>
          </cell>
          <cell r="G7">
            <v>338070.30187913246</v>
          </cell>
          <cell r="H7">
            <v>326047.8780868543</v>
          </cell>
          <cell r="I7">
            <v>327633.02326036856</v>
          </cell>
          <cell r="J7">
            <v>353662.99455025006</v>
          </cell>
          <cell r="K7">
            <v>346358.40992861433</v>
          </cell>
          <cell r="L7">
            <v>306521.73288241099</v>
          </cell>
          <cell r="M7">
            <v>395816.55758825218</v>
          </cell>
          <cell r="N7">
            <v>351836.94007844641</v>
          </cell>
          <cell r="O7">
            <v>351836.94007844641</v>
          </cell>
        </row>
        <row r="8">
          <cell r="D8">
            <v>27519.712205614094</v>
          </cell>
          <cell r="E8">
            <v>26870.107161813732</v>
          </cell>
          <cell r="F8">
            <v>27782.335019297843</v>
          </cell>
          <cell r="G8">
            <v>29324.290916004793</v>
          </cell>
          <cell r="H8">
            <v>28281.463282697012</v>
          </cell>
          <cell r="I8">
            <v>28418.959117006798</v>
          </cell>
          <cell r="J8">
            <v>30676.804442067732</v>
          </cell>
          <cell r="K8">
            <v>30043.203196188399</v>
          </cell>
          <cell r="L8">
            <v>26587.761235340127</v>
          </cell>
          <cell r="M8">
            <v>34333.213593660301</v>
          </cell>
          <cell r="N8">
            <v>30518.412083253603</v>
          </cell>
          <cell r="O8">
            <v>30518.412083253603</v>
          </cell>
        </row>
        <row r="9">
          <cell r="D9">
            <v>1024.6369365282551</v>
          </cell>
          <cell r="E9">
            <v>1000.4502983446943</v>
          </cell>
          <cell r="F9">
            <v>1034.4151287297145</v>
          </cell>
          <cell r="G9">
            <v>1091.8265200429264</v>
          </cell>
          <cell r="H9">
            <v>1052.9990895983046</v>
          </cell>
          <cell r="I9">
            <v>1058.1184494738718</v>
          </cell>
          <cell r="J9">
            <v>1142.1844346026378</v>
          </cell>
          <cell r="K9">
            <v>1118.5936632054775</v>
          </cell>
          <cell r="L9">
            <v>989.93775871558705</v>
          </cell>
          <cell r="M9">
            <v>1278.322917584934</v>
          </cell>
          <cell r="N9">
            <v>1136.2870378532748</v>
          </cell>
          <cell r="O9">
            <v>1136.2870378532748</v>
          </cell>
        </row>
        <row r="11">
          <cell r="D11">
            <v>18763.63636363636</v>
          </cell>
          <cell r="E11">
            <v>58095.104895104887</v>
          </cell>
          <cell r="F11">
            <v>63146.853146853144</v>
          </cell>
          <cell r="G11">
            <v>90209.790209790212</v>
          </cell>
          <cell r="H11">
            <v>93818.181818181794</v>
          </cell>
          <cell r="I11">
            <v>90209.790209790212</v>
          </cell>
          <cell r="J11">
            <v>97426.573426573421</v>
          </cell>
          <cell r="K11">
            <v>93818.181818181794</v>
          </cell>
          <cell r="L11">
            <v>90209.790209790212</v>
          </cell>
          <cell r="M11">
            <v>97426.573426573421</v>
          </cell>
          <cell r="N11">
            <v>86601.3986013986</v>
          </cell>
          <cell r="O11">
            <v>93818.181818181794</v>
          </cell>
        </row>
        <row r="13">
          <cell r="D13">
            <v>15.636363636363635</v>
          </cell>
          <cell r="E13">
            <v>48.412587412587413</v>
          </cell>
          <cell r="F13">
            <v>52.622377622377613</v>
          </cell>
          <cell r="G13">
            <v>75.174825174825173</v>
          </cell>
          <cell r="H13">
            <v>78.181818181818173</v>
          </cell>
          <cell r="I13">
            <v>75.174825174825173</v>
          </cell>
          <cell r="J13">
            <v>81.188811188811187</v>
          </cell>
          <cell r="K13">
            <v>78.181818181818173</v>
          </cell>
          <cell r="L13">
            <v>75.174825174825173</v>
          </cell>
          <cell r="M13">
            <v>81.188811188811187</v>
          </cell>
          <cell r="N13">
            <v>72.167832167832159</v>
          </cell>
          <cell r="O13">
            <v>78.181818181818173</v>
          </cell>
        </row>
        <row r="16">
          <cell r="D16">
            <v>7121245.1187888253</v>
          </cell>
          <cell r="E16">
            <v>7251576.6416419279</v>
          </cell>
          <cell r="F16">
            <v>7497764.3543797415</v>
          </cell>
          <cell r="G16">
            <v>7913900.0733653652</v>
          </cell>
          <cell r="H16">
            <v>7632466.7146737296</v>
          </cell>
          <cell r="I16">
            <v>7669573.4360723281</v>
          </cell>
          <cell r="J16">
            <v>8502440.5565960929</v>
          </cell>
          <cell r="K16">
            <v>8326830.4489707127</v>
          </cell>
          <cell r="L16">
            <v>7369113.6853370368</v>
          </cell>
          <cell r="M16">
            <v>9515857.7630955279</v>
          </cell>
          <cell r="N16">
            <v>8458540.2338626944</v>
          </cell>
          <cell r="O16">
            <v>8458540.2338626944</v>
          </cell>
        </row>
        <row r="18">
          <cell r="D18">
            <v>299603.89610389597</v>
          </cell>
          <cell r="E18">
            <v>927619.75524475495</v>
          </cell>
          <cell r="F18">
            <v>1008282.3426573424</v>
          </cell>
          <cell r="G18">
            <v>1440403.3466533464</v>
          </cell>
          <cell r="H18">
            <v>1498019.4805194798</v>
          </cell>
          <cell r="I18">
            <v>1440403.3466533464</v>
          </cell>
          <cell r="J18">
            <v>1555635.6143856139</v>
          </cell>
          <cell r="K18">
            <v>1498019.4805194798</v>
          </cell>
          <cell r="L18">
            <v>1440403.3466533464</v>
          </cell>
          <cell r="M18">
            <v>1555635.6143856139</v>
          </cell>
          <cell r="N18">
            <v>1382787.2127872126</v>
          </cell>
          <cell r="O18">
            <v>1498019.4805194798</v>
          </cell>
        </row>
        <row r="25">
          <cell r="D25">
            <v>196944.177</v>
          </cell>
          <cell r="E25">
            <v>196944.177</v>
          </cell>
          <cell r="F25">
            <v>196944.177</v>
          </cell>
          <cell r="G25">
            <v>196944.177</v>
          </cell>
          <cell r="H25">
            <v>196944.177</v>
          </cell>
          <cell r="I25">
            <v>196944.177</v>
          </cell>
          <cell r="J25">
            <v>196944.177</v>
          </cell>
          <cell r="K25">
            <v>196944.177</v>
          </cell>
          <cell r="L25">
            <v>196944.177</v>
          </cell>
          <cell r="M25">
            <v>196944.177</v>
          </cell>
          <cell r="N25">
            <v>196944.177</v>
          </cell>
          <cell r="O25">
            <v>196944.177</v>
          </cell>
        </row>
        <row r="26">
          <cell r="D26">
            <v>779541.51182096114</v>
          </cell>
          <cell r="E26">
            <v>874043.24430923315</v>
          </cell>
          <cell r="F26">
            <v>881119.59806749097</v>
          </cell>
          <cell r="G26">
            <v>932408.13974631845</v>
          </cell>
          <cell r="H26">
            <v>947795.36744457902</v>
          </cell>
          <cell r="I26">
            <v>938664.63975094014</v>
          </cell>
          <cell r="J26">
            <v>938768.1656452429</v>
          </cell>
          <cell r="K26">
            <v>935376.37443193956</v>
          </cell>
          <cell r="L26">
            <v>952622.04540621163</v>
          </cell>
          <cell r="M26">
            <v>917175.14845271874</v>
          </cell>
          <cell r="N26">
            <v>917175.14845271874</v>
          </cell>
          <cell r="O26">
            <v>932272.0358237786</v>
          </cell>
        </row>
        <row r="28">
          <cell r="D28">
            <v>508301.12882741785</v>
          </cell>
          <cell r="E28">
            <v>524878.41315967811</v>
          </cell>
          <cell r="F28">
            <v>453468.59887396381</v>
          </cell>
          <cell r="G28">
            <v>448537.55947331997</v>
          </cell>
          <cell r="H28">
            <v>463414.96947331994</v>
          </cell>
          <cell r="I28">
            <v>463414.96947331994</v>
          </cell>
          <cell r="J28">
            <v>463414.96947331994</v>
          </cell>
          <cell r="K28">
            <v>463414.96947331994</v>
          </cell>
          <cell r="L28">
            <v>463414.96947331994</v>
          </cell>
          <cell r="M28">
            <v>463414.96947331994</v>
          </cell>
          <cell r="N28">
            <v>446606.58375903429</v>
          </cell>
          <cell r="O28">
            <v>446606.58375903429</v>
          </cell>
        </row>
        <row r="29">
          <cell r="D29">
            <v>4093687.3935805769</v>
          </cell>
          <cell r="E29">
            <v>4457890.6286373688</v>
          </cell>
          <cell r="F29">
            <v>4778981.4808201557</v>
          </cell>
          <cell r="G29">
            <v>5303383.8357404228</v>
          </cell>
          <cell r="H29">
            <v>5244728.2948744828</v>
          </cell>
          <cell r="I29">
            <v>5200928.4503542287</v>
          </cell>
          <cell r="J29">
            <v>5594815.7614066862</v>
          </cell>
          <cell r="K29">
            <v>5543107.0917809037</v>
          </cell>
          <cell r="L29">
            <v>5106832.759207461</v>
          </cell>
          <cell r="M29">
            <v>6056559.4318398461</v>
          </cell>
          <cell r="N29">
            <v>5559659.3076457875</v>
          </cell>
          <cell r="O29">
            <v>5680180.5791408578</v>
          </cell>
        </row>
      </sheetData>
      <sheetData sheetId="5">
        <row r="21">
          <cell r="F21">
            <v>0</v>
          </cell>
        </row>
        <row r="22">
          <cell r="F22">
            <v>155908.30236419226</v>
          </cell>
          <cell r="G22">
            <v>174808.64886184665</v>
          </cell>
          <cell r="H22">
            <v>176223.9196134982</v>
          </cell>
          <cell r="I22">
            <v>186481.6279492637</v>
          </cell>
          <cell r="J22">
            <v>189559.0734889158</v>
          </cell>
          <cell r="K22">
            <v>187732.92795018802</v>
          </cell>
          <cell r="L22">
            <v>187753.63312904857</v>
          </cell>
          <cell r="M22">
            <v>187075.27488638792</v>
          </cell>
          <cell r="N22">
            <v>190524.40908124228</v>
          </cell>
          <cell r="O22">
            <v>183435.02969054377</v>
          </cell>
          <cell r="P22">
            <v>183435.02969054377</v>
          </cell>
          <cell r="Q22">
            <v>186454.40716475574</v>
          </cell>
        </row>
        <row r="23">
          <cell r="F23">
            <v>76586.534494690932</v>
          </cell>
          <cell r="G23">
            <v>85870.915230380808</v>
          </cell>
          <cell r="H23">
            <v>86566.135950490338</v>
          </cell>
          <cell r="I23">
            <v>91605.010220690936</v>
          </cell>
          <cell r="J23">
            <v>93116.737854204257</v>
          </cell>
          <cell r="K23">
            <v>92219.683905355516</v>
          </cell>
          <cell r="L23">
            <v>92229.854870409821</v>
          </cell>
          <cell r="M23">
            <v>91896.626259980025</v>
          </cell>
          <cell r="N23">
            <v>93590.937794294456</v>
          </cell>
          <cell r="O23">
            <v>90108.43563746009</v>
          </cell>
          <cell r="P23">
            <v>90108.43563746009</v>
          </cell>
          <cell r="Q23">
            <v>91591.638607248431</v>
          </cell>
        </row>
        <row r="24">
          <cell r="F24">
            <v>6017.5134245828594</v>
          </cell>
          <cell r="G24">
            <v>6747.000482387064</v>
          </cell>
          <cell r="H24">
            <v>6801.624967538527</v>
          </cell>
          <cell r="I24">
            <v>7197.5365173400023</v>
          </cell>
          <cell r="J24">
            <v>7316.3151171160489</v>
          </cell>
          <cell r="K24">
            <v>7245.8323068493619</v>
          </cell>
          <cell r="L24">
            <v>7246.6314541036299</v>
          </cell>
          <cell r="M24">
            <v>7220.4492061412884</v>
          </cell>
          <cell r="N24">
            <v>7353.5736838374214</v>
          </cell>
          <cell r="O24">
            <v>7079.9485143718648</v>
          </cell>
          <cell r="P24">
            <v>7079.9485143718648</v>
          </cell>
          <cell r="Q24">
            <v>7196.4858905695201</v>
          </cell>
        </row>
        <row r="25">
          <cell r="F25">
            <v>21881.866998483125</v>
          </cell>
          <cell r="G25">
            <v>24534.547208680233</v>
          </cell>
          <cell r="H25">
            <v>24733.181700140096</v>
          </cell>
          <cell r="I25">
            <v>26172.860063054552</v>
          </cell>
          <cell r="J25">
            <v>26604.782244058359</v>
          </cell>
          <cell r="K25">
            <v>26348.481115815863</v>
          </cell>
          <cell r="L25">
            <v>26351.387105831382</v>
          </cell>
          <cell r="M25">
            <v>26256.178931422866</v>
          </cell>
          <cell r="N25">
            <v>26740.267941226986</v>
          </cell>
          <cell r="O25">
            <v>25745.267324988599</v>
          </cell>
          <cell r="P25">
            <v>25745.267324988599</v>
          </cell>
          <cell r="Q25">
            <v>26169.039602070981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382932.67247345467</v>
          </cell>
          <cell r="G31">
            <v>429354.57615190407</v>
          </cell>
          <cell r="H31">
            <v>432830.67975245172</v>
          </cell>
          <cell r="I31">
            <v>458025.05110345467</v>
          </cell>
          <cell r="J31">
            <v>465583.68927102129</v>
          </cell>
          <cell r="K31">
            <v>461098.41952677758</v>
          </cell>
          <cell r="L31">
            <v>461149.27435204916</v>
          </cell>
          <cell r="M31">
            <v>459483.13129990012</v>
          </cell>
          <cell r="N31">
            <v>467954.68897147232</v>
          </cell>
          <cell r="O31">
            <v>450542.17818730045</v>
          </cell>
          <cell r="P31">
            <v>450542.17818730045</v>
          </cell>
          <cell r="Q31">
            <v>457958.19303624216</v>
          </cell>
        </row>
        <row r="32">
          <cell r="F32">
            <v>7111.606774507015</v>
          </cell>
          <cell r="G32">
            <v>7973.7278428210739</v>
          </cell>
          <cell r="H32">
            <v>8038.2840525455304</v>
          </cell>
          <cell r="I32">
            <v>8506.1795204927294</v>
          </cell>
          <cell r="J32">
            <v>8646.5542293189646</v>
          </cell>
          <cell r="K32">
            <v>8563.2563626401534</v>
          </cell>
          <cell r="L32">
            <v>8564.2008093951972</v>
          </cell>
          <cell r="M32">
            <v>8533.2581527124312</v>
          </cell>
          <cell r="N32">
            <v>8690.5870808987693</v>
          </cell>
          <cell r="O32">
            <v>8367.2118806212929</v>
          </cell>
          <cell r="P32">
            <v>8367.2118806212929</v>
          </cell>
          <cell r="Q32">
            <v>8504.9378706730677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103938.86824279482</v>
          </cell>
          <cell r="G34">
            <v>116539.09924123109</v>
          </cell>
          <cell r="H34">
            <v>117482.61307566545</v>
          </cell>
          <cell r="I34">
            <v>124321.08529950911</v>
          </cell>
          <cell r="J34">
            <v>126372.71565927719</v>
          </cell>
          <cell r="K34">
            <v>125155.28530012532</v>
          </cell>
          <cell r="L34">
            <v>125169.08875269904</v>
          </cell>
          <cell r="M34">
            <v>124716.8499242586</v>
          </cell>
          <cell r="N34">
            <v>127016.27272082817</v>
          </cell>
          <cell r="O34">
            <v>122290.01979369583</v>
          </cell>
          <cell r="P34">
            <v>122290.01979369583</v>
          </cell>
          <cell r="Q34">
            <v>124302.93810983714</v>
          </cell>
        </row>
        <row r="35">
          <cell r="F35">
            <v>547.0466749620781</v>
          </cell>
          <cell r="G35">
            <v>613.36368021700582</v>
          </cell>
          <cell r="H35">
            <v>618.32954250350247</v>
          </cell>
          <cell r="I35">
            <v>654.32150157636386</v>
          </cell>
          <cell r="J35">
            <v>665.11955610145901</v>
          </cell>
          <cell r="K35">
            <v>658.71202789539655</v>
          </cell>
          <cell r="L35">
            <v>658.78467764578454</v>
          </cell>
          <cell r="M35">
            <v>656.40447328557161</v>
          </cell>
          <cell r="N35">
            <v>668.50669853067473</v>
          </cell>
          <cell r="O35">
            <v>643.63168312471498</v>
          </cell>
          <cell r="P35">
            <v>643.63168312471498</v>
          </cell>
          <cell r="Q35">
            <v>654.22599005177449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16411.400248862341</v>
          </cell>
          <cell r="G38">
            <v>18400.910406510171</v>
          </cell>
          <cell r="H38">
            <v>18549.886275105069</v>
          </cell>
          <cell r="I38">
            <v>19629.645047290913</v>
          </cell>
          <cell r="J38">
            <v>19953.586683043766</v>
          </cell>
          <cell r="K38">
            <v>19761.360836861895</v>
          </cell>
          <cell r="L38">
            <v>19763.540329373533</v>
          </cell>
          <cell r="M38">
            <v>19692.134198567146</v>
          </cell>
          <cell r="N38">
            <v>20055.200955920238</v>
          </cell>
          <cell r="O38">
            <v>19308.950493741446</v>
          </cell>
          <cell r="P38">
            <v>19308.950493741446</v>
          </cell>
          <cell r="Q38">
            <v>19626.779701553234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5470.4667496207812</v>
          </cell>
          <cell r="G48">
            <v>6133.6368021700582</v>
          </cell>
          <cell r="H48">
            <v>6183.295425035024</v>
          </cell>
          <cell r="I48">
            <v>6543.2150157636379</v>
          </cell>
          <cell r="J48">
            <v>6651.1955610145897</v>
          </cell>
          <cell r="K48">
            <v>6587.1202789539657</v>
          </cell>
          <cell r="L48">
            <v>6587.8467764578454</v>
          </cell>
          <cell r="M48">
            <v>6564.0447328557166</v>
          </cell>
          <cell r="N48">
            <v>6685.0669853067466</v>
          </cell>
          <cell r="O48">
            <v>6436.3168312471498</v>
          </cell>
          <cell r="P48">
            <v>6436.3168312471498</v>
          </cell>
          <cell r="Q48">
            <v>6542.2599005177453</v>
          </cell>
        </row>
        <row r="49">
          <cell r="F49">
            <v>2735.2333748103906</v>
          </cell>
          <cell r="G49">
            <v>3066.8184010850291</v>
          </cell>
          <cell r="H49">
            <v>3091.647712517512</v>
          </cell>
          <cell r="I49">
            <v>3271.6075078818189</v>
          </cell>
          <cell r="J49">
            <v>3325.5977805072948</v>
          </cell>
          <cell r="K49">
            <v>3293.5601394769828</v>
          </cell>
          <cell r="L49">
            <v>3293.9233882289227</v>
          </cell>
          <cell r="M49">
            <v>3282.0223664278583</v>
          </cell>
          <cell r="N49">
            <v>3342.5334926533733</v>
          </cell>
          <cell r="O49">
            <v>3218.1584156235749</v>
          </cell>
          <cell r="P49">
            <v>3218.1584156235749</v>
          </cell>
          <cell r="Q49">
            <v>3271.1299502588727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8">
          <cell r="F58">
            <v>123959.99999999999</v>
          </cell>
          <cell r="G58">
            <v>123959.99999999999</v>
          </cell>
          <cell r="H58">
            <v>123959.99999999999</v>
          </cell>
          <cell r="I58">
            <v>123959.99999999999</v>
          </cell>
          <cell r="J58">
            <v>123959.99999999999</v>
          </cell>
          <cell r="K58">
            <v>123959.99999999999</v>
          </cell>
          <cell r="L58">
            <v>123959.99999999999</v>
          </cell>
          <cell r="M58">
            <v>123959.99999999999</v>
          </cell>
          <cell r="N58">
            <v>123959.99999999999</v>
          </cell>
          <cell r="O58">
            <v>123959.99999999999</v>
          </cell>
          <cell r="P58">
            <v>123959.99999999999</v>
          </cell>
          <cell r="Q58">
            <v>123959.99999999999</v>
          </cell>
        </row>
        <row r="59">
          <cell r="F59">
            <v>32547.763999999999</v>
          </cell>
          <cell r="G59">
            <v>32547.763999999999</v>
          </cell>
          <cell r="H59">
            <v>32547.763999999999</v>
          </cell>
          <cell r="I59">
            <v>32547.763999999999</v>
          </cell>
          <cell r="J59">
            <v>32547.763999999999</v>
          </cell>
          <cell r="K59">
            <v>32547.763999999999</v>
          </cell>
          <cell r="L59">
            <v>32547.763999999999</v>
          </cell>
          <cell r="M59">
            <v>32547.763999999999</v>
          </cell>
          <cell r="N59">
            <v>32547.763999999999</v>
          </cell>
          <cell r="O59">
            <v>32547.763999999999</v>
          </cell>
          <cell r="P59">
            <v>32547.763999999999</v>
          </cell>
          <cell r="Q59">
            <v>32547.763999999999</v>
          </cell>
        </row>
        <row r="60">
          <cell r="F60">
            <v>3098.9999999999995</v>
          </cell>
          <cell r="G60">
            <v>3098.9999999999995</v>
          </cell>
          <cell r="H60">
            <v>3098.9999999999995</v>
          </cell>
          <cell r="I60">
            <v>3098.9999999999995</v>
          </cell>
          <cell r="J60">
            <v>3098.9999999999995</v>
          </cell>
          <cell r="K60">
            <v>3098.9999999999995</v>
          </cell>
          <cell r="L60">
            <v>3098.9999999999995</v>
          </cell>
          <cell r="M60">
            <v>3098.9999999999995</v>
          </cell>
          <cell r="N60">
            <v>3098.9999999999995</v>
          </cell>
          <cell r="O60">
            <v>3098.9999999999995</v>
          </cell>
          <cell r="P60">
            <v>3098.9999999999995</v>
          </cell>
          <cell r="Q60">
            <v>3098.9999999999995</v>
          </cell>
        </row>
        <row r="61">
          <cell r="F61">
            <v>1033</v>
          </cell>
          <cell r="G61">
            <v>1033</v>
          </cell>
          <cell r="H61">
            <v>1033</v>
          </cell>
          <cell r="I61">
            <v>1033</v>
          </cell>
          <cell r="J61">
            <v>1033</v>
          </cell>
          <cell r="K61">
            <v>1033</v>
          </cell>
          <cell r="L61">
            <v>1033</v>
          </cell>
          <cell r="M61">
            <v>1033</v>
          </cell>
          <cell r="N61">
            <v>1033</v>
          </cell>
          <cell r="O61">
            <v>1033</v>
          </cell>
          <cell r="P61">
            <v>1033</v>
          </cell>
          <cell r="Q61">
            <v>1033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F65">
            <v>2066</v>
          </cell>
          <cell r="G65">
            <v>2066</v>
          </cell>
          <cell r="H65">
            <v>2066</v>
          </cell>
          <cell r="I65">
            <v>2066</v>
          </cell>
          <cell r="J65">
            <v>2066</v>
          </cell>
          <cell r="K65">
            <v>2066</v>
          </cell>
          <cell r="L65">
            <v>2066</v>
          </cell>
          <cell r="M65">
            <v>2066</v>
          </cell>
          <cell r="N65">
            <v>2066</v>
          </cell>
          <cell r="O65">
            <v>2066</v>
          </cell>
          <cell r="P65">
            <v>2066</v>
          </cell>
          <cell r="Q65">
            <v>2066</v>
          </cell>
        </row>
        <row r="66">
          <cell r="F66">
            <v>10001.032999999999</v>
          </cell>
          <cell r="G66">
            <v>10001.032999999999</v>
          </cell>
          <cell r="H66">
            <v>10001.032999999999</v>
          </cell>
          <cell r="I66">
            <v>10001.032999999999</v>
          </cell>
          <cell r="J66">
            <v>10001.032999999999</v>
          </cell>
          <cell r="K66">
            <v>10001.032999999999</v>
          </cell>
          <cell r="L66">
            <v>10001.032999999999</v>
          </cell>
          <cell r="M66">
            <v>10001.032999999999</v>
          </cell>
          <cell r="N66">
            <v>10001.032999999999</v>
          </cell>
          <cell r="O66">
            <v>10001.032999999999</v>
          </cell>
          <cell r="P66">
            <v>10001.032999999999</v>
          </cell>
          <cell r="Q66">
            <v>10001.032999999999</v>
          </cell>
        </row>
        <row r="67">
          <cell r="F67">
            <v>1549.4999999999998</v>
          </cell>
          <cell r="G67">
            <v>1549.4999999999998</v>
          </cell>
          <cell r="H67">
            <v>1549.4999999999998</v>
          </cell>
          <cell r="I67">
            <v>1549.4999999999998</v>
          </cell>
          <cell r="J67">
            <v>1549.4999999999998</v>
          </cell>
          <cell r="K67">
            <v>1549.4999999999998</v>
          </cell>
          <cell r="L67">
            <v>1549.4999999999998</v>
          </cell>
          <cell r="M67">
            <v>1549.4999999999998</v>
          </cell>
          <cell r="N67">
            <v>1549.4999999999998</v>
          </cell>
          <cell r="O67">
            <v>1549.4999999999998</v>
          </cell>
          <cell r="P67">
            <v>1549.4999999999998</v>
          </cell>
          <cell r="Q67">
            <v>1549.4999999999998</v>
          </cell>
        </row>
        <row r="68"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F71">
            <v>2066</v>
          </cell>
          <cell r="G71">
            <v>2066</v>
          </cell>
          <cell r="H71">
            <v>2066</v>
          </cell>
          <cell r="I71">
            <v>2066</v>
          </cell>
          <cell r="J71">
            <v>2066</v>
          </cell>
          <cell r="K71">
            <v>2066</v>
          </cell>
          <cell r="L71">
            <v>2066</v>
          </cell>
          <cell r="M71">
            <v>2066</v>
          </cell>
          <cell r="N71">
            <v>2066</v>
          </cell>
          <cell r="O71">
            <v>2066</v>
          </cell>
          <cell r="P71">
            <v>2066</v>
          </cell>
          <cell r="Q71">
            <v>2066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F75">
            <v>5126.88</v>
          </cell>
          <cell r="G75">
            <v>5126.88</v>
          </cell>
          <cell r="H75">
            <v>5126.88</v>
          </cell>
          <cell r="I75">
            <v>5126.88</v>
          </cell>
          <cell r="J75">
            <v>5126.88</v>
          </cell>
          <cell r="K75">
            <v>5126.88</v>
          </cell>
          <cell r="L75">
            <v>5126.88</v>
          </cell>
          <cell r="M75">
            <v>5126.88</v>
          </cell>
          <cell r="N75">
            <v>5126.88</v>
          </cell>
          <cell r="O75">
            <v>5126.88</v>
          </cell>
          <cell r="P75">
            <v>5126.88</v>
          </cell>
          <cell r="Q75">
            <v>5126.88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F78">
            <v>5165</v>
          </cell>
          <cell r="G78">
            <v>5165</v>
          </cell>
          <cell r="H78">
            <v>5165</v>
          </cell>
          <cell r="I78">
            <v>5165</v>
          </cell>
          <cell r="J78">
            <v>5165</v>
          </cell>
          <cell r="K78">
            <v>5165</v>
          </cell>
          <cell r="L78">
            <v>5165</v>
          </cell>
          <cell r="M78">
            <v>5165</v>
          </cell>
          <cell r="N78">
            <v>5165</v>
          </cell>
          <cell r="O78">
            <v>5165</v>
          </cell>
          <cell r="P78">
            <v>5165</v>
          </cell>
          <cell r="Q78">
            <v>5165</v>
          </cell>
        </row>
        <row r="79">
          <cell r="F79">
            <v>10330</v>
          </cell>
          <cell r="G79">
            <v>10330</v>
          </cell>
          <cell r="H79">
            <v>10330</v>
          </cell>
          <cell r="I79">
            <v>10330</v>
          </cell>
          <cell r="J79">
            <v>10330</v>
          </cell>
          <cell r="K79">
            <v>10330</v>
          </cell>
          <cell r="L79">
            <v>10330</v>
          </cell>
          <cell r="M79">
            <v>10330</v>
          </cell>
          <cell r="N79">
            <v>10330</v>
          </cell>
          <cell r="O79">
            <v>10330</v>
          </cell>
          <cell r="P79">
            <v>10330</v>
          </cell>
          <cell r="Q79">
            <v>10330</v>
          </cell>
        </row>
        <row r="80"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94">
          <cell r="F94">
            <v>2139835.5495446105</v>
          </cell>
          <cell r="G94">
            <v>2362850.27211275</v>
          </cell>
          <cell r="H94">
            <v>2483946.4749222901</v>
          </cell>
          <cell r="I94">
            <v>2797986.4837709181</v>
          </cell>
          <cell r="J94">
            <v>2766120.4822230116</v>
          </cell>
          <cell r="K94">
            <v>2775783.3091066228</v>
          </cell>
          <cell r="L94">
            <v>3021467.3700434756</v>
          </cell>
          <cell r="M94">
            <v>2972591.6927348115</v>
          </cell>
          <cell r="N94">
            <v>2701029.8432887653</v>
          </cell>
          <cell r="O94">
            <v>3385241.8809937499</v>
          </cell>
          <cell r="P94">
            <v>3033229.3627563035</v>
          </cell>
          <cell r="Q94">
            <v>3107679.50659848</v>
          </cell>
        </row>
        <row r="95"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F96">
            <v>1054815.7749200969</v>
          </cell>
          <cell r="G96">
            <v>1087016.5493440591</v>
          </cell>
          <cell r="H96">
            <v>1278850.1230465106</v>
          </cell>
          <cell r="I96">
            <v>1430061.9964333687</v>
          </cell>
          <cell r="J96">
            <v>1385526.5481487671</v>
          </cell>
          <cell r="K96">
            <v>1342594.2377447695</v>
          </cell>
          <cell r="L96">
            <v>1490678.0926624872</v>
          </cell>
          <cell r="M96">
            <v>1491756.8133118111</v>
          </cell>
          <cell r="N96">
            <v>1307155.1004168319</v>
          </cell>
          <cell r="O96">
            <v>1613550.2252426888</v>
          </cell>
          <cell r="P96">
            <v>1468662.6192860745</v>
          </cell>
          <cell r="Q96">
            <v>1497322.684061436</v>
          </cell>
        </row>
        <row r="97">
          <cell r="F97">
            <v>91028.566713689797</v>
          </cell>
          <cell r="G97">
            <v>102063.71638810975</v>
          </cell>
          <cell r="H97">
            <v>102890.0358725828</v>
          </cell>
          <cell r="I97">
            <v>108879.09786230692</v>
          </cell>
          <cell r="J97">
            <v>110675.89413528275</v>
          </cell>
          <cell r="K97">
            <v>109609.68144179397</v>
          </cell>
          <cell r="L97">
            <v>109621.77036025852</v>
          </cell>
          <cell r="M97">
            <v>109225.70435471911</v>
          </cell>
          <cell r="N97">
            <v>111239.51463550425</v>
          </cell>
          <cell r="O97">
            <v>107100.31207195256</v>
          </cell>
          <cell r="P97">
            <v>107100.31207195256</v>
          </cell>
          <cell r="Q97">
            <v>108863.20474461527</v>
          </cell>
        </row>
        <row r="98">
          <cell r="F98">
            <v>52516.480796359494</v>
          </cell>
          <cell r="G98">
            <v>58882.913300832552</v>
          </cell>
          <cell r="H98">
            <v>59359.636080336226</v>
          </cell>
          <cell r="I98">
            <v>62814.864151330919</v>
          </cell>
          <cell r="J98">
            <v>63851.477385740051</v>
          </cell>
          <cell r="K98">
            <v>63236.354677958065</v>
          </cell>
          <cell r="L98">
            <v>63243.329053995301</v>
          </cell>
          <cell r="M98">
            <v>63014.829435414867</v>
          </cell>
          <cell r="N98">
            <v>64176.643058944763</v>
          </cell>
          <cell r="O98">
            <v>61788.641579972624</v>
          </cell>
          <cell r="P98">
            <v>61788.641579972624</v>
          </cell>
          <cell r="Q98">
            <v>62805.695044970344</v>
          </cell>
        </row>
        <row r="99">
          <cell r="F99">
            <v>631291.86290623818</v>
          </cell>
          <cell r="G99">
            <v>707821.68697042472</v>
          </cell>
          <cell r="H99">
            <v>713552.29204904183</v>
          </cell>
          <cell r="I99">
            <v>755087.0128191238</v>
          </cell>
          <cell r="J99">
            <v>767547.96774108359</v>
          </cell>
          <cell r="K99">
            <v>760153.68019128765</v>
          </cell>
          <cell r="L99">
            <v>760237.51800323534</v>
          </cell>
          <cell r="M99">
            <v>757490.76217154972</v>
          </cell>
          <cell r="N99">
            <v>771456.73010439856</v>
          </cell>
          <cell r="O99">
            <v>742750.96232592105</v>
          </cell>
          <cell r="P99">
            <v>742750.96232592105</v>
          </cell>
          <cell r="Q99">
            <v>754976.79251974775</v>
          </cell>
        </row>
        <row r="100">
          <cell r="F100">
            <v>109409.33499241561</v>
          </cell>
          <cell r="G100">
            <v>122672.73604340115</v>
          </cell>
          <cell r="H100">
            <v>123665.90850070046</v>
          </cell>
          <cell r="I100">
            <v>130864.30031527275</v>
          </cell>
          <cell r="J100">
            <v>133023.91122029177</v>
          </cell>
          <cell r="K100">
            <v>131742.40557907929</v>
          </cell>
          <cell r="L100">
            <v>131756.93552915688</v>
          </cell>
          <cell r="M100">
            <v>131280.89465711432</v>
          </cell>
          <cell r="N100">
            <v>133701.33970613492</v>
          </cell>
          <cell r="O100">
            <v>128726.33662494298</v>
          </cell>
          <cell r="P100">
            <v>128726.33662494298</v>
          </cell>
          <cell r="Q100">
            <v>130845.19801035488</v>
          </cell>
        </row>
        <row r="101"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F102">
            <v>7655.3547580190725</v>
          </cell>
          <cell r="G102">
            <v>8583.392940046373</v>
          </cell>
          <cell r="H102">
            <v>8652.8850679077386</v>
          </cell>
          <cell r="I102">
            <v>9156.5554634145883</v>
          </cell>
          <cell r="J102">
            <v>9307.6631144971343</v>
          </cell>
          <cell r="K102">
            <v>9217.9963570073432</v>
          </cell>
          <cell r="L102">
            <v>9219.0130154347789</v>
          </cell>
          <cell r="M102">
            <v>9185.7045070240911</v>
          </cell>
          <cell r="N102">
            <v>9355.0626840373061</v>
          </cell>
          <cell r="O102">
            <v>9006.9624646967677</v>
          </cell>
          <cell r="P102">
            <v>9006.9624646967677</v>
          </cell>
          <cell r="Q102">
            <v>9155.2188780048309</v>
          </cell>
        </row>
        <row r="103">
          <cell r="F103">
            <v>3852.188899374562</v>
          </cell>
          <cell r="G103">
            <v>4319.17945644267</v>
          </cell>
          <cell r="H103">
            <v>4354.1480257648236</v>
          </cell>
          <cell r="I103">
            <v>4607.5959152284258</v>
          </cell>
          <cell r="J103">
            <v>4683.6335691988052</v>
          </cell>
          <cell r="K103">
            <v>4638.5130883375805</v>
          </cell>
          <cell r="L103">
            <v>4639.0246727686645</v>
          </cell>
          <cell r="M103">
            <v>4622.2637687465522</v>
          </cell>
          <cell r="N103">
            <v>4707.4851216597162</v>
          </cell>
          <cell r="O103">
            <v>4532.3204371741531</v>
          </cell>
          <cell r="P103">
            <v>4532.3204371741531</v>
          </cell>
          <cell r="Q103">
            <v>4606.9233429386659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F105">
            <v>3282.2800497724684</v>
          </cell>
          <cell r="G105">
            <v>3680.1820813020345</v>
          </cell>
          <cell r="H105">
            <v>3709.9772550210141</v>
          </cell>
          <cell r="I105">
            <v>3925.9290094581825</v>
          </cell>
          <cell r="J105">
            <v>3990.7173366087532</v>
          </cell>
          <cell r="K105">
            <v>3952.272167372379</v>
          </cell>
          <cell r="L105">
            <v>3952.7080658747063</v>
          </cell>
          <cell r="M105">
            <v>3938.4268397134292</v>
          </cell>
          <cell r="N105">
            <v>4011.0401911840477</v>
          </cell>
          <cell r="O105">
            <v>3861.790098748289</v>
          </cell>
          <cell r="P105">
            <v>3861.790098748289</v>
          </cell>
          <cell r="Q105">
            <v>3925.3559403106465</v>
          </cell>
        </row>
        <row r="106"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12">
          <cell r="F112">
            <v>229557.44182741782</v>
          </cell>
          <cell r="G112">
            <v>246134.72615967807</v>
          </cell>
          <cell r="H112">
            <v>246134.72615967807</v>
          </cell>
          <cell r="I112">
            <v>241203.68675903423</v>
          </cell>
          <cell r="J112">
            <v>256081.09675903423</v>
          </cell>
          <cell r="K112">
            <v>256081.09675903423</v>
          </cell>
          <cell r="L112">
            <v>256081.09675903423</v>
          </cell>
          <cell r="M112">
            <v>256081.09675903423</v>
          </cell>
          <cell r="N112">
            <v>256081.09675903423</v>
          </cell>
          <cell r="O112">
            <v>256081.09675903423</v>
          </cell>
          <cell r="P112">
            <v>256081.09675903423</v>
          </cell>
          <cell r="Q112">
            <v>256081.09675903423</v>
          </cell>
        </row>
        <row r="113"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F115">
            <v>146970.07499999998</v>
          </cell>
          <cell r="G115">
            <v>146970.07499999998</v>
          </cell>
          <cell r="H115">
            <v>146970.07499999998</v>
          </cell>
          <cell r="I115">
            <v>146970.07499999998</v>
          </cell>
          <cell r="J115">
            <v>146970.07499999998</v>
          </cell>
          <cell r="K115">
            <v>146970.07499999998</v>
          </cell>
          <cell r="L115">
            <v>146970.07499999998</v>
          </cell>
          <cell r="M115">
            <v>146970.07499999998</v>
          </cell>
          <cell r="N115">
            <v>146970.07499999998</v>
          </cell>
          <cell r="O115">
            <v>146970.07499999998</v>
          </cell>
          <cell r="P115">
            <v>146970.07499999998</v>
          </cell>
          <cell r="Q115">
            <v>146970.07499999998</v>
          </cell>
        </row>
        <row r="116"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F118">
            <v>88218.2</v>
          </cell>
          <cell r="G118">
            <v>88218.2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F119">
            <v>3991.5119999999997</v>
          </cell>
          <cell r="G119">
            <v>3991.5119999999997</v>
          </cell>
          <cell r="H119">
            <v>3991.5119999999997</v>
          </cell>
          <cell r="I119">
            <v>3991.5119999999997</v>
          </cell>
          <cell r="J119">
            <v>3991.5119999999997</v>
          </cell>
          <cell r="K119">
            <v>3991.5119999999997</v>
          </cell>
          <cell r="L119">
            <v>3991.5119999999997</v>
          </cell>
          <cell r="M119">
            <v>3991.5119999999997</v>
          </cell>
          <cell r="N119">
            <v>3991.5119999999997</v>
          </cell>
          <cell r="O119">
            <v>3991.5119999999997</v>
          </cell>
          <cell r="P119">
            <v>3991.5119999999997</v>
          </cell>
          <cell r="Q119">
            <v>3991.5119999999997</v>
          </cell>
        </row>
        <row r="120"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F121">
            <v>10330</v>
          </cell>
          <cell r="G121">
            <v>10330</v>
          </cell>
          <cell r="H121">
            <v>10330</v>
          </cell>
          <cell r="I121">
            <v>10330</v>
          </cell>
          <cell r="J121">
            <v>10330</v>
          </cell>
          <cell r="K121">
            <v>10330</v>
          </cell>
          <cell r="L121">
            <v>10330</v>
          </cell>
          <cell r="M121">
            <v>10330</v>
          </cell>
          <cell r="N121">
            <v>10330</v>
          </cell>
          <cell r="O121">
            <v>10330</v>
          </cell>
          <cell r="P121">
            <v>10330</v>
          </cell>
          <cell r="Q121">
            <v>10330</v>
          </cell>
        </row>
        <row r="122"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F123">
            <v>1549.4999999999998</v>
          </cell>
          <cell r="G123">
            <v>1549.4999999999998</v>
          </cell>
          <cell r="H123">
            <v>1549.4999999999998</v>
          </cell>
          <cell r="I123">
            <v>1549.4999999999998</v>
          </cell>
          <cell r="J123">
            <v>1549.4999999999998</v>
          </cell>
          <cell r="K123">
            <v>1549.4999999999998</v>
          </cell>
          <cell r="L123">
            <v>1549.4999999999998</v>
          </cell>
          <cell r="M123">
            <v>1549.4999999999998</v>
          </cell>
          <cell r="N123">
            <v>1549.4999999999998</v>
          </cell>
          <cell r="O123">
            <v>1549.4999999999998</v>
          </cell>
          <cell r="P123">
            <v>1549.4999999999998</v>
          </cell>
          <cell r="Q123">
            <v>1549.4999999999998</v>
          </cell>
        </row>
        <row r="124"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F125">
            <v>1033</v>
          </cell>
          <cell r="G125">
            <v>1033</v>
          </cell>
          <cell r="H125">
            <v>1033</v>
          </cell>
          <cell r="I125">
            <v>1033</v>
          </cell>
          <cell r="J125">
            <v>1033</v>
          </cell>
          <cell r="K125">
            <v>1033</v>
          </cell>
          <cell r="L125">
            <v>1033</v>
          </cell>
          <cell r="M125">
            <v>1033</v>
          </cell>
          <cell r="N125">
            <v>1033</v>
          </cell>
          <cell r="O125">
            <v>1033</v>
          </cell>
          <cell r="P125">
            <v>1033</v>
          </cell>
          <cell r="Q125">
            <v>1033</v>
          </cell>
        </row>
        <row r="126">
          <cell r="F126">
            <v>13945.499999999998</v>
          </cell>
          <cell r="G126">
            <v>13945.499999999998</v>
          </cell>
          <cell r="H126">
            <v>13945.499999999998</v>
          </cell>
          <cell r="I126">
            <v>13945.499999999998</v>
          </cell>
          <cell r="J126">
            <v>13945.499999999998</v>
          </cell>
          <cell r="K126">
            <v>13945.499999999998</v>
          </cell>
          <cell r="L126">
            <v>13945.499999999998</v>
          </cell>
          <cell r="M126">
            <v>13945.499999999998</v>
          </cell>
          <cell r="N126">
            <v>13945.499999999998</v>
          </cell>
          <cell r="O126">
            <v>13945.499999999998</v>
          </cell>
          <cell r="P126">
            <v>13945.499999999998</v>
          </cell>
          <cell r="Q126">
            <v>13945.499999999998</v>
          </cell>
        </row>
        <row r="127">
          <cell r="F127">
            <v>3615.4999999999995</v>
          </cell>
          <cell r="G127">
            <v>3615.4999999999995</v>
          </cell>
          <cell r="H127">
            <v>3615.4999999999995</v>
          </cell>
          <cell r="I127">
            <v>3615.4999999999995</v>
          </cell>
          <cell r="J127">
            <v>3615.4999999999995</v>
          </cell>
          <cell r="K127">
            <v>3615.4999999999995</v>
          </cell>
          <cell r="L127">
            <v>3615.4999999999995</v>
          </cell>
          <cell r="M127">
            <v>3615.4999999999995</v>
          </cell>
          <cell r="N127">
            <v>3615.4999999999995</v>
          </cell>
          <cell r="O127">
            <v>3615.4999999999995</v>
          </cell>
          <cell r="P127">
            <v>3615.4999999999995</v>
          </cell>
          <cell r="Q127">
            <v>3615.4999999999995</v>
          </cell>
        </row>
        <row r="128"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F130">
            <v>9090.4</v>
          </cell>
          <cell r="G130">
            <v>9090.4</v>
          </cell>
          <cell r="H130">
            <v>9090.4</v>
          </cell>
          <cell r="I130">
            <v>9090.4</v>
          </cell>
          <cell r="J130">
            <v>9090.4</v>
          </cell>
          <cell r="K130">
            <v>9090.4</v>
          </cell>
          <cell r="L130">
            <v>9090.4</v>
          </cell>
          <cell r="M130">
            <v>9090.4</v>
          </cell>
          <cell r="N130">
            <v>9090.4</v>
          </cell>
          <cell r="O130">
            <v>9090.4</v>
          </cell>
          <cell r="P130">
            <v>9090.4</v>
          </cell>
          <cell r="Q130">
            <v>9090.4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F135">
            <v>0</v>
          </cell>
          <cell r="G135">
            <v>0</v>
          </cell>
          <cell r="H135">
            <v>16808.385714285712</v>
          </cell>
          <cell r="I135">
            <v>16808.385714285712</v>
          </cell>
          <cell r="J135">
            <v>16808.385714285712</v>
          </cell>
          <cell r="K135">
            <v>16808.385714285712</v>
          </cell>
          <cell r="L135">
            <v>16808.385714285712</v>
          </cell>
          <cell r="M135">
            <v>16808.385714285712</v>
          </cell>
          <cell r="N135">
            <v>16808.385714285712</v>
          </cell>
          <cell r="O135">
            <v>16808.385714285712</v>
          </cell>
          <cell r="P135">
            <v>0</v>
          </cell>
          <cell r="Q135">
            <v>0</v>
          </cell>
        </row>
        <row r="136"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7"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</sheetData>
      <sheetData sheetId="6"/>
      <sheetData sheetId="7"/>
      <sheetData sheetId="8"/>
      <sheetData sheetId="9"/>
      <sheetData sheetId="10"/>
      <sheetData sheetId="11">
        <row r="26">
          <cell r="D26">
            <v>1.9953461682663536E-2</v>
          </cell>
        </row>
      </sheetData>
      <sheetData sheetId="12"/>
      <sheetData sheetId="1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Personal y KMS Recorridos"/>
      <sheetName val="Premisas Presupuesto 2014"/>
      <sheetName val="Edo.Res.detalle"/>
      <sheetName val="Vol e Ingresos 2014"/>
      <sheetName val="Gastos de Operación"/>
      <sheetName val="Gtos Transp 2014"/>
      <sheetName val="Gtos Mtto 2014"/>
      <sheetName val="Costo op 2013"/>
      <sheetName val="Información Op. 2013"/>
    </sheetNames>
    <sheetDataSet>
      <sheetData sheetId="0"/>
      <sheetData sheetId="1"/>
      <sheetData sheetId="2"/>
      <sheetData sheetId="3">
        <row r="7">
          <cell r="D7">
            <v>44002.135408083246</v>
          </cell>
          <cell r="E7">
            <v>42963.461424666872</v>
          </cell>
          <cell r="F7">
            <v>44422.051304100743</v>
          </cell>
          <cell r="G7">
            <v>46887.53319770682</v>
          </cell>
          <cell r="H7">
            <v>45220.123219533467</v>
          </cell>
          <cell r="I7">
            <v>45439.969643585551</v>
          </cell>
          <cell r="J7">
            <v>49050.109712694677</v>
          </cell>
          <cell r="K7">
            <v>48037.024706296055</v>
          </cell>
          <cell r="L7">
            <v>42512.009621835961</v>
          </cell>
          <cell r="M7">
            <v>54896.457573952794</v>
          </cell>
          <cell r="N7">
            <v>48796.851176846925</v>
          </cell>
          <cell r="O7">
            <v>48796.851176846925</v>
          </cell>
        </row>
        <row r="8">
          <cell r="D8">
            <v>4198.2021032969506</v>
          </cell>
          <cell r="E8">
            <v>4099.1032013600816</v>
          </cell>
          <cell r="F8">
            <v>4238.265881600415</v>
          </cell>
          <cell r="G8">
            <v>4473.4951761649727</v>
          </cell>
          <cell r="H8">
            <v>4314.4091678950253</v>
          </cell>
          <cell r="I8">
            <v>4335.3845071893129</v>
          </cell>
          <cell r="J8">
            <v>4679.8245551726741</v>
          </cell>
          <cell r="K8">
            <v>4583.1670733201008</v>
          </cell>
          <cell r="L8">
            <v>4056.0306120276614</v>
          </cell>
          <cell r="M8">
            <v>5237.6190726458117</v>
          </cell>
          <cell r="N8">
            <v>4655.6613979073882</v>
          </cell>
          <cell r="O8">
            <v>4655.6613979073882</v>
          </cell>
        </row>
        <row r="9">
          <cell r="D9">
            <v>162.91495604597455</v>
          </cell>
          <cell r="E9">
            <v>159.06933526450467</v>
          </cell>
          <cell r="F9">
            <v>164.46966649600714</v>
          </cell>
          <cell r="G9">
            <v>173.59794789880456</v>
          </cell>
          <cell r="H9">
            <v>167.42447425291351</v>
          </cell>
          <cell r="I9">
            <v>168.23844089746709</v>
          </cell>
          <cell r="J9">
            <v>181.6047424467933</v>
          </cell>
          <cell r="K9">
            <v>177.85386313701446</v>
          </cell>
          <cell r="L9">
            <v>157.39786523394878</v>
          </cell>
          <cell r="M9">
            <v>203.25045341088838</v>
          </cell>
          <cell r="N9">
            <v>180.66706969856745</v>
          </cell>
          <cell r="O9">
            <v>180.66706969856745</v>
          </cell>
        </row>
        <row r="12">
          <cell r="D12">
            <v>1028209.5625297102</v>
          </cell>
          <cell r="E12">
            <v>1047027.6365969895</v>
          </cell>
          <cell r="F12">
            <v>1082573.7463280628</v>
          </cell>
          <cell r="G12">
            <v>1142658.0038467771</v>
          </cell>
          <cell r="H12">
            <v>1102022.9090291439</v>
          </cell>
          <cell r="I12">
            <v>1107380.6077376881</v>
          </cell>
          <cell r="J12">
            <v>1210541.4773942365</v>
          </cell>
          <cell r="K12">
            <v>1185538.8540045007</v>
          </cell>
          <cell r="L12">
            <v>1049183.1972660455</v>
          </cell>
          <cell r="M12">
            <v>1354827.5272885629</v>
          </cell>
          <cell r="N12">
            <v>1204291.1353676112</v>
          </cell>
          <cell r="O12">
            <v>1204291.1353676112</v>
          </cell>
        </row>
        <row r="21">
          <cell r="D21">
            <v>39270.527999999998</v>
          </cell>
          <cell r="E21">
            <v>36378.127999999997</v>
          </cell>
          <cell r="F21">
            <v>36378.127999999997</v>
          </cell>
          <cell r="G21">
            <v>36378.127999999997</v>
          </cell>
          <cell r="H21">
            <v>36378.127999999997</v>
          </cell>
          <cell r="I21">
            <v>36378.127999999997</v>
          </cell>
          <cell r="J21">
            <v>36378.127999999997</v>
          </cell>
          <cell r="K21">
            <v>36378.127999999997</v>
          </cell>
          <cell r="L21">
            <v>36378.127999999997</v>
          </cell>
          <cell r="M21">
            <v>36378.127999999997</v>
          </cell>
          <cell r="N21">
            <v>36378.127999999997</v>
          </cell>
          <cell r="O21">
            <v>36378.127999999997</v>
          </cell>
        </row>
        <row r="22">
          <cell r="D22">
            <v>57181.714999999997</v>
          </cell>
          <cell r="E22">
            <v>57181.714999999997</v>
          </cell>
          <cell r="F22">
            <v>57181.714999999997</v>
          </cell>
          <cell r="G22">
            <v>57181.714999999997</v>
          </cell>
          <cell r="H22">
            <v>57181.714999999997</v>
          </cell>
          <cell r="I22">
            <v>57181.714999999997</v>
          </cell>
          <cell r="J22">
            <v>57181.714999999997</v>
          </cell>
          <cell r="K22">
            <v>57181.714999999997</v>
          </cell>
          <cell r="L22">
            <v>57181.714999999997</v>
          </cell>
          <cell r="M22">
            <v>57181.714999999997</v>
          </cell>
          <cell r="N22">
            <v>57181.714999999997</v>
          </cell>
          <cell r="O22">
            <v>57181.714999999997</v>
          </cell>
        </row>
        <row r="24">
          <cell r="D24">
            <v>64121.971403203439</v>
          </cell>
          <cell r="E24">
            <v>64121.971403203439</v>
          </cell>
          <cell r="F24">
            <v>62585.383903203445</v>
          </cell>
          <cell r="G24">
            <v>57420.383903203445</v>
          </cell>
          <cell r="H24">
            <v>57420.383903203445</v>
          </cell>
          <cell r="I24">
            <v>57420.383903203445</v>
          </cell>
          <cell r="J24">
            <v>57420.383903203445</v>
          </cell>
          <cell r="K24">
            <v>57420.383903203445</v>
          </cell>
          <cell r="L24">
            <v>62585.383903203445</v>
          </cell>
          <cell r="M24">
            <v>57420.383903203445</v>
          </cell>
          <cell r="N24">
            <v>55444.771403203442</v>
          </cell>
          <cell r="O24">
            <v>55444.771403203442</v>
          </cell>
        </row>
        <row r="25">
          <cell r="D25">
            <v>408634.194144829</v>
          </cell>
          <cell r="E25">
            <v>427505.23087251635</v>
          </cell>
          <cell r="F25">
            <v>415493.71349292557</v>
          </cell>
          <cell r="G25">
            <v>432320.2194702152</v>
          </cell>
          <cell r="H25">
            <v>424696.7345515241</v>
          </cell>
          <cell r="I25">
            <v>451004.30173190538</v>
          </cell>
          <cell r="J25">
            <v>452478.92432090972</v>
          </cell>
          <cell r="K25">
            <v>448721.60330549005</v>
          </cell>
          <cell r="L25">
            <v>417001.37527381611</v>
          </cell>
          <cell r="M25">
            <v>518942.86845051515</v>
          </cell>
          <cell r="N25">
            <v>460681.95640929946</v>
          </cell>
          <cell r="O25">
            <v>463117.37094171933</v>
          </cell>
        </row>
      </sheetData>
      <sheetData sheetId="4"/>
      <sheetData sheetId="5"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10842.367999999999</v>
          </cell>
          <cell r="G22">
            <v>10842.367999999999</v>
          </cell>
          <cell r="H22">
            <v>10842.367999999999</v>
          </cell>
          <cell r="I22">
            <v>10842.367999999999</v>
          </cell>
          <cell r="J22">
            <v>10842.367999999999</v>
          </cell>
          <cell r="K22">
            <v>10842.367999999999</v>
          </cell>
          <cell r="L22">
            <v>10842.367999999999</v>
          </cell>
          <cell r="M22">
            <v>10842.367999999999</v>
          </cell>
          <cell r="N22">
            <v>10842.367999999999</v>
          </cell>
          <cell r="O22">
            <v>10842.367999999999</v>
          </cell>
          <cell r="P22">
            <v>10842.367999999999</v>
          </cell>
          <cell r="Q22">
            <v>10842.367999999999</v>
          </cell>
        </row>
        <row r="23">
          <cell r="F23">
            <v>11569.599999999999</v>
          </cell>
          <cell r="G23">
            <v>11569.599999999999</v>
          </cell>
          <cell r="H23">
            <v>11569.599999999999</v>
          </cell>
          <cell r="I23">
            <v>11569.599999999999</v>
          </cell>
          <cell r="J23">
            <v>11569.599999999999</v>
          </cell>
          <cell r="K23">
            <v>11569.599999999999</v>
          </cell>
          <cell r="L23">
            <v>11569.599999999999</v>
          </cell>
          <cell r="M23">
            <v>11569.599999999999</v>
          </cell>
          <cell r="N23">
            <v>11569.599999999999</v>
          </cell>
          <cell r="O23">
            <v>11569.599999999999</v>
          </cell>
          <cell r="P23">
            <v>11569.599999999999</v>
          </cell>
          <cell r="Q23">
            <v>11569.599999999999</v>
          </cell>
        </row>
        <row r="24">
          <cell r="F24">
            <v>3098.9999999999995</v>
          </cell>
          <cell r="G24">
            <v>3098.9999999999995</v>
          </cell>
          <cell r="H24">
            <v>3098.9999999999995</v>
          </cell>
          <cell r="I24">
            <v>3098.9999999999995</v>
          </cell>
          <cell r="J24">
            <v>3098.9999999999995</v>
          </cell>
          <cell r="K24">
            <v>3098.9999999999995</v>
          </cell>
          <cell r="L24">
            <v>3098.9999999999995</v>
          </cell>
          <cell r="M24">
            <v>3098.9999999999995</v>
          </cell>
          <cell r="N24">
            <v>3098.9999999999995</v>
          </cell>
          <cell r="O24">
            <v>3098.9999999999995</v>
          </cell>
          <cell r="P24">
            <v>3098.9999999999995</v>
          </cell>
          <cell r="Q24">
            <v>3098.9999999999995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22726</v>
          </cell>
          <cell r="G31">
            <v>22726</v>
          </cell>
          <cell r="H31">
            <v>22726</v>
          </cell>
          <cell r="I31">
            <v>22726</v>
          </cell>
          <cell r="J31">
            <v>22726</v>
          </cell>
          <cell r="K31">
            <v>22726</v>
          </cell>
          <cell r="L31">
            <v>22726</v>
          </cell>
          <cell r="M31">
            <v>22726</v>
          </cell>
          <cell r="N31">
            <v>22726</v>
          </cell>
          <cell r="O31">
            <v>22726</v>
          </cell>
          <cell r="P31">
            <v>22726</v>
          </cell>
          <cell r="Q31">
            <v>22726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8944.7469999999994</v>
          </cell>
          <cell r="G34">
            <v>8944.7469999999994</v>
          </cell>
          <cell r="H34">
            <v>8944.7469999999994</v>
          </cell>
          <cell r="I34">
            <v>8944.7469999999994</v>
          </cell>
          <cell r="J34">
            <v>8944.7469999999994</v>
          </cell>
          <cell r="K34">
            <v>8944.7469999999994</v>
          </cell>
          <cell r="L34">
            <v>8944.7469999999994</v>
          </cell>
          <cell r="M34">
            <v>8944.7469999999994</v>
          </cell>
          <cell r="N34">
            <v>8944.7469999999994</v>
          </cell>
          <cell r="O34">
            <v>8944.7469999999994</v>
          </cell>
          <cell r="P34">
            <v>8944.7469999999994</v>
          </cell>
          <cell r="Q34">
            <v>8944.7469999999994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F59">
            <v>35345.127999999997</v>
          </cell>
          <cell r="G59">
            <v>35345.127999999997</v>
          </cell>
          <cell r="H59">
            <v>35345.127999999997</v>
          </cell>
          <cell r="I59">
            <v>35345.127999999997</v>
          </cell>
          <cell r="J59">
            <v>35345.127999999997</v>
          </cell>
          <cell r="K59">
            <v>35345.127999999997</v>
          </cell>
          <cell r="L59">
            <v>35345.127999999997</v>
          </cell>
          <cell r="M59">
            <v>35345.127999999997</v>
          </cell>
          <cell r="N59">
            <v>35345.127999999997</v>
          </cell>
          <cell r="O59">
            <v>35345.127999999997</v>
          </cell>
          <cell r="P59">
            <v>35345.127999999997</v>
          </cell>
          <cell r="Q59">
            <v>35345.127999999997</v>
          </cell>
        </row>
        <row r="60"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F61">
            <v>516.5</v>
          </cell>
          <cell r="G61">
            <v>516.5</v>
          </cell>
          <cell r="H61">
            <v>516.5</v>
          </cell>
          <cell r="I61">
            <v>516.5</v>
          </cell>
          <cell r="J61">
            <v>516.5</v>
          </cell>
          <cell r="K61">
            <v>516.5</v>
          </cell>
          <cell r="L61">
            <v>516.5</v>
          </cell>
          <cell r="M61">
            <v>516.5</v>
          </cell>
          <cell r="N61">
            <v>516.5</v>
          </cell>
          <cell r="O61">
            <v>516.5</v>
          </cell>
          <cell r="P61">
            <v>516.5</v>
          </cell>
          <cell r="Q61">
            <v>516.5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F66">
            <v>516.5</v>
          </cell>
          <cell r="G66">
            <v>516.5</v>
          </cell>
          <cell r="H66">
            <v>516.5</v>
          </cell>
          <cell r="I66">
            <v>516.5</v>
          </cell>
          <cell r="J66">
            <v>516.5</v>
          </cell>
          <cell r="K66">
            <v>516.5</v>
          </cell>
          <cell r="L66">
            <v>516.5</v>
          </cell>
          <cell r="M66">
            <v>516.5</v>
          </cell>
          <cell r="N66">
            <v>516.5</v>
          </cell>
          <cell r="O66">
            <v>516.5</v>
          </cell>
          <cell r="P66">
            <v>516.5</v>
          </cell>
          <cell r="Q66">
            <v>516.5</v>
          </cell>
        </row>
        <row r="67"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F68">
            <v>2892.3999999999996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94">
          <cell r="F94">
            <v>254150.26485703242</v>
          </cell>
          <cell r="G94">
            <v>250295.30158471977</v>
          </cell>
          <cell r="H94">
            <v>261009.78420512902</v>
          </cell>
          <cell r="I94">
            <v>277836.29018241866</v>
          </cell>
          <cell r="J94">
            <v>270212.8052637275</v>
          </cell>
          <cell r="K94">
            <v>273794.37244410877</v>
          </cell>
          <cell r="L94">
            <v>297994.99503311311</v>
          </cell>
          <cell r="M94">
            <v>294237.67401769344</v>
          </cell>
          <cell r="N94">
            <v>262517.44598601951</v>
          </cell>
          <cell r="O94">
            <v>341732.9391627186</v>
          </cell>
          <cell r="P94">
            <v>306198.02712150291</v>
          </cell>
          <cell r="Q94">
            <v>308633.44165392272</v>
          </cell>
        </row>
        <row r="95"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F96">
            <v>132757.16051779655</v>
          </cell>
          <cell r="G96">
            <v>132757.16051779655</v>
          </cell>
          <cell r="H96">
            <v>132757.16051779655</v>
          </cell>
          <cell r="I96">
            <v>132757.16051779655</v>
          </cell>
          <cell r="J96">
            <v>132757.16051779655</v>
          </cell>
          <cell r="K96">
            <v>132757.16051779655</v>
          </cell>
          <cell r="L96">
            <v>132757.16051779655</v>
          </cell>
          <cell r="M96">
            <v>132757.16051779655</v>
          </cell>
          <cell r="N96">
            <v>132757.16051779655</v>
          </cell>
          <cell r="O96">
            <v>132757.16051779655</v>
          </cell>
          <cell r="P96">
            <v>132757.16051779655</v>
          </cell>
          <cell r="Q96">
            <v>132757.16051779655</v>
          </cell>
        </row>
        <row r="97">
          <cell r="F97">
            <v>0</v>
          </cell>
          <cell r="G97">
            <v>41320</v>
          </cell>
          <cell r="H97">
            <v>0</v>
          </cell>
          <cell r="I97">
            <v>0</v>
          </cell>
          <cell r="J97">
            <v>0</v>
          </cell>
          <cell r="K97">
            <v>41320</v>
          </cell>
          <cell r="L97">
            <v>0</v>
          </cell>
          <cell r="M97">
            <v>0</v>
          </cell>
          <cell r="N97">
            <v>0</v>
          </cell>
          <cell r="O97">
            <v>41320</v>
          </cell>
          <cell r="P97">
            <v>0</v>
          </cell>
          <cell r="Q97">
            <v>0</v>
          </cell>
        </row>
        <row r="98">
          <cell r="F98">
            <v>18594</v>
          </cell>
          <cell r="G98">
            <v>0</v>
          </cell>
          <cell r="H98">
            <v>18594</v>
          </cell>
          <cell r="I98">
            <v>18594</v>
          </cell>
          <cell r="J98">
            <v>18594</v>
          </cell>
          <cell r="K98">
            <v>0</v>
          </cell>
          <cell r="L98">
            <v>18594</v>
          </cell>
          <cell r="M98">
            <v>18594</v>
          </cell>
          <cell r="N98">
            <v>18594</v>
          </cell>
          <cell r="O98">
            <v>0</v>
          </cell>
          <cell r="P98">
            <v>18594</v>
          </cell>
          <cell r="Q98">
            <v>18594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F102">
            <v>2424.723712</v>
          </cell>
          <cell r="G102">
            <v>2424.723712</v>
          </cell>
          <cell r="H102">
            <v>2424.723712</v>
          </cell>
          <cell r="I102">
            <v>2424.723712</v>
          </cell>
          <cell r="J102">
            <v>2424.723712</v>
          </cell>
          <cell r="K102">
            <v>2424.723712</v>
          </cell>
          <cell r="L102">
            <v>2424.723712</v>
          </cell>
          <cell r="M102">
            <v>2424.723712</v>
          </cell>
          <cell r="N102">
            <v>2424.723712</v>
          </cell>
          <cell r="O102">
            <v>2424.723712</v>
          </cell>
          <cell r="P102">
            <v>2424.723712</v>
          </cell>
          <cell r="Q102">
            <v>2424.723712</v>
          </cell>
        </row>
        <row r="103">
          <cell r="F103">
            <v>708.04505800000004</v>
          </cell>
          <cell r="G103">
            <v>708.04505800000004</v>
          </cell>
          <cell r="H103">
            <v>708.04505800000004</v>
          </cell>
          <cell r="I103">
            <v>708.04505800000004</v>
          </cell>
          <cell r="J103">
            <v>708.04505800000004</v>
          </cell>
          <cell r="K103">
            <v>708.04505800000004</v>
          </cell>
          <cell r="L103">
            <v>708.04505800000004</v>
          </cell>
          <cell r="M103">
            <v>708.04505800000004</v>
          </cell>
          <cell r="N103">
            <v>708.04505800000004</v>
          </cell>
          <cell r="O103">
            <v>708.04505800000004</v>
          </cell>
          <cell r="P103">
            <v>708.04505800000004</v>
          </cell>
          <cell r="Q103">
            <v>708.04505800000004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12">
          <cell r="F112">
            <v>28084.733403203441</v>
          </cell>
          <cell r="G112">
            <v>28084.733403203441</v>
          </cell>
          <cell r="H112">
            <v>28084.733403203441</v>
          </cell>
          <cell r="I112">
            <v>28084.733403203441</v>
          </cell>
          <cell r="J112">
            <v>28084.733403203441</v>
          </cell>
          <cell r="K112">
            <v>28084.733403203441</v>
          </cell>
          <cell r="L112">
            <v>28084.733403203441</v>
          </cell>
          <cell r="M112">
            <v>28084.733403203441</v>
          </cell>
          <cell r="N112">
            <v>28084.733403203441</v>
          </cell>
          <cell r="O112">
            <v>28084.733403203441</v>
          </cell>
          <cell r="P112">
            <v>28084.733403203441</v>
          </cell>
          <cell r="Q112">
            <v>28084.733403203441</v>
          </cell>
        </row>
        <row r="113"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F115">
            <v>20505.05</v>
          </cell>
          <cell r="G115">
            <v>20505.05</v>
          </cell>
          <cell r="H115">
            <v>20505.05</v>
          </cell>
          <cell r="I115">
            <v>20505.05</v>
          </cell>
          <cell r="J115">
            <v>20505.05</v>
          </cell>
          <cell r="K115">
            <v>20505.05</v>
          </cell>
          <cell r="L115">
            <v>20505.05</v>
          </cell>
          <cell r="M115">
            <v>20505.05</v>
          </cell>
          <cell r="N115">
            <v>20505.05</v>
          </cell>
          <cell r="O115">
            <v>20505.05</v>
          </cell>
          <cell r="P115">
            <v>20505.05</v>
          </cell>
          <cell r="Q115">
            <v>20505.05</v>
          </cell>
        </row>
        <row r="116"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F118">
            <v>8677.1999999999989</v>
          </cell>
          <cell r="G118">
            <v>8677.1999999999989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F119">
            <v>780.94799999999987</v>
          </cell>
          <cell r="G119">
            <v>780.94799999999987</v>
          </cell>
          <cell r="H119">
            <v>780.94799999999987</v>
          </cell>
          <cell r="I119">
            <v>780.94799999999987</v>
          </cell>
          <cell r="J119">
            <v>780.94799999999987</v>
          </cell>
          <cell r="K119">
            <v>780.94799999999987</v>
          </cell>
          <cell r="L119">
            <v>780.94799999999987</v>
          </cell>
          <cell r="M119">
            <v>780.94799999999987</v>
          </cell>
          <cell r="N119">
            <v>780.94799999999987</v>
          </cell>
          <cell r="O119">
            <v>780.94799999999987</v>
          </cell>
          <cell r="P119">
            <v>780.94799999999987</v>
          </cell>
          <cell r="Q119">
            <v>780.94799999999987</v>
          </cell>
        </row>
        <row r="120"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F121">
            <v>2066</v>
          </cell>
          <cell r="G121">
            <v>2066</v>
          </cell>
          <cell r="H121">
            <v>2066</v>
          </cell>
          <cell r="I121">
            <v>2066</v>
          </cell>
          <cell r="J121">
            <v>2066</v>
          </cell>
          <cell r="K121">
            <v>2066</v>
          </cell>
          <cell r="L121">
            <v>2066</v>
          </cell>
          <cell r="M121">
            <v>2066</v>
          </cell>
          <cell r="N121">
            <v>2066</v>
          </cell>
          <cell r="O121">
            <v>2066</v>
          </cell>
          <cell r="P121">
            <v>2066</v>
          </cell>
          <cell r="Q121">
            <v>2066</v>
          </cell>
        </row>
        <row r="122"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F123">
            <v>0</v>
          </cell>
          <cell r="G123">
            <v>0</v>
          </cell>
          <cell r="H123">
            <v>5165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5165</v>
          </cell>
          <cell r="O123">
            <v>0</v>
          </cell>
          <cell r="P123">
            <v>0</v>
          </cell>
          <cell r="Q123">
            <v>0</v>
          </cell>
        </row>
        <row r="124"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F125">
            <v>516.5</v>
          </cell>
          <cell r="G125">
            <v>516.5</v>
          </cell>
          <cell r="H125">
            <v>516.5</v>
          </cell>
          <cell r="I125">
            <v>516.5</v>
          </cell>
          <cell r="J125">
            <v>516.5</v>
          </cell>
          <cell r="K125">
            <v>516.5</v>
          </cell>
          <cell r="L125">
            <v>516.5</v>
          </cell>
          <cell r="M125">
            <v>516.5</v>
          </cell>
          <cell r="N125">
            <v>516.5</v>
          </cell>
          <cell r="O125">
            <v>516.5</v>
          </cell>
          <cell r="P125">
            <v>516.5</v>
          </cell>
          <cell r="Q125">
            <v>516.5</v>
          </cell>
        </row>
        <row r="126">
          <cell r="F126">
            <v>2324.2499999999995</v>
          </cell>
          <cell r="G126">
            <v>2324.2499999999995</v>
          </cell>
          <cell r="H126">
            <v>2324.2499999999995</v>
          </cell>
          <cell r="I126">
            <v>2324.2499999999995</v>
          </cell>
          <cell r="J126">
            <v>2324.2499999999995</v>
          </cell>
          <cell r="K126">
            <v>2324.2499999999995</v>
          </cell>
          <cell r="L126">
            <v>2324.2499999999995</v>
          </cell>
          <cell r="M126">
            <v>2324.2499999999995</v>
          </cell>
          <cell r="N126">
            <v>2324.2499999999995</v>
          </cell>
          <cell r="O126">
            <v>2324.2499999999995</v>
          </cell>
          <cell r="P126">
            <v>2324.2499999999995</v>
          </cell>
          <cell r="Q126">
            <v>2324.2499999999995</v>
          </cell>
        </row>
        <row r="127"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F130">
            <v>1167.29</v>
          </cell>
          <cell r="G130">
            <v>1167.29</v>
          </cell>
          <cell r="H130">
            <v>1167.29</v>
          </cell>
          <cell r="I130">
            <v>1167.29</v>
          </cell>
          <cell r="J130">
            <v>1167.29</v>
          </cell>
          <cell r="K130">
            <v>1167.29</v>
          </cell>
          <cell r="L130">
            <v>1167.29</v>
          </cell>
          <cell r="M130">
            <v>1167.29</v>
          </cell>
          <cell r="N130">
            <v>1167.29</v>
          </cell>
          <cell r="O130">
            <v>1167.29</v>
          </cell>
          <cell r="P130">
            <v>1167.29</v>
          </cell>
          <cell r="Q130">
            <v>1167.29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F135">
            <v>0</v>
          </cell>
          <cell r="G135">
            <v>0</v>
          </cell>
          <cell r="H135">
            <v>1975.6125</v>
          </cell>
          <cell r="I135">
            <v>1975.6125</v>
          </cell>
          <cell r="J135">
            <v>1975.6125</v>
          </cell>
          <cell r="K135">
            <v>1975.6125</v>
          </cell>
          <cell r="L135">
            <v>1975.6125</v>
          </cell>
          <cell r="M135">
            <v>1975.6125</v>
          </cell>
          <cell r="N135">
            <v>1975.6125</v>
          </cell>
          <cell r="O135">
            <v>1975.6125</v>
          </cell>
          <cell r="P135">
            <v>0</v>
          </cell>
          <cell r="Q135">
            <v>0</v>
          </cell>
        </row>
        <row r="136"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7"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Personal y KMS Recorridos"/>
      <sheetName val="Premisas Presupuesto 2014"/>
      <sheetName val="Edo.Res.detalle"/>
      <sheetName val="Vol e Ingresos 2014"/>
      <sheetName val="Gastos de Operación"/>
      <sheetName val="Gtos Transp 2014"/>
      <sheetName val="Gtos Mtto 2014"/>
      <sheetName val="Costo op 2013"/>
      <sheetName val="Información Op. 2013"/>
    </sheetNames>
    <sheetDataSet>
      <sheetData sheetId="0"/>
      <sheetData sheetId="1"/>
      <sheetData sheetId="2"/>
      <sheetData sheetId="3">
        <row r="7">
          <cell r="D7">
            <v>64429.314478049651</v>
          </cell>
          <cell r="E7">
            <v>62908.4552720801</v>
          </cell>
          <cell r="F7">
            <v>65044.168577013981</v>
          </cell>
          <cell r="G7">
            <v>68654.204926156759</v>
          </cell>
          <cell r="H7">
            <v>66212.730646528187</v>
          </cell>
          <cell r="I7">
            <v>66534.636714512439</v>
          </cell>
          <cell r="J7">
            <v>71820.717666386205</v>
          </cell>
          <cell r="K7">
            <v>70337.326647634341</v>
          </cell>
          <cell r="L7">
            <v>62247.425303726959</v>
          </cell>
          <cell r="M7">
            <v>80381.124596816138</v>
          </cell>
          <cell r="N7">
            <v>71449.888530503245</v>
          </cell>
          <cell r="O7">
            <v>71449.888530503245</v>
          </cell>
        </row>
        <row r="8">
          <cell r="D8">
            <v>4837.3540747506831</v>
          </cell>
          <cell r="E8">
            <v>4723.1679385684438</v>
          </cell>
          <cell r="F8">
            <v>4883.5173314157146</v>
          </cell>
          <cell r="G8">
            <v>5154.5589245941328</v>
          </cell>
          <cell r="H8">
            <v>4971.2529923389657</v>
          </cell>
          <cell r="I8">
            <v>4995.4217056376465</v>
          </cell>
          <cell r="J8">
            <v>5392.3007573419791</v>
          </cell>
          <cell r="K8">
            <v>5280.9277333211739</v>
          </cell>
          <cell r="L8">
            <v>4673.5377968099938</v>
          </cell>
          <cell r="M8">
            <v>6035.016261641611</v>
          </cell>
          <cell r="N8">
            <v>5364.4588992369881</v>
          </cell>
          <cell r="O8">
            <v>5364.4588992369881</v>
          </cell>
        </row>
        <row r="9">
          <cell r="D9">
            <v>129.32987492330457</v>
          </cell>
          <cell r="E9">
            <v>126.27703271200014</v>
          </cell>
          <cell r="F9">
            <v>130.56408025917275</v>
          </cell>
          <cell r="G9">
            <v>137.81055732144665</v>
          </cell>
          <cell r="H9">
            <v>132.90975144184347</v>
          </cell>
          <cell r="I9">
            <v>133.55591804856158</v>
          </cell>
          <cell r="J9">
            <v>144.1667431656472</v>
          </cell>
          <cell r="K9">
            <v>141.18911137689224</v>
          </cell>
          <cell r="L9">
            <v>124.95013789990659</v>
          </cell>
          <cell r="M9">
            <v>161.35016916628044</v>
          </cell>
          <cell r="N9">
            <v>143.4223725922493</v>
          </cell>
          <cell r="O9">
            <v>143.4223725922493</v>
          </cell>
        </row>
        <row r="12">
          <cell r="D12">
            <v>1679265.7162596025</v>
          </cell>
          <cell r="E12">
            <v>1709999.2824301692</v>
          </cell>
          <cell r="F12">
            <v>1768052.9765340576</v>
          </cell>
          <cell r="G12">
            <v>1866182.2270438971</v>
          </cell>
          <cell r="H12">
            <v>1799817.232891999</v>
          </cell>
          <cell r="I12">
            <v>1808567.3944224673</v>
          </cell>
          <cell r="J12">
            <v>1977049.1105889238</v>
          </cell>
          <cell r="K12">
            <v>1936214.9754038402</v>
          </cell>
          <cell r="L12">
            <v>1713519.7312401929</v>
          </cell>
          <cell r="M12">
            <v>2212696.2254882888</v>
          </cell>
          <cell r="N12">
            <v>1966841.0893229237</v>
          </cell>
          <cell r="O12">
            <v>1966841.0893229237</v>
          </cell>
        </row>
        <row r="21">
          <cell r="D21">
            <v>40672.967336000002</v>
          </cell>
          <cell r="E21">
            <v>40625.769565999995</v>
          </cell>
          <cell r="F21">
            <v>40629.323085999997</v>
          </cell>
          <cell r="G21">
            <v>40643.578485999999</v>
          </cell>
          <cell r="H21">
            <v>44580.548085999995</v>
          </cell>
          <cell r="I21">
            <v>45889.617335999996</v>
          </cell>
          <cell r="J21">
            <v>40686.324026000002</v>
          </cell>
          <cell r="K21">
            <v>40688.100785999995</v>
          </cell>
          <cell r="L21">
            <v>40740.639166000001</v>
          </cell>
          <cell r="M21">
            <v>40669.403485999996</v>
          </cell>
          <cell r="N21">
            <v>37071.712405999999</v>
          </cell>
          <cell r="O21">
            <v>41473.542335999999</v>
          </cell>
        </row>
        <row r="22">
          <cell r="D22">
            <v>199024.66666666669</v>
          </cell>
          <cell r="E22">
            <v>199024.66666666669</v>
          </cell>
          <cell r="F22">
            <v>199024.66666666669</v>
          </cell>
          <cell r="G22">
            <v>199024.66666666669</v>
          </cell>
          <cell r="H22">
            <v>199024.66666666669</v>
          </cell>
          <cell r="I22">
            <v>199024.66666666669</v>
          </cell>
          <cell r="J22">
            <v>199024.66666666669</v>
          </cell>
          <cell r="K22">
            <v>199024.66666666669</v>
          </cell>
          <cell r="L22">
            <v>199024.66666666669</v>
          </cell>
          <cell r="M22">
            <v>199024.66666666669</v>
          </cell>
          <cell r="N22">
            <v>199024.66666666669</v>
          </cell>
          <cell r="O22">
            <v>199024.66666666669</v>
          </cell>
        </row>
        <row r="24">
          <cell r="D24">
            <v>102445.36466666666</v>
          </cell>
          <cell r="E24">
            <v>150312.96274648968</v>
          </cell>
          <cell r="F24">
            <v>127173.76274648967</v>
          </cell>
          <cell r="G24">
            <v>127173.76274648967</v>
          </cell>
          <cell r="H24">
            <v>127173.76274648967</v>
          </cell>
          <cell r="I24">
            <v>132338.76274648967</v>
          </cell>
          <cell r="J24">
            <v>127173.76274648967</v>
          </cell>
          <cell r="K24">
            <v>127173.76274648967</v>
          </cell>
          <cell r="L24">
            <v>127173.76274648967</v>
          </cell>
          <cell r="M24">
            <v>127173.76274648967</v>
          </cell>
          <cell r="N24">
            <v>132338.76274648967</v>
          </cell>
          <cell r="O24">
            <v>127173.76274648967</v>
          </cell>
        </row>
        <row r="25">
          <cell r="D25">
            <v>841088.86303502368</v>
          </cell>
          <cell r="E25">
            <v>866573.5736573796</v>
          </cell>
          <cell r="F25">
            <v>866189.19528560666</v>
          </cell>
          <cell r="G25">
            <v>930089.43172135297</v>
          </cell>
          <cell r="H25">
            <v>890898.03279401036</v>
          </cell>
          <cell r="I25">
            <v>947648.95032558904</v>
          </cell>
          <cell r="J25">
            <v>971491.91550208675</v>
          </cell>
          <cell r="K25">
            <v>975027.84874996636</v>
          </cell>
          <cell r="L25">
            <v>860359.54502302338</v>
          </cell>
          <cell r="M25">
            <v>999261.54619861639</v>
          </cell>
          <cell r="N25">
            <v>988184.5341382022</v>
          </cell>
          <cell r="O25">
            <v>1011612.924478285</v>
          </cell>
        </row>
      </sheetData>
      <sheetData sheetId="4"/>
      <sheetData sheetId="5"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87805</v>
          </cell>
          <cell r="G22">
            <v>87805</v>
          </cell>
          <cell r="H22">
            <v>87805</v>
          </cell>
          <cell r="I22">
            <v>87805</v>
          </cell>
          <cell r="J22">
            <v>87805</v>
          </cell>
          <cell r="K22">
            <v>87805</v>
          </cell>
          <cell r="L22">
            <v>87805</v>
          </cell>
          <cell r="M22">
            <v>87805</v>
          </cell>
          <cell r="N22">
            <v>87805</v>
          </cell>
          <cell r="O22">
            <v>87805</v>
          </cell>
          <cell r="P22">
            <v>87805</v>
          </cell>
          <cell r="Q22">
            <v>87805</v>
          </cell>
        </row>
        <row r="23">
          <cell r="F23">
            <v>16527.999999999996</v>
          </cell>
          <cell r="G23">
            <v>16527.999999999996</v>
          </cell>
          <cell r="H23">
            <v>16527.999999999996</v>
          </cell>
          <cell r="I23">
            <v>16527.999999999996</v>
          </cell>
          <cell r="J23">
            <v>16527.999999999996</v>
          </cell>
          <cell r="K23">
            <v>16527.999999999996</v>
          </cell>
          <cell r="L23">
            <v>16527.999999999996</v>
          </cell>
          <cell r="M23">
            <v>16527.999999999996</v>
          </cell>
          <cell r="N23">
            <v>16527.999999999996</v>
          </cell>
          <cell r="O23">
            <v>16527.999999999996</v>
          </cell>
          <cell r="P23">
            <v>16527.999999999996</v>
          </cell>
          <cell r="Q23">
            <v>16527.999999999996</v>
          </cell>
        </row>
        <row r="24">
          <cell r="F24">
            <v>14462</v>
          </cell>
          <cell r="G24">
            <v>14462</v>
          </cell>
          <cell r="H24">
            <v>14462</v>
          </cell>
          <cell r="I24">
            <v>14462</v>
          </cell>
          <cell r="J24">
            <v>14462</v>
          </cell>
          <cell r="K24">
            <v>14462</v>
          </cell>
          <cell r="L24">
            <v>14462</v>
          </cell>
          <cell r="M24">
            <v>14462</v>
          </cell>
          <cell r="N24">
            <v>14462</v>
          </cell>
          <cell r="O24">
            <v>14462</v>
          </cell>
          <cell r="P24">
            <v>14462</v>
          </cell>
          <cell r="Q24">
            <v>14462</v>
          </cell>
        </row>
        <row r="25">
          <cell r="F25">
            <v>13773.333333333334</v>
          </cell>
          <cell r="G25">
            <v>13773.333333333334</v>
          </cell>
          <cell r="H25">
            <v>13773.333333333334</v>
          </cell>
          <cell r="I25">
            <v>13773.333333333334</v>
          </cell>
          <cell r="J25">
            <v>13773.333333333334</v>
          </cell>
          <cell r="K25">
            <v>13773.333333333334</v>
          </cell>
          <cell r="L25">
            <v>13773.333333333334</v>
          </cell>
          <cell r="M25">
            <v>13773.333333333334</v>
          </cell>
          <cell r="N25">
            <v>13773.333333333334</v>
          </cell>
          <cell r="O25">
            <v>13773.333333333334</v>
          </cell>
          <cell r="P25">
            <v>13773.333333333334</v>
          </cell>
          <cell r="Q25">
            <v>13773.333333333334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34433.333333333328</v>
          </cell>
          <cell r="G31">
            <v>34433.333333333328</v>
          </cell>
          <cell r="H31">
            <v>34433.333333333328</v>
          </cell>
          <cell r="I31">
            <v>34433.333333333328</v>
          </cell>
          <cell r="J31">
            <v>34433.333333333328</v>
          </cell>
          <cell r="K31">
            <v>34433.333333333328</v>
          </cell>
          <cell r="L31">
            <v>34433.333333333328</v>
          </cell>
          <cell r="M31">
            <v>34433.333333333328</v>
          </cell>
          <cell r="N31">
            <v>34433.333333333328</v>
          </cell>
          <cell r="O31">
            <v>34433.333333333328</v>
          </cell>
          <cell r="P31">
            <v>34433.333333333328</v>
          </cell>
          <cell r="Q31">
            <v>34433.333333333328</v>
          </cell>
        </row>
        <row r="32">
          <cell r="F32">
            <v>6197.9999999999991</v>
          </cell>
          <cell r="G32">
            <v>6197.9999999999991</v>
          </cell>
          <cell r="H32">
            <v>6197.9999999999991</v>
          </cell>
          <cell r="I32">
            <v>6197.9999999999991</v>
          </cell>
          <cell r="J32">
            <v>6197.9999999999991</v>
          </cell>
          <cell r="K32">
            <v>6197.9999999999991</v>
          </cell>
          <cell r="L32">
            <v>6197.9999999999991</v>
          </cell>
          <cell r="M32">
            <v>6197.9999999999991</v>
          </cell>
          <cell r="N32">
            <v>6197.9999999999991</v>
          </cell>
          <cell r="O32">
            <v>6197.9999999999991</v>
          </cell>
          <cell r="P32">
            <v>6197.9999999999991</v>
          </cell>
          <cell r="Q32">
            <v>6197.9999999999991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20659.999999999996</v>
          </cell>
          <cell r="G34">
            <v>20659.999999999996</v>
          </cell>
          <cell r="H34">
            <v>20659.999999999996</v>
          </cell>
          <cell r="I34">
            <v>20659.999999999996</v>
          </cell>
          <cell r="J34">
            <v>20659.999999999996</v>
          </cell>
          <cell r="K34">
            <v>20659.999999999996</v>
          </cell>
          <cell r="L34">
            <v>20659.999999999996</v>
          </cell>
          <cell r="M34">
            <v>20659.999999999996</v>
          </cell>
          <cell r="N34">
            <v>20659.999999999996</v>
          </cell>
          <cell r="O34">
            <v>20659.999999999996</v>
          </cell>
          <cell r="P34">
            <v>20659.999999999996</v>
          </cell>
          <cell r="Q34">
            <v>20659.999999999996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1032.9999999999998</v>
          </cell>
          <cell r="G38">
            <v>1032.9999999999998</v>
          </cell>
          <cell r="H38">
            <v>1032.9999999999998</v>
          </cell>
          <cell r="I38">
            <v>1032.9999999999998</v>
          </cell>
          <cell r="J38">
            <v>1032.9999999999998</v>
          </cell>
          <cell r="K38">
            <v>1032.9999999999998</v>
          </cell>
          <cell r="L38">
            <v>1032.9999999999998</v>
          </cell>
          <cell r="M38">
            <v>1032.9999999999998</v>
          </cell>
          <cell r="N38">
            <v>1032.9999999999998</v>
          </cell>
          <cell r="O38">
            <v>1032.9999999999998</v>
          </cell>
          <cell r="P38">
            <v>1032.9999999999998</v>
          </cell>
          <cell r="Q38">
            <v>1032.9999999999998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4131.9999999999991</v>
          </cell>
          <cell r="G49">
            <v>4131.9999999999991</v>
          </cell>
          <cell r="H49">
            <v>4131.9999999999991</v>
          </cell>
          <cell r="I49">
            <v>4131.9999999999991</v>
          </cell>
          <cell r="J49">
            <v>4131.9999999999991</v>
          </cell>
          <cell r="K49">
            <v>4131.9999999999991</v>
          </cell>
          <cell r="L49">
            <v>4131.9999999999991</v>
          </cell>
          <cell r="M49">
            <v>4131.9999999999991</v>
          </cell>
          <cell r="N49">
            <v>4131.9999999999991</v>
          </cell>
          <cell r="O49">
            <v>4131.9999999999991</v>
          </cell>
          <cell r="P49">
            <v>4131.9999999999991</v>
          </cell>
          <cell r="Q49">
            <v>4131.9999999999991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F59">
            <v>16268.342336000002</v>
          </cell>
          <cell r="G59">
            <v>16268.342336000002</v>
          </cell>
          <cell r="H59">
            <v>16268.342336000002</v>
          </cell>
          <cell r="I59">
            <v>16268.342336000002</v>
          </cell>
          <cell r="J59">
            <v>16268.342336000002</v>
          </cell>
          <cell r="K59">
            <v>16268.342336000002</v>
          </cell>
          <cell r="L59">
            <v>16268.342336000002</v>
          </cell>
          <cell r="M59">
            <v>16268.342336000002</v>
          </cell>
          <cell r="N59">
            <v>16268.342336000002</v>
          </cell>
          <cell r="O59">
            <v>16268.342336000002</v>
          </cell>
          <cell r="P59">
            <v>16268.342336000002</v>
          </cell>
          <cell r="Q59">
            <v>16268.342336000002</v>
          </cell>
        </row>
        <row r="60"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5165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5165</v>
          </cell>
        </row>
        <row r="61">
          <cell r="F61">
            <v>1033</v>
          </cell>
          <cell r="G61">
            <v>1033</v>
          </cell>
          <cell r="H61">
            <v>1033</v>
          </cell>
          <cell r="I61">
            <v>1033</v>
          </cell>
          <cell r="J61">
            <v>1033</v>
          </cell>
          <cell r="K61">
            <v>1033</v>
          </cell>
          <cell r="L61">
            <v>1033</v>
          </cell>
          <cell r="M61">
            <v>1033</v>
          </cell>
          <cell r="N61">
            <v>1033</v>
          </cell>
          <cell r="O61">
            <v>1033</v>
          </cell>
          <cell r="P61">
            <v>1033</v>
          </cell>
          <cell r="Q61">
            <v>1033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F65">
            <v>516.5</v>
          </cell>
          <cell r="G65">
            <v>516.5</v>
          </cell>
          <cell r="H65">
            <v>516.5</v>
          </cell>
          <cell r="I65">
            <v>516.5</v>
          </cell>
          <cell r="J65">
            <v>516.5</v>
          </cell>
          <cell r="K65">
            <v>516.5</v>
          </cell>
          <cell r="L65">
            <v>516.5</v>
          </cell>
          <cell r="M65">
            <v>516.5</v>
          </cell>
          <cell r="N65">
            <v>516.5</v>
          </cell>
          <cell r="O65">
            <v>516.5</v>
          </cell>
          <cell r="P65">
            <v>516.5</v>
          </cell>
          <cell r="Q65">
            <v>516.5</v>
          </cell>
        </row>
        <row r="66"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F67">
            <v>1549.4999999999998</v>
          </cell>
          <cell r="G67">
            <v>1549.4999999999998</v>
          </cell>
          <cell r="H67">
            <v>1549.4999999999998</v>
          </cell>
          <cell r="I67">
            <v>1549.4999999999998</v>
          </cell>
          <cell r="J67">
            <v>1549.4999999999998</v>
          </cell>
          <cell r="K67">
            <v>1549.4999999999998</v>
          </cell>
          <cell r="L67">
            <v>1549.4999999999998</v>
          </cell>
          <cell r="M67">
            <v>1549.4999999999998</v>
          </cell>
          <cell r="N67">
            <v>1549.4999999999998</v>
          </cell>
          <cell r="O67">
            <v>1549.4999999999998</v>
          </cell>
          <cell r="P67">
            <v>1549.4999999999998</v>
          </cell>
          <cell r="Q67">
            <v>1549.4999999999998</v>
          </cell>
        </row>
        <row r="68">
          <cell r="F68">
            <v>8677.1999999999989</v>
          </cell>
          <cell r="G68">
            <v>8677.1999999999989</v>
          </cell>
          <cell r="H68">
            <v>8677.1999999999989</v>
          </cell>
          <cell r="I68">
            <v>8677.1999999999989</v>
          </cell>
          <cell r="J68">
            <v>8677.1999999999989</v>
          </cell>
          <cell r="K68">
            <v>8677.1999999999989</v>
          </cell>
          <cell r="L68">
            <v>8677.1999999999989</v>
          </cell>
          <cell r="M68">
            <v>8677.1999999999989</v>
          </cell>
          <cell r="N68">
            <v>8677.1999999999989</v>
          </cell>
          <cell r="O68">
            <v>8677.1999999999989</v>
          </cell>
          <cell r="P68">
            <v>8677.1999999999989</v>
          </cell>
          <cell r="Q68">
            <v>8677.1999999999989</v>
          </cell>
        </row>
        <row r="69">
          <cell r="F69">
            <v>1033</v>
          </cell>
          <cell r="G69">
            <v>1033</v>
          </cell>
          <cell r="H69">
            <v>1033</v>
          </cell>
          <cell r="I69">
            <v>1033</v>
          </cell>
          <cell r="J69">
            <v>1033</v>
          </cell>
          <cell r="K69">
            <v>1033</v>
          </cell>
          <cell r="L69">
            <v>1033</v>
          </cell>
          <cell r="M69">
            <v>1033</v>
          </cell>
          <cell r="N69">
            <v>1033</v>
          </cell>
          <cell r="O69">
            <v>1033</v>
          </cell>
          <cell r="P69">
            <v>1033</v>
          </cell>
          <cell r="Q69">
            <v>1033</v>
          </cell>
        </row>
        <row r="70">
          <cell r="F70">
            <v>4364.4249999999993</v>
          </cell>
          <cell r="G70">
            <v>4317.2272299999995</v>
          </cell>
          <cell r="H70">
            <v>4320.7807499999999</v>
          </cell>
          <cell r="I70">
            <v>4335.0361499999999</v>
          </cell>
          <cell r="J70">
            <v>8272.0057499999984</v>
          </cell>
          <cell r="K70">
            <v>4416.0749999999998</v>
          </cell>
          <cell r="L70">
            <v>4377.7816899999998</v>
          </cell>
          <cell r="M70">
            <v>4379.5584499999995</v>
          </cell>
          <cell r="N70">
            <v>4432.0968299999995</v>
          </cell>
          <cell r="O70">
            <v>4360.8611499999997</v>
          </cell>
          <cell r="P70">
            <v>763.1700699999999</v>
          </cell>
          <cell r="Q70">
            <v>0</v>
          </cell>
        </row>
        <row r="71"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F77">
            <v>6197.9999999999991</v>
          </cell>
          <cell r="G77">
            <v>6197.9999999999991</v>
          </cell>
          <cell r="H77">
            <v>6197.9999999999991</v>
          </cell>
          <cell r="I77">
            <v>6197.9999999999991</v>
          </cell>
          <cell r="J77">
            <v>6197.9999999999991</v>
          </cell>
          <cell r="K77">
            <v>6197.9999999999991</v>
          </cell>
          <cell r="L77">
            <v>6197.9999999999991</v>
          </cell>
          <cell r="M77">
            <v>6197.9999999999991</v>
          </cell>
          <cell r="N77">
            <v>6197.9999999999991</v>
          </cell>
          <cell r="O77">
            <v>6197.9999999999991</v>
          </cell>
          <cell r="P77">
            <v>6197.9999999999991</v>
          </cell>
          <cell r="Q77">
            <v>6197.9999999999991</v>
          </cell>
        </row>
        <row r="78"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3">
          <cell r="F83">
            <v>1033</v>
          </cell>
          <cell r="G83">
            <v>1033</v>
          </cell>
          <cell r="H83">
            <v>1033</v>
          </cell>
          <cell r="I83">
            <v>1033</v>
          </cell>
          <cell r="J83">
            <v>1033</v>
          </cell>
          <cell r="K83">
            <v>1033</v>
          </cell>
          <cell r="L83">
            <v>1033</v>
          </cell>
          <cell r="M83">
            <v>1033</v>
          </cell>
          <cell r="N83">
            <v>1033</v>
          </cell>
          <cell r="O83">
            <v>1033</v>
          </cell>
          <cell r="P83">
            <v>1033</v>
          </cell>
          <cell r="Q83">
            <v>1033</v>
          </cell>
        </row>
        <row r="94">
          <cell r="F94">
            <v>589213.4865700946</v>
          </cell>
          <cell r="G94">
            <v>580276.26845798001</v>
          </cell>
          <cell r="H94">
            <v>605116.36714966281</v>
          </cell>
          <cell r="I94">
            <v>644126.37667787843</v>
          </cell>
          <cell r="J94">
            <v>626452.34383245383</v>
          </cell>
          <cell r="K94">
            <v>634755.72957523318</v>
          </cell>
          <cell r="L94">
            <v>690861.6447937577</v>
          </cell>
          <cell r="M94">
            <v>682150.79722921201</v>
          </cell>
          <cell r="N94">
            <v>608611.6798733644</v>
          </cell>
          <cell r="O94">
            <v>792262.2338134459</v>
          </cell>
          <cell r="P94">
            <v>709879.28044314589</v>
          </cell>
          <cell r="Q94">
            <v>715525.46416322875</v>
          </cell>
        </row>
        <row r="95"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F96">
            <v>193321.62781308571</v>
          </cell>
          <cell r="G96">
            <v>212012.50536910968</v>
          </cell>
          <cell r="H96">
            <v>202196.88841758107</v>
          </cell>
          <cell r="I96">
            <v>208667.4121333092</v>
          </cell>
          <cell r="J96">
            <v>204957.40842916182</v>
          </cell>
          <cell r="K96">
            <v>236708.25750195154</v>
          </cell>
          <cell r="L96">
            <v>218203.33640100149</v>
          </cell>
          <cell r="M96">
            <v>214699.43224670354</v>
          </cell>
          <cell r="N96">
            <v>194337.45310610361</v>
          </cell>
          <cell r="O96">
            <v>123558.62016649437</v>
          </cell>
          <cell r="P96">
            <v>216072.63838956645</v>
          </cell>
          <cell r="Q96">
            <v>217326.84500956643</v>
          </cell>
        </row>
        <row r="97">
          <cell r="F97">
            <v>0</v>
          </cell>
          <cell r="G97">
            <v>41320</v>
          </cell>
          <cell r="H97">
            <v>0</v>
          </cell>
          <cell r="I97">
            <v>41320</v>
          </cell>
          <cell r="J97">
            <v>0</v>
          </cell>
          <cell r="K97">
            <v>41320</v>
          </cell>
          <cell r="L97">
            <v>0</v>
          </cell>
          <cell r="M97">
            <v>41320</v>
          </cell>
          <cell r="N97">
            <v>0</v>
          </cell>
          <cell r="O97">
            <v>41320</v>
          </cell>
          <cell r="P97">
            <v>0</v>
          </cell>
          <cell r="Q97">
            <v>41320</v>
          </cell>
        </row>
        <row r="98">
          <cell r="F98">
            <v>24791.999999999996</v>
          </cell>
          <cell r="G98">
            <v>0</v>
          </cell>
          <cell r="H98">
            <v>24791.999999999996</v>
          </cell>
          <cell r="I98">
            <v>0</v>
          </cell>
          <cell r="J98">
            <v>24791.999999999996</v>
          </cell>
          <cell r="K98">
            <v>0</v>
          </cell>
          <cell r="L98">
            <v>24791.999999999996</v>
          </cell>
          <cell r="M98">
            <v>0</v>
          </cell>
          <cell r="N98">
            <v>24791.999999999996</v>
          </cell>
          <cell r="O98">
            <v>0</v>
          </cell>
          <cell r="P98">
            <v>24791.999999999996</v>
          </cell>
          <cell r="Q98">
            <v>0</v>
          </cell>
        </row>
        <row r="99">
          <cell r="F99">
            <v>33761.74865184346</v>
          </cell>
          <cell r="G99">
            <v>32964.799830289885</v>
          </cell>
          <cell r="H99">
            <v>34083.939718362744</v>
          </cell>
          <cell r="I99">
            <v>35975.642910165305</v>
          </cell>
          <cell r="J99">
            <v>34696.280532394812</v>
          </cell>
          <cell r="K99">
            <v>34864.96324840431</v>
          </cell>
          <cell r="L99">
            <v>37634.934307327516</v>
          </cell>
          <cell r="M99">
            <v>36857.619274050783</v>
          </cell>
          <cell r="N99">
            <v>32618.412043555356</v>
          </cell>
          <cell r="O99">
            <v>42120.692218676057</v>
          </cell>
          <cell r="P99">
            <v>37440.615305489831</v>
          </cell>
          <cell r="Q99">
            <v>37440.615305489831</v>
          </cell>
        </row>
        <row r="100"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12">
          <cell r="F112">
            <v>0</v>
          </cell>
          <cell r="G112">
            <v>58197.598079823001</v>
          </cell>
          <cell r="H112">
            <v>58197.598079823001</v>
          </cell>
          <cell r="I112">
            <v>58197.598079823001</v>
          </cell>
          <cell r="J112">
            <v>58197.598079823001</v>
          </cell>
          <cell r="K112">
            <v>58197.598079823001</v>
          </cell>
          <cell r="L112">
            <v>58197.598079823001</v>
          </cell>
          <cell r="M112">
            <v>58197.598079823001</v>
          </cell>
          <cell r="N112">
            <v>58197.598079823001</v>
          </cell>
          <cell r="O112">
            <v>58197.598079823001</v>
          </cell>
          <cell r="P112">
            <v>58197.598079823001</v>
          </cell>
          <cell r="Q112">
            <v>58197.598079823001</v>
          </cell>
        </row>
        <row r="113"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F115">
            <v>53165.066666666658</v>
          </cell>
          <cell r="G115">
            <v>53165.066666666658</v>
          </cell>
          <cell r="H115">
            <v>53165.066666666658</v>
          </cell>
          <cell r="I115">
            <v>53165.066666666658</v>
          </cell>
          <cell r="J115">
            <v>53165.066666666658</v>
          </cell>
          <cell r="K115">
            <v>53165.066666666658</v>
          </cell>
          <cell r="L115">
            <v>53165.066666666658</v>
          </cell>
          <cell r="M115">
            <v>53165.066666666658</v>
          </cell>
          <cell r="N115">
            <v>53165.066666666658</v>
          </cell>
          <cell r="O115">
            <v>53165.066666666658</v>
          </cell>
          <cell r="P115">
            <v>53165.066666666658</v>
          </cell>
          <cell r="Q115">
            <v>53165.066666666658</v>
          </cell>
        </row>
        <row r="116"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F118">
            <v>23139.199999999997</v>
          </cell>
          <cell r="G118">
            <v>23139.199999999997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F119">
            <v>1766.4299999999998</v>
          </cell>
          <cell r="G119">
            <v>1766.4299999999998</v>
          </cell>
          <cell r="H119">
            <v>1766.4299999999998</v>
          </cell>
          <cell r="I119">
            <v>1766.4299999999998</v>
          </cell>
          <cell r="J119">
            <v>1766.4299999999998</v>
          </cell>
          <cell r="K119">
            <v>1766.4299999999998</v>
          </cell>
          <cell r="L119">
            <v>1766.4299999999998</v>
          </cell>
          <cell r="M119">
            <v>1766.4299999999998</v>
          </cell>
          <cell r="N119">
            <v>1766.4299999999998</v>
          </cell>
          <cell r="O119">
            <v>1766.4299999999998</v>
          </cell>
          <cell r="P119">
            <v>1766.4299999999998</v>
          </cell>
          <cell r="Q119">
            <v>1766.4299999999998</v>
          </cell>
        </row>
        <row r="120"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F121">
            <v>5165</v>
          </cell>
          <cell r="G121">
            <v>5165</v>
          </cell>
          <cell r="H121">
            <v>5165</v>
          </cell>
          <cell r="I121">
            <v>5165</v>
          </cell>
          <cell r="J121">
            <v>5165</v>
          </cell>
          <cell r="K121">
            <v>5165</v>
          </cell>
          <cell r="L121">
            <v>5165</v>
          </cell>
          <cell r="M121">
            <v>5165</v>
          </cell>
          <cell r="N121">
            <v>5165</v>
          </cell>
          <cell r="O121">
            <v>5165</v>
          </cell>
          <cell r="P121">
            <v>5165</v>
          </cell>
          <cell r="Q121">
            <v>5165</v>
          </cell>
        </row>
        <row r="122"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F123">
            <v>10330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5165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5165</v>
          </cell>
          <cell r="Q123">
            <v>0</v>
          </cell>
        </row>
        <row r="124"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F125">
            <v>1033</v>
          </cell>
          <cell r="G125">
            <v>1033</v>
          </cell>
          <cell r="H125">
            <v>1033</v>
          </cell>
          <cell r="I125">
            <v>1033</v>
          </cell>
          <cell r="J125">
            <v>1033</v>
          </cell>
          <cell r="K125">
            <v>1033</v>
          </cell>
          <cell r="L125">
            <v>1033</v>
          </cell>
          <cell r="M125">
            <v>1033</v>
          </cell>
          <cell r="N125">
            <v>1033</v>
          </cell>
          <cell r="O125">
            <v>1033</v>
          </cell>
          <cell r="P125">
            <v>1033</v>
          </cell>
          <cell r="Q125">
            <v>1033</v>
          </cell>
        </row>
        <row r="126">
          <cell r="F126">
            <v>6198</v>
          </cell>
          <cell r="G126">
            <v>6198</v>
          </cell>
          <cell r="H126">
            <v>6198</v>
          </cell>
          <cell r="I126">
            <v>6198</v>
          </cell>
          <cell r="J126">
            <v>6198</v>
          </cell>
          <cell r="K126">
            <v>6198</v>
          </cell>
          <cell r="L126">
            <v>6198</v>
          </cell>
          <cell r="M126">
            <v>6198</v>
          </cell>
          <cell r="N126">
            <v>6198</v>
          </cell>
          <cell r="O126">
            <v>6198</v>
          </cell>
          <cell r="P126">
            <v>6198</v>
          </cell>
          <cell r="Q126">
            <v>6198</v>
          </cell>
        </row>
        <row r="127">
          <cell r="F127">
            <v>1648.6679999999999</v>
          </cell>
          <cell r="G127">
            <v>1648.6679999999999</v>
          </cell>
          <cell r="H127">
            <v>1648.6679999999999</v>
          </cell>
          <cell r="I127">
            <v>1648.6679999999999</v>
          </cell>
          <cell r="J127">
            <v>1648.6679999999999</v>
          </cell>
          <cell r="K127">
            <v>1648.6679999999999</v>
          </cell>
          <cell r="L127">
            <v>1648.6679999999999</v>
          </cell>
          <cell r="M127">
            <v>1648.6679999999999</v>
          </cell>
          <cell r="N127">
            <v>1648.6679999999999</v>
          </cell>
          <cell r="O127">
            <v>1648.6679999999999</v>
          </cell>
          <cell r="P127">
            <v>1648.6679999999999</v>
          </cell>
          <cell r="Q127">
            <v>1648.6679999999999</v>
          </cell>
        </row>
        <row r="128"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</row>
        <row r="136"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7"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</sheetData>
      <sheetData sheetId="6"/>
      <sheetData sheetId="7">
        <row r="10">
          <cell r="D10">
            <v>4837.3540747506831</v>
          </cell>
          <cell r="E10">
            <v>4723.1679385684438</v>
          </cell>
          <cell r="F10">
            <v>4883.5173314157146</v>
          </cell>
          <cell r="G10">
            <v>5154.5589245941328</v>
          </cell>
          <cell r="H10">
            <v>4971.2529923389657</v>
          </cell>
          <cell r="I10">
            <v>4995.4217056376465</v>
          </cell>
          <cell r="J10">
            <v>5392.3007573419791</v>
          </cell>
          <cell r="K10">
            <v>5280.9277333211739</v>
          </cell>
          <cell r="L10">
            <v>4673.5377968099938</v>
          </cell>
          <cell r="M10">
            <v>6035.016261641611</v>
          </cell>
          <cell r="N10">
            <v>5364.4588992369881</v>
          </cell>
          <cell r="O10">
            <v>5364.4588992369881</v>
          </cell>
        </row>
      </sheetData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Personal y KMS Recorridos"/>
      <sheetName val="Premisas Presupuesto 2014"/>
      <sheetName val="Edo.Res.detalle"/>
      <sheetName val="Vol e Ingresos 2014"/>
      <sheetName val="Gastos de Operación"/>
      <sheetName val="Gtos Transp 2014"/>
      <sheetName val="Gtos Mtto 2014"/>
      <sheetName val="Costo op 2013"/>
      <sheetName val="Información Op. 2013"/>
    </sheetNames>
    <sheetDataSet>
      <sheetData sheetId="0"/>
      <sheetData sheetId="1"/>
      <sheetData sheetId="2"/>
      <sheetData sheetId="3">
        <row r="7">
          <cell r="D7">
            <v>92734.078698939091</v>
          </cell>
          <cell r="E7">
            <v>90545.083232528603</v>
          </cell>
          <cell r="F7">
            <v>93619.047425731143</v>
          </cell>
          <cell r="G7">
            <v>98815.026889729474</v>
          </cell>
          <cell r="H7">
            <v>95300.976339561879</v>
          </cell>
          <cell r="I7">
            <v>95764.300571457687</v>
          </cell>
          <cell r="J7">
            <v>103372.63617103997</v>
          </cell>
          <cell r="K7">
            <v>101237.56922847457</v>
          </cell>
          <cell r="L7">
            <v>89593.652884336712</v>
          </cell>
          <cell r="M7">
            <v>115693.7582629394</v>
          </cell>
          <cell r="N7">
            <v>102838.89623372391</v>
          </cell>
          <cell r="O7">
            <v>102838.89623372391</v>
          </cell>
        </row>
        <row r="8">
          <cell r="D8">
            <v>9324.4542264868123</v>
          </cell>
          <cell r="E8">
            <v>9104.3497264486268</v>
          </cell>
          <cell r="F8">
            <v>9413.4382386279631</v>
          </cell>
          <cell r="G8">
            <v>9935.896361397583</v>
          </cell>
          <cell r="H8">
            <v>9582.5569637962417</v>
          </cell>
          <cell r="I8">
            <v>9629.1444282208395</v>
          </cell>
          <cell r="J8">
            <v>10394.166068953078</v>
          </cell>
          <cell r="K8">
            <v>10179.484106768836</v>
          </cell>
          <cell r="L8">
            <v>9008.6829677351743</v>
          </cell>
          <cell r="M8">
            <v>11633.060557114808</v>
          </cell>
          <cell r="N8">
            <v>10340.498272990941</v>
          </cell>
          <cell r="O8">
            <v>10340.498272990941</v>
          </cell>
        </row>
        <row r="9">
          <cell r="D9">
            <v>287.2814720933265</v>
          </cell>
          <cell r="E9">
            <v>280.50016959031024</v>
          </cell>
          <cell r="F9">
            <v>290.0230221486708</v>
          </cell>
          <cell r="G9">
            <v>306.11967885057442</v>
          </cell>
          <cell r="H9">
            <v>295.23348006339586</v>
          </cell>
          <cell r="I9">
            <v>296.66881504771874</v>
          </cell>
          <cell r="J9">
            <v>320.23872464183933</v>
          </cell>
          <cell r="K9">
            <v>313.62448764414108</v>
          </cell>
          <cell r="L9">
            <v>277.55272766973872</v>
          </cell>
          <cell r="M9">
            <v>358.40840446250024</v>
          </cell>
          <cell r="N9">
            <v>318.58524841111131</v>
          </cell>
          <cell r="O9">
            <v>318.58524841111131</v>
          </cell>
        </row>
        <row r="12">
          <cell r="D12">
            <v>2479810.0476170448</v>
          </cell>
          <cell r="E12">
            <v>2421273.9298494244</v>
          </cell>
          <cell r="F12">
            <v>2503475.0731536699</v>
          </cell>
          <cell r="G12">
            <v>2642421.2110008593</v>
          </cell>
          <cell r="H12">
            <v>2548451.680226414</v>
          </cell>
          <cell r="I12">
            <v>2560841.4737271378</v>
          </cell>
          <cell r="J12">
            <v>2799403.2036656355</v>
          </cell>
          <cell r="K12">
            <v>2741584.0993025736</v>
          </cell>
          <cell r="L12">
            <v>2426258.7102599558</v>
          </cell>
          <cell r="M12">
            <v>3133067.7974537709</v>
          </cell>
          <cell r="N12">
            <v>2784949.1532922406</v>
          </cell>
          <cell r="O12">
            <v>2784949.1532922406</v>
          </cell>
        </row>
        <row r="21">
          <cell r="D21">
            <v>153784.77599999998</v>
          </cell>
          <cell r="E21">
            <v>148619.77599999998</v>
          </cell>
          <cell r="F21">
            <v>148619.77599999998</v>
          </cell>
          <cell r="G21">
            <v>148619.77599999998</v>
          </cell>
          <cell r="H21">
            <v>153784.77599999998</v>
          </cell>
          <cell r="I21">
            <v>148619.77599999998</v>
          </cell>
          <cell r="J21">
            <v>148619.77599999998</v>
          </cell>
          <cell r="K21">
            <v>148619.77599999998</v>
          </cell>
          <cell r="L21">
            <v>153784.77599999998</v>
          </cell>
          <cell r="M21">
            <v>148619.77599999998</v>
          </cell>
          <cell r="N21">
            <v>148619.77599999998</v>
          </cell>
          <cell r="O21">
            <v>148619.77599999998</v>
          </cell>
        </row>
        <row r="22">
          <cell r="D22">
            <v>231433.31999999998</v>
          </cell>
          <cell r="E22">
            <v>231433.31999999998</v>
          </cell>
          <cell r="F22">
            <v>231433.31999999998</v>
          </cell>
          <cell r="G22">
            <v>231433.31999999998</v>
          </cell>
          <cell r="H22">
            <v>231433.31999999998</v>
          </cell>
          <cell r="I22">
            <v>231433.31999999998</v>
          </cell>
          <cell r="J22">
            <v>231433.31999999998</v>
          </cell>
          <cell r="K22">
            <v>231433.31999999998</v>
          </cell>
          <cell r="L22">
            <v>231433.31999999998</v>
          </cell>
          <cell r="M22">
            <v>231433.31999999998</v>
          </cell>
          <cell r="N22">
            <v>231433.31999999998</v>
          </cell>
          <cell r="O22">
            <v>231433.31999999998</v>
          </cell>
        </row>
        <row r="24">
          <cell r="D24">
            <v>174803.957632534</v>
          </cell>
          <cell r="E24">
            <v>185133.957632534</v>
          </cell>
          <cell r="F24">
            <v>151716.40763253401</v>
          </cell>
          <cell r="G24">
            <v>151716.40763253401</v>
          </cell>
          <cell r="H24">
            <v>151716.40763253401</v>
          </cell>
          <cell r="I24">
            <v>151716.40763253401</v>
          </cell>
          <cell r="J24">
            <v>162046.40763253401</v>
          </cell>
          <cell r="K24">
            <v>151716.40763253401</v>
          </cell>
          <cell r="L24">
            <v>151716.40763253401</v>
          </cell>
          <cell r="M24">
            <v>151716.40763253401</v>
          </cell>
          <cell r="N24">
            <v>147326.15763253401</v>
          </cell>
          <cell r="O24">
            <v>157656.15763253401</v>
          </cell>
        </row>
        <row r="25">
          <cell r="D25">
            <v>1366023.0406613299</v>
          </cell>
          <cell r="E25">
            <v>1390162.0929851071</v>
          </cell>
          <cell r="F25">
            <v>1388928.7869827191</v>
          </cell>
          <cell r="G25">
            <v>1494141.179496929</v>
          </cell>
          <cell r="H25">
            <v>1420919.7675586417</v>
          </cell>
          <cell r="I25">
            <v>1474202.761444736</v>
          </cell>
          <cell r="J25">
            <v>1525120.0607656597</v>
          </cell>
          <cell r="K25">
            <v>1549690.4267459202</v>
          </cell>
          <cell r="L25">
            <v>1383216.2624547451</v>
          </cell>
          <cell r="M25">
            <v>1729500.6386283338</v>
          </cell>
          <cell r="N25">
            <v>1548457.6362588506</v>
          </cell>
          <cell r="O25">
            <v>1597109.9402423284</v>
          </cell>
        </row>
      </sheetData>
      <sheetData sheetId="4"/>
      <sheetData sheetId="5"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16114.8</v>
          </cell>
          <cell r="G22">
            <v>16114.8</v>
          </cell>
          <cell r="H22">
            <v>16114.8</v>
          </cell>
          <cell r="I22">
            <v>16114.8</v>
          </cell>
          <cell r="J22">
            <v>16114.8</v>
          </cell>
          <cell r="K22">
            <v>16114.8</v>
          </cell>
          <cell r="L22">
            <v>16114.8</v>
          </cell>
          <cell r="M22">
            <v>16114.8</v>
          </cell>
          <cell r="N22">
            <v>16114.8</v>
          </cell>
          <cell r="O22">
            <v>16114.8</v>
          </cell>
          <cell r="P22">
            <v>16114.8</v>
          </cell>
          <cell r="Q22">
            <v>16114.8</v>
          </cell>
        </row>
        <row r="23">
          <cell r="F23">
            <v>23414.666666666668</v>
          </cell>
          <cell r="G23">
            <v>23414.666666666668</v>
          </cell>
          <cell r="H23">
            <v>23414.666666666668</v>
          </cell>
          <cell r="I23">
            <v>23414.666666666668</v>
          </cell>
          <cell r="J23">
            <v>23414.666666666668</v>
          </cell>
          <cell r="K23">
            <v>23414.666666666668</v>
          </cell>
          <cell r="L23">
            <v>23414.666666666668</v>
          </cell>
          <cell r="M23">
            <v>23414.666666666668</v>
          </cell>
          <cell r="N23">
            <v>23414.666666666668</v>
          </cell>
          <cell r="O23">
            <v>23414.666666666668</v>
          </cell>
          <cell r="P23">
            <v>23414.666666666668</v>
          </cell>
          <cell r="Q23">
            <v>23414.666666666668</v>
          </cell>
        </row>
        <row r="24">
          <cell r="F24">
            <v>7489.25</v>
          </cell>
          <cell r="G24">
            <v>7489.25</v>
          </cell>
          <cell r="H24">
            <v>7489.25</v>
          </cell>
          <cell r="I24">
            <v>7489.25</v>
          </cell>
          <cell r="J24">
            <v>7489.25</v>
          </cell>
          <cell r="K24">
            <v>7489.25</v>
          </cell>
          <cell r="L24">
            <v>7489.25</v>
          </cell>
          <cell r="M24">
            <v>7489.25</v>
          </cell>
          <cell r="N24">
            <v>7489.25</v>
          </cell>
          <cell r="O24">
            <v>7489.25</v>
          </cell>
          <cell r="P24">
            <v>7489.25</v>
          </cell>
          <cell r="Q24">
            <v>7489.25</v>
          </cell>
        </row>
        <row r="25">
          <cell r="F25">
            <v>17216.666666666664</v>
          </cell>
          <cell r="G25">
            <v>17216.666666666664</v>
          </cell>
          <cell r="H25">
            <v>17216.666666666664</v>
          </cell>
          <cell r="I25">
            <v>17216.666666666664</v>
          </cell>
          <cell r="J25">
            <v>17216.666666666664</v>
          </cell>
          <cell r="K25">
            <v>17216.666666666664</v>
          </cell>
          <cell r="L25">
            <v>17216.666666666664</v>
          </cell>
          <cell r="M25">
            <v>17216.666666666664</v>
          </cell>
          <cell r="N25">
            <v>17216.666666666664</v>
          </cell>
          <cell r="O25">
            <v>17216.666666666664</v>
          </cell>
          <cell r="P25">
            <v>17216.666666666664</v>
          </cell>
          <cell r="Q25">
            <v>17216.666666666664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109539.31999999999</v>
          </cell>
          <cell r="G31">
            <v>109539.31999999999</v>
          </cell>
          <cell r="H31">
            <v>109539.31999999999</v>
          </cell>
          <cell r="I31">
            <v>109539.31999999999</v>
          </cell>
          <cell r="J31">
            <v>109539.31999999999</v>
          </cell>
          <cell r="K31">
            <v>109539.31999999999</v>
          </cell>
          <cell r="L31">
            <v>109539.31999999999</v>
          </cell>
          <cell r="M31">
            <v>109539.31999999999</v>
          </cell>
          <cell r="N31">
            <v>109539.31999999999</v>
          </cell>
          <cell r="O31">
            <v>109539.31999999999</v>
          </cell>
          <cell r="P31">
            <v>109539.31999999999</v>
          </cell>
          <cell r="Q31">
            <v>109539.31999999999</v>
          </cell>
        </row>
        <row r="32">
          <cell r="F32">
            <v>4648.5</v>
          </cell>
          <cell r="G32">
            <v>4648.5</v>
          </cell>
          <cell r="H32">
            <v>4648.5</v>
          </cell>
          <cell r="I32">
            <v>4648.5</v>
          </cell>
          <cell r="J32">
            <v>4648.5</v>
          </cell>
          <cell r="K32">
            <v>4648.5</v>
          </cell>
          <cell r="L32">
            <v>4648.5</v>
          </cell>
          <cell r="M32">
            <v>4648.5</v>
          </cell>
          <cell r="N32">
            <v>4648.5</v>
          </cell>
          <cell r="O32">
            <v>4648.5</v>
          </cell>
          <cell r="P32">
            <v>4648.5</v>
          </cell>
          <cell r="Q32">
            <v>4648.5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35535.199999999997</v>
          </cell>
          <cell r="G34">
            <v>35535.199999999997</v>
          </cell>
          <cell r="H34">
            <v>35535.199999999997</v>
          </cell>
          <cell r="I34">
            <v>35535.199999999997</v>
          </cell>
          <cell r="J34">
            <v>35535.199999999997</v>
          </cell>
          <cell r="K34">
            <v>35535.199999999997</v>
          </cell>
          <cell r="L34">
            <v>35535.199999999997</v>
          </cell>
          <cell r="M34">
            <v>35535.199999999997</v>
          </cell>
          <cell r="N34">
            <v>35535.199999999997</v>
          </cell>
          <cell r="O34">
            <v>35535.199999999997</v>
          </cell>
          <cell r="P34">
            <v>35535.199999999997</v>
          </cell>
          <cell r="Q34">
            <v>35535.199999999997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17474.916666666664</v>
          </cell>
          <cell r="G38">
            <v>17474.916666666664</v>
          </cell>
          <cell r="H38">
            <v>17474.916666666664</v>
          </cell>
          <cell r="I38">
            <v>17474.916666666664</v>
          </cell>
          <cell r="J38">
            <v>17474.916666666664</v>
          </cell>
          <cell r="K38">
            <v>17474.916666666664</v>
          </cell>
          <cell r="L38">
            <v>17474.916666666664</v>
          </cell>
          <cell r="M38">
            <v>17474.916666666664</v>
          </cell>
          <cell r="N38">
            <v>17474.916666666664</v>
          </cell>
          <cell r="O38">
            <v>17474.916666666664</v>
          </cell>
          <cell r="P38">
            <v>17474.916666666664</v>
          </cell>
          <cell r="Q38">
            <v>17474.916666666664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F59">
            <v>138806.27599999998</v>
          </cell>
          <cell r="G59">
            <v>138806.27599999998</v>
          </cell>
          <cell r="H59">
            <v>138806.27599999998</v>
          </cell>
          <cell r="I59">
            <v>138806.27599999998</v>
          </cell>
          <cell r="J59">
            <v>138806.27599999998</v>
          </cell>
          <cell r="K59">
            <v>138806.27599999998</v>
          </cell>
          <cell r="L59">
            <v>138806.27599999998</v>
          </cell>
          <cell r="M59">
            <v>138806.27599999998</v>
          </cell>
          <cell r="N59">
            <v>138806.27599999998</v>
          </cell>
          <cell r="O59">
            <v>138806.27599999998</v>
          </cell>
          <cell r="P59">
            <v>138806.27599999998</v>
          </cell>
          <cell r="Q59">
            <v>138806.27599999998</v>
          </cell>
        </row>
        <row r="60">
          <cell r="F60">
            <v>5165</v>
          </cell>
          <cell r="G60">
            <v>0</v>
          </cell>
          <cell r="H60">
            <v>0</v>
          </cell>
          <cell r="I60">
            <v>0</v>
          </cell>
          <cell r="J60">
            <v>5165</v>
          </cell>
          <cell r="K60">
            <v>0</v>
          </cell>
          <cell r="L60">
            <v>0</v>
          </cell>
          <cell r="M60">
            <v>0</v>
          </cell>
          <cell r="N60">
            <v>5165</v>
          </cell>
          <cell r="O60">
            <v>0</v>
          </cell>
          <cell r="P60">
            <v>0</v>
          </cell>
          <cell r="Q60">
            <v>0</v>
          </cell>
        </row>
        <row r="61">
          <cell r="F61">
            <v>1033</v>
          </cell>
          <cell r="G61">
            <v>1033</v>
          </cell>
          <cell r="H61">
            <v>1033</v>
          </cell>
          <cell r="I61">
            <v>1033</v>
          </cell>
          <cell r="J61">
            <v>1033</v>
          </cell>
          <cell r="K61">
            <v>1033</v>
          </cell>
          <cell r="L61">
            <v>1033</v>
          </cell>
          <cell r="M61">
            <v>1033</v>
          </cell>
          <cell r="N61">
            <v>1033</v>
          </cell>
          <cell r="O61">
            <v>1033</v>
          </cell>
          <cell r="P61">
            <v>1033</v>
          </cell>
          <cell r="Q61">
            <v>1033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F65">
            <v>1549.4999999999998</v>
          </cell>
          <cell r="G65">
            <v>1549.4999999999998</v>
          </cell>
          <cell r="H65">
            <v>1549.4999999999998</v>
          </cell>
          <cell r="I65">
            <v>1549.4999999999998</v>
          </cell>
          <cell r="J65">
            <v>1549.4999999999998</v>
          </cell>
          <cell r="K65">
            <v>1549.4999999999998</v>
          </cell>
          <cell r="L65">
            <v>1549.4999999999998</v>
          </cell>
          <cell r="M65">
            <v>1549.4999999999998</v>
          </cell>
          <cell r="N65">
            <v>1549.4999999999998</v>
          </cell>
          <cell r="O65">
            <v>1549.4999999999998</v>
          </cell>
          <cell r="P65">
            <v>1549.4999999999998</v>
          </cell>
          <cell r="Q65">
            <v>1549.4999999999998</v>
          </cell>
        </row>
        <row r="66">
          <cell r="F66">
            <v>5165</v>
          </cell>
          <cell r="G66">
            <v>5165</v>
          </cell>
          <cell r="H66">
            <v>5165</v>
          </cell>
          <cell r="I66">
            <v>5165</v>
          </cell>
          <cell r="J66">
            <v>5165</v>
          </cell>
          <cell r="K66">
            <v>5165</v>
          </cell>
          <cell r="L66">
            <v>5165</v>
          </cell>
          <cell r="M66">
            <v>5165</v>
          </cell>
          <cell r="N66">
            <v>5165</v>
          </cell>
          <cell r="O66">
            <v>5165</v>
          </cell>
          <cell r="P66">
            <v>5165</v>
          </cell>
          <cell r="Q66">
            <v>5165</v>
          </cell>
        </row>
        <row r="67">
          <cell r="F67">
            <v>2066</v>
          </cell>
          <cell r="G67">
            <v>2066</v>
          </cell>
          <cell r="H67">
            <v>2066</v>
          </cell>
          <cell r="I67">
            <v>2066</v>
          </cell>
          <cell r="J67">
            <v>2066</v>
          </cell>
          <cell r="K67">
            <v>2066</v>
          </cell>
          <cell r="L67">
            <v>2066</v>
          </cell>
          <cell r="M67">
            <v>2066</v>
          </cell>
          <cell r="N67">
            <v>2066</v>
          </cell>
          <cell r="O67">
            <v>2066</v>
          </cell>
          <cell r="P67">
            <v>2066</v>
          </cell>
          <cell r="Q67">
            <v>2066</v>
          </cell>
        </row>
        <row r="68"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94">
          <cell r="F94">
            <v>765170.35379666439</v>
          </cell>
          <cell r="G94">
            <v>753564.21357639774</v>
          </cell>
          <cell r="H94">
            <v>785822.31278404046</v>
          </cell>
          <cell r="I94">
            <v>836481.88435303746</v>
          </cell>
          <cell r="J94">
            <v>813529.85376719537</v>
          </cell>
          <cell r="K94">
            <v>824312.88021062815</v>
          </cell>
          <cell r="L94">
            <v>897173.70905511035</v>
          </cell>
          <cell r="M94">
            <v>885861.54043583467</v>
          </cell>
          <cell r="N94">
            <v>790361.43100584752</v>
          </cell>
          <cell r="O94">
            <v>1028855.5634998232</v>
          </cell>
          <cell r="P94">
            <v>921870.58264998719</v>
          </cell>
          <cell r="Q94">
            <v>929202.88663346507</v>
          </cell>
        </row>
        <row r="95"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F96">
            <v>335240.87327168527</v>
          </cell>
          <cell r="G96">
            <v>335240.87327168527</v>
          </cell>
          <cell r="H96">
            <v>335240.87327168527</v>
          </cell>
          <cell r="I96">
            <v>335240.87327168527</v>
          </cell>
          <cell r="J96">
            <v>335240.87327168527</v>
          </cell>
          <cell r="K96">
            <v>335240.87327168527</v>
          </cell>
          <cell r="L96">
            <v>335240.87327168527</v>
          </cell>
          <cell r="M96">
            <v>335240.87327168527</v>
          </cell>
          <cell r="N96">
            <v>335240.87327168527</v>
          </cell>
          <cell r="O96">
            <v>335240.87327168527</v>
          </cell>
          <cell r="P96">
            <v>335240.87327168527</v>
          </cell>
          <cell r="Q96">
            <v>335240.87327168527</v>
          </cell>
        </row>
        <row r="97">
          <cell r="F97">
            <v>0</v>
          </cell>
          <cell r="G97">
            <v>41319.999999999993</v>
          </cell>
          <cell r="H97">
            <v>0</v>
          </cell>
          <cell r="I97">
            <v>41319.999999999993</v>
          </cell>
          <cell r="J97">
            <v>0</v>
          </cell>
          <cell r="K97">
            <v>41319.999999999993</v>
          </cell>
          <cell r="L97">
            <v>0</v>
          </cell>
          <cell r="M97">
            <v>41319.999999999993</v>
          </cell>
          <cell r="N97">
            <v>0</v>
          </cell>
          <cell r="O97">
            <v>41319.999999999993</v>
          </cell>
          <cell r="P97">
            <v>0</v>
          </cell>
          <cell r="Q97">
            <v>41319.999999999993</v>
          </cell>
        </row>
        <row r="98">
          <cell r="F98">
            <v>24792</v>
          </cell>
          <cell r="G98">
            <v>24792</v>
          </cell>
          <cell r="H98">
            <v>24792</v>
          </cell>
          <cell r="I98">
            <v>24792</v>
          </cell>
          <cell r="J98">
            <v>24792</v>
          </cell>
          <cell r="K98">
            <v>24792</v>
          </cell>
          <cell r="L98">
            <v>24792</v>
          </cell>
          <cell r="M98">
            <v>24792</v>
          </cell>
          <cell r="N98">
            <v>24792</v>
          </cell>
          <cell r="O98">
            <v>24792</v>
          </cell>
          <cell r="P98">
            <v>24792</v>
          </cell>
          <cell r="Q98">
            <v>24792</v>
          </cell>
        </row>
        <row r="99">
          <cell r="F99">
            <v>236169.80541298012</v>
          </cell>
          <cell r="G99">
            <v>230594.99795702408</v>
          </cell>
          <cell r="H99">
            <v>238423.59274699332</v>
          </cell>
          <cell r="I99">
            <v>251656.41369220606</v>
          </cell>
          <cell r="J99">
            <v>242707.032339761</v>
          </cell>
          <cell r="K99">
            <v>243886.99978242244</v>
          </cell>
          <cell r="L99">
            <v>263263.47025886393</v>
          </cell>
          <cell r="M99">
            <v>257826.00485840029</v>
          </cell>
          <cell r="N99">
            <v>228171.94999721236</v>
          </cell>
          <cell r="O99">
            <v>294642.19367682521</v>
          </cell>
          <cell r="P99">
            <v>261904.17215717793</v>
          </cell>
          <cell r="Q99">
            <v>261904.17215717793</v>
          </cell>
        </row>
        <row r="100"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F102">
            <v>2424.723712</v>
          </cell>
          <cell r="G102">
            <v>2424.723712</v>
          </cell>
          <cell r="H102">
            <v>2424.723712</v>
          </cell>
          <cell r="I102">
            <v>2424.723712</v>
          </cell>
          <cell r="J102">
            <v>2424.723712</v>
          </cell>
          <cell r="K102">
            <v>2424.723712</v>
          </cell>
          <cell r="L102">
            <v>2424.723712</v>
          </cell>
          <cell r="M102">
            <v>2424.723712</v>
          </cell>
          <cell r="N102">
            <v>2424.723712</v>
          </cell>
          <cell r="O102">
            <v>2424.723712</v>
          </cell>
          <cell r="P102">
            <v>2424.723712</v>
          </cell>
          <cell r="Q102">
            <v>2424.723712</v>
          </cell>
        </row>
        <row r="103">
          <cell r="F103">
            <v>2225.2844680000003</v>
          </cell>
          <cell r="G103">
            <v>2225.2844680000003</v>
          </cell>
          <cell r="H103">
            <v>2225.2844680000003</v>
          </cell>
          <cell r="I103">
            <v>2225.2844680000003</v>
          </cell>
          <cell r="J103">
            <v>2225.2844680000003</v>
          </cell>
          <cell r="K103">
            <v>2225.2844680000003</v>
          </cell>
          <cell r="L103">
            <v>2225.2844680000003</v>
          </cell>
          <cell r="M103">
            <v>2225.2844680000003</v>
          </cell>
          <cell r="N103">
            <v>2225.2844680000003</v>
          </cell>
          <cell r="O103">
            <v>2225.2844680000003</v>
          </cell>
          <cell r="P103">
            <v>2225.2844680000003</v>
          </cell>
          <cell r="Q103">
            <v>2225.2844680000003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12">
          <cell r="F112">
            <v>70607.554665867341</v>
          </cell>
          <cell r="G112">
            <v>70607.554665867341</v>
          </cell>
          <cell r="H112">
            <v>70607.554665867341</v>
          </cell>
          <cell r="I112">
            <v>70607.554665867341</v>
          </cell>
          <cell r="J112">
            <v>70607.554665867341</v>
          </cell>
          <cell r="K112">
            <v>70607.554665867341</v>
          </cell>
          <cell r="L112">
            <v>70607.554665867341</v>
          </cell>
          <cell r="M112">
            <v>70607.554665867341</v>
          </cell>
          <cell r="N112">
            <v>70607.554665867341</v>
          </cell>
          <cell r="O112">
            <v>70607.554665867341</v>
          </cell>
          <cell r="P112">
            <v>70607.554665867341</v>
          </cell>
          <cell r="Q112">
            <v>70607.554665867341</v>
          </cell>
        </row>
        <row r="113"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F115">
            <v>56573.96666666666</v>
          </cell>
          <cell r="G115">
            <v>56573.96666666666</v>
          </cell>
          <cell r="H115">
            <v>56573.96666666666</v>
          </cell>
          <cell r="I115">
            <v>56573.96666666666</v>
          </cell>
          <cell r="J115">
            <v>56573.96666666666</v>
          </cell>
          <cell r="K115">
            <v>56573.96666666666</v>
          </cell>
          <cell r="L115">
            <v>56573.96666666666</v>
          </cell>
          <cell r="M115">
            <v>56573.96666666666</v>
          </cell>
          <cell r="N115">
            <v>56573.96666666666</v>
          </cell>
          <cell r="O115">
            <v>56573.96666666666</v>
          </cell>
          <cell r="P115">
            <v>56573.96666666666</v>
          </cell>
          <cell r="Q115">
            <v>56573.96666666666</v>
          </cell>
        </row>
        <row r="116"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F118">
            <v>27477.8</v>
          </cell>
          <cell r="G118">
            <v>27477.8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F119">
            <v>1735.4399999999998</v>
          </cell>
          <cell r="G119">
            <v>1735.4399999999998</v>
          </cell>
          <cell r="H119">
            <v>1735.4399999999998</v>
          </cell>
          <cell r="I119">
            <v>1735.4399999999998</v>
          </cell>
          <cell r="J119">
            <v>1735.4399999999998</v>
          </cell>
          <cell r="K119">
            <v>1735.4399999999998</v>
          </cell>
          <cell r="L119">
            <v>1735.4399999999998</v>
          </cell>
          <cell r="M119">
            <v>1735.4399999999998</v>
          </cell>
          <cell r="N119">
            <v>1735.4399999999998</v>
          </cell>
          <cell r="O119">
            <v>1735.4399999999998</v>
          </cell>
          <cell r="P119">
            <v>1735.4399999999998</v>
          </cell>
          <cell r="Q119">
            <v>1735.4399999999998</v>
          </cell>
        </row>
        <row r="120"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F121">
            <v>5165</v>
          </cell>
          <cell r="G121">
            <v>5165</v>
          </cell>
          <cell r="H121">
            <v>5165</v>
          </cell>
          <cell r="I121">
            <v>5165</v>
          </cell>
          <cell r="J121">
            <v>5165</v>
          </cell>
          <cell r="K121">
            <v>5165</v>
          </cell>
          <cell r="L121">
            <v>5165</v>
          </cell>
          <cell r="M121">
            <v>5165</v>
          </cell>
          <cell r="N121">
            <v>5165</v>
          </cell>
          <cell r="O121">
            <v>5165</v>
          </cell>
          <cell r="P121">
            <v>5165</v>
          </cell>
          <cell r="Q121">
            <v>5165</v>
          </cell>
        </row>
        <row r="122"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F123">
            <v>0</v>
          </cell>
          <cell r="G123">
            <v>10330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10330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10330</v>
          </cell>
        </row>
        <row r="124"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F125">
            <v>1033</v>
          </cell>
          <cell r="G125">
            <v>1033</v>
          </cell>
          <cell r="H125">
            <v>1033</v>
          </cell>
          <cell r="I125">
            <v>1033</v>
          </cell>
          <cell r="J125">
            <v>1033</v>
          </cell>
          <cell r="K125">
            <v>1033</v>
          </cell>
          <cell r="L125">
            <v>1033</v>
          </cell>
          <cell r="M125">
            <v>1033</v>
          </cell>
          <cell r="N125">
            <v>1033</v>
          </cell>
          <cell r="O125">
            <v>1033</v>
          </cell>
          <cell r="P125">
            <v>1033</v>
          </cell>
          <cell r="Q125">
            <v>1033</v>
          </cell>
        </row>
        <row r="126">
          <cell r="F126">
            <v>7307.5452999999998</v>
          </cell>
          <cell r="G126">
            <v>7307.5452999999998</v>
          </cell>
          <cell r="H126">
            <v>7307.5452999999998</v>
          </cell>
          <cell r="I126">
            <v>7307.5452999999998</v>
          </cell>
          <cell r="J126">
            <v>7307.5452999999998</v>
          </cell>
          <cell r="K126">
            <v>7307.5452999999998</v>
          </cell>
          <cell r="L126">
            <v>7307.5452999999998</v>
          </cell>
          <cell r="M126">
            <v>7307.5452999999998</v>
          </cell>
          <cell r="N126">
            <v>7307.5452999999998</v>
          </cell>
          <cell r="O126">
            <v>7307.5452999999998</v>
          </cell>
          <cell r="P126">
            <v>7307.5452999999998</v>
          </cell>
          <cell r="Q126">
            <v>7307.5452999999998</v>
          </cell>
        </row>
        <row r="127"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F130">
            <v>2969.8749999999995</v>
          </cell>
          <cell r="G130">
            <v>2969.8749999999995</v>
          </cell>
          <cell r="H130">
            <v>2969.8749999999995</v>
          </cell>
          <cell r="I130">
            <v>2969.8749999999995</v>
          </cell>
          <cell r="J130">
            <v>2969.8749999999995</v>
          </cell>
          <cell r="K130">
            <v>2969.8749999999995</v>
          </cell>
          <cell r="L130">
            <v>2969.8749999999995</v>
          </cell>
          <cell r="M130">
            <v>2969.8749999999995</v>
          </cell>
          <cell r="N130">
            <v>2969.8749999999995</v>
          </cell>
          <cell r="O130">
            <v>2969.8749999999995</v>
          </cell>
          <cell r="P130">
            <v>2969.8749999999995</v>
          </cell>
          <cell r="Q130">
            <v>2969.8749999999995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F135">
            <v>0</v>
          </cell>
          <cell r="G135">
            <v>0</v>
          </cell>
          <cell r="H135">
            <v>4390.25</v>
          </cell>
          <cell r="I135">
            <v>4390.25</v>
          </cell>
          <cell r="J135">
            <v>4390.25</v>
          </cell>
          <cell r="K135">
            <v>4390.25</v>
          </cell>
          <cell r="L135">
            <v>4390.25</v>
          </cell>
          <cell r="M135">
            <v>4390.25</v>
          </cell>
          <cell r="N135">
            <v>4390.25</v>
          </cell>
          <cell r="O135">
            <v>4390.25</v>
          </cell>
          <cell r="P135">
            <v>0</v>
          </cell>
          <cell r="Q135">
            <v>0</v>
          </cell>
        </row>
        <row r="136"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7"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F140">
            <v>1933.7759999999998</v>
          </cell>
          <cell r="G140">
            <v>1933.7759999999998</v>
          </cell>
          <cell r="H140">
            <v>1933.7759999999998</v>
          </cell>
          <cell r="I140">
            <v>1933.7759999999998</v>
          </cell>
          <cell r="J140">
            <v>1933.7759999999998</v>
          </cell>
          <cell r="K140">
            <v>1933.7759999999998</v>
          </cell>
          <cell r="L140">
            <v>1933.7759999999998</v>
          </cell>
          <cell r="M140">
            <v>1933.7759999999998</v>
          </cell>
          <cell r="N140">
            <v>1933.7759999999998</v>
          </cell>
          <cell r="O140">
            <v>1933.7759999999998</v>
          </cell>
          <cell r="P140">
            <v>1933.7759999999998</v>
          </cell>
          <cell r="Q140">
            <v>1933.7759999999998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 VALORES"/>
      <sheetName val="RESUMEN ESTIMULOS FISCALES"/>
      <sheetName val="DEDUCCION INMEDIATA"/>
    </sheetNames>
    <sheetDataSet>
      <sheetData sheetId="0">
        <row r="24">
          <cell r="E24">
            <v>2116036</v>
          </cell>
        </row>
        <row r="45">
          <cell r="E45">
            <v>-2368752.8117493857</v>
          </cell>
          <cell r="F45">
            <v>1921624.4387435964</v>
          </cell>
          <cell r="G45">
            <v>2138632.9527836982</v>
          </cell>
          <cell r="H45">
            <v>1185757.1214347307</v>
          </cell>
          <cell r="I45">
            <v>-83892.697800437498</v>
          </cell>
          <cell r="J45">
            <v>625925.31003078481</v>
          </cell>
          <cell r="K45">
            <v>1093594.5499056962</v>
          </cell>
          <cell r="L45">
            <v>1409637.6324179838</v>
          </cell>
          <cell r="M45">
            <v>2633300.8319093953</v>
          </cell>
          <cell r="N45">
            <v>1365745.1746779396</v>
          </cell>
          <cell r="O45">
            <v>1671056.6311329636</v>
          </cell>
          <cell r="P45">
            <v>1162331.8892056749</v>
          </cell>
        </row>
        <row r="48">
          <cell r="E48"/>
          <cell r="F48"/>
          <cell r="G48"/>
          <cell r="H48"/>
          <cell r="I48"/>
          <cell r="J48"/>
          <cell r="K48"/>
          <cell r="L48"/>
          <cell r="M48"/>
          <cell r="N48"/>
          <cell r="O48"/>
        </row>
        <row r="49">
          <cell r="E49">
            <v>0</v>
          </cell>
          <cell r="F49">
            <v>0</v>
          </cell>
          <cell r="G49">
            <v>1691504.579777909</v>
          </cell>
          <cell r="H49">
            <v>1185757.1214347307</v>
          </cell>
          <cell r="I49">
            <v>-83892.697800437498</v>
          </cell>
          <cell r="J49">
            <v>625925.31003078481</v>
          </cell>
          <cell r="K49">
            <v>1093594.5499056962</v>
          </cell>
          <cell r="L49">
            <v>1409637.6324179838</v>
          </cell>
          <cell r="M49">
            <v>1462084.4685258744</v>
          </cell>
          <cell r="N49">
            <v>721729.35215758393</v>
          </cell>
          <cell r="O49">
            <v>822202.2952705971</v>
          </cell>
        </row>
        <row r="51">
          <cell r="E51">
            <v>0</v>
          </cell>
          <cell r="F51">
            <v>0</v>
          </cell>
          <cell r="G51">
            <v>447128.37300578924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1171216.3633835209</v>
          </cell>
          <cell r="N51">
            <v>644015.82252035569</v>
          </cell>
          <cell r="O51">
            <v>848854.33586236648</v>
          </cell>
          <cell r="P51">
            <v>378765.35094576702</v>
          </cell>
        </row>
        <row r="54">
          <cell r="E54">
            <v>0</v>
          </cell>
          <cell r="F54">
            <v>634156.50867498759</v>
          </cell>
          <cell r="G54">
            <v>706666.0606936937</v>
          </cell>
          <cell r="H54">
            <v>219507.74465994083</v>
          </cell>
          <cell r="I54">
            <v>174458.71509278973</v>
          </cell>
          <cell r="J54">
            <v>206092.84158077507</v>
          </cell>
          <cell r="K54">
            <v>289202.20137840754</v>
          </cell>
          <cell r="L54">
            <v>352826.8305187705</v>
          </cell>
          <cell r="M54">
            <v>727573.62061425298</v>
          </cell>
          <cell r="N54">
            <v>300726.42867091432</v>
          </cell>
          <cell r="O54">
            <v>476977.96826602623</v>
          </cell>
          <cell r="P54">
            <v>297249.76277354895</v>
          </cell>
        </row>
      </sheetData>
      <sheetData sheetId="1"/>
      <sheetData sheetId="2">
        <row r="68">
          <cell r="J68">
            <v>1386925.5483333336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Contenido de Informe Trimestral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B8">
            <v>49238213.667670406</v>
          </cell>
        </row>
        <row r="12">
          <cell r="B12">
            <v>11996058.456863793</v>
          </cell>
        </row>
        <row r="30">
          <cell r="B30">
            <v>227893261.94322252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Contenido de Informe Trimestral"/>
      <sheetName val="1"/>
      <sheetName val="2"/>
      <sheetName val="3"/>
      <sheetName val="4"/>
      <sheetName val="5"/>
      <sheetName val="6"/>
      <sheetName val="8"/>
      <sheetName val="9"/>
      <sheetName val="10"/>
      <sheetName val="1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F14">
            <v>6180000</v>
          </cell>
        </row>
        <row r="15">
          <cell r="F15">
            <v>1744149.1379310347</v>
          </cell>
        </row>
        <row r="16">
          <cell r="F16">
            <v>0</v>
          </cell>
        </row>
        <row r="20">
          <cell r="F20">
            <v>20060268.965517242</v>
          </cell>
        </row>
        <row r="21">
          <cell r="F21">
            <v>0</v>
          </cell>
        </row>
        <row r="22">
          <cell r="F22">
            <v>0</v>
          </cell>
        </row>
        <row r="23">
          <cell r="F23">
            <v>963275.86206896557</v>
          </cell>
        </row>
        <row r="24">
          <cell r="F24">
            <v>1318965.5172413795</v>
          </cell>
        </row>
        <row r="28">
          <cell r="F28">
            <v>400788.79310344829</v>
          </cell>
        </row>
        <row r="29">
          <cell r="F29">
            <v>480237.06896551728</v>
          </cell>
        </row>
        <row r="33">
          <cell r="F33">
            <v>410006.89655172417</v>
          </cell>
        </row>
        <row r="34">
          <cell r="F34">
            <v>5000000</v>
          </cell>
        </row>
        <row r="38">
          <cell r="F38">
            <v>1445400</v>
          </cell>
        </row>
      </sheetData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UESTO 2014"/>
      <sheetName val="CÉDULA"/>
      <sheetName val="SALDOS PASIVO"/>
    </sheetNames>
    <sheetDataSet>
      <sheetData sheetId="0" refreshError="1"/>
      <sheetData sheetId="1" refreshError="1">
        <row r="18">
          <cell r="A18" t="str">
            <v>DICIEMBRE</v>
          </cell>
          <cell r="B18">
            <v>12</v>
          </cell>
          <cell r="C18">
            <v>75097</v>
          </cell>
          <cell r="D18">
            <v>73542</v>
          </cell>
          <cell r="E18">
            <v>148639</v>
          </cell>
          <cell r="G18">
            <v>126162</v>
          </cell>
          <cell r="H18">
            <v>123550</v>
          </cell>
          <cell r="I18">
            <v>19768</v>
          </cell>
          <cell r="J18">
            <v>269480</v>
          </cell>
          <cell r="L18">
            <v>12</v>
          </cell>
          <cell r="M18">
            <v>239688</v>
          </cell>
          <cell r="N18">
            <v>234726</v>
          </cell>
          <cell r="O18">
            <v>474414</v>
          </cell>
          <cell r="Q18">
            <v>37677</v>
          </cell>
          <cell r="R18">
            <v>36897</v>
          </cell>
          <cell r="S18">
            <v>5904</v>
          </cell>
          <cell r="T18">
            <v>80478</v>
          </cell>
          <cell r="V18">
            <v>69045</v>
          </cell>
          <cell r="W18">
            <v>67615</v>
          </cell>
          <cell r="X18">
            <v>136660</v>
          </cell>
          <cell r="Z18">
            <v>22834</v>
          </cell>
          <cell r="AA18">
            <v>22362</v>
          </cell>
          <cell r="AB18">
            <v>3578</v>
          </cell>
          <cell r="AC18">
            <v>48774</v>
          </cell>
        </row>
        <row r="19">
          <cell r="A19" t="str">
            <v>ENERO</v>
          </cell>
          <cell r="B19">
            <v>13</v>
          </cell>
          <cell r="C19">
            <v>75568</v>
          </cell>
          <cell r="D19">
            <v>73070</v>
          </cell>
          <cell r="E19">
            <v>148638</v>
          </cell>
          <cell r="G19">
            <v>126955</v>
          </cell>
          <cell r="H19">
            <v>122757</v>
          </cell>
          <cell r="I19">
            <v>19641</v>
          </cell>
          <cell r="J19">
            <v>269353</v>
          </cell>
          <cell r="L19">
            <v>13</v>
          </cell>
          <cell r="M19">
            <v>241194</v>
          </cell>
          <cell r="N19">
            <v>233220</v>
          </cell>
          <cell r="O19">
            <v>474414</v>
          </cell>
          <cell r="Q19">
            <v>37914</v>
          </cell>
          <cell r="R19">
            <v>36660</v>
          </cell>
          <cell r="S19">
            <v>5866</v>
          </cell>
          <cell r="T19">
            <v>80440</v>
          </cell>
          <cell r="V19">
            <v>69478</v>
          </cell>
          <cell r="W19">
            <v>67181</v>
          </cell>
          <cell r="X19">
            <v>136659</v>
          </cell>
          <cell r="Z19">
            <v>22978</v>
          </cell>
          <cell r="AA19">
            <v>22218</v>
          </cell>
          <cell r="AB19">
            <v>3555</v>
          </cell>
          <cell r="AC19">
            <v>48751</v>
          </cell>
        </row>
        <row r="20">
          <cell r="A20" t="str">
            <v>FEBRERO</v>
          </cell>
          <cell r="B20">
            <v>14</v>
          </cell>
          <cell r="C20">
            <v>76043</v>
          </cell>
          <cell r="D20">
            <v>72595</v>
          </cell>
          <cell r="E20">
            <v>148638</v>
          </cell>
          <cell r="G20">
            <v>127753</v>
          </cell>
          <cell r="H20">
            <v>121960</v>
          </cell>
          <cell r="I20">
            <v>19514</v>
          </cell>
          <cell r="J20">
            <v>269227</v>
          </cell>
          <cell r="L20">
            <v>14</v>
          </cell>
          <cell r="M20">
            <v>242710</v>
          </cell>
          <cell r="N20">
            <v>231704</v>
          </cell>
          <cell r="O20">
            <v>474414</v>
          </cell>
          <cell r="Q20">
            <v>38152</v>
          </cell>
          <cell r="R20">
            <v>36422</v>
          </cell>
          <cell r="S20">
            <v>5828</v>
          </cell>
          <cell r="T20">
            <v>80402</v>
          </cell>
          <cell r="V20">
            <v>69915</v>
          </cell>
          <cell r="W20">
            <v>66745</v>
          </cell>
          <cell r="X20">
            <v>136660</v>
          </cell>
          <cell r="Z20">
            <v>23122</v>
          </cell>
          <cell r="AA20">
            <v>22074</v>
          </cell>
          <cell r="AB20">
            <v>3532</v>
          </cell>
          <cell r="AC20">
            <v>48728</v>
          </cell>
        </row>
        <row r="21">
          <cell r="A21" t="str">
            <v>MARZO</v>
          </cell>
          <cell r="B21">
            <v>15</v>
          </cell>
          <cell r="C21">
            <v>76521</v>
          </cell>
          <cell r="D21">
            <v>72117</v>
          </cell>
          <cell r="E21">
            <v>148638</v>
          </cell>
          <cell r="G21">
            <v>128555</v>
          </cell>
          <cell r="H21">
            <v>121157</v>
          </cell>
          <cell r="I21">
            <v>19385</v>
          </cell>
          <cell r="J21">
            <v>269097</v>
          </cell>
          <cell r="L21">
            <v>15</v>
          </cell>
          <cell r="M21">
            <v>244235</v>
          </cell>
          <cell r="N21">
            <v>230179</v>
          </cell>
          <cell r="O21">
            <v>474414</v>
          </cell>
          <cell r="Q21">
            <v>38392</v>
          </cell>
          <cell r="R21">
            <v>36182</v>
          </cell>
          <cell r="S21">
            <v>5789</v>
          </cell>
          <cell r="T21">
            <v>80363</v>
          </cell>
          <cell r="V21">
            <v>70354</v>
          </cell>
          <cell r="W21">
            <v>66305</v>
          </cell>
          <cell r="X21">
            <v>136659</v>
          </cell>
          <cell r="Z21">
            <v>23268</v>
          </cell>
          <cell r="AA21">
            <v>21928</v>
          </cell>
          <cell r="AB21">
            <v>3509</v>
          </cell>
          <cell r="AC21">
            <v>48705</v>
          </cell>
        </row>
        <row r="22">
          <cell r="A22" t="str">
            <v>ABRIL</v>
          </cell>
          <cell r="B22">
            <v>16</v>
          </cell>
          <cell r="C22">
            <v>77002</v>
          </cell>
          <cell r="D22">
            <v>71636</v>
          </cell>
          <cell r="E22">
            <v>148638</v>
          </cell>
          <cell r="G22">
            <v>129363</v>
          </cell>
          <cell r="H22">
            <v>120349</v>
          </cell>
          <cell r="I22">
            <v>19256</v>
          </cell>
          <cell r="J22">
            <v>268968</v>
          </cell>
          <cell r="L22">
            <v>16</v>
          </cell>
          <cell r="M22">
            <v>245770</v>
          </cell>
          <cell r="N22">
            <v>228644</v>
          </cell>
          <cell r="O22">
            <v>474414</v>
          </cell>
          <cell r="Q22">
            <v>38633</v>
          </cell>
          <cell r="R22">
            <v>35941</v>
          </cell>
          <cell r="S22">
            <v>5751</v>
          </cell>
          <cell r="T22">
            <v>80325</v>
          </cell>
          <cell r="V22">
            <v>70796</v>
          </cell>
          <cell r="W22">
            <v>65863</v>
          </cell>
          <cell r="X22">
            <v>136659</v>
          </cell>
          <cell r="Z22">
            <v>23414</v>
          </cell>
          <cell r="AA22">
            <v>21782</v>
          </cell>
          <cell r="AB22">
            <v>3485</v>
          </cell>
          <cell r="AC22">
            <v>48681</v>
          </cell>
        </row>
        <row r="23">
          <cell r="A23" t="str">
            <v>MAYO</v>
          </cell>
          <cell r="B23">
            <v>17</v>
          </cell>
          <cell r="C23">
            <v>77486</v>
          </cell>
          <cell r="D23">
            <v>71153</v>
          </cell>
          <cell r="E23">
            <v>148639</v>
          </cell>
          <cell r="G23">
            <v>130176</v>
          </cell>
          <cell r="H23">
            <v>119536</v>
          </cell>
          <cell r="I23">
            <v>19126</v>
          </cell>
          <cell r="J23">
            <v>268838</v>
          </cell>
          <cell r="L23">
            <v>17</v>
          </cell>
          <cell r="M23">
            <v>247314</v>
          </cell>
          <cell r="N23">
            <v>227100</v>
          </cell>
          <cell r="O23">
            <v>474414</v>
          </cell>
          <cell r="Q23">
            <v>38876</v>
          </cell>
          <cell r="R23">
            <v>35698</v>
          </cell>
          <cell r="S23">
            <v>5712</v>
          </cell>
          <cell r="T23">
            <v>80286</v>
          </cell>
          <cell r="V23">
            <v>71241</v>
          </cell>
          <cell r="W23">
            <v>65418</v>
          </cell>
          <cell r="X23">
            <v>136659</v>
          </cell>
          <cell r="Z23">
            <v>23561</v>
          </cell>
          <cell r="AA23">
            <v>21635</v>
          </cell>
          <cell r="AB23">
            <v>3462</v>
          </cell>
          <cell r="AC23">
            <v>48658</v>
          </cell>
        </row>
        <row r="24">
          <cell r="A24" t="str">
            <v>JUNIO</v>
          </cell>
          <cell r="B24">
            <v>18</v>
          </cell>
          <cell r="C24">
            <v>77973</v>
          </cell>
          <cell r="D24">
            <v>70666</v>
          </cell>
          <cell r="E24">
            <v>148639</v>
          </cell>
          <cell r="G24">
            <v>130994</v>
          </cell>
          <cell r="H24">
            <v>118718</v>
          </cell>
          <cell r="I24">
            <v>18995</v>
          </cell>
          <cell r="J24">
            <v>268707</v>
          </cell>
          <cell r="L24">
            <v>18</v>
          </cell>
          <cell r="M24">
            <v>248868</v>
          </cell>
          <cell r="N24">
            <v>225546</v>
          </cell>
          <cell r="O24">
            <v>474414</v>
          </cell>
          <cell r="Q24">
            <v>39120</v>
          </cell>
          <cell r="R24">
            <v>35454</v>
          </cell>
          <cell r="S24">
            <v>5673</v>
          </cell>
          <cell r="T24">
            <v>80247</v>
          </cell>
          <cell r="V24">
            <v>71689</v>
          </cell>
          <cell r="W24">
            <v>64971</v>
          </cell>
          <cell r="X24">
            <v>136660</v>
          </cell>
          <cell r="Z24">
            <v>23709</v>
          </cell>
          <cell r="AA24">
            <v>21487</v>
          </cell>
          <cell r="AB24">
            <v>3438</v>
          </cell>
          <cell r="AC24">
            <v>48634</v>
          </cell>
        </row>
        <row r="25">
          <cell r="A25" t="str">
            <v>JULIO</v>
          </cell>
          <cell r="B25">
            <v>19</v>
          </cell>
          <cell r="C25">
            <v>78463</v>
          </cell>
          <cell r="D25">
            <v>70176</v>
          </cell>
          <cell r="E25">
            <v>148639</v>
          </cell>
          <cell r="G25">
            <v>131817</v>
          </cell>
          <cell r="H25">
            <v>117895</v>
          </cell>
          <cell r="I25">
            <v>18863</v>
          </cell>
          <cell r="J25">
            <v>268575</v>
          </cell>
          <cell r="L25">
            <v>19</v>
          </cell>
          <cell r="M25">
            <v>250431</v>
          </cell>
          <cell r="N25">
            <v>223982</v>
          </cell>
          <cell r="O25">
            <v>474413</v>
          </cell>
          <cell r="Q25">
            <v>39366</v>
          </cell>
          <cell r="R25">
            <v>35208</v>
          </cell>
          <cell r="S25">
            <v>5633</v>
          </cell>
          <cell r="T25">
            <v>80207</v>
          </cell>
          <cell r="V25">
            <v>72139</v>
          </cell>
          <cell r="W25">
            <v>64520</v>
          </cell>
          <cell r="X25">
            <v>136659</v>
          </cell>
          <cell r="Z25">
            <v>23858</v>
          </cell>
          <cell r="AA25">
            <v>21338</v>
          </cell>
          <cell r="AB25">
            <v>3414</v>
          </cell>
          <cell r="AC25">
            <v>48610</v>
          </cell>
        </row>
        <row r="26">
          <cell r="A26" t="str">
            <v>AGOSTO</v>
          </cell>
          <cell r="B26">
            <v>20</v>
          </cell>
          <cell r="C26">
            <v>78956</v>
          </cell>
          <cell r="D26">
            <v>69683</v>
          </cell>
          <cell r="E26">
            <v>148639</v>
          </cell>
          <cell r="G26">
            <v>132645</v>
          </cell>
          <cell r="H26">
            <v>117067</v>
          </cell>
          <cell r="I26">
            <v>18731</v>
          </cell>
          <cell r="J26">
            <v>268443</v>
          </cell>
          <cell r="L26">
            <v>20</v>
          </cell>
          <cell r="M26">
            <v>252005</v>
          </cell>
          <cell r="N26">
            <v>222409</v>
          </cell>
          <cell r="O26">
            <v>474414</v>
          </cell>
          <cell r="Q26">
            <v>39613</v>
          </cell>
          <cell r="R26">
            <v>34961</v>
          </cell>
          <cell r="S26">
            <v>5594</v>
          </cell>
          <cell r="T26">
            <v>80168</v>
          </cell>
          <cell r="V26">
            <v>72592</v>
          </cell>
          <cell r="W26">
            <v>64067</v>
          </cell>
          <cell r="X26">
            <v>136659</v>
          </cell>
          <cell r="Z26">
            <v>24008</v>
          </cell>
          <cell r="AA26">
            <v>21188</v>
          </cell>
          <cell r="AB26">
            <v>3390</v>
          </cell>
          <cell r="AC26">
            <v>48586</v>
          </cell>
        </row>
        <row r="27">
          <cell r="A27" t="str">
            <v>SEPTIEMBRE</v>
          </cell>
          <cell r="B27">
            <v>21</v>
          </cell>
          <cell r="C27">
            <v>79452</v>
          </cell>
          <cell r="D27">
            <v>69187</v>
          </cell>
          <cell r="E27">
            <v>148639</v>
          </cell>
          <cell r="G27">
            <v>133479</v>
          </cell>
          <cell r="H27">
            <v>116234</v>
          </cell>
          <cell r="I27">
            <v>18597</v>
          </cell>
          <cell r="J27">
            <v>268310</v>
          </cell>
          <cell r="L27">
            <v>21</v>
          </cell>
          <cell r="M27">
            <v>253588</v>
          </cell>
          <cell r="N27">
            <v>220825</v>
          </cell>
          <cell r="O27">
            <v>474413</v>
          </cell>
          <cell r="Q27">
            <v>39862</v>
          </cell>
          <cell r="R27">
            <v>34712</v>
          </cell>
          <cell r="S27">
            <v>5554</v>
          </cell>
          <cell r="T27">
            <v>80128</v>
          </cell>
          <cell r="V27">
            <v>73049</v>
          </cell>
          <cell r="W27">
            <v>63611</v>
          </cell>
          <cell r="X27">
            <v>136660</v>
          </cell>
          <cell r="Z27">
            <v>24159</v>
          </cell>
          <cell r="AA27">
            <v>21037</v>
          </cell>
          <cell r="AB27">
            <v>3366</v>
          </cell>
          <cell r="AC27">
            <v>48562</v>
          </cell>
        </row>
        <row r="28">
          <cell r="A28" t="str">
            <v>OCTUBRE</v>
          </cell>
          <cell r="B28">
            <v>22</v>
          </cell>
          <cell r="C28">
            <v>79951</v>
          </cell>
          <cell r="D28">
            <v>68687</v>
          </cell>
          <cell r="E28">
            <v>148638</v>
          </cell>
          <cell r="G28">
            <v>134317</v>
          </cell>
          <cell r="H28">
            <v>115395</v>
          </cell>
          <cell r="I28">
            <v>18463</v>
          </cell>
          <cell r="J28">
            <v>268175</v>
          </cell>
          <cell r="L28">
            <v>22</v>
          </cell>
          <cell r="M28">
            <v>255182</v>
          </cell>
          <cell r="N28">
            <v>219232</v>
          </cell>
          <cell r="O28">
            <v>474414</v>
          </cell>
          <cell r="Q28">
            <v>40113</v>
          </cell>
          <cell r="R28">
            <v>34462</v>
          </cell>
          <cell r="S28">
            <v>5514</v>
          </cell>
          <cell r="T28">
            <v>80089</v>
          </cell>
          <cell r="V28">
            <v>73508</v>
          </cell>
          <cell r="W28">
            <v>63152</v>
          </cell>
          <cell r="X28">
            <v>136660</v>
          </cell>
          <cell r="Z28">
            <v>24310</v>
          </cell>
          <cell r="AA28">
            <v>20886</v>
          </cell>
          <cell r="AB28">
            <v>3342</v>
          </cell>
          <cell r="AC28">
            <v>48538</v>
          </cell>
        </row>
        <row r="29">
          <cell r="A29" t="str">
            <v>NOVIEMBRE</v>
          </cell>
          <cell r="B29">
            <v>23</v>
          </cell>
          <cell r="C29">
            <v>80453</v>
          </cell>
          <cell r="D29">
            <v>68185</v>
          </cell>
          <cell r="E29">
            <v>148638</v>
          </cell>
          <cell r="G29">
            <v>135161</v>
          </cell>
          <cell r="H29">
            <v>114551</v>
          </cell>
          <cell r="I29">
            <v>18328</v>
          </cell>
          <cell r="J29">
            <v>268040</v>
          </cell>
          <cell r="L29">
            <v>23</v>
          </cell>
          <cell r="M29">
            <v>256785</v>
          </cell>
          <cell r="N29">
            <v>217629</v>
          </cell>
          <cell r="O29">
            <v>474414</v>
          </cell>
          <cell r="Q29">
            <v>40365</v>
          </cell>
          <cell r="R29">
            <v>34210</v>
          </cell>
          <cell r="S29">
            <v>5474</v>
          </cell>
          <cell r="T29">
            <v>80049</v>
          </cell>
          <cell r="V29">
            <v>73969</v>
          </cell>
          <cell r="W29">
            <v>62690</v>
          </cell>
          <cell r="X29">
            <v>136659</v>
          </cell>
          <cell r="Z29">
            <v>24463</v>
          </cell>
          <cell r="AA29">
            <v>20733</v>
          </cell>
          <cell r="AB29">
            <v>3317</v>
          </cell>
          <cell r="AC29">
            <v>48513</v>
          </cell>
        </row>
        <row r="32">
          <cell r="A32" t="str">
            <v>ENERO</v>
          </cell>
          <cell r="B32">
            <v>25</v>
          </cell>
          <cell r="C32">
            <v>81467</v>
          </cell>
          <cell r="D32">
            <v>67171</v>
          </cell>
          <cell r="E32">
            <v>148638</v>
          </cell>
          <cell r="G32">
            <v>136865</v>
          </cell>
          <cell r="H32">
            <v>112847</v>
          </cell>
          <cell r="I32">
            <v>18056</v>
          </cell>
          <cell r="J32">
            <v>267768</v>
          </cell>
          <cell r="M32">
            <v>260022</v>
          </cell>
          <cell r="N32">
            <v>214392</v>
          </cell>
          <cell r="O32">
            <v>474414</v>
          </cell>
          <cell r="Q32">
            <v>40874</v>
          </cell>
          <cell r="R32">
            <v>33701</v>
          </cell>
          <cell r="S32">
            <v>5392</v>
          </cell>
          <cell r="T32">
            <v>79967</v>
          </cell>
          <cell r="V32">
            <v>74902</v>
          </cell>
          <cell r="W32">
            <v>61758</v>
          </cell>
          <cell r="X32">
            <v>136660</v>
          </cell>
          <cell r="Z32">
            <v>24772</v>
          </cell>
          <cell r="AA32">
            <v>20424</v>
          </cell>
          <cell r="AB32">
            <v>3268</v>
          </cell>
          <cell r="AC32">
            <v>48464</v>
          </cell>
        </row>
        <row r="33">
          <cell r="A33" t="str">
            <v>FEBRERO</v>
          </cell>
          <cell r="B33">
            <v>26</v>
          </cell>
          <cell r="C33">
            <v>81979</v>
          </cell>
          <cell r="D33">
            <v>66659</v>
          </cell>
          <cell r="E33">
            <v>148638</v>
          </cell>
          <cell r="G33">
            <v>137725</v>
          </cell>
          <cell r="H33">
            <v>111987</v>
          </cell>
          <cell r="I33">
            <v>17918</v>
          </cell>
          <cell r="J33">
            <v>267630</v>
          </cell>
          <cell r="M33">
            <v>261656</v>
          </cell>
          <cell r="N33">
            <v>212758</v>
          </cell>
          <cell r="O33">
            <v>474414</v>
          </cell>
          <cell r="Q33">
            <v>41130</v>
          </cell>
          <cell r="R33">
            <v>33444</v>
          </cell>
          <cell r="S33">
            <v>5351</v>
          </cell>
          <cell r="T33">
            <v>79925</v>
          </cell>
          <cell r="V33">
            <v>75373</v>
          </cell>
          <cell r="W33">
            <v>61287</v>
          </cell>
          <cell r="X33">
            <v>136660</v>
          </cell>
          <cell r="Z33">
            <v>24927</v>
          </cell>
          <cell r="AA33">
            <v>20269</v>
          </cell>
          <cell r="AB33">
            <v>3243</v>
          </cell>
          <cell r="AC33">
            <v>48439</v>
          </cell>
        </row>
        <row r="34">
          <cell r="A34" t="str">
            <v>MARZO</v>
          </cell>
          <cell r="B34">
            <v>27</v>
          </cell>
          <cell r="C34">
            <v>82494</v>
          </cell>
          <cell r="D34">
            <v>66144</v>
          </cell>
          <cell r="E34">
            <v>148638</v>
          </cell>
          <cell r="G34">
            <v>138591</v>
          </cell>
          <cell r="H34">
            <v>111122</v>
          </cell>
          <cell r="I34">
            <v>17779</v>
          </cell>
          <cell r="J34">
            <v>267492</v>
          </cell>
          <cell r="M34">
            <v>263300</v>
          </cell>
          <cell r="N34">
            <v>211114</v>
          </cell>
          <cell r="O34">
            <v>474414</v>
          </cell>
          <cell r="Q34">
            <v>41389</v>
          </cell>
          <cell r="R34">
            <v>33186</v>
          </cell>
          <cell r="S34">
            <v>5310</v>
          </cell>
          <cell r="T34">
            <v>79885</v>
          </cell>
          <cell r="V34">
            <v>75846</v>
          </cell>
          <cell r="W34">
            <v>60813</v>
          </cell>
          <cell r="X34">
            <v>136659</v>
          </cell>
          <cell r="Z34">
            <v>25084</v>
          </cell>
          <cell r="AA34">
            <v>20112</v>
          </cell>
          <cell r="AB34">
            <v>3218</v>
          </cell>
          <cell r="AC34">
            <v>48414</v>
          </cell>
        </row>
        <row r="35">
          <cell r="A35" t="str">
            <v>ABRIL</v>
          </cell>
          <cell r="B35">
            <v>28</v>
          </cell>
          <cell r="C35">
            <v>83013</v>
          </cell>
          <cell r="D35">
            <v>65626</v>
          </cell>
          <cell r="E35">
            <v>148639</v>
          </cell>
          <cell r="G35">
            <v>139461</v>
          </cell>
          <cell r="H35">
            <v>110251</v>
          </cell>
          <cell r="I35">
            <v>17640</v>
          </cell>
          <cell r="J35">
            <v>267352</v>
          </cell>
          <cell r="M35">
            <v>264955</v>
          </cell>
          <cell r="N35">
            <v>209459</v>
          </cell>
          <cell r="O35">
            <v>474414</v>
          </cell>
          <cell r="Q35">
            <v>41649</v>
          </cell>
          <cell r="R35">
            <v>32925</v>
          </cell>
          <cell r="S35">
            <v>5268</v>
          </cell>
          <cell r="T35">
            <v>79842</v>
          </cell>
          <cell r="V35">
            <v>76323</v>
          </cell>
          <cell r="W35">
            <v>60337</v>
          </cell>
          <cell r="X35">
            <v>136660</v>
          </cell>
          <cell r="Z35">
            <v>25241</v>
          </cell>
          <cell r="AA35">
            <v>19955</v>
          </cell>
          <cell r="AB35">
            <v>3193</v>
          </cell>
          <cell r="AC35">
            <v>48389</v>
          </cell>
        </row>
        <row r="36">
          <cell r="A36" t="str">
            <v>MAYO</v>
          </cell>
          <cell r="B36">
            <v>29</v>
          </cell>
          <cell r="C36">
            <v>83534</v>
          </cell>
          <cell r="D36">
            <v>65104</v>
          </cell>
          <cell r="E36">
            <v>148638</v>
          </cell>
          <cell r="G36">
            <v>140338</v>
          </cell>
          <cell r="H36">
            <v>109375</v>
          </cell>
          <cell r="I36">
            <v>17500</v>
          </cell>
          <cell r="J36">
            <v>267213</v>
          </cell>
          <cell r="M36">
            <v>266619</v>
          </cell>
          <cell r="N36">
            <v>207795</v>
          </cell>
          <cell r="O36">
            <v>474414</v>
          </cell>
          <cell r="Q36">
            <v>41911</v>
          </cell>
          <cell r="R36">
            <v>32664</v>
          </cell>
          <cell r="S36">
            <v>5226</v>
          </cell>
          <cell r="T36">
            <v>79801</v>
          </cell>
          <cell r="V36">
            <v>76802</v>
          </cell>
          <cell r="W36">
            <v>59857</v>
          </cell>
          <cell r="X36">
            <v>136659</v>
          </cell>
          <cell r="Z36">
            <v>25400</v>
          </cell>
          <cell r="AA36">
            <v>19796</v>
          </cell>
          <cell r="AB36">
            <v>3167</v>
          </cell>
          <cell r="AC36">
            <v>48363</v>
          </cell>
        </row>
        <row r="37">
          <cell r="A37" t="str">
            <v>JUNIO</v>
          </cell>
          <cell r="B37">
            <v>30</v>
          </cell>
          <cell r="C37">
            <v>84059</v>
          </cell>
          <cell r="D37">
            <v>64579</v>
          </cell>
          <cell r="E37">
            <v>148638</v>
          </cell>
          <cell r="G37">
            <v>141219</v>
          </cell>
          <cell r="H37">
            <v>108493</v>
          </cell>
          <cell r="I37">
            <v>17359</v>
          </cell>
          <cell r="J37">
            <v>267071</v>
          </cell>
          <cell r="M37">
            <v>268295</v>
          </cell>
          <cell r="N37">
            <v>206119</v>
          </cell>
          <cell r="O37">
            <v>474414</v>
          </cell>
          <cell r="Q37">
            <v>42174</v>
          </cell>
          <cell r="R37">
            <v>32400</v>
          </cell>
          <cell r="S37">
            <v>5184</v>
          </cell>
          <cell r="T37">
            <v>79758</v>
          </cell>
          <cell r="V37">
            <v>77285</v>
          </cell>
          <cell r="W37">
            <v>59375</v>
          </cell>
          <cell r="X37">
            <v>136660</v>
          </cell>
          <cell r="Z37">
            <v>25560</v>
          </cell>
          <cell r="AA37">
            <v>19636</v>
          </cell>
          <cell r="AB37">
            <v>3142</v>
          </cell>
          <cell r="AC37">
            <v>48338</v>
          </cell>
        </row>
        <row r="38">
          <cell r="A38" t="str">
            <v>JULIO</v>
          </cell>
          <cell r="B38">
            <v>31</v>
          </cell>
          <cell r="C38">
            <v>84587</v>
          </cell>
          <cell r="D38">
            <v>64051</v>
          </cell>
          <cell r="E38">
            <v>148638</v>
          </cell>
          <cell r="G38">
            <v>142107</v>
          </cell>
          <cell r="H38">
            <v>107606</v>
          </cell>
          <cell r="I38">
            <v>17217</v>
          </cell>
          <cell r="J38">
            <v>266930</v>
          </cell>
          <cell r="M38">
            <v>269980</v>
          </cell>
          <cell r="N38">
            <v>204434</v>
          </cell>
          <cell r="O38">
            <v>474414</v>
          </cell>
          <cell r="Q38">
            <v>42439</v>
          </cell>
          <cell r="R38">
            <v>32135</v>
          </cell>
          <cell r="S38">
            <v>5142</v>
          </cell>
          <cell r="T38">
            <v>79716</v>
          </cell>
          <cell r="V38">
            <v>77770</v>
          </cell>
          <cell r="W38">
            <v>58889</v>
          </cell>
          <cell r="X38">
            <v>136659</v>
          </cell>
          <cell r="Z38">
            <v>25720</v>
          </cell>
          <cell r="AA38">
            <v>19476</v>
          </cell>
          <cell r="AB38">
            <v>3116</v>
          </cell>
          <cell r="AC38">
            <v>48312</v>
          </cell>
        </row>
        <row r="39">
          <cell r="A39" t="str">
            <v>AGOSTO</v>
          </cell>
          <cell r="B39">
            <v>32</v>
          </cell>
          <cell r="C39">
            <v>85119</v>
          </cell>
          <cell r="D39">
            <v>63519</v>
          </cell>
          <cell r="E39">
            <v>148638</v>
          </cell>
          <cell r="G39">
            <v>143000</v>
          </cell>
          <cell r="H39">
            <v>106713</v>
          </cell>
          <cell r="I39">
            <v>17074</v>
          </cell>
          <cell r="J39">
            <v>266787</v>
          </cell>
          <cell r="M39">
            <v>271677</v>
          </cell>
          <cell r="N39">
            <v>202737</v>
          </cell>
          <cell r="O39">
            <v>474414</v>
          </cell>
          <cell r="Q39">
            <v>42706</v>
          </cell>
          <cell r="R39">
            <v>31869</v>
          </cell>
          <cell r="S39">
            <v>5099</v>
          </cell>
          <cell r="T39">
            <v>79674</v>
          </cell>
          <cell r="V39">
            <v>78259</v>
          </cell>
          <cell r="W39">
            <v>58400</v>
          </cell>
          <cell r="X39">
            <v>136659</v>
          </cell>
          <cell r="Z39">
            <v>25882</v>
          </cell>
          <cell r="AA39">
            <v>19314</v>
          </cell>
          <cell r="AB39">
            <v>3090</v>
          </cell>
          <cell r="AC39">
            <v>48286</v>
          </cell>
        </row>
        <row r="40">
          <cell r="A40" t="str">
            <v>SEPTIEMBRE</v>
          </cell>
          <cell r="B40">
            <v>33</v>
          </cell>
          <cell r="C40">
            <v>85654</v>
          </cell>
          <cell r="D40">
            <v>62985</v>
          </cell>
          <cell r="E40">
            <v>148639</v>
          </cell>
          <cell r="G40">
            <v>143898</v>
          </cell>
          <cell r="H40">
            <v>105814</v>
          </cell>
          <cell r="I40">
            <v>16930</v>
          </cell>
          <cell r="J40">
            <v>266642</v>
          </cell>
          <cell r="M40">
            <v>273384</v>
          </cell>
          <cell r="N40">
            <v>201030</v>
          </cell>
          <cell r="O40">
            <v>474414</v>
          </cell>
          <cell r="Q40">
            <v>42974</v>
          </cell>
          <cell r="R40">
            <v>31600</v>
          </cell>
          <cell r="S40">
            <v>5056</v>
          </cell>
          <cell r="T40">
            <v>79630</v>
          </cell>
          <cell r="V40">
            <v>78751</v>
          </cell>
          <cell r="W40">
            <v>57909</v>
          </cell>
          <cell r="X40">
            <v>136660</v>
          </cell>
          <cell r="Z40">
            <v>26044</v>
          </cell>
          <cell r="AA40">
            <v>19152</v>
          </cell>
          <cell r="AB40">
            <v>3064</v>
          </cell>
          <cell r="AC40">
            <v>48260</v>
          </cell>
        </row>
        <row r="41">
          <cell r="A41" t="str">
            <v>OCTUBRE</v>
          </cell>
          <cell r="B41">
            <v>34</v>
          </cell>
          <cell r="C41">
            <v>86192</v>
          </cell>
          <cell r="D41">
            <v>62446</v>
          </cell>
          <cell r="E41">
            <v>148638</v>
          </cell>
          <cell r="G41">
            <v>144802</v>
          </cell>
          <cell r="H41">
            <v>104910</v>
          </cell>
          <cell r="I41">
            <v>16786</v>
          </cell>
          <cell r="J41">
            <v>266498</v>
          </cell>
          <cell r="M41">
            <v>275102</v>
          </cell>
          <cell r="N41">
            <v>199312</v>
          </cell>
          <cell r="O41">
            <v>474414</v>
          </cell>
          <cell r="Q41">
            <v>43244</v>
          </cell>
          <cell r="R41">
            <v>31330</v>
          </cell>
          <cell r="S41">
            <v>5013</v>
          </cell>
          <cell r="T41">
            <v>79587</v>
          </cell>
          <cell r="V41">
            <v>79246</v>
          </cell>
          <cell r="W41">
            <v>57414</v>
          </cell>
          <cell r="X41">
            <v>136660</v>
          </cell>
          <cell r="Z41">
            <v>26208</v>
          </cell>
          <cell r="AA41">
            <v>18988</v>
          </cell>
          <cell r="AB41">
            <v>3038</v>
          </cell>
          <cell r="AC41">
            <v>48234</v>
          </cell>
        </row>
        <row r="42">
          <cell r="A42" t="str">
            <v>NOVIEMBRE</v>
          </cell>
          <cell r="B42">
            <v>35</v>
          </cell>
          <cell r="C42">
            <v>86733</v>
          </cell>
          <cell r="D42">
            <v>61905</v>
          </cell>
          <cell r="E42">
            <v>148638</v>
          </cell>
          <cell r="G42">
            <v>145712</v>
          </cell>
          <cell r="H42">
            <v>104000</v>
          </cell>
          <cell r="I42">
            <v>16640</v>
          </cell>
          <cell r="J42">
            <v>266352</v>
          </cell>
          <cell r="M42">
            <v>276830</v>
          </cell>
          <cell r="N42">
            <v>197584</v>
          </cell>
          <cell r="O42">
            <v>474414</v>
          </cell>
          <cell r="Q42">
            <v>43516</v>
          </cell>
          <cell r="R42">
            <v>31059</v>
          </cell>
          <cell r="S42">
            <v>4969</v>
          </cell>
          <cell r="T42">
            <v>79544</v>
          </cell>
          <cell r="V42">
            <v>79744</v>
          </cell>
          <cell r="W42">
            <v>56916</v>
          </cell>
          <cell r="X42">
            <v>136660</v>
          </cell>
          <cell r="Z42">
            <v>26373</v>
          </cell>
          <cell r="AA42">
            <v>18823</v>
          </cell>
          <cell r="AB42">
            <v>3012</v>
          </cell>
          <cell r="AC42">
            <v>48208</v>
          </cell>
        </row>
        <row r="43">
          <cell r="A43" t="str">
            <v>DICIEMBRE</v>
          </cell>
          <cell r="B43">
            <v>36</v>
          </cell>
          <cell r="C43">
            <v>87278</v>
          </cell>
          <cell r="D43">
            <v>61360</v>
          </cell>
          <cell r="E43">
            <v>148638</v>
          </cell>
          <cell r="G43">
            <v>146628</v>
          </cell>
          <cell r="H43">
            <v>103085</v>
          </cell>
          <cell r="I43">
            <v>16494</v>
          </cell>
          <cell r="J43">
            <v>266207</v>
          </cell>
          <cell r="M43">
            <v>278570</v>
          </cell>
          <cell r="N43">
            <v>195844</v>
          </cell>
          <cell r="O43">
            <v>474414</v>
          </cell>
          <cell r="Q43">
            <v>43789</v>
          </cell>
          <cell r="R43">
            <v>30785</v>
          </cell>
          <cell r="S43">
            <v>4926</v>
          </cell>
          <cell r="T43">
            <v>79500</v>
          </cell>
          <cell r="V43">
            <v>80245</v>
          </cell>
          <cell r="W43">
            <v>56415</v>
          </cell>
          <cell r="X43">
            <v>136660</v>
          </cell>
          <cell r="Z43">
            <v>26539</v>
          </cell>
          <cell r="AA43">
            <v>18658</v>
          </cell>
          <cell r="AB43">
            <v>2985</v>
          </cell>
          <cell r="AC43">
            <v>48182</v>
          </cell>
        </row>
      </sheetData>
      <sheetData sheetId="2" refreshError="1"/>
    </sheetDataSet>
  </externalBook>
</externalLink>
</file>

<file path=xl/queryTables/queryTable1.xml><?xml version="1.0" encoding="utf-8"?>
<queryTable xmlns="http://schemas.openxmlformats.org/spreadsheetml/2006/main" name="sqldatos bonampakdb Bon_v_ingresos2012" connectionId="1" autoFormatId="16" applyNumberFormats="0" applyBorderFormats="0" applyFontFormats="0" applyPatternFormats="0" applyAlignmentFormats="0" applyWidthHeightFormats="0">
  <queryTableRefresh nextId="24">
    <queryTableFields count="23">
      <queryTableField id="1" name="Año" tableColumnId="1"/>
      <queryTableField id="2" name="Mes" tableColumnId="2"/>
      <queryTableField id="3" name="fecha_guia" tableColumnId="3"/>
      <queryTableField id="21" dataBound="0" tableColumnId="21"/>
      <queryTableField id="4" name="Area" tableColumnId="4"/>
      <queryTableField id="5" name="Flota" tableColumnId="5"/>
      <queryTableField id="6" name="Talon" tableColumnId="6"/>
      <queryTableField id="7" name="Viaje" tableColumnId="7"/>
      <queryTableField id="8" name="Tipo Carga" tableColumnId="8"/>
      <queryTableField id="9" name="Ruta" tableColumnId="9"/>
      <queryTableField id="10" name="Origen" tableColumnId="10"/>
      <queryTableField id="11" name="Tipo Operacion" tableColumnId="11"/>
      <queryTableField id="12" name="KmsViaje" tableColumnId="12"/>
      <queryTableField id="13" name="Tonelaje" tableColumnId="13"/>
      <queryTableField id="14" name="flete" tableColumnId="14"/>
      <queryTableField id="15" name="Adicional" tableColumnId="15"/>
      <queryTableField id="16" name="subtotal" tableColumnId="16"/>
      <queryTableField id="17" name="IVA" tableColumnId="17"/>
      <queryTableField id="18" name="Retencion" tableColumnId="18"/>
      <queryTableField id="19" name="Total" tableColumnId="19"/>
      <queryTableField id="20" name="Factura" tableColumnId="20"/>
      <queryTableField id="22" name="SencFull" tableColumnId="22"/>
      <queryTableField id="23" name="fraccion" tableColumnId="2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1" displayName="Tabla1" ref="A12:O715" totalsRowShown="0" headerRowBorderDxfId="19" tableBorderDxfId="18" totalsRowBorderDxfId="17">
  <autoFilter ref="A12:O715"/>
  <tableColumns count="15">
    <tableColumn id="1" name="Ruta" dataDxfId="16"/>
    <tableColumn id="2" name="Denominación" dataDxfId="15"/>
    <tableColumn id="3" name="KMS" dataDxfId="14"/>
    <tableColumn id="4" name="F. Fijo" dataDxfId="13"/>
    <tableColumn id="5" name="F.Var." dataDxfId="12"/>
    <tableColumn id="6" name="Tarifa" dataDxfId="11"/>
    <tableColumn id="7" name="% Adicional" dataDxfId="10"/>
    <tableColumn id="8" name="% Ad. Filial" dataDxfId="9"/>
    <tableColumn id="9" name="% F. Orografía" dataDxfId="8"/>
    <tableColumn id="10" name="% Desctos." dataDxfId="7"/>
    <tableColumn id="11" name="Peaje" dataDxfId="6"/>
    <tableColumn id="12" name="T.T." dataDxfId="5"/>
    <tableColumn id="13" name="Tarifa Actual" dataDxfId="4" dataCellStyle="Millares"/>
    <tableColumn id="14" name="Tarifa 2012 (Mx$/ton)" dataDxfId="3">
      <calculatedColumnFormula>M13*(1+$O$2)</calculatedColumnFormula>
    </tableColumn>
    <tableColumn id="15" name="Tarifa 2013" dataDxfId="2">
      <calculatedColumnFormula>Tabla1[[#This Row],[Tarifa 2012 (Mx$/ton)]]*(1+IncrementoTarifa)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_sqldatos_bonampakdb_Bon_v_ingresos2012" displayName="Tabla_sqldatos_bonampakdb_Bon_v_ingresos2012" ref="A1:W7498" tableType="queryTable" totalsRowShown="0">
  <autoFilter ref="A1:W7498">
    <filterColumn colId="1">
      <filters>
        <filter val="FEBRERO"/>
      </filters>
    </filterColumn>
    <filterColumn colId="2">
      <filters>
        <dateGroupItem year="2012" month="2" day="28" dateTimeGrouping="day"/>
        <dateGroupItem year="2012" month="2" day="29" dateTimeGrouping="day"/>
      </filters>
    </filterColumn>
    <filterColumn colId="4">
      <filters>
        <filter val="Occidente"/>
      </filters>
    </filterColumn>
  </autoFilter>
  <tableColumns count="23">
    <tableColumn id="1" uniqueName="1" name="Año" queryTableFieldId="1"/>
    <tableColumn id="2" uniqueName="2" name="Mes" queryTableFieldId="2"/>
    <tableColumn id="3" uniqueName="3" name="fecha_guia" queryTableFieldId="3" dataDxfId="1"/>
    <tableColumn id="21" uniqueName="21" name="Nom_Mes" queryTableFieldId="21" dataDxfId="0">
      <calculatedColumnFormula>CHOOSE(MONTH(Tabla_sqldatos_bonampakdb_Bon_v_ingresos2012[[#This Row],[fecha_guia]]),"Enero","Febrero","Marzo","Abril","Mayo","Junio","Julio","Agosto","Septiembre","Octubre","Noviembre","Diciembre")</calculatedColumnFormula>
    </tableColumn>
    <tableColumn id="4" uniqueName="4" name="Area" queryTableFieldId="4"/>
    <tableColumn id="5" uniqueName="5" name="Flota" queryTableFieldId="5"/>
    <tableColumn id="6" uniqueName="6" name="Talon" queryTableFieldId="6"/>
    <tableColumn id="7" uniqueName="7" name="Viaje" queryTableFieldId="7"/>
    <tableColumn id="8" uniqueName="8" name="Tipo Carga" queryTableFieldId="8"/>
    <tableColumn id="9" uniqueName="9" name="Ruta" queryTableFieldId="9"/>
    <tableColumn id="10" uniqueName="10" name="Origen" queryTableFieldId="10"/>
    <tableColumn id="11" uniqueName="11" name="Tipo Operacion" queryTableFieldId="11"/>
    <tableColumn id="12" uniqueName="12" name="KmsViaje" queryTableFieldId="12"/>
    <tableColumn id="13" uniqueName="13" name="Tonelaje" queryTableFieldId="13"/>
    <tableColumn id="14" uniqueName="14" name="flete" queryTableFieldId="14"/>
    <tableColumn id="15" uniqueName="15" name="Adicional" queryTableFieldId="15"/>
    <tableColumn id="16" uniqueName="16" name="subtotal" queryTableFieldId="16"/>
    <tableColumn id="17" uniqueName="17" name="IVA" queryTableFieldId="17"/>
    <tableColumn id="18" uniqueName="18" name="Retencion" queryTableFieldId="18"/>
    <tableColumn id="19" uniqueName="19" name="Total" queryTableFieldId="19"/>
    <tableColumn id="20" uniqueName="20" name="Factura" queryTableFieldId="20"/>
    <tableColumn id="22" uniqueName="22" name="SencFull" queryTableFieldId="22"/>
    <tableColumn id="23" uniqueName="23" name="fraccion" queryTableField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002060"/>
    <pageSetUpPr fitToPage="1"/>
  </sheetPr>
  <dimension ref="A1:I77"/>
  <sheetViews>
    <sheetView topLeftCell="A9" zoomScaleNormal="100" workbookViewId="0">
      <selection activeCell="C29" sqref="C29"/>
    </sheetView>
  </sheetViews>
  <sheetFormatPr baseColWidth="10" defaultColWidth="0" defaultRowHeight="12.75" zeroHeight="1" x14ac:dyDescent="0.2"/>
  <cols>
    <col min="1" max="1" width="6.28515625" customWidth="1"/>
    <col min="2" max="9" width="11.42578125" customWidth="1"/>
    <col min="10" max="16384" width="11.42578125" hidden="1"/>
  </cols>
  <sheetData>
    <row r="1" spans="2:9" x14ac:dyDescent="0.2"/>
    <row r="2" spans="2:9" x14ac:dyDescent="0.2"/>
    <row r="3" spans="2:9" x14ac:dyDescent="0.2"/>
    <row r="4" spans="2:9" x14ac:dyDescent="0.2"/>
    <row r="5" spans="2:9" x14ac:dyDescent="0.2"/>
    <row r="6" spans="2:9" x14ac:dyDescent="0.2"/>
    <row r="7" spans="2:9" x14ac:dyDescent="0.2"/>
    <row r="8" spans="2:9" x14ac:dyDescent="0.2"/>
    <row r="9" spans="2:9" x14ac:dyDescent="0.2"/>
    <row r="10" spans="2:9" x14ac:dyDescent="0.2"/>
    <row r="11" spans="2:9" x14ac:dyDescent="0.2"/>
    <row r="12" spans="2:9" x14ac:dyDescent="0.2"/>
    <row r="13" spans="2:9" x14ac:dyDescent="0.2"/>
    <row r="14" spans="2:9" x14ac:dyDescent="0.2">
      <c r="B14" s="276"/>
      <c r="C14" s="276"/>
      <c r="D14" s="276"/>
      <c r="E14" s="276"/>
      <c r="F14" s="276"/>
      <c r="G14" s="276"/>
      <c r="H14" s="276"/>
      <c r="I14" s="276"/>
    </row>
    <row r="15" spans="2:9" x14ac:dyDescent="0.2">
      <c r="B15" s="276"/>
      <c r="C15" s="276"/>
      <c r="D15" s="276"/>
      <c r="E15" s="276"/>
      <c r="F15" s="276"/>
      <c r="G15" s="276"/>
      <c r="H15" s="276"/>
      <c r="I15" s="276"/>
    </row>
    <row r="16" spans="2:9" ht="20.25" x14ac:dyDescent="0.3">
      <c r="B16" s="1773" t="s">
        <v>0</v>
      </c>
      <c r="C16" s="1773"/>
      <c r="D16" s="1773"/>
      <c r="E16" s="1773"/>
      <c r="F16" s="1773"/>
      <c r="G16" s="1773"/>
      <c r="H16" s="1773"/>
      <c r="I16" s="1773"/>
    </row>
    <row r="17" spans="2:9" x14ac:dyDescent="0.2">
      <c r="B17" s="276"/>
      <c r="C17" s="276"/>
      <c r="D17" s="276"/>
      <c r="E17" s="276"/>
      <c r="F17" s="276"/>
      <c r="G17" s="276"/>
      <c r="H17" s="276"/>
      <c r="I17" s="276"/>
    </row>
    <row r="18" spans="2:9" x14ac:dyDescent="0.2">
      <c r="B18" s="276"/>
      <c r="C18" s="276"/>
      <c r="D18" s="276"/>
      <c r="E18" s="276"/>
      <c r="F18" s="276"/>
      <c r="G18" s="276"/>
      <c r="H18" s="276"/>
      <c r="I18" s="276"/>
    </row>
    <row r="19" spans="2:9" x14ac:dyDescent="0.2">
      <c r="B19" s="276"/>
      <c r="C19" s="276"/>
      <c r="D19" s="276"/>
      <c r="E19" s="276"/>
      <c r="F19" s="276"/>
      <c r="G19" s="276"/>
      <c r="H19" s="276"/>
      <c r="I19" s="276"/>
    </row>
    <row r="20" spans="2:9" x14ac:dyDescent="0.2">
      <c r="B20" s="276"/>
      <c r="C20" s="276"/>
      <c r="D20" s="276"/>
      <c r="E20" s="276"/>
      <c r="F20" s="276"/>
      <c r="G20" s="276"/>
      <c r="H20" s="276"/>
      <c r="I20" s="276"/>
    </row>
    <row r="21" spans="2:9" x14ac:dyDescent="0.2">
      <c r="B21" s="276"/>
      <c r="C21" s="276"/>
      <c r="D21" s="276"/>
      <c r="E21" s="276"/>
      <c r="F21" s="276"/>
      <c r="G21" s="276"/>
      <c r="H21" s="276"/>
      <c r="I21" s="276"/>
    </row>
    <row r="22" spans="2:9" x14ac:dyDescent="0.2">
      <c r="B22" s="276"/>
      <c r="C22" s="276"/>
      <c r="D22" s="276"/>
      <c r="E22" s="276"/>
      <c r="F22" s="276"/>
      <c r="G22" s="276"/>
      <c r="H22" s="276"/>
      <c r="I22" s="276"/>
    </row>
    <row r="23" spans="2:9" x14ac:dyDescent="0.2">
      <c r="B23" s="276"/>
      <c r="C23" s="276"/>
      <c r="D23" s="276"/>
      <c r="E23" s="276"/>
      <c r="F23" s="276"/>
      <c r="G23" s="276"/>
      <c r="H23" s="276"/>
      <c r="I23" s="276"/>
    </row>
    <row r="24" spans="2:9" x14ac:dyDescent="0.2">
      <c r="B24" s="276"/>
      <c r="C24" s="276"/>
      <c r="D24" s="276"/>
      <c r="E24" s="276"/>
      <c r="F24" s="276"/>
      <c r="G24" s="276"/>
      <c r="H24" s="276"/>
      <c r="I24" s="276"/>
    </row>
    <row r="25" spans="2:9" x14ac:dyDescent="0.2">
      <c r="B25" s="276"/>
      <c r="C25" s="276"/>
      <c r="D25" s="276"/>
      <c r="E25" s="276"/>
      <c r="F25" s="276"/>
      <c r="G25" s="276"/>
      <c r="H25" s="276"/>
      <c r="I25" s="276"/>
    </row>
    <row r="26" spans="2:9" ht="18" x14ac:dyDescent="0.25">
      <c r="B26" s="1772" t="s">
        <v>10146</v>
      </c>
      <c r="C26" s="1772"/>
      <c r="D26" s="1772"/>
      <c r="E26" s="1772"/>
      <c r="F26" s="1772"/>
      <c r="G26" s="1772"/>
      <c r="H26" s="1772"/>
      <c r="I26" s="1772"/>
    </row>
    <row r="27" spans="2:9" ht="18" x14ac:dyDescent="0.25">
      <c r="B27" s="1772" t="s">
        <v>28</v>
      </c>
      <c r="C27" s="1772"/>
      <c r="D27" s="1772"/>
      <c r="E27" s="1772"/>
      <c r="F27" s="1772"/>
      <c r="G27" s="1772"/>
      <c r="H27" s="1772"/>
      <c r="I27" s="1772"/>
    </row>
    <row r="28" spans="2:9" x14ac:dyDescent="0.2"/>
    <row r="29" spans="2:9" x14ac:dyDescent="0.2"/>
    <row r="30" spans="2:9" x14ac:dyDescent="0.2"/>
    <row r="31" spans="2:9" x14ac:dyDescent="0.2">
      <c r="B31" s="276"/>
      <c r="C31" s="276"/>
      <c r="D31" s="276"/>
      <c r="E31" s="276"/>
      <c r="F31" s="276"/>
      <c r="G31" s="276"/>
      <c r="H31" s="276"/>
      <c r="I31" s="276"/>
    </row>
    <row r="32" spans="2:9" x14ac:dyDescent="0.2">
      <c r="B32" s="276"/>
      <c r="C32" s="276"/>
      <c r="D32" s="276"/>
      <c r="E32" s="276"/>
      <c r="F32" s="276"/>
      <c r="G32" s="276"/>
      <c r="H32" s="276"/>
      <c r="I32" s="276"/>
    </row>
    <row r="33" spans="2:9" x14ac:dyDescent="0.2">
      <c r="B33" s="276"/>
      <c r="C33" s="276"/>
      <c r="D33" s="276"/>
      <c r="E33" s="276"/>
      <c r="F33" s="276"/>
      <c r="G33" s="276"/>
      <c r="H33" s="276"/>
      <c r="I33" s="276"/>
    </row>
    <row r="34" spans="2:9" x14ac:dyDescent="0.2">
      <c r="B34" s="276"/>
      <c r="C34" s="276"/>
      <c r="D34" s="276"/>
      <c r="E34" s="276"/>
      <c r="F34" s="276"/>
      <c r="G34" s="276"/>
      <c r="H34" s="276"/>
      <c r="I34" s="276"/>
    </row>
    <row r="35" spans="2:9" x14ac:dyDescent="0.2">
      <c r="B35" s="276"/>
      <c r="C35" s="276"/>
      <c r="D35" s="276"/>
      <c r="E35" s="276"/>
      <c r="F35" s="276"/>
      <c r="G35" s="276"/>
      <c r="H35" s="276"/>
      <c r="I35" s="276"/>
    </row>
    <row r="36" spans="2:9" x14ac:dyDescent="0.2">
      <c r="B36" s="276"/>
      <c r="C36" s="276"/>
      <c r="D36" s="276"/>
      <c r="E36" s="276"/>
      <c r="F36" s="276"/>
      <c r="G36" s="276"/>
      <c r="H36" s="276"/>
      <c r="I36" s="276"/>
    </row>
    <row r="37" spans="2:9" x14ac:dyDescent="0.2">
      <c r="B37" s="276"/>
      <c r="C37" s="276"/>
      <c r="D37" s="276"/>
      <c r="E37" s="276"/>
      <c r="F37" s="276"/>
      <c r="G37" s="276"/>
      <c r="H37" s="276"/>
      <c r="I37" s="276"/>
    </row>
    <row r="38" spans="2:9" x14ac:dyDescent="0.2">
      <c r="B38" s="276"/>
      <c r="C38" s="276"/>
      <c r="D38" s="276"/>
      <c r="E38" s="276"/>
      <c r="F38" s="276"/>
      <c r="G38" s="276"/>
      <c r="H38" s="276"/>
      <c r="I38" s="276"/>
    </row>
    <row r="39" spans="2:9" x14ac:dyDescent="0.2">
      <c r="B39" s="276"/>
      <c r="C39" s="276"/>
      <c r="D39" s="276"/>
      <c r="E39" s="276"/>
      <c r="F39" s="276"/>
      <c r="G39" s="276"/>
      <c r="H39" s="276"/>
      <c r="I39" s="276"/>
    </row>
    <row r="40" spans="2:9" x14ac:dyDescent="0.2">
      <c r="B40" s="276"/>
      <c r="C40" s="276"/>
      <c r="D40" s="276"/>
      <c r="E40" s="276"/>
      <c r="F40" s="276"/>
      <c r="G40" s="276"/>
      <c r="H40" s="276"/>
      <c r="I40" s="276"/>
    </row>
    <row r="41" spans="2:9" x14ac:dyDescent="0.2">
      <c r="B41" s="276"/>
      <c r="C41" s="276"/>
      <c r="D41" s="276"/>
      <c r="E41" s="276"/>
      <c r="F41" s="276"/>
      <c r="G41" s="276"/>
      <c r="H41" s="276"/>
      <c r="I41" s="276"/>
    </row>
    <row r="42" spans="2:9" ht="18" x14ac:dyDescent="0.25">
      <c r="B42" s="276"/>
      <c r="C42" s="276"/>
      <c r="D42" s="276"/>
      <c r="E42" s="276"/>
      <c r="F42" s="1772" t="s">
        <v>10357</v>
      </c>
      <c r="G42" s="1772"/>
      <c r="H42" s="1772"/>
      <c r="I42" s="276"/>
    </row>
    <row r="43" spans="2:9" x14ac:dyDescent="0.2">
      <c r="B43" s="276"/>
      <c r="C43" s="276"/>
      <c r="D43" s="276"/>
      <c r="E43" s="276"/>
      <c r="F43" s="276"/>
      <c r="G43" s="276"/>
      <c r="H43" s="276"/>
      <c r="I43" s="276"/>
    </row>
    <row r="44" spans="2:9" x14ac:dyDescent="0.2">
      <c r="B44" s="276"/>
      <c r="C44" s="276"/>
      <c r="D44" s="276"/>
      <c r="E44" s="276"/>
      <c r="F44" s="276"/>
      <c r="G44" s="276"/>
      <c r="H44" s="276"/>
      <c r="I44" s="276"/>
    </row>
    <row r="45" spans="2:9" x14ac:dyDescent="0.2">
      <c r="B45" s="276"/>
      <c r="C45" s="276"/>
      <c r="D45" s="276"/>
      <c r="E45" s="276"/>
      <c r="F45" s="276"/>
      <c r="G45" s="276"/>
      <c r="H45" s="276"/>
      <c r="I45" s="276"/>
    </row>
    <row r="46" spans="2:9" hidden="1" x14ac:dyDescent="0.2">
      <c r="B46" s="276"/>
      <c r="C46" s="276"/>
      <c r="D46" s="276"/>
      <c r="E46" s="276"/>
      <c r="F46" s="276"/>
      <c r="G46" s="276"/>
      <c r="H46" s="276"/>
      <c r="I46" s="276"/>
    </row>
    <row r="47" spans="2:9" hidden="1" x14ac:dyDescent="0.2">
      <c r="B47" s="276"/>
      <c r="C47" s="276"/>
      <c r="D47" s="276"/>
      <c r="E47" s="276"/>
      <c r="F47" s="276"/>
      <c r="G47" s="276"/>
      <c r="H47" s="276"/>
      <c r="I47" s="276"/>
    </row>
    <row r="48" spans="2:9" hidden="1" x14ac:dyDescent="0.2">
      <c r="B48" s="276"/>
      <c r="C48" s="276"/>
      <c r="D48" s="276"/>
      <c r="E48" s="276"/>
      <c r="F48" s="276"/>
    </row>
    <row r="49" spans="2:9" hidden="1" x14ac:dyDescent="0.2">
      <c r="B49" s="276"/>
      <c r="C49" s="276"/>
      <c r="D49" s="276"/>
      <c r="E49" s="276"/>
      <c r="F49" s="276"/>
      <c r="G49" s="276"/>
      <c r="H49" s="276"/>
      <c r="I49" s="276"/>
    </row>
    <row r="50" spans="2:9" hidden="1" x14ac:dyDescent="0.2">
      <c r="B50" s="276"/>
      <c r="C50" s="276"/>
      <c r="D50" s="276"/>
      <c r="E50" s="276"/>
      <c r="F50" s="276"/>
      <c r="G50" s="276"/>
      <c r="H50" s="276"/>
      <c r="I50" s="276"/>
    </row>
    <row r="51" spans="2:9" hidden="1" x14ac:dyDescent="0.2">
      <c r="B51" s="276"/>
      <c r="C51" s="276"/>
      <c r="D51" s="276"/>
      <c r="E51" s="276"/>
      <c r="F51" s="276"/>
      <c r="G51" s="276"/>
      <c r="H51" s="276"/>
      <c r="I51" s="276"/>
    </row>
    <row r="52" spans="2:9" hidden="1" x14ac:dyDescent="0.2">
      <c r="B52" s="276"/>
      <c r="C52" s="276"/>
      <c r="D52" s="276"/>
      <c r="E52" s="276"/>
      <c r="F52" s="276"/>
      <c r="G52" s="276"/>
      <c r="H52" s="276"/>
      <c r="I52" s="276"/>
    </row>
    <row r="53" spans="2:9" hidden="1" x14ac:dyDescent="0.2">
      <c r="B53" s="276"/>
      <c r="C53" s="276"/>
      <c r="D53" s="276"/>
      <c r="E53" s="276"/>
      <c r="F53" s="276"/>
      <c r="G53" s="276"/>
      <c r="H53" s="276"/>
      <c r="I53" s="276"/>
    </row>
    <row r="54" spans="2:9" hidden="1" x14ac:dyDescent="0.2">
      <c r="B54" s="276"/>
      <c r="C54" s="276"/>
      <c r="D54" s="276"/>
      <c r="E54" s="276"/>
      <c r="F54" s="276"/>
      <c r="G54" s="276"/>
      <c r="H54" s="276"/>
      <c r="I54" s="276"/>
    </row>
    <row r="55" spans="2:9" hidden="1" x14ac:dyDescent="0.2">
      <c r="B55" s="276"/>
      <c r="C55" s="276"/>
      <c r="D55" s="276"/>
      <c r="E55" s="276"/>
      <c r="F55" s="276"/>
      <c r="G55" s="276"/>
      <c r="H55" s="276"/>
      <c r="I55" s="276"/>
    </row>
    <row r="56" spans="2:9" hidden="1" x14ac:dyDescent="0.2">
      <c r="B56" s="276"/>
      <c r="C56" s="276"/>
      <c r="D56" s="276"/>
      <c r="E56" s="276"/>
      <c r="F56" s="276"/>
      <c r="G56" s="276"/>
      <c r="H56" s="276"/>
      <c r="I56" s="276"/>
    </row>
    <row r="57" spans="2:9" hidden="1" x14ac:dyDescent="0.2">
      <c r="B57" s="276"/>
      <c r="C57" s="276"/>
      <c r="D57" s="276"/>
      <c r="E57" s="276"/>
      <c r="F57" s="276"/>
      <c r="G57" s="276"/>
      <c r="H57" s="276"/>
      <c r="I57" s="276"/>
    </row>
    <row r="58" spans="2:9" hidden="1" x14ac:dyDescent="0.2">
      <c r="B58" s="276"/>
      <c r="C58" s="276"/>
      <c r="D58" s="276"/>
      <c r="E58" s="276"/>
      <c r="F58" s="276"/>
      <c r="G58" s="276"/>
      <c r="H58" s="276"/>
      <c r="I58" s="276"/>
    </row>
    <row r="59" spans="2:9" hidden="1" x14ac:dyDescent="0.2">
      <c r="B59" s="276"/>
      <c r="C59" s="276"/>
      <c r="D59" s="276"/>
      <c r="E59" s="276"/>
      <c r="F59" s="276"/>
      <c r="G59" s="276"/>
      <c r="H59" s="276"/>
      <c r="I59" s="276"/>
    </row>
    <row r="60" spans="2:9" hidden="1" x14ac:dyDescent="0.2">
      <c r="B60" s="276"/>
      <c r="C60" s="276"/>
      <c r="D60" s="276"/>
      <c r="E60" s="276"/>
      <c r="F60" s="276"/>
      <c r="G60" s="276"/>
      <c r="H60" s="276"/>
      <c r="I60" s="276"/>
    </row>
    <row r="61" spans="2:9" hidden="1" x14ac:dyDescent="0.2">
      <c r="B61" s="276"/>
      <c r="C61" s="276"/>
      <c r="D61" s="276"/>
      <c r="E61" s="276"/>
      <c r="F61" s="276"/>
      <c r="G61" s="276"/>
      <c r="H61" s="276"/>
      <c r="I61" s="276"/>
    </row>
    <row r="62" spans="2:9" hidden="1" x14ac:dyDescent="0.2">
      <c r="B62" s="276"/>
      <c r="C62" s="276"/>
      <c r="D62" s="276"/>
      <c r="E62" s="276"/>
      <c r="F62" s="276"/>
      <c r="G62" s="276"/>
      <c r="H62" s="276"/>
      <c r="I62" s="276"/>
    </row>
    <row r="63" spans="2:9" hidden="1" x14ac:dyDescent="0.2">
      <c r="B63" s="276"/>
      <c r="C63" s="276"/>
      <c r="D63" s="276"/>
      <c r="E63" s="276"/>
      <c r="F63" s="276"/>
      <c r="G63" s="276"/>
      <c r="H63" s="276"/>
      <c r="I63" s="276"/>
    </row>
    <row r="64" spans="2:9" hidden="1" x14ac:dyDescent="0.2">
      <c r="B64" s="276"/>
      <c r="C64" s="276"/>
      <c r="D64" s="276"/>
      <c r="E64" s="276"/>
      <c r="F64" s="276"/>
      <c r="G64" s="276"/>
      <c r="H64" s="276"/>
      <c r="I64" s="276"/>
    </row>
    <row r="65" spans="2:9" hidden="1" x14ac:dyDescent="0.2">
      <c r="B65" s="276"/>
      <c r="C65" s="276"/>
      <c r="D65" s="276"/>
      <c r="E65" s="276"/>
      <c r="F65" s="276"/>
      <c r="G65" s="276"/>
      <c r="H65" s="276"/>
      <c r="I65" s="276"/>
    </row>
    <row r="66" spans="2:9" hidden="1" x14ac:dyDescent="0.2">
      <c r="B66" s="276"/>
      <c r="C66" s="276"/>
      <c r="D66" s="276"/>
      <c r="E66" s="276"/>
      <c r="F66" s="276"/>
      <c r="G66" s="276"/>
      <c r="H66" s="276"/>
      <c r="I66" s="276"/>
    </row>
    <row r="67" spans="2:9" hidden="1" x14ac:dyDescent="0.2">
      <c r="B67" s="276"/>
      <c r="C67" s="276"/>
      <c r="D67" s="276"/>
      <c r="E67" s="276"/>
      <c r="F67" s="276"/>
      <c r="G67" s="276"/>
      <c r="H67" s="276"/>
      <c r="I67" s="276"/>
    </row>
    <row r="68" spans="2:9" hidden="1" x14ac:dyDescent="0.2">
      <c r="B68" s="276"/>
      <c r="C68" s="276"/>
      <c r="D68" s="276"/>
      <c r="E68" s="276"/>
      <c r="F68" s="276"/>
      <c r="G68" s="276"/>
      <c r="H68" s="276"/>
      <c r="I68" s="276"/>
    </row>
    <row r="69" spans="2:9" hidden="1" x14ac:dyDescent="0.2">
      <c r="B69" s="276"/>
      <c r="C69" s="276"/>
      <c r="D69" s="276"/>
      <c r="E69" s="276"/>
      <c r="F69" s="276"/>
      <c r="G69" s="276"/>
      <c r="H69" s="276"/>
      <c r="I69" s="276"/>
    </row>
    <row r="70" spans="2:9" hidden="1" x14ac:dyDescent="0.2">
      <c r="B70" s="276"/>
      <c r="C70" s="276"/>
      <c r="D70" s="276"/>
      <c r="E70" s="276"/>
      <c r="F70" s="276"/>
      <c r="G70" s="276"/>
      <c r="H70" s="276"/>
      <c r="I70" s="276"/>
    </row>
    <row r="71" spans="2:9" hidden="1" x14ac:dyDescent="0.2">
      <c r="B71" s="276"/>
      <c r="C71" s="276"/>
      <c r="D71" s="276"/>
      <c r="E71" s="276"/>
      <c r="F71" s="276"/>
      <c r="G71" s="276"/>
      <c r="H71" s="276"/>
      <c r="I71" s="276"/>
    </row>
    <row r="72" spans="2:9" x14ac:dyDescent="0.2"/>
    <row r="73" spans="2:9" x14ac:dyDescent="0.2"/>
    <row r="74" spans="2:9" x14ac:dyDescent="0.2"/>
    <row r="75" spans="2:9" x14ac:dyDescent="0.2"/>
    <row r="76" spans="2:9" x14ac:dyDescent="0.2"/>
    <row r="77" spans="2:9" x14ac:dyDescent="0.2"/>
  </sheetData>
  <mergeCells count="4">
    <mergeCell ref="F42:H42"/>
    <mergeCell ref="B16:I16"/>
    <mergeCell ref="B26:I26"/>
    <mergeCell ref="B27:I27"/>
  </mergeCells>
  <phoneticPr fontId="0" type="noConversion"/>
  <pageMargins left="0.75" right="0.75" top="1" bottom="1" header="0" footer="0"/>
  <pageSetup scale="93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002060"/>
    <pageSetUpPr fitToPage="1"/>
  </sheetPr>
  <dimension ref="A1:WVO97"/>
  <sheetViews>
    <sheetView zoomScale="50" zoomScaleNormal="50" workbookViewId="0">
      <selection activeCell="F13" sqref="F13"/>
    </sheetView>
  </sheetViews>
  <sheetFormatPr baseColWidth="10" defaultColWidth="0" defaultRowHeight="12.75" zeroHeight="1" x14ac:dyDescent="0.2"/>
  <cols>
    <col min="1" max="1" width="26.28515625" style="809" customWidth="1"/>
    <col min="2" max="2" width="15.85546875" style="809" customWidth="1"/>
    <col min="3" max="3" width="68.140625" style="809" customWidth="1"/>
    <col min="4" max="4" width="15" style="809" customWidth="1"/>
    <col min="5" max="5" width="5.42578125" style="809" customWidth="1"/>
    <col min="6" max="7" width="11.42578125" style="809" customWidth="1"/>
    <col min="8" max="8" width="16.85546875" style="809" hidden="1" customWidth="1"/>
    <col min="9" max="256" width="0" style="809" hidden="1"/>
    <col min="257" max="257" width="26.28515625" style="809" hidden="1" customWidth="1"/>
    <col min="258" max="258" width="15.85546875" style="809" hidden="1" customWidth="1"/>
    <col min="259" max="259" width="68.140625" style="809" hidden="1" customWidth="1"/>
    <col min="260" max="260" width="15" style="809" hidden="1" customWidth="1"/>
    <col min="261" max="261" width="5.42578125" style="809" hidden="1" customWidth="1"/>
    <col min="262" max="263" width="11.42578125" style="809" hidden="1" customWidth="1"/>
    <col min="264" max="264" width="0" style="809" hidden="1" customWidth="1"/>
    <col min="265" max="512" width="0" style="809" hidden="1"/>
    <col min="513" max="513" width="26.28515625" style="809" hidden="1" customWidth="1"/>
    <col min="514" max="514" width="15.85546875" style="809" hidden="1" customWidth="1"/>
    <col min="515" max="515" width="68.140625" style="809" hidden="1" customWidth="1"/>
    <col min="516" max="516" width="15" style="809" hidden="1" customWidth="1"/>
    <col min="517" max="517" width="5.42578125" style="809" hidden="1" customWidth="1"/>
    <col min="518" max="519" width="11.42578125" style="809" hidden="1" customWidth="1"/>
    <col min="520" max="520" width="0" style="809" hidden="1" customWidth="1"/>
    <col min="521" max="768" width="0" style="809" hidden="1"/>
    <col min="769" max="769" width="26.28515625" style="809" hidden="1" customWidth="1"/>
    <col min="770" max="770" width="15.85546875" style="809" hidden="1" customWidth="1"/>
    <col min="771" max="771" width="68.140625" style="809" hidden="1" customWidth="1"/>
    <col min="772" max="772" width="15" style="809" hidden="1" customWidth="1"/>
    <col min="773" max="773" width="5.42578125" style="809" hidden="1" customWidth="1"/>
    <col min="774" max="775" width="11.42578125" style="809" hidden="1" customWidth="1"/>
    <col min="776" max="776" width="0" style="809" hidden="1" customWidth="1"/>
    <col min="777" max="1024" width="0" style="809" hidden="1"/>
    <col min="1025" max="1025" width="26.28515625" style="809" hidden="1" customWidth="1"/>
    <col min="1026" max="1026" width="15.85546875" style="809" hidden="1" customWidth="1"/>
    <col min="1027" max="1027" width="68.140625" style="809" hidden="1" customWidth="1"/>
    <col min="1028" max="1028" width="15" style="809" hidden="1" customWidth="1"/>
    <col min="1029" max="1029" width="5.42578125" style="809" hidden="1" customWidth="1"/>
    <col min="1030" max="1031" width="11.42578125" style="809" hidden="1" customWidth="1"/>
    <col min="1032" max="1032" width="0" style="809" hidden="1" customWidth="1"/>
    <col min="1033" max="1280" width="0" style="809" hidden="1"/>
    <col min="1281" max="1281" width="26.28515625" style="809" hidden="1" customWidth="1"/>
    <col min="1282" max="1282" width="15.85546875" style="809" hidden="1" customWidth="1"/>
    <col min="1283" max="1283" width="68.140625" style="809" hidden="1" customWidth="1"/>
    <col min="1284" max="1284" width="15" style="809" hidden="1" customWidth="1"/>
    <col min="1285" max="1285" width="5.42578125" style="809" hidden="1" customWidth="1"/>
    <col min="1286" max="1287" width="11.42578125" style="809" hidden="1" customWidth="1"/>
    <col min="1288" max="1288" width="0" style="809" hidden="1" customWidth="1"/>
    <col min="1289" max="1536" width="0" style="809" hidden="1"/>
    <col min="1537" max="1537" width="26.28515625" style="809" hidden="1" customWidth="1"/>
    <col min="1538" max="1538" width="15.85546875" style="809" hidden="1" customWidth="1"/>
    <col min="1539" max="1539" width="68.140625" style="809" hidden="1" customWidth="1"/>
    <col min="1540" max="1540" width="15" style="809" hidden="1" customWidth="1"/>
    <col min="1541" max="1541" width="5.42578125" style="809" hidden="1" customWidth="1"/>
    <col min="1542" max="1543" width="11.42578125" style="809" hidden="1" customWidth="1"/>
    <col min="1544" max="1544" width="0" style="809" hidden="1" customWidth="1"/>
    <col min="1545" max="1792" width="0" style="809" hidden="1"/>
    <col min="1793" max="1793" width="26.28515625" style="809" hidden="1" customWidth="1"/>
    <col min="1794" max="1794" width="15.85546875" style="809" hidden="1" customWidth="1"/>
    <col min="1795" max="1795" width="68.140625" style="809" hidden="1" customWidth="1"/>
    <col min="1796" max="1796" width="15" style="809" hidden="1" customWidth="1"/>
    <col min="1797" max="1797" width="5.42578125" style="809" hidden="1" customWidth="1"/>
    <col min="1798" max="1799" width="11.42578125" style="809" hidden="1" customWidth="1"/>
    <col min="1800" max="1800" width="0" style="809" hidden="1" customWidth="1"/>
    <col min="1801" max="2048" width="0" style="809" hidden="1"/>
    <col min="2049" max="2049" width="26.28515625" style="809" hidden="1" customWidth="1"/>
    <col min="2050" max="2050" width="15.85546875" style="809" hidden="1" customWidth="1"/>
    <col min="2051" max="2051" width="68.140625" style="809" hidden="1" customWidth="1"/>
    <col min="2052" max="2052" width="15" style="809" hidden="1" customWidth="1"/>
    <col min="2053" max="2053" width="5.42578125" style="809" hidden="1" customWidth="1"/>
    <col min="2054" max="2055" width="11.42578125" style="809" hidden="1" customWidth="1"/>
    <col min="2056" max="2056" width="0" style="809" hidden="1" customWidth="1"/>
    <col min="2057" max="2304" width="0" style="809" hidden="1"/>
    <col min="2305" max="2305" width="26.28515625" style="809" hidden="1" customWidth="1"/>
    <col min="2306" max="2306" width="15.85546875" style="809" hidden="1" customWidth="1"/>
    <col min="2307" max="2307" width="68.140625" style="809" hidden="1" customWidth="1"/>
    <col min="2308" max="2308" width="15" style="809" hidden="1" customWidth="1"/>
    <col min="2309" max="2309" width="5.42578125" style="809" hidden="1" customWidth="1"/>
    <col min="2310" max="2311" width="11.42578125" style="809" hidden="1" customWidth="1"/>
    <col min="2312" max="2312" width="0" style="809" hidden="1" customWidth="1"/>
    <col min="2313" max="2560" width="0" style="809" hidden="1"/>
    <col min="2561" max="2561" width="26.28515625" style="809" hidden="1" customWidth="1"/>
    <col min="2562" max="2562" width="15.85546875" style="809" hidden="1" customWidth="1"/>
    <col min="2563" max="2563" width="68.140625" style="809" hidden="1" customWidth="1"/>
    <col min="2564" max="2564" width="15" style="809" hidden="1" customWidth="1"/>
    <col min="2565" max="2565" width="5.42578125" style="809" hidden="1" customWidth="1"/>
    <col min="2566" max="2567" width="11.42578125" style="809" hidden="1" customWidth="1"/>
    <col min="2568" max="2568" width="0" style="809" hidden="1" customWidth="1"/>
    <col min="2569" max="2816" width="0" style="809" hidden="1"/>
    <col min="2817" max="2817" width="26.28515625" style="809" hidden="1" customWidth="1"/>
    <col min="2818" max="2818" width="15.85546875" style="809" hidden="1" customWidth="1"/>
    <col min="2819" max="2819" width="68.140625" style="809" hidden="1" customWidth="1"/>
    <col min="2820" max="2820" width="15" style="809" hidden="1" customWidth="1"/>
    <col min="2821" max="2821" width="5.42578125" style="809" hidden="1" customWidth="1"/>
    <col min="2822" max="2823" width="11.42578125" style="809" hidden="1" customWidth="1"/>
    <col min="2824" max="2824" width="0" style="809" hidden="1" customWidth="1"/>
    <col min="2825" max="3072" width="0" style="809" hidden="1"/>
    <col min="3073" max="3073" width="26.28515625" style="809" hidden="1" customWidth="1"/>
    <col min="3074" max="3074" width="15.85546875" style="809" hidden="1" customWidth="1"/>
    <col min="3075" max="3075" width="68.140625" style="809" hidden="1" customWidth="1"/>
    <col min="3076" max="3076" width="15" style="809" hidden="1" customWidth="1"/>
    <col min="3077" max="3077" width="5.42578125" style="809" hidden="1" customWidth="1"/>
    <col min="3078" max="3079" width="11.42578125" style="809" hidden="1" customWidth="1"/>
    <col min="3080" max="3080" width="0" style="809" hidden="1" customWidth="1"/>
    <col min="3081" max="3328" width="0" style="809" hidden="1"/>
    <col min="3329" max="3329" width="26.28515625" style="809" hidden="1" customWidth="1"/>
    <col min="3330" max="3330" width="15.85546875" style="809" hidden="1" customWidth="1"/>
    <col min="3331" max="3331" width="68.140625" style="809" hidden="1" customWidth="1"/>
    <col min="3332" max="3332" width="15" style="809" hidden="1" customWidth="1"/>
    <col min="3333" max="3333" width="5.42578125" style="809" hidden="1" customWidth="1"/>
    <col min="3334" max="3335" width="11.42578125" style="809" hidden="1" customWidth="1"/>
    <col min="3336" max="3336" width="0" style="809" hidden="1" customWidth="1"/>
    <col min="3337" max="3584" width="0" style="809" hidden="1"/>
    <col min="3585" max="3585" width="26.28515625" style="809" hidden="1" customWidth="1"/>
    <col min="3586" max="3586" width="15.85546875" style="809" hidden="1" customWidth="1"/>
    <col min="3587" max="3587" width="68.140625" style="809" hidden="1" customWidth="1"/>
    <col min="3588" max="3588" width="15" style="809" hidden="1" customWidth="1"/>
    <col min="3589" max="3589" width="5.42578125" style="809" hidden="1" customWidth="1"/>
    <col min="3590" max="3591" width="11.42578125" style="809" hidden="1" customWidth="1"/>
    <col min="3592" max="3592" width="0" style="809" hidden="1" customWidth="1"/>
    <col min="3593" max="3840" width="0" style="809" hidden="1"/>
    <col min="3841" max="3841" width="26.28515625" style="809" hidden="1" customWidth="1"/>
    <col min="3842" max="3842" width="15.85546875" style="809" hidden="1" customWidth="1"/>
    <col min="3843" max="3843" width="68.140625" style="809" hidden="1" customWidth="1"/>
    <col min="3844" max="3844" width="15" style="809" hidden="1" customWidth="1"/>
    <col min="3845" max="3845" width="5.42578125" style="809" hidden="1" customWidth="1"/>
    <col min="3846" max="3847" width="11.42578125" style="809" hidden="1" customWidth="1"/>
    <col min="3848" max="3848" width="0" style="809" hidden="1" customWidth="1"/>
    <col min="3849" max="4096" width="0" style="809" hidden="1"/>
    <col min="4097" max="4097" width="26.28515625" style="809" hidden="1" customWidth="1"/>
    <col min="4098" max="4098" width="15.85546875" style="809" hidden="1" customWidth="1"/>
    <col min="4099" max="4099" width="68.140625" style="809" hidden="1" customWidth="1"/>
    <col min="4100" max="4100" width="15" style="809" hidden="1" customWidth="1"/>
    <col min="4101" max="4101" width="5.42578125" style="809" hidden="1" customWidth="1"/>
    <col min="4102" max="4103" width="11.42578125" style="809" hidden="1" customWidth="1"/>
    <col min="4104" max="4104" width="0" style="809" hidden="1" customWidth="1"/>
    <col min="4105" max="4352" width="0" style="809" hidden="1"/>
    <col min="4353" max="4353" width="26.28515625" style="809" hidden="1" customWidth="1"/>
    <col min="4354" max="4354" width="15.85546875" style="809" hidden="1" customWidth="1"/>
    <col min="4355" max="4355" width="68.140625" style="809" hidden="1" customWidth="1"/>
    <col min="4356" max="4356" width="15" style="809" hidden="1" customWidth="1"/>
    <col min="4357" max="4357" width="5.42578125" style="809" hidden="1" customWidth="1"/>
    <col min="4358" max="4359" width="11.42578125" style="809" hidden="1" customWidth="1"/>
    <col min="4360" max="4360" width="0" style="809" hidden="1" customWidth="1"/>
    <col min="4361" max="4608" width="0" style="809" hidden="1"/>
    <col min="4609" max="4609" width="26.28515625" style="809" hidden="1" customWidth="1"/>
    <col min="4610" max="4610" width="15.85546875" style="809" hidden="1" customWidth="1"/>
    <col min="4611" max="4611" width="68.140625" style="809" hidden="1" customWidth="1"/>
    <col min="4612" max="4612" width="15" style="809" hidden="1" customWidth="1"/>
    <col min="4613" max="4613" width="5.42578125" style="809" hidden="1" customWidth="1"/>
    <col min="4614" max="4615" width="11.42578125" style="809" hidden="1" customWidth="1"/>
    <col min="4616" max="4616" width="0" style="809" hidden="1" customWidth="1"/>
    <col min="4617" max="4864" width="0" style="809" hidden="1"/>
    <col min="4865" max="4865" width="26.28515625" style="809" hidden="1" customWidth="1"/>
    <col min="4866" max="4866" width="15.85546875" style="809" hidden="1" customWidth="1"/>
    <col min="4867" max="4867" width="68.140625" style="809" hidden="1" customWidth="1"/>
    <col min="4868" max="4868" width="15" style="809" hidden="1" customWidth="1"/>
    <col min="4869" max="4869" width="5.42578125" style="809" hidden="1" customWidth="1"/>
    <col min="4870" max="4871" width="11.42578125" style="809" hidden="1" customWidth="1"/>
    <col min="4872" max="4872" width="0" style="809" hidden="1" customWidth="1"/>
    <col min="4873" max="5120" width="0" style="809" hidden="1"/>
    <col min="5121" max="5121" width="26.28515625" style="809" hidden="1" customWidth="1"/>
    <col min="5122" max="5122" width="15.85546875" style="809" hidden="1" customWidth="1"/>
    <col min="5123" max="5123" width="68.140625" style="809" hidden="1" customWidth="1"/>
    <col min="5124" max="5124" width="15" style="809" hidden="1" customWidth="1"/>
    <col min="5125" max="5125" width="5.42578125" style="809" hidden="1" customWidth="1"/>
    <col min="5126" max="5127" width="11.42578125" style="809" hidden="1" customWidth="1"/>
    <col min="5128" max="5128" width="0" style="809" hidden="1" customWidth="1"/>
    <col min="5129" max="5376" width="0" style="809" hidden="1"/>
    <col min="5377" max="5377" width="26.28515625" style="809" hidden="1" customWidth="1"/>
    <col min="5378" max="5378" width="15.85546875" style="809" hidden="1" customWidth="1"/>
    <col min="5379" max="5379" width="68.140625" style="809" hidden="1" customWidth="1"/>
    <col min="5380" max="5380" width="15" style="809" hidden="1" customWidth="1"/>
    <col min="5381" max="5381" width="5.42578125" style="809" hidden="1" customWidth="1"/>
    <col min="5382" max="5383" width="11.42578125" style="809" hidden="1" customWidth="1"/>
    <col min="5384" max="5384" width="0" style="809" hidden="1" customWidth="1"/>
    <col min="5385" max="5632" width="0" style="809" hidden="1"/>
    <col min="5633" max="5633" width="26.28515625" style="809" hidden="1" customWidth="1"/>
    <col min="5634" max="5634" width="15.85546875" style="809" hidden="1" customWidth="1"/>
    <col min="5635" max="5635" width="68.140625" style="809" hidden="1" customWidth="1"/>
    <col min="5636" max="5636" width="15" style="809" hidden="1" customWidth="1"/>
    <col min="5637" max="5637" width="5.42578125" style="809" hidden="1" customWidth="1"/>
    <col min="5638" max="5639" width="11.42578125" style="809" hidden="1" customWidth="1"/>
    <col min="5640" max="5640" width="0" style="809" hidden="1" customWidth="1"/>
    <col min="5641" max="5888" width="0" style="809" hidden="1"/>
    <col min="5889" max="5889" width="26.28515625" style="809" hidden="1" customWidth="1"/>
    <col min="5890" max="5890" width="15.85546875" style="809" hidden="1" customWidth="1"/>
    <col min="5891" max="5891" width="68.140625" style="809" hidden="1" customWidth="1"/>
    <col min="5892" max="5892" width="15" style="809" hidden="1" customWidth="1"/>
    <col min="5893" max="5893" width="5.42578125" style="809" hidden="1" customWidth="1"/>
    <col min="5894" max="5895" width="11.42578125" style="809" hidden="1" customWidth="1"/>
    <col min="5896" max="5896" width="0" style="809" hidden="1" customWidth="1"/>
    <col min="5897" max="6144" width="0" style="809" hidden="1"/>
    <col min="6145" max="6145" width="26.28515625" style="809" hidden="1" customWidth="1"/>
    <col min="6146" max="6146" width="15.85546875" style="809" hidden="1" customWidth="1"/>
    <col min="6147" max="6147" width="68.140625" style="809" hidden="1" customWidth="1"/>
    <col min="6148" max="6148" width="15" style="809" hidden="1" customWidth="1"/>
    <col min="6149" max="6149" width="5.42578125" style="809" hidden="1" customWidth="1"/>
    <col min="6150" max="6151" width="11.42578125" style="809" hidden="1" customWidth="1"/>
    <col min="6152" max="6152" width="0" style="809" hidden="1" customWidth="1"/>
    <col min="6153" max="6400" width="0" style="809" hidden="1"/>
    <col min="6401" max="6401" width="26.28515625" style="809" hidden="1" customWidth="1"/>
    <col min="6402" max="6402" width="15.85546875" style="809" hidden="1" customWidth="1"/>
    <col min="6403" max="6403" width="68.140625" style="809" hidden="1" customWidth="1"/>
    <col min="6404" max="6404" width="15" style="809" hidden="1" customWidth="1"/>
    <col min="6405" max="6405" width="5.42578125" style="809" hidden="1" customWidth="1"/>
    <col min="6406" max="6407" width="11.42578125" style="809" hidden="1" customWidth="1"/>
    <col min="6408" max="6408" width="0" style="809" hidden="1" customWidth="1"/>
    <col min="6409" max="6656" width="0" style="809" hidden="1"/>
    <col min="6657" max="6657" width="26.28515625" style="809" hidden="1" customWidth="1"/>
    <col min="6658" max="6658" width="15.85546875" style="809" hidden="1" customWidth="1"/>
    <col min="6659" max="6659" width="68.140625" style="809" hidden="1" customWidth="1"/>
    <col min="6660" max="6660" width="15" style="809" hidden="1" customWidth="1"/>
    <col min="6661" max="6661" width="5.42578125" style="809" hidden="1" customWidth="1"/>
    <col min="6662" max="6663" width="11.42578125" style="809" hidden="1" customWidth="1"/>
    <col min="6664" max="6664" width="0" style="809" hidden="1" customWidth="1"/>
    <col min="6665" max="6912" width="0" style="809" hidden="1"/>
    <col min="6913" max="6913" width="26.28515625" style="809" hidden="1" customWidth="1"/>
    <col min="6914" max="6914" width="15.85546875" style="809" hidden="1" customWidth="1"/>
    <col min="6915" max="6915" width="68.140625" style="809" hidden="1" customWidth="1"/>
    <col min="6916" max="6916" width="15" style="809" hidden="1" customWidth="1"/>
    <col min="6917" max="6917" width="5.42578125" style="809" hidden="1" customWidth="1"/>
    <col min="6918" max="6919" width="11.42578125" style="809" hidden="1" customWidth="1"/>
    <col min="6920" max="6920" width="0" style="809" hidden="1" customWidth="1"/>
    <col min="6921" max="7168" width="0" style="809" hidden="1"/>
    <col min="7169" max="7169" width="26.28515625" style="809" hidden="1" customWidth="1"/>
    <col min="7170" max="7170" width="15.85546875" style="809" hidden="1" customWidth="1"/>
    <col min="7171" max="7171" width="68.140625" style="809" hidden="1" customWidth="1"/>
    <col min="7172" max="7172" width="15" style="809" hidden="1" customWidth="1"/>
    <col min="7173" max="7173" width="5.42578125" style="809" hidden="1" customWidth="1"/>
    <col min="7174" max="7175" width="11.42578125" style="809" hidden="1" customWidth="1"/>
    <col min="7176" max="7176" width="0" style="809" hidden="1" customWidth="1"/>
    <col min="7177" max="7424" width="0" style="809" hidden="1"/>
    <col min="7425" max="7425" width="26.28515625" style="809" hidden="1" customWidth="1"/>
    <col min="7426" max="7426" width="15.85546875" style="809" hidden="1" customWidth="1"/>
    <col min="7427" max="7427" width="68.140625" style="809" hidden="1" customWidth="1"/>
    <col min="7428" max="7428" width="15" style="809" hidden="1" customWidth="1"/>
    <col min="7429" max="7429" width="5.42578125" style="809" hidden="1" customWidth="1"/>
    <col min="7430" max="7431" width="11.42578125" style="809" hidden="1" customWidth="1"/>
    <col min="7432" max="7432" width="0" style="809" hidden="1" customWidth="1"/>
    <col min="7433" max="7680" width="0" style="809" hidden="1"/>
    <col min="7681" max="7681" width="26.28515625" style="809" hidden="1" customWidth="1"/>
    <col min="7682" max="7682" width="15.85546875" style="809" hidden="1" customWidth="1"/>
    <col min="7683" max="7683" width="68.140625" style="809" hidden="1" customWidth="1"/>
    <col min="7684" max="7684" width="15" style="809" hidden="1" customWidth="1"/>
    <col min="7685" max="7685" width="5.42578125" style="809" hidden="1" customWidth="1"/>
    <col min="7686" max="7687" width="11.42578125" style="809" hidden="1" customWidth="1"/>
    <col min="7688" max="7688" width="0" style="809" hidden="1" customWidth="1"/>
    <col min="7689" max="7936" width="0" style="809" hidden="1"/>
    <col min="7937" max="7937" width="26.28515625" style="809" hidden="1" customWidth="1"/>
    <col min="7938" max="7938" width="15.85546875" style="809" hidden="1" customWidth="1"/>
    <col min="7939" max="7939" width="68.140625" style="809" hidden="1" customWidth="1"/>
    <col min="7940" max="7940" width="15" style="809" hidden="1" customWidth="1"/>
    <col min="7941" max="7941" width="5.42578125" style="809" hidden="1" customWidth="1"/>
    <col min="7942" max="7943" width="11.42578125" style="809" hidden="1" customWidth="1"/>
    <col min="7944" max="7944" width="0" style="809" hidden="1" customWidth="1"/>
    <col min="7945" max="8192" width="0" style="809" hidden="1"/>
    <col min="8193" max="8193" width="26.28515625" style="809" hidden="1" customWidth="1"/>
    <col min="8194" max="8194" width="15.85546875" style="809" hidden="1" customWidth="1"/>
    <col min="8195" max="8195" width="68.140625" style="809" hidden="1" customWidth="1"/>
    <col min="8196" max="8196" width="15" style="809" hidden="1" customWidth="1"/>
    <col min="8197" max="8197" width="5.42578125" style="809" hidden="1" customWidth="1"/>
    <col min="8198" max="8199" width="11.42578125" style="809" hidden="1" customWidth="1"/>
    <col min="8200" max="8200" width="0" style="809" hidden="1" customWidth="1"/>
    <col min="8201" max="8448" width="0" style="809" hidden="1"/>
    <col min="8449" max="8449" width="26.28515625" style="809" hidden="1" customWidth="1"/>
    <col min="8450" max="8450" width="15.85546875" style="809" hidden="1" customWidth="1"/>
    <col min="8451" max="8451" width="68.140625" style="809" hidden="1" customWidth="1"/>
    <col min="8452" max="8452" width="15" style="809" hidden="1" customWidth="1"/>
    <col min="8453" max="8453" width="5.42578125" style="809" hidden="1" customWidth="1"/>
    <col min="8454" max="8455" width="11.42578125" style="809" hidden="1" customWidth="1"/>
    <col min="8456" max="8456" width="0" style="809" hidden="1" customWidth="1"/>
    <col min="8457" max="8704" width="0" style="809" hidden="1"/>
    <col min="8705" max="8705" width="26.28515625" style="809" hidden="1" customWidth="1"/>
    <col min="8706" max="8706" width="15.85546875" style="809" hidden="1" customWidth="1"/>
    <col min="8707" max="8707" width="68.140625" style="809" hidden="1" customWidth="1"/>
    <col min="8708" max="8708" width="15" style="809" hidden="1" customWidth="1"/>
    <col min="8709" max="8709" width="5.42578125" style="809" hidden="1" customWidth="1"/>
    <col min="8710" max="8711" width="11.42578125" style="809" hidden="1" customWidth="1"/>
    <col min="8712" max="8712" width="0" style="809" hidden="1" customWidth="1"/>
    <col min="8713" max="8960" width="0" style="809" hidden="1"/>
    <col min="8961" max="8961" width="26.28515625" style="809" hidden="1" customWidth="1"/>
    <col min="8962" max="8962" width="15.85546875" style="809" hidden="1" customWidth="1"/>
    <col min="8963" max="8963" width="68.140625" style="809" hidden="1" customWidth="1"/>
    <col min="8964" max="8964" width="15" style="809" hidden="1" customWidth="1"/>
    <col min="8965" max="8965" width="5.42578125" style="809" hidden="1" customWidth="1"/>
    <col min="8966" max="8967" width="11.42578125" style="809" hidden="1" customWidth="1"/>
    <col min="8968" max="8968" width="0" style="809" hidden="1" customWidth="1"/>
    <col min="8969" max="9216" width="0" style="809" hidden="1"/>
    <col min="9217" max="9217" width="26.28515625" style="809" hidden="1" customWidth="1"/>
    <col min="9218" max="9218" width="15.85546875" style="809" hidden="1" customWidth="1"/>
    <col min="9219" max="9219" width="68.140625" style="809" hidden="1" customWidth="1"/>
    <col min="9220" max="9220" width="15" style="809" hidden="1" customWidth="1"/>
    <col min="9221" max="9221" width="5.42578125" style="809" hidden="1" customWidth="1"/>
    <col min="9222" max="9223" width="11.42578125" style="809" hidden="1" customWidth="1"/>
    <col min="9224" max="9224" width="0" style="809" hidden="1" customWidth="1"/>
    <col min="9225" max="9472" width="0" style="809" hidden="1"/>
    <col min="9473" max="9473" width="26.28515625" style="809" hidden="1" customWidth="1"/>
    <col min="9474" max="9474" width="15.85546875" style="809" hidden="1" customWidth="1"/>
    <col min="9475" max="9475" width="68.140625" style="809" hidden="1" customWidth="1"/>
    <col min="9476" max="9476" width="15" style="809" hidden="1" customWidth="1"/>
    <col min="9477" max="9477" width="5.42578125" style="809" hidden="1" customWidth="1"/>
    <col min="9478" max="9479" width="11.42578125" style="809" hidden="1" customWidth="1"/>
    <col min="9480" max="9480" width="0" style="809" hidden="1" customWidth="1"/>
    <col min="9481" max="9728" width="0" style="809" hidden="1"/>
    <col min="9729" max="9729" width="26.28515625" style="809" hidden="1" customWidth="1"/>
    <col min="9730" max="9730" width="15.85546875" style="809" hidden="1" customWidth="1"/>
    <col min="9731" max="9731" width="68.140625" style="809" hidden="1" customWidth="1"/>
    <col min="9732" max="9732" width="15" style="809" hidden="1" customWidth="1"/>
    <col min="9733" max="9733" width="5.42578125" style="809" hidden="1" customWidth="1"/>
    <col min="9734" max="9735" width="11.42578125" style="809" hidden="1" customWidth="1"/>
    <col min="9736" max="9736" width="0" style="809" hidden="1" customWidth="1"/>
    <col min="9737" max="9984" width="0" style="809" hidden="1"/>
    <col min="9985" max="9985" width="26.28515625" style="809" hidden="1" customWidth="1"/>
    <col min="9986" max="9986" width="15.85546875" style="809" hidden="1" customWidth="1"/>
    <col min="9987" max="9987" width="68.140625" style="809" hidden="1" customWidth="1"/>
    <col min="9988" max="9988" width="15" style="809" hidden="1" customWidth="1"/>
    <col min="9989" max="9989" width="5.42578125" style="809" hidden="1" customWidth="1"/>
    <col min="9990" max="9991" width="11.42578125" style="809" hidden="1" customWidth="1"/>
    <col min="9992" max="9992" width="0" style="809" hidden="1" customWidth="1"/>
    <col min="9993" max="10240" width="0" style="809" hidden="1"/>
    <col min="10241" max="10241" width="26.28515625" style="809" hidden="1" customWidth="1"/>
    <col min="10242" max="10242" width="15.85546875" style="809" hidden="1" customWidth="1"/>
    <col min="10243" max="10243" width="68.140625" style="809" hidden="1" customWidth="1"/>
    <col min="10244" max="10244" width="15" style="809" hidden="1" customWidth="1"/>
    <col min="10245" max="10245" width="5.42578125" style="809" hidden="1" customWidth="1"/>
    <col min="10246" max="10247" width="11.42578125" style="809" hidden="1" customWidth="1"/>
    <col min="10248" max="10248" width="0" style="809" hidden="1" customWidth="1"/>
    <col min="10249" max="10496" width="0" style="809" hidden="1"/>
    <col min="10497" max="10497" width="26.28515625" style="809" hidden="1" customWidth="1"/>
    <col min="10498" max="10498" width="15.85546875" style="809" hidden="1" customWidth="1"/>
    <col min="10499" max="10499" width="68.140625" style="809" hidden="1" customWidth="1"/>
    <col min="10500" max="10500" width="15" style="809" hidden="1" customWidth="1"/>
    <col min="10501" max="10501" width="5.42578125" style="809" hidden="1" customWidth="1"/>
    <col min="10502" max="10503" width="11.42578125" style="809" hidden="1" customWidth="1"/>
    <col min="10504" max="10504" width="0" style="809" hidden="1" customWidth="1"/>
    <col min="10505" max="10752" width="0" style="809" hidden="1"/>
    <col min="10753" max="10753" width="26.28515625" style="809" hidden="1" customWidth="1"/>
    <col min="10754" max="10754" width="15.85546875" style="809" hidden="1" customWidth="1"/>
    <col min="10755" max="10755" width="68.140625" style="809" hidden="1" customWidth="1"/>
    <col min="10756" max="10756" width="15" style="809" hidden="1" customWidth="1"/>
    <col min="10757" max="10757" width="5.42578125" style="809" hidden="1" customWidth="1"/>
    <col min="10758" max="10759" width="11.42578125" style="809" hidden="1" customWidth="1"/>
    <col min="10760" max="10760" width="0" style="809" hidden="1" customWidth="1"/>
    <col min="10761" max="11008" width="0" style="809" hidden="1"/>
    <col min="11009" max="11009" width="26.28515625" style="809" hidden="1" customWidth="1"/>
    <col min="11010" max="11010" width="15.85546875" style="809" hidden="1" customWidth="1"/>
    <col min="11011" max="11011" width="68.140625" style="809" hidden="1" customWidth="1"/>
    <col min="11012" max="11012" width="15" style="809" hidden="1" customWidth="1"/>
    <col min="11013" max="11013" width="5.42578125" style="809" hidden="1" customWidth="1"/>
    <col min="11014" max="11015" width="11.42578125" style="809" hidden="1" customWidth="1"/>
    <col min="11016" max="11016" width="0" style="809" hidden="1" customWidth="1"/>
    <col min="11017" max="11264" width="0" style="809" hidden="1"/>
    <col min="11265" max="11265" width="26.28515625" style="809" hidden="1" customWidth="1"/>
    <col min="11266" max="11266" width="15.85546875" style="809" hidden="1" customWidth="1"/>
    <col min="11267" max="11267" width="68.140625" style="809" hidden="1" customWidth="1"/>
    <col min="11268" max="11268" width="15" style="809" hidden="1" customWidth="1"/>
    <col min="11269" max="11269" width="5.42578125" style="809" hidden="1" customWidth="1"/>
    <col min="11270" max="11271" width="11.42578125" style="809" hidden="1" customWidth="1"/>
    <col min="11272" max="11272" width="0" style="809" hidden="1" customWidth="1"/>
    <col min="11273" max="11520" width="0" style="809" hidden="1"/>
    <col min="11521" max="11521" width="26.28515625" style="809" hidden="1" customWidth="1"/>
    <col min="11522" max="11522" width="15.85546875" style="809" hidden="1" customWidth="1"/>
    <col min="11523" max="11523" width="68.140625" style="809" hidden="1" customWidth="1"/>
    <col min="11524" max="11524" width="15" style="809" hidden="1" customWidth="1"/>
    <col min="11525" max="11525" width="5.42578125" style="809" hidden="1" customWidth="1"/>
    <col min="11526" max="11527" width="11.42578125" style="809" hidden="1" customWidth="1"/>
    <col min="11528" max="11528" width="0" style="809" hidden="1" customWidth="1"/>
    <col min="11529" max="11776" width="0" style="809" hidden="1"/>
    <col min="11777" max="11777" width="26.28515625" style="809" hidden="1" customWidth="1"/>
    <col min="11778" max="11778" width="15.85546875" style="809" hidden="1" customWidth="1"/>
    <col min="11779" max="11779" width="68.140625" style="809" hidden="1" customWidth="1"/>
    <col min="11780" max="11780" width="15" style="809" hidden="1" customWidth="1"/>
    <col min="11781" max="11781" width="5.42578125" style="809" hidden="1" customWidth="1"/>
    <col min="11782" max="11783" width="11.42578125" style="809" hidden="1" customWidth="1"/>
    <col min="11784" max="11784" width="0" style="809" hidden="1" customWidth="1"/>
    <col min="11785" max="12032" width="0" style="809" hidden="1"/>
    <col min="12033" max="12033" width="26.28515625" style="809" hidden="1" customWidth="1"/>
    <col min="12034" max="12034" width="15.85546875" style="809" hidden="1" customWidth="1"/>
    <col min="12035" max="12035" width="68.140625" style="809" hidden="1" customWidth="1"/>
    <col min="12036" max="12036" width="15" style="809" hidden="1" customWidth="1"/>
    <col min="12037" max="12037" width="5.42578125" style="809" hidden="1" customWidth="1"/>
    <col min="12038" max="12039" width="11.42578125" style="809" hidden="1" customWidth="1"/>
    <col min="12040" max="12040" width="0" style="809" hidden="1" customWidth="1"/>
    <col min="12041" max="12288" width="0" style="809" hidden="1"/>
    <col min="12289" max="12289" width="26.28515625" style="809" hidden="1" customWidth="1"/>
    <col min="12290" max="12290" width="15.85546875" style="809" hidden="1" customWidth="1"/>
    <col min="12291" max="12291" width="68.140625" style="809" hidden="1" customWidth="1"/>
    <col min="12292" max="12292" width="15" style="809" hidden="1" customWidth="1"/>
    <col min="12293" max="12293" width="5.42578125" style="809" hidden="1" customWidth="1"/>
    <col min="12294" max="12295" width="11.42578125" style="809" hidden="1" customWidth="1"/>
    <col min="12296" max="12296" width="0" style="809" hidden="1" customWidth="1"/>
    <col min="12297" max="12544" width="0" style="809" hidden="1"/>
    <col min="12545" max="12545" width="26.28515625" style="809" hidden="1" customWidth="1"/>
    <col min="12546" max="12546" width="15.85546875" style="809" hidden="1" customWidth="1"/>
    <col min="12547" max="12547" width="68.140625" style="809" hidden="1" customWidth="1"/>
    <col min="12548" max="12548" width="15" style="809" hidden="1" customWidth="1"/>
    <col min="12549" max="12549" width="5.42578125" style="809" hidden="1" customWidth="1"/>
    <col min="12550" max="12551" width="11.42578125" style="809" hidden="1" customWidth="1"/>
    <col min="12552" max="12552" width="0" style="809" hidden="1" customWidth="1"/>
    <col min="12553" max="12800" width="0" style="809" hidden="1"/>
    <col min="12801" max="12801" width="26.28515625" style="809" hidden="1" customWidth="1"/>
    <col min="12802" max="12802" width="15.85546875" style="809" hidden="1" customWidth="1"/>
    <col min="12803" max="12803" width="68.140625" style="809" hidden="1" customWidth="1"/>
    <col min="12804" max="12804" width="15" style="809" hidden="1" customWidth="1"/>
    <col min="12805" max="12805" width="5.42578125" style="809" hidden="1" customWidth="1"/>
    <col min="12806" max="12807" width="11.42578125" style="809" hidden="1" customWidth="1"/>
    <col min="12808" max="12808" width="0" style="809" hidden="1" customWidth="1"/>
    <col min="12809" max="13056" width="0" style="809" hidden="1"/>
    <col min="13057" max="13057" width="26.28515625" style="809" hidden="1" customWidth="1"/>
    <col min="13058" max="13058" width="15.85546875" style="809" hidden="1" customWidth="1"/>
    <col min="13059" max="13059" width="68.140625" style="809" hidden="1" customWidth="1"/>
    <col min="13060" max="13060" width="15" style="809" hidden="1" customWidth="1"/>
    <col min="13061" max="13061" width="5.42578125" style="809" hidden="1" customWidth="1"/>
    <col min="13062" max="13063" width="11.42578125" style="809" hidden="1" customWidth="1"/>
    <col min="13064" max="13064" width="0" style="809" hidden="1" customWidth="1"/>
    <col min="13065" max="13312" width="0" style="809" hidden="1"/>
    <col min="13313" max="13313" width="26.28515625" style="809" hidden="1" customWidth="1"/>
    <col min="13314" max="13314" width="15.85546875" style="809" hidden="1" customWidth="1"/>
    <col min="13315" max="13315" width="68.140625" style="809" hidden="1" customWidth="1"/>
    <col min="13316" max="13316" width="15" style="809" hidden="1" customWidth="1"/>
    <col min="13317" max="13317" width="5.42578125" style="809" hidden="1" customWidth="1"/>
    <col min="13318" max="13319" width="11.42578125" style="809" hidden="1" customWidth="1"/>
    <col min="13320" max="13320" width="0" style="809" hidden="1" customWidth="1"/>
    <col min="13321" max="13568" width="0" style="809" hidden="1"/>
    <col min="13569" max="13569" width="26.28515625" style="809" hidden="1" customWidth="1"/>
    <col min="13570" max="13570" width="15.85546875" style="809" hidden="1" customWidth="1"/>
    <col min="13571" max="13571" width="68.140625" style="809" hidden="1" customWidth="1"/>
    <col min="13572" max="13572" width="15" style="809" hidden="1" customWidth="1"/>
    <col min="13573" max="13573" width="5.42578125" style="809" hidden="1" customWidth="1"/>
    <col min="13574" max="13575" width="11.42578125" style="809" hidden="1" customWidth="1"/>
    <col min="13576" max="13576" width="0" style="809" hidden="1" customWidth="1"/>
    <col min="13577" max="13824" width="0" style="809" hidden="1"/>
    <col min="13825" max="13825" width="26.28515625" style="809" hidden="1" customWidth="1"/>
    <col min="13826" max="13826" width="15.85546875" style="809" hidden="1" customWidth="1"/>
    <col min="13827" max="13827" width="68.140625" style="809" hidden="1" customWidth="1"/>
    <col min="13828" max="13828" width="15" style="809" hidden="1" customWidth="1"/>
    <col min="13829" max="13829" width="5.42578125" style="809" hidden="1" customWidth="1"/>
    <col min="13830" max="13831" width="11.42578125" style="809" hidden="1" customWidth="1"/>
    <col min="13832" max="13832" width="0" style="809" hidden="1" customWidth="1"/>
    <col min="13833" max="14080" width="0" style="809" hidden="1"/>
    <col min="14081" max="14081" width="26.28515625" style="809" hidden="1" customWidth="1"/>
    <col min="14082" max="14082" width="15.85546875" style="809" hidden="1" customWidth="1"/>
    <col min="14083" max="14083" width="68.140625" style="809" hidden="1" customWidth="1"/>
    <col min="14084" max="14084" width="15" style="809" hidden="1" customWidth="1"/>
    <col min="14085" max="14085" width="5.42578125" style="809" hidden="1" customWidth="1"/>
    <col min="14086" max="14087" width="11.42578125" style="809" hidden="1" customWidth="1"/>
    <col min="14088" max="14088" width="0" style="809" hidden="1" customWidth="1"/>
    <col min="14089" max="14336" width="0" style="809" hidden="1"/>
    <col min="14337" max="14337" width="26.28515625" style="809" hidden="1" customWidth="1"/>
    <col min="14338" max="14338" width="15.85546875" style="809" hidden="1" customWidth="1"/>
    <col min="14339" max="14339" width="68.140625" style="809" hidden="1" customWidth="1"/>
    <col min="14340" max="14340" width="15" style="809" hidden="1" customWidth="1"/>
    <col min="14341" max="14341" width="5.42578125" style="809" hidden="1" customWidth="1"/>
    <col min="14342" max="14343" width="11.42578125" style="809" hidden="1" customWidth="1"/>
    <col min="14344" max="14344" width="0" style="809" hidden="1" customWidth="1"/>
    <col min="14345" max="14592" width="0" style="809" hidden="1"/>
    <col min="14593" max="14593" width="26.28515625" style="809" hidden="1" customWidth="1"/>
    <col min="14594" max="14594" width="15.85546875" style="809" hidden="1" customWidth="1"/>
    <col min="14595" max="14595" width="68.140625" style="809" hidden="1" customWidth="1"/>
    <col min="14596" max="14596" width="15" style="809" hidden="1" customWidth="1"/>
    <col min="14597" max="14597" width="5.42578125" style="809" hidden="1" customWidth="1"/>
    <col min="14598" max="14599" width="11.42578125" style="809" hidden="1" customWidth="1"/>
    <col min="14600" max="14600" width="0" style="809" hidden="1" customWidth="1"/>
    <col min="14601" max="14848" width="0" style="809" hidden="1"/>
    <col min="14849" max="14849" width="26.28515625" style="809" hidden="1" customWidth="1"/>
    <col min="14850" max="14850" width="15.85546875" style="809" hidden="1" customWidth="1"/>
    <col min="14851" max="14851" width="68.140625" style="809" hidden="1" customWidth="1"/>
    <col min="14852" max="14852" width="15" style="809" hidden="1" customWidth="1"/>
    <col min="14853" max="14853" width="5.42578125" style="809" hidden="1" customWidth="1"/>
    <col min="14854" max="14855" width="11.42578125" style="809" hidden="1" customWidth="1"/>
    <col min="14856" max="14856" width="0" style="809" hidden="1" customWidth="1"/>
    <col min="14857" max="15104" width="0" style="809" hidden="1"/>
    <col min="15105" max="15105" width="26.28515625" style="809" hidden="1" customWidth="1"/>
    <col min="15106" max="15106" width="15.85546875" style="809" hidden="1" customWidth="1"/>
    <col min="15107" max="15107" width="68.140625" style="809" hidden="1" customWidth="1"/>
    <col min="15108" max="15108" width="15" style="809" hidden="1" customWidth="1"/>
    <col min="15109" max="15109" width="5.42578125" style="809" hidden="1" customWidth="1"/>
    <col min="15110" max="15111" width="11.42578125" style="809" hidden="1" customWidth="1"/>
    <col min="15112" max="15112" width="0" style="809" hidden="1" customWidth="1"/>
    <col min="15113" max="15360" width="0" style="809" hidden="1"/>
    <col min="15361" max="15361" width="26.28515625" style="809" hidden="1" customWidth="1"/>
    <col min="15362" max="15362" width="15.85546875" style="809" hidden="1" customWidth="1"/>
    <col min="15363" max="15363" width="68.140625" style="809" hidden="1" customWidth="1"/>
    <col min="15364" max="15364" width="15" style="809" hidden="1" customWidth="1"/>
    <col min="15365" max="15365" width="5.42578125" style="809" hidden="1" customWidth="1"/>
    <col min="15366" max="15367" width="11.42578125" style="809" hidden="1" customWidth="1"/>
    <col min="15368" max="15368" width="0" style="809" hidden="1" customWidth="1"/>
    <col min="15369" max="15616" width="0" style="809" hidden="1"/>
    <col min="15617" max="15617" width="26.28515625" style="809" hidden="1" customWidth="1"/>
    <col min="15618" max="15618" width="15.85546875" style="809" hidden="1" customWidth="1"/>
    <col min="15619" max="15619" width="68.140625" style="809" hidden="1" customWidth="1"/>
    <col min="15620" max="15620" width="15" style="809" hidden="1" customWidth="1"/>
    <col min="15621" max="15621" width="5.42578125" style="809" hidden="1" customWidth="1"/>
    <col min="15622" max="15623" width="11.42578125" style="809" hidden="1" customWidth="1"/>
    <col min="15624" max="15624" width="0" style="809" hidden="1" customWidth="1"/>
    <col min="15625" max="15872" width="0" style="809" hidden="1"/>
    <col min="15873" max="15873" width="26.28515625" style="809" hidden="1" customWidth="1"/>
    <col min="15874" max="15874" width="15.85546875" style="809" hidden="1" customWidth="1"/>
    <col min="15875" max="15875" width="68.140625" style="809" hidden="1" customWidth="1"/>
    <col min="15876" max="15876" width="15" style="809" hidden="1" customWidth="1"/>
    <col min="15877" max="15877" width="5.42578125" style="809" hidden="1" customWidth="1"/>
    <col min="15878" max="15879" width="11.42578125" style="809" hidden="1" customWidth="1"/>
    <col min="15880" max="15880" width="0" style="809" hidden="1" customWidth="1"/>
    <col min="15881" max="16128" width="0" style="809" hidden="1"/>
    <col min="16129" max="16129" width="26.28515625" style="809" hidden="1" customWidth="1"/>
    <col min="16130" max="16130" width="15.85546875" style="809" hidden="1" customWidth="1"/>
    <col min="16131" max="16131" width="68.140625" style="809" hidden="1" customWidth="1"/>
    <col min="16132" max="16132" width="15" style="809" hidden="1" customWidth="1"/>
    <col min="16133" max="16133" width="5.42578125" style="809" hidden="1" customWidth="1"/>
    <col min="16134" max="16135" width="11.42578125" style="809" hidden="1" customWidth="1"/>
    <col min="16136" max="16136" width="0" style="809" hidden="1" customWidth="1"/>
    <col min="16137" max="16384" width="0" style="809" hidden="1"/>
  </cols>
  <sheetData>
    <row r="1" spans="1:20" ht="33" customHeight="1" x14ac:dyDescent="0.2">
      <c r="A1" s="808"/>
      <c r="B1" s="808"/>
      <c r="C1" s="808"/>
      <c r="D1" s="808"/>
    </row>
    <row r="2" spans="1:20" ht="33" customHeight="1" x14ac:dyDescent="0.5">
      <c r="A2" s="1774" t="s">
        <v>9798</v>
      </c>
      <c r="B2" s="1774"/>
      <c r="C2" s="1774"/>
      <c r="D2" s="1774"/>
      <c r="E2" s="1774"/>
      <c r="F2" s="1774"/>
      <c r="G2" s="1774"/>
    </row>
    <row r="3" spans="1:20" ht="33" customHeight="1" x14ac:dyDescent="0.4">
      <c r="A3" s="1775" t="str">
        <f>caratula!B26</f>
        <v>PRESUPUESTO  2014</v>
      </c>
      <c r="B3" s="1775"/>
      <c r="C3" s="1775"/>
      <c r="D3" s="1775"/>
      <c r="E3" s="1775"/>
      <c r="F3" s="1775"/>
      <c r="G3" s="1775"/>
    </row>
    <row r="4" spans="1:20" ht="33" customHeight="1" x14ac:dyDescent="0.2">
      <c r="A4" s="810"/>
      <c r="B4" s="810"/>
      <c r="C4" s="810"/>
      <c r="D4" s="810"/>
    </row>
    <row r="5" spans="1:20" ht="33" customHeight="1" x14ac:dyDescent="0.4">
      <c r="A5" s="810"/>
      <c r="B5" s="811"/>
      <c r="C5" s="812" t="s">
        <v>9837</v>
      </c>
      <c r="D5" s="810"/>
    </row>
    <row r="6" spans="1:20" ht="33" customHeight="1" x14ac:dyDescent="0.4">
      <c r="A6" s="810"/>
      <c r="B6" s="811"/>
      <c r="C6" s="811"/>
      <c r="D6" s="810"/>
    </row>
    <row r="7" spans="1:20" ht="33" customHeight="1" x14ac:dyDescent="0.4">
      <c r="A7" s="810"/>
      <c r="B7" s="813">
        <v>1</v>
      </c>
      <c r="C7" s="814" t="s">
        <v>9838</v>
      </c>
      <c r="D7" s="810"/>
      <c r="T7" s="815"/>
    </row>
    <row r="8" spans="1:20" ht="33" customHeight="1" x14ac:dyDescent="0.35">
      <c r="A8" s="810"/>
      <c r="B8" s="816"/>
      <c r="C8" s="817" t="s">
        <v>9839</v>
      </c>
      <c r="D8" s="818"/>
      <c r="T8" s="815"/>
    </row>
    <row r="9" spans="1:20" ht="33" customHeight="1" x14ac:dyDescent="0.4">
      <c r="A9" s="810"/>
      <c r="B9" s="813">
        <v>2</v>
      </c>
      <c r="C9" s="813" t="s">
        <v>9840</v>
      </c>
      <c r="D9" s="819"/>
      <c r="T9" s="815"/>
    </row>
    <row r="10" spans="1:20" ht="33" customHeight="1" x14ac:dyDescent="0.35">
      <c r="A10" s="810"/>
      <c r="B10" s="816"/>
      <c r="C10" s="817" t="s">
        <v>9841</v>
      </c>
      <c r="D10" s="818"/>
      <c r="T10" s="815"/>
    </row>
    <row r="11" spans="1:20" ht="33" customHeight="1" x14ac:dyDescent="0.35">
      <c r="A11" s="810"/>
      <c r="B11" s="816"/>
      <c r="C11" s="817" t="s">
        <v>9842</v>
      </c>
      <c r="D11" s="818"/>
      <c r="T11" s="815"/>
    </row>
    <row r="12" spans="1:20" ht="33" hidden="1" customHeight="1" x14ac:dyDescent="0.35">
      <c r="A12" s="810"/>
      <c r="B12" s="816"/>
      <c r="C12" s="817" t="s">
        <v>9843</v>
      </c>
      <c r="D12" s="818"/>
      <c r="T12" s="815"/>
    </row>
    <row r="13" spans="1:20" ht="33" customHeight="1" x14ac:dyDescent="0.35">
      <c r="A13" s="810"/>
      <c r="B13" s="816"/>
      <c r="C13" s="817" t="s">
        <v>9844</v>
      </c>
      <c r="D13" s="818"/>
      <c r="T13" s="815"/>
    </row>
    <row r="14" spans="1:20" ht="33" customHeight="1" x14ac:dyDescent="0.4">
      <c r="A14" s="810"/>
      <c r="B14" s="813">
        <v>3</v>
      </c>
      <c r="C14" s="813" t="s">
        <v>9845</v>
      </c>
      <c r="D14" s="820"/>
      <c r="T14" s="815"/>
    </row>
    <row r="15" spans="1:20" ht="33" customHeight="1" x14ac:dyDescent="0.35">
      <c r="A15" s="810"/>
      <c r="B15" s="816"/>
      <c r="C15" s="817" t="s">
        <v>9961</v>
      </c>
      <c r="D15" s="818"/>
      <c r="T15" s="815"/>
    </row>
    <row r="16" spans="1:20" ht="33" customHeight="1" x14ac:dyDescent="0.35">
      <c r="A16" s="810"/>
      <c r="B16" s="816"/>
      <c r="C16" s="817" t="s">
        <v>9846</v>
      </c>
      <c r="D16" s="810"/>
      <c r="T16" s="815"/>
    </row>
    <row r="17" spans="1:20" ht="33" customHeight="1" x14ac:dyDescent="0.35">
      <c r="A17" s="810"/>
      <c r="B17" s="816"/>
      <c r="C17" s="817" t="s">
        <v>9847</v>
      </c>
      <c r="D17" s="810"/>
      <c r="T17" s="815"/>
    </row>
    <row r="18" spans="1:20" ht="33" customHeight="1" x14ac:dyDescent="0.35">
      <c r="A18" s="810"/>
      <c r="B18" s="816"/>
      <c r="C18" s="817" t="s">
        <v>9848</v>
      </c>
      <c r="D18" s="810"/>
      <c r="T18" s="815"/>
    </row>
    <row r="19" spans="1:20" ht="33" customHeight="1" x14ac:dyDescent="0.35">
      <c r="A19" s="810"/>
      <c r="B19" s="816"/>
      <c r="C19" s="817" t="s">
        <v>9849</v>
      </c>
      <c r="D19" s="810"/>
      <c r="T19" s="815"/>
    </row>
    <row r="20" spans="1:20" ht="33" hidden="1" customHeight="1" x14ac:dyDescent="0.35">
      <c r="A20" s="810"/>
      <c r="B20" s="816"/>
      <c r="C20" s="817" t="s">
        <v>9850</v>
      </c>
      <c r="D20" s="810"/>
      <c r="T20" s="815"/>
    </row>
    <row r="21" spans="1:20" ht="33" customHeight="1" x14ac:dyDescent="0.3">
      <c r="A21" s="810"/>
      <c r="B21" s="821"/>
      <c r="C21" s="817" t="s">
        <v>9851</v>
      </c>
      <c r="D21" s="810"/>
      <c r="T21" s="815"/>
    </row>
    <row r="22" spans="1:20" ht="33" customHeight="1" x14ac:dyDescent="0.3">
      <c r="A22" s="810"/>
      <c r="B22" s="810"/>
      <c r="C22" s="823" t="s">
        <v>9852</v>
      </c>
      <c r="D22" s="822"/>
      <c r="T22" s="815"/>
    </row>
    <row r="23" spans="1:20" ht="33" customHeight="1" x14ac:dyDescent="0.3">
      <c r="C23" s="823" t="s">
        <v>9853</v>
      </c>
      <c r="T23" s="815"/>
    </row>
    <row r="24" spans="1:20" ht="33" customHeight="1" x14ac:dyDescent="0.3">
      <c r="C24" s="823" t="s">
        <v>9984</v>
      </c>
      <c r="T24" s="815"/>
    </row>
    <row r="25" spans="1:20" ht="33" customHeight="1" x14ac:dyDescent="0.3">
      <c r="C25" s="823" t="s">
        <v>9985</v>
      </c>
      <c r="T25" s="815"/>
    </row>
    <row r="26" spans="1:20" ht="33" customHeight="1" x14ac:dyDescent="0.2">
      <c r="T26" s="815"/>
    </row>
    <row r="27" spans="1:20" ht="33" customHeight="1" x14ac:dyDescent="0.3">
      <c r="C27" s="823"/>
      <c r="T27" s="815"/>
    </row>
    <row r="28" spans="1:20" x14ac:dyDescent="0.2">
      <c r="T28" s="815"/>
    </row>
    <row r="29" spans="1:20" x14ac:dyDescent="0.2">
      <c r="T29" s="815"/>
    </row>
    <row r="30" spans="1:20" hidden="1" x14ac:dyDescent="0.2">
      <c r="T30" s="815"/>
    </row>
    <row r="31" spans="1:20" hidden="1" x14ac:dyDescent="0.2">
      <c r="T31" s="815"/>
    </row>
    <row r="32" spans="1:20" hidden="1" x14ac:dyDescent="0.2">
      <c r="T32" s="815"/>
    </row>
    <row r="33" spans="20:20" hidden="1" x14ac:dyDescent="0.2">
      <c r="T33" s="815"/>
    </row>
    <row r="34" spans="20:20" hidden="1" x14ac:dyDescent="0.2">
      <c r="T34" s="815"/>
    </row>
    <row r="35" spans="20:20" hidden="1" x14ac:dyDescent="0.2">
      <c r="T35" s="815"/>
    </row>
    <row r="36" spans="20:20" hidden="1" x14ac:dyDescent="0.2">
      <c r="T36" s="815"/>
    </row>
    <row r="37" spans="20:20" hidden="1" x14ac:dyDescent="0.2">
      <c r="T37" s="815"/>
    </row>
    <row r="38" spans="20:20" hidden="1" x14ac:dyDescent="0.2">
      <c r="T38" s="815"/>
    </row>
    <row r="39" spans="20:20" hidden="1" x14ac:dyDescent="0.2">
      <c r="T39" s="815"/>
    </row>
    <row r="40" spans="20:20" hidden="1" x14ac:dyDescent="0.2">
      <c r="T40" s="815"/>
    </row>
    <row r="41" spans="20:20" hidden="1" x14ac:dyDescent="0.2">
      <c r="T41" s="815"/>
    </row>
    <row r="42" spans="20:20" hidden="1" x14ac:dyDescent="0.2">
      <c r="T42" s="815"/>
    </row>
    <row r="43" spans="20:20" hidden="1" x14ac:dyDescent="0.2">
      <c r="T43" s="815"/>
    </row>
    <row r="44" spans="20:20" hidden="1" x14ac:dyDescent="0.2">
      <c r="T44" s="815"/>
    </row>
    <row r="45" spans="20:20" hidden="1" x14ac:dyDescent="0.2">
      <c r="T45" s="815"/>
    </row>
    <row r="46" spans="20:20" hidden="1" x14ac:dyDescent="0.2">
      <c r="T46" s="815"/>
    </row>
    <row r="47" spans="20:20" hidden="1" x14ac:dyDescent="0.2">
      <c r="T47" s="815"/>
    </row>
    <row r="48" spans="20:20" hidden="1" x14ac:dyDescent="0.2">
      <c r="T48" s="815"/>
    </row>
    <row r="49" spans="20:20" hidden="1" x14ac:dyDescent="0.2">
      <c r="T49" s="815"/>
    </row>
    <row r="50" spans="20:20" hidden="1" x14ac:dyDescent="0.2"/>
    <row r="51" spans="20:20" hidden="1" x14ac:dyDescent="0.2"/>
    <row r="52" spans="20:20" hidden="1" x14ac:dyDescent="0.2"/>
    <row r="53" spans="20:20" hidden="1" x14ac:dyDescent="0.2"/>
    <row r="54" spans="20:20" hidden="1" x14ac:dyDescent="0.2"/>
    <row r="55" spans="20:20" hidden="1" x14ac:dyDescent="0.2"/>
    <row r="56" spans="20:20" hidden="1" x14ac:dyDescent="0.2"/>
    <row r="57" spans="20:20" hidden="1" x14ac:dyDescent="0.2"/>
    <row r="58" spans="20:20" hidden="1" x14ac:dyDescent="0.2"/>
    <row r="59" spans="20:20" hidden="1" x14ac:dyDescent="0.2">
      <c r="T59" s="815"/>
    </row>
    <row r="60" spans="20:20" hidden="1" x14ac:dyDescent="0.2">
      <c r="T60" s="815"/>
    </row>
    <row r="61" spans="20:20" hidden="1" x14ac:dyDescent="0.2">
      <c r="T61" s="815"/>
    </row>
    <row r="62" spans="20:20" hidden="1" x14ac:dyDescent="0.2">
      <c r="T62" s="815"/>
    </row>
    <row r="63" spans="20:20" hidden="1" x14ac:dyDescent="0.2">
      <c r="T63" s="815"/>
    </row>
    <row r="64" spans="20:20" hidden="1" x14ac:dyDescent="0.2">
      <c r="T64" s="815"/>
    </row>
    <row r="65" spans="20:20" hidden="1" x14ac:dyDescent="0.2">
      <c r="T65" s="815"/>
    </row>
    <row r="66" spans="20:20" hidden="1" x14ac:dyDescent="0.2">
      <c r="T66" s="815"/>
    </row>
    <row r="67" spans="20:20" hidden="1" x14ac:dyDescent="0.2">
      <c r="T67" s="815"/>
    </row>
    <row r="68" spans="20:20" hidden="1" x14ac:dyDescent="0.2">
      <c r="T68" s="815"/>
    </row>
    <row r="69" spans="20:20" hidden="1" x14ac:dyDescent="0.2">
      <c r="T69" s="815"/>
    </row>
    <row r="70" spans="20:20" hidden="1" x14ac:dyDescent="0.2">
      <c r="T70" s="815"/>
    </row>
    <row r="71" spans="20:20" hidden="1" x14ac:dyDescent="0.2">
      <c r="T71" s="815"/>
    </row>
    <row r="72" spans="20:20" hidden="1" x14ac:dyDescent="0.2">
      <c r="T72" s="815"/>
    </row>
    <row r="73" spans="20:20" hidden="1" x14ac:dyDescent="0.2">
      <c r="T73" s="815"/>
    </row>
    <row r="74" spans="20:20" hidden="1" x14ac:dyDescent="0.2">
      <c r="T74" s="815"/>
    </row>
    <row r="75" spans="20:20" hidden="1" x14ac:dyDescent="0.2">
      <c r="T75" s="815"/>
    </row>
    <row r="76" spans="20:20" hidden="1" x14ac:dyDescent="0.2">
      <c r="T76" s="815"/>
    </row>
    <row r="77" spans="20:20" hidden="1" x14ac:dyDescent="0.2">
      <c r="T77" s="815"/>
    </row>
    <row r="78" spans="20:20" hidden="1" x14ac:dyDescent="0.2">
      <c r="T78" s="815"/>
    </row>
    <row r="79" spans="20:20" hidden="1" x14ac:dyDescent="0.2">
      <c r="T79" s="815"/>
    </row>
    <row r="80" spans="20:20" hidden="1" x14ac:dyDescent="0.2">
      <c r="T80" s="815"/>
    </row>
    <row r="81" spans="20:20" hidden="1" x14ac:dyDescent="0.2">
      <c r="T81" s="815"/>
    </row>
    <row r="82" spans="20:20" hidden="1" x14ac:dyDescent="0.2">
      <c r="T82" s="815"/>
    </row>
    <row r="83" spans="20:20" hidden="1" x14ac:dyDescent="0.2">
      <c r="T83" s="815"/>
    </row>
    <row r="84" spans="20:20" hidden="1" x14ac:dyDescent="0.2">
      <c r="T84" s="815"/>
    </row>
    <row r="85" spans="20:20" hidden="1" x14ac:dyDescent="0.2">
      <c r="T85" s="815"/>
    </row>
    <row r="86" spans="20:20" hidden="1" x14ac:dyDescent="0.2">
      <c r="T86" s="815"/>
    </row>
    <row r="87" spans="20:20" hidden="1" x14ac:dyDescent="0.2">
      <c r="T87" s="815"/>
    </row>
    <row r="88" spans="20:20" hidden="1" x14ac:dyDescent="0.2">
      <c r="T88" s="815"/>
    </row>
    <row r="89" spans="20:20" hidden="1" x14ac:dyDescent="0.2">
      <c r="T89" s="815"/>
    </row>
    <row r="90" spans="20:20" hidden="1" x14ac:dyDescent="0.2">
      <c r="T90" s="815"/>
    </row>
    <row r="91" spans="20:20" hidden="1" x14ac:dyDescent="0.2">
      <c r="T91" s="815"/>
    </row>
    <row r="92" spans="20:20" hidden="1" x14ac:dyDescent="0.2">
      <c r="T92" s="815"/>
    </row>
    <row r="93" spans="20:20" hidden="1" x14ac:dyDescent="0.2">
      <c r="T93" s="815"/>
    </row>
    <row r="94" spans="20:20" hidden="1" x14ac:dyDescent="0.2">
      <c r="T94" s="815"/>
    </row>
    <row r="95" spans="20:20" hidden="1" x14ac:dyDescent="0.2">
      <c r="T95" s="815"/>
    </row>
    <row r="96" spans="20:20" hidden="1" x14ac:dyDescent="0.2">
      <c r="T96" s="815"/>
    </row>
    <row r="97" spans="20:20" hidden="1" x14ac:dyDescent="0.2">
      <c r="T97" s="815"/>
    </row>
  </sheetData>
  <mergeCells count="2">
    <mergeCell ref="A2:G2"/>
    <mergeCell ref="A3:G3"/>
  </mergeCells>
  <phoneticPr fontId="0" type="noConversion"/>
  <printOptions horizontalCentered="1" verticalCentered="1"/>
  <pageMargins left="0.98425196850393704" right="0.75" top="1" bottom="1" header="0" footer="0"/>
  <pageSetup scale="57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2060"/>
  </sheetPr>
  <dimension ref="A1:WVM97"/>
  <sheetViews>
    <sheetView zoomScaleNormal="100" workbookViewId="0">
      <selection activeCell="B42" sqref="B42"/>
    </sheetView>
  </sheetViews>
  <sheetFormatPr baseColWidth="10" defaultColWidth="0" defaultRowHeight="12.75" zeroHeight="1" x14ac:dyDescent="0.2"/>
  <cols>
    <col min="1" max="1" width="45.42578125" style="809" customWidth="1"/>
    <col min="2" max="2" width="16.5703125" style="869" customWidth="1"/>
    <col min="3" max="3" width="40.7109375" style="809" customWidth="1"/>
    <col min="4" max="4" width="11.42578125" style="809" customWidth="1"/>
    <col min="5" max="5" width="11.42578125" style="809" hidden="1" customWidth="1"/>
    <col min="6" max="256" width="0" style="809" hidden="1"/>
    <col min="257" max="257" width="45.42578125" style="809" hidden="1" customWidth="1"/>
    <col min="258" max="258" width="15" style="809" hidden="1" customWidth="1"/>
    <col min="259" max="259" width="40.7109375" style="809" hidden="1" customWidth="1"/>
    <col min="260" max="261" width="11.42578125" style="809" hidden="1" customWidth="1"/>
    <col min="262" max="512" width="0" style="809" hidden="1"/>
    <col min="513" max="513" width="45.42578125" style="809" hidden="1" customWidth="1"/>
    <col min="514" max="514" width="15" style="809" hidden="1" customWidth="1"/>
    <col min="515" max="515" width="40.7109375" style="809" hidden="1" customWidth="1"/>
    <col min="516" max="517" width="11.42578125" style="809" hidden="1" customWidth="1"/>
    <col min="518" max="768" width="0" style="809" hidden="1"/>
    <col min="769" max="769" width="45.42578125" style="809" hidden="1" customWidth="1"/>
    <col min="770" max="770" width="15" style="809" hidden="1" customWidth="1"/>
    <col min="771" max="771" width="40.7109375" style="809" hidden="1" customWidth="1"/>
    <col min="772" max="773" width="11.42578125" style="809" hidden="1" customWidth="1"/>
    <col min="774" max="1024" width="0" style="809" hidden="1"/>
    <col min="1025" max="1025" width="45.42578125" style="809" hidden="1" customWidth="1"/>
    <col min="1026" max="1026" width="15" style="809" hidden="1" customWidth="1"/>
    <col min="1027" max="1027" width="40.7109375" style="809" hidden="1" customWidth="1"/>
    <col min="1028" max="1029" width="11.42578125" style="809" hidden="1" customWidth="1"/>
    <col min="1030" max="1280" width="0" style="809" hidden="1"/>
    <col min="1281" max="1281" width="45.42578125" style="809" hidden="1" customWidth="1"/>
    <col min="1282" max="1282" width="15" style="809" hidden="1" customWidth="1"/>
    <col min="1283" max="1283" width="40.7109375" style="809" hidden="1" customWidth="1"/>
    <col min="1284" max="1285" width="11.42578125" style="809" hidden="1" customWidth="1"/>
    <col min="1286" max="1536" width="0" style="809" hidden="1"/>
    <col min="1537" max="1537" width="45.42578125" style="809" hidden="1" customWidth="1"/>
    <col min="1538" max="1538" width="15" style="809" hidden="1" customWidth="1"/>
    <col min="1539" max="1539" width="40.7109375" style="809" hidden="1" customWidth="1"/>
    <col min="1540" max="1541" width="11.42578125" style="809" hidden="1" customWidth="1"/>
    <col min="1542" max="1792" width="0" style="809" hidden="1"/>
    <col min="1793" max="1793" width="45.42578125" style="809" hidden="1" customWidth="1"/>
    <col min="1794" max="1794" width="15" style="809" hidden="1" customWidth="1"/>
    <col min="1795" max="1795" width="40.7109375" style="809" hidden="1" customWidth="1"/>
    <col min="1796" max="1797" width="11.42578125" style="809" hidden="1" customWidth="1"/>
    <col min="1798" max="2048" width="0" style="809" hidden="1"/>
    <col min="2049" max="2049" width="45.42578125" style="809" hidden="1" customWidth="1"/>
    <col min="2050" max="2050" width="15" style="809" hidden="1" customWidth="1"/>
    <col min="2051" max="2051" width="40.7109375" style="809" hidden="1" customWidth="1"/>
    <col min="2052" max="2053" width="11.42578125" style="809" hidden="1" customWidth="1"/>
    <col min="2054" max="2304" width="0" style="809" hidden="1"/>
    <col min="2305" max="2305" width="45.42578125" style="809" hidden="1" customWidth="1"/>
    <col min="2306" max="2306" width="15" style="809" hidden="1" customWidth="1"/>
    <col min="2307" max="2307" width="40.7109375" style="809" hidden="1" customWidth="1"/>
    <col min="2308" max="2309" width="11.42578125" style="809" hidden="1" customWidth="1"/>
    <col min="2310" max="2560" width="0" style="809" hidden="1"/>
    <col min="2561" max="2561" width="45.42578125" style="809" hidden="1" customWidth="1"/>
    <col min="2562" max="2562" width="15" style="809" hidden="1" customWidth="1"/>
    <col min="2563" max="2563" width="40.7109375" style="809" hidden="1" customWidth="1"/>
    <col min="2564" max="2565" width="11.42578125" style="809" hidden="1" customWidth="1"/>
    <col min="2566" max="2816" width="0" style="809" hidden="1"/>
    <col min="2817" max="2817" width="45.42578125" style="809" hidden="1" customWidth="1"/>
    <col min="2818" max="2818" width="15" style="809" hidden="1" customWidth="1"/>
    <col min="2819" max="2819" width="40.7109375" style="809" hidden="1" customWidth="1"/>
    <col min="2820" max="2821" width="11.42578125" style="809" hidden="1" customWidth="1"/>
    <col min="2822" max="3072" width="0" style="809" hidden="1"/>
    <col min="3073" max="3073" width="45.42578125" style="809" hidden="1" customWidth="1"/>
    <col min="3074" max="3074" width="15" style="809" hidden="1" customWidth="1"/>
    <col min="3075" max="3075" width="40.7109375" style="809" hidden="1" customWidth="1"/>
    <col min="3076" max="3077" width="11.42578125" style="809" hidden="1" customWidth="1"/>
    <col min="3078" max="3328" width="0" style="809" hidden="1"/>
    <col min="3329" max="3329" width="45.42578125" style="809" hidden="1" customWidth="1"/>
    <col min="3330" max="3330" width="15" style="809" hidden="1" customWidth="1"/>
    <col min="3331" max="3331" width="40.7109375" style="809" hidden="1" customWidth="1"/>
    <col min="3332" max="3333" width="11.42578125" style="809" hidden="1" customWidth="1"/>
    <col min="3334" max="3584" width="0" style="809" hidden="1"/>
    <col min="3585" max="3585" width="45.42578125" style="809" hidden="1" customWidth="1"/>
    <col min="3586" max="3586" width="15" style="809" hidden="1" customWidth="1"/>
    <col min="3587" max="3587" width="40.7109375" style="809" hidden="1" customWidth="1"/>
    <col min="3588" max="3589" width="11.42578125" style="809" hidden="1" customWidth="1"/>
    <col min="3590" max="3840" width="0" style="809" hidden="1"/>
    <col min="3841" max="3841" width="45.42578125" style="809" hidden="1" customWidth="1"/>
    <col min="3842" max="3842" width="15" style="809" hidden="1" customWidth="1"/>
    <col min="3843" max="3843" width="40.7109375" style="809" hidden="1" customWidth="1"/>
    <col min="3844" max="3845" width="11.42578125" style="809" hidden="1" customWidth="1"/>
    <col min="3846" max="4096" width="0" style="809" hidden="1"/>
    <col min="4097" max="4097" width="45.42578125" style="809" hidden="1" customWidth="1"/>
    <col min="4098" max="4098" width="15" style="809" hidden="1" customWidth="1"/>
    <col min="4099" max="4099" width="40.7109375" style="809" hidden="1" customWidth="1"/>
    <col min="4100" max="4101" width="11.42578125" style="809" hidden="1" customWidth="1"/>
    <col min="4102" max="4352" width="0" style="809" hidden="1"/>
    <col min="4353" max="4353" width="45.42578125" style="809" hidden="1" customWidth="1"/>
    <col min="4354" max="4354" width="15" style="809" hidden="1" customWidth="1"/>
    <col min="4355" max="4355" width="40.7109375" style="809" hidden="1" customWidth="1"/>
    <col min="4356" max="4357" width="11.42578125" style="809" hidden="1" customWidth="1"/>
    <col min="4358" max="4608" width="0" style="809" hidden="1"/>
    <col min="4609" max="4609" width="45.42578125" style="809" hidden="1" customWidth="1"/>
    <col min="4610" max="4610" width="15" style="809" hidden="1" customWidth="1"/>
    <col min="4611" max="4611" width="40.7109375" style="809" hidden="1" customWidth="1"/>
    <col min="4612" max="4613" width="11.42578125" style="809" hidden="1" customWidth="1"/>
    <col min="4614" max="4864" width="0" style="809" hidden="1"/>
    <col min="4865" max="4865" width="45.42578125" style="809" hidden="1" customWidth="1"/>
    <col min="4866" max="4866" width="15" style="809" hidden="1" customWidth="1"/>
    <col min="4867" max="4867" width="40.7109375" style="809" hidden="1" customWidth="1"/>
    <col min="4868" max="4869" width="11.42578125" style="809" hidden="1" customWidth="1"/>
    <col min="4870" max="5120" width="0" style="809" hidden="1"/>
    <col min="5121" max="5121" width="45.42578125" style="809" hidden="1" customWidth="1"/>
    <col min="5122" max="5122" width="15" style="809" hidden="1" customWidth="1"/>
    <col min="5123" max="5123" width="40.7109375" style="809" hidden="1" customWidth="1"/>
    <col min="5124" max="5125" width="11.42578125" style="809" hidden="1" customWidth="1"/>
    <col min="5126" max="5376" width="0" style="809" hidden="1"/>
    <col min="5377" max="5377" width="45.42578125" style="809" hidden="1" customWidth="1"/>
    <col min="5378" max="5378" width="15" style="809" hidden="1" customWidth="1"/>
    <col min="5379" max="5379" width="40.7109375" style="809" hidden="1" customWidth="1"/>
    <col min="5380" max="5381" width="11.42578125" style="809" hidden="1" customWidth="1"/>
    <col min="5382" max="5632" width="0" style="809" hidden="1"/>
    <col min="5633" max="5633" width="45.42578125" style="809" hidden="1" customWidth="1"/>
    <col min="5634" max="5634" width="15" style="809" hidden="1" customWidth="1"/>
    <col min="5635" max="5635" width="40.7109375" style="809" hidden="1" customWidth="1"/>
    <col min="5636" max="5637" width="11.42578125" style="809" hidden="1" customWidth="1"/>
    <col min="5638" max="5888" width="0" style="809" hidden="1"/>
    <col min="5889" max="5889" width="45.42578125" style="809" hidden="1" customWidth="1"/>
    <col min="5890" max="5890" width="15" style="809" hidden="1" customWidth="1"/>
    <col min="5891" max="5891" width="40.7109375" style="809" hidden="1" customWidth="1"/>
    <col min="5892" max="5893" width="11.42578125" style="809" hidden="1" customWidth="1"/>
    <col min="5894" max="6144" width="0" style="809" hidden="1"/>
    <col min="6145" max="6145" width="45.42578125" style="809" hidden="1" customWidth="1"/>
    <col min="6146" max="6146" width="15" style="809" hidden="1" customWidth="1"/>
    <col min="6147" max="6147" width="40.7109375" style="809" hidden="1" customWidth="1"/>
    <col min="6148" max="6149" width="11.42578125" style="809" hidden="1" customWidth="1"/>
    <col min="6150" max="6400" width="0" style="809" hidden="1"/>
    <col min="6401" max="6401" width="45.42578125" style="809" hidden="1" customWidth="1"/>
    <col min="6402" max="6402" width="15" style="809" hidden="1" customWidth="1"/>
    <col min="6403" max="6403" width="40.7109375" style="809" hidden="1" customWidth="1"/>
    <col min="6404" max="6405" width="11.42578125" style="809" hidden="1" customWidth="1"/>
    <col min="6406" max="6656" width="0" style="809" hidden="1"/>
    <col min="6657" max="6657" width="45.42578125" style="809" hidden="1" customWidth="1"/>
    <col min="6658" max="6658" width="15" style="809" hidden="1" customWidth="1"/>
    <col min="6659" max="6659" width="40.7109375" style="809" hidden="1" customWidth="1"/>
    <col min="6660" max="6661" width="11.42578125" style="809" hidden="1" customWidth="1"/>
    <col min="6662" max="6912" width="0" style="809" hidden="1"/>
    <col min="6913" max="6913" width="45.42578125" style="809" hidden="1" customWidth="1"/>
    <col min="6914" max="6914" width="15" style="809" hidden="1" customWidth="1"/>
    <col min="6915" max="6915" width="40.7109375" style="809" hidden="1" customWidth="1"/>
    <col min="6916" max="6917" width="11.42578125" style="809" hidden="1" customWidth="1"/>
    <col min="6918" max="7168" width="0" style="809" hidden="1"/>
    <col min="7169" max="7169" width="45.42578125" style="809" hidden="1" customWidth="1"/>
    <col min="7170" max="7170" width="15" style="809" hidden="1" customWidth="1"/>
    <col min="7171" max="7171" width="40.7109375" style="809" hidden="1" customWidth="1"/>
    <col min="7172" max="7173" width="11.42578125" style="809" hidden="1" customWidth="1"/>
    <col min="7174" max="7424" width="0" style="809" hidden="1"/>
    <col min="7425" max="7425" width="45.42578125" style="809" hidden="1" customWidth="1"/>
    <col min="7426" max="7426" width="15" style="809" hidden="1" customWidth="1"/>
    <col min="7427" max="7427" width="40.7109375" style="809" hidden="1" customWidth="1"/>
    <col min="7428" max="7429" width="11.42578125" style="809" hidden="1" customWidth="1"/>
    <col min="7430" max="7680" width="0" style="809" hidden="1"/>
    <col min="7681" max="7681" width="45.42578125" style="809" hidden="1" customWidth="1"/>
    <col min="7682" max="7682" width="15" style="809" hidden="1" customWidth="1"/>
    <col min="7683" max="7683" width="40.7109375" style="809" hidden="1" customWidth="1"/>
    <col min="7684" max="7685" width="11.42578125" style="809" hidden="1" customWidth="1"/>
    <col min="7686" max="7936" width="0" style="809" hidden="1"/>
    <col min="7937" max="7937" width="45.42578125" style="809" hidden="1" customWidth="1"/>
    <col min="7938" max="7938" width="15" style="809" hidden="1" customWidth="1"/>
    <col min="7939" max="7939" width="40.7109375" style="809" hidden="1" customWidth="1"/>
    <col min="7940" max="7941" width="11.42578125" style="809" hidden="1" customWidth="1"/>
    <col min="7942" max="8192" width="0" style="809" hidden="1"/>
    <col min="8193" max="8193" width="45.42578125" style="809" hidden="1" customWidth="1"/>
    <col min="8194" max="8194" width="15" style="809" hidden="1" customWidth="1"/>
    <col min="8195" max="8195" width="40.7109375" style="809" hidden="1" customWidth="1"/>
    <col min="8196" max="8197" width="11.42578125" style="809" hidden="1" customWidth="1"/>
    <col min="8198" max="8448" width="0" style="809" hidden="1"/>
    <col min="8449" max="8449" width="45.42578125" style="809" hidden="1" customWidth="1"/>
    <col min="8450" max="8450" width="15" style="809" hidden="1" customWidth="1"/>
    <col min="8451" max="8451" width="40.7109375" style="809" hidden="1" customWidth="1"/>
    <col min="8452" max="8453" width="11.42578125" style="809" hidden="1" customWidth="1"/>
    <col min="8454" max="8704" width="0" style="809" hidden="1"/>
    <col min="8705" max="8705" width="45.42578125" style="809" hidden="1" customWidth="1"/>
    <col min="8706" max="8706" width="15" style="809" hidden="1" customWidth="1"/>
    <col min="8707" max="8707" width="40.7109375" style="809" hidden="1" customWidth="1"/>
    <col min="8708" max="8709" width="11.42578125" style="809" hidden="1" customWidth="1"/>
    <col min="8710" max="8960" width="0" style="809" hidden="1"/>
    <col min="8961" max="8961" width="45.42578125" style="809" hidden="1" customWidth="1"/>
    <col min="8962" max="8962" width="15" style="809" hidden="1" customWidth="1"/>
    <col min="8963" max="8963" width="40.7109375" style="809" hidden="1" customWidth="1"/>
    <col min="8964" max="8965" width="11.42578125" style="809" hidden="1" customWidth="1"/>
    <col min="8966" max="9216" width="0" style="809" hidden="1"/>
    <col min="9217" max="9217" width="45.42578125" style="809" hidden="1" customWidth="1"/>
    <col min="9218" max="9218" width="15" style="809" hidden="1" customWidth="1"/>
    <col min="9219" max="9219" width="40.7109375" style="809" hidden="1" customWidth="1"/>
    <col min="9220" max="9221" width="11.42578125" style="809" hidden="1" customWidth="1"/>
    <col min="9222" max="9472" width="0" style="809" hidden="1"/>
    <col min="9473" max="9473" width="45.42578125" style="809" hidden="1" customWidth="1"/>
    <col min="9474" max="9474" width="15" style="809" hidden="1" customWidth="1"/>
    <col min="9475" max="9475" width="40.7109375" style="809" hidden="1" customWidth="1"/>
    <col min="9476" max="9477" width="11.42578125" style="809" hidden="1" customWidth="1"/>
    <col min="9478" max="9728" width="0" style="809" hidden="1"/>
    <col min="9729" max="9729" width="45.42578125" style="809" hidden="1" customWidth="1"/>
    <col min="9730" max="9730" width="15" style="809" hidden="1" customWidth="1"/>
    <col min="9731" max="9731" width="40.7109375" style="809" hidden="1" customWidth="1"/>
    <col min="9732" max="9733" width="11.42578125" style="809" hidden="1" customWidth="1"/>
    <col min="9734" max="9984" width="0" style="809" hidden="1"/>
    <col min="9985" max="9985" width="45.42578125" style="809" hidden="1" customWidth="1"/>
    <col min="9986" max="9986" width="15" style="809" hidden="1" customWidth="1"/>
    <col min="9987" max="9987" width="40.7109375" style="809" hidden="1" customWidth="1"/>
    <col min="9988" max="9989" width="11.42578125" style="809" hidden="1" customWidth="1"/>
    <col min="9990" max="10240" width="0" style="809" hidden="1"/>
    <col min="10241" max="10241" width="45.42578125" style="809" hidden="1" customWidth="1"/>
    <col min="10242" max="10242" width="15" style="809" hidden="1" customWidth="1"/>
    <col min="10243" max="10243" width="40.7109375" style="809" hidden="1" customWidth="1"/>
    <col min="10244" max="10245" width="11.42578125" style="809" hidden="1" customWidth="1"/>
    <col min="10246" max="10496" width="0" style="809" hidden="1"/>
    <col min="10497" max="10497" width="45.42578125" style="809" hidden="1" customWidth="1"/>
    <col min="10498" max="10498" width="15" style="809" hidden="1" customWidth="1"/>
    <col min="10499" max="10499" width="40.7109375" style="809" hidden="1" customWidth="1"/>
    <col min="10500" max="10501" width="11.42578125" style="809" hidden="1" customWidth="1"/>
    <col min="10502" max="10752" width="0" style="809" hidden="1"/>
    <col min="10753" max="10753" width="45.42578125" style="809" hidden="1" customWidth="1"/>
    <col min="10754" max="10754" width="15" style="809" hidden="1" customWidth="1"/>
    <col min="10755" max="10755" width="40.7109375" style="809" hidden="1" customWidth="1"/>
    <col min="10756" max="10757" width="11.42578125" style="809" hidden="1" customWidth="1"/>
    <col min="10758" max="11008" width="0" style="809" hidden="1"/>
    <col min="11009" max="11009" width="45.42578125" style="809" hidden="1" customWidth="1"/>
    <col min="11010" max="11010" width="15" style="809" hidden="1" customWidth="1"/>
    <col min="11011" max="11011" width="40.7109375" style="809" hidden="1" customWidth="1"/>
    <col min="11012" max="11013" width="11.42578125" style="809" hidden="1" customWidth="1"/>
    <col min="11014" max="11264" width="0" style="809" hidden="1"/>
    <col min="11265" max="11265" width="45.42578125" style="809" hidden="1" customWidth="1"/>
    <col min="11266" max="11266" width="15" style="809" hidden="1" customWidth="1"/>
    <col min="11267" max="11267" width="40.7109375" style="809" hidden="1" customWidth="1"/>
    <col min="11268" max="11269" width="11.42578125" style="809" hidden="1" customWidth="1"/>
    <col min="11270" max="11520" width="0" style="809" hidden="1"/>
    <col min="11521" max="11521" width="45.42578125" style="809" hidden="1" customWidth="1"/>
    <col min="11522" max="11522" width="15" style="809" hidden="1" customWidth="1"/>
    <col min="11523" max="11523" width="40.7109375" style="809" hidden="1" customWidth="1"/>
    <col min="11524" max="11525" width="11.42578125" style="809" hidden="1" customWidth="1"/>
    <col min="11526" max="11776" width="0" style="809" hidden="1"/>
    <col min="11777" max="11777" width="45.42578125" style="809" hidden="1" customWidth="1"/>
    <col min="11778" max="11778" width="15" style="809" hidden="1" customWidth="1"/>
    <col min="11779" max="11779" width="40.7109375" style="809" hidden="1" customWidth="1"/>
    <col min="11780" max="11781" width="11.42578125" style="809" hidden="1" customWidth="1"/>
    <col min="11782" max="12032" width="0" style="809" hidden="1"/>
    <col min="12033" max="12033" width="45.42578125" style="809" hidden="1" customWidth="1"/>
    <col min="12034" max="12034" width="15" style="809" hidden="1" customWidth="1"/>
    <col min="12035" max="12035" width="40.7109375" style="809" hidden="1" customWidth="1"/>
    <col min="12036" max="12037" width="11.42578125" style="809" hidden="1" customWidth="1"/>
    <col min="12038" max="12288" width="0" style="809" hidden="1"/>
    <col min="12289" max="12289" width="45.42578125" style="809" hidden="1" customWidth="1"/>
    <col min="12290" max="12290" width="15" style="809" hidden="1" customWidth="1"/>
    <col min="12291" max="12291" width="40.7109375" style="809" hidden="1" customWidth="1"/>
    <col min="12292" max="12293" width="11.42578125" style="809" hidden="1" customWidth="1"/>
    <col min="12294" max="12544" width="0" style="809" hidden="1"/>
    <col min="12545" max="12545" width="45.42578125" style="809" hidden="1" customWidth="1"/>
    <col min="12546" max="12546" width="15" style="809" hidden="1" customWidth="1"/>
    <col min="12547" max="12547" width="40.7109375" style="809" hidden="1" customWidth="1"/>
    <col min="12548" max="12549" width="11.42578125" style="809" hidden="1" customWidth="1"/>
    <col min="12550" max="12800" width="0" style="809" hidden="1"/>
    <col min="12801" max="12801" width="45.42578125" style="809" hidden="1" customWidth="1"/>
    <col min="12802" max="12802" width="15" style="809" hidden="1" customWidth="1"/>
    <col min="12803" max="12803" width="40.7109375" style="809" hidden="1" customWidth="1"/>
    <col min="12804" max="12805" width="11.42578125" style="809" hidden="1" customWidth="1"/>
    <col min="12806" max="13056" width="0" style="809" hidden="1"/>
    <col min="13057" max="13057" width="45.42578125" style="809" hidden="1" customWidth="1"/>
    <col min="13058" max="13058" width="15" style="809" hidden="1" customWidth="1"/>
    <col min="13059" max="13059" width="40.7109375" style="809" hidden="1" customWidth="1"/>
    <col min="13060" max="13061" width="11.42578125" style="809" hidden="1" customWidth="1"/>
    <col min="13062" max="13312" width="0" style="809" hidden="1"/>
    <col min="13313" max="13313" width="45.42578125" style="809" hidden="1" customWidth="1"/>
    <col min="13314" max="13314" width="15" style="809" hidden="1" customWidth="1"/>
    <col min="13315" max="13315" width="40.7109375" style="809" hidden="1" customWidth="1"/>
    <col min="13316" max="13317" width="11.42578125" style="809" hidden="1" customWidth="1"/>
    <col min="13318" max="13568" width="0" style="809" hidden="1"/>
    <col min="13569" max="13569" width="45.42578125" style="809" hidden="1" customWidth="1"/>
    <col min="13570" max="13570" width="15" style="809" hidden="1" customWidth="1"/>
    <col min="13571" max="13571" width="40.7109375" style="809" hidden="1" customWidth="1"/>
    <col min="13572" max="13573" width="11.42578125" style="809" hidden="1" customWidth="1"/>
    <col min="13574" max="13824" width="0" style="809" hidden="1"/>
    <col min="13825" max="13825" width="45.42578125" style="809" hidden="1" customWidth="1"/>
    <col min="13826" max="13826" width="15" style="809" hidden="1" customWidth="1"/>
    <col min="13827" max="13827" width="40.7109375" style="809" hidden="1" customWidth="1"/>
    <col min="13828" max="13829" width="11.42578125" style="809" hidden="1" customWidth="1"/>
    <col min="13830" max="14080" width="0" style="809" hidden="1"/>
    <col min="14081" max="14081" width="45.42578125" style="809" hidden="1" customWidth="1"/>
    <col min="14082" max="14082" width="15" style="809" hidden="1" customWidth="1"/>
    <col min="14083" max="14083" width="40.7109375" style="809" hidden="1" customWidth="1"/>
    <col min="14084" max="14085" width="11.42578125" style="809" hidden="1" customWidth="1"/>
    <col min="14086" max="14336" width="0" style="809" hidden="1"/>
    <col min="14337" max="14337" width="45.42578125" style="809" hidden="1" customWidth="1"/>
    <col min="14338" max="14338" width="15" style="809" hidden="1" customWidth="1"/>
    <col min="14339" max="14339" width="40.7109375" style="809" hidden="1" customWidth="1"/>
    <col min="14340" max="14341" width="11.42578125" style="809" hidden="1" customWidth="1"/>
    <col min="14342" max="14592" width="0" style="809" hidden="1"/>
    <col min="14593" max="14593" width="45.42578125" style="809" hidden="1" customWidth="1"/>
    <col min="14594" max="14594" width="15" style="809" hidden="1" customWidth="1"/>
    <col min="14595" max="14595" width="40.7109375" style="809" hidden="1" customWidth="1"/>
    <col min="14596" max="14597" width="11.42578125" style="809" hidden="1" customWidth="1"/>
    <col min="14598" max="14848" width="0" style="809" hidden="1"/>
    <col min="14849" max="14849" width="45.42578125" style="809" hidden="1" customWidth="1"/>
    <col min="14850" max="14850" width="15" style="809" hidden="1" customWidth="1"/>
    <col min="14851" max="14851" width="40.7109375" style="809" hidden="1" customWidth="1"/>
    <col min="14852" max="14853" width="11.42578125" style="809" hidden="1" customWidth="1"/>
    <col min="14854" max="15104" width="0" style="809" hidden="1"/>
    <col min="15105" max="15105" width="45.42578125" style="809" hidden="1" customWidth="1"/>
    <col min="15106" max="15106" width="15" style="809" hidden="1" customWidth="1"/>
    <col min="15107" max="15107" width="40.7109375" style="809" hidden="1" customWidth="1"/>
    <col min="15108" max="15109" width="11.42578125" style="809" hidden="1" customWidth="1"/>
    <col min="15110" max="15360" width="0" style="809" hidden="1"/>
    <col min="15361" max="15361" width="45.42578125" style="809" hidden="1" customWidth="1"/>
    <col min="15362" max="15362" width="15" style="809" hidden="1" customWidth="1"/>
    <col min="15363" max="15363" width="40.7109375" style="809" hidden="1" customWidth="1"/>
    <col min="15364" max="15365" width="11.42578125" style="809" hidden="1" customWidth="1"/>
    <col min="15366" max="15616" width="0" style="809" hidden="1"/>
    <col min="15617" max="15617" width="45.42578125" style="809" hidden="1" customWidth="1"/>
    <col min="15618" max="15618" width="15" style="809" hidden="1" customWidth="1"/>
    <col min="15619" max="15619" width="40.7109375" style="809" hidden="1" customWidth="1"/>
    <col min="15620" max="15621" width="11.42578125" style="809" hidden="1" customWidth="1"/>
    <col min="15622" max="15872" width="0" style="809" hidden="1"/>
    <col min="15873" max="15873" width="45.42578125" style="809" hidden="1" customWidth="1"/>
    <col min="15874" max="15874" width="15" style="809" hidden="1" customWidth="1"/>
    <col min="15875" max="15875" width="40.7109375" style="809" hidden="1" customWidth="1"/>
    <col min="15876" max="15877" width="11.42578125" style="809" hidden="1" customWidth="1"/>
    <col min="15878" max="16128" width="0" style="809" hidden="1"/>
    <col min="16129" max="16129" width="45.42578125" style="809" hidden="1" customWidth="1"/>
    <col min="16130" max="16130" width="15" style="809" hidden="1" customWidth="1"/>
    <col min="16131" max="16131" width="40.7109375" style="809" hidden="1" customWidth="1"/>
    <col min="16132" max="16133" width="11.42578125" style="809" hidden="1" customWidth="1"/>
    <col min="16134" max="16384" width="0" style="809" hidden="1"/>
  </cols>
  <sheetData>
    <row r="1" spans="1:20" ht="13.5" thickTop="1" x14ac:dyDescent="0.2">
      <c r="A1" s="824"/>
      <c r="B1" s="825"/>
      <c r="C1" s="826"/>
      <c r="D1" s="827"/>
      <c r="E1" s="827"/>
      <c r="F1" s="827"/>
    </row>
    <row r="2" spans="1:20" ht="25.5" x14ac:dyDescent="0.35">
      <c r="A2" s="828" t="s">
        <v>9854</v>
      </c>
      <c r="B2" s="829"/>
      <c r="C2" s="830"/>
      <c r="D2" s="827"/>
      <c r="E2" s="827"/>
      <c r="F2" s="827"/>
    </row>
    <row r="3" spans="1:20" x14ac:dyDescent="0.2">
      <c r="A3" s="831"/>
      <c r="B3" s="829"/>
      <c r="C3" s="830"/>
      <c r="D3" s="827"/>
      <c r="E3" s="827"/>
      <c r="F3" s="827"/>
    </row>
    <row r="4" spans="1:20" ht="15.75" x14ac:dyDescent="0.25">
      <c r="A4" s="832" t="str">
        <f>Contenido!A3</f>
        <v>PRESUPUESTO  2014</v>
      </c>
      <c r="B4" s="833"/>
      <c r="C4" s="815"/>
    </row>
    <row r="5" spans="1:20" ht="15.75" x14ac:dyDescent="0.25">
      <c r="A5" s="834" t="s">
        <v>9855</v>
      </c>
      <c r="B5" s="833"/>
      <c r="C5" s="815"/>
    </row>
    <row r="6" spans="1:20" ht="15.75" x14ac:dyDescent="0.25">
      <c r="A6" s="834" t="s">
        <v>9856</v>
      </c>
      <c r="B6" s="833"/>
      <c r="C6" s="815"/>
    </row>
    <row r="7" spans="1:20" ht="15.75" x14ac:dyDescent="0.25">
      <c r="A7" s="834"/>
      <c r="B7" s="833"/>
      <c r="C7" s="815"/>
      <c r="T7" s="815"/>
    </row>
    <row r="8" spans="1:20" x14ac:dyDescent="0.2">
      <c r="A8" s="835"/>
      <c r="B8" s="836" t="s">
        <v>52</v>
      </c>
      <c r="C8" s="837"/>
      <c r="T8" s="815"/>
    </row>
    <row r="9" spans="1:20" x14ac:dyDescent="0.2">
      <c r="A9" s="838" t="s">
        <v>5</v>
      </c>
      <c r="B9" s="839" t="s">
        <v>384</v>
      </c>
      <c r="C9" s="840" t="s">
        <v>9857</v>
      </c>
      <c r="T9" s="815"/>
    </row>
    <row r="10" spans="1:20" x14ac:dyDescent="0.2">
      <c r="A10" s="841"/>
      <c r="B10" s="842">
        <v>2014</v>
      </c>
      <c r="C10" s="843"/>
      <c r="T10" s="815"/>
    </row>
    <row r="11" spans="1:20" x14ac:dyDescent="0.2">
      <c r="A11" s="844"/>
      <c r="B11" s="845"/>
      <c r="C11" s="846"/>
      <c r="T11" s="815"/>
    </row>
    <row r="12" spans="1:20" x14ac:dyDescent="0.2">
      <c r="A12" s="847" t="s">
        <v>9858</v>
      </c>
      <c r="B12" s="848">
        <v>3.7999999999999999E-2</v>
      </c>
      <c r="C12" s="846"/>
      <c r="T12" s="815"/>
    </row>
    <row r="13" spans="1:20" x14ac:dyDescent="0.2">
      <c r="A13" s="844"/>
      <c r="B13" s="845"/>
      <c r="C13" s="846"/>
      <c r="T13" s="815"/>
    </row>
    <row r="14" spans="1:20" x14ac:dyDescent="0.2">
      <c r="A14" s="849" t="s">
        <v>9859</v>
      </c>
      <c r="B14" s="850">
        <v>12.9</v>
      </c>
      <c r="C14" s="846"/>
      <c r="T14" s="815"/>
    </row>
    <row r="15" spans="1:20" x14ac:dyDescent="0.2">
      <c r="A15" s="806"/>
      <c r="B15" s="851"/>
      <c r="C15" s="852"/>
      <c r="T15" s="815"/>
    </row>
    <row r="16" spans="1:20" x14ac:dyDescent="0.2">
      <c r="A16" s="849" t="s">
        <v>9860</v>
      </c>
      <c r="B16" s="848">
        <v>0.03</v>
      </c>
      <c r="C16" s="846"/>
      <c r="T16" s="815"/>
    </row>
    <row r="17" spans="1:20" x14ac:dyDescent="0.2">
      <c r="A17" s="806"/>
      <c r="B17" s="854"/>
      <c r="C17" s="852"/>
      <c r="T17" s="815"/>
    </row>
    <row r="18" spans="1:20" x14ac:dyDescent="0.2">
      <c r="A18" s="855" t="s">
        <v>9861</v>
      </c>
      <c r="B18" s="856">
        <v>0</v>
      </c>
      <c r="C18" s="852"/>
      <c r="T18" s="815"/>
    </row>
    <row r="19" spans="1:20" x14ac:dyDescent="0.2">
      <c r="A19" s="855"/>
      <c r="B19" s="1108" t="s">
        <v>10026</v>
      </c>
      <c r="C19" s="852"/>
      <c r="T19" s="815"/>
    </row>
    <row r="20" spans="1:20" x14ac:dyDescent="0.2">
      <c r="A20" s="806"/>
      <c r="B20" s="853"/>
      <c r="C20" s="852"/>
      <c r="T20" s="815"/>
    </row>
    <row r="21" spans="1:20" x14ac:dyDescent="0.2">
      <c r="A21" s="855" t="s">
        <v>9862</v>
      </c>
      <c r="B21" s="857"/>
      <c r="C21" s="852"/>
      <c r="T21" s="815"/>
    </row>
    <row r="22" spans="1:20" x14ac:dyDescent="0.2">
      <c r="A22" s="806" t="s">
        <v>9863</v>
      </c>
      <c r="B22" s="858">
        <v>3.7999999999999999E-2</v>
      </c>
      <c r="C22" s="852"/>
      <c r="T22" s="815"/>
    </row>
    <row r="23" spans="1:20" x14ac:dyDescent="0.2">
      <c r="A23" s="806" t="s">
        <v>9864</v>
      </c>
      <c r="B23" s="859">
        <v>0.106</v>
      </c>
      <c r="C23" s="852"/>
      <c r="T23" s="815"/>
    </row>
    <row r="24" spans="1:20" x14ac:dyDescent="0.2">
      <c r="A24" s="806" t="s">
        <v>9865</v>
      </c>
      <c r="B24" s="858">
        <v>3.7999999999999999E-2</v>
      </c>
      <c r="C24" s="852"/>
      <c r="T24" s="815"/>
    </row>
    <row r="25" spans="1:20" x14ac:dyDescent="0.2">
      <c r="A25" s="806" t="s">
        <v>9866</v>
      </c>
      <c r="B25" s="858">
        <v>0.04</v>
      </c>
      <c r="C25" s="852" t="s">
        <v>9867</v>
      </c>
      <c r="T25" s="815"/>
    </row>
    <row r="26" spans="1:20" x14ac:dyDescent="0.2">
      <c r="A26" s="806" t="s">
        <v>9868</v>
      </c>
      <c r="B26" s="858">
        <v>3.7999999999999999E-2</v>
      </c>
      <c r="C26" s="852"/>
      <c r="T26" s="815"/>
    </row>
    <row r="27" spans="1:20" x14ac:dyDescent="0.2">
      <c r="A27" s="806" t="s">
        <v>9869</v>
      </c>
      <c r="B27" s="858">
        <v>3.7999999999999999E-2</v>
      </c>
      <c r="C27" s="852"/>
      <c r="T27" s="815"/>
    </row>
    <row r="28" spans="1:20" x14ac:dyDescent="0.2">
      <c r="A28" s="806"/>
      <c r="B28" s="860"/>
      <c r="C28" s="852"/>
      <c r="T28" s="815"/>
    </row>
    <row r="29" spans="1:20" x14ac:dyDescent="0.2">
      <c r="A29" s="855" t="s">
        <v>9870</v>
      </c>
      <c r="B29" s="861"/>
      <c r="C29" s="852"/>
      <c r="T29" s="815"/>
    </row>
    <row r="30" spans="1:20" x14ac:dyDescent="0.2">
      <c r="A30" s="806" t="s">
        <v>9871</v>
      </c>
      <c r="B30" s="862">
        <v>3.7999999999999999E-2</v>
      </c>
      <c r="C30" s="852"/>
      <c r="T30" s="815"/>
    </row>
    <row r="31" spans="1:20" x14ac:dyDescent="0.2">
      <c r="A31" s="806" t="s">
        <v>9866</v>
      </c>
      <c r="B31" s="862">
        <v>0.04</v>
      </c>
      <c r="C31" s="852" t="s">
        <v>9872</v>
      </c>
      <c r="D31" s="810"/>
      <c r="T31" s="815"/>
    </row>
    <row r="32" spans="1:20" x14ac:dyDescent="0.2">
      <c r="A32" s="806"/>
      <c r="B32" s="863"/>
      <c r="C32" s="852"/>
      <c r="T32" s="815"/>
    </row>
    <row r="33" spans="1:20" x14ac:dyDescent="0.2">
      <c r="A33" s="855" t="s">
        <v>9873</v>
      </c>
      <c r="B33" s="861"/>
      <c r="C33" s="852"/>
      <c r="T33" s="815"/>
    </row>
    <row r="34" spans="1:20" x14ac:dyDescent="0.2">
      <c r="A34" s="806" t="s">
        <v>9874</v>
      </c>
      <c r="B34" s="862">
        <v>0.04</v>
      </c>
      <c r="C34" s="852" t="s">
        <v>9875</v>
      </c>
      <c r="T34" s="815"/>
    </row>
    <row r="35" spans="1:20" x14ac:dyDescent="0.2">
      <c r="A35" s="806" t="s">
        <v>9876</v>
      </c>
      <c r="B35" s="862">
        <v>0</v>
      </c>
      <c r="C35" s="852"/>
      <c r="T35" s="815"/>
    </row>
    <row r="36" spans="1:20" x14ac:dyDescent="0.2">
      <c r="A36" s="806" t="s">
        <v>9877</v>
      </c>
      <c r="B36" s="862">
        <v>3.7999999999999999E-2</v>
      </c>
      <c r="C36" s="852"/>
      <c r="T36" s="815"/>
    </row>
    <row r="37" spans="1:20" x14ac:dyDescent="0.2">
      <c r="A37" s="806" t="s">
        <v>9878</v>
      </c>
      <c r="B37" s="862">
        <v>3.7999999999999999E-2</v>
      </c>
      <c r="C37" s="852"/>
      <c r="T37" s="815"/>
    </row>
    <row r="38" spans="1:20" x14ac:dyDescent="0.2">
      <c r="A38" s="806" t="s">
        <v>9879</v>
      </c>
      <c r="B38" s="862">
        <v>3.7999999999999999E-2</v>
      </c>
      <c r="C38" s="852"/>
      <c r="T38" s="815"/>
    </row>
    <row r="39" spans="1:20" x14ac:dyDescent="0.2">
      <c r="A39" s="806"/>
      <c r="B39" s="864"/>
      <c r="C39" s="865"/>
      <c r="T39" s="815"/>
    </row>
    <row r="40" spans="1:20" x14ac:dyDescent="0.2">
      <c r="A40" s="855" t="s">
        <v>9880</v>
      </c>
      <c r="B40" s="861"/>
      <c r="C40" s="865"/>
      <c r="T40" s="815"/>
    </row>
    <row r="41" spans="1:20" x14ac:dyDescent="0.2">
      <c r="A41" s="806" t="s">
        <v>9881</v>
      </c>
      <c r="B41" s="862">
        <v>3.4000000000000002E-2</v>
      </c>
      <c r="C41" s="865"/>
      <c r="T41" s="815"/>
    </row>
    <row r="42" spans="1:20" x14ac:dyDescent="0.2">
      <c r="A42" s="806" t="s">
        <v>9882</v>
      </c>
      <c r="B42" s="862">
        <v>7.2499999999999995E-2</v>
      </c>
      <c r="C42" s="865"/>
      <c r="T42" s="815"/>
    </row>
    <row r="43" spans="1:20" ht="13.5" thickBot="1" x14ac:dyDescent="0.25">
      <c r="A43" s="866"/>
      <c r="B43" s="867"/>
      <c r="C43" s="868" t="s">
        <v>28</v>
      </c>
      <c r="T43" s="815"/>
    </row>
    <row r="44" spans="1:20" ht="13.5" thickTop="1" x14ac:dyDescent="0.2">
      <c r="T44" s="815"/>
    </row>
    <row r="45" spans="1:20" x14ac:dyDescent="0.2">
      <c r="T45" s="815"/>
    </row>
    <row r="46" spans="1:20" x14ac:dyDescent="0.2">
      <c r="T46" s="815"/>
    </row>
    <row r="47" spans="1:20" x14ac:dyDescent="0.2">
      <c r="T47" s="815"/>
    </row>
    <row r="48" spans="1:20" hidden="1" x14ac:dyDescent="0.2">
      <c r="T48" s="815"/>
    </row>
    <row r="49" spans="20:20" hidden="1" x14ac:dyDescent="0.2">
      <c r="T49" s="815"/>
    </row>
    <row r="50" spans="20:20" hidden="1" x14ac:dyDescent="0.2"/>
    <row r="51" spans="20:20" hidden="1" x14ac:dyDescent="0.2"/>
    <row r="52" spans="20:20" hidden="1" x14ac:dyDescent="0.2"/>
    <row r="53" spans="20:20" hidden="1" x14ac:dyDescent="0.2"/>
    <row r="54" spans="20:20" hidden="1" x14ac:dyDescent="0.2"/>
    <row r="55" spans="20:20" hidden="1" x14ac:dyDescent="0.2"/>
    <row r="56" spans="20:20" hidden="1" x14ac:dyDescent="0.2"/>
    <row r="57" spans="20:20" hidden="1" x14ac:dyDescent="0.2"/>
    <row r="58" spans="20:20" hidden="1" x14ac:dyDescent="0.2"/>
    <row r="59" spans="20:20" hidden="1" x14ac:dyDescent="0.2">
      <c r="T59" s="815"/>
    </row>
    <row r="60" spans="20:20" hidden="1" x14ac:dyDescent="0.2">
      <c r="T60" s="815"/>
    </row>
    <row r="61" spans="20:20" hidden="1" x14ac:dyDescent="0.2">
      <c r="T61" s="815"/>
    </row>
    <row r="62" spans="20:20" hidden="1" x14ac:dyDescent="0.2">
      <c r="T62" s="815"/>
    </row>
    <row r="63" spans="20:20" hidden="1" x14ac:dyDescent="0.2">
      <c r="T63" s="815"/>
    </row>
    <row r="64" spans="20:20" hidden="1" x14ac:dyDescent="0.2">
      <c r="T64" s="815"/>
    </row>
    <row r="65" spans="20:20" hidden="1" x14ac:dyDescent="0.2">
      <c r="T65" s="815"/>
    </row>
    <row r="66" spans="20:20" hidden="1" x14ac:dyDescent="0.2">
      <c r="T66" s="815"/>
    </row>
    <row r="67" spans="20:20" hidden="1" x14ac:dyDescent="0.2">
      <c r="T67" s="815"/>
    </row>
    <row r="68" spans="20:20" hidden="1" x14ac:dyDescent="0.2">
      <c r="T68" s="815"/>
    </row>
    <row r="69" spans="20:20" hidden="1" x14ac:dyDescent="0.2">
      <c r="T69" s="815"/>
    </row>
    <row r="70" spans="20:20" hidden="1" x14ac:dyDescent="0.2">
      <c r="T70" s="815"/>
    </row>
    <row r="71" spans="20:20" hidden="1" x14ac:dyDescent="0.2">
      <c r="T71" s="815"/>
    </row>
    <row r="72" spans="20:20" hidden="1" x14ac:dyDescent="0.2">
      <c r="T72" s="815"/>
    </row>
    <row r="73" spans="20:20" hidden="1" x14ac:dyDescent="0.2">
      <c r="T73" s="815"/>
    </row>
    <row r="74" spans="20:20" hidden="1" x14ac:dyDescent="0.2">
      <c r="T74" s="815"/>
    </row>
    <row r="75" spans="20:20" hidden="1" x14ac:dyDescent="0.2">
      <c r="T75" s="815"/>
    </row>
    <row r="76" spans="20:20" hidden="1" x14ac:dyDescent="0.2">
      <c r="T76" s="815"/>
    </row>
    <row r="77" spans="20:20" hidden="1" x14ac:dyDescent="0.2">
      <c r="T77" s="815"/>
    </row>
    <row r="78" spans="20:20" hidden="1" x14ac:dyDescent="0.2">
      <c r="T78" s="815"/>
    </row>
    <row r="79" spans="20:20" hidden="1" x14ac:dyDescent="0.2">
      <c r="T79" s="815"/>
    </row>
    <row r="80" spans="20:20" hidden="1" x14ac:dyDescent="0.2">
      <c r="T80" s="815"/>
    </row>
    <row r="81" spans="20:20" hidden="1" x14ac:dyDescent="0.2">
      <c r="T81" s="815"/>
    </row>
    <row r="82" spans="20:20" hidden="1" x14ac:dyDescent="0.2">
      <c r="T82" s="815"/>
    </row>
    <row r="83" spans="20:20" hidden="1" x14ac:dyDescent="0.2">
      <c r="T83" s="815"/>
    </row>
    <row r="84" spans="20:20" hidden="1" x14ac:dyDescent="0.2">
      <c r="T84" s="815"/>
    </row>
    <row r="85" spans="20:20" hidden="1" x14ac:dyDescent="0.2">
      <c r="T85" s="815"/>
    </row>
    <row r="86" spans="20:20" hidden="1" x14ac:dyDescent="0.2">
      <c r="T86" s="815"/>
    </row>
    <row r="87" spans="20:20" hidden="1" x14ac:dyDescent="0.2">
      <c r="T87" s="815"/>
    </row>
    <row r="88" spans="20:20" hidden="1" x14ac:dyDescent="0.2">
      <c r="T88" s="815"/>
    </row>
    <row r="89" spans="20:20" hidden="1" x14ac:dyDescent="0.2">
      <c r="T89" s="815"/>
    </row>
    <row r="90" spans="20:20" hidden="1" x14ac:dyDescent="0.2">
      <c r="T90" s="815"/>
    </row>
    <row r="91" spans="20:20" hidden="1" x14ac:dyDescent="0.2">
      <c r="T91" s="815"/>
    </row>
    <row r="92" spans="20:20" hidden="1" x14ac:dyDescent="0.2">
      <c r="T92" s="815"/>
    </row>
    <row r="93" spans="20:20" hidden="1" x14ac:dyDescent="0.2">
      <c r="T93" s="815"/>
    </row>
    <row r="94" spans="20:20" hidden="1" x14ac:dyDescent="0.2">
      <c r="T94" s="815"/>
    </row>
    <row r="95" spans="20:20" hidden="1" x14ac:dyDescent="0.2">
      <c r="T95" s="815"/>
    </row>
    <row r="96" spans="20:20" hidden="1" x14ac:dyDescent="0.2">
      <c r="T96" s="815"/>
    </row>
    <row r="97" spans="20:20" hidden="1" x14ac:dyDescent="0.2">
      <c r="T97" s="815"/>
    </row>
  </sheetData>
  <pageMargins left="0.70866141732283472" right="0.70866141732283472" top="0.74803149606299213" bottom="0.74803149606299213" header="0.31496062992125984" footer="0.31496062992125984"/>
  <pageSetup scale="9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2060"/>
  </sheetPr>
  <dimension ref="A1:T97"/>
  <sheetViews>
    <sheetView topLeftCell="A4" zoomScale="110" zoomScaleNormal="110" workbookViewId="0">
      <selection activeCell="C13" sqref="C13"/>
    </sheetView>
  </sheetViews>
  <sheetFormatPr baseColWidth="10" defaultColWidth="0" defaultRowHeight="12.75" zeroHeight="1" x14ac:dyDescent="0.2"/>
  <cols>
    <col min="1" max="1" width="56.28515625" style="809" customWidth="1"/>
    <col min="2" max="2" width="12.85546875" style="809" customWidth="1"/>
    <col min="3" max="3" width="13.85546875" style="809" customWidth="1"/>
    <col min="4" max="4" width="11.7109375" style="907" customWidth="1"/>
    <col min="5" max="5" width="11.42578125" style="809" customWidth="1"/>
    <col min="6" max="256" width="0" style="809" hidden="1"/>
    <col min="257" max="257" width="56.28515625" style="809" customWidth="1"/>
    <col min="258" max="258" width="10.7109375" style="809" customWidth="1"/>
    <col min="259" max="259" width="13.85546875" style="809" customWidth="1"/>
    <col min="260" max="260" width="10.5703125" style="809" customWidth="1"/>
    <col min="261" max="261" width="11.42578125" style="809" customWidth="1"/>
    <col min="262" max="512" width="0" style="809" hidden="1"/>
    <col min="513" max="513" width="56.28515625" style="809" customWidth="1"/>
    <col min="514" max="514" width="10.7109375" style="809" customWidth="1"/>
    <col min="515" max="515" width="13.85546875" style="809" customWidth="1"/>
    <col min="516" max="516" width="10.5703125" style="809" customWidth="1"/>
    <col min="517" max="517" width="11.42578125" style="809" customWidth="1"/>
    <col min="518" max="768" width="0" style="809" hidden="1"/>
    <col min="769" max="769" width="56.28515625" style="809" customWidth="1"/>
    <col min="770" max="770" width="10.7109375" style="809" customWidth="1"/>
    <col min="771" max="771" width="13.85546875" style="809" customWidth="1"/>
    <col min="772" max="772" width="10.5703125" style="809" customWidth="1"/>
    <col min="773" max="773" width="11.42578125" style="809" customWidth="1"/>
    <col min="774" max="1024" width="0" style="809" hidden="1"/>
    <col min="1025" max="1025" width="56.28515625" style="809" customWidth="1"/>
    <col min="1026" max="1026" width="10.7109375" style="809" customWidth="1"/>
    <col min="1027" max="1027" width="13.85546875" style="809" customWidth="1"/>
    <col min="1028" max="1028" width="10.5703125" style="809" customWidth="1"/>
    <col min="1029" max="1029" width="11.42578125" style="809" customWidth="1"/>
    <col min="1030" max="1280" width="0" style="809" hidden="1"/>
    <col min="1281" max="1281" width="56.28515625" style="809" customWidth="1"/>
    <col min="1282" max="1282" width="10.7109375" style="809" customWidth="1"/>
    <col min="1283" max="1283" width="13.85546875" style="809" customWidth="1"/>
    <col min="1284" max="1284" width="10.5703125" style="809" customWidth="1"/>
    <col min="1285" max="1285" width="11.42578125" style="809" customWidth="1"/>
    <col min="1286" max="1536" width="0" style="809" hidden="1"/>
    <col min="1537" max="1537" width="56.28515625" style="809" customWidth="1"/>
    <col min="1538" max="1538" width="10.7109375" style="809" customWidth="1"/>
    <col min="1539" max="1539" width="13.85546875" style="809" customWidth="1"/>
    <col min="1540" max="1540" width="10.5703125" style="809" customWidth="1"/>
    <col min="1541" max="1541" width="11.42578125" style="809" customWidth="1"/>
    <col min="1542" max="1792" width="0" style="809" hidden="1"/>
    <col min="1793" max="1793" width="56.28515625" style="809" customWidth="1"/>
    <col min="1794" max="1794" width="10.7109375" style="809" customWidth="1"/>
    <col min="1795" max="1795" width="13.85546875" style="809" customWidth="1"/>
    <col min="1796" max="1796" width="10.5703125" style="809" customWidth="1"/>
    <col min="1797" max="1797" width="11.42578125" style="809" customWidth="1"/>
    <col min="1798" max="2048" width="0" style="809" hidden="1"/>
    <col min="2049" max="2049" width="56.28515625" style="809" customWidth="1"/>
    <col min="2050" max="2050" width="10.7109375" style="809" customWidth="1"/>
    <col min="2051" max="2051" width="13.85546875" style="809" customWidth="1"/>
    <col min="2052" max="2052" width="10.5703125" style="809" customWidth="1"/>
    <col min="2053" max="2053" width="11.42578125" style="809" customWidth="1"/>
    <col min="2054" max="2304" width="0" style="809" hidden="1"/>
    <col min="2305" max="2305" width="56.28515625" style="809" customWidth="1"/>
    <col min="2306" max="2306" width="10.7109375" style="809" customWidth="1"/>
    <col min="2307" max="2307" width="13.85546875" style="809" customWidth="1"/>
    <col min="2308" max="2308" width="10.5703125" style="809" customWidth="1"/>
    <col min="2309" max="2309" width="11.42578125" style="809" customWidth="1"/>
    <col min="2310" max="2560" width="0" style="809" hidden="1"/>
    <col min="2561" max="2561" width="56.28515625" style="809" customWidth="1"/>
    <col min="2562" max="2562" width="10.7109375" style="809" customWidth="1"/>
    <col min="2563" max="2563" width="13.85546875" style="809" customWidth="1"/>
    <col min="2564" max="2564" width="10.5703125" style="809" customWidth="1"/>
    <col min="2565" max="2565" width="11.42578125" style="809" customWidth="1"/>
    <col min="2566" max="2816" width="0" style="809" hidden="1"/>
    <col min="2817" max="2817" width="56.28515625" style="809" customWidth="1"/>
    <col min="2818" max="2818" width="10.7109375" style="809" customWidth="1"/>
    <col min="2819" max="2819" width="13.85546875" style="809" customWidth="1"/>
    <col min="2820" max="2820" width="10.5703125" style="809" customWidth="1"/>
    <col min="2821" max="2821" width="11.42578125" style="809" customWidth="1"/>
    <col min="2822" max="3072" width="0" style="809" hidden="1"/>
    <col min="3073" max="3073" width="56.28515625" style="809" customWidth="1"/>
    <col min="3074" max="3074" width="10.7109375" style="809" customWidth="1"/>
    <col min="3075" max="3075" width="13.85546875" style="809" customWidth="1"/>
    <col min="3076" max="3076" width="10.5703125" style="809" customWidth="1"/>
    <col min="3077" max="3077" width="11.42578125" style="809" customWidth="1"/>
    <col min="3078" max="3328" width="0" style="809" hidden="1"/>
    <col min="3329" max="3329" width="56.28515625" style="809" customWidth="1"/>
    <col min="3330" max="3330" width="10.7109375" style="809" customWidth="1"/>
    <col min="3331" max="3331" width="13.85546875" style="809" customWidth="1"/>
    <col min="3332" max="3332" width="10.5703125" style="809" customWidth="1"/>
    <col min="3333" max="3333" width="11.42578125" style="809" customWidth="1"/>
    <col min="3334" max="3584" width="0" style="809" hidden="1"/>
    <col min="3585" max="3585" width="56.28515625" style="809" customWidth="1"/>
    <col min="3586" max="3586" width="10.7109375" style="809" customWidth="1"/>
    <col min="3587" max="3587" width="13.85546875" style="809" customWidth="1"/>
    <col min="3588" max="3588" width="10.5703125" style="809" customWidth="1"/>
    <col min="3589" max="3589" width="11.42578125" style="809" customWidth="1"/>
    <col min="3590" max="3840" width="0" style="809" hidden="1"/>
    <col min="3841" max="3841" width="56.28515625" style="809" customWidth="1"/>
    <col min="3842" max="3842" width="10.7109375" style="809" customWidth="1"/>
    <col min="3843" max="3843" width="13.85546875" style="809" customWidth="1"/>
    <col min="3844" max="3844" width="10.5703125" style="809" customWidth="1"/>
    <col min="3845" max="3845" width="11.42578125" style="809" customWidth="1"/>
    <col min="3846" max="4096" width="0" style="809" hidden="1"/>
    <col min="4097" max="4097" width="56.28515625" style="809" customWidth="1"/>
    <col min="4098" max="4098" width="10.7109375" style="809" customWidth="1"/>
    <col min="4099" max="4099" width="13.85546875" style="809" customWidth="1"/>
    <col min="4100" max="4100" width="10.5703125" style="809" customWidth="1"/>
    <col min="4101" max="4101" width="11.42578125" style="809" customWidth="1"/>
    <col min="4102" max="4352" width="0" style="809" hidden="1"/>
    <col min="4353" max="4353" width="56.28515625" style="809" customWidth="1"/>
    <col min="4354" max="4354" width="10.7109375" style="809" customWidth="1"/>
    <col min="4355" max="4355" width="13.85546875" style="809" customWidth="1"/>
    <col min="4356" max="4356" width="10.5703125" style="809" customWidth="1"/>
    <col min="4357" max="4357" width="11.42578125" style="809" customWidth="1"/>
    <col min="4358" max="4608" width="0" style="809" hidden="1"/>
    <col min="4609" max="4609" width="56.28515625" style="809" customWidth="1"/>
    <col min="4610" max="4610" width="10.7109375" style="809" customWidth="1"/>
    <col min="4611" max="4611" width="13.85546875" style="809" customWidth="1"/>
    <col min="4612" max="4612" width="10.5703125" style="809" customWidth="1"/>
    <col min="4613" max="4613" width="11.42578125" style="809" customWidth="1"/>
    <col min="4614" max="4864" width="0" style="809" hidden="1"/>
    <col min="4865" max="4865" width="56.28515625" style="809" customWidth="1"/>
    <col min="4866" max="4866" width="10.7109375" style="809" customWidth="1"/>
    <col min="4867" max="4867" width="13.85546875" style="809" customWidth="1"/>
    <col min="4868" max="4868" width="10.5703125" style="809" customWidth="1"/>
    <col min="4869" max="4869" width="11.42578125" style="809" customWidth="1"/>
    <col min="4870" max="5120" width="0" style="809" hidden="1"/>
    <col min="5121" max="5121" width="56.28515625" style="809" customWidth="1"/>
    <col min="5122" max="5122" width="10.7109375" style="809" customWidth="1"/>
    <col min="5123" max="5123" width="13.85546875" style="809" customWidth="1"/>
    <col min="5124" max="5124" width="10.5703125" style="809" customWidth="1"/>
    <col min="5125" max="5125" width="11.42578125" style="809" customWidth="1"/>
    <col min="5126" max="5376" width="0" style="809" hidden="1"/>
    <col min="5377" max="5377" width="56.28515625" style="809" customWidth="1"/>
    <col min="5378" max="5378" width="10.7109375" style="809" customWidth="1"/>
    <col min="5379" max="5379" width="13.85546875" style="809" customWidth="1"/>
    <col min="5380" max="5380" width="10.5703125" style="809" customWidth="1"/>
    <col min="5381" max="5381" width="11.42578125" style="809" customWidth="1"/>
    <col min="5382" max="5632" width="0" style="809" hidden="1"/>
    <col min="5633" max="5633" width="56.28515625" style="809" customWidth="1"/>
    <col min="5634" max="5634" width="10.7109375" style="809" customWidth="1"/>
    <col min="5635" max="5635" width="13.85546875" style="809" customWidth="1"/>
    <col min="5636" max="5636" width="10.5703125" style="809" customWidth="1"/>
    <col min="5637" max="5637" width="11.42578125" style="809" customWidth="1"/>
    <col min="5638" max="5888" width="0" style="809" hidden="1"/>
    <col min="5889" max="5889" width="56.28515625" style="809" customWidth="1"/>
    <col min="5890" max="5890" width="10.7109375" style="809" customWidth="1"/>
    <col min="5891" max="5891" width="13.85546875" style="809" customWidth="1"/>
    <col min="5892" max="5892" width="10.5703125" style="809" customWidth="1"/>
    <col min="5893" max="5893" width="11.42578125" style="809" customWidth="1"/>
    <col min="5894" max="6144" width="0" style="809" hidden="1"/>
    <col min="6145" max="6145" width="56.28515625" style="809" customWidth="1"/>
    <col min="6146" max="6146" width="10.7109375" style="809" customWidth="1"/>
    <col min="6147" max="6147" width="13.85546875" style="809" customWidth="1"/>
    <col min="6148" max="6148" width="10.5703125" style="809" customWidth="1"/>
    <col min="6149" max="6149" width="11.42578125" style="809" customWidth="1"/>
    <col min="6150" max="6400" width="0" style="809" hidden="1"/>
    <col min="6401" max="6401" width="56.28515625" style="809" customWidth="1"/>
    <col min="6402" max="6402" width="10.7109375" style="809" customWidth="1"/>
    <col min="6403" max="6403" width="13.85546875" style="809" customWidth="1"/>
    <col min="6404" max="6404" width="10.5703125" style="809" customWidth="1"/>
    <col min="6405" max="6405" width="11.42578125" style="809" customWidth="1"/>
    <col min="6406" max="6656" width="0" style="809" hidden="1"/>
    <col min="6657" max="6657" width="56.28515625" style="809" customWidth="1"/>
    <col min="6658" max="6658" width="10.7109375" style="809" customWidth="1"/>
    <col min="6659" max="6659" width="13.85546875" style="809" customWidth="1"/>
    <col min="6660" max="6660" width="10.5703125" style="809" customWidth="1"/>
    <col min="6661" max="6661" width="11.42578125" style="809" customWidth="1"/>
    <col min="6662" max="6912" width="0" style="809" hidden="1"/>
    <col min="6913" max="6913" width="56.28515625" style="809" customWidth="1"/>
    <col min="6914" max="6914" width="10.7109375" style="809" customWidth="1"/>
    <col min="6915" max="6915" width="13.85546875" style="809" customWidth="1"/>
    <col min="6916" max="6916" width="10.5703125" style="809" customWidth="1"/>
    <col min="6917" max="6917" width="11.42578125" style="809" customWidth="1"/>
    <col min="6918" max="7168" width="0" style="809" hidden="1"/>
    <col min="7169" max="7169" width="56.28515625" style="809" customWidth="1"/>
    <col min="7170" max="7170" width="10.7109375" style="809" customWidth="1"/>
    <col min="7171" max="7171" width="13.85546875" style="809" customWidth="1"/>
    <col min="7172" max="7172" width="10.5703125" style="809" customWidth="1"/>
    <col min="7173" max="7173" width="11.42578125" style="809" customWidth="1"/>
    <col min="7174" max="7424" width="0" style="809" hidden="1"/>
    <col min="7425" max="7425" width="56.28515625" style="809" customWidth="1"/>
    <col min="7426" max="7426" width="10.7109375" style="809" customWidth="1"/>
    <col min="7427" max="7427" width="13.85546875" style="809" customWidth="1"/>
    <col min="7428" max="7428" width="10.5703125" style="809" customWidth="1"/>
    <col min="7429" max="7429" width="11.42578125" style="809" customWidth="1"/>
    <col min="7430" max="7680" width="0" style="809" hidden="1"/>
    <col min="7681" max="7681" width="56.28515625" style="809" customWidth="1"/>
    <col min="7682" max="7682" width="10.7109375" style="809" customWidth="1"/>
    <col min="7683" max="7683" width="13.85546875" style="809" customWidth="1"/>
    <col min="7684" max="7684" width="10.5703125" style="809" customWidth="1"/>
    <col min="7685" max="7685" width="11.42578125" style="809" customWidth="1"/>
    <col min="7686" max="7936" width="0" style="809" hidden="1"/>
    <col min="7937" max="7937" width="56.28515625" style="809" customWidth="1"/>
    <col min="7938" max="7938" width="10.7109375" style="809" customWidth="1"/>
    <col min="7939" max="7939" width="13.85546875" style="809" customWidth="1"/>
    <col min="7940" max="7940" width="10.5703125" style="809" customWidth="1"/>
    <col min="7941" max="7941" width="11.42578125" style="809" customWidth="1"/>
    <col min="7942" max="8192" width="0" style="809" hidden="1"/>
    <col min="8193" max="8193" width="56.28515625" style="809" customWidth="1"/>
    <col min="8194" max="8194" width="10.7109375" style="809" customWidth="1"/>
    <col min="8195" max="8195" width="13.85546875" style="809" customWidth="1"/>
    <col min="8196" max="8196" width="10.5703125" style="809" customWidth="1"/>
    <col min="8197" max="8197" width="11.42578125" style="809" customWidth="1"/>
    <col min="8198" max="8448" width="0" style="809" hidden="1"/>
    <col min="8449" max="8449" width="56.28515625" style="809" customWidth="1"/>
    <col min="8450" max="8450" width="10.7109375" style="809" customWidth="1"/>
    <col min="8451" max="8451" width="13.85546875" style="809" customWidth="1"/>
    <col min="8452" max="8452" width="10.5703125" style="809" customWidth="1"/>
    <col min="8453" max="8453" width="11.42578125" style="809" customWidth="1"/>
    <col min="8454" max="8704" width="0" style="809" hidden="1"/>
    <col min="8705" max="8705" width="56.28515625" style="809" customWidth="1"/>
    <col min="8706" max="8706" width="10.7109375" style="809" customWidth="1"/>
    <col min="8707" max="8707" width="13.85546875" style="809" customWidth="1"/>
    <col min="8708" max="8708" width="10.5703125" style="809" customWidth="1"/>
    <col min="8709" max="8709" width="11.42578125" style="809" customWidth="1"/>
    <col min="8710" max="8960" width="0" style="809" hidden="1"/>
    <col min="8961" max="8961" width="56.28515625" style="809" customWidth="1"/>
    <col min="8962" max="8962" width="10.7109375" style="809" customWidth="1"/>
    <col min="8963" max="8963" width="13.85546875" style="809" customWidth="1"/>
    <col min="8964" max="8964" width="10.5703125" style="809" customWidth="1"/>
    <col min="8965" max="8965" width="11.42578125" style="809" customWidth="1"/>
    <col min="8966" max="9216" width="0" style="809" hidden="1"/>
    <col min="9217" max="9217" width="56.28515625" style="809" customWidth="1"/>
    <col min="9218" max="9218" width="10.7109375" style="809" customWidth="1"/>
    <col min="9219" max="9219" width="13.85546875" style="809" customWidth="1"/>
    <col min="9220" max="9220" width="10.5703125" style="809" customWidth="1"/>
    <col min="9221" max="9221" width="11.42578125" style="809" customWidth="1"/>
    <col min="9222" max="9472" width="0" style="809" hidden="1"/>
    <col min="9473" max="9473" width="56.28515625" style="809" customWidth="1"/>
    <col min="9474" max="9474" width="10.7109375" style="809" customWidth="1"/>
    <col min="9475" max="9475" width="13.85546875" style="809" customWidth="1"/>
    <col min="9476" max="9476" width="10.5703125" style="809" customWidth="1"/>
    <col min="9477" max="9477" width="11.42578125" style="809" customWidth="1"/>
    <col min="9478" max="9728" width="0" style="809" hidden="1"/>
    <col min="9729" max="9729" width="56.28515625" style="809" customWidth="1"/>
    <col min="9730" max="9730" width="10.7109375" style="809" customWidth="1"/>
    <col min="9731" max="9731" width="13.85546875" style="809" customWidth="1"/>
    <col min="9732" max="9732" width="10.5703125" style="809" customWidth="1"/>
    <col min="9733" max="9733" width="11.42578125" style="809" customWidth="1"/>
    <col min="9734" max="9984" width="0" style="809" hidden="1"/>
    <col min="9985" max="9985" width="56.28515625" style="809" customWidth="1"/>
    <col min="9986" max="9986" width="10.7109375" style="809" customWidth="1"/>
    <col min="9987" max="9987" width="13.85546875" style="809" customWidth="1"/>
    <col min="9988" max="9988" width="10.5703125" style="809" customWidth="1"/>
    <col min="9989" max="9989" width="11.42578125" style="809" customWidth="1"/>
    <col min="9990" max="10240" width="0" style="809" hidden="1"/>
    <col min="10241" max="10241" width="56.28515625" style="809" customWidth="1"/>
    <col min="10242" max="10242" width="10.7109375" style="809" customWidth="1"/>
    <col min="10243" max="10243" width="13.85546875" style="809" customWidth="1"/>
    <col min="10244" max="10244" width="10.5703125" style="809" customWidth="1"/>
    <col min="10245" max="10245" width="11.42578125" style="809" customWidth="1"/>
    <col min="10246" max="10496" width="0" style="809" hidden="1"/>
    <col min="10497" max="10497" width="56.28515625" style="809" customWidth="1"/>
    <col min="10498" max="10498" width="10.7109375" style="809" customWidth="1"/>
    <col min="10499" max="10499" width="13.85546875" style="809" customWidth="1"/>
    <col min="10500" max="10500" width="10.5703125" style="809" customWidth="1"/>
    <col min="10501" max="10501" width="11.42578125" style="809" customWidth="1"/>
    <col min="10502" max="10752" width="0" style="809" hidden="1"/>
    <col min="10753" max="10753" width="56.28515625" style="809" customWidth="1"/>
    <col min="10754" max="10754" width="10.7109375" style="809" customWidth="1"/>
    <col min="10755" max="10755" width="13.85546875" style="809" customWidth="1"/>
    <col min="10756" max="10756" width="10.5703125" style="809" customWidth="1"/>
    <col min="10757" max="10757" width="11.42578125" style="809" customWidth="1"/>
    <col min="10758" max="11008" width="0" style="809" hidden="1"/>
    <col min="11009" max="11009" width="56.28515625" style="809" customWidth="1"/>
    <col min="11010" max="11010" width="10.7109375" style="809" customWidth="1"/>
    <col min="11011" max="11011" width="13.85546875" style="809" customWidth="1"/>
    <col min="11012" max="11012" width="10.5703125" style="809" customWidth="1"/>
    <col min="11013" max="11013" width="11.42578125" style="809" customWidth="1"/>
    <col min="11014" max="11264" width="0" style="809" hidden="1"/>
    <col min="11265" max="11265" width="56.28515625" style="809" customWidth="1"/>
    <col min="11266" max="11266" width="10.7109375" style="809" customWidth="1"/>
    <col min="11267" max="11267" width="13.85546875" style="809" customWidth="1"/>
    <col min="11268" max="11268" width="10.5703125" style="809" customWidth="1"/>
    <col min="11269" max="11269" width="11.42578125" style="809" customWidth="1"/>
    <col min="11270" max="11520" width="0" style="809" hidden="1"/>
    <col min="11521" max="11521" width="56.28515625" style="809" customWidth="1"/>
    <col min="11522" max="11522" width="10.7109375" style="809" customWidth="1"/>
    <col min="11523" max="11523" width="13.85546875" style="809" customWidth="1"/>
    <col min="11524" max="11524" width="10.5703125" style="809" customWidth="1"/>
    <col min="11525" max="11525" width="11.42578125" style="809" customWidth="1"/>
    <col min="11526" max="11776" width="0" style="809" hidden="1"/>
    <col min="11777" max="11777" width="56.28515625" style="809" customWidth="1"/>
    <col min="11778" max="11778" width="10.7109375" style="809" customWidth="1"/>
    <col min="11779" max="11779" width="13.85546875" style="809" customWidth="1"/>
    <col min="11780" max="11780" width="10.5703125" style="809" customWidth="1"/>
    <col min="11781" max="11781" width="11.42578125" style="809" customWidth="1"/>
    <col min="11782" max="12032" width="0" style="809" hidden="1"/>
    <col min="12033" max="12033" width="56.28515625" style="809" customWidth="1"/>
    <col min="12034" max="12034" width="10.7109375" style="809" customWidth="1"/>
    <col min="12035" max="12035" width="13.85546875" style="809" customWidth="1"/>
    <col min="12036" max="12036" width="10.5703125" style="809" customWidth="1"/>
    <col min="12037" max="12037" width="11.42578125" style="809" customWidth="1"/>
    <col min="12038" max="12288" width="0" style="809" hidden="1"/>
    <col min="12289" max="12289" width="56.28515625" style="809" customWidth="1"/>
    <col min="12290" max="12290" width="10.7109375" style="809" customWidth="1"/>
    <col min="12291" max="12291" width="13.85546875" style="809" customWidth="1"/>
    <col min="12292" max="12292" width="10.5703125" style="809" customWidth="1"/>
    <col min="12293" max="12293" width="11.42578125" style="809" customWidth="1"/>
    <col min="12294" max="12544" width="0" style="809" hidden="1"/>
    <col min="12545" max="12545" width="56.28515625" style="809" customWidth="1"/>
    <col min="12546" max="12546" width="10.7109375" style="809" customWidth="1"/>
    <col min="12547" max="12547" width="13.85546875" style="809" customWidth="1"/>
    <col min="12548" max="12548" width="10.5703125" style="809" customWidth="1"/>
    <col min="12549" max="12549" width="11.42578125" style="809" customWidth="1"/>
    <col min="12550" max="12800" width="0" style="809" hidden="1"/>
    <col min="12801" max="12801" width="56.28515625" style="809" customWidth="1"/>
    <col min="12802" max="12802" width="10.7109375" style="809" customWidth="1"/>
    <col min="12803" max="12803" width="13.85546875" style="809" customWidth="1"/>
    <col min="12804" max="12804" width="10.5703125" style="809" customWidth="1"/>
    <col min="12805" max="12805" width="11.42578125" style="809" customWidth="1"/>
    <col min="12806" max="13056" width="0" style="809" hidden="1"/>
    <col min="13057" max="13057" width="56.28515625" style="809" customWidth="1"/>
    <col min="13058" max="13058" width="10.7109375" style="809" customWidth="1"/>
    <col min="13059" max="13059" width="13.85546875" style="809" customWidth="1"/>
    <col min="13060" max="13060" width="10.5703125" style="809" customWidth="1"/>
    <col min="13061" max="13061" width="11.42578125" style="809" customWidth="1"/>
    <col min="13062" max="13312" width="0" style="809" hidden="1"/>
    <col min="13313" max="13313" width="56.28515625" style="809" customWidth="1"/>
    <col min="13314" max="13314" width="10.7109375" style="809" customWidth="1"/>
    <col min="13315" max="13315" width="13.85546875" style="809" customWidth="1"/>
    <col min="13316" max="13316" width="10.5703125" style="809" customWidth="1"/>
    <col min="13317" max="13317" width="11.42578125" style="809" customWidth="1"/>
    <col min="13318" max="13568" width="0" style="809" hidden="1"/>
    <col min="13569" max="13569" width="56.28515625" style="809" customWidth="1"/>
    <col min="13570" max="13570" width="10.7109375" style="809" customWidth="1"/>
    <col min="13571" max="13571" width="13.85546875" style="809" customWidth="1"/>
    <col min="13572" max="13572" width="10.5703125" style="809" customWidth="1"/>
    <col min="13573" max="13573" width="11.42578125" style="809" customWidth="1"/>
    <col min="13574" max="13824" width="0" style="809" hidden="1"/>
    <col min="13825" max="13825" width="56.28515625" style="809" customWidth="1"/>
    <col min="13826" max="13826" width="10.7109375" style="809" customWidth="1"/>
    <col min="13827" max="13827" width="13.85546875" style="809" customWidth="1"/>
    <col min="13828" max="13828" width="10.5703125" style="809" customWidth="1"/>
    <col min="13829" max="13829" width="11.42578125" style="809" customWidth="1"/>
    <col min="13830" max="14080" width="0" style="809" hidden="1"/>
    <col min="14081" max="14081" width="56.28515625" style="809" customWidth="1"/>
    <col min="14082" max="14082" width="10.7109375" style="809" customWidth="1"/>
    <col min="14083" max="14083" width="13.85546875" style="809" customWidth="1"/>
    <col min="14084" max="14084" width="10.5703125" style="809" customWidth="1"/>
    <col min="14085" max="14085" width="11.42578125" style="809" customWidth="1"/>
    <col min="14086" max="14336" width="0" style="809" hidden="1"/>
    <col min="14337" max="14337" width="56.28515625" style="809" customWidth="1"/>
    <col min="14338" max="14338" width="10.7109375" style="809" customWidth="1"/>
    <col min="14339" max="14339" width="13.85546875" style="809" customWidth="1"/>
    <col min="14340" max="14340" width="10.5703125" style="809" customWidth="1"/>
    <col min="14341" max="14341" width="11.42578125" style="809" customWidth="1"/>
    <col min="14342" max="14592" width="0" style="809" hidden="1"/>
    <col min="14593" max="14593" width="56.28515625" style="809" customWidth="1"/>
    <col min="14594" max="14594" width="10.7109375" style="809" customWidth="1"/>
    <col min="14595" max="14595" width="13.85546875" style="809" customWidth="1"/>
    <col min="14596" max="14596" width="10.5703125" style="809" customWidth="1"/>
    <col min="14597" max="14597" width="11.42578125" style="809" customWidth="1"/>
    <col min="14598" max="14848" width="0" style="809" hidden="1"/>
    <col min="14849" max="14849" width="56.28515625" style="809" customWidth="1"/>
    <col min="14850" max="14850" width="10.7109375" style="809" customWidth="1"/>
    <col min="14851" max="14851" width="13.85546875" style="809" customWidth="1"/>
    <col min="14852" max="14852" width="10.5703125" style="809" customWidth="1"/>
    <col min="14853" max="14853" width="11.42578125" style="809" customWidth="1"/>
    <col min="14854" max="15104" width="0" style="809" hidden="1"/>
    <col min="15105" max="15105" width="56.28515625" style="809" customWidth="1"/>
    <col min="15106" max="15106" width="10.7109375" style="809" customWidth="1"/>
    <col min="15107" max="15107" width="13.85546875" style="809" customWidth="1"/>
    <col min="15108" max="15108" width="10.5703125" style="809" customWidth="1"/>
    <col min="15109" max="15109" width="11.42578125" style="809" customWidth="1"/>
    <col min="15110" max="15360" width="0" style="809" hidden="1"/>
    <col min="15361" max="15361" width="56.28515625" style="809" customWidth="1"/>
    <col min="15362" max="15362" width="10.7109375" style="809" customWidth="1"/>
    <col min="15363" max="15363" width="13.85546875" style="809" customWidth="1"/>
    <col min="15364" max="15364" width="10.5703125" style="809" customWidth="1"/>
    <col min="15365" max="15365" width="11.42578125" style="809" customWidth="1"/>
    <col min="15366" max="15616" width="0" style="809" hidden="1"/>
    <col min="15617" max="15617" width="56.28515625" style="809" customWidth="1"/>
    <col min="15618" max="15618" width="10.7109375" style="809" customWidth="1"/>
    <col min="15619" max="15619" width="13.85546875" style="809" customWidth="1"/>
    <col min="15620" max="15620" width="10.5703125" style="809" customWidth="1"/>
    <col min="15621" max="15621" width="11.42578125" style="809" customWidth="1"/>
    <col min="15622" max="15872" width="0" style="809" hidden="1"/>
    <col min="15873" max="15873" width="56.28515625" style="809" customWidth="1"/>
    <col min="15874" max="15874" width="10.7109375" style="809" customWidth="1"/>
    <col min="15875" max="15875" width="13.85546875" style="809" customWidth="1"/>
    <col min="15876" max="15876" width="10.5703125" style="809" customWidth="1"/>
    <col min="15877" max="15877" width="11.42578125" style="809" customWidth="1"/>
    <col min="15878" max="16128" width="0" style="809" hidden="1"/>
    <col min="16129" max="16129" width="56.28515625" style="809" customWidth="1"/>
    <col min="16130" max="16130" width="10.7109375" style="809" customWidth="1"/>
    <col min="16131" max="16131" width="13.85546875" style="809" customWidth="1"/>
    <col min="16132" max="16132" width="10.5703125" style="809" customWidth="1"/>
    <col min="16133" max="16133" width="11.42578125" style="809" customWidth="1"/>
    <col min="16134" max="16384" width="0" style="809" hidden="1"/>
  </cols>
  <sheetData>
    <row r="1" spans="1:20" ht="20.25" x14ac:dyDescent="0.3">
      <c r="A1" s="870"/>
      <c r="B1" s="808"/>
      <c r="C1" s="808"/>
      <c r="D1" s="871"/>
    </row>
    <row r="2" spans="1:20" ht="23.25" x14ac:dyDescent="0.35">
      <c r="A2" s="872" t="str">
        <f>caratula!B16</f>
        <v>TRANSPORTES BONAMPAK, S.A. DE C.V.</v>
      </c>
      <c r="B2" s="808"/>
      <c r="C2" s="808"/>
      <c r="D2" s="871"/>
    </row>
    <row r="3" spans="1:20" ht="15.75" x14ac:dyDescent="0.25">
      <c r="A3" s="873"/>
      <c r="B3" s="808"/>
      <c r="C3" s="808"/>
      <c r="D3" s="871"/>
    </row>
    <row r="4" spans="1:20" ht="15.75" x14ac:dyDescent="0.25">
      <c r="A4" s="1020" t="str">
        <f>'Información Macroeconómica'!A4</f>
        <v>PRESUPUESTO  2014</v>
      </c>
      <c r="B4" s="810"/>
      <c r="C4" s="810"/>
      <c r="D4" s="874"/>
    </row>
    <row r="5" spans="1:20" ht="15.75" x14ac:dyDescent="0.25">
      <c r="A5" s="873" t="s">
        <v>9884</v>
      </c>
      <c r="B5" s="810"/>
      <c r="C5" s="810"/>
      <c r="D5" s="874"/>
    </row>
    <row r="6" spans="1:20" ht="16.5" thickBot="1" x14ac:dyDescent="0.3">
      <c r="A6" s="875" t="s">
        <v>9856</v>
      </c>
      <c r="B6" s="876"/>
      <c r="C6" s="876"/>
      <c r="D6" s="877"/>
    </row>
    <row r="7" spans="1:20" ht="13.5" thickTop="1" x14ac:dyDescent="0.2">
      <c r="A7" s="878"/>
      <c r="B7" s="879" t="s">
        <v>443</v>
      </c>
      <c r="C7" s="879" t="s">
        <v>52</v>
      </c>
      <c r="D7" s="880" t="s">
        <v>53</v>
      </c>
      <c r="T7" s="815"/>
    </row>
    <row r="8" spans="1:20" x14ac:dyDescent="0.2">
      <c r="A8" s="881" t="s">
        <v>9885</v>
      </c>
      <c r="B8" s="879" t="s">
        <v>28</v>
      </c>
      <c r="C8" s="879"/>
      <c r="D8" s="880"/>
      <c r="T8" s="815"/>
    </row>
    <row r="9" spans="1:20" x14ac:dyDescent="0.2">
      <c r="A9" s="882"/>
      <c r="B9" s="883">
        <v>2013</v>
      </c>
      <c r="C9" s="883">
        <v>2014</v>
      </c>
      <c r="D9" s="884" t="s">
        <v>7</v>
      </c>
      <c r="T9" s="815"/>
    </row>
    <row r="10" spans="1:20" x14ac:dyDescent="0.2">
      <c r="A10" s="878"/>
      <c r="B10" s="885"/>
      <c r="C10" s="885"/>
      <c r="D10" s="886"/>
      <c r="T10" s="815"/>
    </row>
    <row r="11" spans="1:20" ht="15.75" x14ac:dyDescent="0.25">
      <c r="A11" s="887" t="s">
        <v>9886</v>
      </c>
      <c r="B11" s="888"/>
      <c r="C11" s="888"/>
      <c r="D11" s="889"/>
      <c r="T11" s="815"/>
    </row>
    <row r="12" spans="1:20" x14ac:dyDescent="0.2">
      <c r="A12" s="878"/>
      <c r="B12" s="890"/>
      <c r="C12" s="890"/>
      <c r="D12" s="889"/>
      <c r="T12" s="815"/>
    </row>
    <row r="13" spans="1:20" x14ac:dyDescent="0.2">
      <c r="A13" s="878" t="s">
        <v>9887</v>
      </c>
      <c r="B13" s="891">
        <f>'Edo rdo ejercicio ante'!D8/1000</f>
        <v>12232.09</v>
      </c>
      <c r="C13" s="891">
        <f>Edo.Res.detalle!B7/1000</f>
        <v>13017.464711902676</v>
      </c>
      <c r="D13" s="892">
        <f>(C13/B13)-1</f>
        <v>6.4206093308884826E-2</v>
      </c>
      <c r="E13" s="893"/>
      <c r="T13" s="815"/>
    </row>
    <row r="14" spans="1:20" x14ac:dyDescent="0.2">
      <c r="A14" s="878" t="s">
        <v>9888</v>
      </c>
      <c r="B14" s="891">
        <v>176</v>
      </c>
      <c r="C14" s="891">
        <v>188</v>
      </c>
      <c r="D14" s="892">
        <f>(C14/B14)-1</f>
        <v>6.8181818181818121E-2</v>
      </c>
      <c r="T14" s="815"/>
    </row>
    <row r="15" spans="1:20" x14ac:dyDescent="0.2">
      <c r="A15" s="878" t="s">
        <v>9889</v>
      </c>
      <c r="B15" s="891">
        <f>'Edo rdo ejercicio ante'!D10</f>
        <v>38223</v>
      </c>
      <c r="C15" s="891">
        <f>Edo.Res.detalle!B9+Edo.Res.detalle!B13</f>
        <v>42058.327229655159</v>
      </c>
      <c r="D15" s="892">
        <f>(C15/B15)-1</f>
        <v>0.10034082174751213</v>
      </c>
      <c r="T15" s="815"/>
    </row>
    <row r="16" spans="1:20" x14ac:dyDescent="0.2">
      <c r="A16" s="878"/>
      <c r="B16" s="888"/>
      <c r="C16" s="888"/>
      <c r="D16" s="889"/>
      <c r="T16" s="815"/>
    </row>
    <row r="17" spans="1:20" ht="15.75" x14ac:dyDescent="0.25">
      <c r="A17" s="887" t="s">
        <v>9890</v>
      </c>
      <c r="B17" s="888"/>
      <c r="C17" s="888"/>
      <c r="D17" s="889"/>
      <c r="T17" s="815"/>
    </row>
    <row r="18" spans="1:20" x14ac:dyDescent="0.2">
      <c r="A18" s="878"/>
      <c r="B18" s="888"/>
      <c r="C18" s="888"/>
      <c r="D18" s="889"/>
      <c r="T18" s="815"/>
    </row>
    <row r="19" spans="1:20" x14ac:dyDescent="0.2">
      <c r="A19" s="894" t="s">
        <v>9891</v>
      </c>
      <c r="B19" s="888"/>
      <c r="C19" s="888"/>
      <c r="D19" s="889"/>
      <c r="T19" s="815"/>
    </row>
    <row r="20" spans="1:20" x14ac:dyDescent="0.2">
      <c r="A20" s="878" t="s">
        <v>9892</v>
      </c>
      <c r="B20" s="891">
        <f>'Edo rdo ejercicio ante'!D9</f>
        <v>1114400</v>
      </c>
      <c r="C20" s="891">
        <f>Edo.Res.detalle!B8</f>
        <v>1200000.2283109389</v>
      </c>
      <c r="D20" s="892">
        <f>(C20/B20)-1</f>
        <v>7.6812839474998951E-2</v>
      </c>
      <c r="E20" s="893"/>
      <c r="T20" s="815"/>
    </row>
    <row r="21" spans="1:20" x14ac:dyDescent="0.2">
      <c r="A21" s="878" t="s">
        <v>9893</v>
      </c>
      <c r="B21" s="891">
        <v>0</v>
      </c>
      <c r="C21" s="891">
        <f>'[4]Volumenes y Unidades'!N14</f>
        <v>0</v>
      </c>
      <c r="D21" s="892">
        <f>IF(B21=0,0,(C21/B21)-1)</f>
        <v>0</v>
      </c>
      <c r="E21" s="893"/>
      <c r="T21" s="815"/>
    </row>
    <row r="22" spans="1:20" x14ac:dyDescent="0.2">
      <c r="A22" s="878"/>
      <c r="B22" s="888"/>
      <c r="C22" s="888"/>
      <c r="D22" s="889"/>
      <c r="T22" s="815"/>
    </row>
    <row r="23" spans="1:20" x14ac:dyDescent="0.2">
      <c r="A23" s="895" t="s">
        <v>9894</v>
      </c>
      <c r="B23" s="896">
        <f>SUM(B20:B22)</f>
        <v>1114400</v>
      </c>
      <c r="C23" s="896">
        <f>SUM(C20:C22)</f>
        <v>1200000.2283109389</v>
      </c>
      <c r="D23" s="897">
        <f>(C23/B23)-1</f>
        <v>7.6812839474998951E-2</v>
      </c>
      <c r="E23" s="893"/>
      <c r="T23" s="815"/>
    </row>
    <row r="24" spans="1:20" x14ac:dyDescent="0.2">
      <c r="A24" s="878"/>
      <c r="B24" s="888"/>
      <c r="C24" s="888"/>
      <c r="D24" s="889"/>
      <c r="T24" s="815"/>
    </row>
    <row r="25" spans="1:20" hidden="1" x14ac:dyDescent="0.2">
      <c r="A25" s="895" t="s">
        <v>9895</v>
      </c>
      <c r="B25" s="898"/>
      <c r="C25" s="898"/>
      <c r="D25" s="889"/>
      <c r="T25" s="815"/>
    </row>
    <row r="26" spans="1:20" hidden="1" x14ac:dyDescent="0.2">
      <c r="A26" s="878" t="s">
        <v>9896</v>
      </c>
      <c r="B26" s="898">
        <v>51.303574762876252</v>
      </c>
      <c r="C26" s="898">
        <f>'[4]Estado de Resultados'!N17/C20</f>
        <v>80.210311483836378</v>
      </c>
      <c r="D26" s="899">
        <f>(C26/B26)-1</f>
        <v>0.56344488380324931</v>
      </c>
      <c r="T26" s="815"/>
    </row>
    <row r="27" spans="1:20" hidden="1" x14ac:dyDescent="0.2">
      <c r="A27" s="878" t="s">
        <v>9897</v>
      </c>
      <c r="B27" s="898">
        <v>15.675802880894913</v>
      </c>
      <c r="C27" s="898" t="e">
        <f>'[4]Estado de Resultados'!N18/C21</f>
        <v>#DIV/0!</v>
      </c>
      <c r="D27" s="899" t="e">
        <f>(C27/B27)-1</f>
        <v>#DIV/0!</v>
      </c>
      <c r="T27" s="815"/>
    </row>
    <row r="28" spans="1:20" hidden="1" x14ac:dyDescent="0.2">
      <c r="A28" s="878"/>
      <c r="B28" s="898"/>
      <c r="C28" s="898"/>
      <c r="D28" s="892"/>
      <c r="T28" s="815"/>
    </row>
    <row r="29" spans="1:20" hidden="1" x14ac:dyDescent="0.2">
      <c r="A29" s="895" t="s">
        <v>9898</v>
      </c>
      <c r="B29" s="900">
        <v>46.169233827211599</v>
      </c>
      <c r="C29" s="900">
        <f>'[4]Estado de Resultados'!N26/C23</f>
        <v>80.210311483836378</v>
      </c>
      <c r="D29" s="901">
        <f>(C29/B29)-1</f>
        <v>0.73731086342094265</v>
      </c>
      <c r="T29" s="815"/>
    </row>
    <row r="30" spans="1:20" hidden="1" x14ac:dyDescent="0.2">
      <c r="A30" s="895"/>
      <c r="B30" s="898"/>
      <c r="C30" s="898"/>
      <c r="D30" s="892"/>
      <c r="T30" s="815"/>
    </row>
    <row r="31" spans="1:20" x14ac:dyDescent="0.2">
      <c r="A31" s="895" t="s">
        <v>9895</v>
      </c>
      <c r="C31" s="898"/>
      <c r="D31" s="889"/>
      <c r="T31" s="815"/>
    </row>
    <row r="32" spans="1:20" x14ac:dyDescent="0.2">
      <c r="A32" s="878" t="s">
        <v>9899</v>
      </c>
      <c r="B32" s="898">
        <f>('Edo rdo ejercicio ante'!D13+'Edo rdo ejercicio ante'!D14)/'Edo rdo ejercicio ante'!D9</f>
        <v>263.54470836324481</v>
      </c>
      <c r="C32" s="898">
        <f>Edo.Res.detalle!B16/Edo.Res.detalle!B8</f>
        <v>276.33155649163604</v>
      </c>
      <c r="D32" s="892">
        <f>(C32/B32)-1</f>
        <v>4.8518705641272364E-2</v>
      </c>
      <c r="T32" s="815"/>
    </row>
    <row r="33" spans="1:20" x14ac:dyDescent="0.2">
      <c r="A33" s="878" t="s">
        <v>9900</v>
      </c>
      <c r="B33" s="898">
        <v>0</v>
      </c>
      <c r="C33" s="898">
        <f>IF(C21=0,0,+'[4]Estado de Resultados Reexpresad'!N22/C21)</f>
        <v>0</v>
      </c>
      <c r="D33" s="899">
        <f>(C33/B32)-1</f>
        <v>-1</v>
      </c>
      <c r="T33" s="815"/>
    </row>
    <row r="34" spans="1:20" x14ac:dyDescent="0.2">
      <c r="A34" s="878"/>
      <c r="B34" s="898"/>
      <c r="C34" s="898"/>
      <c r="D34" s="892"/>
      <c r="T34" s="815"/>
    </row>
    <row r="35" spans="1:20" x14ac:dyDescent="0.2">
      <c r="A35" s="895" t="s">
        <v>9901</v>
      </c>
      <c r="B35" s="900">
        <f>+[4]Efectivo2008!O23/B23</f>
        <v>86.607039369107383</v>
      </c>
      <c r="C35" s="900">
        <f>+'[4]Estado de Resultados Reexpresad'!N30/C23</f>
        <v>83.216236445812498</v>
      </c>
      <c r="D35" s="901">
        <f>(C35/B35)-1</f>
        <v>-3.9151585690901491E-2</v>
      </c>
      <c r="T35" s="815"/>
    </row>
    <row r="36" spans="1:20" x14ac:dyDescent="0.2">
      <c r="A36" s="895"/>
      <c r="B36" s="888"/>
      <c r="C36" s="888"/>
      <c r="D36" s="892"/>
      <c r="T36" s="815"/>
    </row>
    <row r="37" spans="1:20" ht="15.75" x14ac:dyDescent="0.25">
      <c r="A37" s="887" t="s">
        <v>9902</v>
      </c>
      <c r="B37" s="888"/>
      <c r="C37" s="888"/>
      <c r="D37" s="892"/>
      <c r="T37" s="815"/>
    </row>
    <row r="38" spans="1:20" ht="15.75" x14ac:dyDescent="0.25">
      <c r="A38" s="887"/>
      <c r="B38" s="888"/>
      <c r="C38" s="888"/>
      <c r="D38" s="892"/>
      <c r="T38" s="815"/>
    </row>
    <row r="39" spans="1:20" x14ac:dyDescent="0.2">
      <c r="A39" s="878" t="s">
        <v>9903</v>
      </c>
      <c r="B39" s="898">
        <v>68</v>
      </c>
      <c r="C39" s="891">
        <v>78</v>
      </c>
      <c r="D39" s="892">
        <f>(C39/B39)-1</f>
        <v>0.14705882352941169</v>
      </c>
      <c r="T39" s="815"/>
    </row>
    <row r="40" spans="1:20" x14ac:dyDescent="0.2">
      <c r="A40" s="878" t="s">
        <v>9904</v>
      </c>
      <c r="B40" s="898">
        <v>25</v>
      </c>
      <c r="C40" s="891">
        <v>25</v>
      </c>
      <c r="D40" s="892">
        <f>(C40/B40)-1</f>
        <v>0</v>
      </c>
      <c r="T40" s="815"/>
    </row>
    <row r="41" spans="1:20" x14ac:dyDescent="0.2">
      <c r="A41" s="878" t="s">
        <v>9905</v>
      </c>
      <c r="B41" s="898">
        <v>157</v>
      </c>
      <c r="C41" s="891">
        <v>175</v>
      </c>
      <c r="D41" s="892">
        <f>(C41/B41)-1</f>
        <v>0.11464968152866239</v>
      </c>
      <c r="T41" s="815"/>
    </row>
    <row r="42" spans="1:20" x14ac:dyDescent="0.2">
      <c r="A42" s="878"/>
      <c r="B42" s="898"/>
      <c r="C42" s="888"/>
      <c r="D42" s="892"/>
      <c r="T42" s="815"/>
    </row>
    <row r="43" spans="1:20" x14ac:dyDescent="0.2">
      <c r="A43" s="895" t="s">
        <v>9906</v>
      </c>
      <c r="B43" s="900">
        <f>SUM(B39:B42)</f>
        <v>250</v>
      </c>
      <c r="C43" s="896">
        <f>SUM(C39:C42)</f>
        <v>278</v>
      </c>
      <c r="D43" s="897">
        <f>(C43/B43)-1</f>
        <v>0.1120000000000001</v>
      </c>
      <c r="T43" s="815"/>
    </row>
    <row r="44" spans="1:20" x14ac:dyDescent="0.2">
      <c r="A44" s="878" t="s">
        <v>9907</v>
      </c>
      <c r="B44" s="902">
        <v>28</v>
      </c>
      <c r="C44" s="902">
        <v>30</v>
      </c>
      <c r="D44" s="897">
        <f>(C44/B44)-1</f>
        <v>7.1428571428571397E-2</v>
      </c>
      <c r="T44" s="815"/>
    </row>
    <row r="45" spans="1:20" ht="13.5" thickBot="1" x14ac:dyDescent="0.25">
      <c r="A45" s="903" t="s">
        <v>9908</v>
      </c>
      <c r="B45" s="904">
        <f>SUM(B43:B44)</f>
        <v>278</v>
      </c>
      <c r="C45" s="904">
        <f>SUM(C43:C44)</f>
        <v>308</v>
      </c>
      <c r="D45" s="905">
        <f>(C45/B45)-1</f>
        <v>0.1079136690647482</v>
      </c>
      <c r="T45" s="815"/>
    </row>
    <row r="46" spans="1:20" ht="13.5" thickTop="1" x14ac:dyDescent="0.2">
      <c r="A46" s="906"/>
      <c r="B46" s="893"/>
      <c r="C46" s="893"/>
      <c r="T46" s="815"/>
    </row>
    <row r="47" spans="1:20" x14ac:dyDescent="0.2">
      <c r="T47" s="815"/>
    </row>
    <row r="48" spans="1:20" x14ac:dyDescent="0.2">
      <c r="T48" s="815"/>
    </row>
    <row r="49" spans="20:20" x14ac:dyDescent="0.2">
      <c r="T49" s="815"/>
    </row>
    <row r="50" spans="20:20" x14ac:dyDescent="0.2"/>
    <row r="51" spans="20:20" x14ac:dyDescent="0.2"/>
    <row r="52" spans="20:20" x14ac:dyDescent="0.2"/>
    <row r="53" spans="20:20" x14ac:dyDescent="0.2"/>
    <row r="54" spans="20:20" x14ac:dyDescent="0.2"/>
    <row r="55" spans="20:20" x14ac:dyDescent="0.2"/>
    <row r="56" spans="20:20" x14ac:dyDescent="0.2"/>
    <row r="57" spans="20:20" x14ac:dyDescent="0.2"/>
    <row r="58" spans="20:20" x14ac:dyDescent="0.2"/>
    <row r="59" spans="20:20" x14ac:dyDescent="0.2">
      <c r="T59" s="815"/>
    </row>
    <row r="60" spans="20:20" hidden="1" x14ac:dyDescent="0.2">
      <c r="T60" s="815"/>
    </row>
    <row r="61" spans="20:20" hidden="1" x14ac:dyDescent="0.2">
      <c r="T61" s="815"/>
    </row>
    <row r="62" spans="20:20" hidden="1" x14ac:dyDescent="0.2">
      <c r="T62" s="815"/>
    </row>
    <row r="63" spans="20:20" hidden="1" x14ac:dyDescent="0.2">
      <c r="T63" s="815"/>
    </row>
    <row r="64" spans="20:20" hidden="1" x14ac:dyDescent="0.2">
      <c r="T64" s="815"/>
    </row>
    <row r="65" spans="20:20" hidden="1" x14ac:dyDescent="0.2">
      <c r="T65" s="815"/>
    </row>
    <row r="66" spans="20:20" hidden="1" x14ac:dyDescent="0.2">
      <c r="T66" s="815"/>
    </row>
    <row r="67" spans="20:20" hidden="1" x14ac:dyDescent="0.2">
      <c r="T67" s="815"/>
    </row>
    <row r="68" spans="20:20" hidden="1" x14ac:dyDescent="0.2">
      <c r="T68" s="815"/>
    </row>
    <row r="69" spans="20:20" hidden="1" x14ac:dyDescent="0.2">
      <c r="T69" s="815"/>
    </row>
    <row r="70" spans="20:20" hidden="1" x14ac:dyDescent="0.2">
      <c r="T70" s="815"/>
    </row>
    <row r="71" spans="20:20" hidden="1" x14ac:dyDescent="0.2">
      <c r="T71" s="815"/>
    </row>
    <row r="72" spans="20:20" hidden="1" x14ac:dyDescent="0.2">
      <c r="T72" s="815"/>
    </row>
    <row r="73" spans="20:20" hidden="1" x14ac:dyDescent="0.2">
      <c r="T73" s="815"/>
    </row>
    <row r="74" spans="20:20" hidden="1" x14ac:dyDescent="0.2">
      <c r="T74" s="815"/>
    </row>
    <row r="75" spans="20:20" hidden="1" x14ac:dyDescent="0.2">
      <c r="T75" s="815"/>
    </row>
    <row r="76" spans="20:20" hidden="1" x14ac:dyDescent="0.2">
      <c r="T76" s="815"/>
    </row>
    <row r="77" spans="20:20" hidden="1" x14ac:dyDescent="0.2">
      <c r="T77" s="815"/>
    </row>
    <row r="78" spans="20:20" hidden="1" x14ac:dyDescent="0.2">
      <c r="T78" s="815"/>
    </row>
    <row r="79" spans="20:20" hidden="1" x14ac:dyDescent="0.2">
      <c r="T79" s="815"/>
    </row>
    <row r="80" spans="20:20" hidden="1" x14ac:dyDescent="0.2">
      <c r="T80" s="815"/>
    </row>
    <row r="81" spans="20:20" hidden="1" x14ac:dyDescent="0.2">
      <c r="T81" s="815"/>
    </row>
    <row r="82" spans="20:20" hidden="1" x14ac:dyDescent="0.2">
      <c r="T82" s="815"/>
    </row>
    <row r="83" spans="20:20" hidden="1" x14ac:dyDescent="0.2">
      <c r="T83" s="815"/>
    </row>
    <row r="84" spans="20:20" hidden="1" x14ac:dyDescent="0.2">
      <c r="T84" s="815"/>
    </row>
    <row r="85" spans="20:20" hidden="1" x14ac:dyDescent="0.2">
      <c r="T85" s="815"/>
    </row>
    <row r="86" spans="20:20" hidden="1" x14ac:dyDescent="0.2">
      <c r="T86" s="815"/>
    </row>
    <row r="87" spans="20:20" hidden="1" x14ac:dyDescent="0.2">
      <c r="T87" s="815"/>
    </row>
    <row r="88" spans="20:20" hidden="1" x14ac:dyDescent="0.2">
      <c r="T88" s="815"/>
    </row>
    <row r="89" spans="20:20" hidden="1" x14ac:dyDescent="0.2">
      <c r="T89" s="815"/>
    </row>
    <row r="90" spans="20:20" hidden="1" x14ac:dyDescent="0.2">
      <c r="T90" s="815"/>
    </row>
    <row r="91" spans="20:20" hidden="1" x14ac:dyDescent="0.2">
      <c r="T91" s="815"/>
    </row>
    <row r="92" spans="20:20" hidden="1" x14ac:dyDescent="0.2">
      <c r="T92" s="815"/>
    </row>
    <row r="93" spans="20:20" hidden="1" x14ac:dyDescent="0.2">
      <c r="T93" s="815"/>
    </row>
    <row r="94" spans="20:20" hidden="1" x14ac:dyDescent="0.2">
      <c r="T94" s="815"/>
    </row>
    <row r="95" spans="20:20" hidden="1" x14ac:dyDescent="0.2">
      <c r="T95" s="815"/>
    </row>
    <row r="96" spans="20:20" hidden="1" x14ac:dyDescent="0.2">
      <c r="T96" s="815"/>
    </row>
    <row r="97" spans="20:20" hidden="1" x14ac:dyDescent="0.2">
      <c r="T97" s="81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theme="3" tint="-0.249977111117893"/>
    <pageSetUpPr fitToPage="1"/>
  </sheetPr>
  <dimension ref="A1:WVP109"/>
  <sheetViews>
    <sheetView zoomScale="80" zoomScaleNormal="80" workbookViewId="0">
      <selection activeCell="D19" sqref="D19"/>
    </sheetView>
  </sheetViews>
  <sheetFormatPr baseColWidth="10" defaultColWidth="0" defaultRowHeight="12.75" zeroHeight="1" x14ac:dyDescent="0.2"/>
  <cols>
    <col min="1" max="1" width="36.140625" style="809" customWidth="1"/>
    <col min="2" max="2" width="20.7109375" style="809" customWidth="1"/>
    <col min="3" max="3" width="8.85546875" style="809" customWidth="1"/>
    <col min="4" max="4" width="16.85546875" style="809" customWidth="1"/>
    <col min="5" max="5" width="9.7109375" style="809" customWidth="1"/>
    <col min="6" max="6" width="12.42578125" style="809" customWidth="1"/>
    <col min="7" max="7" width="62.7109375" style="809" hidden="1" customWidth="1"/>
    <col min="8" max="8" width="11.42578125" style="809" customWidth="1"/>
    <col min="9" max="9" width="37.140625" style="809" hidden="1" customWidth="1"/>
    <col min="10" max="11" width="16.42578125" style="809" hidden="1" customWidth="1"/>
    <col min="12" max="12" width="17.7109375" style="809" hidden="1" customWidth="1"/>
    <col min="13" max="13" width="16.42578125" style="809" hidden="1" customWidth="1"/>
    <col min="14" max="14" width="21.28515625" style="809" hidden="1" customWidth="1"/>
    <col min="15" max="15" width="62.28515625" style="809" hidden="1" customWidth="1"/>
    <col min="16" max="256" width="0" style="809" hidden="1"/>
    <col min="257" max="257" width="36.140625" style="809" hidden="1" customWidth="1"/>
    <col min="258" max="258" width="16.5703125" style="809" hidden="1" customWidth="1"/>
    <col min="259" max="259" width="8.85546875" style="809" hidden="1" customWidth="1"/>
    <col min="260" max="260" width="16.85546875" style="809" hidden="1" customWidth="1"/>
    <col min="261" max="261" width="9.7109375" style="809" hidden="1" customWidth="1"/>
    <col min="262" max="262" width="12.42578125" style="809" hidden="1" customWidth="1"/>
    <col min="263" max="263" width="0" style="809" hidden="1" customWidth="1"/>
    <col min="264" max="264" width="11.42578125" style="809" hidden="1" customWidth="1"/>
    <col min="265" max="271" width="0" style="809" hidden="1" customWidth="1"/>
    <col min="272" max="512" width="0" style="809" hidden="1"/>
    <col min="513" max="513" width="36.140625" style="809" hidden="1" customWidth="1"/>
    <col min="514" max="514" width="16.5703125" style="809" hidden="1" customWidth="1"/>
    <col min="515" max="515" width="8.85546875" style="809" hidden="1" customWidth="1"/>
    <col min="516" max="516" width="16.85546875" style="809" hidden="1" customWidth="1"/>
    <col min="517" max="517" width="9.7109375" style="809" hidden="1" customWidth="1"/>
    <col min="518" max="518" width="12.42578125" style="809" hidden="1" customWidth="1"/>
    <col min="519" max="519" width="0" style="809" hidden="1" customWidth="1"/>
    <col min="520" max="520" width="11.42578125" style="809" hidden="1" customWidth="1"/>
    <col min="521" max="527" width="0" style="809" hidden="1" customWidth="1"/>
    <col min="528" max="768" width="0" style="809" hidden="1"/>
    <col min="769" max="769" width="36.140625" style="809" hidden="1" customWidth="1"/>
    <col min="770" max="770" width="16.5703125" style="809" hidden="1" customWidth="1"/>
    <col min="771" max="771" width="8.85546875" style="809" hidden="1" customWidth="1"/>
    <col min="772" max="772" width="16.85546875" style="809" hidden="1" customWidth="1"/>
    <col min="773" max="773" width="9.7109375" style="809" hidden="1" customWidth="1"/>
    <col min="774" max="774" width="12.42578125" style="809" hidden="1" customWidth="1"/>
    <col min="775" max="775" width="0" style="809" hidden="1" customWidth="1"/>
    <col min="776" max="776" width="11.42578125" style="809" hidden="1" customWidth="1"/>
    <col min="777" max="783" width="0" style="809" hidden="1" customWidth="1"/>
    <col min="784" max="1024" width="0" style="809" hidden="1"/>
    <col min="1025" max="1025" width="36.140625" style="809" hidden="1" customWidth="1"/>
    <col min="1026" max="1026" width="16.5703125" style="809" hidden="1" customWidth="1"/>
    <col min="1027" max="1027" width="8.85546875" style="809" hidden="1" customWidth="1"/>
    <col min="1028" max="1028" width="16.85546875" style="809" hidden="1" customWidth="1"/>
    <col min="1029" max="1029" width="9.7109375" style="809" hidden="1" customWidth="1"/>
    <col min="1030" max="1030" width="12.42578125" style="809" hidden="1" customWidth="1"/>
    <col min="1031" max="1031" width="0" style="809" hidden="1" customWidth="1"/>
    <col min="1032" max="1032" width="11.42578125" style="809" hidden="1" customWidth="1"/>
    <col min="1033" max="1039" width="0" style="809" hidden="1" customWidth="1"/>
    <col min="1040" max="1280" width="0" style="809" hidden="1"/>
    <col min="1281" max="1281" width="36.140625" style="809" hidden="1" customWidth="1"/>
    <col min="1282" max="1282" width="16.5703125" style="809" hidden="1" customWidth="1"/>
    <col min="1283" max="1283" width="8.85546875" style="809" hidden="1" customWidth="1"/>
    <col min="1284" max="1284" width="16.85546875" style="809" hidden="1" customWidth="1"/>
    <col min="1285" max="1285" width="9.7109375" style="809" hidden="1" customWidth="1"/>
    <col min="1286" max="1286" width="12.42578125" style="809" hidden="1" customWidth="1"/>
    <col min="1287" max="1287" width="0" style="809" hidden="1" customWidth="1"/>
    <col min="1288" max="1288" width="11.42578125" style="809" hidden="1" customWidth="1"/>
    <col min="1289" max="1295" width="0" style="809" hidden="1" customWidth="1"/>
    <col min="1296" max="1536" width="0" style="809" hidden="1"/>
    <col min="1537" max="1537" width="36.140625" style="809" hidden="1" customWidth="1"/>
    <col min="1538" max="1538" width="16.5703125" style="809" hidden="1" customWidth="1"/>
    <col min="1539" max="1539" width="8.85546875" style="809" hidden="1" customWidth="1"/>
    <col min="1540" max="1540" width="16.85546875" style="809" hidden="1" customWidth="1"/>
    <col min="1541" max="1541" width="9.7109375" style="809" hidden="1" customWidth="1"/>
    <col min="1542" max="1542" width="12.42578125" style="809" hidden="1" customWidth="1"/>
    <col min="1543" max="1543" width="0" style="809" hidden="1" customWidth="1"/>
    <col min="1544" max="1544" width="11.42578125" style="809" hidden="1" customWidth="1"/>
    <col min="1545" max="1551" width="0" style="809" hidden="1" customWidth="1"/>
    <col min="1552" max="1792" width="0" style="809" hidden="1"/>
    <col min="1793" max="1793" width="36.140625" style="809" hidden="1" customWidth="1"/>
    <col min="1794" max="1794" width="16.5703125" style="809" hidden="1" customWidth="1"/>
    <col min="1795" max="1795" width="8.85546875" style="809" hidden="1" customWidth="1"/>
    <col min="1796" max="1796" width="16.85546875" style="809" hidden="1" customWidth="1"/>
    <col min="1797" max="1797" width="9.7109375" style="809" hidden="1" customWidth="1"/>
    <col min="1798" max="1798" width="12.42578125" style="809" hidden="1" customWidth="1"/>
    <col min="1799" max="1799" width="0" style="809" hidden="1" customWidth="1"/>
    <col min="1800" max="1800" width="11.42578125" style="809" hidden="1" customWidth="1"/>
    <col min="1801" max="1807" width="0" style="809" hidden="1" customWidth="1"/>
    <col min="1808" max="2048" width="0" style="809" hidden="1"/>
    <col min="2049" max="2049" width="36.140625" style="809" hidden="1" customWidth="1"/>
    <col min="2050" max="2050" width="16.5703125" style="809" hidden="1" customWidth="1"/>
    <col min="2051" max="2051" width="8.85546875" style="809" hidden="1" customWidth="1"/>
    <col min="2052" max="2052" width="16.85546875" style="809" hidden="1" customWidth="1"/>
    <col min="2053" max="2053" width="9.7109375" style="809" hidden="1" customWidth="1"/>
    <col min="2054" max="2054" width="12.42578125" style="809" hidden="1" customWidth="1"/>
    <col min="2055" max="2055" width="0" style="809" hidden="1" customWidth="1"/>
    <col min="2056" max="2056" width="11.42578125" style="809" hidden="1" customWidth="1"/>
    <col min="2057" max="2063" width="0" style="809" hidden="1" customWidth="1"/>
    <col min="2064" max="2304" width="0" style="809" hidden="1"/>
    <col min="2305" max="2305" width="36.140625" style="809" hidden="1" customWidth="1"/>
    <col min="2306" max="2306" width="16.5703125" style="809" hidden="1" customWidth="1"/>
    <col min="2307" max="2307" width="8.85546875" style="809" hidden="1" customWidth="1"/>
    <col min="2308" max="2308" width="16.85546875" style="809" hidden="1" customWidth="1"/>
    <col min="2309" max="2309" width="9.7109375" style="809" hidden="1" customWidth="1"/>
    <col min="2310" max="2310" width="12.42578125" style="809" hidden="1" customWidth="1"/>
    <col min="2311" max="2311" width="0" style="809" hidden="1" customWidth="1"/>
    <col min="2312" max="2312" width="11.42578125" style="809" hidden="1" customWidth="1"/>
    <col min="2313" max="2319" width="0" style="809" hidden="1" customWidth="1"/>
    <col min="2320" max="2560" width="0" style="809" hidden="1"/>
    <col min="2561" max="2561" width="36.140625" style="809" hidden="1" customWidth="1"/>
    <col min="2562" max="2562" width="16.5703125" style="809" hidden="1" customWidth="1"/>
    <col min="2563" max="2563" width="8.85546875" style="809" hidden="1" customWidth="1"/>
    <col min="2564" max="2564" width="16.85546875" style="809" hidden="1" customWidth="1"/>
    <col min="2565" max="2565" width="9.7109375" style="809" hidden="1" customWidth="1"/>
    <col min="2566" max="2566" width="12.42578125" style="809" hidden="1" customWidth="1"/>
    <col min="2567" max="2567" width="0" style="809" hidden="1" customWidth="1"/>
    <col min="2568" max="2568" width="11.42578125" style="809" hidden="1" customWidth="1"/>
    <col min="2569" max="2575" width="0" style="809" hidden="1" customWidth="1"/>
    <col min="2576" max="2816" width="0" style="809" hidden="1"/>
    <col min="2817" max="2817" width="36.140625" style="809" hidden="1" customWidth="1"/>
    <col min="2818" max="2818" width="16.5703125" style="809" hidden="1" customWidth="1"/>
    <col min="2819" max="2819" width="8.85546875" style="809" hidden="1" customWidth="1"/>
    <col min="2820" max="2820" width="16.85546875" style="809" hidden="1" customWidth="1"/>
    <col min="2821" max="2821" width="9.7109375" style="809" hidden="1" customWidth="1"/>
    <col min="2822" max="2822" width="12.42578125" style="809" hidden="1" customWidth="1"/>
    <col min="2823" max="2823" width="0" style="809" hidden="1" customWidth="1"/>
    <col min="2824" max="2824" width="11.42578125" style="809" hidden="1" customWidth="1"/>
    <col min="2825" max="2831" width="0" style="809" hidden="1" customWidth="1"/>
    <col min="2832" max="3072" width="0" style="809" hidden="1"/>
    <col min="3073" max="3073" width="36.140625" style="809" hidden="1" customWidth="1"/>
    <col min="3074" max="3074" width="16.5703125" style="809" hidden="1" customWidth="1"/>
    <col min="3075" max="3075" width="8.85546875" style="809" hidden="1" customWidth="1"/>
    <col min="3076" max="3076" width="16.85546875" style="809" hidden="1" customWidth="1"/>
    <col min="3077" max="3077" width="9.7109375" style="809" hidden="1" customWidth="1"/>
    <col min="3078" max="3078" width="12.42578125" style="809" hidden="1" customWidth="1"/>
    <col min="3079" max="3079" width="0" style="809" hidden="1" customWidth="1"/>
    <col min="3080" max="3080" width="11.42578125" style="809" hidden="1" customWidth="1"/>
    <col min="3081" max="3087" width="0" style="809" hidden="1" customWidth="1"/>
    <col min="3088" max="3328" width="0" style="809" hidden="1"/>
    <col min="3329" max="3329" width="36.140625" style="809" hidden="1" customWidth="1"/>
    <col min="3330" max="3330" width="16.5703125" style="809" hidden="1" customWidth="1"/>
    <col min="3331" max="3331" width="8.85546875" style="809" hidden="1" customWidth="1"/>
    <col min="3332" max="3332" width="16.85546875" style="809" hidden="1" customWidth="1"/>
    <col min="3333" max="3333" width="9.7109375" style="809" hidden="1" customWidth="1"/>
    <col min="3334" max="3334" width="12.42578125" style="809" hidden="1" customWidth="1"/>
    <col min="3335" max="3335" width="0" style="809" hidden="1" customWidth="1"/>
    <col min="3336" max="3336" width="11.42578125" style="809" hidden="1" customWidth="1"/>
    <col min="3337" max="3343" width="0" style="809" hidden="1" customWidth="1"/>
    <col min="3344" max="3584" width="0" style="809" hidden="1"/>
    <col min="3585" max="3585" width="36.140625" style="809" hidden="1" customWidth="1"/>
    <col min="3586" max="3586" width="16.5703125" style="809" hidden="1" customWidth="1"/>
    <col min="3587" max="3587" width="8.85546875" style="809" hidden="1" customWidth="1"/>
    <col min="3588" max="3588" width="16.85546875" style="809" hidden="1" customWidth="1"/>
    <col min="3589" max="3589" width="9.7109375" style="809" hidden="1" customWidth="1"/>
    <col min="3590" max="3590" width="12.42578125" style="809" hidden="1" customWidth="1"/>
    <col min="3591" max="3591" width="0" style="809" hidden="1" customWidth="1"/>
    <col min="3592" max="3592" width="11.42578125" style="809" hidden="1" customWidth="1"/>
    <col min="3593" max="3599" width="0" style="809" hidden="1" customWidth="1"/>
    <col min="3600" max="3840" width="0" style="809" hidden="1"/>
    <col min="3841" max="3841" width="36.140625" style="809" hidden="1" customWidth="1"/>
    <col min="3842" max="3842" width="16.5703125" style="809" hidden="1" customWidth="1"/>
    <col min="3843" max="3843" width="8.85546875" style="809" hidden="1" customWidth="1"/>
    <col min="3844" max="3844" width="16.85546875" style="809" hidden="1" customWidth="1"/>
    <col min="3845" max="3845" width="9.7109375" style="809" hidden="1" customWidth="1"/>
    <col min="3846" max="3846" width="12.42578125" style="809" hidden="1" customWidth="1"/>
    <col min="3847" max="3847" width="0" style="809" hidden="1" customWidth="1"/>
    <col min="3848" max="3848" width="11.42578125" style="809" hidden="1" customWidth="1"/>
    <col min="3849" max="3855" width="0" style="809" hidden="1" customWidth="1"/>
    <col min="3856" max="4096" width="0" style="809" hidden="1"/>
    <col min="4097" max="4097" width="36.140625" style="809" hidden="1" customWidth="1"/>
    <col min="4098" max="4098" width="16.5703125" style="809" hidden="1" customWidth="1"/>
    <col min="4099" max="4099" width="8.85546875" style="809" hidden="1" customWidth="1"/>
    <col min="4100" max="4100" width="16.85546875" style="809" hidden="1" customWidth="1"/>
    <col min="4101" max="4101" width="9.7109375" style="809" hidden="1" customWidth="1"/>
    <col min="4102" max="4102" width="12.42578125" style="809" hidden="1" customWidth="1"/>
    <col min="4103" max="4103" width="0" style="809" hidden="1" customWidth="1"/>
    <col min="4104" max="4104" width="11.42578125" style="809" hidden="1" customWidth="1"/>
    <col min="4105" max="4111" width="0" style="809" hidden="1" customWidth="1"/>
    <col min="4112" max="4352" width="0" style="809" hidden="1"/>
    <col min="4353" max="4353" width="36.140625" style="809" hidden="1" customWidth="1"/>
    <col min="4354" max="4354" width="16.5703125" style="809" hidden="1" customWidth="1"/>
    <col min="4355" max="4355" width="8.85546875" style="809" hidden="1" customWidth="1"/>
    <col min="4356" max="4356" width="16.85546875" style="809" hidden="1" customWidth="1"/>
    <col min="4357" max="4357" width="9.7109375" style="809" hidden="1" customWidth="1"/>
    <col min="4358" max="4358" width="12.42578125" style="809" hidden="1" customWidth="1"/>
    <col min="4359" max="4359" width="0" style="809" hidden="1" customWidth="1"/>
    <col min="4360" max="4360" width="11.42578125" style="809" hidden="1" customWidth="1"/>
    <col min="4361" max="4367" width="0" style="809" hidden="1" customWidth="1"/>
    <col min="4368" max="4608" width="0" style="809" hidden="1"/>
    <col min="4609" max="4609" width="36.140625" style="809" hidden="1" customWidth="1"/>
    <col min="4610" max="4610" width="16.5703125" style="809" hidden="1" customWidth="1"/>
    <col min="4611" max="4611" width="8.85546875" style="809" hidden="1" customWidth="1"/>
    <col min="4612" max="4612" width="16.85546875" style="809" hidden="1" customWidth="1"/>
    <col min="4613" max="4613" width="9.7109375" style="809" hidden="1" customWidth="1"/>
    <col min="4614" max="4614" width="12.42578125" style="809" hidden="1" customWidth="1"/>
    <col min="4615" max="4615" width="0" style="809" hidden="1" customWidth="1"/>
    <col min="4616" max="4616" width="11.42578125" style="809" hidden="1" customWidth="1"/>
    <col min="4617" max="4623" width="0" style="809" hidden="1" customWidth="1"/>
    <col min="4624" max="4864" width="0" style="809" hidden="1"/>
    <col min="4865" max="4865" width="36.140625" style="809" hidden="1" customWidth="1"/>
    <col min="4866" max="4866" width="16.5703125" style="809" hidden="1" customWidth="1"/>
    <col min="4867" max="4867" width="8.85546875" style="809" hidden="1" customWidth="1"/>
    <col min="4868" max="4868" width="16.85546875" style="809" hidden="1" customWidth="1"/>
    <col min="4869" max="4869" width="9.7109375" style="809" hidden="1" customWidth="1"/>
    <col min="4870" max="4870" width="12.42578125" style="809" hidden="1" customWidth="1"/>
    <col min="4871" max="4871" width="0" style="809" hidden="1" customWidth="1"/>
    <col min="4872" max="4872" width="11.42578125" style="809" hidden="1" customWidth="1"/>
    <col min="4873" max="4879" width="0" style="809" hidden="1" customWidth="1"/>
    <col min="4880" max="5120" width="0" style="809" hidden="1"/>
    <col min="5121" max="5121" width="36.140625" style="809" hidden="1" customWidth="1"/>
    <col min="5122" max="5122" width="16.5703125" style="809" hidden="1" customWidth="1"/>
    <col min="5123" max="5123" width="8.85546875" style="809" hidden="1" customWidth="1"/>
    <col min="5124" max="5124" width="16.85546875" style="809" hidden="1" customWidth="1"/>
    <col min="5125" max="5125" width="9.7109375" style="809" hidden="1" customWidth="1"/>
    <col min="5126" max="5126" width="12.42578125" style="809" hidden="1" customWidth="1"/>
    <col min="5127" max="5127" width="0" style="809" hidden="1" customWidth="1"/>
    <col min="5128" max="5128" width="11.42578125" style="809" hidden="1" customWidth="1"/>
    <col min="5129" max="5135" width="0" style="809" hidden="1" customWidth="1"/>
    <col min="5136" max="5376" width="0" style="809" hidden="1"/>
    <col min="5377" max="5377" width="36.140625" style="809" hidden="1" customWidth="1"/>
    <col min="5378" max="5378" width="16.5703125" style="809" hidden="1" customWidth="1"/>
    <col min="5379" max="5379" width="8.85546875" style="809" hidden="1" customWidth="1"/>
    <col min="5380" max="5380" width="16.85546875" style="809" hidden="1" customWidth="1"/>
    <col min="5381" max="5381" width="9.7109375" style="809" hidden="1" customWidth="1"/>
    <col min="5382" max="5382" width="12.42578125" style="809" hidden="1" customWidth="1"/>
    <col min="5383" max="5383" width="0" style="809" hidden="1" customWidth="1"/>
    <col min="5384" max="5384" width="11.42578125" style="809" hidden="1" customWidth="1"/>
    <col min="5385" max="5391" width="0" style="809" hidden="1" customWidth="1"/>
    <col min="5392" max="5632" width="0" style="809" hidden="1"/>
    <col min="5633" max="5633" width="36.140625" style="809" hidden="1" customWidth="1"/>
    <col min="5634" max="5634" width="16.5703125" style="809" hidden="1" customWidth="1"/>
    <col min="5635" max="5635" width="8.85546875" style="809" hidden="1" customWidth="1"/>
    <col min="5636" max="5636" width="16.85546875" style="809" hidden="1" customWidth="1"/>
    <col min="5637" max="5637" width="9.7109375" style="809" hidden="1" customWidth="1"/>
    <col min="5638" max="5638" width="12.42578125" style="809" hidden="1" customWidth="1"/>
    <col min="5639" max="5639" width="0" style="809" hidden="1" customWidth="1"/>
    <col min="5640" max="5640" width="11.42578125" style="809" hidden="1" customWidth="1"/>
    <col min="5641" max="5647" width="0" style="809" hidden="1" customWidth="1"/>
    <col min="5648" max="5888" width="0" style="809" hidden="1"/>
    <col min="5889" max="5889" width="36.140625" style="809" hidden="1" customWidth="1"/>
    <col min="5890" max="5890" width="16.5703125" style="809" hidden="1" customWidth="1"/>
    <col min="5891" max="5891" width="8.85546875" style="809" hidden="1" customWidth="1"/>
    <col min="5892" max="5892" width="16.85546875" style="809" hidden="1" customWidth="1"/>
    <col min="5893" max="5893" width="9.7109375" style="809" hidden="1" customWidth="1"/>
    <col min="5894" max="5894" width="12.42578125" style="809" hidden="1" customWidth="1"/>
    <col min="5895" max="5895" width="0" style="809" hidden="1" customWidth="1"/>
    <col min="5896" max="5896" width="11.42578125" style="809" hidden="1" customWidth="1"/>
    <col min="5897" max="5903" width="0" style="809" hidden="1" customWidth="1"/>
    <col min="5904" max="6144" width="0" style="809" hidden="1"/>
    <col min="6145" max="6145" width="36.140625" style="809" hidden="1" customWidth="1"/>
    <col min="6146" max="6146" width="16.5703125" style="809" hidden="1" customWidth="1"/>
    <col min="6147" max="6147" width="8.85546875" style="809" hidden="1" customWidth="1"/>
    <col min="6148" max="6148" width="16.85546875" style="809" hidden="1" customWidth="1"/>
    <col min="6149" max="6149" width="9.7109375" style="809" hidden="1" customWidth="1"/>
    <col min="6150" max="6150" width="12.42578125" style="809" hidden="1" customWidth="1"/>
    <col min="6151" max="6151" width="0" style="809" hidden="1" customWidth="1"/>
    <col min="6152" max="6152" width="11.42578125" style="809" hidden="1" customWidth="1"/>
    <col min="6153" max="6159" width="0" style="809" hidden="1" customWidth="1"/>
    <col min="6160" max="6400" width="0" style="809" hidden="1"/>
    <col min="6401" max="6401" width="36.140625" style="809" hidden="1" customWidth="1"/>
    <col min="6402" max="6402" width="16.5703125" style="809" hidden="1" customWidth="1"/>
    <col min="6403" max="6403" width="8.85546875" style="809" hidden="1" customWidth="1"/>
    <col min="6404" max="6404" width="16.85546875" style="809" hidden="1" customWidth="1"/>
    <col min="6405" max="6405" width="9.7109375" style="809" hidden="1" customWidth="1"/>
    <col min="6406" max="6406" width="12.42578125" style="809" hidden="1" customWidth="1"/>
    <col min="6407" max="6407" width="0" style="809" hidden="1" customWidth="1"/>
    <col min="6408" max="6408" width="11.42578125" style="809" hidden="1" customWidth="1"/>
    <col min="6409" max="6415" width="0" style="809" hidden="1" customWidth="1"/>
    <col min="6416" max="6656" width="0" style="809" hidden="1"/>
    <col min="6657" max="6657" width="36.140625" style="809" hidden="1" customWidth="1"/>
    <col min="6658" max="6658" width="16.5703125" style="809" hidden="1" customWidth="1"/>
    <col min="6659" max="6659" width="8.85546875" style="809" hidden="1" customWidth="1"/>
    <col min="6660" max="6660" width="16.85546875" style="809" hidden="1" customWidth="1"/>
    <col min="6661" max="6661" width="9.7109375" style="809" hidden="1" customWidth="1"/>
    <col min="6662" max="6662" width="12.42578125" style="809" hidden="1" customWidth="1"/>
    <col min="6663" max="6663" width="0" style="809" hidden="1" customWidth="1"/>
    <col min="6664" max="6664" width="11.42578125" style="809" hidden="1" customWidth="1"/>
    <col min="6665" max="6671" width="0" style="809" hidden="1" customWidth="1"/>
    <col min="6672" max="6912" width="0" style="809" hidden="1"/>
    <col min="6913" max="6913" width="36.140625" style="809" hidden="1" customWidth="1"/>
    <col min="6914" max="6914" width="16.5703125" style="809" hidden="1" customWidth="1"/>
    <col min="6915" max="6915" width="8.85546875" style="809" hidden="1" customWidth="1"/>
    <col min="6916" max="6916" width="16.85546875" style="809" hidden="1" customWidth="1"/>
    <col min="6917" max="6917" width="9.7109375" style="809" hidden="1" customWidth="1"/>
    <col min="6918" max="6918" width="12.42578125" style="809" hidden="1" customWidth="1"/>
    <col min="6919" max="6919" width="0" style="809" hidden="1" customWidth="1"/>
    <col min="6920" max="6920" width="11.42578125" style="809" hidden="1" customWidth="1"/>
    <col min="6921" max="6927" width="0" style="809" hidden="1" customWidth="1"/>
    <col min="6928" max="7168" width="0" style="809" hidden="1"/>
    <col min="7169" max="7169" width="36.140625" style="809" hidden="1" customWidth="1"/>
    <col min="7170" max="7170" width="16.5703125" style="809" hidden="1" customWidth="1"/>
    <col min="7171" max="7171" width="8.85546875" style="809" hidden="1" customWidth="1"/>
    <col min="7172" max="7172" width="16.85546875" style="809" hidden="1" customWidth="1"/>
    <col min="7173" max="7173" width="9.7109375" style="809" hidden="1" customWidth="1"/>
    <col min="7174" max="7174" width="12.42578125" style="809" hidden="1" customWidth="1"/>
    <col min="7175" max="7175" width="0" style="809" hidden="1" customWidth="1"/>
    <col min="7176" max="7176" width="11.42578125" style="809" hidden="1" customWidth="1"/>
    <col min="7177" max="7183" width="0" style="809" hidden="1" customWidth="1"/>
    <col min="7184" max="7424" width="0" style="809" hidden="1"/>
    <col min="7425" max="7425" width="36.140625" style="809" hidden="1" customWidth="1"/>
    <col min="7426" max="7426" width="16.5703125" style="809" hidden="1" customWidth="1"/>
    <col min="7427" max="7427" width="8.85546875" style="809" hidden="1" customWidth="1"/>
    <col min="7428" max="7428" width="16.85546875" style="809" hidden="1" customWidth="1"/>
    <col min="7429" max="7429" width="9.7109375" style="809" hidden="1" customWidth="1"/>
    <col min="7430" max="7430" width="12.42578125" style="809" hidden="1" customWidth="1"/>
    <col min="7431" max="7431" width="0" style="809" hidden="1" customWidth="1"/>
    <col min="7432" max="7432" width="11.42578125" style="809" hidden="1" customWidth="1"/>
    <col min="7433" max="7439" width="0" style="809" hidden="1" customWidth="1"/>
    <col min="7440" max="7680" width="0" style="809" hidden="1"/>
    <col min="7681" max="7681" width="36.140625" style="809" hidden="1" customWidth="1"/>
    <col min="7682" max="7682" width="16.5703125" style="809" hidden="1" customWidth="1"/>
    <col min="7683" max="7683" width="8.85546875" style="809" hidden="1" customWidth="1"/>
    <col min="7684" max="7684" width="16.85546875" style="809" hidden="1" customWidth="1"/>
    <col min="7685" max="7685" width="9.7109375" style="809" hidden="1" customWidth="1"/>
    <col min="7686" max="7686" width="12.42578125" style="809" hidden="1" customWidth="1"/>
    <col min="7687" max="7687" width="0" style="809" hidden="1" customWidth="1"/>
    <col min="7688" max="7688" width="11.42578125" style="809" hidden="1" customWidth="1"/>
    <col min="7689" max="7695" width="0" style="809" hidden="1" customWidth="1"/>
    <col min="7696" max="7936" width="0" style="809" hidden="1"/>
    <col min="7937" max="7937" width="36.140625" style="809" hidden="1" customWidth="1"/>
    <col min="7938" max="7938" width="16.5703125" style="809" hidden="1" customWidth="1"/>
    <col min="7939" max="7939" width="8.85546875" style="809" hidden="1" customWidth="1"/>
    <col min="7940" max="7940" width="16.85546875" style="809" hidden="1" customWidth="1"/>
    <col min="7941" max="7941" width="9.7109375" style="809" hidden="1" customWidth="1"/>
    <col min="7942" max="7942" width="12.42578125" style="809" hidden="1" customWidth="1"/>
    <col min="7943" max="7943" width="0" style="809" hidden="1" customWidth="1"/>
    <col min="7944" max="7944" width="11.42578125" style="809" hidden="1" customWidth="1"/>
    <col min="7945" max="7951" width="0" style="809" hidden="1" customWidth="1"/>
    <col min="7952" max="8192" width="0" style="809" hidden="1"/>
    <col min="8193" max="8193" width="36.140625" style="809" hidden="1" customWidth="1"/>
    <col min="8194" max="8194" width="16.5703125" style="809" hidden="1" customWidth="1"/>
    <col min="8195" max="8195" width="8.85546875" style="809" hidden="1" customWidth="1"/>
    <col min="8196" max="8196" width="16.85546875" style="809" hidden="1" customWidth="1"/>
    <col min="8197" max="8197" width="9.7109375" style="809" hidden="1" customWidth="1"/>
    <col min="8198" max="8198" width="12.42578125" style="809" hidden="1" customWidth="1"/>
    <col min="8199" max="8199" width="0" style="809" hidden="1" customWidth="1"/>
    <col min="8200" max="8200" width="11.42578125" style="809" hidden="1" customWidth="1"/>
    <col min="8201" max="8207" width="0" style="809" hidden="1" customWidth="1"/>
    <col min="8208" max="8448" width="0" style="809" hidden="1"/>
    <col min="8449" max="8449" width="36.140625" style="809" hidden="1" customWidth="1"/>
    <col min="8450" max="8450" width="16.5703125" style="809" hidden="1" customWidth="1"/>
    <col min="8451" max="8451" width="8.85546875" style="809" hidden="1" customWidth="1"/>
    <col min="8452" max="8452" width="16.85546875" style="809" hidden="1" customWidth="1"/>
    <col min="8453" max="8453" width="9.7109375" style="809" hidden="1" customWidth="1"/>
    <col min="8454" max="8454" width="12.42578125" style="809" hidden="1" customWidth="1"/>
    <col min="8455" max="8455" width="0" style="809" hidden="1" customWidth="1"/>
    <col min="8456" max="8456" width="11.42578125" style="809" hidden="1" customWidth="1"/>
    <col min="8457" max="8463" width="0" style="809" hidden="1" customWidth="1"/>
    <col min="8464" max="8704" width="0" style="809" hidden="1"/>
    <col min="8705" max="8705" width="36.140625" style="809" hidden="1" customWidth="1"/>
    <col min="8706" max="8706" width="16.5703125" style="809" hidden="1" customWidth="1"/>
    <col min="8707" max="8707" width="8.85546875" style="809" hidden="1" customWidth="1"/>
    <col min="8708" max="8708" width="16.85546875" style="809" hidden="1" customWidth="1"/>
    <col min="8709" max="8709" width="9.7109375" style="809" hidden="1" customWidth="1"/>
    <col min="8710" max="8710" width="12.42578125" style="809" hidden="1" customWidth="1"/>
    <col min="8711" max="8711" width="0" style="809" hidden="1" customWidth="1"/>
    <col min="8712" max="8712" width="11.42578125" style="809" hidden="1" customWidth="1"/>
    <col min="8713" max="8719" width="0" style="809" hidden="1" customWidth="1"/>
    <col min="8720" max="8960" width="0" style="809" hidden="1"/>
    <col min="8961" max="8961" width="36.140625" style="809" hidden="1" customWidth="1"/>
    <col min="8962" max="8962" width="16.5703125" style="809" hidden="1" customWidth="1"/>
    <col min="8963" max="8963" width="8.85546875" style="809" hidden="1" customWidth="1"/>
    <col min="8964" max="8964" width="16.85546875" style="809" hidden="1" customWidth="1"/>
    <col min="8965" max="8965" width="9.7109375" style="809" hidden="1" customWidth="1"/>
    <col min="8966" max="8966" width="12.42578125" style="809" hidden="1" customWidth="1"/>
    <col min="8967" max="8967" width="0" style="809" hidden="1" customWidth="1"/>
    <col min="8968" max="8968" width="11.42578125" style="809" hidden="1" customWidth="1"/>
    <col min="8969" max="8975" width="0" style="809" hidden="1" customWidth="1"/>
    <col min="8976" max="9216" width="0" style="809" hidden="1"/>
    <col min="9217" max="9217" width="36.140625" style="809" hidden="1" customWidth="1"/>
    <col min="9218" max="9218" width="16.5703125" style="809" hidden="1" customWidth="1"/>
    <col min="9219" max="9219" width="8.85546875" style="809" hidden="1" customWidth="1"/>
    <col min="9220" max="9220" width="16.85546875" style="809" hidden="1" customWidth="1"/>
    <col min="9221" max="9221" width="9.7109375" style="809" hidden="1" customWidth="1"/>
    <col min="9222" max="9222" width="12.42578125" style="809" hidden="1" customWidth="1"/>
    <col min="9223" max="9223" width="0" style="809" hidden="1" customWidth="1"/>
    <col min="9224" max="9224" width="11.42578125" style="809" hidden="1" customWidth="1"/>
    <col min="9225" max="9231" width="0" style="809" hidden="1" customWidth="1"/>
    <col min="9232" max="9472" width="0" style="809" hidden="1"/>
    <col min="9473" max="9473" width="36.140625" style="809" hidden="1" customWidth="1"/>
    <col min="9474" max="9474" width="16.5703125" style="809" hidden="1" customWidth="1"/>
    <col min="9475" max="9475" width="8.85546875" style="809" hidden="1" customWidth="1"/>
    <col min="9476" max="9476" width="16.85546875" style="809" hidden="1" customWidth="1"/>
    <col min="9477" max="9477" width="9.7109375" style="809" hidden="1" customWidth="1"/>
    <col min="9478" max="9478" width="12.42578125" style="809" hidden="1" customWidth="1"/>
    <col min="9479" max="9479" width="0" style="809" hidden="1" customWidth="1"/>
    <col min="9480" max="9480" width="11.42578125" style="809" hidden="1" customWidth="1"/>
    <col min="9481" max="9487" width="0" style="809" hidden="1" customWidth="1"/>
    <col min="9488" max="9728" width="0" style="809" hidden="1"/>
    <col min="9729" max="9729" width="36.140625" style="809" hidden="1" customWidth="1"/>
    <col min="9730" max="9730" width="16.5703125" style="809" hidden="1" customWidth="1"/>
    <col min="9731" max="9731" width="8.85546875" style="809" hidden="1" customWidth="1"/>
    <col min="9732" max="9732" width="16.85546875" style="809" hidden="1" customWidth="1"/>
    <col min="9733" max="9733" width="9.7109375" style="809" hidden="1" customWidth="1"/>
    <col min="9734" max="9734" width="12.42578125" style="809" hidden="1" customWidth="1"/>
    <col min="9735" max="9735" width="0" style="809" hidden="1" customWidth="1"/>
    <col min="9736" max="9736" width="11.42578125" style="809" hidden="1" customWidth="1"/>
    <col min="9737" max="9743" width="0" style="809" hidden="1" customWidth="1"/>
    <col min="9744" max="9984" width="0" style="809" hidden="1"/>
    <col min="9985" max="9985" width="36.140625" style="809" hidden="1" customWidth="1"/>
    <col min="9986" max="9986" width="16.5703125" style="809" hidden="1" customWidth="1"/>
    <col min="9987" max="9987" width="8.85546875" style="809" hidden="1" customWidth="1"/>
    <col min="9988" max="9988" width="16.85546875" style="809" hidden="1" customWidth="1"/>
    <col min="9989" max="9989" width="9.7109375" style="809" hidden="1" customWidth="1"/>
    <col min="9990" max="9990" width="12.42578125" style="809" hidden="1" customWidth="1"/>
    <col min="9991" max="9991" width="0" style="809" hidden="1" customWidth="1"/>
    <col min="9992" max="9992" width="11.42578125" style="809" hidden="1" customWidth="1"/>
    <col min="9993" max="9999" width="0" style="809" hidden="1" customWidth="1"/>
    <col min="10000" max="10240" width="0" style="809" hidden="1"/>
    <col min="10241" max="10241" width="36.140625" style="809" hidden="1" customWidth="1"/>
    <col min="10242" max="10242" width="16.5703125" style="809" hidden="1" customWidth="1"/>
    <col min="10243" max="10243" width="8.85546875" style="809" hidden="1" customWidth="1"/>
    <col min="10244" max="10244" width="16.85546875" style="809" hidden="1" customWidth="1"/>
    <col min="10245" max="10245" width="9.7109375" style="809" hidden="1" customWidth="1"/>
    <col min="10246" max="10246" width="12.42578125" style="809" hidden="1" customWidth="1"/>
    <col min="10247" max="10247" width="0" style="809" hidden="1" customWidth="1"/>
    <col min="10248" max="10248" width="11.42578125" style="809" hidden="1" customWidth="1"/>
    <col min="10249" max="10255" width="0" style="809" hidden="1" customWidth="1"/>
    <col min="10256" max="10496" width="0" style="809" hidden="1"/>
    <col min="10497" max="10497" width="36.140625" style="809" hidden="1" customWidth="1"/>
    <col min="10498" max="10498" width="16.5703125" style="809" hidden="1" customWidth="1"/>
    <col min="10499" max="10499" width="8.85546875" style="809" hidden="1" customWidth="1"/>
    <col min="10500" max="10500" width="16.85546875" style="809" hidden="1" customWidth="1"/>
    <col min="10501" max="10501" width="9.7109375" style="809" hidden="1" customWidth="1"/>
    <col min="10502" max="10502" width="12.42578125" style="809" hidden="1" customWidth="1"/>
    <col min="10503" max="10503" width="0" style="809" hidden="1" customWidth="1"/>
    <col min="10504" max="10504" width="11.42578125" style="809" hidden="1" customWidth="1"/>
    <col min="10505" max="10511" width="0" style="809" hidden="1" customWidth="1"/>
    <col min="10512" max="10752" width="0" style="809" hidden="1"/>
    <col min="10753" max="10753" width="36.140625" style="809" hidden="1" customWidth="1"/>
    <col min="10754" max="10754" width="16.5703125" style="809" hidden="1" customWidth="1"/>
    <col min="10755" max="10755" width="8.85546875" style="809" hidden="1" customWidth="1"/>
    <col min="10756" max="10756" width="16.85546875" style="809" hidden="1" customWidth="1"/>
    <col min="10757" max="10757" width="9.7109375" style="809" hidden="1" customWidth="1"/>
    <col min="10758" max="10758" width="12.42578125" style="809" hidden="1" customWidth="1"/>
    <col min="10759" max="10759" width="0" style="809" hidden="1" customWidth="1"/>
    <col min="10760" max="10760" width="11.42578125" style="809" hidden="1" customWidth="1"/>
    <col min="10761" max="10767" width="0" style="809" hidden="1" customWidth="1"/>
    <col min="10768" max="11008" width="0" style="809" hidden="1"/>
    <col min="11009" max="11009" width="36.140625" style="809" hidden="1" customWidth="1"/>
    <col min="11010" max="11010" width="16.5703125" style="809" hidden="1" customWidth="1"/>
    <col min="11011" max="11011" width="8.85546875" style="809" hidden="1" customWidth="1"/>
    <col min="11012" max="11012" width="16.85546875" style="809" hidden="1" customWidth="1"/>
    <col min="11013" max="11013" width="9.7109375" style="809" hidden="1" customWidth="1"/>
    <col min="11014" max="11014" width="12.42578125" style="809" hidden="1" customWidth="1"/>
    <col min="11015" max="11015" width="0" style="809" hidden="1" customWidth="1"/>
    <col min="11016" max="11016" width="11.42578125" style="809" hidden="1" customWidth="1"/>
    <col min="11017" max="11023" width="0" style="809" hidden="1" customWidth="1"/>
    <col min="11024" max="11264" width="0" style="809" hidden="1"/>
    <col min="11265" max="11265" width="36.140625" style="809" hidden="1" customWidth="1"/>
    <col min="11266" max="11266" width="16.5703125" style="809" hidden="1" customWidth="1"/>
    <col min="11267" max="11267" width="8.85546875" style="809" hidden="1" customWidth="1"/>
    <col min="11268" max="11268" width="16.85546875" style="809" hidden="1" customWidth="1"/>
    <col min="11269" max="11269" width="9.7109375" style="809" hidden="1" customWidth="1"/>
    <col min="11270" max="11270" width="12.42578125" style="809" hidden="1" customWidth="1"/>
    <col min="11271" max="11271" width="0" style="809" hidden="1" customWidth="1"/>
    <col min="11272" max="11272" width="11.42578125" style="809" hidden="1" customWidth="1"/>
    <col min="11273" max="11279" width="0" style="809" hidden="1" customWidth="1"/>
    <col min="11280" max="11520" width="0" style="809" hidden="1"/>
    <col min="11521" max="11521" width="36.140625" style="809" hidden="1" customWidth="1"/>
    <col min="11522" max="11522" width="16.5703125" style="809" hidden="1" customWidth="1"/>
    <col min="11523" max="11523" width="8.85546875" style="809" hidden="1" customWidth="1"/>
    <col min="11524" max="11524" width="16.85546875" style="809" hidden="1" customWidth="1"/>
    <col min="11525" max="11525" width="9.7109375" style="809" hidden="1" customWidth="1"/>
    <col min="11526" max="11526" width="12.42578125" style="809" hidden="1" customWidth="1"/>
    <col min="11527" max="11527" width="0" style="809" hidden="1" customWidth="1"/>
    <col min="11528" max="11528" width="11.42578125" style="809" hidden="1" customWidth="1"/>
    <col min="11529" max="11535" width="0" style="809" hidden="1" customWidth="1"/>
    <col min="11536" max="11776" width="0" style="809" hidden="1"/>
    <col min="11777" max="11777" width="36.140625" style="809" hidden="1" customWidth="1"/>
    <col min="11778" max="11778" width="16.5703125" style="809" hidden="1" customWidth="1"/>
    <col min="11779" max="11779" width="8.85546875" style="809" hidden="1" customWidth="1"/>
    <col min="11780" max="11780" width="16.85546875" style="809" hidden="1" customWidth="1"/>
    <col min="11781" max="11781" width="9.7109375" style="809" hidden="1" customWidth="1"/>
    <col min="11782" max="11782" width="12.42578125" style="809" hidden="1" customWidth="1"/>
    <col min="11783" max="11783" width="0" style="809" hidden="1" customWidth="1"/>
    <col min="11784" max="11784" width="11.42578125" style="809" hidden="1" customWidth="1"/>
    <col min="11785" max="11791" width="0" style="809" hidden="1" customWidth="1"/>
    <col min="11792" max="12032" width="0" style="809" hidden="1"/>
    <col min="12033" max="12033" width="36.140625" style="809" hidden="1" customWidth="1"/>
    <col min="12034" max="12034" width="16.5703125" style="809" hidden="1" customWidth="1"/>
    <col min="12035" max="12035" width="8.85546875" style="809" hidden="1" customWidth="1"/>
    <col min="12036" max="12036" width="16.85546875" style="809" hidden="1" customWidth="1"/>
    <col min="12037" max="12037" width="9.7109375" style="809" hidden="1" customWidth="1"/>
    <col min="12038" max="12038" width="12.42578125" style="809" hidden="1" customWidth="1"/>
    <col min="12039" max="12039" width="0" style="809" hidden="1" customWidth="1"/>
    <col min="12040" max="12040" width="11.42578125" style="809" hidden="1" customWidth="1"/>
    <col min="12041" max="12047" width="0" style="809" hidden="1" customWidth="1"/>
    <col min="12048" max="12288" width="0" style="809" hidden="1"/>
    <col min="12289" max="12289" width="36.140625" style="809" hidden="1" customWidth="1"/>
    <col min="12290" max="12290" width="16.5703125" style="809" hidden="1" customWidth="1"/>
    <col min="12291" max="12291" width="8.85546875" style="809" hidden="1" customWidth="1"/>
    <col min="12292" max="12292" width="16.85546875" style="809" hidden="1" customWidth="1"/>
    <col min="12293" max="12293" width="9.7109375" style="809" hidden="1" customWidth="1"/>
    <col min="12294" max="12294" width="12.42578125" style="809" hidden="1" customWidth="1"/>
    <col min="12295" max="12295" width="0" style="809" hidden="1" customWidth="1"/>
    <col min="12296" max="12296" width="11.42578125" style="809" hidden="1" customWidth="1"/>
    <col min="12297" max="12303" width="0" style="809" hidden="1" customWidth="1"/>
    <col min="12304" max="12544" width="0" style="809" hidden="1"/>
    <col min="12545" max="12545" width="36.140625" style="809" hidden="1" customWidth="1"/>
    <col min="12546" max="12546" width="16.5703125" style="809" hidden="1" customWidth="1"/>
    <col min="12547" max="12547" width="8.85546875" style="809" hidden="1" customWidth="1"/>
    <col min="12548" max="12548" width="16.85546875" style="809" hidden="1" customWidth="1"/>
    <col min="12549" max="12549" width="9.7109375" style="809" hidden="1" customWidth="1"/>
    <col min="12550" max="12550" width="12.42578125" style="809" hidden="1" customWidth="1"/>
    <col min="12551" max="12551" width="0" style="809" hidden="1" customWidth="1"/>
    <col min="12552" max="12552" width="11.42578125" style="809" hidden="1" customWidth="1"/>
    <col min="12553" max="12559" width="0" style="809" hidden="1" customWidth="1"/>
    <col min="12560" max="12800" width="0" style="809" hidden="1"/>
    <col min="12801" max="12801" width="36.140625" style="809" hidden="1" customWidth="1"/>
    <col min="12802" max="12802" width="16.5703125" style="809" hidden="1" customWidth="1"/>
    <col min="12803" max="12803" width="8.85546875" style="809" hidden="1" customWidth="1"/>
    <col min="12804" max="12804" width="16.85546875" style="809" hidden="1" customWidth="1"/>
    <col min="12805" max="12805" width="9.7109375" style="809" hidden="1" customWidth="1"/>
    <col min="12806" max="12806" width="12.42578125" style="809" hidden="1" customWidth="1"/>
    <col min="12807" max="12807" width="0" style="809" hidden="1" customWidth="1"/>
    <col min="12808" max="12808" width="11.42578125" style="809" hidden="1" customWidth="1"/>
    <col min="12809" max="12815" width="0" style="809" hidden="1" customWidth="1"/>
    <col min="12816" max="13056" width="0" style="809" hidden="1"/>
    <col min="13057" max="13057" width="36.140625" style="809" hidden="1" customWidth="1"/>
    <col min="13058" max="13058" width="16.5703125" style="809" hidden="1" customWidth="1"/>
    <col min="13059" max="13059" width="8.85546875" style="809" hidden="1" customWidth="1"/>
    <col min="13060" max="13060" width="16.85546875" style="809" hidden="1" customWidth="1"/>
    <col min="13061" max="13061" width="9.7109375" style="809" hidden="1" customWidth="1"/>
    <col min="13062" max="13062" width="12.42578125" style="809" hidden="1" customWidth="1"/>
    <col min="13063" max="13063" width="0" style="809" hidden="1" customWidth="1"/>
    <col min="13064" max="13064" width="11.42578125" style="809" hidden="1" customWidth="1"/>
    <col min="13065" max="13071" width="0" style="809" hidden="1" customWidth="1"/>
    <col min="13072" max="13312" width="0" style="809" hidden="1"/>
    <col min="13313" max="13313" width="36.140625" style="809" hidden="1" customWidth="1"/>
    <col min="13314" max="13314" width="16.5703125" style="809" hidden="1" customWidth="1"/>
    <col min="13315" max="13315" width="8.85546875" style="809" hidden="1" customWidth="1"/>
    <col min="13316" max="13316" width="16.85546875" style="809" hidden="1" customWidth="1"/>
    <col min="13317" max="13317" width="9.7109375" style="809" hidden="1" customWidth="1"/>
    <col min="13318" max="13318" width="12.42578125" style="809" hidden="1" customWidth="1"/>
    <col min="13319" max="13319" width="0" style="809" hidden="1" customWidth="1"/>
    <col min="13320" max="13320" width="11.42578125" style="809" hidden="1" customWidth="1"/>
    <col min="13321" max="13327" width="0" style="809" hidden="1" customWidth="1"/>
    <col min="13328" max="13568" width="0" style="809" hidden="1"/>
    <col min="13569" max="13569" width="36.140625" style="809" hidden="1" customWidth="1"/>
    <col min="13570" max="13570" width="16.5703125" style="809" hidden="1" customWidth="1"/>
    <col min="13571" max="13571" width="8.85546875" style="809" hidden="1" customWidth="1"/>
    <col min="13572" max="13572" width="16.85546875" style="809" hidden="1" customWidth="1"/>
    <col min="13573" max="13573" width="9.7109375" style="809" hidden="1" customWidth="1"/>
    <col min="13574" max="13574" width="12.42578125" style="809" hidden="1" customWidth="1"/>
    <col min="13575" max="13575" width="0" style="809" hidden="1" customWidth="1"/>
    <col min="13576" max="13576" width="11.42578125" style="809" hidden="1" customWidth="1"/>
    <col min="13577" max="13583" width="0" style="809" hidden="1" customWidth="1"/>
    <col min="13584" max="13824" width="0" style="809" hidden="1"/>
    <col min="13825" max="13825" width="36.140625" style="809" hidden="1" customWidth="1"/>
    <col min="13826" max="13826" width="16.5703125" style="809" hidden="1" customWidth="1"/>
    <col min="13827" max="13827" width="8.85546875" style="809" hidden="1" customWidth="1"/>
    <col min="13828" max="13828" width="16.85546875" style="809" hidden="1" customWidth="1"/>
    <col min="13829" max="13829" width="9.7109375" style="809" hidden="1" customWidth="1"/>
    <col min="13830" max="13830" width="12.42578125" style="809" hidden="1" customWidth="1"/>
    <col min="13831" max="13831" width="0" style="809" hidden="1" customWidth="1"/>
    <col min="13832" max="13832" width="11.42578125" style="809" hidden="1" customWidth="1"/>
    <col min="13833" max="13839" width="0" style="809" hidden="1" customWidth="1"/>
    <col min="13840" max="14080" width="0" style="809" hidden="1"/>
    <col min="14081" max="14081" width="36.140625" style="809" hidden="1" customWidth="1"/>
    <col min="14082" max="14082" width="16.5703125" style="809" hidden="1" customWidth="1"/>
    <col min="14083" max="14083" width="8.85546875" style="809" hidden="1" customWidth="1"/>
    <col min="14084" max="14084" width="16.85546875" style="809" hidden="1" customWidth="1"/>
    <col min="14085" max="14085" width="9.7109375" style="809" hidden="1" customWidth="1"/>
    <col min="14086" max="14086" width="12.42578125" style="809" hidden="1" customWidth="1"/>
    <col min="14087" max="14087" width="0" style="809" hidden="1" customWidth="1"/>
    <col min="14088" max="14088" width="11.42578125" style="809" hidden="1" customWidth="1"/>
    <col min="14089" max="14095" width="0" style="809" hidden="1" customWidth="1"/>
    <col min="14096" max="14336" width="0" style="809" hidden="1"/>
    <col min="14337" max="14337" width="36.140625" style="809" hidden="1" customWidth="1"/>
    <col min="14338" max="14338" width="16.5703125" style="809" hidden="1" customWidth="1"/>
    <col min="14339" max="14339" width="8.85546875" style="809" hidden="1" customWidth="1"/>
    <col min="14340" max="14340" width="16.85546875" style="809" hidden="1" customWidth="1"/>
    <col min="14341" max="14341" width="9.7109375" style="809" hidden="1" customWidth="1"/>
    <col min="14342" max="14342" width="12.42578125" style="809" hidden="1" customWidth="1"/>
    <col min="14343" max="14343" width="0" style="809" hidden="1" customWidth="1"/>
    <col min="14344" max="14344" width="11.42578125" style="809" hidden="1" customWidth="1"/>
    <col min="14345" max="14351" width="0" style="809" hidden="1" customWidth="1"/>
    <col min="14352" max="14592" width="0" style="809" hidden="1"/>
    <col min="14593" max="14593" width="36.140625" style="809" hidden="1" customWidth="1"/>
    <col min="14594" max="14594" width="16.5703125" style="809" hidden="1" customWidth="1"/>
    <col min="14595" max="14595" width="8.85546875" style="809" hidden="1" customWidth="1"/>
    <col min="14596" max="14596" width="16.85546875" style="809" hidden="1" customWidth="1"/>
    <col min="14597" max="14597" width="9.7109375" style="809" hidden="1" customWidth="1"/>
    <col min="14598" max="14598" width="12.42578125" style="809" hidden="1" customWidth="1"/>
    <col min="14599" max="14599" width="0" style="809" hidden="1" customWidth="1"/>
    <col min="14600" max="14600" width="11.42578125" style="809" hidden="1" customWidth="1"/>
    <col min="14601" max="14607" width="0" style="809" hidden="1" customWidth="1"/>
    <col min="14608" max="14848" width="0" style="809" hidden="1"/>
    <col min="14849" max="14849" width="36.140625" style="809" hidden="1" customWidth="1"/>
    <col min="14850" max="14850" width="16.5703125" style="809" hidden="1" customWidth="1"/>
    <col min="14851" max="14851" width="8.85546875" style="809" hidden="1" customWidth="1"/>
    <col min="14852" max="14852" width="16.85546875" style="809" hidden="1" customWidth="1"/>
    <col min="14853" max="14853" width="9.7109375" style="809" hidden="1" customWidth="1"/>
    <col min="14854" max="14854" width="12.42578125" style="809" hidden="1" customWidth="1"/>
    <col min="14855" max="14855" width="0" style="809" hidden="1" customWidth="1"/>
    <col min="14856" max="14856" width="11.42578125" style="809" hidden="1" customWidth="1"/>
    <col min="14857" max="14863" width="0" style="809" hidden="1" customWidth="1"/>
    <col min="14864" max="15104" width="0" style="809" hidden="1"/>
    <col min="15105" max="15105" width="36.140625" style="809" hidden="1" customWidth="1"/>
    <col min="15106" max="15106" width="16.5703125" style="809" hidden="1" customWidth="1"/>
    <col min="15107" max="15107" width="8.85546875" style="809" hidden="1" customWidth="1"/>
    <col min="15108" max="15108" width="16.85546875" style="809" hidden="1" customWidth="1"/>
    <col min="15109" max="15109" width="9.7109375" style="809" hidden="1" customWidth="1"/>
    <col min="15110" max="15110" width="12.42578125" style="809" hidden="1" customWidth="1"/>
    <col min="15111" max="15111" width="0" style="809" hidden="1" customWidth="1"/>
    <col min="15112" max="15112" width="11.42578125" style="809" hidden="1" customWidth="1"/>
    <col min="15113" max="15119" width="0" style="809" hidden="1" customWidth="1"/>
    <col min="15120" max="15360" width="0" style="809" hidden="1"/>
    <col min="15361" max="15361" width="36.140625" style="809" hidden="1" customWidth="1"/>
    <col min="15362" max="15362" width="16.5703125" style="809" hidden="1" customWidth="1"/>
    <col min="15363" max="15363" width="8.85546875" style="809" hidden="1" customWidth="1"/>
    <col min="15364" max="15364" width="16.85546875" style="809" hidden="1" customWidth="1"/>
    <col min="15365" max="15365" width="9.7109375" style="809" hidden="1" customWidth="1"/>
    <col min="15366" max="15366" width="12.42578125" style="809" hidden="1" customWidth="1"/>
    <col min="15367" max="15367" width="0" style="809" hidden="1" customWidth="1"/>
    <col min="15368" max="15368" width="11.42578125" style="809" hidden="1" customWidth="1"/>
    <col min="15369" max="15375" width="0" style="809" hidden="1" customWidth="1"/>
    <col min="15376" max="15616" width="0" style="809" hidden="1"/>
    <col min="15617" max="15617" width="36.140625" style="809" hidden="1" customWidth="1"/>
    <col min="15618" max="15618" width="16.5703125" style="809" hidden="1" customWidth="1"/>
    <col min="15619" max="15619" width="8.85546875" style="809" hidden="1" customWidth="1"/>
    <col min="15620" max="15620" width="16.85546875" style="809" hidden="1" customWidth="1"/>
    <col min="15621" max="15621" width="9.7109375" style="809" hidden="1" customWidth="1"/>
    <col min="15622" max="15622" width="12.42578125" style="809" hidden="1" customWidth="1"/>
    <col min="15623" max="15623" width="0" style="809" hidden="1" customWidth="1"/>
    <col min="15624" max="15624" width="11.42578125" style="809" hidden="1" customWidth="1"/>
    <col min="15625" max="15631" width="0" style="809" hidden="1" customWidth="1"/>
    <col min="15632" max="15872" width="0" style="809" hidden="1"/>
    <col min="15873" max="15873" width="36.140625" style="809" hidden="1" customWidth="1"/>
    <col min="15874" max="15874" width="16.5703125" style="809" hidden="1" customWidth="1"/>
    <col min="15875" max="15875" width="8.85546875" style="809" hidden="1" customWidth="1"/>
    <col min="15876" max="15876" width="16.85546875" style="809" hidden="1" customWidth="1"/>
    <col min="15877" max="15877" width="9.7109375" style="809" hidden="1" customWidth="1"/>
    <col min="15878" max="15878" width="12.42578125" style="809" hidden="1" customWidth="1"/>
    <col min="15879" max="15879" width="0" style="809" hidden="1" customWidth="1"/>
    <col min="15880" max="15880" width="11.42578125" style="809" hidden="1" customWidth="1"/>
    <col min="15881" max="15887" width="0" style="809" hidden="1" customWidth="1"/>
    <col min="15888" max="16128" width="0" style="809" hidden="1"/>
    <col min="16129" max="16129" width="36.140625" style="809" hidden="1" customWidth="1"/>
    <col min="16130" max="16130" width="16.5703125" style="809" hidden="1" customWidth="1"/>
    <col min="16131" max="16131" width="8.85546875" style="809" hidden="1" customWidth="1"/>
    <col min="16132" max="16132" width="16.85546875" style="809" hidden="1" customWidth="1"/>
    <col min="16133" max="16133" width="9.7109375" style="809" hidden="1" customWidth="1"/>
    <col min="16134" max="16134" width="12.42578125" style="809" hidden="1" customWidth="1"/>
    <col min="16135" max="16135" width="0" style="809" hidden="1" customWidth="1"/>
    <col min="16136" max="16136" width="11.42578125" style="809" hidden="1" customWidth="1"/>
    <col min="16137" max="16143" width="0" style="809" hidden="1" customWidth="1"/>
    <col min="16144" max="16384" width="0" style="809" hidden="1"/>
  </cols>
  <sheetData>
    <row r="1" spans="1:20" ht="13.5" thickTop="1" x14ac:dyDescent="0.2">
      <c r="A1" s="808"/>
      <c r="B1" s="808"/>
      <c r="C1" s="808"/>
      <c r="E1" s="808"/>
      <c r="F1" s="808"/>
      <c r="G1" s="909"/>
      <c r="I1" s="824"/>
      <c r="J1" s="910"/>
      <c r="K1" s="910"/>
      <c r="L1" s="910"/>
      <c r="M1" s="910"/>
      <c r="N1" s="910"/>
      <c r="O1" s="909"/>
    </row>
    <row r="2" spans="1:20" ht="23.25" x14ac:dyDescent="0.35">
      <c r="A2" s="911" t="str">
        <f>'Cifras Sobresalientes'!A2</f>
        <v>TRANSPORTES BONAMPAK, S.A. DE C.V.</v>
      </c>
      <c r="B2" s="912"/>
      <c r="C2" s="912"/>
      <c r="E2" s="808"/>
      <c r="F2" s="808"/>
      <c r="G2" s="830"/>
      <c r="I2" s="913" t="s">
        <v>9883</v>
      </c>
      <c r="J2" s="808"/>
      <c r="K2" s="808"/>
      <c r="L2" s="808"/>
      <c r="M2" s="808"/>
      <c r="N2" s="808"/>
      <c r="O2" s="830"/>
    </row>
    <row r="3" spans="1:20" ht="15.75" x14ac:dyDescent="0.25">
      <c r="A3" s="873"/>
      <c r="B3" s="808"/>
      <c r="C3" s="808"/>
      <c r="D3" s="808"/>
      <c r="E3" s="808"/>
      <c r="F3" s="808"/>
      <c r="G3" s="830"/>
      <c r="I3" s="914"/>
      <c r="J3" s="808"/>
      <c r="K3" s="808"/>
      <c r="L3" s="808"/>
      <c r="M3" s="808"/>
      <c r="N3" s="808"/>
      <c r="O3" s="830"/>
    </row>
    <row r="4" spans="1:20" ht="15.75" x14ac:dyDescent="0.25">
      <c r="A4" s="1020" t="str">
        <f>'Cifras Sobresalientes'!A4</f>
        <v>PRESUPUESTO  2014</v>
      </c>
      <c r="B4" s="810"/>
      <c r="C4" s="810"/>
      <c r="D4" s="810"/>
      <c r="E4" s="810"/>
      <c r="F4" s="915"/>
      <c r="G4" s="815"/>
      <c r="I4" s="834" t="s">
        <v>9910</v>
      </c>
      <c r="J4" s="810"/>
      <c r="K4" s="810"/>
      <c r="L4" s="810"/>
      <c r="M4" s="810"/>
      <c r="N4" s="810"/>
      <c r="O4" s="815"/>
    </row>
    <row r="5" spans="1:20" ht="15.75" x14ac:dyDescent="0.25">
      <c r="A5" s="873" t="s">
        <v>9911</v>
      </c>
      <c r="B5" s="810"/>
      <c r="C5" s="810"/>
      <c r="D5" s="810"/>
      <c r="E5" s="810"/>
      <c r="F5" s="915"/>
      <c r="G5" s="815"/>
      <c r="I5" s="834" t="s">
        <v>9912</v>
      </c>
      <c r="J5" s="810"/>
      <c r="K5" s="810"/>
      <c r="L5" s="810"/>
      <c r="M5" s="810"/>
      <c r="N5" s="810"/>
      <c r="O5" s="815"/>
    </row>
    <row r="6" spans="1:20" ht="16.5" thickBot="1" x14ac:dyDescent="0.3">
      <c r="A6" s="875" t="s">
        <v>9856</v>
      </c>
      <c r="B6" s="876"/>
      <c r="C6" s="876"/>
      <c r="D6" s="876"/>
      <c r="E6" s="876"/>
      <c r="F6" s="876"/>
      <c r="G6" s="916"/>
      <c r="I6" s="917" t="s">
        <v>9856</v>
      </c>
      <c r="J6" s="918"/>
      <c r="K6" s="918"/>
      <c r="L6" s="918"/>
      <c r="M6" s="918"/>
      <c r="N6" s="918"/>
      <c r="O6" s="916"/>
    </row>
    <row r="7" spans="1:20" ht="15.75" thickTop="1" x14ac:dyDescent="0.25">
      <c r="A7" s="919"/>
      <c r="B7" s="920" t="s">
        <v>7460</v>
      </c>
      <c r="C7" s="921"/>
      <c r="D7" s="922" t="s">
        <v>52</v>
      </c>
      <c r="E7" s="921"/>
      <c r="F7" s="923" t="s">
        <v>53</v>
      </c>
      <c r="G7" s="924"/>
      <c r="I7" s="831"/>
      <c r="J7" s="925" t="s">
        <v>7460</v>
      </c>
      <c r="K7" s="926" t="s">
        <v>52</v>
      </c>
      <c r="L7" s="879" t="s">
        <v>53</v>
      </c>
      <c r="M7" s="926" t="s">
        <v>52</v>
      </c>
      <c r="N7" s="879" t="s">
        <v>53</v>
      </c>
      <c r="O7" s="924"/>
      <c r="T7" s="815"/>
    </row>
    <row r="8" spans="1:20" ht="15" x14ac:dyDescent="0.25">
      <c r="A8" s="831"/>
      <c r="B8" s="927"/>
      <c r="C8" s="926"/>
      <c r="D8" s="927"/>
      <c r="E8" s="926"/>
      <c r="F8" s="928"/>
      <c r="G8" s="924"/>
      <c r="I8" s="831"/>
      <c r="J8" s="925"/>
      <c r="K8" s="926"/>
      <c r="L8" s="879"/>
      <c r="M8" s="926"/>
      <c r="N8" s="879"/>
      <c r="O8" s="924"/>
      <c r="T8" s="815"/>
    </row>
    <row r="9" spans="1:20" ht="14.25" customHeight="1" x14ac:dyDescent="0.25">
      <c r="A9" s="929" t="s">
        <v>9885</v>
      </c>
      <c r="B9" s="930">
        <v>2013</v>
      </c>
      <c r="C9" s="927" t="s">
        <v>7</v>
      </c>
      <c r="D9" s="931">
        <v>2014</v>
      </c>
      <c r="E9" s="927" t="s">
        <v>7</v>
      </c>
      <c r="F9" s="932" t="s">
        <v>7</v>
      </c>
      <c r="G9" s="933"/>
      <c r="I9" s="934"/>
      <c r="J9" s="935">
        <v>1996</v>
      </c>
      <c r="K9" s="936">
        <v>1996</v>
      </c>
      <c r="L9" s="883" t="s">
        <v>9913</v>
      </c>
      <c r="M9" s="936">
        <v>1997</v>
      </c>
      <c r="N9" s="937" t="s">
        <v>9914</v>
      </c>
      <c r="O9" s="933"/>
      <c r="T9" s="815"/>
    </row>
    <row r="10" spans="1:20" ht="12.75" hidden="1" customHeight="1" x14ac:dyDescent="0.2">
      <c r="A10" s="831"/>
      <c r="B10" s="938"/>
      <c r="C10" s="938"/>
      <c r="D10" s="938"/>
      <c r="E10" s="938"/>
      <c r="F10" s="939"/>
      <c r="G10" s="815"/>
      <c r="I10" s="831"/>
      <c r="J10" s="938"/>
      <c r="K10" s="938"/>
      <c r="L10" s="938"/>
      <c r="M10" s="938"/>
      <c r="N10" s="940"/>
      <c r="O10" s="815"/>
      <c r="T10" s="815"/>
    </row>
    <row r="11" spans="1:20" ht="12.75" customHeight="1" x14ac:dyDescent="0.2">
      <c r="A11" s="831"/>
      <c r="B11" s="938"/>
      <c r="C11" s="938"/>
      <c r="D11" s="938"/>
      <c r="E11" s="938"/>
      <c r="F11" s="939"/>
      <c r="G11" s="815"/>
      <c r="I11" s="831"/>
      <c r="J11" s="938"/>
      <c r="K11" s="938"/>
      <c r="L11" s="938"/>
      <c r="M11" s="938"/>
      <c r="N11" s="940"/>
      <c r="O11" s="815"/>
      <c r="T11" s="815"/>
    </row>
    <row r="12" spans="1:20" ht="12.75" customHeight="1" x14ac:dyDescent="0.2">
      <c r="A12" s="831" t="s">
        <v>10115</v>
      </c>
      <c r="B12" s="947">
        <f>[5]Hoja1!$O$7</f>
        <v>12232090</v>
      </c>
      <c r="C12" s="938"/>
      <c r="D12" s="947">
        <f>Edo.Res.detalle!B7</f>
        <v>13017464.711902676</v>
      </c>
      <c r="E12" s="940"/>
      <c r="F12" s="892">
        <f t="shared" ref="F12:F14" si="0">IF(B12=0,0,(D12/B12)-1)</f>
        <v>6.4206093308884826E-2</v>
      </c>
      <c r="G12" s="815"/>
      <c r="I12" s="831"/>
      <c r="J12" s="938"/>
      <c r="K12" s="938"/>
      <c r="L12" s="938"/>
      <c r="M12" s="938"/>
      <c r="N12" s="940"/>
      <c r="O12" s="815"/>
      <c r="T12" s="815"/>
    </row>
    <row r="13" spans="1:20" ht="12.75" customHeight="1" x14ac:dyDescent="0.2">
      <c r="A13" s="831" t="s">
        <v>143</v>
      </c>
      <c r="B13" s="947">
        <f>[5]Hoja1!$O$9</f>
        <v>1114400</v>
      </c>
      <c r="C13" s="938"/>
      <c r="D13" s="947">
        <f>Edo.Res.detalle!B8</f>
        <v>1200000.2283109389</v>
      </c>
      <c r="E13" s="940"/>
      <c r="F13" s="892">
        <f t="shared" si="0"/>
        <v>7.6812839474998951E-2</v>
      </c>
      <c r="G13" s="815"/>
      <c r="I13" s="831"/>
      <c r="J13" s="938"/>
      <c r="K13" s="938"/>
      <c r="L13" s="938"/>
      <c r="M13" s="938"/>
      <c r="N13" s="940"/>
      <c r="O13" s="815"/>
      <c r="T13" s="815"/>
    </row>
    <row r="14" spans="1:20" ht="12.75" customHeight="1" x14ac:dyDescent="0.2">
      <c r="A14" s="934" t="s">
        <v>9909</v>
      </c>
      <c r="B14" s="1257">
        <f>[5]Hoja1!$O$10</f>
        <v>38223</v>
      </c>
      <c r="C14" s="1256"/>
      <c r="D14" s="1257">
        <f>Edo.Res.detalle!B9</f>
        <v>39783.690866018791</v>
      </c>
      <c r="E14" s="1267"/>
      <c r="F14" s="1266">
        <f t="shared" si="0"/>
        <v>4.0831197604028757E-2</v>
      </c>
      <c r="G14" s="815"/>
      <c r="I14" s="831"/>
      <c r="J14" s="938"/>
      <c r="K14" s="938"/>
      <c r="L14" s="938"/>
      <c r="M14" s="938"/>
      <c r="N14" s="940"/>
      <c r="O14" s="815"/>
      <c r="T14" s="815"/>
    </row>
    <row r="15" spans="1:20" ht="12.75" customHeight="1" x14ac:dyDescent="0.2">
      <c r="A15" s="831"/>
      <c r="B15" s="938"/>
      <c r="C15" s="938"/>
      <c r="D15" s="938"/>
      <c r="E15" s="938"/>
      <c r="F15" s="939"/>
      <c r="G15" s="815"/>
      <c r="I15" s="831"/>
      <c r="J15" s="938"/>
      <c r="K15" s="938"/>
      <c r="L15" s="938"/>
      <c r="M15" s="938"/>
      <c r="N15" s="940"/>
      <c r="O15" s="815"/>
      <c r="T15" s="815"/>
    </row>
    <row r="16" spans="1:20" x14ac:dyDescent="0.2">
      <c r="A16" s="831"/>
      <c r="B16" s="941"/>
      <c r="C16" s="941"/>
      <c r="D16" s="941"/>
      <c r="E16" s="941"/>
      <c r="F16" s="942"/>
      <c r="G16" s="815"/>
      <c r="I16" s="831"/>
      <c r="J16" s="941"/>
      <c r="K16" s="941"/>
      <c r="L16" s="941"/>
      <c r="M16" s="941"/>
      <c r="N16" s="943"/>
      <c r="O16" s="815"/>
      <c r="T16" s="815"/>
    </row>
    <row r="17" spans="1:20" x14ac:dyDescent="0.2">
      <c r="A17" s="944" t="s">
        <v>9915</v>
      </c>
      <c r="B17" s="943"/>
      <c r="C17" s="943"/>
      <c r="D17" s="943"/>
      <c r="E17" s="943"/>
      <c r="F17" s="942"/>
      <c r="G17" s="815"/>
      <c r="I17" s="944" t="s">
        <v>9916</v>
      </c>
      <c r="J17" s="943"/>
      <c r="K17" s="943"/>
      <c r="L17" s="943"/>
      <c r="M17" s="943"/>
      <c r="N17" s="943"/>
      <c r="O17" s="815"/>
      <c r="T17" s="815"/>
    </row>
    <row r="18" spans="1:20" x14ac:dyDescent="0.2">
      <c r="A18" s="831"/>
      <c r="B18" s="941"/>
      <c r="C18" s="941"/>
      <c r="D18" s="941"/>
      <c r="E18" s="941"/>
      <c r="F18" s="942"/>
      <c r="G18" s="815"/>
      <c r="I18" s="831"/>
      <c r="J18" s="941"/>
      <c r="K18" s="941"/>
      <c r="L18" s="941"/>
      <c r="M18" s="941"/>
      <c r="N18" s="945"/>
      <c r="O18" s="815"/>
      <c r="T18" s="815"/>
    </row>
    <row r="19" spans="1:20" s="954" customFormat="1" ht="18" customHeight="1" x14ac:dyDescent="0.2">
      <c r="A19" s="946" t="s">
        <v>9917</v>
      </c>
      <c r="B19" s="947">
        <f>+'Edo rdo ejercicio ante'!D18</f>
        <v>298379736</v>
      </c>
      <c r="C19" s="948">
        <v>1</v>
      </c>
      <c r="D19" s="947">
        <f>Edo.Res.detalle!B20</f>
        <v>371472767.46754968</v>
      </c>
      <c r="E19" s="948">
        <v>1</v>
      </c>
      <c r="F19" s="892">
        <f>IF(B19=0,0,(D19/B19)-1)</f>
        <v>0.24496647274850347</v>
      </c>
      <c r="G19" s="949" t="s">
        <v>9918</v>
      </c>
      <c r="H19" s="950"/>
      <c r="I19" s="946" t="s">
        <v>9917</v>
      </c>
      <c r="J19" s="947">
        <f>[4]Efectivo2008!$N$24</f>
        <v>0</v>
      </c>
      <c r="K19" s="951">
        <v>18689880</v>
      </c>
      <c r="L19" s="952">
        <f>(J19/K19)-1</f>
        <v>-1</v>
      </c>
      <c r="M19" s="947">
        <f>D19</f>
        <v>371472767.46754968</v>
      </c>
      <c r="N19" s="953" t="e">
        <f>(M19/J19)-1</f>
        <v>#DIV/0!</v>
      </c>
      <c r="O19" s="949" t="s">
        <v>9918</v>
      </c>
      <c r="T19" s="949"/>
    </row>
    <row r="20" spans="1:20" s="954" customFormat="1" ht="18" customHeight="1" x14ac:dyDescent="0.2">
      <c r="A20" s="946" t="s">
        <v>9919</v>
      </c>
      <c r="B20" s="947">
        <f>+'Edo rdo ejercicio ante'!D30</f>
        <v>215456670.5794</v>
      </c>
      <c r="C20" s="948">
        <f>B20/$B$19</f>
        <v>0.72208881698119076</v>
      </c>
      <c r="D20" s="947">
        <f>Edo.Res.detalle!B31</f>
        <v>261933424.81460765</v>
      </c>
      <c r="E20" s="948">
        <f>D20/$D$19</f>
        <v>0.70512147256525093</v>
      </c>
      <c r="F20" s="892">
        <f>IF(B20=0,0,(D20/B20)-1)</f>
        <v>0.21571276540300977</v>
      </c>
      <c r="G20" s="949" t="s">
        <v>9920</v>
      </c>
      <c r="H20" s="950"/>
      <c r="I20" s="946" t="s">
        <v>9919</v>
      </c>
      <c r="J20" s="947">
        <f>[4]Efectivo2008!$N$29</f>
        <v>0</v>
      </c>
      <c r="K20" s="951">
        <v>10070000</v>
      </c>
      <c r="L20" s="952">
        <f>(J20/K20)-1</f>
        <v>-1</v>
      </c>
      <c r="M20" s="947">
        <f>D20</f>
        <v>261933424.81460765</v>
      </c>
      <c r="N20" s="953" t="e">
        <f>(M20/J20)-1</f>
        <v>#DIV/0!</v>
      </c>
      <c r="O20" s="949" t="s">
        <v>9921</v>
      </c>
      <c r="T20" s="949"/>
    </row>
    <row r="21" spans="1:20" s="954" customFormat="1" ht="18" customHeight="1" x14ac:dyDescent="0.2">
      <c r="A21" s="946"/>
      <c r="B21" s="947"/>
      <c r="C21" s="948"/>
      <c r="D21" s="947"/>
      <c r="E21" s="948"/>
      <c r="F21" s="892"/>
      <c r="G21" s="949"/>
      <c r="I21" s="946"/>
      <c r="J21" s="947"/>
      <c r="K21" s="951"/>
      <c r="L21" s="952"/>
      <c r="M21" s="947"/>
      <c r="N21" s="953"/>
      <c r="O21" s="949"/>
      <c r="T21" s="949"/>
    </row>
    <row r="22" spans="1:20" s="954" customFormat="1" ht="18" customHeight="1" x14ac:dyDescent="0.25">
      <c r="A22" s="834" t="s">
        <v>9922</v>
      </c>
      <c r="B22" s="955">
        <f>SUM(B19-B20)</f>
        <v>82923065.420599997</v>
      </c>
      <c r="C22" s="956">
        <f>B22/$B$19</f>
        <v>0.27791118301880929</v>
      </c>
      <c r="D22" s="955">
        <f>SUM(D19-D20)</f>
        <v>109539342.65294203</v>
      </c>
      <c r="E22" s="956">
        <f>D22/$D$19</f>
        <v>0.29487852743474913</v>
      </c>
      <c r="F22" s="957">
        <f>IF(B22=0,0,(D22/B22)-1)</f>
        <v>0.32097555845698311</v>
      </c>
      <c r="G22" s="949"/>
      <c r="I22" s="834" t="s">
        <v>9922</v>
      </c>
      <c r="J22" s="958">
        <f>SUM(J19-J20)</f>
        <v>0</v>
      </c>
      <c r="K22" s="958">
        <f>SUM(K19-K20)</f>
        <v>8619880</v>
      </c>
      <c r="L22" s="959">
        <f>(J22/K22)-1</f>
        <v>-1</v>
      </c>
      <c r="M22" s="958">
        <f>SUM(M19-M20)</f>
        <v>109539342.65294203</v>
      </c>
      <c r="N22" s="960" t="e">
        <f>(M22/J22)-1</f>
        <v>#DIV/0!</v>
      </c>
      <c r="O22" s="949"/>
      <c r="T22" s="949"/>
    </row>
    <row r="23" spans="1:20" s="954" customFormat="1" ht="18" customHeight="1" x14ac:dyDescent="0.25">
      <c r="A23" s="834"/>
      <c r="B23" s="947"/>
      <c r="C23" s="948"/>
      <c r="D23" s="947"/>
      <c r="E23" s="948"/>
      <c r="F23" s="892"/>
      <c r="G23" s="949"/>
      <c r="I23" s="834"/>
      <c r="J23" s="958"/>
      <c r="K23" s="961"/>
      <c r="L23" s="959"/>
      <c r="M23" s="958"/>
      <c r="N23" s="960"/>
      <c r="O23" s="949"/>
      <c r="T23" s="949"/>
    </row>
    <row r="24" spans="1:20" s="954" customFormat="1" ht="18" customHeight="1" x14ac:dyDescent="0.2">
      <c r="A24" s="946" t="s">
        <v>9923</v>
      </c>
      <c r="B24" s="947">
        <f>+'Edo rdo ejercicio ante'!D37</f>
        <v>34043662</v>
      </c>
      <c r="C24" s="962">
        <f>B24/$B$19</f>
        <v>0.11409508720793292</v>
      </c>
      <c r="D24" s="963">
        <f>Edo.Res.detalle!B37</f>
        <v>39260560.516126208</v>
      </c>
      <c r="E24" s="948">
        <f>D24/$D$19</f>
        <v>0.10568893322592172</v>
      </c>
      <c r="F24" s="892">
        <f>IF(B24=0,0,(D24/B24)-1)</f>
        <v>0.15324140264717134</v>
      </c>
      <c r="G24" s="949" t="s">
        <v>9924</v>
      </c>
      <c r="I24" s="946" t="s">
        <v>9923</v>
      </c>
      <c r="J24" s="947">
        <f>[4]Efectivo2008!$N$34</f>
        <v>0</v>
      </c>
      <c r="K24" s="951">
        <v>2886078</v>
      </c>
      <c r="L24" s="952">
        <f>(J24/K24)-1</f>
        <v>-1</v>
      </c>
      <c r="M24" s="947">
        <f>D24</f>
        <v>39260560.516126208</v>
      </c>
      <c r="N24" s="953" t="e">
        <f>(M24/J24)-1</f>
        <v>#DIV/0!</v>
      </c>
      <c r="O24" s="949" t="s">
        <v>9924</v>
      </c>
      <c r="T24" s="949"/>
    </row>
    <row r="25" spans="1:20" s="954" customFormat="1" ht="18" customHeight="1" x14ac:dyDescent="0.2">
      <c r="A25" s="946" t="s">
        <v>9925</v>
      </c>
      <c r="B25" s="947">
        <f>+'Edo rdo ejercicio ante'!D38</f>
        <v>18512289</v>
      </c>
      <c r="C25" s="948">
        <f>B25/$B$19</f>
        <v>6.2042715259993393E-2</v>
      </c>
      <c r="D25" s="963">
        <f>Edo.Res.detalle!B38</f>
        <v>27654909.432500005</v>
      </c>
      <c r="E25" s="948">
        <f>D25/$D$19</f>
        <v>7.4446667035735867E-2</v>
      </c>
      <c r="F25" s="892">
        <f>IF(B25=0,0,(D25/B25)-1)</f>
        <v>0.4938676374650377</v>
      </c>
      <c r="G25" s="949" t="s">
        <v>9926</v>
      </c>
      <c r="I25" s="946" t="s">
        <v>9925</v>
      </c>
      <c r="J25" s="947">
        <f>[4]Efectivo2008!$N$35</f>
        <v>0</v>
      </c>
      <c r="K25" s="951">
        <v>2187901</v>
      </c>
      <c r="L25" s="952">
        <f>(J25/K25)-1</f>
        <v>-1</v>
      </c>
      <c r="M25" s="947">
        <f>D25</f>
        <v>27654909.432500005</v>
      </c>
      <c r="N25" s="953" t="e">
        <f>(M25/J25)-1</f>
        <v>#DIV/0!</v>
      </c>
      <c r="O25" s="949" t="s">
        <v>9926</v>
      </c>
      <c r="T25" s="949"/>
    </row>
    <row r="26" spans="1:20" s="954" customFormat="1" ht="18" customHeight="1" x14ac:dyDescent="0.2">
      <c r="A26" s="946" t="s">
        <v>9927</v>
      </c>
      <c r="B26" s="963">
        <f>+'Edo rdo ejercicio ante'!D39+'Edo rdo ejercicio ante'!D40</f>
        <v>-26110602.469999999</v>
      </c>
      <c r="C26" s="948">
        <f>B26/$B$19</f>
        <v>-8.7507961566129944E-2</v>
      </c>
      <c r="D26" s="963">
        <f>Edo.Res.detalle!B39+Edo.Res.detalle!B40</f>
        <v>-19231808.891720723</v>
      </c>
      <c r="E26" s="948">
        <f>D26/$D$19</f>
        <v>-5.1771786725660136E-2</v>
      </c>
      <c r="F26" s="892">
        <f>IF(B26=0,0,(D26/B26)-1)</f>
        <v>-0.26344829025614114</v>
      </c>
      <c r="G26" s="949" t="s">
        <v>9928</v>
      </c>
      <c r="I26" s="946" t="s">
        <v>9927</v>
      </c>
      <c r="J26" s="947">
        <f>[4]Efectivo2008!$N$36+[4]Efectivo2008!$N$37+[4]Efectivo2008!$N$38</f>
        <v>1384021.9108561305</v>
      </c>
      <c r="K26" s="951">
        <v>-490583</v>
      </c>
      <c r="L26" s="952">
        <f>(J26/K26)-1</f>
        <v>-3.821177886017515</v>
      </c>
      <c r="M26" s="947">
        <f>D26</f>
        <v>-19231808.891720723</v>
      </c>
      <c r="N26" s="953">
        <f>(M26/J26)-1</f>
        <v>-14.895595684481815</v>
      </c>
      <c r="O26" s="949" t="s">
        <v>9928</v>
      </c>
      <c r="T26" s="949"/>
    </row>
    <row r="27" spans="1:20" s="954" customFormat="1" ht="18" customHeight="1" x14ac:dyDescent="0.2">
      <c r="A27" s="946"/>
      <c r="B27" s="947"/>
      <c r="C27" s="948"/>
      <c r="D27" s="947"/>
      <c r="E27" s="948"/>
      <c r="F27" s="892"/>
      <c r="G27" s="949"/>
      <c r="I27" s="946"/>
      <c r="J27" s="947"/>
      <c r="K27" s="951"/>
      <c r="L27" s="952"/>
      <c r="M27" s="947"/>
      <c r="N27" s="953"/>
      <c r="O27" s="949"/>
      <c r="T27" s="949"/>
    </row>
    <row r="28" spans="1:20" s="954" customFormat="1" ht="18" customHeight="1" x14ac:dyDescent="0.25">
      <c r="A28" s="834" t="s">
        <v>9929</v>
      </c>
      <c r="B28" s="964">
        <f>SUM(B22-B24-B25-B26)</f>
        <v>56477716.890599996</v>
      </c>
      <c r="C28" s="956">
        <f>B28/$B$19</f>
        <v>0.18928134211701292</v>
      </c>
      <c r="D28" s="964">
        <f>SUM(D22-D24-D25-D26)</f>
        <v>61855681.596036538</v>
      </c>
      <c r="E28" s="956">
        <f>D28/$D$19</f>
        <v>0.16651471389875167</v>
      </c>
      <c r="F28" s="957">
        <f>IF(B28=0,0,(D28/B28)-1)</f>
        <v>9.5222771059494393E-2</v>
      </c>
      <c r="G28" s="949"/>
      <c r="I28" s="834" t="s">
        <v>9929</v>
      </c>
      <c r="J28" s="958">
        <f>SUM(J22-J24-J25-J26)</f>
        <v>-1384021.9108561305</v>
      </c>
      <c r="K28" s="958">
        <f>SUM(K22-K24-K25-K26)</f>
        <v>4036484</v>
      </c>
      <c r="L28" s="959">
        <f>(J28/K28)-1</f>
        <v>-1.3428780866853753</v>
      </c>
      <c r="M28" s="958">
        <f>SUM(M22-M24-M25-M26)</f>
        <v>61855681.596036538</v>
      </c>
      <c r="N28" s="960">
        <f>(M28/J28)-1</f>
        <v>-45.69270400334468</v>
      </c>
      <c r="O28" s="949"/>
      <c r="T28" s="949"/>
    </row>
    <row r="29" spans="1:20" s="954" customFormat="1" ht="18" customHeight="1" x14ac:dyDescent="0.25">
      <c r="A29" s="834"/>
      <c r="B29" s="947"/>
      <c r="C29" s="948"/>
      <c r="D29" s="947"/>
      <c r="E29" s="948"/>
      <c r="F29" s="892"/>
      <c r="G29" s="949"/>
      <c r="I29" s="834"/>
      <c r="J29" s="938"/>
      <c r="K29" s="961"/>
      <c r="L29" s="959"/>
      <c r="M29" s="958"/>
      <c r="N29" s="960"/>
      <c r="O29" s="949"/>
      <c r="T29" s="949"/>
    </row>
    <row r="30" spans="1:20" s="954" customFormat="1" ht="18" customHeight="1" x14ac:dyDescent="0.2">
      <c r="A30" s="946" t="s">
        <v>9930</v>
      </c>
      <c r="B30" s="963">
        <f>+'Edo rdo ejercicio ante'!D51+558692</f>
        <v>5429236</v>
      </c>
      <c r="C30" s="948">
        <f>B30/$B$19</f>
        <v>1.8195726267416498E-2</v>
      </c>
      <c r="D30" s="963">
        <f>Edo.Res.detalle!B48+Edo.Res.detalle!B49</f>
        <v>5031104.5700000012</v>
      </c>
      <c r="E30" s="948">
        <f>D30/$D$19</f>
        <v>1.3543669982321108E-2</v>
      </c>
      <c r="F30" s="892">
        <f>IF(B30=0,0,(D30/B30)-1)</f>
        <v>-7.3331023002131235E-2</v>
      </c>
      <c r="G30" s="949" t="s">
        <v>9931</v>
      </c>
      <c r="I30" s="946" t="s">
        <v>9930</v>
      </c>
      <c r="J30" s="947">
        <f>[4]Efectivo2008!$N$44</f>
        <v>140953.60732628917</v>
      </c>
      <c r="K30" s="951">
        <v>187330</v>
      </c>
      <c r="L30" s="952">
        <f>(J30/K30)-1</f>
        <v>-0.24756522005931147</v>
      </c>
      <c r="M30" s="947">
        <f>D30</f>
        <v>5031104.5700000012</v>
      </c>
      <c r="N30" s="953">
        <f>(M30/J30)-1</f>
        <v>34.693336732799267</v>
      </c>
      <c r="O30" s="949" t="s">
        <v>9931</v>
      </c>
      <c r="T30" s="949"/>
    </row>
    <row r="31" spans="1:20" s="954" customFormat="1" ht="18" customHeight="1" x14ac:dyDescent="0.2">
      <c r="A31" s="946"/>
      <c r="B31" s="963"/>
      <c r="C31" s="948"/>
      <c r="D31" s="963"/>
      <c r="E31" s="948"/>
      <c r="F31" s="892"/>
      <c r="G31" s="949"/>
      <c r="I31" s="946"/>
      <c r="J31" s="947"/>
      <c r="K31" s="951"/>
      <c r="L31" s="952"/>
      <c r="M31" s="947"/>
      <c r="N31" s="953"/>
      <c r="O31" s="949"/>
      <c r="T31" s="949"/>
    </row>
    <row r="32" spans="1:20" s="954" customFormat="1" ht="18" customHeight="1" x14ac:dyDescent="0.25">
      <c r="A32" s="946" t="s">
        <v>10112</v>
      </c>
      <c r="B32" s="964">
        <f>B28-B30</f>
        <v>51048480.890599996</v>
      </c>
      <c r="C32" s="956"/>
      <c r="D32" s="964">
        <f>D28-D30</f>
        <v>56824577.026036538</v>
      </c>
      <c r="E32" s="956">
        <f>D32/$D$19</f>
        <v>0.15297104391643054</v>
      </c>
      <c r="F32" s="957"/>
      <c r="G32" s="949"/>
      <c r="I32" s="946"/>
      <c r="J32" s="947"/>
      <c r="K32" s="951"/>
      <c r="L32" s="952"/>
      <c r="M32" s="947"/>
      <c r="N32" s="953"/>
      <c r="O32" s="949"/>
      <c r="T32" s="949"/>
    </row>
    <row r="33" spans="1:20" s="954" customFormat="1" ht="18" customHeight="1" x14ac:dyDescent="0.2">
      <c r="A33" s="946"/>
      <c r="B33" s="963"/>
      <c r="C33" s="948"/>
      <c r="D33" s="963"/>
      <c r="E33" s="948"/>
      <c r="F33" s="892"/>
      <c r="G33" s="949"/>
      <c r="I33" s="946"/>
      <c r="J33" s="947"/>
      <c r="K33" s="951"/>
      <c r="L33" s="952"/>
      <c r="M33" s="947"/>
      <c r="N33" s="953"/>
      <c r="O33" s="949"/>
      <c r="T33" s="949"/>
    </row>
    <row r="34" spans="1:20" s="954" customFormat="1" ht="18" customHeight="1" x14ac:dyDescent="0.2">
      <c r="A34" s="946" t="s">
        <v>9935</v>
      </c>
      <c r="B34" s="963">
        <f>+'Edo rdo ejercicio ante'!D65</f>
        <v>3281115.8780505001</v>
      </c>
      <c r="C34" s="948">
        <f>B34/$B$19</f>
        <v>1.0996443398054686E-2</v>
      </c>
      <c r="D34" s="963">
        <f>Edo.Res.detalle!B65</f>
        <v>4385438.6829241076</v>
      </c>
      <c r="E34" s="948">
        <f>D34/$D$19</f>
        <v>1.1805545566155672E-2</v>
      </c>
      <c r="F34" s="892">
        <f>IF(B34=0,0,(D34/B34)-1)</f>
        <v>0.33656927884233978</v>
      </c>
      <c r="G34" s="949"/>
      <c r="I34" s="946"/>
      <c r="J34" s="947"/>
      <c r="K34" s="951"/>
      <c r="L34" s="952"/>
      <c r="M34" s="947"/>
      <c r="N34" s="953"/>
      <c r="O34" s="949"/>
      <c r="T34" s="949"/>
    </row>
    <row r="35" spans="1:20" s="954" customFormat="1" ht="18" customHeight="1" x14ac:dyDescent="0.2">
      <c r="A35" s="946" t="s">
        <v>10148</v>
      </c>
      <c r="B35" s="963">
        <f>+'Edo rdo ejercicio ante'!D64+'Edo rdo ejercicio ante'!D63</f>
        <v>7293367.1219494995</v>
      </c>
      <c r="C35" s="948">
        <f>B35/$B$19</f>
        <v>2.4443238739072747E-2</v>
      </c>
      <c r="D35" s="963">
        <f>Edo.Res.detalle!B63</f>
        <v>12754961.022692643</v>
      </c>
      <c r="E35" s="948">
        <f>D35/$D$19</f>
        <v>3.4336194035561068E-2</v>
      </c>
      <c r="F35" s="892">
        <f>IF(B35=0,0,(D35/B35)-1)</f>
        <v>0.74884395772514911</v>
      </c>
      <c r="G35" s="949" t="s">
        <v>9932</v>
      </c>
      <c r="I35" s="946" t="s">
        <v>9933</v>
      </c>
      <c r="J35" s="947">
        <f>[4]Efectivo2008!$N$45</f>
        <v>0</v>
      </c>
      <c r="K35" s="951">
        <v>149550</v>
      </c>
      <c r="L35" s="952">
        <f>(J35/K35)-1</f>
        <v>-1</v>
      </c>
      <c r="M35" s="947">
        <f>D35</f>
        <v>12754961.022692643</v>
      </c>
      <c r="N35" s="953" t="e">
        <f>(M35/J35)-1</f>
        <v>#DIV/0!</v>
      </c>
      <c r="O35" s="949" t="s">
        <v>9932</v>
      </c>
      <c r="T35" s="949"/>
    </row>
    <row r="36" spans="1:20" s="954" customFormat="1" ht="18" customHeight="1" x14ac:dyDescent="0.2">
      <c r="A36" s="946"/>
      <c r="B36" s="1092"/>
      <c r="C36" s="948"/>
      <c r="D36" s="1092"/>
      <c r="E36" s="948"/>
      <c r="F36" s="892"/>
      <c r="G36" s="949"/>
      <c r="I36" s="946"/>
      <c r="J36" s="947"/>
      <c r="K36" s="951"/>
      <c r="L36" s="952"/>
      <c r="M36" s="947"/>
      <c r="N36" s="953"/>
      <c r="O36" s="949"/>
      <c r="T36" s="949"/>
    </row>
    <row r="37" spans="1:20" s="954" customFormat="1" ht="18" customHeight="1" x14ac:dyDescent="0.2">
      <c r="A37" s="946"/>
      <c r="B37" s="947"/>
      <c r="C37" s="948"/>
      <c r="D37" s="947"/>
      <c r="E37" s="948"/>
      <c r="F37" s="892"/>
      <c r="G37" s="949"/>
      <c r="I37" s="946"/>
      <c r="J37" s="947"/>
      <c r="K37" s="951"/>
      <c r="L37" s="952"/>
      <c r="M37" s="947"/>
      <c r="N37" s="953"/>
      <c r="O37" s="949"/>
      <c r="T37" s="949"/>
    </row>
    <row r="38" spans="1:20" s="954" customFormat="1" ht="18" customHeight="1" thickBot="1" x14ac:dyDescent="0.3">
      <c r="A38" s="834" t="s">
        <v>9934</v>
      </c>
      <c r="B38" s="964">
        <f>SUM(B28-B30-B34-B35-B36)</f>
        <v>40473997.890599996</v>
      </c>
      <c r="C38" s="956">
        <f>B38/$B$19</f>
        <v>0.135645933712469</v>
      </c>
      <c r="D38" s="964">
        <f>SUM(D28-D30-D34-D35)</f>
        <v>39684177.320419788</v>
      </c>
      <c r="E38" s="956">
        <f>D38/$D$19</f>
        <v>0.10682930431471382</v>
      </c>
      <c r="F38" s="1244">
        <f>IF(B38=0,0,(D38/B38)-1)</f>
        <v>-1.9514271170223085E-2</v>
      </c>
      <c r="G38" s="968"/>
      <c r="I38" s="965" t="s">
        <v>9934</v>
      </c>
      <c r="J38" s="969">
        <f>SUM(J28-J30-J35)</f>
        <v>-1524975.5181824197</v>
      </c>
      <c r="K38" s="969">
        <f>SUM(K28-K30-K35)</f>
        <v>3699604</v>
      </c>
      <c r="L38" s="970">
        <f>(J38/K38)-1</f>
        <v>-1.4121996619590691</v>
      </c>
      <c r="M38" s="969">
        <f>SUM(M28-M30-M35)</f>
        <v>44069616.003343895</v>
      </c>
      <c r="N38" s="971">
        <f>(M38/J38)-1</f>
        <v>-29.898572782249889</v>
      </c>
      <c r="O38" s="968"/>
      <c r="T38" s="949"/>
    </row>
    <row r="39" spans="1:20" s="954" customFormat="1" ht="18" customHeight="1" thickTop="1" x14ac:dyDescent="0.25">
      <c r="A39" s="834"/>
      <c r="B39" s="1245"/>
      <c r="C39" s="1246"/>
      <c r="D39" s="1245"/>
      <c r="E39" s="1246"/>
      <c r="F39" s="1247"/>
      <c r="G39" s="1088"/>
      <c r="I39" s="873"/>
      <c r="J39" s="1089"/>
      <c r="K39" s="1089"/>
      <c r="L39" s="1090"/>
      <c r="M39" s="1089"/>
      <c r="N39" s="1091"/>
      <c r="O39" s="1088"/>
      <c r="T39" s="949"/>
    </row>
    <row r="40" spans="1:20" s="954" customFormat="1" ht="18" customHeight="1" thickBot="1" x14ac:dyDescent="0.3">
      <c r="A40" s="965" t="s">
        <v>10113</v>
      </c>
      <c r="B40" s="1248">
        <f>B38+B25</f>
        <v>58986286.890599996</v>
      </c>
      <c r="C40" s="966">
        <f>B40/$B$19</f>
        <v>0.19768864897246238</v>
      </c>
      <c r="D40" s="1248">
        <f>D38+D25</f>
        <v>67339086.752919793</v>
      </c>
      <c r="E40" s="966">
        <f>D40/$D$19</f>
        <v>0.18127597135044968</v>
      </c>
      <c r="F40" s="967">
        <f>IF(B40=0,0,(D40/B40)-1)</f>
        <v>0.14160579183109911</v>
      </c>
      <c r="G40" s="1088"/>
      <c r="I40" s="873"/>
      <c r="J40" s="1089"/>
      <c r="K40" s="1089"/>
      <c r="L40" s="1090"/>
      <c r="M40" s="1089"/>
      <c r="N40" s="1091"/>
      <c r="O40" s="1088"/>
      <c r="T40" s="949"/>
    </row>
    <row r="41" spans="1:20" s="954" customFormat="1" ht="18" customHeight="1" thickTop="1" x14ac:dyDescent="0.25">
      <c r="A41" s="873"/>
      <c r="B41" s="1086"/>
      <c r="C41" s="1087"/>
      <c r="D41" s="1086"/>
      <c r="E41" s="1087"/>
      <c r="F41" s="1087"/>
      <c r="G41" s="1088"/>
      <c r="I41" s="873"/>
      <c r="J41" s="1089"/>
      <c r="K41" s="1089"/>
      <c r="L41" s="1090"/>
      <c r="M41" s="1089"/>
      <c r="N41" s="1091"/>
      <c r="O41" s="1088"/>
      <c r="T41" s="949"/>
    </row>
    <row r="42" spans="1:20" x14ac:dyDescent="0.2">
      <c r="B42" s="1085"/>
      <c r="D42" s="893"/>
      <c r="T42" s="815"/>
    </row>
    <row r="43" spans="1:20" x14ac:dyDescent="0.2">
      <c r="D43" s="893"/>
      <c r="T43" s="815"/>
    </row>
    <row r="44" spans="1:20" x14ac:dyDescent="0.2">
      <c r="B44" s="1085"/>
      <c r="T44" s="815"/>
    </row>
    <row r="45" spans="1:20" hidden="1" x14ac:dyDescent="0.2">
      <c r="T45" s="815"/>
    </row>
    <row r="46" spans="1:20" hidden="1" x14ac:dyDescent="0.2">
      <c r="T46" s="815"/>
    </row>
    <row r="47" spans="1:20" hidden="1" x14ac:dyDescent="0.2">
      <c r="T47" s="815"/>
    </row>
    <row r="48" spans="1:20" hidden="1" x14ac:dyDescent="0.2">
      <c r="T48" s="815"/>
    </row>
    <row r="49" spans="20:20" hidden="1" x14ac:dyDescent="0.2">
      <c r="T49" s="815"/>
    </row>
    <row r="50" spans="20:20" hidden="1" x14ac:dyDescent="0.2">
      <c r="T50" s="815"/>
    </row>
    <row r="51" spans="20:20" hidden="1" x14ac:dyDescent="0.2">
      <c r="T51" s="815"/>
    </row>
    <row r="52" spans="20:20" hidden="1" x14ac:dyDescent="0.2">
      <c r="T52" s="815"/>
    </row>
    <row r="53" spans="20:20" hidden="1" x14ac:dyDescent="0.2">
      <c r="T53" s="815"/>
    </row>
    <row r="54" spans="20:20" hidden="1" x14ac:dyDescent="0.2">
      <c r="T54" s="815"/>
    </row>
    <row r="55" spans="20:20" hidden="1" x14ac:dyDescent="0.2">
      <c r="T55" s="815"/>
    </row>
    <row r="56" spans="20:20" hidden="1" x14ac:dyDescent="0.2">
      <c r="T56" s="815"/>
    </row>
    <row r="57" spans="20:20" hidden="1" x14ac:dyDescent="0.2">
      <c r="T57" s="815"/>
    </row>
    <row r="58" spans="20:20" hidden="1" x14ac:dyDescent="0.2">
      <c r="T58" s="815"/>
    </row>
    <row r="59" spans="20:20" hidden="1" x14ac:dyDescent="0.2">
      <c r="T59" s="815"/>
    </row>
    <row r="60" spans="20:20" hidden="1" x14ac:dyDescent="0.2">
      <c r="T60" s="815"/>
    </row>
    <row r="61" spans="20:20" hidden="1" x14ac:dyDescent="0.2">
      <c r="T61" s="815"/>
    </row>
    <row r="62" spans="20:20" hidden="1" x14ac:dyDescent="0.2"/>
    <row r="63" spans="20:20" hidden="1" x14ac:dyDescent="0.2"/>
    <row r="64" spans="20:20" hidden="1" x14ac:dyDescent="0.2"/>
    <row r="65" spans="20:20" hidden="1" x14ac:dyDescent="0.2"/>
    <row r="66" spans="20:20" hidden="1" x14ac:dyDescent="0.2"/>
    <row r="67" spans="20:20" hidden="1" x14ac:dyDescent="0.2"/>
    <row r="68" spans="20:20" hidden="1" x14ac:dyDescent="0.2"/>
    <row r="69" spans="20:20" hidden="1" x14ac:dyDescent="0.2"/>
    <row r="70" spans="20:20" hidden="1" x14ac:dyDescent="0.2"/>
    <row r="71" spans="20:20" hidden="1" x14ac:dyDescent="0.2">
      <c r="T71" s="815"/>
    </row>
    <row r="72" spans="20:20" hidden="1" x14ac:dyDescent="0.2">
      <c r="T72" s="815"/>
    </row>
    <row r="73" spans="20:20" hidden="1" x14ac:dyDescent="0.2">
      <c r="T73" s="815"/>
    </row>
    <row r="74" spans="20:20" hidden="1" x14ac:dyDescent="0.2">
      <c r="T74" s="815"/>
    </row>
    <row r="75" spans="20:20" hidden="1" x14ac:dyDescent="0.2">
      <c r="T75" s="815"/>
    </row>
    <row r="76" spans="20:20" hidden="1" x14ac:dyDescent="0.2">
      <c r="T76" s="815"/>
    </row>
    <row r="77" spans="20:20" hidden="1" x14ac:dyDescent="0.2">
      <c r="T77" s="815"/>
    </row>
    <row r="78" spans="20:20" hidden="1" x14ac:dyDescent="0.2">
      <c r="T78" s="815"/>
    </row>
    <row r="79" spans="20:20" hidden="1" x14ac:dyDescent="0.2">
      <c r="T79" s="815"/>
    </row>
    <row r="80" spans="20:20" hidden="1" x14ac:dyDescent="0.2">
      <c r="T80" s="815"/>
    </row>
    <row r="81" spans="20:20" hidden="1" x14ac:dyDescent="0.2">
      <c r="T81" s="815"/>
    </row>
    <row r="82" spans="20:20" hidden="1" x14ac:dyDescent="0.2">
      <c r="T82" s="815"/>
    </row>
    <row r="83" spans="20:20" hidden="1" x14ac:dyDescent="0.2">
      <c r="T83" s="815"/>
    </row>
    <row r="84" spans="20:20" hidden="1" x14ac:dyDescent="0.2">
      <c r="T84" s="815"/>
    </row>
    <row r="85" spans="20:20" hidden="1" x14ac:dyDescent="0.2">
      <c r="T85" s="815"/>
    </row>
    <row r="86" spans="20:20" hidden="1" x14ac:dyDescent="0.2">
      <c r="T86" s="815"/>
    </row>
    <row r="87" spans="20:20" hidden="1" x14ac:dyDescent="0.2">
      <c r="T87" s="815"/>
    </row>
    <row r="88" spans="20:20" hidden="1" x14ac:dyDescent="0.2">
      <c r="T88" s="815"/>
    </row>
    <row r="89" spans="20:20" hidden="1" x14ac:dyDescent="0.2">
      <c r="T89" s="815"/>
    </row>
    <row r="90" spans="20:20" hidden="1" x14ac:dyDescent="0.2">
      <c r="T90" s="815"/>
    </row>
    <row r="91" spans="20:20" hidden="1" x14ac:dyDescent="0.2">
      <c r="T91" s="815"/>
    </row>
    <row r="92" spans="20:20" hidden="1" x14ac:dyDescent="0.2">
      <c r="T92" s="815"/>
    </row>
    <row r="93" spans="20:20" hidden="1" x14ac:dyDescent="0.2">
      <c r="T93" s="815"/>
    </row>
    <row r="94" spans="20:20" hidden="1" x14ac:dyDescent="0.2">
      <c r="T94" s="815"/>
    </row>
    <row r="95" spans="20:20" hidden="1" x14ac:dyDescent="0.2">
      <c r="T95" s="815"/>
    </row>
    <row r="96" spans="20:20" hidden="1" x14ac:dyDescent="0.2">
      <c r="T96" s="815"/>
    </row>
    <row r="97" spans="20:20" hidden="1" x14ac:dyDescent="0.2">
      <c r="T97" s="815"/>
    </row>
    <row r="98" spans="20:20" hidden="1" x14ac:dyDescent="0.2">
      <c r="T98" s="815"/>
    </row>
    <row r="99" spans="20:20" hidden="1" x14ac:dyDescent="0.2">
      <c r="T99" s="815"/>
    </row>
    <row r="100" spans="20:20" hidden="1" x14ac:dyDescent="0.2">
      <c r="T100" s="815"/>
    </row>
    <row r="101" spans="20:20" hidden="1" x14ac:dyDescent="0.2">
      <c r="T101" s="815"/>
    </row>
    <row r="102" spans="20:20" hidden="1" x14ac:dyDescent="0.2">
      <c r="T102" s="815"/>
    </row>
    <row r="103" spans="20:20" hidden="1" x14ac:dyDescent="0.2">
      <c r="T103" s="815"/>
    </row>
    <row r="104" spans="20:20" hidden="1" x14ac:dyDescent="0.2">
      <c r="T104" s="815"/>
    </row>
    <row r="105" spans="20:20" hidden="1" x14ac:dyDescent="0.2">
      <c r="T105" s="815"/>
    </row>
    <row r="106" spans="20:20" hidden="1" x14ac:dyDescent="0.2">
      <c r="T106" s="815"/>
    </row>
    <row r="107" spans="20:20" hidden="1" x14ac:dyDescent="0.2">
      <c r="T107" s="815"/>
    </row>
    <row r="108" spans="20:20" hidden="1" x14ac:dyDescent="0.2">
      <c r="T108" s="815"/>
    </row>
    <row r="109" spans="20:20" hidden="1" x14ac:dyDescent="0.2">
      <c r="T109" s="815"/>
    </row>
  </sheetData>
  <pageMargins left="0.7" right="0.7" top="0.75" bottom="0.75" header="0.3" footer="0.3"/>
  <pageSetup scale="88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theme="3" tint="-0.249977111117893"/>
  </sheetPr>
  <dimension ref="A1:WVN97"/>
  <sheetViews>
    <sheetView topLeftCell="A4" workbookViewId="0">
      <selection activeCell="C14" sqref="C14:C16"/>
    </sheetView>
  </sheetViews>
  <sheetFormatPr baseColWidth="10" defaultColWidth="0" defaultRowHeight="12.75" customHeight="1" zeroHeight="1" x14ac:dyDescent="0.2"/>
  <cols>
    <col min="1" max="1" width="49.5703125" style="809" customWidth="1"/>
    <col min="2" max="2" width="12.7109375" style="809" bestFit="1" customWidth="1"/>
    <col min="3" max="3" width="13.140625" style="809" customWidth="1"/>
    <col min="4" max="4" width="11.28515625" style="809" customWidth="1"/>
    <col min="5" max="5" width="51.5703125" style="809" hidden="1" customWidth="1"/>
    <col min="6" max="6" width="11.42578125" style="809" customWidth="1"/>
    <col min="7" max="8" width="0" style="809" hidden="1" customWidth="1"/>
    <col min="9" max="9" width="44.42578125" style="809" hidden="1" customWidth="1"/>
    <col min="10" max="14" width="16.42578125" style="809" hidden="1" customWidth="1"/>
    <col min="15" max="15" width="41.85546875" style="809" hidden="1" customWidth="1"/>
    <col min="16" max="256" width="0" style="809" hidden="1"/>
    <col min="257" max="257" width="49.5703125" style="809" hidden="1" customWidth="1"/>
    <col min="258" max="258" width="12.7109375" style="809" hidden="1" customWidth="1"/>
    <col min="259" max="259" width="13.140625" style="809" hidden="1" customWidth="1"/>
    <col min="260" max="260" width="11.28515625" style="809" hidden="1" customWidth="1"/>
    <col min="261" max="261" width="0" style="809" hidden="1" customWidth="1"/>
    <col min="262" max="262" width="11.42578125" style="809" hidden="1" customWidth="1"/>
    <col min="263" max="271" width="0" style="809" hidden="1" customWidth="1"/>
    <col min="272" max="512" width="0" style="809" hidden="1"/>
    <col min="513" max="513" width="49.5703125" style="809" hidden="1" customWidth="1"/>
    <col min="514" max="514" width="12.7109375" style="809" hidden="1" customWidth="1"/>
    <col min="515" max="515" width="13.140625" style="809" hidden="1" customWidth="1"/>
    <col min="516" max="516" width="11.28515625" style="809" hidden="1" customWidth="1"/>
    <col min="517" max="517" width="0" style="809" hidden="1" customWidth="1"/>
    <col min="518" max="518" width="11.42578125" style="809" hidden="1" customWidth="1"/>
    <col min="519" max="527" width="0" style="809" hidden="1" customWidth="1"/>
    <col min="528" max="768" width="0" style="809" hidden="1"/>
    <col min="769" max="769" width="49.5703125" style="809" hidden="1" customWidth="1"/>
    <col min="770" max="770" width="12.7109375" style="809" hidden="1" customWidth="1"/>
    <col min="771" max="771" width="13.140625" style="809" hidden="1" customWidth="1"/>
    <col min="772" max="772" width="11.28515625" style="809" hidden="1" customWidth="1"/>
    <col min="773" max="773" width="0" style="809" hidden="1" customWidth="1"/>
    <col min="774" max="774" width="11.42578125" style="809" hidden="1" customWidth="1"/>
    <col min="775" max="783" width="0" style="809" hidden="1" customWidth="1"/>
    <col min="784" max="1024" width="0" style="809" hidden="1"/>
    <col min="1025" max="1025" width="49.5703125" style="809" hidden="1" customWidth="1"/>
    <col min="1026" max="1026" width="12.7109375" style="809" hidden="1" customWidth="1"/>
    <col min="1027" max="1027" width="13.140625" style="809" hidden="1" customWidth="1"/>
    <col min="1028" max="1028" width="11.28515625" style="809" hidden="1" customWidth="1"/>
    <col min="1029" max="1029" width="0" style="809" hidden="1" customWidth="1"/>
    <col min="1030" max="1030" width="11.42578125" style="809" hidden="1" customWidth="1"/>
    <col min="1031" max="1039" width="0" style="809" hidden="1" customWidth="1"/>
    <col min="1040" max="1280" width="0" style="809" hidden="1"/>
    <col min="1281" max="1281" width="49.5703125" style="809" hidden="1" customWidth="1"/>
    <col min="1282" max="1282" width="12.7109375" style="809" hidden="1" customWidth="1"/>
    <col min="1283" max="1283" width="13.140625" style="809" hidden="1" customWidth="1"/>
    <col min="1284" max="1284" width="11.28515625" style="809" hidden="1" customWidth="1"/>
    <col min="1285" max="1285" width="0" style="809" hidden="1" customWidth="1"/>
    <col min="1286" max="1286" width="11.42578125" style="809" hidden="1" customWidth="1"/>
    <col min="1287" max="1295" width="0" style="809" hidden="1" customWidth="1"/>
    <col min="1296" max="1536" width="0" style="809" hidden="1"/>
    <col min="1537" max="1537" width="49.5703125" style="809" hidden="1" customWidth="1"/>
    <col min="1538" max="1538" width="12.7109375" style="809" hidden="1" customWidth="1"/>
    <col min="1539" max="1539" width="13.140625" style="809" hidden="1" customWidth="1"/>
    <col min="1540" max="1540" width="11.28515625" style="809" hidden="1" customWidth="1"/>
    <col min="1541" max="1541" width="0" style="809" hidden="1" customWidth="1"/>
    <col min="1542" max="1542" width="11.42578125" style="809" hidden="1" customWidth="1"/>
    <col min="1543" max="1551" width="0" style="809" hidden="1" customWidth="1"/>
    <col min="1552" max="1792" width="0" style="809" hidden="1"/>
    <col min="1793" max="1793" width="49.5703125" style="809" hidden="1" customWidth="1"/>
    <col min="1794" max="1794" width="12.7109375" style="809" hidden="1" customWidth="1"/>
    <col min="1795" max="1795" width="13.140625" style="809" hidden="1" customWidth="1"/>
    <col min="1796" max="1796" width="11.28515625" style="809" hidden="1" customWidth="1"/>
    <col min="1797" max="1797" width="0" style="809" hidden="1" customWidth="1"/>
    <col min="1798" max="1798" width="11.42578125" style="809" hidden="1" customWidth="1"/>
    <col min="1799" max="1807" width="0" style="809" hidden="1" customWidth="1"/>
    <col min="1808" max="2048" width="0" style="809" hidden="1"/>
    <col min="2049" max="2049" width="49.5703125" style="809" hidden="1" customWidth="1"/>
    <col min="2050" max="2050" width="12.7109375" style="809" hidden="1" customWidth="1"/>
    <col min="2051" max="2051" width="13.140625" style="809" hidden="1" customWidth="1"/>
    <col min="2052" max="2052" width="11.28515625" style="809" hidden="1" customWidth="1"/>
    <col min="2053" max="2053" width="0" style="809" hidden="1" customWidth="1"/>
    <col min="2054" max="2054" width="11.42578125" style="809" hidden="1" customWidth="1"/>
    <col min="2055" max="2063" width="0" style="809" hidden="1" customWidth="1"/>
    <col min="2064" max="2304" width="0" style="809" hidden="1"/>
    <col min="2305" max="2305" width="49.5703125" style="809" hidden="1" customWidth="1"/>
    <col min="2306" max="2306" width="12.7109375" style="809" hidden="1" customWidth="1"/>
    <col min="2307" max="2307" width="13.140625" style="809" hidden="1" customWidth="1"/>
    <col min="2308" max="2308" width="11.28515625" style="809" hidden="1" customWidth="1"/>
    <col min="2309" max="2309" width="0" style="809" hidden="1" customWidth="1"/>
    <col min="2310" max="2310" width="11.42578125" style="809" hidden="1" customWidth="1"/>
    <col min="2311" max="2319" width="0" style="809" hidden="1" customWidth="1"/>
    <col min="2320" max="2560" width="0" style="809" hidden="1"/>
    <col min="2561" max="2561" width="49.5703125" style="809" hidden="1" customWidth="1"/>
    <col min="2562" max="2562" width="12.7109375" style="809" hidden="1" customWidth="1"/>
    <col min="2563" max="2563" width="13.140625" style="809" hidden="1" customWidth="1"/>
    <col min="2564" max="2564" width="11.28515625" style="809" hidden="1" customWidth="1"/>
    <col min="2565" max="2565" width="0" style="809" hidden="1" customWidth="1"/>
    <col min="2566" max="2566" width="11.42578125" style="809" hidden="1" customWidth="1"/>
    <col min="2567" max="2575" width="0" style="809" hidden="1" customWidth="1"/>
    <col min="2576" max="2816" width="0" style="809" hidden="1"/>
    <col min="2817" max="2817" width="49.5703125" style="809" hidden="1" customWidth="1"/>
    <col min="2818" max="2818" width="12.7109375" style="809" hidden="1" customWidth="1"/>
    <col min="2819" max="2819" width="13.140625" style="809" hidden="1" customWidth="1"/>
    <col min="2820" max="2820" width="11.28515625" style="809" hidden="1" customWidth="1"/>
    <col min="2821" max="2821" width="0" style="809" hidden="1" customWidth="1"/>
    <col min="2822" max="2822" width="11.42578125" style="809" hidden="1" customWidth="1"/>
    <col min="2823" max="2831" width="0" style="809" hidden="1" customWidth="1"/>
    <col min="2832" max="3072" width="0" style="809" hidden="1"/>
    <col min="3073" max="3073" width="49.5703125" style="809" hidden="1" customWidth="1"/>
    <col min="3074" max="3074" width="12.7109375" style="809" hidden="1" customWidth="1"/>
    <col min="3075" max="3075" width="13.140625" style="809" hidden="1" customWidth="1"/>
    <col min="3076" max="3076" width="11.28515625" style="809" hidden="1" customWidth="1"/>
    <col min="3077" max="3077" width="0" style="809" hidden="1" customWidth="1"/>
    <col min="3078" max="3078" width="11.42578125" style="809" hidden="1" customWidth="1"/>
    <col min="3079" max="3087" width="0" style="809" hidden="1" customWidth="1"/>
    <col min="3088" max="3328" width="0" style="809" hidden="1"/>
    <col min="3329" max="3329" width="49.5703125" style="809" hidden="1" customWidth="1"/>
    <col min="3330" max="3330" width="12.7109375" style="809" hidden="1" customWidth="1"/>
    <col min="3331" max="3331" width="13.140625" style="809" hidden="1" customWidth="1"/>
    <col min="3332" max="3332" width="11.28515625" style="809" hidden="1" customWidth="1"/>
    <col min="3333" max="3333" width="0" style="809" hidden="1" customWidth="1"/>
    <col min="3334" max="3334" width="11.42578125" style="809" hidden="1" customWidth="1"/>
    <col min="3335" max="3343" width="0" style="809" hidden="1" customWidth="1"/>
    <col min="3344" max="3584" width="0" style="809" hidden="1"/>
    <col min="3585" max="3585" width="49.5703125" style="809" hidden="1" customWidth="1"/>
    <col min="3586" max="3586" width="12.7109375" style="809" hidden="1" customWidth="1"/>
    <col min="3587" max="3587" width="13.140625" style="809" hidden="1" customWidth="1"/>
    <col min="3588" max="3588" width="11.28515625" style="809" hidden="1" customWidth="1"/>
    <col min="3589" max="3589" width="0" style="809" hidden="1" customWidth="1"/>
    <col min="3590" max="3590" width="11.42578125" style="809" hidden="1" customWidth="1"/>
    <col min="3591" max="3599" width="0" style="809" hidden="1" customWidth="1"/>
    <col min="3600" max="3840" width="0" style="809" hidden="1"/>
    <col min="3841" max="3841" width="49.5703125" style="809" hidden="1" customWidth="1"/>
    <col min="3842" max="3842" width="12.7109375" style="809" hidden="1" customWidth="1"/>
    <col min="3843" max="3843" width="13.140625" style="809" hidden="1" customWidth="1"/>
    <col min="3844" max="3844" width="11.28515625" style="809" hidden="1" customWidth="1"/>
    <col min="3845" max="3845" width="0" style="809" hidden="1" customWidth="1"/>
    <col min="3846" max="3846" width="11.42578125" style="809" hidden="1" customWidth="1"/>
    <col min="3847" max="3855" width="0" style="809" hidden="1" customWidth="1"/>
    <col min="3856" max="4096" width="0" style="809" hidden="1"/>
    <col min="4097" max="4097" width="49.5703125" style="809" hidden="1" customWidth="1"/>
    <col min="4098" max="4098" width="12.7109375" style="809" hidden="1" customWidth="1"/>
    <col min="4099" max="4099" width="13.140625" style="809" hidden="1" customWidth="1"/>
    <col min="4100" max="4100" width="11.28515625" style="809" hidden="1" customWidth="1"/>
    <col min="4101" max="4101" width="0" style="809" hidden="1" customWidth="1"/>
    <col min="4102" max="4102" width="11.42578125" style="809" hidden="1" customWidth="1"/>
    <col min="4103" max="4111" width="0" style="809" hidden="1" customWidth="1"/>
    <col min="4112" max="4352" width="0" style="809" hidden="1"/>
    <col min="4353" max="4353" width="49.5703125" style="809" hidden="1" customWidth="1"/>
    <col min="4354" max="4354" width="12.7109375" style="809" hidden="1" customWidth="1"/>
    <col min="4355" max="4355" width="13.140625" style="809" hidden="1" customWidth="1"/>
    <col min="4356" max="4356" width="11.28515625" style="809" hidden="1" customWidth="1"/>
    <col min="4357" max="4357" width="0" style="809" hidden="1" customWidth="1"/>
    <col min="4358" max="4358" width="11.42578125" style="809" hidden="1" customWidth="1"/>
    <col min="4359" max="4367" width="0" style="809" hidden="1" customWidth="1"/>
    <col min="4368" max="4608" width="0" style="809" hidden="1"/>
    <col min="4609" max="4609" width="49.5703125" style="809" hidden="1" customWidth="1"/>
    <col min="4610" max="4610" width="12.7109375" style="809" hidden="1" customWidth="1"/>
    <col min="4611" max="4611" width="13.140625" style="809" hidden="1" customWidth="1"/>
    <col min="4612" max="4612" width="11.28515625" style="809" hidden="1" customWidth="1"/>
    <col min="4613" max="4613" width="0" style="809" hidden="1" customWidth="1"/>
    <col min="4614" max="4614" width="11.42578125" style="809" hidden="1" customWidth="1"/>
    <col min="4615" max="4623" width="0" style="809" hidden="1" customWidth="1"/>
    <col min="4624" max="4864" width="0" style="809" hidden="1"/>
    <col min="4865" max="4865" width="49.5703125" style="809" hidden="1" customWidth="1"/>
    <col min="4866" max="4866" width="12.7109375" style="809" hidden="1" customWidth="1"/>
    <col min="4867" max="4867" width="13.140625" style="809" hidden="1" customWidth="1"/>
    <col min="4868" max="4868" width="11.28515625" style="809" hidden="1" customWidth="1"/>
    <col min="4869" max="4869" width="0" style="809" hidden="1" customWidth="1"/>
    <col min="4870" max="4870" width="11.42578125" style="809" hidden="1" customWidth="1"/>
    <col min="4871" max="4879" width="0" style="809" hidden="1" customWidth="1"/>
    <col min="4880" max="5120" width="0" style="809" hidden="1"/>
    <col min="5121" max="5121" width="49.5703125" style="809" hidden="1" customWidth="1"/>
    <col min="5122" max="5122" width="12.7109375" style="809" hidden="1" customWidth="1"/>
    <col min="5123" max="5123" width="13.140625" style="809" hidden="1" customWidth="1"/>
    <col min="5124" max="5124" width="11.28515625" style="809" hidden="1" customWidth="1"/>
    <col min="5125" max="5125" width="0" style="809" hidden="1" customWidth="1"/>
    <col min="5126" max="5126" width="11.42578125" style="809" hidden="1" customWidth="1"/>
    <col min="5127" max="5135" width="0" style="809" hidden="1" customWidth="1"/>
    <col min="5136" max="5376" width="0" style="809" hidden="1"/>
    <col min="5377" max="5377" width="49.5703125" style="809" hidden="1" customWidth="1"/>
    <col min="5378" max="5378" width="12.7109375" style="809" hidden="1" customWidth="1"/>
    <col min="5379" max="5379" width="13.140625" style="809" hidden="1" customWidth="1"/>
    <col min="5380" max="5380" width="11.28515625" style="809" hidden="1" customWidth="1"/>
    <col min="5381" max="5381" width="0" style="809" hidden="1" customWidth="1"/>
    <col min="5382" max="5382" width="11.42578125" style="809" hidden="1" customWidth="1"/>
    <col min="5383" max="5391" width="0" style="809" hidden="1" customWidth="1"/>
    <col min="5392" max="5632" width="0" style="809" hidden="1"/>
    <col min="5633" max="5633" width="49.5703125" style="809" hidden="1" customWidth="1"/>
    <col min="5634" max="5634" width="12.7109375" style="809" hidden="1" customWidth="1"/>
    <col min="5635" max="5635" width="13.140625" style="809" hidden="1" customWidth="1"/>
    <col min="5636" max="5636" width="11.28515625" style="809" hidden="1" customWidth="1"/>
    <col min="5637" max="5637" width="0" style="809" hidden="1" customWidth="1"/>
    <col min="5638" max="5638" width="11.42578125" style="809" hidden="1" customWidth="1"/>
    <col min="5639" max="5647" width="0" style="809" hidden="1" customWidth="1"/>
    <col min="5648" max="5888" width="0" style="809" hidden="1"/>
    <col min="5889" max="5889" width="49.5703125" style="809" hidden="1" customWidth="1"/>
    <col min="5890" max="5890" width="12.7109375" style="809" hidden="1" customWidth="1"/>
    <col min="5891" max="5891" width="13.140625" style="809" hidden="1" customWidth="1"/>
    <col min="5892" max="5892" width="11.28515625" style="809" hidden="1" customWidth="1"/>
    <col min="5893" max="5893" width="0" style="809" hidden="1" customWidth="1"/>
    <col min="5894" max="5894" width="11.42578125" style="809" hidden="1" customWidth="1"/>
    <col min="5895" max="5903" width="0" style="809" hidden="1" customWidth="1"/>
    <col min="5904" max="6144" width="0" style="809" hidden="1"/>
    <col min="6145" max="6145" width="49.5703125" style="809" hidden="1" customWidth="1"/>
    <col min="6146" max="6146" width="12.7109375" style="809" hidden="1" customWidth="1"/>
    <col min="6147" max="6147" width="13.140625" style="809" hidden="1" customWidth="1"/>
    <col min="6148" max="6148" width="11.28515625" style="809" hidden="1" customWidth="1"/>
    <col min="6149" max="6149" width="0" style="809" hidden="1" customWidth="1"/>
    <col min="6150" max="6150" width="11.42578125" style="809" hidden="1" customWidth="1"/>
    <col min="6151" max="6159" width="0" style="809" hidden="1" customWidth="1"/>
    <col min="6160" max="6400" width="0" style="809" hidden="1"/>
    <col min="6401" max="6401" width="49.5703125" style="809" hidden="1" customWidth="1"/>
    <col min="6402" max="6402" width="12.7109375" style="809" hidden="1" customWidth="1"/>
    <col min="6403" max="6403" width="13.140625" style="809" hidden="1" customWidth="1"/>
    <col min="6404" max="6404" width="11.28515625" style="809" hidden="1" customWidth="1"/>
    <col min="6405" max="6405" width="0" style="809" hidden="1" customWidth="1"/>
    <col min="6406" max="6406" width="11.42578125" style="809" hidden="1" customWidth="1"/>
    <col min="6407" max="6415" width="0" style="809" hidden="1" customWidth="1"/>
    <col min="6416" max="6656" width="0" style="809" hidden="1"/>
    <col min="6657" max="6657" width="49.5703125" style="809" hidden="1" customWidth="1"/>
    <col min="6658" max="6658" width="12.7109375" style="809" hidden="1" customWidth="1"/>
    <col min="6659" max="6659" width="13.140625" style="809" hidden="1" customWidth="1"/>
    <col min="6660" max="6660" width="11.28515625" style="809" hidden="1" customWidth="1"/>
    <col min="6661" max="6661" width="0" style="809" hidden="1" customWidth="1"/>
    <col min="6662" max="6662" width="11.42578125" style="809" hidden="1" customWidth="1"/>
    <col min="6663" max="6671" width="0" style="809" hidden="1" customWidth="1"/>
    <col min="6672" max="6912" width="0" style="809" hidden="1"/>
    <col min="6913" max="6913" width="49.5703125" style="809" hidden="1" customWidth="1"/>
    <col min="6914" max="6914" width="12.7109375" style="809" hidden="1" customWidth="1"/>
    <col min="6915" max="6915" width="13.140625" style="809" hidden="1" customWidth="1"/>
    <col min="6916" max="6916" width="11.28515625" style="809" hidden="1" customWidth="1"/>
    <col min="6917" max="6917" width="0" style="809" hidden="1" customWidth="1"/>
    <col min="6918" max="6918" width="11.42578125" style="809" hidden="1" customWidth="1"/>
    <col min="6919" max="6927" width="0" style="809" hidden="1" customWidth="1"/>
    <col min="6928" max="7168" width="0" style="809" hidden="1"/>
    <col min="7169" max="7169" width="49.5703125" style="809" hidden="1" customWidth="1"/>
    <col min="7170" max="7170" width="12.7109375" style="809" hidden="1" customWidth="1"/>
    <col min="7171" max="7171" width="13.140625" style="809" hidden="1" customWidth="1"/>
    <col min="7172" max="7172" width="11.28515625" style="809" hidden="1" customWidth="1"/>
    <col min="7173" max="7173" width="0" style="809" hidden="1" customWidth="1"/>
    <col min="7174" max="7174" width="11.42578125" style="809" hidden="1" customWidth="1"/>
    <col min="7175" max="7183" width="0" style="809" hidden="1" customWidth="1"/>
    <col min="7184" max="7424" width="0" style="809" hidden="1"/>
    <col min="7425" max="7425" width="49.5703125" style="809" hidden="1" customWidth="1"/>
    <col min="7426" max="7426" width="12.7109375" style="809" hidden="1" customWidth="1"/>
    <col min="7427" max="7427" width="13.140625" style="809" hidden="1" customWidth="1"/>
    <col min="7428" max="7428" width="11.28515625" style="809" hidden="1" customWidth="1"/>
    <col min="7429" max="7429" width="0" style="809" hidden="1" customWidth="1"/>
    <col min="7430" max="7430" width="11.42578125" style="809" hidden="1" customWidth="1"/>
    <col min="7431" max="7439" width="0" style="809" hidden="1" customWidth="1"/>
    <col min="7440" max="7680" width="0" style="809" hidden="1"/>
    <col min="7681" max="7681" width="49.5703125" style="809" hidden="1" customWidth="1"/>
    <col min="7682" max="7682" width="12.7109375" style="809" hidden="1" customWidth="1"/>
    <col min="7683" max="7683" width="13.140625" style="809" hidden="1" customWidth="1"/>
    <col min="7684" max="7684" width="11.28515625" style="809" hidden="1" customWidth="1"/>
    <col min="7685" max="7685" width="0" style="809" hidden="1" customWidth="1"/>
    <col min="7686" max="7686" width="11.42578125" style="809" hidden="1" customWidth="1"/>
    <col min="7687" max="7695" width="0" style="809" hidden="1" customWidth="1"/>
    <col min="7696" max="7936" width="0" style="809" hidden="1"/>
    <col min="7937" max="7937" width="49.5703125" style="809" hidden="1" customWidth="1"/>
    <col min="7938" max="7938" width="12.7109375" style="809" hidden="1" customWidth="1"/>
    <col min="7939" max="7939" width="13.140625" style="809" hidden="1" customWidth="1"/>
    <col min="7940" max="7940" width="11.28515625" style="809" hidden="1" customWidth="1"/>
    <col min="7941" max="7941" width="0" style="809" hidden="1" customWidth="1"/>
    <col min="7942" max="7942" width="11.42578125" style="809" hidden="1" customWidth="1"/>
    <col min="7943" max="7951" width="0" style="809" hidden="1" customWidth="1"/>
    <col min="7952" max="8192" width="0" style="809" hidden="1"/>
    <col min="8193" max="8193" width="49.5703125" style="809" hidden="1" customWidth="1"/>
    <col min="8194" max="8194" width="12.7109375" style="809" hidden="1" customWidth="1"/>
    <col min="8195" max="8195" width="13.140625" style="809" hidden="1" customWidth="1"/>
    <col min="8196" max="8196" width="11.28515625" style="809" hidden="1" customWidth="1"/>
    <col min="8197" max="8197" width="0" style="809" hidden="1" customWidth="1"/>
    <col min="8198" max="8198" width="11.42578125" style="809" hidden="1" customWidth="1"/>
    <col min="8199" max="8207" width="0" style="809" hidden="1" customWidth="1"/>
    <col min="8208" max="8448" width="0" style="809" hidden="1"/>
    <col min="8449" max="8449" width="49.5703125" style="809" hidden="1" customWidth="1"/>
    <col min="8450" max="8450" width="12.7109375" style="809" hidden="1" customWidth="1"/>
    <col min="8451" max="8451" width="13.140625" style="809" hidden="1" customWidth="1"/>
    <col min="8452" max="8452" width="11.28515625" style="809" hidden="1" customWidth="1"/>
    <col min="8453" max="8453" width="0" style="809" hidden="1" customWidth="1"/>
    <col min="8454" max="8454" width="11.42578125" style="809" hidden="1" customWidth="1"/>
    <col min="8455" max="8463" width="0" style="809" hidden="1" customWidth="1"/>
    <col min="8464" max="8704" width="0" style="809" hidden="1"/>
    <col min="8705" max="8705" width="49.5703125" style="809" hidden="1" customWidth="1"/>
    <col min="8706" max="8706" width="12.7109375" style="809" hidden="1" customWidth="1"/>
    <col min="8707" max="8707" width="13.140625" style="809" hidden="1" customWidth="1"/>
    <col min="8708" max="8708" width="11.28515625" style="809" hidden="1" customWidth="1"/>
    <col min="8709" max="8709" width="0" style="809" hidden="1" customWidth="1"/>
    <col min="8710" max="8710" width="11.42578125" style="809" hidden="1" customWidth="1"/>
    <col min="8711" max="8719" width="0" style="809" hidden="1" customWidth="1"/>
    <col min="8720" max="8960" width="0" style="809" hidden="1"/>
    <col min="8961" max="8961" width="49.5703125" style="809" hidden="1" customWidth="1"/>
    <col min="8962" max="8962" width="12.7109375" style="809" hidden="1" customWidth="1"/>
    <col min="8963" max="8963" width="13.140625" style="809" hidden="1" customWidth="1"/>
    <col min="8964" max="8964" width="11.28515625" style="809" hidden="1" customWidth="1"/>
    <col min="8965" max="8965" width="0" style="809" hidden="1" customWidth="1"/>
    <col min="8966" max="8966" width="11.42578125" style="809" hidden="1" customWidth="1"/>
    <col min="8967" max="8975" width="0" style="809" hidden="1" customWidth="1"/>
    <col min="8976" max="9216" width="0" style="809" hidden="1"/>
    <col min="9217" max="9217" width="49.5703125" style="809" hidden="1" customWidth="1"/>
    <col min="9218" max="9218" width="12.7109375" style="809" hidden="1" customWidth="1"/>
    <col min="9219" max="9219" width="13.140625" style="809" hidden="1" customWidth="1"/>
    <col min="9220" max="9220" width="11.28515625" style="809" hidden="1" customWidth="1"/>
    <col min="9221" max="9221" width="0" style="809" hidden="1" customWidth="1"/>
    <col min="9222" max="9222" width="11.42578125" style="809" hidden="1" customWidth="1"/>
    <col min="9223" max="9231" width="0" style="809" hidden="1" customWidth="1"/>
    <col min="9232" max="9472" width="0" style="809" hidden="1"/>
    <col min="9473" max="9473" width="49.5703125" style="809" hidden="1" customWidth="1"/>
    <col min="9474" max="9474" width="12.7109375" style="809" hidden="1" customWidth="1"/>
    <col min="9475" max="9475" width="13.140625" style="809" hidden="1" customWidth="1"/>
    <col min="9476" max="9476" width="11.28515625" style="809" hidden="1" customWidth="1"/>
    <col min="9477" max="9477" width="0" style="809" hidden="1" customWidth="1"/>
    <col min="9478" max="9478" width="11.42578125" style="809" hidden="1" customWidth="1"/>
    <col min="9479" max="9487" width="0" style="809" hidden="1" customWidth="1"/>
    <col min="9488" max="9728" width="0" style="809" hidden="1"/>
    <col min="9729" max="9729" width="49.5703125" style="809" hidden="1" customWidth="1"/>
    <col min="9730" max="9730" width="12.7109375" style="809" hidden="1" customWidth="1"/>
    <col min="9731" max="9731" width="13.140625" style="809" hidden="1" customWidth="1"/>
    <col min="9732" max="9732" width="11.28515625" style="809" hidden="1" customWidth="1"/>
    <col min="9733" max="9733" width="0" style="809" hidden="1" customWidth="1"/>
    <col min="9734" max="9734" width="11.42578125" style="809" hidden="1" customWidth="1"/>
    <col min="9735" max="9743" width="0" style="809" hidden="1" customWidth="1"/>
    <col min="9744" max="9984" width="0" style="809" hidden="1"/>
    <col min="9985" max="9985" width="49.5703125" style="809" hidden="1" customWidth="1"/>
    <col min="9986" max="9986" width="12.7109375" style="809" hidden="1" customWidth="1"/>
    <col min="9987" max="9987" width="13.140625" style="809" hidden="1" customWidth="1"/>
    <col min="9988" max="9988" width="11.28515625" style="809" hidden="1" customWidth="1"/>
    <col min="9989" max="9989" width="0" style="809" hidden="1" customWidth="1"/>
    <col min="9990" max="9990" width="11.42578125" style="809" hidden="1" customWidth="1"/>
    <col min="9991" max="9999" width="0" style="809" hidden="1" customWidth="1"/>
    <col min="10000" max="10240" width="0" style="809" hidden="1"/>
    <col min="10241" max="10241" width="49.5703125" style="809" hidden="1" customWidth="1"/>
    <col min="10242" max="10242" width="12.7109375" style="809" hidden="1" customWidth="1"/>
    <col min="10243" max="10243" width="13.140625" style="809" hidden="1" customWidth="1"/>
    <col min="10244" max="10244" width="11.28515625" style="809" hidden="1" customWidth="1"/>
    <col min="10245" max="10245" width="0" style="809" hidden="1" customWidth="1"/>
    <col min="10246" max="10246" width="11.42578125" style="809" hidden="1" customWidth="1"/>
    <col min="10247" max="10255" width="0" style="809" hidden="1" customWidth="1"/>
    <col min="10256" max="10496" width="0" style="809" hidden="1"/>
    <col min="10497" max="10497" width="49.5703125" style="809" hidden="1" customWidth="1"/>
    <col min="10498" max="10498" width="12.7109375" style="809" hidden="1" customWidth="1"/>
    <col min="10499" max="10499" width="13.140625" style="809" hidden="1" customWidth="1"/>
    <col min="10500" max="10500" width="11.28515625" style="809" hidden="1" customWidth="1"/>
    <col min="10501" max="10501" width="0" style="809" hidden="1" customWidth="1"/>
    <col min="10502" max="10502" width="11.42578125" style="809" hidden="1" customWidth="1"/>
    <col min="10503" max="10511" width="0" style="809" hidden="1" customWidth="1"/>
    <col min="10512" max="10752" width="0" style="809" hidden="1"/>
    <col min="10753" max="10753" width="49.5703125" style="809" hidden="1" customWidth="1"/>
    <col min="10754" max="10754" width="12.7109375" style="809" hidden="1" customWidth="1"/>
    <col min="10755" max="10755" width="13.140625" style="809" hidden="1" customWidth="1"/>
    <col min="10756" max="10756" width="11.28515625" style="809" hidden="1" customWidth="1"/>
    <col min="10757" max="10757" width="0" style="809" hidden="1" customWidth="1"/>
    <col min="10758" max="10758" width="11.42578125" style="809" hidden="1" customWidth="1"/>
    <col min="10759" max="10767" width="0" style="809" hidden="1" customWidth="1"/>
    <col min="10768" max="11008" width="0" style="809" hidden="1"/>
    <col min="11009" max="11009" width="49.5703125" style="809" hidden="1" customWidth="1"/>
    <col min="11010" max="11010" width="12.7109375" style="809" hidden="1" customWidth="1"/>
    <col min="11011" max="11011" width="13.140625" style="809" hidden="1" customWidth="1"/>
    <col min="11012" max="11012" width="11.28515625" style="809" hidden="1" customWidth="1"/>
    <col min="11013" max="11013" width="0" style="809" hidden="1" customWidth="1"/>
    <col min="11014" max="11014" width="11.42578125" style="809" hidden="1" customWidth="1"/>
    <col min="11015" max="11023" width="0" style="809" hidden="1" customWidth="1"/>
    <col min="11024" max="11264" width="0" style="809" hidden="1"/>
    <col min="11265" max="11265" width="49.5703125" style="809" hidden="1" customWidth="1"/>
    <col min="11266" max="11266" width="12.7109375" style="809" hidden="1" customWidth="1"/>
    <col min="11267" max="11267" width="13.140625" style="809" hidden="1" customWidth="1"/>
    <col min="11268" max="11268" width="11.28515625" style="809" hidden="1" customWidth="1"/>
    <col min="11269" max="11269" width="0" style="809" hidden="1" customWidth="1"/>
    <col min="11270" max="11270" width="11.42578125" style="809" hidden="1" customWidth="1"/>
    <col min="11271" max="11279" width="0" style="809" hidden="1" customWidth="1"/>
    <col min="11280" max="11520" width="0" style="809" hidden="1"/>
    <col min="11521" max="11521" width="49.5703125" style="809" hidden="1" customWidth="1"/>
    <col min="11522" max="11522" width="12.7109375" style="809" hidden="1" customWidth="1"/>
    <col min="11523" max="11523" width="13.140625" style="809" hidden="1" customWidth="1"/>
    <col min="11524" max="11524" width="11.28515625" style="809" hidden="1" customWidth="1"/>
    <col min="11525" max="11525" width="0" style="809" hidden="1" customWidth="1"/>
    <col min="11526" max="11526" width="11.42578125" style="809" hidden="1" customWidth="1"/>
    <col min="11527" max="11535" width="0" style="809" hidden="1" customWidth="1"/>
    <col min="11536" max="11776" width="0" style="809" hidden="1"/>
    <col min="11777" max="11777" width="49.5703125" style="809" hidden="1" customWidth="1"/>
    <col min="11778" max="11778" width="12.7109375" style="809" hidden="1" customWidth="1"/>
    <col min="11779" max="11779" width="13.140625" style="809" hidden="1" customWidth="1"/>
    <col min="11780" max="11780" width="11.28515625" style="809" hidden="1" customWidth="1"/>
    <col min="11781" max="11781" width="0" style="809" hidden="1" customWidth="1"/>
    <col min="11782" max="11782" width="11.42578125" style="809" hidden="1" customWidth="1"/>
    <col min="11783" max="11791" width="0" style="809" hidden="1" customWidth="1"/>
    <col min="11792" max="12032" width="0" style="809" hidden="1"/>
    <col min="12033" max="12033" width="49.5703125" style="809" hidden="1" customWidth="1"/>
    <col min="12034" max="12034" width="12.7109375" style="809" hidden="1" customWidth="1"/>
    <col min="12035" max="12035" width="13.140625" style="809" hidden="1" customWidth="1"/>
    <col min="12036" max="12036" width="11.28515625" style="809" hidden="1" customWidth="1"/>
    <col min="12037" max="12037" width="0" style="809" hidden="1" customWidth="1"/>
    <col min="12038" max="12038" width="11.42578125" style="809" hidden="1" customWidth="1"/>
    <col min="12039" max="12047" width="0" style="809" hidden="1" customWidth="1"/>
    <col min="12048" max="12288" width="0" style="809" hidden="1"/>
    <col min="12289" max="12289" width="49.5703125" style="809" hidden="1" customWidth="1"/>
    <col min="12290" max="12290" width="12.7109375" style="809" hidden="1" customWidth="1"/>
    <col min="12291" max="12291" width="13.140625" style="809" hidden="1" customWidth="1"/>
    <col min="12292" max="12292" width="11.28515625" style="809" hidden="1" customWidth="1"/>
    <col min="12293" max="12293" width="0" style="809" hidden="1" customWidth="1"/>
    <col min="12294" max="12294" width="11.42578125" style="809" hidden="1" customWidth="1"/>
    <col min="12295" max="12303" width="0" style="809" hidden="1" customWidth="1"/>
    <col min="12304" max="12544" width="0" style="809" hidden="1"/>
    <col min="12545" max="12545" width="49.5703125" style="809" hidden="1" customWidth="1"/>
    <col min="12546" max="12546" width="12.7109375" style="809" hidden="1" customWidth="1"/>
    <col min="12547" max="12547" width="13.140625" style="809" hidden="1" customWidth="1"/>
    <col min="12548" max="12548" width="11.28515625" style="809" hidden="1" customWidth="1"/>
    <col min="12549" max="12549" width="0" style="809" hidden="1" customWidth="1"/>
    <col min="12550" max="12550" width="11.42578125" style="809" hidden="1" customWidth="1"/>
    <col min="12551" max="12559" width="0" style="809" hidden="1" customWidth="1"/>
    <col min="12560" max="12800" width="0" style="809" hidden="1"/>
    <col min="12801" max="12801" width="49.5703125" style="809" hidden="1" customWidth="1"/>
    <col min="12802" max="12802" width="12.7109375" style="809" hidden="1" customWidth="1"/>
    <col min="12803" max="12803" width="13.140625" style="809" hidden="1" customWidth="1"/>
    <col min="12804" max="12804" width="11.28515625" style="809" hidden="1" customWidth="1"/>
    <col min="12805" max="12805" width="0" style="809" hidden="1" customWidth="1"/>
    <col min="12806" max="12806" width="11.42578125" style="809" hidden="1" customWidth="1"/>
    <col min="12807" max="12815" width="0" style="809" hidden="1" customWidth="1"/>
    <col min="12816" max="13056" width="0" style="809" hidden="1"/>
    <col min="13057" max="13057" width="49.5703125" style="809" hidden="1" customWidth="1"/>
    <col min="13058" max="13058" width="12.7109375" style="809" hidden="1" customWidth="1"/>
    <col min="13059" max="13059" width="13.140625" style="809" hidden="1" customWidth="1"/>
    <col min="13060" max="13060" width="11.28515625" style="809" hidden="1" customWidth="1"/>
    <col min="13061" max="13061" width="0" style="809" hidden="1" customWidth="1"/>
    <col min="13062" max="13062" width="11.42578125" style="809" hidden="1" customWidth="1"/>
    <col min="13063" max="13071" width="0" style="809" hidden="1" customWidth="1"/>
    <col min="13072" max="13312" width="0" style="809" hidden="1"/>
    <col min="13313" max="13313" width="49.5703125" style="809" hidden="1" customWidth="1"/>
    <col min="13314" max="13314" width="12.7109375" style="809" hidden="1" customWidth="1"/>
    <col min="13315" max="13315" width="13.140625" style="809" hidden="1" customWidth="1"/>
    <col min="13316" max="13316" width="11.28515625" style="809" hidden="1" customWidth="1"/>
    <col min="13317" max="13317" width="0" style="809" hidden="1" customWidth="1"/>
    <col min="13318" max="13318" width="11.42578125" style="809" hidden="1" customWidth="1"/>
    <col min="13319" max="13327" width="0" style="809" hidden="1" customWidth="1"/>
    <col min="13328" max="13568" width="0" style="809" hidden="1"/>
    <col min="13569" max="13569" width="49.5703125" style="809" hidden="1" customWidth="1"/>
    <col min="13570" max="13570" width="12.7109375" style="809" hidden="1" customWidth="1"/>
    <col min="13571" max="13571" width="13.140625" style="809" hidden="1" customWidth="1"/>
    <col min="13572" max="13572" width="11.28515625" style="809" hidden="1" customWidth="1"/>
    <col min="13573" max="13573" width="0" style="809" hidden="1" customWidth="1"/>
    <col min="13574" max="13574" width="11.42578125" style="809" hidden="1" customWidth="1"/>
    <col min="13575" max="13583" width="0" style="809" hidden="1" customWidth="1"/>
    <col min="13584" max="13824" width="0" style="809" hidden="1"/>
    <col min="13825" max="13825" width="49.5703125" style="809" hidden="1" customWidth="1"/>
    <col min="13826" max="13826" width="12.7109375" style="809" hidden="1" customWidth="1"/>
    <col min="13827" max="13827" width="13.140625" style="809" hidden="1" customWidth="1"/>
    <col min="13828" max="13828" width="11.28515625" style="809" hidden="1" customWidth="1"/>
    <col min="13829" max="13829" width="0" style="809" hidden="1" customWidth="1"/>
    <col min="13830" max="13830" width="11.42578125" style="809" hidden="1" customWidth="1"/>
    <col min="13831" max="13839" width="0" style="809" hidden="1" customWidth="1"/>
    <col min="13840" max="14080" width="0" style="809" hidden="1"/>
    <col min="14081" max="14081" width="49.5703125" style="809" hidden="1" customWidth="1"/>
    <col min="14082" max="14082" width="12.7109375" style="809" hidden="1" customWidth="1"/>
    <col min="14083" max="14083" width="13.140625" style="809" hidden="1" customWidth="1"/>
    <col min="14084" max="14084" width="11.28515625" style="809" hidden="1" customWidth="1"/>
    <col min="14085" max="14085" width="0" style="809" hidden="1" customWidth="1"/>
    <col min="14086" max="14086" width="11.42578125" style="809" hidden="1" customWidth="1"/>
    <col min="14087" max="14095" width="0" style="809" hidden="1" customWidth="1"/>
    <col min="14096" max="14336" width="0" style="809" hidden="1"/>
    <col min="14337" max="14337" width="49.5703125" style="809" hidden="1" customWidth="1"/>
    <col min="14338" max="14338" width="12.7109375" style="809" hidden="1" customWidth="1"/>
    <col min="14339" max="14339" width="13.140625" style="809" hidden="1" customWidth="1"/>
    <col min="14340" max="14340" width="11.28515625" style="809" hidden="1" customWidth="1"/>
    <col min="14341" max="14341" width="0" style="809" hidden="1" customWidth="1"/>
    <col min="14342" max="14342" width="11.42578125" style="809" hidden="1" customWidth="1"/>
    <col min="14343" max="14351" width="0" style="809" hidden="1" customWidth="1"/>
    <col min="14352" max="14592" width="0" style="809" hidden="1"/>
    <col min="14593" max="14593" width="49.5703125" style="809" hidden="1" customWidth="1"/>
    <col min="14594" max="14594" width="12.7109375" style="809" hidden="1" customWidth="1"/>
    <col min="14595" max="14595" width="13.140625" style="809" hidden="1" customWidth="1"/>
    <col min="14596" max="14596" width="11.28515625" style="809" hidden="1" customWidth="1"/>
    <col min="14597" max="14597" width="0" style="809" hidden="1" customWidth="1"/>
    <col min="14598" max="14598" width="11.42578125" style="809" hidden="1" customWidth="1"/>
    <col min="14599" max="14607" width="0" style="809" hidden="1" customWidth="1"/>
    <col min="14608" max="14848" width="0" style="809" hidden="1"/>
    <col min="14849" max="14849" width="49.5703125" style="809" hidden="1" customWidth="1"/>
    <col min="14850" max="14850" width="12.7109375" style="809" hidden="1" customWidth="1"/>
    <col min="14851" max="14851" width="13.140625" style="809" hidden="1" customWidth="1"/>
    <col min="14852" max="14852" width="11.28515625" style="809" hidden="1" customWidth="1"/>
    <col min="14853" max="14853" width="0" style="809" hidden="1" customWidth="1"/>
    <col min="14854" max="14854" width="11.42578125" style="809" hidden="1" customWidth="1"/>
    <col min="14855" max="14863" width="0" style="809" hidden="1" customWidth="1"/>
    <col min="14864" max="15104" width="0" style="809" hidden="1"/>
    <col min="15105" max="15105" width="49.5703125" style="809" hidden="1" customWidth="1"/>
    <col min="15106" max="15106" width="12.7109375" style="809" hidden="1" customWidth="1"/>
    <col min="15107" max="15107" width="13.140625" style="809" hidden="1" customWidth="1"/>
    <col min="15108" max="15108" width="11.28515625" style="809" hidden="1" customWidth="1"/>
    <col min="15109" max="15109" width="0" style="809" hidden="1" customWidth="1"/>
    <col min="15110" max="15110" width="11.42578125" style="809" hidden="1" customWidth="1"/>
    <col min="15111" max="15119" width="0" style="809" hidden="1" customWidth="1"/>
    <col min="15120" max="15360" width="0" style="809" hidden="1"/>
    <col min="15361" max="15361" width="49.5703125" style="809" hidden="1" customWidth="1"/>
    <col min="15362" max="15362" width="12.7109375" style="809" hidden="1" customWidth="1"/>
    <col min="15363" max="15363" width="13.140625" style="809" hidden="1" customWidth="1"/>
    <col min="15364" max="15364" width="11.28515625" style="809" hidden="1" customWidth="1"/>
    <col min="15365" max="15365" width="0" style="809" hidden="1" customWidth="1"/>
    <col min="15366" max="15366" width="11.42578125" style="809" hidden="1" customWidth="1"/>
    <col min="15367" max="15375" width="0" style="809" hidden="1" customWidth="1"/>
    <col min="15376" max="15616" width="0" style="809" hidden="1"/>
    <col min="15617" max="15617" width="49.5703125" style="809" hidden="1" customWidth="1"/>
    <col min="15618" max="15618" width="12.7109375" style="809" hidden="1" customWidth="1"/>
    <col min="15619" max="15619" width="13.140625" style="809" hidden="1" customWidth="1"/>
    <col min="15620" max="15620" width="11.28515625" style="809" hidden="1" customWidth="1"/>
    <col min="15621" max="15621" width="0" style="809" hidden="1" customWidth="1"/>
    <col min="15622" max="15622" width="11.42578125" style="809" hidden="1" customWidth="1"/>
    <col min="15623" max="15631" width="0" style="809" hidden="1" customWidth="1"/>
    <col min="15632" max="15872" width="0" style="809" hidden="1"/>
    <col min="15873" max="15873" width="49.5703125" style="809" hidden="1" customWidth="1"/>
    <col min="15874" max="15874" width="12.7109375" style="809" hidden="1" customWidth="1"/>
    <col min="15875" max="15875" width="13.140625" style="809" hidden="1" customWidth="1"/>
    <col min="15876" max="15876" width="11.28515625" style="809" hidden="1" customWidth="1"/>
    <col min="15877" max="15877" width="0" style="809" hidden="1" customWidth="1"/>
    <col min="15878" max="15878" width="11.42578125" style="809" hidden="1" customWidth="1"/>
    <col min="15879" max="15887" width="0" style="809" hidden="1" customWidth="1"/>
    <col min="15888" max="16128" width="0" style="809" hidden="1"/>
    <col min="16129" max="16129" width="49.5703125" style="809" hidden="1" customWidth="1"/>
    <col min="16130" max="16130" width="12.7109375" style="809" hidden="1" customWidth="1"/>
    <col min="16131" max="16131" width="13.140625" style="809" hidden="1" customWidth="1"/>
    <col min="16132" max="16132" width="11.28515625" style="809" hidden="1" customWidth="1"/>
    <col min="16133" max="16133" width="0" style="809" hidden="1" customWidth="1"/>
    <col min="16134" max="16134" width="11.42578125" style="809" hidden="1" customWidth="1"/>
    <col min="16135" max="16143" width="0" style="809" hidden="1" customWidth="1"/>
    <col min="16144" max="16384" width="0" style="809" hidden="1"/>
  </cols>
  <sheetData>
    <row r="1" spans="1:20" ht="13.5" thickTop="1" x14ac:dyDescent="0.2">
      <c r="A1" s="810"/>
      <c r="B1" s="808"/>
      <c r="C1" s="808"/>
      <c r="D1" s="808"/>
      <c r="E1" s="808"/>
      <c r="I1" s="919"/>
      <c r="J1" s="910"/>
      <c r="K1" s="910"/>
      <c r="L1" s="910"/>
      <c r="M1" s="910"/>
      <c r="N1" s="910"/>
      <c r="O1" s="909"/>
    </row>
    <row r="2" spans="1:20" ht="23.25" x14ac:dyDescent="0.35">
      <c r="A2" s="911" t="str">
        <f>'Comparativo de resultados hist'!A2</f>
        <v>TRANSPORTES BONAMPAK, S.A. DE C.V.</v>
      </c>
      <c r="B2" s="808"/>
      <c r="C2" s="808"/>
      <c r="D2" s="808"/>
      <c r="E2" s="808"/>
      <c r="I2" s="913" t="s">
        <v>9883</v>
      </c>
      <c r="J2" s="808"/>
      <c r="K2" s="808"/>
      <c r="L2" s="808"/>
      <c r="M2" s="808"/>
      <c r="N2" s="808"/>
      <c r="O2" s="830"/>
    </row>
    <row r="3" spans="1:20" ht="15.75" x14ac:dyDescent="0.25">
      <c r="A3" s="873"/>
      <c r="B3" s="808"/>
      <c r="C3" s="808"/>
      <c r="D3" s="808"/>
      <c r="E3" s="808"/>
      <c r="I3" s="914"/>
      <c r="J3" s="808"/>
      <c r="K3" s="808"/>
      <c r="L3" s="808"/>
      <c r="M3" s="808"/>
      <c r="N3" s="808"/>
      <c r="O3" s="830"/>
    </row>
    <row r="4" spans="1:20" ht="15.75" x14ac:dyDescent="0.25">
      <c r="A4" s="1020" t="str">
        <f>'Comparativo de resultados hist'!A4</f>
        <v>PRESUPUESTO  2014</v>
      </c>
      <c r="B4" s="810"/>
      <c r="C4" s="810"/>
      <c r="D4" s="915"/>
      <c r="E4" s="810"/>
      <c r="I4" s="834" t="s">
        <v>9936</v>
      </c>
      <c r="J4" s="810"/>
      <c r="K4" s="810"/>
      <c r="L4" s="810"/>
      <c r="M4" s="810"/>
      <c r="N4" s="915"/>
      <c r="O4" s="815"/>
    </row>
    <row r="5" spans="1:20" ht="15.75" x14ac:dyDescent="0.25">
      <c r="A5" s="873" t="s">
        <v>9937</v>
      </c>
      <c r="B5" s="810"/>
      <c r="C5" s="810"/>
      <c r="D5" s="915"/>
      <c r="E5" s="810"/>
      <c r="I5" s="834" t="s">
        <v>9938</v>
      </c>
      <c r="J5" s="810"/>
      <c r="K5" s="810"/>
      <c r="L5" s="810"/>
      <c r="M5" s="810"/>
      <c r="N5" s="915"/>
      <c r="O5" s="815"/>
    </row>
    <row r="6" spans="1:20" ht="16.5" thickBot="1" x14ac:dyDescent="0.3">
      <c r="A6" s="875" t="s">
        <v>9856</v>
      </c>
      <c r="B6" s="876"/>
      <c r="C6" s="876"/>
      <c r="D6" s="876"/>
      <c r="E6" s="876"/>
      <c r="I6" s="917" t="s">
        <v>9856</v>
      </c>
      <c r="J6" s="918"/>
      <c r="K6" s="918"/>
      <c r="L6" s="918"/>
      <c r="M6" s="918"/>
      <c r="N6" s="918"/>
      <c r="O6" s="916"/>
    </row>
    <row r="7" spans="1:20" ht="13.5" thickTop="1" x14ac:dyDescent="0.2">
      <c r="A7" s="878"/>
      <c r="B7" s="879" t="s">
        <v>443</v>
      </c>
      <c r="C7" s="879" t="s">
        <v>52</v>
      </c>
      <c r="D7" s="972" t="s">
        <v>53</v>
      </c>
      <c r="E7" s="924"/>
      <c r="I7" s="878"/>
      <c r="J7" s="879" t="s">
        <v>443</v>
      </c>
      <c r="K7" s="926" t="s">
        <v>52</v>
      </c>
      <c r="L7" s="879" t="s">
        <v>53</v>
      </c>
      <c r="M7" s="879" t="s">
        <v>52</v>
      </c>
      <c r="N7" s="879" t="s">
        <v>53</v>
      </c>
      <c r="O7" s="924"/>
      <c r="T7" s="815"/>
    </row>
    <row r="8" spans="1:20" ht="15.75" x14ac:dyDescent="0.25">
      <c r="A8" s="973" t="s">
        <v>9939</v>
      </c>
      <c r="B8" s="936"/>
      <c r="C8" s="883"/>
      <c r="D8" s="974" t="s">
        <v>9940</v>
      </c>
      <c r="E8" s="975" t="s">
        <v>9941</v>
      </c>
      <c r="I8" s="973" t="s">
        <v>9939</v>
      </c>
      <c r="J8" s="879" t="s">
        <v>384</v>
      </c>
      <c r="K8" s="926" t="s">
        <v>384</v>
      </c>
      <c r="L8" s="879" t="s">
        <v>7</v>
      </c>
      <c r="M8" s="879" t="s">
        <v>9942</v>
      </c>
      <c r="N8" s="879" t="s">
        <v>7</v>
      </c>
      <c r="O8" s="975" t="s">
        <v>9941</v>
      </c>
      <c r="T8" s="815"/>
    </row>
    <row r="9" spans="1:20" x14ac:dyDescent="0.2">
      <c r="A9" s="882"/>
      <c r="B9" s="883">
        <v>2013</v>
      </c>
      <c r="C9" s="883">
        <v>2014</v>
      </c>
      <c r="D9" s="976" t="s">
        <v>7</v>
      </c>
      <c r="E9" s="933"/>
      <c r="I9" s="882"/>
      <c r="J9" s="883">
        <v>1996</v>
      </c>
      <c r="K9" s="936">
        <v>1996</v>
      </c>
      <c r="L9" s="883" t="s">
        <v>9943</v>
      </c>
      <c r="M9" s="883">
        <v>1997</v>
      </c>
      <c r="N9" s="937" t="s">
        <v>9944</v>
      </c>
      <c r="O9" s="933"/>
      <c r="T9" s="815"/>
    </row>
    <row r="10" spans="1:20" x14ac:dyDescent="0.2">
      <c r="A10" s="895"/>
      <c r="B10" s="885"/>
      <c r="C10" s="885"/>
      <c r="D10" s="939"/>
      <c r="E10" s="815"/>
      <c r="I10" s="895"/>
      <c r="J10" s="885"/>
      <c r="K10" s="885"/>
      <c r="L10" s="885"/>
      <c r="M10" s="885"/>
      <c r="N10" s="885"/>
      <c r="O10" s="815"/>
      <c r="T10" s="815"/>
    </row>
    <row r="11" spans="1:20" x14ac:dyDescent="0.2">
      <c r="A11" s="878"/>
      <c r="B11" s="885"/>
      <c r="C11" s="885"/>
      <c r="D11" s="939"/>
      <c r="E11" s="815"/>
      <c r="I11" s="878"/>
      <c r="J11" s="885"/>
      <c r="K11" s="885"/>
      <c r="L11" s="885"/>
      <c r="M11" s="885"/>
      <c r="N11" s="885"/>
      <c r="O11" s="815"/>
      <c r="T11" s="815"/>
    </row>
    <row r="12" spans="1:20" ht="15.75" x14ac:dyDescent="0.25">
      <c r="A12" s="977" t="s">
        <v>9945</v>
      </c>
      <c r="B12" s="891">
        <f>balance_detalle!B28</f>
        <v>288614766.31059998</v>
      </c>
      <c r="C12" s="891">
        <f>balance_detalle!N28</f>
        <v>316210548.58965743</v>
      </c>
      <c r="D12" s="978">
        <f>(C12/B12)-1</f>
        <v>9.561458906561815E-2</v>
      </c>
      <c r="E12" s="979"/>
      <c r="I12" s="977" t="s">
        <v>9945</v>
      </c>
      <c r="J12" s="891">
        <f>B12</f>
        <v>288614766.31059998</v>
      </c>
      <c r="K12" s="891">
        <v>12258000</v>
      </c>
      <c r="L12" s="980">
        <f>(J12/K12)-1</f>
        <v>22.545012751721323</v>
      </c>
      <c r="M12" s="891">
        <f>C12</f>
        <v>316210548.58965743</v>
      </c>
      <c r="N12" s="981">
        <f>(M12/J12)-1</f>
        <v>9.561458906561815E-2</v>
      </c>
      <c r="O12" s="815" t="s">
        <v>9946</v>
      </c>
      <c r="T12" s="815"/>
    </row>
    <row r="13" spans="1:20" ht="15" x14ac:dyDescent="0.2">
      <c r="A13" s="878"/>
      <c r="B13" s="891"/>
      <c r="C13" s="982"/>
      <c r="D13" s="983"/>
      <c r="E13" s="979"/>
      <c r="I13" s="878"/>
      <c r="J13" s="891"/>
      <c r="K13" s="891"/>
      <c r="L13" s="980"/>
      <c r="M13" s="891">
        <f>C13</f>
        <v>0</v>
      </c>
      <c r="N13" s="981"/>
      <c r="O13" s="815"/>
      <c r="T13" s="815"/>
    </row>
    <row r="14" spans="1:20" ht="15.75" x14ac:dyDescent="0.25">
      <c r="A14" s="977" t="s">
        <v>9947</v>
      </c>
      <c r="B14" s="891">
        <f>balance_detalle!B42</f>
        <v>218240086</v>
      </c>
      <c r="C14" s="891">
        <f>balance_detalle!N42</f>
        <v>206151691.2229265</v>
      </c>
      <c r="D14" s="978">
        <f>(C14/B14)-1</f>
        <v>-5.5390350135187782E-2</v>
      </c>
      <c r="E14" s="979"/>
      <c r="I14" s="977" t="s">
        <v>9947</v>
      </c>
      <c r="J14" s="891">
        <f>B14</f>
        <v>218240086</v>
      </c>
      <c r="K14" s="891">
        <v>849000</v>
      </c>
      <c r="L14" s="980">
        <f>(J14/K14)-1</f>
        <v>256.05546054181389</v>
      </c>
      <c r="M14" s="891">
        <f>C14</f>
        <v>206151691.2229265</v>
      </c>
      <c r="N14" s="981">
        <f>(M14/J14)-1</f>
        <v>-5.5390350135187782E-2</v>
      </c>
      <c r="O14" s="815" t="s">
        <v>9948</v>
      </c>
      <c r="T14" s="815"/>
    </row>
    <row r="15" spans="1:20" x14ac:dyDescent="0.2">
      <c r="A15" s="878"/>
      <c r="B15" s="891"/>
      <c r="C15" s="891"/>
      <c r="D15" s="983"/>
      <c r="E15" s="979"/>
      <c r="I15" s="878"/>
      <c r="J15" s="891"/>
      <c r="K15" s="891"/>
      <c r="L15" s="980"/>
      <c r="M15" s="891">
        <f>C15</f>
        <v>0</v>
      </c>
      <c r="N15" s="981"/>
      <c r="O15" s="815"/>
      <c r="T15" s="815"/>
    </row>
    <row r="16" spans="1:20" ht="15.75" x14ac:dyDescent="0.25">
      <c r="A16" s="977" t="s">
        <v>9949</v>
      </c>
      <c r="B16" s="891">
        <f>balance_detalle!B51</f>
        <v>70374680.310599998</v>
      </c>
      <c r="C16" s="891">
        <f>balance_detalle!N51</f>
        <v>110058857.6310198</v>
      </c>
      <c r="D16" s="978">
        <f>(C16/B16)-1</f>
        <v>0.56389850931148722</v>
      </c>
      <c r="E16" s="979"/>
      <c r="I16" s="977" t="s">
        <v>9949</v>
      </c>
      <c r="J16" s="891">
        <f>B16</f>
        <v>70374680.310599998</v>
      </c>
      <c r="K16" s="891">
        <v>11409000</v>
      </c>
      <c r="L16" s="980">
        <f>(J16/K16)-1</f>
        <v>5.168347822824086</v>
      </c>
      <c r="M16" s="891">
        <f>C16</f>
        <v>110058857.6310198</v>
      </c>
      <c r="N16" s="981">
        <f>(M16/J16)-1</f>
        <v>0.56389850931148722</v>
      </c>
      <c r="O16" s="815" t="s">
        <v>9950</v>
      </c>
      <c r="T16" s="815"/>
    </row>
    <row r="17" spans="1:20" ht="13.5" thickBot="1" x14ac:dyDescent="0.25">
      <c r="A17" s="878"/>
      <c r="B17" s="888"/>
      <c r="C17" s="888"/>
      <c r="D17" s="983"/>
      <c r="E17" s="979"/>
      <c r="I17" s="878"/>
      <c r="J17" s="888"/>
      <c r="K17" s="888"/>
      <c r="L17" s="980"/>
      <c r="M17" s="888"/>
      <c r="N17" s="981"/>
      <c r="O17" s="815"/>
      <c r="T17" s="815"/>
    </row>
    <row r="18" spans="1:20" ht="17.25" thickTop="1" thickBot="1" x14ac:dyDescent="0.3">
      <c r="A18" s="984"/>
      <c r="B18" s="985"/>
      <c r="C18" s="985"/>
      <c r="D18" s="986"/>
      <c r="E18" s="987"/>
      <c r="I18" s="984"/>
      <c r="J18" s="985"/>
      <c r="K18" s="985"/>
      <c r="L18" s="988"/>
      <c r="M18" s="985"/>
      <c r="N18" s="989"/>
      <c r="O18" s="990"/>
      <c r="T18" s="815"/>
    </row>
    <row r="19" spans="1:20" ht="13.5" thickTop="1" x14ac:dyDescent="0.2">
      <c r="A19" s="878"/>
      <c r="B19" s="888"/>
      <c r="C19" s="888"/>
      <c r="D19" s="983"/>
      <c r="E19" s="979"/>
      <c r="I19" s="878"/>
      <c r="J19" s="888"/>
      <c r="K19" s="888"/>
      <c r="L19" s="980"/>
      <c r="M19" s="888"/>
      <c r="N19" s="981"/>
      <c r="O19" s="815"/>
      <c r="T19" s="815"/>
    </row>
    <row r="20" spans="1:20" ht="15.75" x14ac:dyDescent="0.25">
      <c r="A20" s="973" t="s">
        <v>9951</v>
      </c>
      <c r="B20" s="888"/>
      <c r="C20" s="888"/>
      <c r="D20" s="983"/>
      <c r="E20" s="979"/>
      <c r="I20" s="973" t="s">
        <v>9951</v>
      </c>
      <c r="J20" s="888"/>
      <c r="K20" s="888"/>
      <c r="L20" s="980"/>
      <c r="M20" s="888"/>
      <c r="N20" s="981"/>
      <c r="O20" s="815"/>
      <c r="T20" s="815"/>
    </row>
    <row r="21" spans="1:20" x14ac:dyDescent="0.2">
      <c r="A21" s="878"/>
      <c r="B21" s="888"/>
      <c r="C21" s="888"/>
      <c r="D21" s="983"/>
      <c r="E21" s="979"/>
      <c r="I21" s="878"/>
      <c r="J21" s="888"/>
      <c r="K21" s="888"/>
      <c r="L21" s="980"/>
      <c r="M21" s="888"/>
      <c r="N21" s="981"/>
      <c r="O21" s="815"/>
      <c r="T21" s="815"/>
    </row>
    <row r="22" spans="1:20" x14ac:dyDescent="0.2">
      <c r="A22" s="878" t="s">
        <v>9952</v>
      </c>
      <c r="B22" s="948">
        <f>[5]Hoja1!$O$64/[5]Hoja1!$O$18</f>
        <v>0.19956106835150492</v>
      </c>
      <c r="C22" s="948">
        <f>+Edo.Res.detalle!B71/Edo.Res.detalle!B20</f>
        <v>0.18127597135044968</v>
      </c>
      <c r="D22" s="978">
        <f>(C22/B22)-1</f>
        <v>-9.1626574021181573E-2</v>
      </c>
      <c r="E22" s="979" t="s">
        <v>28</v>
      </c>
      <c r="I22" s="878" t="s">
        <v>9953</v>
      </c>
      <c r="J22" s="991">
        <f>B22</f>
        <v>0.19956106835150492</v>
      </c>
      <c r="K22" s="981">
        <v>4.38</v>
      </c>
      <c r="L22" s="980">
        <f>(J22/K22)-1</f>
        <v>-0.95443811224851482</v>
      </c>
      <c r="M22" s="991">
        <f>C22</f>
        <v>0.18127597135044968</v>
      </c>
      <c r="N22" s="981">
        <f>(M22/J22)-1</f>
        <v>-9.1626574021181573E-2</v>
      </c>
      <c r="O22" s="815" t="s">
        <v>9954</v>
      </c>
      <c r="T22" s="815"/>
    </row>
    <row r="23" spans="1:20" x14ac:dyDescent="0.2">
      <c r="A23" s="878"/>
      <c r="B23" s="981"/>
      <c r="C23" s="981"/>
      <c r="D23" s="983"/>
      <c r="E23" s="979"/>
      <c r="I23" s="878"/>
      <c r="J23" s="991"/>
      <c r="K23" s="981"/>
      <c r="L23" s="980"/>
      <c r="M23" s="991"/>
      <c r="N23" s="981"/>
      <c r="O23" s="815"/>
      <c r="T23" s="815"/>
    </row>
    <row r="24" spans="1:20" x14ac:dyDescent="0.2">
      <c r="A24" s="878" t="s">
        <v>9955</v>
      </c>
      <c r="B24" s="948">
        <f>[5]Hoja1!$O$62/[5]Hoja1!$O$18</f>
        <v>0.13751835309151153</v>
      </c>
      <c r="C24" s="948">
        <f>Edo.Res.detalle!B69/Edo.Res.detalle!B20</f>
        <v>0.10682930431471382</v>
      </c>
      <c r="D24" s="978">
        <f>(C24/B24)-1</f>
        <v>-0.22316329483945818</v>
      </c>
      <c r="E24" s="979" t="s">
        <v>28</v>
      </c>
      <c r="I24" s="878" t="s">
        <v>9956</v>
      </c>
      <c r="J24" s="991">
        <f>B24</f>
        <v>0.13751835309151153</v>
      </c>
      <c r="K24" s="981">
        <v>7.0000000000000007E-2</v>
      </c>
      <c r="L24" s="980">
        <f>(J24/K24)-1</f>
        <v>0.9645479013073075</v>
      </c>
      <c r="M24" s="991">
        <f>C24</f>
        <v>0.10682930431471382</v>
      </c>
      <c r="N24" s="981">
        <f>(M24/J24)-1</f>
        <v>-0.22316329483945818</v>
      </c>
      <c r="O24" s="815" t="s">
        <v>9957</v>
      </c>
      <c r="T24" s="815"/>
    </row>
    <row r="25" spans="1:20" x14ac:dyDescent="0.2">
      <c r="A25" s="895"/>
      <c r="B25" s="981"/>
      <c r="C25" s="981"/>
      <c r="D25" s="983"/>
      <c r="E25" s="979"/>
      <c r="I25" s="895"/>
      <c r="J25" s="991"/>
      <c r="K25" s="981"/>
      <c r="L25" s="980"/>
      <c r="M25" s="991"/>
      <c r="N25" s="981"/>
      <c r="O25" s="815"/>
      <c r="T25" s="815"/>
    </row>
    <row r="26" spans="1:20" x14ac:dyDescent="0.2">
      <c r="A26" s="878" t="s">
        <v>9958</v>
      </c>
      <c r="B26" s="992">
        <f>+'Balance ejer ant'!B20/'Balance ejer ant'!B41</f>
        <v>1.942563096126853</v>
      </c>
      <c r="C26" s="992">
        <f>balance_detalle!N19/balance_detalle!N37</f>
        <v>1.620405889660024</v>
      </c>
      <c r="D26" s="993">
        <f>(C26/B26)-1</f>
        <v>-0.16584130889192572</v>
      </c>
      <c r="E26" s="979" t="s">
        <v>28</v>
      </c>
      <c r="I26" s="878" t="s">
        <v>9959</v>
      </c>
      <c r="J26" s="991">
        <f>B26</f>
        <v>1.942563096126853</v>
      </c>
      <c r="K26" s="981" t="s">
        <v>9960</v>
      </c>
      <c r="L26" s="981" t="s">
        <v>9960</v>
      </c>
      <c r="M26" s="991">
        <f>C26</f>
        <v>1.620405889660024</v>
      </c>
      <c r="N26" s="981">
        <f>(M26/J26)-1</f>
        <v>-0.16584130889192572</v>
      </c>
      <c r="O26" s="815" t="s">
        <v>9948</v>
      </c>
      <c r="T26" s="815"/>
    </row>
    <row r="27" spans="1:20" ht="16.5" thickBot="1" x14ac:dyDescent="0.3">
      <c r="A27" s="994"/>
      <c r="B27" s="995"/>
      <c r="C27" s="995"/>
      <c r="D27" s="996"/>
      <c r="E27" s="997"/>
      <c r="I27" s="887"/>
      <c r="J27" s="991"/>
      <c r="K27" s="981"/>
      <c r="L27" s="980"/>
      <c r="M27" s="991"/>
      <c r="N27" s="981"/>
      <c r="O27" s="815"/>
      <c r="T27" s="815"/>
    </row>
    <row r="28" spans="1:20" ht="13.5" thickTop="1" x14ac:dyDescent="0.2">
      <c r="T28" s="815"/>
    </row>
    <row r="29" spans="1:20" x14ac:dyDescent="0.2">
      <c r="T29" s="815"/>
    </row>
    <row r="30" spans="1:20" x14ac:dyDescent="0.2">
      <c r="D30" s="998"/>
      <c r="E30" s="810"/>
      <c r="T30" s="815"/>
    </row>
    <row r="31" spans="1:20" hidden="1" x14ac:dyDescent="0.2">
      <c r="F31" s="998"/>
      <c r="T31" s="815"/>
    </row>
    <row r="32" spans="1:20" hidden="1" x14ac:dyDescent="0.2">
      <c r="T32" s="815"/>
    </row>
    <row r="33" spans="2:20" hidden="1" x14ac:dyDescent="0.2">
      <c r="B33" s="999"/>
      <c r="T33" s="815"/>
    </row>
    <row r="34" spans="2:20" hidden="1" x14ac:dyDescent="0.2">
      <c r="B34" s="999"/>
      <c r="T34" s="815"/>
    </row>
    <row r="35" spans="2:20" hidden="1" x14ac:dyDescent="0.2">
      <c r="B35" s="999"/>
      <c r="T35" s="815"/>
    </row>
    <row r="36" spans="2:20" hidden="1" x14ac:dyDescent="0.2">
      <c r="B36" s="999"/>
      <c r="T36" s="815"/>
    </row>
    <row r="37" spans="2:20" hidden="1" x14ac:dyDescent="0.2">
      <c r="B37" s="999"/>
      <c r="T37" s="815"/>
    </row>
    <row r="38" spans="2:20" hidden="1" x14ac:dyDescent="0.2">
      <c r="B38" s="999"/>
      <c r="T38" s="815"/>
    </row>
    <row r="39" spans="2:20" hidden="1" x14ac:dyDescent="0.2">
      <c r="B39" s="999"/>
      <c r="T39" s="815"/>
    </row>
    <row r="40" spans="2:20" hidden="1" x14ac:dyDescent="0.2">
      <c r="B40" s="999"/>
      <c r="T40" s="815"/>
    </row>
    <row r="41" spans="2:20" hidden="1" x14ac:dyDescent="0.2">
      <c r="B41" s="999"/>
      <c r="T41" s="815"/>
    </row>
    <row r="42" spans="2:20" hidden="1" x14ac:dyDescent="0.2">
      <c r="B42" s="999"/>
      <c r="T42" s="815"/>
    </row>
    <row r="43" spans="2:20" hidden="1" x14ac:dyDescent="0.2">
      <c r="B43" s="999"/>
      <c r="T43" s="815"/>
    </row>
    <row r="44" spans="2:20" hidden="1" x14ac:dyDescent="0.2">
      <c r="B44" s="893"/>
      <c r="T44" s="815"/>
    </row>
    <row r="45" spans="2:20" hidden="1" x14ac:dyDescent="0.2">
      <c r="T45" s="815"/>
    </row>
    <row r="46" spans="2:20" hidden="1" x14ac:dyDescent="0.2">
      <c r="B46" s="1000"/>
    </row>
    <row r="47" spans="2:20" hidden="1" x14ac:dyDescent="0.2"/>
    <row r="48" spans="2:20" hidden="1" x14ac:dyDescent="0.2"/>
    <row r="49" spans="20:20" hidden="1" x14ac:dyDescent="0.2"/>
    <row r="50" spans="20:20" hidden="1" x14ac:dyDescent="0.2"/>
    <row r="51" spans="20:20" hidden="1" x14ac:dyDescent="0.2"/>
    <row r="52" spans="20:20" hidden="1" x14ac:dyDescent="0.2"/>
    <row r="53" spans="20:20" hidden="1" x14ac:dyDescent="0.2"/>
    <row r="54" spans="20:20" hidden="1" x14ac:dyDescent="0.2"/>
    <row r="55" spans="20:20" hidden="1" x14ac:dyDescent="0.2">
      <c r="T55" s="815"/>
    </row>
    <row r="56" spans="20:20" hidden="1" x14ac:dyDescent="0.2">
      <c r="T56" s="815"/>
    </row>
    <row r="57" spans="20:20" hidden="1" x14ac:dyDescent="0.2">
      <c r="T57" s="815"/>
    </row>
    <row r="58" spans="20:20" hidden="1" x14ac:dyDescent="0.2">
      <c r="T58" s="815"/>
    </row>
    <row r="59" spans="20:20" hidden="1" x14ac:dyDescent="0.2">
      <c r="T59" s="815"/>
    </row>
    <row r="60" spans="20:20" hidden="1" x14ac:dyDescent="0.2">
      <c r="T60" s="815"/>
    </row>
    <row r="61" spans="20:20" hidden="1" x14ac:dyDescent="0.2">
      <c r="T61" s="815"/>
    </row>
    <row r="62" spans="20:20" hidden="1" x14ac:dyDescent="0.2">
      <c r="T62" s="815"/>
    </row>
    <row r="63" spans="20:20" hidden="1" x14ac:dyDescent="0.2">
      <c r="T63" s="815"/>
    </row>
    <row r="64" spans="20:20" hidden="1" x14ac:dyDescent="0.2">
      <c r="T64" s="815"/>
    </row>
    <row r="65" spans="20:20" hidden="1" x14ac:dyDescent="0.2">
      <c r="T65" s="815"/>
    </row>
    <row r="66" spans="20:20" hidden="1" x14ac:dyDescent="0.2">
      <c r="T66" s="815"/>
    </row>
    <row r="67" spans="20:20" hidden="1" x14ac:dyDescent="0.2">
      <c r="T67" s="815"/>
    </row>
    <row r="68" spans="20:20" hidden="1" x14ac:dyDescent="0.2">
      <c r="T68" s="815"/>
    </row>
    <row r="69" spans="20:20" hidden="1" x14ac:dyDescent="0.2">
      <c r="T69" s="815"/>
    </row>
    <row r="70" spans="20:20" hidden="1" x14ac:dyDescent="0.2">
      <c r="T70" s="815"/>
    </row>
    <row r="71" spans="20:20" hidden="1" x14ac:dyDescent="0.2">
      <c r="T71" s="815"/>
    </row>
    <row r="72" spans="20:20" hidden="1" x14ac:dyDescent="0.2">
      <c r="T72" s="815"/>
    </row>
    <row r="73" spans="20:20" hidden="1" x14ac:dyDescent="0.2">
      <c r="T73" s="815"/>
    </row>
    <row r="74" spans="20:20" hidden="1" x14ac:dyDescent="0.2">
      <c r="T74" s="815"/>
    </row>
    <row r="75" spans="20:20" hidden="1" x14ac:dyDescent="0.2">
      <c r="T75" s="815"/>
    </row>
    <row r="76" spans="20:20" hidden="1" x14ac:dyDescent="0.2">
      <c r="T76" s="815"/>
    </row>
    <row r="77" spans="20:20" hidden="1" x14ac:dyDescent="0.2">
      <c r="T77" s="815"/>
    </row>
    <row r="78" spans="20:20" hidden="1" x14ac:dyDescent="0.2">
      <c r="T78" s="815"/>
    </row>
    <row r="79" spans="20:20" hidden="1" x14ac:dyDescent="0.2">
      <c r="T79" s="815"/>
    </row>
    <row r="80" spans="20:20" hidden="1" x14ac:dyDescent="0.2">
      <c r="T80" s="815"/>
    </row>
    <row r="81" spans="20:20" hidden="1" x14ac:dyDescent="0.2">
      <c r="T81" s="815"/>
    </row>
    <row r="82" spans="20:20" hidden="1" x14ac:dyDescent="0.2">
      <c r="T82" s="815"/>
    </row>
    <row r="83" spans="20:20" hidden="1" x14ac:dyDescent="0.2">
      <c r="T83" s="815"/>
    </row>
    <row r="84" spans="20:20" hidden="1" x14ac:dyDescent="0.2">
      <c r="T84" s="815"/>
    </row>
    <row r="85" spans="20:20" hidden="1" x14ac:dyDescent="0.2">
      <c r="T85" s="815"/>
    </row>
    <row r="86" spans="20:20" hidden="1" x14ac:dyDescent="0.2">
      <c r="T86" s="815"/>
    </row>
    <row r="87" spans="20:20" hidden="1" x14ac:dyDescent="0.2">
      <c r="T87" s="815"/>
    </row>
    <row r="88" spans="20:20" hidden="1" x14ac:dyDescent="0.2">
      <c r="T88" s="815"/>
    </row>
    <row r="89" spans="20:20" hidden="1" x14ac:dyDescent="0.2">
      <c r="T89" s="815"/>
    </row>
    <row r="90" spans="20:20" hidden="1" x14ac:dyDescent="0.2">
      <c r="T90" s="815"/>
    </row>
    <row r="91" spans="20:20" hidden="1" x14ac:dyDescent="0.2">
      <c r="T91" s="815"/>
    </row>
    <row r="92" spans="20:20" hidden="1" x14ac:dyDescent="0.2">
      <c r="T92" s="815"/>
    </row>
    <row r="93" spans="20:20" hidden="1" x14ac:dyDescent="0.2">
      <c r="T93" s="815"/>
    </row>
    <row r="94" spans="20:20" hidden="1" x14ac:dyDescent="0.2"/>
    <row r="95" spans="20:20" hidden="1" x14ac:dyDescent="0.2"/>
    <row r="96" spans="20:20" hidden="1" x14ac:dyDescent="0.2"/>
    <row r="97" hidden="1" x14ac:dyDescent="0.2"/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pageSetUpPr fitToPage="1"/>
  </sheetPr>
  <dimension ref="A1:B63"/>
  <sheetViews>
    <sheetView workbookViewId="0">
      <pane xSplit="1" ySplit="6" topLeftCell="B16" activePane="bottomRight" state="frozen"/>
      <selection pane="topRight" activeCell="B1" sqref="B1"/>
      <selection pane="bottomLeft" activeCell="A7" sqref="A7"/>
      <selection pane="bottomRight" activeCell="B30" sqref="B30"/>
    </sheetView>
  </sheetViews>
  <sheetFormatPr baseColWidth="10" defaultRowHeight="12.75" x14ac:dyDescent="0.2"/>
  <cols>
    <col min="1" max="1" width="46" style="1027" customWidth="1"/>
    <col min="2" max="2" width="18.28515625" style="1027" customWidth="1"/>
    <col min="3" max="232" width="11.42578125" style="1027"/>
    <col min="233" max="233" width="45.85546875" style="1027" customWidth="1"/>
    <col min="234" max="234" width="18.28515625" style="1027" customWidth="1"/>
    <col min="235" max="235" width="46" style="1027" customWidth="1"/>
    <col min="236" max="236" width="18.28515625" style="1027" customWidth="1"/>
    <col min="237" max="237" width="46" style="1027" customWidth="1"/>
    <col min="238" max="238" width="18.28515625" style="1027" customWidth="1"/>
    <col min="239" max="239" width="46" style="1027" customWidth="1"/>
    <col min="240" max="240" width="18.28515625" style="1027" customWidth="1"/>
    <col min="241" max="241" width="46" style="1027" customWidth="1"/>
    <col min="242" max="242" width="18.28515625" style="1027" customWidth="1"/>
    <col min="243" max="243" width="46" style="1027" customWidth="1"/>
    <col min="244" max="244" width="18.28515625" style="1027" customWidth="1"/>
    <col min="245" max="245" width="46" style="1027" customWidth="1"/>
    <col min="246" max="246" width="18.28515625" style="1027" customWidth="1"/>
    <col min="247" max="247" width="46" style="1027" customWidth="1"/>
    <col min="248" max="248" width="18.28515625" style="1027" customWidth="1"/>
    <col min="249" max="249" width="46" style="1027" customWidth="1"/>
    <col min="250" max="250" width="18.28515625" style="1027" customWidth="1"/>
    <col min="251" max="251" width="46" style="1027" customWidth="1"/>
    <col min="252" max="252" width="18.28515625" style="1027" customWidth="1"/>
    <col min="253" max="253" width="46" style="1027" customWidth="1"/>
    <col min="254" max="254" width="18.28515625" style="1027" customWidth="1"/>
    <col min="255" max="255" width="46" style="1027" customWidth="1"/>
    <col min="256" max="256" width="18.28515625" style="1027" customWidth="1"/>
    <col min="257" max="257" width="46" style="1027" customWidth="1"/>
    <col min="258" max="258" width="18.28515625" style="1027" customWidth="1"/>
    <col min="259" max="488" width="11.42578125" style="1027"/>
    <col min="489" max="489" width="45.85546875" style="1027" customWidth="1"/>
    <col min="490" max="490" width="18.28515625" style="1027" customWidth="1"/>
    <col min="491" max="491" width="46" style="1027" customWidth="1"/>
    <col min="492" max="492" width="18.28515625" style="1027" customWidth="1"/>
    <col min="493" max="493" width="46" style="1027" customWidth="1"/>
    <col min="494" max="494" width="18.28515625" style="1027" customWidth="1"/>
    <col min="495" max="495" width="46" style="1027" customWidth="1"/>
    <col min="496" max="496" width="18.28515625" style="1027" customWidth="1"/>
    <col min="497" max="497" width="46" style="1027" customWidth="1"/>
    <col min="498" max="498" width="18.28515625" style="1027" customWidth="1"/>
    <col min="499" max="499" width="46" style="1027" customWidth="1"/>
    <col min="500" max="500" width="18.28515625" style="1027" customWidth="1"/>
    <col min="501" max="501" width="46" style="1027" customWidth="1"/>
    <col min="502" max="502" width="18.28515625" style="1027" customWidth="1"/>
    <col min="503" max="503" width="46" style="1027" customWidth="1"/>
    <col min="504" max="504" width="18.28515625" style="1027" customWidth="1"/>
    <col min="505" max="505" width="46" style="1027" customWidth="1"/>
    <col min="506" max="506" width="18.28515625" style="1027" customWidth="1"/>
    <col min="507" max="507" width="46" style="1027" customWidth="1"/>
    <col min="508" max="508" width="18.28515625" style="1027" customWidth="1"/>
    <col min="509" max="509" width="46" style="1027" customWidth="1"/>
    <col min="510" max="510" width="18.28515625" style="1027" customWidth="1"/>
    <col min="511" max="511" width="46" style="1027" customWidth="1"/>
    <col min="512" max="512" width="18.28515625" style="1027" customWidth="1"/>
    <col min="513" max="513" width="46" style="1027" customWidth="1"/>
    <col min="514" max="514" width="18.28515625" style="1027" customWidth="1"/>
    <col min="515" max="744" width="11.42578125" style="1027"/>
    <col min="745" max="745" width="45.85546875" style="1027" customWidth="1"/>
    <col min="746" max="746" width="18.28515625" style="1027" customWidth="1"/>
    <col min="747" max="747" width="46" style="1027" customWidth="1"/>
    <col min="748" max="748" width="18.28515625" style="1027" customWidth="1"/>
    <col min="749" max="749" width="46" style="1027" customWidth="1"/>
    <col min="750" max="750" width="18.28515625" style="1027" customWidth="1"/>
    <col min="751" max="751" width="46" style="1027" customWidth="1"/>
    <col min="752" max="752" width="18.28515625" style="1027" customWidth="1"/>
    <col min="753" max="753" width="46" style="1027" customWidth="1"/>
    <col min="754" max="754" width="18.28515625" style="1027" customWidth="1"/>
    <col min="755" max="755" width="46" style="1027" customWidth="1"/>
    <col min="756" max="756" width="18.28515625" style="1027" customWidth="1"/>
    <col min="757" max="757" width="46" style="1027" customWidth="1"/>
    <col min="758" max="758" width="18.28515625" style="1027" customWidth="1"/>
    <col min="759" max="759" width="46" style="1027" customWidth="1"/>
    <col min="760" max="760" width="18.28515625" style="1027" customWidth="1"/>
    <col min="761" max="761" width="46" style="1027" customWidth="1"/>
    <col min="762" max="762" width="18.28515625" style="1027" customWidth="1"/>
    <col min="763" max="763" width="46" style="1027" customWidth="1"/>
    <col min="764" max="764" width="18.28515625" style="1027" customWidth="1"/>
    <col min="765" max="765" width="46" style="1027" customWidth="1"/>
    <col min="766" max="766" width="18.28515625" style="1027" customWidth="1"/>
    <col min="767" max="767" width="46" style="1027" customWidth="1"/>
    <col min="768" max="768" width="18.28515625" style="1027" customWidth="1"/>
    <col min="769" max="769" width="46" style="1027" customWidth="1"/>
    <col min="770" max="770" width="18.28515625" style="1027" customWidth="1"/>
    <col min="771" max="1000" width="11.42578125" style="1027"/>
    <col min="1001" max="1001" width="45.85546875" style="1027" customWidth="1"/>
    <col min="1002" max="1002" width="18.28515625" style="1027" customWidth="1"/>
    <col min="1003" max="1003" width="46" style="1027" customWidth="1"/>
    <col min="1004" max="1004" width="18.28515625" style="1027" customWidth="1"/>
    <col min="1005" max="1005" width="46" style="1027" customWidth="1"/>
    <col min="1006" max="1006" width="18.28515625" style="1027" customWidth="1"/>
    <col min="1007" max="1007" width="46" style="1027" customWidth="1"/>
    <col min="1008" max="1008" width="18.28515625" style="1027" customWidth="1"/>
    <col min="1009" max="1009" width="46" style="1027" customWidth="1"/>
    <col min="1010" max="1010" width="18.28515625" style="1027" customWidth="1"/>
    <col min="1011" max="1011" width="46" style="1027" customWidth="1"/>
    <col min="1012" max="1012" width="18.28515625" style="1027" customWidth="1"/>
    <col min="1013" max="1013" width="46" style="1027" customWidth="1"/>
    <col min="1014" max="1014" width="18.28515625" style="1027" customWidth="1"/>
    <col min="1015" max="1015" width="46" style="1027" customWidth="1"/>
    <col min="1016" max="1016" width="18.28515625" style="1027" customWidth="1"/>
    <col min="1017" max="1017" width="46" style="1027" customWidth="1"/>
    <col min="1018" max="1018" width="18.28515625" style="1027" customWidth="1"/>
    <col min="1019" max="1019" width="46" style="1027" customWidth="1"/>
    <col min="1020" max="1020" width="18.28515625" style="1027" customWidth="1"/>
    <col min="1021" max="1021" width="46" style="1027" customWidth="1"/>
    <col min="1022" max="1022" width="18.28515625" style="1027" customWidth="1"/>
    <col min="1023" max="1023" width="46" style="1027" customWidth="1"/>
    <col min="1024" max="1024" width="18.28515625" style="1027" customWidth="1"/>
    <col min="1025" max="1025" width="46" style="1027" customWidth="1"/>
    <col min="1026" max="1026" width="18.28515625" style="1027" customWidth="1"/>
    <col min="1027" max="1256" width="11.42578125" style="1027"/>
    <col min="1257" max="1257" width="45.85546875" style="1027" customWidth="1"/>
    <col min="1258" max="1258" width="18.28515625" style="1027" customWidth="1"/>
    <col min="1259" max="1259" width="46" style="1027" customWidth="1"/>
    <col min="1260" max="1260" width="18.28515625" style="1027" customWidth="1"/>
    <col min="1261" max="1261" width="46" style="1027" customWidth="1"/>
    <col min="1262" max="1262" width="18.28515625" style="1027" customWidth="1"/>
    <col min="1263" max="1263" width="46" style="1027" customWidth="1"/>
    <col min="1264" max="1264" width="18.28515625" style="1027" customWidth="1"/>
    <col min="1265" max="1265" width="46" style="1027" customWidth="1"/>
    <col min="1266" max="1266" width="18.28515625" style="1027" customWidth="1"/>
    <col min="1267" max="1267" width="46" style="1027" customWidth="1"/>
    <col min="1268" max="1268" width="18.28515625" style="1027" customWidth="1"/>
    <col min="1269" max="1269" width="46" style="1027" customWidth="1"/>
    <col min="1270" max="1270" width="18.28515625" style="1027" customWidth="1"/>
    <col min="1271" max="1271" width="46" style="1027" customWidth="1"/>
    <col min="1272" max="1272" width="18.28515625" style="1027" customWidth="1"/>
    <col min="1273" max="1273" width="46" style="1027" customWidth="1"/>
    <col min="1274" max="1274" width="18.28515625" style="1027" customWidth="1"/>
    <col min="1275" max="1275" width="46" style="1027" customWidth="1"/>
    <col min="1276" max="1276" width="18.28515625" style="1027" customWidth="1"/>
    <col min="1277" max="1277" width="46" style="1027" customWidth="1"/>
    <col min="1278" max="1278" width="18.28515625" style="1027" customWidth="1"/>
    <col min="1279" max="1279" width="46" style="1027" customWidth="1"/>
    <col min="1280" max="1280" width="18.28515625" style="1027" customWidth="1"/>
    <col min="1281" max="1281" width="46" style="1027" customWidth="1"/>
    <col min="1282" max="1282" width="18.28515625" style="1027" customWidth="1"/>
    <col min="1283" max="1512" width="11.42578125" style="1027"/>
    <col min="1513" max="1513" width="45.85546875" style="1027" customWidth="1"/>
    <col min="1514" max="1514" width="18.28515625" style="1027" customWidth="1"/>
    <col min="1515" max="1515" width="46" style="1027" customWidth="1"/>
    <col min="1516" max="1516" width="18.28515625" style="1027" customWidth="1"/>
    <col min="1517" max="1517" width="46" style="1027" customWidth="1"/>
    <col min="1518" max="1518" width="18.28515625" style="1027" customWidth="1"/>
    <col min="1519" max="1519" width="46" style="1027" customWidth="1"/>
    <col min="1520" max="1520" width="18.28515625" style="1027" customWidth="1"/>
    <col min="1521" max="1521" width="46" style="1027" customWidth="1"/>
    <col min="1522" max="1522" width="18.28515625" style="1027" customWidth="1"/>
    <col min="1523" max="1523" width="46" style="1027" customWidth="1"/>
    <col min="1524" max="1524" width="18.28515625" style="1027" customWidth="1"/>
    <col min="1525" max="1525" width="46" style="1027" customWidth="1"/>
    <col min="1526" max="1526" width="18.28515625" style="1027" customWidth="1"/>
    <col min="1527" max="1527" width="46" style="1027" customWidth="1"/>
    <col min="1528" max="1528" width="18.28515625" style="1027" customWidth="1"/>
    <col min="1529" max="1529" width="46" style="1027" customWidth="1"/>
    <col min="1530" max="1530" width="18.28515625" style="1027" customWidth="1"/>
    <col min="1531" max="1531" width="46" style="1027" customWidth="1"/>
    <col min="1532" max="1532" width="18.28515625" style="1027" customWidth="1"/>
    <col min="1533" max="1533" width="46" style="1027" customWidth="1"/>
    <col min="1534" max="1534" width="18.28515625" style="1027" customWidth="1"/>
    <col min="1535" max="1535" width="46" style="1027" customWidth="1"/>
    <col min="1536" max="1536" width="18.28515625" style="1027" customWidth="1"/>
    <col min="1537" max="1537" width="46" style="1027" customWidth="1"/>
    <col min="1538" max="1538" width="18.28515625" style="1027" customWidth="1"/>
    <col min="1539" max="1768" width="11.42578125" style="1027"/>
    <col min="1769" max="1769" width="45.85546875" style="1027" customWidth="1"/>
    <col min="1770" max="1770" width="18.28515625" style="1027" customWidth="1"/>
    <col min="1771" max="1771" width="46" style="1027" customWidth="1"/>
    <col min="1772" max="1772" width="18.28515625" style="1027" customWidth="1"/>
    <col min="1773" max="1773" width="46" style="1027" customWidth="1"/>
    <col min="1774" max="1774" width="18.28515625" style="1027" customWidth="1"/>
    <col min="1775" max="1775" width="46" style="1027" customWidth="1"/>
    <col min="1776" max="1776" width="18.28515625" style="1027" customWidth="1"/>
    <col min="1777" max="1777" width="46" style="1027" customWidth="1"/>
    <col min="1778" max="1778" width="18.28515625" style="1027" customWidth="1"/>
    <col min="1779" max="1779" width="46" style="1027" customWidth="1"/>
    <col min="1780" max="1780" width="18.28515625" style="1027" customWidth="1"/>
    <col min="1781" max="1781" width="46" style="1027" customWidth="1"/>
    <col min="1782" max="1782" width="18.28515625" style="1027" customWidth="1"/>
    <col min="1783" max="1783" width="46" style="1027" customWidth="1"/>
    <col min="1784" max="1784" width="18.28515625" style="1027" customWidth="1"/>
    <col min="1785" max="1785" width="46" style="1027" customWidth="1"/>
    <col min="1786" max="1786" width="18.28515625" style="1027" customWidth="1"/>
    <col min="1787" max="1787" width="46" style="1027" customWidth="1"/>
    <col min="1788" max="1788" width="18.28515625" style="1027" customWidth="1"/>
    <col min="1789" max="1789" width="46" style="1027" customWidth="1"/>
    <col min="1790" max="1790" width="18.28515625" style="1027" customWidth="1"/>
    <col min="1791" max="1791" width="46" style="1027" customWidth="1"/>
    <col min="1792" max="1792" width="18.28515625" style="1027" customWidth="1"/>
    <col min="1793" max="1793" width="46" style="1027" customWidth="1"/>
    <col min="1794" max="1794" width="18.28515625" style="1027" customWidth="1"/>
    <col min="1795" max="2024" width="11.42578125" style="1027"/>
    <col min="2025" max="2025" width="45.85546875" style="1027" customWidth="1"/>
    <col min="2026" max="2026" width="18.28515625" style="1027" customWidth="1"/>
    <col min="2027" max="2027" width="46" style="1027" customWidth="1"/>
    <col min="2028" max="2028" width="18.28515625" style="1027" customWidth="1"/>
    <col min="2029" max="2029" width="46" style="1027" customWidth="1"/>
    <col min="2030" max="2030" width="18.28515625" style="1027" customWidth="1"/>
    <col min="2031" max="2031" width="46" style="1027" customWidth="1"/>
    <col min="2032" max="2032" width="18.28515625" style="1027" customWidth="1"/>
    <col min="2033" max="2033" width="46" style="1027" customWidth="1"/>
    <col min="2034" max="2034" width="18.28515625" style="1027" customWidth="1"/>
    <col min="2035" max="2035" width="46" style="1027" customWidth="1"/>
    <col min="2036" max="2036" width="18.28515625" style="1027" customWidth="1"/>
    <col min="2037" max="2037" width="46" style="1027" customWidth="1"/>
    <col min="2038" max="2038" width="18.28515625" style="1027" customWidth="1"/>
    <col min="2039" max="2039" width="46" style="1027" customWidth="1"/>
    <col min="2040" max="2040" width="18.28515625" style="1027" customWidth="1"/>
    <col min="2041" max="2041" width="46" style="1027" customWidth="1"/>
    <col min="2042" max="2042" width="18.28515625" style="1027" customWidth="1"/>
    <col min="2043" max="2043" width="46" style="1027" customWidth="1"/>
    <col min="2044" max="2044" width="18.28515625" style="1027" customWidth="1"/>
    <col min="2045" max="2045" width="46" style="1027" customWidth="1"/>
    <col min="2046" max="2046" width="18.28515625" style="1027" customWidth="1"/>
    <col min="2047" max="2047" width="46" style="1027" customWidth="1"/>
    <col min="2048" max="2048" width="18.28515625" style="1027" customWidth="1"/>
    <col min="2049" max="2049" width="46" style="1027" customWidth="1"/>
    <col min="2050" max="2050" width="18.28515625" style="1027" customWidth="1"/>
    <col min="2051" max="2280" width="11.42578125" style="1027"/>
    <col min="2281" max="2281" width="45.85546875" style="1027" customWidth="1"/>
    <col min="2282" max="2282" width="18.28515625" style="1027" customWidth="1"/>
    <col min="2283" max="2283" width="46" style="1027" customWidth="1"/>
    <col min="2284" max="2284" width="18.28515625" style="1027" customWidth="1"/>
    <col min="2285" max="2285" width="46" style="1027" customWidth="1"/>
    <col min="2286" max="2286" width="18.28515625" style="1027" customWidth="1"/>
    <col min="2287" max="2287" width="46" style="1027" customWidth="1"/>
    <col min="2288" max="2288" width="18.28515625" style="1027" customWidth="1"/>
    <col min="2289" max="2289" width="46" style="1027" customWidth="1"/>
    <col min="2290" max="2290" width="18.28515625" style="1027" customWidth="1"/>
    <col min="2291" max="2291" width="46" style="1027" customWidth="1"/>
    <col min="2292" max="2292" width="18.28515625" style="1027" customWidth="1"/>
    <col min="2293" max="2293" width="46" style="1027" customWidth="1"/>
    <col min="2294" max="2294" width="18.28515625" style="1027" customWidth="1"/>
    <col min="2295" max="2295" width="46" style="1027" customWidth="1"/>
    <col min="2296" max="2296" width="18.28515625" style="1027" customWidth="1"/>
    <col min="2297" max="2297" width="46" style="1027" customWidth="1"/>
    <col min="2298" max="2298" width="18.28515625" style="1027" customWidth="1"/>
    <col min="2299" max="2299" width="46" style="1027" customWidth="1"/>
    <col min="2300" max="2300" width="18.28515625" style="1027" customWidth="1"/>
    <col min="2301" max="2301" width="46" style="1027" customWidth="1"/>
    <col min="2302" max="2302" width="18.28515625" style="1027" customWidth="1"/>
    <col min="2303" max="2303" width="46" style="1027" customWidth="1"/>
    <col min="2304" max="2304" width="18.28515625" style="1027" customWidth="1"/>
    <col min="2305" max="2305" width="46" style="1027" customWidth="1"/>
    <col min="2306" max="2306" width="18.28515625" style="1027" customWidth="1"/>
    <col min="2307" max="2536" width="11.42578125" style="1027"/>
    <col min="2537" max="2537" width="45.85546875" style="1027" customWidth="1"/>
    <col min="2538" max="2538" width="18.28515625" style="1027" customWidth="1"/>
    <col min="2539" max="2539" width="46" style="1027" customWidth="1"/>
    <col min="2540" max="2540" width="18.28515625" style="1027" customWidth="1"/>
    <col min="2541" max="2541" width="46" style="1027" customWidth="1"/>
    <col min="2542" max="2542" width="18.28515625" style="1027" customWidth="1"/>
    <col min="2543" max="2543" width="46" style="1027" customWidth="1"/>
    <col min="2544" max="2544" width="18.28515625" style="1027" customWidth="1"/>
    <col min="2545" max="2545" width="46" style="1027" customWidth="1"/>
    <col min="2546" max="2546" width="18.28515625" style="1027" customWidth="1"/>
    <col min="2547" max="2547" width="46" style="1027" customWidth="1"/>
    <col min="2548" max="2548" width="18.28515625" style="1027" customWidth="1"/>
    <col min="2549" max="2549" width="46" style="1027" customWidth="1"/>
    <col min="2550" max="2550" width="18.28515625" style="1027" customWidth="1"/>
    <col min="2551" max="2551" width="46" style="1027" customWidth="1"/>
    <col min="2552" max="2552" width="18.28515625" style="1027" customWidth="1"/>
    <col min="2553" max="2553" width="46" style="1027" customWidth="1"/>
    <col min="2554" max="2554" width="18.28515625" style="1027" customWidth="1"/>
    <col min="2555" max="2555" width="46" style="1027" customWidth="1"/>
    <col min="2556" max="2556" width="18.28515625" style="1027" customWidth="1"/>
    <col min="2557" max="2557" width="46" style="1027" customWidth="1"/>
    <col min="2558" max="2558" width="18.28515625" style="1027" customWidth="1"/>
    <col min="2559" max="2559" width="46" style="1027" customWidth="1"/>
    <col min="2560" max="2560" width="18.28515625" style="1027" customWidth="1"/>
    <col min="2561" max="2561" width="46" style="1027" customWidth="1"/>
    <col min="2562" max="2562" width="18.28515625" style="1027" customWidth="1"/>
    <col min="2563" max="2792" width="11.42578125" style="1027"/>
    <col min="2793" max="2793" width="45.85546875" style="1027" customWidth="1"/>
    <col min="2794" max="2794" width="18.28515625" style="1027" customWidth="1"/>
    <col min="2795" max="2795" width="46" style="1027" customWidth="1"/>
    <col min="2796" max="2796" width="18.28515625" style="1027" customWidth="1"/>
    <col min="2797" max="2797" width="46" style="1027" customWidth="1"/>
    <col min="2798" max="2798" width="18.28515625" style="1027" customWidth="1"/>
    <col min="2799" max="2799" width="46" style="1027" customWidth="1"/>
    <col min="2800" max="2800" width="18.28515625" style="1027" customWidth="1"/>
    <col min="2801" max="2801" width="46" style="1027" customWidth="1"/>
    <col min="2802" max="2802" width="18.28515625" style="1027" customWidth="1"/>
    <col min="2803" max="2803" width="46" style="1027" customWidth="1"/>
    <col min="2804" max="2804" width="18.28515625" style="1027" customWidth="1"/>
    <col min="2805" max="2805" width="46" style="1027" customWidth="1"/>
    <col min="2806" max="2806" width="18.28515625" style="1027" customWidth="1"/>
    <col min="2807" max="2807" width="46" style="1027" customWidth="1"/>
    <col min="2808" max="2808" width="18.28515625" style="1027" customWidth="1"/>
    <col min="2809" max="2809" width="46" style="1027" customWidth="1"/>
    <col min="2810" max="2810" width="18.28515625" style="1027" customWidth="1"/>
    <col min="2811" max="2811" width="46" style="1027" customWidth="1"/>
    <col min="2812" max="2812" width="18.28515625" style="1027" customWidth="1"/>
    <col min="2813" max="2813" width="46" style="1027" customWidth="1"/>
    <col min="2814" max="2814" width="18.28515625" style="1027" customWidth="1"/>
    <col min="2815" max="2815" width="46" style="1027" customWidth="1"/>
    <col min="2816" max="2816" width="18.28515625" style="1027" customWidth="1"/>
    <col min="2817" max="2817" width="46" style="1027" customWidth="1"/>
    <col min="2818" max="2818" width="18.28515625" style="1027" customWidth="1"/>
    <col min="2819" max="3048" width="11.42578125" style="1027"/>
    <col min="3049" max="3049" width="45.85546875" style="1027" customWidth="1"/>
    <col min="3050" max="3050" width="18.28515625" style="1027" customWidth="1"/>
    <col min="3051" max="3051" width="46" style="1027" customWidth="1"/>
    <col min="3052" max="3052" width="18.28515625" style="1027" customWidth="1"/>
    <col min="3053" max="3053" width="46" style="1027" customWidth="1"/>
    <col min="3054" max="3054" width="18.28515625" style="1027" customWidth="1"/>
    <col min="3055" max="3055" width="46" style="1027" customWidth="1"/>
    <col min="3056" max="3056" width="18.28515625" style="1027" customWidth="1"/>
    <col min="3057" max="3057" width="46" style="1027" customWidth="1"/>
    <col min="3058" max="3058" width="18.28515625" style="1027" customWidth="1"/>
    <col min="3059" max="3059" width="46" style="1027" customWidth="1"/>
    <col min="3060" max="3060" width="18.28515625" style="1027" customWidth="1"/>
    <col min="3061" max="3061" width="46" style="1027" customWidth="1"/>
    <col min="3062" max="3062" width="18.28515625" style="1027" customWidth="1"/>
    <col min="3063" max="3063" width="46" style="1027" customWidth="1"/>
    <col min="3064" max="3064" width="18.28515625" style="1027" customWidth="1"/>
    <col min="3065" max="3065" width="46" style="1027" customWidth="1"/>
    <col min="3066" max="3066" width="18.28515625" style="1027" customWidth="1"/>
    <col min="3067" max="3067" width="46" style="1027" customWidth="1"/>
    <col min="3068" max="3068" width="18.28515625" style="1027" customWidth="1"/>
    <col min="3069" max="3069" width="46" style="1027" customWidth="1"/>
    <col min="3070" max="3070" width="18.28515625" style="1027" customWidth="1"/>
    <col min="3071" max="3071" width="46" style="1027" customWidth="1"/>
    <col min="3072" max="3072" width="18.28515625" style="1027" customWidth="1"/>
    <col min="3073" max="3073" width="46" style="1027" customWidth="1"/>
    <col min="3074" max="3074" width="18.28515625" style="1027" customWidth="1"/>
    <col min="3075" max="3304" width="11.42578125" style="1027"/>
    <col min="3305" max="3305" width="45.85546875" style="1027" customWidth="1"/>
    <col min="3306" max="3306" width="18.28515625" style="1027" customWidth="1"/>
    <col min="3307" max="3307" width="46" style="1027" customWidth="1"/>
    <col min="3308" max="3308" width="18.28515625" style="1027" customWidth="1"/>
    <col min="3309" max="3309" width="46" style="1027" customWidth="1"/>
    <col min="3310" max="3310" width="18.28515625" style="1027" customWidth="1"/>
    <col min="3311" max="3311" width="46" style="1027" customWidth="1"/>
    <col min="3312" max="3312" width="18.28515625" style="1027" customWidth="1"/>
    <col min="3313" max="3313" width="46" style="1027" customWidth="1"/>
    <col min="3314" max="3314" width="18.28515625" style="1027" customWidth="1"/>
    <col min="3315" max="3315" width="46" style="1027" customWidth="1"/>
    <col min="3316" max="3316" width="18.28515625" style="1027" customWidth="1"/>
    <col min="3317" max="3317" width="46" style="1027" customWidth="1"/>
    <col min="3318" max="3318" width="18.28515625" style="1027" customWidth="1"/>
    <col min="3319" max="3319" width="46" style="1027" customWidth="1"/>
    <col min="3320" max="3320" width="18.28515625" style="1027" customWidth="1"/>
    <col min="3321" max="3321" width="46" style="1027" customWidth="1"/>
    <col min="3322" max="3322" width="18.28515625" style="1027" customWidth="1"/>
    <col min="3323" max="3323" width="46" style="1027" customWidth="1"/>
    <col min="3324" max="3324" width="18.28515625" style="1027" customWidth="1"/>
    <col min="3325" max="3325" width="46" style="1027" customWidth="1"/>
    <col min="3326" max="3326" width="18.28515625" style="1027" customWidth="1"/>
    <col min="3327" max="3327" width="46" style="1027" customWidth="1"/>
    <col min="3328" max="3328" width="18.28515625" style="1027" customWidth="1"/>
    <col min="3329" max="3329" width="46" style="1027" customWidth="1"/>
    <col min="3330" max="3330" width="18.28515625" style="1027" customWidth="1"/>
    <col min="3331" max="3560" width="11.42578125" style="1027"/>
    <col min="3561" max="3561" width="45.85546875" style="1027" customWidth="1"/>
    <col min="3562" max="3562" width="18.28515625" style="1027" customWidth="1"/>
    <col min="3563" max="3563" width="46" style="1027" customWidth="1"/>
    <col min="3564" max="3564" width="18.28515625" style="1027" customWidth="1"/>
    <col min="3565" max="3565" width="46" style="1027" customWidth="1"/>
    <col min="3566" max="3566" width="18.28515625" style="1027" customWidth="1"/>
    <col min="3567" max="3567" width="46" style="1027" customWidth="1"/>
    <col min="3568" max="3568" width="18.28515625" style="1027" customWidth="1"/>
    <col min="3569" max="3569" width="46" style="1027" customWidth="1"/>
    <col min="3570" max="3570" width="18.28515625" style="1027" customWidth="1"/>
    <col min="3571" max="3571" width="46" style="1027" customWidth="1"/>
    <col min="3572" max="3572" width="18.28515625" style="1027" customWidth="1"/>
    <col min="3573" max="3573" width="46" style="1027" customWidth="1"/>
    <col min="3574" max="3574" width="18.28515625" style="1027" customWidth="1"/>
    <col min="3575" max="3575" width="46" style="1027" customWidth="1"/>
    <col min="3576" max="3576" width="18.28515625" style="1027" customWidth="1"/>
    <col min="3577" max="3577" width="46" style="1027" customWidth="1"/>
    <col min="3578" max="3578" width="18.28515625" style="1027" customWidth="1"/>
    <col min="3579" max="3579" width="46" style="1027" customWidth="1"/>
    <col min="3580" max="3580" width="18.28515625" style="1027" customWidth="1"/>
    <col min="3581" max="3581" width="46" style="1027" customWidth="1"/>
    <col min="3582" max="3582" width="18.28515625" style="1027" customWidth="1"/>
    <col min="3583" max="3583" width="46" style="1027" customWidth="1"/>
    <col min="3584" max="3584" width="18.28515625" style="1027" customWidth="1"/>
    <col min="3585" max="3585" width="46" style="1027" customWidth="1"/>
    <col min="3586" max="3586" width="18.28515625" style="1027" customWidth="1"/>
    <col min="3587" max="3816" width="11.42578125" style="1027"/>
    <col min="3817" max="3817" width="45.85546875" style="1027" customWidth="1"/>
    <col min="3818" max="3818" width="18.28515625" style="1027" customWidth="1"/>
    <col min="3819" max="3819" width="46" style="1027" customWidth="1"/>
    <col min="3820" max="3820" width="18.28515625" style="1027" customWidth="1"/>
    <col min="3821" max="3821" width="46" style="1027" customWidth="1"/>
    <col min="3822" max="3822" width="18.28515625" style="1027" customWidth="1"/>
    <col min="3823" max="3823" width="46" style="1027" customWidth="1"/>
    <col min="3824" max="3824" width="18.28515625" style="1027" customWidth="1"/>
    <col min="3825" max="3825" width="46" style="1027" customWidth="1"/>
    <col min="3826" max="3826" width="18.28515625" style="1027" customWidth="1"/>
    <col min="3827" max="3827" width="46" style="1027" customWidth="1"/>
    <col min="3828" max="3828" width="18.28515625" style="1027" customWidth="1"/>
    <col min="3829" max="3829" width="46" style="1027" customWidth="1"/>
    <col min="3830" max="3830" width="18.28515625" style="1027" customWidth="1"/>
    <col min="3831" max="3831" width="46" style="1027" customWidth="1"/>
    <col min="3832" max="3832" width="18.28515625" style="1027" customWidth="1"/>
    <col min="3833" max="3833" width="46" style="1027" customWidth="1"/>
    <col min="3834" max="3834" width="18.28515625" style="1027" customWidth="1"/>
    <col min="3835" max="3835" width="46" style="1027" customWidth="1"/>
    <col min="3836" max="3836" width="18.28515625" style="1027" customWidth="1"/>
    <col min="3837" max="3837" width="46" style="1027" customWidth="1"/>
    <col min="3838" max="3838" width="18.28515625" style="1027" customWidth="1"/>
    <col min="3839" max="3839" width="46" style="1027" customWidth="1"/>
    <col min="3840" max="3840" width="18.28515625" style="1027" customWidth="1"/>
    <col min="3841" max="3841" width="46" style="1027" customWidth="1"/>
    <col min="3842" max="3842" width="18.28515625" style="1027" customWidth="1"/>
    <col min="3843" max="4072" width="11.42578125" style="1027"/>
    <col min="4073" max="4073" width="45.85546875" style="1027" customWidth="1"/>
    <col min="4074" max="4074" width="18.28515625" style="1027" customWidth="1"/>
    <col min="4075" max="4075" width="46" style="1027" customWidth="1"/>
    <col min="4076" max="4076" width="18.28515625" style="1027" customWidth="1"/>
    <col min="4077" max="4077" width="46" style="1027" customWidth="1"/>
    <col min="4078" max="4078" width="18.28515625" style="1027" customWidth="1"/>
    <col min="4079" max="4079" width="46" style="1027" customWidth="1"/>
    <col min="4080" max="4080" width="18.28515625" style="1027" customWidth="1"/>
    <col min="4081" max="4081" width="46" style="1027" customWidth="1"/>
    <col min="4082" max="4082" width="18.28515625" style="1027" customWidth="1"/>
    <col min="4083" max="4083" width="46" style="1027" customWidth="1"/>
    <col min="4084" max="4084" width="18.28515625" style="1027" customWidth="1"/>
    <col min="4085" max="4085" width="46" style="1027" customWidth="1"/>
    <col min="4086" max="4086" width="18.28515625" style="1027" customWidth="1"/>
    <col min="4087" max="4087" width="46" style="1027" customWidth="1"/>
    <col min="4088" max="4088" width="18.28515625" style="1027" customWidth="1"/>
    <col min="4089" max="4089" width="46" style="1027" customWidth="1"/>
    <col min="4090" max="4090" width="18.28515625" style="1027" customWidth="1"/>
    <col min="4091" max="4091" width="46" style="1027" customWidth="1"/>
    <col min="4092" max="4092" width="18.28515625" style="1027" customWidth="1"/>
    <col min="4093" max="4093" width="46" style="1027" customWidth="1"/>
    <col min="4094" max="4094" width="18.28515625" style="1027" customWidth="1"/>
    <col min="4095" max="4095" width="46" style="1027" customWidth="1"/>
    <col min="4096" max="4096" width="18.28515625" style="1027" customWidth="1"/>
    <col min="4097" max="4097" width="46" style="1027" customWidth="1"/>
    <col min="4098" max="4098" width="18.28515625" style="1027" customWidth="1"/>
    <col min="4099" max="4328" width="11.42578125" style="1027"/>
    <col min="4329" max="4329" width="45.85546875" style="1027" customWidth="1"/>
    <col min="4330" max="4330" width="18.28515625" style="1027" customWidth="1"/>
    <col min="4331" max="4331" width="46" style="1027" customWidth="1"/>
    <col min="4332" max="4332" width="18.28515625" style="1027" customWidth="1"/>
    <col min="4333" max="4333" width="46" style="1027" customWidth="1"/>
    <col min="4334" max="4334" width="18.28515625" style="1027" customWidth="1"/>
    <col min="4335" max="4335" width="46" style="1027" customWidth="1"/>
    <col min="4336" max="4336" width="18.28515625" style="1027" customWidth="1"/>
    <col min="4337" max="4337" width="46" style="1027" customWidth="1"/>
    <col min="4338" max="4338" width="18.28515625" style="1027" customWidth="1"/>
    <col min="4339" max="4339" width="46" style="1027" customWidth="1"/>
    <col min="4340" max="4340" width="18.28515625" style="1027" customWidth="1"/>
    <col min="4341" max="4341" width="46" style="1027" customWidth="1"/>
    <col min="4342" max="4342" width="18.28515625" style="1027" customWidth="1"/>
    <col min="4343" max="4343" width="46" style="1027" customWidth="1"/>
    <col min="4344" max="4344" width="18.28515625" style="1027" customWidth="1"/>
    <col min="4345" max="4345" width="46" style="1027" customWidth="1"/>
    <col min="4346" max="4346" width="18.28515625" style="1027" customWidth="1"/>
    <col min="4347" max="4347" width="46" style="1027" customWidth="1"/>
    <col min="4348" max="4348" width="18.28515625" style="1027" customWidth="1"/>
    <col min="4349" max="4349" width="46" style="1027" customWidth="1"/>
    <col min="4350" max="4350" width="18.28515625" style="1027" customWidth="1"/>
    <col min="4351" max="4351" width="46" style="1027" customWidth="1"/>
    <col min="4352" max="4352" width="18.28515625" style="1027" customWidth="1"/>
    <col min="4353" max="4353" width="46" style="1027" customWidth="1"/>
    <col min="4354" max="4354" width="18.28515625" style="1027" customWidth="1"/>
    <col min="4355" max="4584" width="11.42578125" style="1027"/>
    <col min="4585" max="4585" width="45.85546875" style="1027" customWidth="1"/>
    <col min="4586" max="4586" width="18.28515625" style="1027" customWidth="1"/>
    <col min="4587" max="4587" width="46" style="1027" customWidth="1"/>
    <col min="4588" max="4588" width="18.28515625" style="1027" customWidth="1"/>
    <col min="4589" max="4589" width="46" style="1027" customWidth="1"/>
    <col min="4590" max="4590" width="18.28515625" style="1027" customWidth="1"/>
    <col min="4591" max="4591" width="46" style="1027" customWidth="1"/>
    <col min="4592" max="4592" width="18.28515625" style="1027" customWidth="1"/>
    <col min="4593" max="4593" width="46" style="1027" customWidth="1"/>
    <col min="4594" max="4594" width="18.28515625" style="1027" customWidth="1"/>
    <col min="4595" max="4595" width="46" style="1027" customWidth="1"/>
    <col min="4596" max="4596" width="18.28515625" style="1027" customWidth="1"/>
    <col min="4597" max="4597" width="46" style="1027" customWidth="1"/>
    <col min="4598" max="4598" width="18.28515625" style="1027" customWidth="1"/>
    <col min="4599" max="4599" width="46" style="1027" customWidth="1"/>
    <col min="4600" max="4600" width="18.28515625" style="1027" customWidth="1"/>
    <col min="4601" max="4601" width="46" style="1027" customWidth="1"/>
    <col min="4602" max="4602" width="18.28515625" style="1027" customWidth="1"/>
    <col min="4603" max="4603" width="46" style="1027" customWidth="1"/>
    <col min="4604" max="4604" width="18.28515625" style="1027" customWidth="1"/>
    <col min="4605" max="4605" width="46" style="1027" customWidth="1"/>
    <col min="4606" max="4606" width="18.28515625" style="1027" customWidth="1"/>
    <col min="4607" max="4607" width="46" style="1027" customWidth="1"/>
    <col min="4608" max="4608" width="18.28515625" style="1027" customWidth="1"/>
    <col min="4609" max="4609" width="46" style="1027" customWidth="1"/>
    <col min="4610" max="4610" width="18.28515625" style="1027" customWidth="1"/>
    <col min="4611" max="4840" width="11.42578125" style="1027"/>
    <col min="4841" max="4841" width="45.85546875" style="1027" customWidth="1"/>
    <col min="4842" max="4842" width="18.28515625" style="1027" customWidth="1"/>
    <col min="4843" max="4843" width="46" style="1027" customWidth="1"/>
    <col min="4844" max="4844" width="18.28515625" style="1027" customWidth="1"/>
    <col min="4845" max="4845" width="46" style="1027" customWidth="1"/>
    <col min="4846" max="4846" width="18.28515625" style="1027" customWidth="1"/>
    <col min="4847" max="4847" width="46" style="1027" customWidth="1"/>
    <col min="4848" max="4848" width="18.28515625" style="1027" customWidth="1"/>
    <col min="4849" max="4849" width="46" style="1027" customWidth="1"/>
    <col min="4850" max="4850" width="18.28515625" style="1027" customWidth="1"/>
    <col min="4851" max="4851" width="46" style="1027" customWidth="1"/>
    <col min="4852" max="4852" width="18.28515625" style="1027" customWidth="1"/>
    <col min="4853" max="4853" width="46" style="1027" customWidth="1"/>
    <col min="4854" max="4854" width="18.28515625" style="1027" customWidth="1"/>
    <col min="4855" max="4855" width="46" style="1027" customWidth="1"/>
    <col min="4856" max="4856" width="18.28515625" style="1027" customWidth="1"/>
    <col min="4857" max="4857" width="46" style="1027" customWidth="1"/>
    <col min="4858" max="4858" width="18.28515625" style="1027" customWidth="1"/>
    <col min="4859" max="4859" width="46" style="1027" customWidth="1"/>
    <col min="4860" max="4860" width="18.28515625" style="1027" customWidth="1"/>
    <col min="4861" max="4861" width="46" style="1027" customWidth="1"/>
    <col min="4862" max="4862" width="18.28515625" style="1027" customWidth="1"/>
    <col min="4863" max="4863" width="46" style="1027" customWidth="1"/>
    <col min="4864" max="4864" width="18.28515625" style="1027" customWidth="1"/>
    <col min="4865" max="4865" width="46" style="1027" customWidth="1"/>
    <col min="4866" max="4866" width="18.28515625" style="1027" customWidth="1"/>
    <col min="4867" max="5096" width="11.42578125" style="1027"/>
    <col min="5097" max="5097" width="45.85546875" style="1027" customWidth="1"/>
    <col min="5098" max="5098" width="18.28515625" style="1027" customWidth="1"/>
    <col min="5099" max="5099" width="46" style="1027" customWidth="1"/>
    <col min="5100" max="5100" width="18.28515625" style="1027" customWidth="1"/>
    <col min="5101" max="5101" width="46" style="1027" customWidth="1"/>
    <col min="5102" max="5102" width="18.28515625" style="1027" customWidth="1"/>
    <col min="5103" max="5103" width="46" style="1027" customWidth="1"/>
    <col min="5104" max="5104" width="18.28515625" style="1027" customWidth="1"/>
    <col min="5105" max="5105" width="46" style="1027" customWidth="1"/>
    <col min="5106" max="5106" width="18.28515625" style="1027" customWidth="1"/>
    <col min="5107" max="5107" width="46" style="1027" customWidth="1"/>
    <col min="5108" max="5108" width="18.28515625" style="1027" customWidth="1"/>
    <col min="5109" max="5109" width="46" style="1027" customWidth="1"/>
    <col min="5110" max="5110" width="18.28515625" style="1027" customWidth="1"/>
    <col min="5111" max="5111" width="46" style="1027" customWidth="1"/>
    <col min="5112" max="5112" width="18.28515625" style="1027" customWidth="1"/>
    <col min="5113" max="5113" width="46" style="1027" customWidth="1"/>
    <col min="5114" max="5114" width="18.28515625" style="1027" customWidth="1"/>
    <col min="5115" max="5115" width="46" style="1027" customWidth="1"/>
    <col min="5116" max="5116" width="18.28515625" style="1027" customWidth="1"/>
    <col min="5117" max="5117" width="46" style="1027" customWidth="1"/>
    <col min="5118" max="5118" width="18.28515625" style="1027" customWidth="1"/>
    <col min="5119" max="5119" width="46" style="1027" customWidth="1"/>
    <col min="5120" max="5120" width="18.28515625" style="1027" customWidth="1"/>
    <col min="5121" max="5121" width="46" style="1027" customWidth="1"/>
    <col min="5122" max="5122" width="18.28515625" style="1027" customWidth="1"/>
    <col min="5123" max="5352" width="11.42578125" style="1027"/>
    <col min="5353" max="5353" width="45.85546875" style="1027" customWidth="1"/>
    <col min="5354" max="5354" width="18.28515625" style="1027" customWidth="1"/>
    <col min="5355" max="5355" width="46" style="1027" customWidth="1"/>
    <col min="5356" max="5356" width="18.28515625" style="1027" customWidth="1"/>
    <col min="5357" max="5357" width="46" style="1027" customWidth="1"/>
    <col min="5358" max="5358" width="18.28515625" style="1027" customWidth="1"/>
    <col min="5359" max="5359" width="46" style="1027" customWidth="1"/>
    <col min="5360" max="5360" width="18.28515625" style="1027" customWidth="1"/>
    <col min="5361" max="5361" width="46" style="1027" customWidth="1"/>
    <col min="5362" max="5362" width="18.28515625" style="1027" customWidth="1"/>
    <col min="5363" max="5363" width="46" style="1027" customWidth="1"/>
    <col min="5364" max="5364" width="18.28515625" style="1027" customWidth="1"/>
    <col min="5365" max="5365" width="46" style="1027" customWidth="1"/>
    <col min="5366" max="5366" width="18.28515625" style="1027" customWidth="1"/>
    <col min="5367" max="5367" width="46" style="1027" customWidth="1"/>
    <col min="5368" max="5368" width="18.28515625" style="1027" customWidth="1"/>
    <col min="5369" max="5369" width="46" style="1027" customWidth="1"/>
    <col min="5370" max="5370" width="18.28515625" style="1027" customWidth="1"/>
    <col min="5371" max="5371" width="46" style="1027" customWidth="1"/>
    <col min="5372" max="5372" width="18.28515625" style="1027" customWidth="1"/>
    <col min="5373" max="5373" width="46" style="1027" customWidth="1"/>
    <col min="5374" max="5374" width="18.28515625" style="1027" customWidth="1"/>
    <col min="5375" max="5375" width="46" style="1027" customWidth="1"/>
    <col min="5376" max="5376" width="18.28515625" style="1027" customWidth="1"/>
    <col min="5377" max="5377" width="46" style="1027" customWidth="1"/>
    <col min="5378" max="5378" width="18.28515625" style="1027" customWidth="1"/>
    <col min="5379" max="5608" width="11.42578125" style="1027"/>
    <col min="5609" max="5609" width="45.85546875" style="1027" customWidth="1"/>
    <col min="5610" max="5610" width="18.28515625" style="1027" customWidth="1"/>
    <col min="5611" max="5611" width="46" style="1027" customWidth="1"/>
    <col min="5612" max="5612" width="18.28515625" style="1027" customWidth="1"/>
    <col min="5613" max="5613" width="46" style="1027" customWidth="1"/>
    <col min="5614" max="5614" width="18.28515625" style="1027" customWidth="1"/>
    <col min="5615" max="5615" width="46" style="1027" customWidth="1"/>
    <col min="5616" max="5616" width="18.28515625" style="1027" customWidth="1"/>
    <col min="5617" max="5617" width="46" style="1027" customWidth="1"/>
    <col min="5618" max="5618" width="18.28515625" style="1027" customWidth="1"/>
    <col min="5619" max="5619" width="46" style="1027" customWidth="1"/>
    <col min="5620" max="5620" width="18.28515625" style="1027" customWidth="1"/>
    <col min="5621" max="5621" width="46" style="1027" customWidth="1"/>
    <col min="5622" max="5622" width="18.28515625" style="1027" customWidth="1"/>
    <col min="5623" max="5623" width="46" style="1027" customWidth="1"/>
    <col min="5624" max="5624" width="18.28515625" style="1027" customWidth="1"/>
    <col min="5625" max="5625" width="46" style="1027" customWidth="1"/>
    <col min="5626" max="5626" width="18.28515625" style="1027" customWidth="1"/>
    <col min="5627" max="5627" width="46" style="1027" customWidth="1"/>
    <col min="5628" max="5628" width="18.28515625" style="1027" customWidth="1"/>
    <col min="5629" max="5629" width="46" style="1027" customWidth="1"/>
    <col min="5630" max="5630" width="18.28515625" style="1027" customWidth="1"/>
    <col min="5631" max="5631" width="46" style="1027" customWidth="1"/>
    <col min="5632" max="5632" width="18.28515625" style="1027" customWidth="1"/>
    <col min="5633" max="5633" width="46" style="1027" customWidth="1"/>
    <col min="5634" max="5634" width="18.28515625" style="1027" customWidth="1"/>
    <col min="5635" max="5864" width="11.42578125" style="1027"/>
    <col min="5865" max="5865" width="45.85546875" style="1027" customWidth="1"/>
    <col min="5866" max="5866" width="18.28515625" style="1027" customWidth="1"/>
    <col min="5867" max="5867" width="46" style="1027" customWidth="1"/>
    <col min="5868" max="5868" width="18.28515625" style="1027" customWidth="1"/>
    <col min="5869" max="5869" width="46" style="1027" customWidth="1"/>
    <col min="5870" max="5870" width="18.28515625" style="1027" customWidth="1"/>
    <col min="5871" max="5871" width="46" style="1027" customWidth="1"/>
    <col min="5872" max="5872" width="18.28515625" style="1027" customWidth="1"/>
    <col min="5873" max="5873" width="46" style="1027" customWidth="1"/>
    <col min="5874" max="5874" width="18.28515625" style="1027" customWidth="1"/>
    <col min="5875" max="5875" width="46" style="1027" customWidth="1"/>
    <col min="5876" max="5876" width="18.28515625" style="1027" customWidth="1"/>
    <col min="5877" max="5877" width="46" style="1027" customWidth="1"/>
    <col min="5878" max="5878" width="18.28515625" style="1027" customWidth="1"/>
    <col min="5879" max="5879" width="46" style="1027" customWidth="1"/>
    <col min="5880" max="5880" width="18.28515625" style="1027" customWidth="1"/>
    <col min="5881" max="5881" width="46" style="1027" customWidth="1"/>
    <col min="5882" max="5882" width="18.28515625" style="1027" customWidth="1"/>
    <col min="5883" max="5883" width="46" style="1027" customWidth="1"/>
    <col min="5884" max="5884" width="18.28515625" style="1027" customWidth="1"/>
    <col min="5885" max="5885" width="46" style="1027" customWidth="1"/>
    <col min="5886" max="5886" width="18.28515625" style="1027" customWidth="1"/>
    <col min="5887" max="5887" width="46" style="1027" customWidth="1"/>
    <col min="5888" max="5888" width="18.28515625" style="1027" customWidth="1"/>
    <col min="5889" max="5889" width="46" style="1027" customWidth="1"/>
    <col min="5890" max="5890" width="18.28515625" style="1027" customWidth="1"/>
    <col min="5891" max="6120" width="11.42578125" style="1027"/>
    <col min="6121" max="6121" width="45.85546875" style="1027" customWidth="1"/>
    <col min="6122" max="6122" width="18.28515625" style="1027" customWidth="1"/>
    <col min="6123" max="6123" width="46" style="1027" customWidth="1"/>
    <col min="6124" max="6124" width="18.28515625" style="1027" customWidth="1"/>
    <col min="6125" max="6125" width="46" style="1027" customWidth="1"/>
    <col min="6126" max="6126" width="18.28515625" style="1027" customWidth="1"/>
    <col min="6127" max="6127" width="46" style="1027" customWidth="1"/>
    <col min="6128" max="6128" width="18.28515625" style="1027" customWidth="1"/>
    <col min="6129" max="6129" width="46" style="1027" customWidth="1"/>
    <col min="6130" max="6130" width="18.28515625" style="1027" customWidth="1"/>
    <col min="6131" max="6131" width="46" style="1027" customWidth="1"/>
    <col min="6132" max="6132" width="18.28515625" style="1027" customWidth="1"/>
    <col min="6133" max="6133" width="46" style="1027" customWidth="1"/>
    <col min="6134" max="6134" width="18.28515625" style="1027" customWidth="1"/>
    <col min="6135" max="6135" width="46" style="1027" customWidth="1"/>
    <col min="6136" max="6136" width="18.28515625" style="1027" customWidth="1"/>
    <col min="6137" max="6137" width="46" style="1027" customWidth="1"/>
    <col min="6138" max="6138" width="18.28515625" style="1027" customWidth="1"/>
    <col min="6139" max="6139" width="46" style="1027" customWidth="1"/>
    <col min="6140" max="6140" width="18.28515625" style="1027" customWidth="1"/>
    <col min="6141" max="6141" width="46" style="1027" customWidth="1"/>
    <col min="6142" max="6142" width="18.28515625" style="1027" customWidth="1"/>
    <col min="6143" max="6143" width="46" style="1027" customWidth="1"/>
    <col min="6144" max="6144" width="18.28515625" style="1027" customWidth="1"/>
    <col min="6145" max="6145" width="46" style="1027" customWidth="1"/>
    <col min="6146" max="6146" width="18.28515625" style="1027" customWidth="1"/>
    <col min="6147" max="6376" width="11.42578125" style="1027"/>
    <col min="6377" max="6377" width="45.85546875" style="1027" customWidth="1"/>
    <col min="6378" max="6378" width="18.28515625" style="1027" customWidth="1"/>
    <col min="6379" max="6379" width="46" style="1027" customWidth="1"/>
    <col min="6380" max="6380" width="18.28515625" style="1027" customWidth="1"/>
    <col min="6381" max="6381" width="46" style="1027" customWidth="1"/>
    <col min="6382" max="6382" width="18.28515625" style="1027" customWidth="1"/>
    <col min="6383" max="6383" width="46" style="1027" customWidth="1"/>
    <col min="6384" max="6384" width="18.28515625" style="1027" customWidth="1"/>
    <col min="6385" max="6385" width="46" style="1027" customWidth="1"/>
    <col min="6386" max="6386" width="18.28515625" style="1027" customWidth="1"/>
    <col min="6387" max="6387" width="46" style="1027" customWidth="1"/>
    <col min="6388" max="6388" width="18.28515625" style="1027" customWidth="1"/>
    <col min="6389" max="6389" width="46" style="1027" customWidth="1"/>
    <col min="6390" max="6390" width="18.28515625" style="1027" customWidth="1"/>
    <col min="6391" max="6391" width="46" style="1027" customWidth="1"/>
    <col min="6392" max="6392" width="18.28515625" style="1027" customWidth="1"/>
    <col min="6393" max="6393" width="46" style="1027" customWidth="1"/>
    <col min="6394" max="6394" width="18.28515625" style="1027" customWidth="1"/>
    <col min="6395" max="6395" width="46" style="1027" customWidth="1"/>
    <col min="6396" max="6396" width="18.28515625" style="1027" customWidth="1"/>
    <col min="6397" max="6397" width="46" style="1027" customWidth="1"/>
    <col min="6398" max="6398" width="18.28515625" style="1027" customWidth="1"/>
    <col min="6399" max="6399" width="46" style="1027" customWidth="1"/>
    <col min="6400" max="6400" width="18.28515625" style="1027" customWidth="1"/>
    <col min="6401" max="6401" width="46" style="1027" customWidth="1"/>
    <col min="6402" max="6402" width="18.28515625" style="1027" customWidth="1"/>
    <col min="6403" max="6632" width="11.42578125" style="1027"/>
    <col min="6633" max="6633" width="45.85546875" style="1027" customWidth="1"/>
    <col min="6634" max="6634" width="18.28515625" style="1027" customWidth="1"/>
    <col min="6635" max="6635" width="46" style="1027" customWidth="1"/>
    <col min="6636" max="6636" width="18.28515625" style="1027" customWidth="1"/>
    <col min="6637" max="6637" width="46" style="1027" customWidth="1"/>
    <col min="6638" max="6638" width="18.28515625" style="1027" customWidth="1"/>
    <col min="6639" max="6639" width="46" style="1027" customWidth="1"/>
    <col min="6640" max="6640" width="18.28515625" style="1027" customWidth="1"/>
    <col min="6641" max="6641" width="46" style="1027" customWidth="1"/>
    <col min="6642" max="6642" width="18.28515625" style="1027" customWidth="1"/>
    <col min="6643" max="6643" width="46" style="1027" customWidth="1"/>
    <col min="6644" max="6644" width="18.28515625" style="1027" customWidth="1"/>
    <col min="6645" max="6645" width="46" style="1027" customWidth="1"/>
    <col min="6646" max="6646" width="18.28515625" style="1027" customWidth="1"/>
    <col min="6647" max="6647" width="46" style="1027" customWidth="1"/>
    <col min="6648" max="6648" width="18.28515625" style="1027" customWidth="1"/>
    <col min="6649" max="6649" width="46" style="1027" customWidth="1"/>
    <col min="6650" max="6650" width="18.28515625" style="1027" customWidth="1"/>
    <col min="6651" max="6651" width="46" style="1027" customWidth="1"/>
    <col min="6652" max="6652" width="18.28515625" style="1027" customWidth="1"/>
    <col min="6653" max="6653" width="46" style="1027" customWidth="1"/>
    <col min="6654" max="6654" width="18.28515625" style="1027" customWidth="1"/>
    <col min="6655" max="6655" width="46" style="1027" customWidth="1"/>
    <col min="6656" max="6656" width="18.28515625" style="1027" customWidth="1"/>
    <col min="6657" max="6657" width="46" style="1027" customWidth="1"/>
    <col min="6658" max="6658" width="18.28515625" style="1027" customWidth="1"/>
    <col min="6659" max="6888" width="11.42578125" style="1027"/>
    <col min="6889" max="6889" width="45.85546875" style="1027" customWidth="1"/>
    <col min="6890" max="6890" width="18.28515625" style="1027" customWidth="1"/>
    <col min="6891" max="6891" width="46" style="1027" customWidth="1"/>
    <col min="6892" max="6892" width="18.28515625" style="1027" customWidth="1"/>
    <col min="6893" max="6893" width="46" style="1027" customWidth="1"/>
    <col min="6894" max="6894" width="18.28515625" style="1027" customWidth="1"/>
    <col min="6895" max="6895" width="46" style="1027" customWidth="1"/>
    <col min="6896" max="6896" width="18.28515625" style="1027" customWidth="1"/>
    <col min="6897" max="6897" width="46" style="1027" customWidth="1"/>
    <col min="6898" max="6898" width="18.28515625" style="1027" customWidth="1"/>
    <col min="6899" max="6899" width="46" style="1027" customWidth="1"/>
    <col min="6900" max="6900" width="18.28515625" style="1027" customWidth="1"/>
    <col min="6901" max="6901" width="46" style="1027" customWidth="1"/>
    <col min="6902" max="6902" width="18.28515625" style="1027" customWidth="1"/>
    <col min="6903" max="6903" width="46" style="1027" customWidth="1"/>
    <col min="6904" max="6904" width="18.28515625" style="1027" customWidth="1"/>
    <col min="6905" max="6905" width="46" style="1027" customWidth="1"/>
    <col min="6906" max="6906" width="18.28515625" style="1027" customWidth="1"/>
    <col min="6907" max="6907" width="46" style="1027" customWidth="1"/>
    <col min="6908" max="6908" width="18.28515625" style="1027" customWidth="1"/>
    <col min="6909" max="6909" width="46" style="1027" customWidth="1"/>
    <col min="6910" max="6910" width="18.28515625" style="1027" customWidth="1"/>
    <col min="6911" max="6911" width="46" style="1027" customWidth="1"/>
    <col min="6912" max="6912" width="18.28515625" style="1027" customWidth="1"/>
    <col min="6913" max="6913" width="46" style="1027" customWidth="1"/>
    <col min="6914" max="6914" width="18.28515625" style="1027" customWidth="1"/>
    <col min="6915" max="7144" width="11.42578125" style="1027"/>
    <col min="7145" max="7145" width="45.85546875" style="1027" customWidth="1"/>
    <col min="7146" max="7146" width="18.28515625" style="1027" customWidth="1"/>
    <col min="7147" max="7147" width="46" style="1027" customWidth="1"/>
    <col min="7148" max="7148" width="18.28515625" style="1027" customWidth="1"/>
    <col min="7149" max="7149" width="46" style="1027" customWidth="1"/>
    <col min="7150" max="7150" width="18.28515625" style="1027" customWidth="1"/>
    <col min="7151" max="7151" width="46" style="1027" customWidth="1"/>
    <col min="7152" max="7152" width="18.28515625" style="1027" customWidth="1"/>
    <col min="7153" max="7153" width="46" style="1027" customWidth="1"/>
    <col min="7154" max="7154" width="18.28515625" style="1027" customWidth="1"/>
    <col min="7155" max="7155" width="46" style="1027" customWidth="1"/>
    <col min="7156" max="7156" width="18.28515625" style="1027" customWidth="1"/>
    <col min="7157" max="7157" width="46" style="1027" customWidth="1"/>
    <col min="7158" max="7158" width="18.28515625" style="1027" customWidth="1"/>
    <col min="7159" max="7159" width="46" style="1027" customWidth="1"/>
    <col min="7160" max="7160" width="18.28515625" style="1027" customWidth="1"/>
    <col min="7161" max="7161" width="46" style="1027" customWidth="1"/>
    <col min="7162" max="7162" width="18.28515625" style="1027" customWidth="1"/>
    <col min="7163" max="7163" width="46" style="1027" customWidth="1"/>
    <col min="7164" max="7164" width="18.28515625" style="1027" customWidth="1"/>
    <col min="7165" max="7165" width="46" style="1027" customWidth="1"/>
    <col min="7166" max="7166" width="18.28515625" style="1027" customWidth="1"/>
    <col min="7167" max="7167" width="46" style="1027" customWidth="1"/>
    <col min="7168" max="7168" width="18.28515625" style="1027" customWidth="1"/>
    <col min="7169" max="7169" width="46" style="1027" customWidth="1"/>
    <col min="7170" max="7170" width="18.28515625" style="1027" customWidth="1"/>
    <col min="7171" max="7400" width="11.42578125" style="1027"/>
    <col min="7401" max="7401" width="45.85546875" style="1027" customWidth="1"/>
    <col min="7402" max="7402" width="18.28515625" style="1027" customWidth="1"/>
    <col min="7403" max="7403" width="46" style="1027" customWidth="1"/>
    <col min="7404" max="7404" width="18.28515625" style="1027" customWidth="1"/>
    <col min="7405" max="7405" width="46" style="1027" customWidth="1"/>
    <col min="7406" max="7406" width="18.28515625" style="1027" customWidth="1"/>
    <col min="7407" max="7407" width="46" style="1027" customWidth="1"/>
    <col min="7408" max="7408" width="18.28515625" style="1027" customWidth="1"/>
    <col min="7409" max="7409" width="46" style="1027" customWidth="1"/>
    <col min="7410" max="7410" width="18.28515625" style="1027" customWidth="1"/>
    <col min="7411" max="7411" width="46" style="1027" customWidth="1"/>
    <col min="7412" max="7412" width="18.28515625" style="1027" customWidth="1"/>
    <col min="7413" max="7413" width="46" style="1027" customWidth="1"/>
    <col min="7414" max="7414" width="18.28515625" style="1027" customWidth="1"/>
    <col min="7415" max="7415" width="46" style="1027" customWidth="1"/>
    <col min="7416" max="7416" width="18.28515625" style="1027" customWidth="1"/>
    <col min="7417" max="7417" width="46" style="1027" customWidth="1"/>
    <col min="7418" max="7418" width="18.28515625" style="1027" customWidth="1"/>
    <col min="7419" max="7419" width="46" style="1027" customWidth="1"/>
    <col min="7420" max="7420" width="18.28515625" style="1027" customWidth="1"/>
    <col min="7421" max="7421" width="46" style="1027" customWidth="1"/>
    <col min="7422" max="7422" width="18.28515625" style="1027" customWidth="1"/>
    <col min="7423" max="7423" width="46" style="1027" customWidth="1"/>
    <col min="7424" max="7424" width="18.28515625" style="1027" customWidth="1"/>
    <col min="7425" max="7425" width="46" style="1027" customWidth="1"/>
    <col min="7426" max="7426" width="18.28515625" style="1027" customWidth="1"/>
    <col min="7427" max="7656" width="11.42578125" style="1027"/>
    <col min="7657" max="7657" width="45.85546875" style="1027" customWidth="1"/>
    <col min="7658" max="7658" width="18.28515625" style="1027" customWidth="1"/>
    <col min="7659" max="7659" width="46" style="1027" customWidth="1"/>
    <col min="7660" max="7660" width="18.28515625" style="1027" customWidth="1"/>
    <col min="7661" max="7661" width="46" style="1027" customWidth="1"/>
    <col min="7662" max="7662" width="18.28515625" style="1027" customWidth="1"/>
    <col min="7663" max="7663" width="46" style="1027" customWidth="1"/>
    <col min="7664" max="7664" width="18.28515625" style="1027" customWidth="1"/>
    <col min="7665" max="7665" width="46" style="1027" customWidth="1"/>
    <col min="7666" max="7666" width="18.28515625" style="1027" customWidth="1"/>
    <col min="7667" max="7667" width="46" style="1027" customWidth="1"/>
    <col min="7668" max="7668" width="18.28515625" style="1027" customWidth="1"/>
    <col min="7669" max="7669" width="46" style="1027" customWidth="1"/>
    <col min="7670" max="7670" width="18.28515625" style="1027" customWidth="1"/>
    <col min="7671" max="7671" width="46" style="1027" customWidth="1"/>
    <col min="7672" max="7672" width="18.28515625" style="1027" customWidth="1"/>
    <col min="7673" max="7673" width="46" style="1027" customWidth="1"/>
    <col min="7674" max="7674" width="18.28515625" style="1027" customWidth="1"/>
    <col min="7675" max="7675" width="46" style="1027" customWidth="1"/>
    <col min="7676" max="7676" width="18.28515625" style="1027" customWidth="1"/>
    <col min="7677" max="7677" width="46" style="1027" customWidth="1"/>
    <col min="7678" max="7678" width="18.28515625" style="1027" customWidth="1"/>
    <col min="7679" max="7679" width="46" style="1027" customWidth="1"/>
    <col min="7680" max="7680" width="18.28515625" style="1027" customWidth="1"/>
    <col min="7681" max="7681" width="46" style="1027" customWidth="1"/>
    <col min="7682" max="7682" width="18.28515625" style="1027" customWidth="1"/>
    <col min="7683" max="7912" width="11.42578125" style="1027"/>
    <col min="7913" max="7913" width="45.85546875" style="1027" customWidth="1"/>
    <col min="7914" max="7914" width="18.28515625" style="1027" customWidth="1"/>
    <col min="7915" max="7915" width="46" style="1027" customWidth="1"/>
    <col min="7916" max="7916" width="18.28515625" style="1027" customWidth="1"/>
    <col min="7917" max="7917" width="46" style="1027" customWidth="1"/>
    <col min="7918" max="7918" width="18.28515625" style="1027" customWidth="1"/>
    <col min="7919" max="7919" width="46" style="1027" customWidth="1"/>
    <col min="7920" max="7920" width="18.28515625" style="1027" customWidth="1"/>
    <col min="7921" max="7921" width="46" style="1027" customWidth="1"/>
    <col min="7922" max="7922" width="18.28515625" style="1027" customWidth="1"/>
    <col min="7923" max="7923" width="46" style="1027" customWidth="1"/>
    <col min="7924" max="7924" width="18.28515625" style="1027" customWidth="1"/>
    <col min="7925" max="7925" width="46" style="1027" customWidth="1"/>
    <col min="7926" max="7926" width="18.28515625" style="1027" customWidth="1"/>
    <col min="7927" max="7927" width="46" style="1027" customWidth="1"/>
    <col min="7928" max="7928" width="18.28515625" style="1027" customWidth="1"/>
    <col min="7929" max="7929" width="46" style="1027" customWidth="1"/>
    <col min="7930" max="7930" width="18.28515625" style="1027" customWidth="1"/>
    <col min="7931" max="7931" width="46" style="1027" customWidth="1"/>
    <col min="7932" max="7932" width="18.28515625" style="1027" customWidth="1"/>
    <col min="7933" max="7933" width="46" style="1027" customWidth="1"/>
    <col min="7934" max="7934" width="18.28515625" style="1027" customWidth="1"/>
    <col min="7935" max="7935" width="46" style="1027" customWidth="1"/>
    <col min="7936" max="7936" width="18.28515625" style="1027" customWidth="1"/>
    <col min="7937" max="7937" width="46" style="1027" customWidth="1"/>
    <col min="7938" max="7938" width="18.28515625" style="1027" customWidth="1"/>
    <col min="7939" max="8168" width="11.42578125" style="1027"/>
    <col min="8169" max="8169" width="45.85546875" style="1027" customWidth="1"/>
    <col min="8170" max="8170" width="18.28515625" style="1027" customWidth="1"/>
    <col min="8171" max="8171" width="46" style="1027" customWidth="1"/>
    <col min="8172" max="8172" width="18.28515625" style="1027" customWidth="1"/>
    <col min="8173" max="8173" width="46" style="1027" customWidth="1"/>
    <col min="8174" max="8174" width="18.28515625" style="1027" customWidth="1"/>
    <col min="8175" max="8175" width="46" style="1027" customWidth="1"/>
    <col min="8176" max="8176" width="18.28515625" style="1027" customWidth="1"/>
    <col min="8177" max="8177" width="46" style="1027" customWidth="1"/>
    <col min="8178" max="8178" width="18.28515625" style="1027" customWidth="1"/>
    <col min="8179" max="8179" width="46" style="1027" customWidth="1"/>
    <col min="8180" max="8180" width="18.28515625" style="1027" customWidth="1"/>
    <col min="8181" max="8181" width="46" style="1027" customWidth="1"/>
    <col min="8182" max="8182" width="18.28515625" style="1027" customWidth="1"/>
    <col min="8183" max="8183" width="46" style="1027" customWidth="1"/>
    <col min="8184" max="8184" width="18.28515625" style="1027" customWidth="1"/>
    <col min="8185" max="8185" width="46" style="1027" customWidth="1"/>
    <col min="8186" max="8186" width="18.28515625" style="1027" customWidth="1"/>
    <col min="8187" max="8187" width="46" style="1027" customWidth="1"/>
    <col min="8188" max="8188" width="18.28515625" style="1027" customWidth="1"/>
    <col min="8189" max="8189" width="46" style="1027" customWidth="1"/>
    <col min="8190" max="8190" width="18.28515625" style="1027" customWidth="1"/>
    <col min="8191" max="8191" width="46" style="1027" customWidth="1"/>
    <col min="8192" max="8192" width="18.28515625" style="1027" customWidth="1"/>
    <col min="8193" max="8193" width="46" style="1027" customWidth="1"/>
    <col min="8194" max="8194" width="18.28515625" style="1027" customWidth="1"/>
    <col min="8195" max="8424" width="11.42578125" style="1027"/>
    <col min="8425" max="8425" width="45.85546875" style="1027" customWidth="1"/>
    <col min="8426" max="8426" width="18.28515625" style="1027" customWidth="1"/>
    <col min="8427" max="8427" width="46" style="1027" customWidth="1"/>
    <col min="8428" max="8428" width="18.28515625" style="1027" customWidth="1"/>
    <col min="8429" max="8429" width="46" style="1027" customWidth="1"/>
    <col min="8430" max="8430" width="18.28515625" style="1027" customWidth="1"/>
    <col min="8431" max="8431" width="46" style="1027" customWidth="1"/>
    <col min="8432" max="8432" width="18.28515625" style="1027" customWidth="1"/>
    <col min="8433" max="8433" width="46" style="1027" customWidth="1"/>
    <col min="8434" max="8434" width="18.28515625" style="1027" customWidth="1"/>
    <col min="8435" max="8435" width="46" style="1027" customWidth="1"/>
    <col min="8436" max="8436" width="18.28515625" style="1027" customWidth="1"/>
    <col min="8437" max="8437" width="46" style="1027" customWidth="1"/>
    <col min="8438" max="8438" width="18.28515625" style="1027" customWidth="1"/>
    <col min="8439" max="8439" width="46" style="1027" customWidth="1"/>
    <col min="8440" max="8440" width="18.28515625" style="1027" customWidth="1"/>
    <col min="8441" max="8441" width="46" style="1027" customWidth="1"/>
    <col min="8442" max="8442" width="18.28515625" style="1027" customWidth="1"/>
    <col min="8443" max="8443" width="46" style="1027" customWidth="1"/>
    <col min="8444" max="8444" width="18.28515625" style="1027" customWidth="1"/>
    <col min="8445" max="8445" width="46" style="1027" customWidth="1"/>
    <col min="8446" max="8446" width="18.28515625" style="1027" customWidth="1"/>
    <col min="8447" max="8447" width="46" style="1027" customWidth="1"/>
    <col min="8448" max="8448" width="18.28515625" style="1027" customWidth="1"/>
    <col min="8449" max="8449" width="46" style="1027" customWidth="1"/>
    <col min="8450" max="8450" width="18.28515625" style="1027" customWidth="1"/>
    <col min="8451" max="8680" width="11.42578125" style="1027"/>
    <col min="8681" max="8681" width="45.85546875" style="1027" customWidth="1"/>
    <col min="8682" max="8682" width="18.28515625" style="1027" customWidth="1"/>
    <col min="8683" max="8683" width="46" style="1027" customWidth="1"/>
    <col min="8684" max="8684" width="18.28515625" style="1027" customWidth="1"/>
    <col min="8685" max="8685" width="46" style="1027" customWidth="1"/>
    <col min="8686" max="8686" width="18.28515625" style="1027" customWidth="1"/>
    <col min="8687" max="8687" width="46" style="1027" customWidth="1"/>
    <col min="8688" max="8688" width="18.28515625" style="1027" customWidth="1"/>
    <col min="8689" max="8689" width="46" style="1027" customWidth="1"/>
    <col min="8690" max="8690" width="18.28515625" style="1027" customWidth="1"/>
    <col min="8691" max="8691" width="46" style="1027" customWidth="1"/>
    <col min="8692" max="8692" width="18.28515625" style="1027" customWidth="1"/>
    <col min="8693" max="8693" width="46" style="1027" customWidth="1"/>
    <col min="8694" max="8694" width="18.28515625" style="1027" customWidth="1"/>
    <col min="8695" max="8695" width="46" style="1027" customWidth="1"/>
    <col min="8696" max="8696" width="18.28515625" style="1027" customWidth="1"/>
    <col min="8697" max="8697" width="46" style="1027" customWidth="1"/>
    <col min="8698" max="8698" width="18.28515625" style="1027" customWidth="1"/>
    <col min="8699" max="8699" width="46" style="1027" customWidth="1"/>
    <col min="8700" max="8700" width="18.28515625" style="1027" customWidth="1"/>
    <col min="8701" max="8701" width="46" style="1027" customWidth="1"/>
    <col min="8702" max="8702" width="18.28515625" style="1027" customWidth="1"/>
    <col min="8703" max="8703" width="46" style="1027" customWidth="1"/>
    <col min="8704" max="8704" width="18.28515625" style="1027" customWidth="1"/>
    <col min="8705" max="8705" width="46" style="1027" customWidth="1"/>
    <col min="8706" max="8706" width="18.28515625" style="1027" customWidth="1"/>
    <col min="8707" max="8936" width="11.42578125" style="1027"/>
    <col min="8937" max="8937" width="45.85546875" style="1027" customWidth="1"/>
    <col min="8938" max="8938" width="18.28515625" style="1027" customWidth="1"/>
    <col min="8939" max="8939" width="46" style="1027" customWidth="1"/>
    <col min="8940" max="8940" width="18.28515625" style="1027" customWidth="1"/>
    <col min="8941" max="8941" width="46" style="1027" customWidth="1"/>
    <col min="8942" max="8942" width="18.28515625" style="1027" customWidth="1"/>
    <col min="8943" max="8943" width="46" style="1027" customWidth="1"/>
    <col min="8944" max="8944" width="18.28515625" style="1027" customWidth="1"/>
    <col min="8945" max="8945" width="46" style="1027" customWidth="1"/>
    <col min="8946" max="8946" width="18.28515625" style="1027" customWidth="1"/>
    <col min="8947" max="8947" width="46" style="1027" customWidth="1"/>
    <col min="8948" max="8948" width="18.28515625" style="1027" customWidth="1"/>
    <col min="8949" max="8949" width="46" style="1027" customWidth="1"/>
    <col min="8950" max="8950" width="18.28515625" style="1027" customWidth="1"/>
    <col min="8951" max="8951" width="46" style="1027" customWidth="1"/>
    <col min="8952" max="8952" width="18.28515625" style="1027" customWidth="1"/>
    <col min="8953" max="8953" width="46" style="1027" customWidth="1"/>
    <col min="8954" max="8954" width="18.28515625" style="1027" customWidth="1"/>
    <col min="8955" max="8955" width="46" style="1027" customWidth="1"/>
    <col min="8956" max="8956" width="18.28515625" style="1027" customWidth="1"/>
    <col min="8957" max="8957" width="46" style="1027" customWidth="1"/>
    <col min="8958" max="8958" width="18.28515625" style="1027" customWidth="1"/>
    <col min="8959" max="8959" width="46" style="1027" customWidth="1"/>
    <col min="8960" max="8960" width="18.28515625" style="1027" customWidth="1"/>
    <col min="8961" max="8961" width="46" style="1027" customWidth="1"/>
    <col min="8962" max="8962" width="18.28515625" style="1027" customWidth="1"/>
    <col min="8963" max="9192" width="11.42578125" style="1027"/>
    <col min="9193" max="9193" width="45.85546875" style="1027" customWidth="1"/>
    <col min="9194" max="9194" width="18.28515625" style="1027" customWidth="1"/>
    <col min="9195" max="9195" width="46" style="1027" customWidth="1"/>
    <col min="9196" max="9196" width="18.28515625" style="1027" customWidth="1"/>
    <col min="9197" max="9197" width="46" style="1027" customWidth="1"/>
    <col min="9198" max="9198" width="18.28515625" style="1027" customWidth="1"/>
    <col min="9199" max="9199" width="46" style="1027" customWidth="1"/>
    <col min="9200" max="9200" width="18.28515625" style="1027" customWidth="1"/>
    <col min="9201" max="9201" width="46" style="1027" customWidth="1"/>
    <col min="9202" max="9202" width="18.28515625" style="1027" customWidth="1"/>
    <col min="9203" max="9203" width="46" style="1027" customWidth="1"/>
    <col min="9204" max="9204" width="18.28515625" style="1027" customWidth="1"/>
    <col min="9205" max="9205" width="46" style="1027" customWidth="1"/>
    <col min="9206" max="9206" width="18.28515625" style="1027" customWidth="1"/>
    <col min="9207" max="9207" width="46" style="1027" customWidth="1"/>
    <col min="9208" max="9208" width="18.28515625" style="1027" customWidth="1"/>
    <col min="9209" max="9209" width="46" style="1027" customWidth="1"/>
    <col min="9210" max="9210" width="18.28515625" style="1027" customWidth="1"/>
    <col min="9211" max="9211" width="46" style="1027" customWidth="1"/>
    <col min="9212" max="9212" width="18.28515625" style="1027" customWidth="1"/>
    <col min="9213" max="9213" width="46" style="1027" customWidth="1"/>
    <col min="9214" max="9214" width="18.28515625" style="1027" customWidth="1"/>
    <col min="9215" max="9215" width="46" style="1027" customWidth="1"/>
    <col min="9216" max="9216" width="18.28515625" style="1027" customWidth="1"/>
    <col min="9217" max="9217" width="46" style="1027" customWidth="1"/>
    <col min="9218" max="9218" width="18.28515625" style="1027" customWidth="1"/>
    <col min="9219" max="9448" width="11.42578125" style="1027"/>
    <col min="9449" max="9449" width="45.85546875" style="1027" customWidth="1"/>
    <col min="9450" max="9450" width="18.28515625" style="1027" customWidth="1"/>
    <col min="9451" max="9451" width="46" style="1027" customWidth="1"/>
    <col min="9452" max="9452" width="18.28515625" style="1027" customWidth="1"/>
    <col min="9453" max="9453" width="46" style="1027" customWidth="1"/>
    <col min="9454" max="9454" width="18.28515625" style="1027" customWidth="1"/>
    <col min="9455" max="9455" width="46" style="1027" customWidth="1"/>
    <col min="9456" max="9456" width="18.28515625" style="1027" customWidth="1"/>
    <col min="9457" max="9457" width="46" style="1027" customWidth="1"/>
    <col min="9458" max="9458" width="18.28515625" style="1027" customWidth="1"/>
    <col min="9459" max="9459" width="46" style="1027" customWidth="1"/>
    <col min="9460" max="9460" width="18.28515625" style="1027" customWidth="1"/>
    <col min="9461" max="9461" width="46" style="1027" customWidth="1"/>
    <col min="9462" max="9462" width="18.28515625" style="1027" customWidth="1"/>
    <col min="9463" max="9463" width="46" style="1027" customWidth="1"/>
    <col min="9464" max="9464" width="18.28515625" style="1027" customWidth="1"/>
    <col min="9465" max="9465" width="46" style="1027" customWidth="1"/>
    <col min="9466" max="9466" width="18.28515625" style="1027" customWidth="1"/>
    <col min="9467" max="9467" width="46" style="1027" customWidth="1"/>
    <col min="9468" max="9468" width="18.28515625" style="1027" customWidth="1"/>
    <col min="9469" max="9469" width="46" style="1027" customWidth="1"/>
    <col min="9470" max="9470" width="18.28515625" style="1027" customWidth="1"/>
    <col min="9471" max="9471" width="46" style="1027" customWidth="1"/>
    <col min="9472" max="9472" width="18.28515625" style="1027" customWidth="1"/>
    <col min="9473" max="9473" width="46" style="1027" customWidth="1"/>
    <col min="9474" max="9474" width="18.28515625" style="1027" customWidth="1"/>
    <col min="9475" max="9704" width="11.42578125" style="1027"/>
    <col min="9705" max="9705" width="45.85546875" style="1027" customWidth="1"/>
    <col min="9706" max="9706" width="18.28515625" style="1027" customWidth="1"/>
    <col min="9707" max="9707" width="46" style="1027" customWidth="1"/>
    <col min="9708" max="9708" width="18.28515625" style="1027" customWidth="1"/>
    <col min="9709" max="9709" width="46" style="1027" customWidth="1"/>
    <col min="9710" max="9710" width="18.28515625" style="1027" customWidth="1"/>
    <col min="9711" max="9711" width="46" style="1027" customWidth="1"/>
    <col min="9712" max="9712" width="18.28515625" style="1027" customWidth="1"/>
    <col min="9713" max="9713" width="46" style="1027" customWidth="1"/>
    <col min="9714" max="9714" width="18.28515625" style="1027" customWidth="1"/>
    <col min="9715" max="9715" width="46" style="1027" customWidth="1"/>
    <col min="9716" max="9716" width="18.28515625" style="1027" customWidth="1"/>
    <col min="9717" max="9717" width="46" style="1027" customWidth="1"/>
    <col min="9718" max="9718" width="18.28515625" style="1027" customWidth="1"/>
    <col min="9719" max="9719" width="46" style="1027" customWidth="1"/>
    <col min="9720" max="9720" width="18.28515625" style="1027" customWidth="1"/>
    <col min="9721" max="9721" width="46" style="1027" customWidth="1"/>
    <col min="9722" max="9722" width="18.28515625" style="1027" customWidth="1"/>
    <col min="9723" max="9723" width="46" style="1027" customWidth="1"/>
    <col min="9724" max="9724" width="18.28515625" style="1027" customWidth="1"/>
    <col min="9725" max="9725" width="46" style="1027" customWidth="1"/>
    <col min="9726" max="9726" width="18.28515625" style="1027" customWidth="1"/>
    <col min="9727" max="9727" width="46" style="1027" customWidth="1"/>
    <col min="9728" max="9728" width="18.28515625" style="1027" customWidth="1"/>
    <col min="9729" max="9729" width="46" style="1027" customWidth="1"/>
    <col min="9730" max="9730" width="18.28515625" style="1027" customWidth="1"/>
    <col min="9731" max="9960" width="11.42578125" style="1027"/>
    <col min="9961" max="9961" width="45.85546875" style="1027" customWidth="1"/>
    <col min="9962" max="9962" width="18.28515625" style="1027" customWidth="1"/>
    <col min="9963" max="9963" width="46" style="1027" customWidth="1"/>
    <col min="9964" max="9964" width="18.28515625" style="1027" customWidth="1"/>
    <col min="9965" max="9965" width="46" style="1027" customWidth="1"/>
    <col min="9966" max="9966" width="18.28515625" style="1027" customWidth="1"/>
    <col min="9967" max="9967" width="46" style="1027" customWidth="1"/>
    <col min="9968" max="9968" width="18.28515625" style="1027" customWidth="1"/>
    <col min="9969" max="9969" width="46" style="1027" customWidth="1"/>
    <col min="9970" max="9970" width="18.28515625" style="1027" customWidth="1"/>
    <col min="9971" max="9971" width="46" style="1027" customWidth="1"/>
    <col min="9972" max="9972" width="18.28515625" style="1027" customWidth="1"/>
    <col min="9973" max="9973" width="46" style="1027" customWidth="1"/>
    <col min="9974" max="9974" width="18.28515625" style="1027" customWidth="1"/>
    <col min="9975" max="9975" width="46" style="1027" customWidth="1"/>
    <col min="9976" max="9976" width="18.28515625" style="1027" customWidth="1"/>
    <col min="9977" max="9977" width="46" style="1027" customWidth="1"/>
    <col min="9978" max="9978" width="18.28515625" style="1027" customWidth="1"/>
    <col min="9979" max="9979" width="46" style="1027" customWidth="1"/>
    <col min="9980" max="9980" width="18.28515625" style="1027" customWidth="1"/>
    <col min="9981" max="9981" width="46" style="1027" customWidth="1"/>
    <col min="9982" max="9982" width="18.28515625" style="1027" customWidth="1"/>
    <col min="9983" max="9983" width="46" style="1027" customWidth="1"/>
    <col min="9984" max="9984" width="18.28515625" style="1027" customWidth="1"/>
    <col min="9985" max="9985" width="46" style="1027" customWidth="1"/>
    <col min="9986" max="9986" width="18.28515625" style="1027" customWidth="1"/>
    <col min="9987" max="10216" width="11.42578125" style="1027"/>
    <col min="10217" max="10217" width="45.85546875" style="1027" customWidth="1"/>
    <col min="10218" max="10218" width="18.28515625" style="1027" customWidth="1"/>
    <col min="10219" max="10219" width="46" style="1027" customWidth="1"/>
    <col min="10220" max="10220" width="18.28515625" style="1027" customWidth="1"/>
    <col min="10221" max="10221" width="46" style="1027" customWidth="1"/>
    <col min="10222" max="10222" width="18.28515625" style="1027" customWidth="1"/>
    <col min="10223" max="10223" width="46" style="1027" customWidth="1"/>
    <col min="10224" max="10224" width="18.28515625" style="1027" customWidth="1"/>
    <col min="10225" max="10225" width="46" style="1027" customWidth="1"/>
    <col min="10226" max="10226" width="18.28515625" style="1027" customWidth="1"/>
    <col min="10227" max="10227" width="46" style="1027" customWidth="1"/>
    <col min="10228" max="10228" width="18.28515625" style="1027" customWidth="1"/>
    <col min="10229" max="10229" width="46" style="1027" customWidth="1"/>
    <col min="10230" max="10230" width="18.28515625" style="1027" customWidth="1"/>
    <col min="10231" max="10231" width="46" style="1027" customWidth="1"/>
    <col min="10232" max="10232" width="18.28515625" style="1027" customWidth="1"/>
    <col min="10233" max="10233" width="46" style="1027" customWidth="1"/>
    <col min="10234" max="10234" width="18.28515625" style="1027" customWidth="1"/>
    <col min="10235" max="10235" width="46" style="1027" customWidth="1"/>
    <col min="10236" max="10236" width="18.28515625" style="1027" customWidth="1"/>
    <col min="10237" max="10237" width="46" style="1027" customWidth="1"/>
    <col min="10238" max="10238" width="18.28515625" style="1027" customWidth="1"/>
    <col min="10239" max="10239" width="46" style="1027" customWidth="1"/>
    <col min="10240" max="10240" width="18.28515625" style="1027" customWidth="1"/>
    <col min="10241" max="10241" width="46" style="1027" customWidth="1"/>
    <col min="10242" max="10242" width="18.28515625" style="1027" customWidth="1"/>
    <col min="10243" max="10472" width="11.42578125" style="1027"/>
    <col min="10473" max="10473" width="45.85546875" style="1027" customWidth="1"/>
    <col min="10474" max="10474" width="18.28515625" style="1027" customWidth="1"/>
    <col min="10475" max="10475" width="46" style="1027" customWidth="1"/>
    <col min="10476" max="10476" width="18.28515625" style="1027" customWidth="1"/>
    <col min="10477" max="10477" width="46" style="1027" customWidth="1"/>
    <col min="10478" max="10478" width="18.28515625" style="1027" customWidth="1"/>
    <col min="10479" max="10479" width="46" style="1027" customWidth="1"/>
    <col min="10480" max="10480" width="18.28515625" style="1027" customWidth="1"/>
    <col min="10481" max="10481" width="46" style="1027" customWidth="1"/>
    <col min="10482" max="10482" width="18.28515625" style="1027" customWidth="1"/>
    <col min="10483" max="10483" width="46" style="1027" customWidth="1"/>
    <col min="10484" max="10484" width="18.28515625" style="1027" customWidth="1"/>
    <col min="10485" max="10485" width="46" style="1027" customWidth="1"/>
    <col min="10486" max="10486" width="18.28515625" style="1027" customWidth="1"/>
    <col min="10487" max="10487" width="46" style="1027" customWidth="1"/>
    <col min="10488" max="10488" width="18.28515625" style="1027" customWidth="1"/>
    <col min="10489" max="10489" width="46" style="1027" customWidth="1"/>
    <col min="10490" max="10490" width="18.28515625" style="1027" customWidth="1"/>
    <col min="10491" max="10491" width="46" style="1027" customWidth="1"/>
    <col min="10492" max="10492" width="18.28515625" style="1027" customWidth="1"/>
    <col min="10493" max="10493" width="46" style="1027" customWidth="1"/>
    <col min="10494" max="10494" width="18.28515625" style="1027" customWidth="1"/>
    <col min="10495" max="10495" width="46" style="1027" customWidth="1"/>
    <col min="10496" max="10496" width="18.28515625" style="1027" customWidth="1"/>
    <col min="10497" max="10497" width="46" style="1027" customWidth="1"/>
    <col min="10498" max="10498" width="18.28515625" style="1027" customWidth="1"/>
    <col min="10499" max="10728" width="11.42578125" style="1027"/>
    <col min="10729" max="10729" width="45.85546875" style="1027" customWidth="1"/>
    <col min="10730" max="10730" width="18.28515625" style="1027" customWidth="1"/>
    <col min="10731" max="10731" width="46" style="1027" customWidth="1"/>
    <col min="10732" max="10732" width="18.28515625" style="1027" customWidth="1"/>
    <col min="10733" max="10733" width="46" style="1027" customWidth="1"/>
    <col min="10734" max="10734" width="18.28515625" style="1027" customWidth="1"/>
    <col min="10735" max="10735" width="46" style="1027" customWidth="1"/>
    <col min="10736" max="10736" width="18.28515625" style="1027" customWidth="1"/>
    <col min="10737" max="10737" width="46" style="1027" customWidth="1"/>
    <col min="10738" max="10738" width="18.28515625" style="1027" customWidth="1"/>
    <col min="10739" max="10739" width="46" style="1027" customWidth="1"/>
    <col min="10740" max="10740" width="18.28515625" style="1027" customWidth="1"/>
    <col min="10741" max="10741" width="46" style="1027" customWidth="1"/>
    <col min="10742" max="10742" width="18.28515625" style="1027" customWidth="1"/>
    <col min="10743" max="10743" width="46" style="1027" customWidth="1"/>
    <col min="10744" max="10744" width="18.28515625" style="1027" customWidth="1"/>
    <col min="10745" max="10745" width="46" style="1027" customWidth="1"/>
    <col min="10746" max="10746" width="18.28515625" style="1027" customWidth="1"/>
    <col min="10747" max="10747" width="46" style="1027" customWidth="1"/>
    <col min="10748" max="10748" width="18.28515625" style="1027" customWidth="1"/>
    <col min="10749" max="10749" width="46" style="1027" customWidth="1"/>
    <col min="10750" max="10750" width="18.28515625" style="1027" customWidth="1"/>
    <col min="10751" max="10751" width="46" style="1027" customWidth="1"/>
    <col min="10752" max="10752" width="18.28515625" style="1027" customWidth="1"/>
    <col min="10753" max="10753" width="46" style="1027" customWidth="1"/>
    <col min="10754" max="10754" width="18.28515625" style="1027" customWidth="1"/>
    <col min="10755" max="10984" width="11.42578125" style="1027"/>
    <col min="10985" max="10985" width="45.85546875" style="1027" customWidth="1"/>
    <col min="10986" max="10986" width="18.28515625" style="1027" customWidth="1"/>
    <col min="10987" max="10987" width="46" style="1027" customWidth="1"/>
    <col min="10988" max="10988" width="18.28515625" style="1027" customWidth="1"/>
    <col min="10989" max="10989" width="46" style="1027" customWidth="1"/>
    <col min="10990" max="10990" width="18.28515625" style="1027" customWidth="1"/>
    <col min="10991" max="10991" width="46" style="1027" customWidth="1"/>
    <col min="10992" max="10992" width="18.28515625" style="1027" customWidth="1"/>
    <col min="10993" max="10993" width="46" style="1027" customWidth="1"/>
    <col min="10994" max="10994" width="18.28515625" style="1027" customWidth="1"/>
    <col min="10995" max="10995" width="46" style="1027" customWidth="1"/>
    <col min="10996" max="10996" width="18.28515625" style="1027" customWidth="1"/>
    <col min="10997" max="10997" width="46" style="1027" customWidth="1"/>
    <col min="10998" max="10998" width="18.28515625" style="1027" customWidth="1"/>
    <col min="10999" max="10999" width="46" style="1027" customWidth="1"/>
    <col min="11000" max="11000" width="18.28515625" style="1027" customWidth="1"/>
    <col min="11001" max="11001" width="46" style="1027" customWidth="1"/>
    <col min="11002" max="11002" width="18.28515625" style="1027" customWidth="1"/>
    <col min="11003" max="11003" width="46" style="1027" customWidth="1"/>
    <col min="11004" max="11004" width="18.28515625" style="1027" customWidth="1"/>
    <col min="11005" max="11005" width="46" style="1027" customWidth="1"/>
    <col min="11006" max="11006" width="18.28515625" style="1027" customWidth="1"/>
    <col min="11007" max="11007" width="46" style="1027" customWidth="1"/>
    <col min="11008" max="11008" width="18.28515625" style="1027" customWidth="1"/>
    <col min="11009" max="11009" width="46" style="1027" customWidth="1"/>
    <col min="11010" max="11010" width="18.28515625" style="1027" customWidth="1"/>
    <col min="11011" max="11240" width="11.42578125" style="1027"/>
    <col min="11241" max="11241" width="45.85546875" style="1027" customWidth="1"/>
    <col min="11242" max="11242" width="18.28515625" style="1027" customWidth="1"/>
    <col min="11243" max="11243" width="46" style="1027" customWidth="1"/>
    <col min="11244" max="11244" width="18.28515625" style="1027" customWidth="1"/>
    <col min="11245" max="11245" width="46" style="1027" customWidth="1"/>
    <col min="11246" max="11246" width="18.28515625" style="1027" customWidth="1"/>
    <col min="11247" max="11247" width="46" style="1027" customWidth="1"/>
    <col min="11248" max="11248" width="18.28515625" style="1027" customWidth="1"/>
    <col min="11249" max="11249" width="46" style="1027" customWidth="1"/>
    <col min="11250" max="11250" width="18.28515625" style="1027" customWidth="1"/>
    <col min="11251" max="11251" width="46" style="1027" customWidth="1"/>
    <col min="11252" max="11252" width="18.28515625" style="1027" customWidth="1"/>
    <col min="11253" max="11253" width="46" style="1027" customWidth="1"/>
    <col min="11254" max="11254" width="18.28515625" style="1027" customWidth="1"/>
    <col min="11255" max="11255" width="46" style="1027" customWidth="1"/>
    <col min="11256" max="11256" width="18.28515625" style="1027" customWidth="1"/>
    <col min="11257" max="11257" width="46" style="1027" customWidth="1"/>
    <col min="11258" max="11258" width="18.28515625" style="1027" customWidth="1"/>
    <col min="11259" max="11259" width="46" style="1027" customWidth="1"/>
    <col min="11260" max="11260" width="18.28515625" style="1027" customWidth="1"/>
    <col min="11261" max="11261" width="46" style="1027" customWidth="1"/>
    <col min="11262" max="11262" width="18.28515625" style="1027" customWidth="1"/>
    <col min="11263" max="11263" width="46" style="1027" customWidth="1"/>
    <col min="11264" max="11264" width="18.28515625" style="1027" customWidth="1"/>
    <col min="11265" max="11265" width="46" style="1027" customWidth="1"/>
    <col min="11266" max="11266" width="18.28515625" style="1027" customWidth="1"/>
    <col min="11267" max="11496" width="11.42578125" style="1027"/>
    <col min="11497" max="11497" width="45.85546875" style="1027" customWidth="1"/>
    <col min="11498" max="11498" width="18.28515625" style="1027" customWidth="1"/>
    <col min="11499" max="11499" width="46" style="1027" customWidth="1"/>
    <col min="11500" max="11500" width="18.28515625" style="1027" customWidth="1"/>
    <col min="11501" max="11501" width="46" style="1027" customWidth="1"/>
    <col min="11502" max="11502" width="18.28515625" style="1027" customWidth="1"/>
    <col min="11503" max="11503" width="46" style="1027" customWidth="1"/>
    <col min="11504" max="11504" width="18.28515625" style="1027" customWidth="1"/>
    <col min="11505" max="11505" width="46" style="1027" customWidth="1"/>
    <col min="11506" max="11506" width="18.28515625" style="1027" customWidth="1"/>
    <col min="11507" max="11507" width="46" style="1027" customWidth="1"/>
    <col min="11508" max="11508" width="18.28515625" style="1027" customWidth="1"/>
    <col min="11509" max="11509" width="46" style="1027" customWidth="1"/>
    <col min="11510" max="11510" width="18.28515625" style="1027" customWidth="1"/>
    <col min="11511" max="11511" width="46" style="1027" customWidth="1"/>
    <col min="11512" max="11512" width="18.28515625" style="1027" customWidth="1"/>
    <col min="11513" max="11513" width="46" style="1027" customWidth="1"/>
    <col min="11514" max="11514" width="18.28515625" style="1027" customWidth="1"/>
    <col min="11515" max="11515" width="46" style="1027" customWidth="1"/>
    <col min="11516" max="11516" width="18.28515625" style="1027" customWidth="1"/>
    <col min="11517" max="11517" width="46" style="1027" customWidth="1"/>
    <col min="11518" max="11518" width="18.28515625" style="1027" customWidth="1"/>
    <col min="11519" max="11519" width="46" style="1027" customWidth="1"/>
    <col min="11520" max="11520" width="18.28515625" style="1027" customWidth="1"/>
    <col min="11521" max="11521" width="46" style="1027" customWidth="1"/>
    <col min="11522" max="11522" width="18.28515625" style="1027" customWidth="1"/>
    <col min="11523" max="11752" width="11.42578125" style="1027"/>
    <col min="11753" max="11753" width="45.85546875" style="1027" customWidth="1"/>
    <col min="11754" max="11754" width="18.28515625" style="1027" customWidth="1"/>
    <col min="11755" max="11755" width="46" style="1027" customWidth="1"/>
    <col min="11756" max="11756" width="18.28515625" style="1027" customWidth="1"/>
    <col min="11757" max="11757" width="46" style="1027" customWidth="1"/>
    <col min="11758" max="11758" width="18.28515625" style="1027" customWidth="1"/>
    <col min="11759" max="11759" width="46" style="1027" customWidth="1"/>
    <col min="11760" max="11760" width="18.28515625" style="1027" customWidth="1"/>
    <col min="11761" max="11761" width="46" style="1027" customWidth="1"/>
    <col min="11762" max="11762" width="18.28515625" style="1027" customWidth="1"/>
    <col min="11763" max="11763" width="46" style="1027" customWidth="1"/>
    <col min="11764" max="11764" width="18.28515625" style="1027" customWidth="1"/>
    <col min="11765" max="11765" width="46" style="1027" customWidth="1"/>
    <col min="11766" max="11766" width="18.28515625" style="1027" customWidth="1"/>
    <col min="11767" max="11767" width="46" style="1027" customWidth="1"/>
    <col min="11768" max="11768" width="18.28515625" style="1027" customWidth="1"/>
    <col min="11769" max="11769" width="46" style="1027" customWidth="1"/>
    <col min="11770" max="11770" width="18.28515625" style="1027" customWidth="1"/>
    <col min="11771" max="11771" width="46" style="1027" customWidth="1"/>
    <col min="11772" max="11772" width="18.28515625" style="1027" customWidth="1"/>
    <col min="11773" max="11773" width="46" style="1027" customWidth="1"/>
    <col min="11774" max="11774" width="18.28515625" style="1027" customWidth="1"/>
    <col min="11775" max="11775" width="46" style="1027" customWidth="1"/>
    <col min="11776" max="11776" width="18.28515625" style="1027" customWidth="1"/>
    <col min="11777" max="11777" width="46" style="1027" customWidth="1"/>
    <col min="11778" max="11778" width="18.28515625" style="1027" customWidth="1"/>
    <col min="11779" max="12008" width="11.42578125" style="1027"/>
    <col min="12009" max="12009" width="45.85546875" style="1027" customWidth="1"/>
    <col min="12010" max="12010" width="18.28515625" style="1027" customWidth="1"/>
    <col min="12011" max="12011" width="46" style="1027" customWidth="1"/>
    <col min="12012" max="12012" width="18.28515625" style="1027" customWidth="1"/>
    <col min="12013" max="12013" width="46" style="1027" customWidth="1"/>
    <col min="12014" max="12014" width="18.28515625" style="1027" customWidth="1"/>
    <col min="12015" max="12015" width="46" style="1027" customWidth="1"/>
    <col min="12016" max="12016" width="18.28515625" style="1027" customWidth="1"/>
    <col min="12017" max="12017" width="46" style="1027" customWidth="1"/>
    <col min="12018" max="12018" width="18.28515625" style="1027" customWidth="1"/>
    <col min="12019" max="12019" width="46" style="1027" customWidth="1"/>
    <col min="12020" max="12020" width="18.28515625" style="1027" customWidth="1"/>
    <col min="12021" max="12021" width="46" style="1027" customWidth="1"/>
    <col min="12022" max="12022" width="18.28515625" style="1027" customWidth="1"/>
    <col min="12023" max="12023" width="46" style="1027" customWidth="1"/>
    <col min="12024" max="12024" width="18.28515625" style="1027" customWidth="1"/>
    <col min="12025" max="12025" width="46" style="1027" customWidth="1"/>
    <col min="12026" max="12026" width="18.28515625" style="1027" customWidth="1"/>
    <col min="12027" max="12027" width="46" style="1027" customWidth="1"/>
    <col min="12028" max="12028" width="18.28515625" style="1027" customWidth="1"/>
    <col min="12029" max="12029" width="46" style="1027" customWidth="1"/>
    <col min="12030" max="12030" width="18.28515625" style="1027" customWidth="1"/>
    <col min="12031" max="12031" width="46" style="1027" customWidth="1"/>
    <col min="12032" max="12032" width="18.28515625" style="1027" customWidth="1"/>
    <col min="12033" max="12033" width="46" style="1027" customWidth="1"/>
    <col min="12034" max="12034" width="18.28515625" style="1027" customWidth="1"/>
    <col min="12035" max="12264" width="11.42578125" style="1027"/>
    <col min="12265" max="12265" width="45.85546875" style="1027" customWidth="1"/>
    <col min="12266" max="12266" width="18.28515625" style="1027" customWidth="1"/>
    <col min="12267" max="12267" width="46" style="1027" customWidth="1"/>
    <col min="12268" max="12268" width="18.28515625" style="1027" customWidth="1"/>
    <col min="12269" max="12269" width="46" style="1027" customWidth="1"/>
    <col min="12270" max="12270" width="18.28515625" style="1027" customWidth="1"/>
    <col min="12271" max="12271" width="46" style="1027" customWidth="1"/>
    <col min="12272" max="12272" width="18.28515625" style="1027" customWidth="1"/>
    <col min="12273" max="12273" width="46" style="1027" customWidth="1"/>
    <col min="12274" max="12274" width="18.28515625" style="1027" customWidth="1"/>
    <col min="12275" max="12275" width="46" style="1027" customWidth="1"/>
    <col min="12276" max="12276" width="18.28515625" style="1027" customWidth="1"/>
    <col min="12277" max="12277" width="46" style="1027" customWidth="1"/>
    <col min="12278" max="12278" width="18.28515625" style="1027" customWidth="1"/>
    <col min="12279" max="12279" width="46" style="1027" customWidth="1"/>
    <col min="12280" max="12280" width="18.28515625" style="1027" customWidth="1"/>
    <col min="12281" max="12281" width="46" style="1027" customWidth="1"/>
    <col min="12282" max="12282" width="18.28515625" style="1027" customWidth="1"/>
    <col min="12283" max="12283" width="46" style="1027" customWidth="1"/>
    <col min="12284" max="12284" width="18.28515625" style="1027" customWidth="1"/>
    <col min="12285" max="12285" width="46" style="1027" customWidth="1"/>
    <col min="12286" max="12286" width="18.28515625" style="1027" customWidth="1"/>
    <col min="12287" max="12287" width="46" style="1027" customWidth="1"/>
    <col min="12288" max="12288" width="18.28515625" style="1027" customWidth="1"/>
    <col min="12289" max="12289" width="46" style="1027" customWidth="1"/>
    <col min="12290" max="12290" width="18.28515625" style="1027" customWidth="1"/>
    <col min="12291" max="12520" width="11.42578125" style="1027"/>
    <col min="12521" max="12521" width="45.85546875" style="1027" customWidth="1"/>
    <col min="12522" max="12522" width="18.28515625" style="1027" customWidth="1"/>
    <col min="12523" max="12523" width="46" style="1027" customWidth="1"/>
    <col min="12524" max="12524" width="18.28515625" style="1027" customWidth="1"/>
    <col min="12525" max="12525" width="46" style="1027" customWidth="1"/>
    <col min="12526" max="12526" width="18.28515625" style="1027" customWidth="1"/>
    <col min="12527" max="12527" width="46" style="1027" customWidth="1"/>
    <col min="12528" max="12528" width="18.28515625" style="1027" customWidth="1"/>
    <col min="12529" max="12529" width="46" style="1027" customWidth="1"/>
    <col min="12530" max="12530" width="18.28515625" style="1027" customWidth="1"/>
    <col min="12531" max="12531" width="46" style="1027" customWidth="1"/>
    <col min="12532" max="12532" width="18.28515625" style="1027" customWidth="1"/>
    <col min="12533" max="12533" width="46" style="1027" customWidth="1"/>
    <col min="12534" max="12534" width="18.28515625" style="1027" customWidth="1"/>
    <col min="12535" max="12535" width="46" style="1027" customWidth="1"/>
    <col min="12536" max="12536" width="18.28515625" style="1027" customWidth="1"/>
    <col min="12537" max="12537" width="46" style="1027" customWidth="1"/>
    <col min="12538" max="12538" width="18.28515625" style="1027" customWidth="1"/>
    <col min="12539" max="12539" width="46" style="1027" customWidth="1"/>
    <col min="12540" max="12540" width="18.28515625" style="1027" customWidth="1"/>
    <col min="12541" max="12541" width="46" style="1027" customWidth="1"/>
    <col min="12542" max="12542" width="18.28515625" style="1027" customWidth="1"/>
    <col min="12543" max="12543" width="46" style="1027" customWidth="1"/>
    <col min="12544" max="12544" width="18.28515625" style="1027" customWidth="1"/>
    <col min="12545" max="12545" width="46" style="1027" customWidth="1"/>
    <col min="12546" max="12546" width="18.28515625" style="1027" customWidth="1"/>
    <col min="12547" max="12776" width="11.42578125" style="1027"/>
    <col min="12777" max="12777" width="45.85546875" style="1027" customWidth="1"/>
    <col min="12778" max="12778" width="18.28515625" style="1027" customWidth="1"/>
    <col min="12779" max="12779" width="46" style="1027" customWidth="1"/>
    <col min="12780" max="12780" width="18.28515625" style="1027" customWidth="1"/>
    <col min="12781" max="12781" width="46" style="1027" customWidth="1"/>
    <col min="12782" max="12782" width="18.28515625" style="1027" customWidth="1"/>
    <col min="12783" max="12783" width="46" style="1027" customWidth="1"/>
    <col min="12784" max="12784" width="18.28515625" style="1027" customWidth="1"/>
    <col min="12785" max="12785" width="46" style="1027" customWidth="1"/>
    <col min="12786" max="12786" width="18.28515625" style="1027" customWidth="1"/>
    <col min="12787" max="12787" width="46" style="1027" customWidth="1"/>
    <col min="12788" max="12788" width="18.28515625" style="1027" customWidth="1"/>
    <col min="12789" max="12789" width="46" style="1027" customWidth="1"/>
    <col min="12790" max="12790" width="18.28515625" style="1027" customWidth="1"/>
    <col min="12791" max="12791" width="46" style="1027" customWidth="1"/>
    <col min="12792" max="12792" width="18.28515625" style="1027" customWidth="1"/>
    <col min="12793" max="12793" width="46" style="1027" customWidth="1"/>
    <col min="12794" max="12794" width="18.28515625" style="1027" customWidth="1"/>
    <col min="12795" max="12795" width="46" style="1027" customWidth="1"/>
    <col min="12796" max="12796" width="18.28515625" style="1027" customWidth="1"/>
    <col min="12797" max="12797" width="46" style="1027" customWidth="1"/>
    <col min="12798" max="12798" width="18.28515625" style="1027" customWidth="1"/>
    <col min="12799" max="12799" width="46" style="1027" customWidth="1"/>
    <col min="12800" max="12800" width="18.28515625" style="1027" customWidth="1"/>
    <col min="12801" max="12801" width="46" style="1027" customWidth="1"/>
    <col min="12802" max="12802" width="18.28515625" style="1027" customWidth="1"/>
    <col min="12803" max="13032" width="11.42578125" style="1027"/>
    <col min="13033" max="13033" width="45.85546875" style="1027" customWidth="1"/>
    <col min="13034" max="13034" width="18.28515625" style="1027" customWidth="1"/>
    <col min="13035" max="13035" width="46" style="1027" customWidth="1"/>
    <col min="13036" max="13036" width="18.28515625" style="1027" customWidth="1"/>
    <col min="13037" max="13037" width="46" style="1027" customWidth="1"/>
    <col min="13038" max="13038" width="18.28515625" style="1027" customWidth="1"/>
    <col min="13039" max="13039" width="46" style="1027" customWidth="1"/>
    <col min="13040" max="13040" width="18.28515625" style="1027" customWidth="1"/>
    <col min="13041" max="13041" width="46" style="1027" customWidth="1"/>
    <col min="13042" max="13042" width="18.28515625" style="1027" customWidth="1"/>
    <col min="13043" max="13043" width="46" style="1027" customWidth="1"/>
    <col min="13044" max="13044" width="18.28515625" style="1027" customWidth="1"/>
    <col min="13045" max="13045" width="46" style="1027" customWidth="1"/>
    <col min="13046" max="13046" width="18.28515625" style="1027" customWidth="1"/>
    <col min="13047" max="13047" width="46" style="1027" customWidth="1"/>
    <col min="13048" max="13048" width="18.28515625" style="1027" customWidth="1"/>
    <col min="13049" max="13049" width="46" style="1027" customWidth="1"/>
    <col min="13050" max="13050" width="18.28515625" style="1027" customWidth="1"/>
    <col min="13051" max="13051" width="46" style="1027" customWidth="1"/>
    <col min="13052" max="13052" width="18.28515625" style="1027" customWidth="1"/>
    <col min="13053" max="13053" width="46" style="1027" customWidth="1"/>
    <col min="13054" max="13054" width="18.28515625" style="1027" customWidth="1"/>
    <col min="13055" max="13055" width="46" style="1027" customWidth="1"/>
    <col min="13056" max="13056" width="18.28515625" style="1027" customWidth="1"/>
    <col min="13057" max="13057" width="46" style="1027" customWidth="1"/>
    <col min="13058" max="13058" width="18.28515625" style="1027" customWidth="1"/>
    <col min="13059" max="13288" width="11.42578125" style="1027"/>
    <col min="13289" max="13289" width="45.85546875" style="1027" customWidth="1"/>
    <col min="13290" max="13290" width="18.28515625" style="1027" customWidth="1"/>
    <col min="13291" max="13291" width="46" style="1027" customWidth="1"/>
    <col min="13292" max="13292" width="18.28515625" style="1027" customWidth="1"/>
    <col min="13293" max="13293" width="46" style="1027" customWidth="1"/>
    <col min="13294" max="13294" width="18.28515625" style="1027" customWidth="1"/>
    <col min="13295" max="13295" width="46" style="1027" customWidth="1"/>
    <col min="13296" max="13296" width="18.28515625" style="1027" customWidth="1"/>
    <col min="13297" max="13297" width="46" style="1027" customWidth="1"/>
    <col min="13298" max="13298" width="18.28515625" style="1027" customWidth="1"/>
    <col min="13299" max="13299" width="46" style="1027" customWidth="1"/>
    <col min="13300" max="13300" width="18.28515625" style="1027" customWidth="1"/>
    <col min="13301" max="13301" width="46" style="1027" customWidth="1"/>
    <col min="13302" max="13302" width="18.28515625" style="1027" customWidth="1"/>
    <col min="13303" max="13303" width="46" style="1027" customWidth="1"/>
    <col min="13304" max="13304" width="18.28515625" style="1027" customWidth="1"/>
    <col min="13305" max="13305" width="46" style="1027" customWidth="1"/>
    <col min="13306" max="13306" width="18.28515625" style="1027" customWidth="1"/>
    <col min="13307" max="13307" width="46" style="1027" customWidth="1"/>
    <col min="13308" max="13308" width="18.28515625" style="1027" customWidth="1"/>
    <col min="13309" max="13309" width="46" style="1027" customWidth="1"/>
    <col min="13310" max="13310" width="18.28515625" style="1027" customWidth="1"/>
    <col min="13311" max="13311" width="46" style="1027" customWidth="1"/>
    <col min="13312" max="13312" width="18.28515625" style="1027" customWidth="1"/>
    <col min="13313" max="13313" width="46" style="1027" customWidth="1"/>
    <col min="13314" max="13314" width="18.28515625" style="1027" customWidth="1"/>
    <col min="13315" max="13544" width="11.42578125" style="1027"/>
    <col min="13545" max="13545" width="45.85546875" style="1027" customWidth="1"/>
    <col min="13546" max="13546" width="18.28515625" style="1027" customWidth="1"/>
    <col min="13547" max="13547" width="46" style="1027" customWidth="1"/>
    <col min="13548" max="13548" width="18.28515625" style="1027" customWidth="1"/>
    <col min="13549" max="13549" width="46" style="1027" customWidth="1"/>
    <col min="13550" max="13550" width="18.28515625" style="1027" customWidth="1"/>
    <col min="13551" max="13551" width="46" style="1027" customWidth="1"/>
    <col min="13552" max="13552" width="18.28515625" style="1027" customWidth="1"/>
    <col min="13553" max="13553" width="46" style="1027" customWidth="1"/>
    <col min="13554" max="13554" width="18.28515625" style="1027" customWidth="1"/>
    <col min="13555" max="13555" width="46" style="1027" customWidth="1"/>
    <col min="13556" max="13556" width="18.28515625" style="1027" customWidth="1"/>
    <col min="13557" max="13557" width="46" style="1027" customWidth="1"/>
    <col min="13558" max="13558" width="18.28515625" style="1027" customWidth="1"/>
    <col min="13559" max="13559" width="46" style="1027" customWidth="1"/>
    <col min="13560" max="13560" width="18.28515625" style="1027" customWidth="1"/>
    <col min="13561" max="13561" width="46" style="1027" customWidth="1"/>
    <col min="13562" max="13562" width="18.28515625" style="1027" customWidth="1"/>
    <col min="13563" max="13563" width="46" style="1027" customWidth="1"/>
    <col min="13564" max="13564" width="18.28515625" style="1027" customWidth="1"/>
    <col min="13565" max="13565" width="46" style="1027" customWidth="1"/>
    <col min="13566" max="13566" width="18.28515625" style="1027" customWidth="1"/>
    <col min="13567" max="13567" width="46" style="1027" customWidth="1"/>
    <col min="13568" max="13568" width="18.28515625" style="1027" customWidth="1"/>
    <col min="13569" max="13569" width="46" style="1027" customWidth="1"/>
    <col min="13570" max="13570" width="18.28515625" style="1027" customWidth="1"/>
    <col min="13571" max="13800" width="11.42578125" style="1027"/>
    <col min="13801" max="13801" width="45.85546875" style="1027" customWidth="1"/>
    <col min="13802" max="13802" width="18.28515625" style="1027" customWidth="1"/>
    <col min="13803" max="13803" width="46" style="1027" customWidth="1"/>
    <col min="13804" max="13804" width="18.28515625" style="1027" customWidth="1"/>
    <col min="13805" max="13805" width="46" style="1027" customWidth="1"/>
    <col min="13806" max="13806" width="18.28515625" style="1027" customWidth="1"/>
    <col min="13807" max="13807" width="46" style="1027" customWidth="1"/>
    <col min="13808" max="13808" width="18.28515625" style="1027" customWidth="1"/>
    <col min="13809" max="13809" width="46" style="1027" customWidth="1"/>
    <col min="13810" max="13810" width="18.28515625" style="1027" customWidth="1"/>
    <col min="13811" max="13811" width="46" style="1027" customWidth="1"/>
    <col min="13812" max="13812" width="18.28515625" style="1027" customWidth="1"/>
    <col min="13813" max="13813" width="46" style="1027" customWidth="1"/>
    <col min="13814" max="13814" width="18.28515625" style="1027" customWidth="1"/>
    <col min="13815" max="13815" width="46" style="1027" customWidth="1"/>
    <col min="13816" max="13816" width="18.28515625" style="1027" customWidth="1"/>
    <col min="13817" max="13817" width="46" style="1027" customWidth="1"/>
    <col min="13818" max="13818" width="18.28515625" style="1027" customWidth="1"/>
    <col min="13819" max="13819" width="46" style="1027" customWidth="1"/>
    <col min="13820" max="13820" width="18.28515625" style="1027" customWidth="1"/>
    <col min="13821" max="13821" width="46" style="1027" customWidth="1"/>
    <col min="13822" max="13822" width="18.28515625" style="1027" customWidth="1"/>
    <col min="13823" max="13823" width="46" style="1027" customWidth="1"/>
    <col min="13824" max="13824" width="18.28515625" style="1027" customWidth="1"/>
    <col min="13825" max="13825" width="46" style="1027" customWidth="1"/>
    <col min="13826" max="13826" width="18.28515625" style="1027" customWidth="1"/>
    <col min="13827" max="14056" width="11.42578125" style="1027"/>
    <col min="14057" max="14057" width="45.85546875" style="1027" customWidth="1"/>
    <col min="14058" max="14058" width="18.28515625" style="1027" customWidth="1"/>
    <col min="14059" max="14059" width="46" style="1027" customWidth="1"/>
    <col min="14060" max="14060" width="18.28515625" style="1027" customWidth="1"/>
    <col min="14061" max="14061" width="46" style="1027" customWidth="1"/>
    <col min="14062" max="14062" width="18.28515625" style="1027" customWidth="1"/>
    <col min="14063" max="14063" width="46" style="1027" customWidth="1"/>
    <col min="14064" max="14064" width="18.28515625" style="1027" customWidth="1"/>
    <col min="14065" max="14065" width="46" style="1027" customWidth="1"/>
    <col min="14066" max="14066" width="18.28515625" style="1027" customWidth="1"/>
    <col min="14067" max="14067" width="46" style="1027" customWidth="1"/>
    <col min="14068" max="14068" width="18.28515625" style="1027" customWidth="1"/>
    <col min="14069" max="14069" width="46" style="1027" customWidth="1"/>
    <col min="14070" max="14070" width="18.28515625" style="1027" customWidth="1"/>
    <col min="14071" max="14071" width="46" style="1027" customWidth="1"/>
    <col min="14072" max="14072" width="18.28515625" style="1027" customWidth="1"/>
    <col min="14073" max="14073" width="46" style="1027" customWidth="1"/>
    <col min="14074" max="14074" width="18.28515625" style="1027" customWidth="1"/>
    <col min="14075" max="14075" width="46" style="1027" customWidth="1"/>
    <col min="14076" max="14076" width="18.28515625" style="1027" customWidth="1"/>
    <col min="14077" max="14077" width="46" style="1027" customWidth="1"/>
    <col min="14078" max="14078" width="18.28515625" style="1027" customWidth="1"/>
    <col min="14079" max="14079" width="46" style="1027" customWidth="1"/>
    <col min="14080" max="14080" width="18.28515625" style="1027" customWidth="1"/>
    <col min="14081" max="14081" width="46" style="1027" customWidth="1"/>
    <col min="14082" max="14082" width="18.28515625" style="1027" customWidth="1"/>
    <col min="14083" max="14312" width="11.42578125" style="1027"/>
    <col min="14313" max="14313" width="45.85546875" style="1027" customWidth="1"/>
    <col min="14314" max="14314" width="18.28515625" style="1027" customWidth="1"/>
    <col min="14315" max="14315" width="46" style="1027" customWidth="1"/>
    <col min="14316" max="14316" width="18.28515625" style="1027" customWidth="1"/>
    <col min="14317" max="14317" width="46" style="1027" customWidth="1"/>
    <col min="14318" max="14318" width="18.28515625" style="1027" customWidth="1"/>
    <col min="14319" max="14319" width="46" style="1027" customWidth="1"/>
    <col min="14320" max="14320" width="18.28515625" style="1027" customWidth="1"/>
    <col min="14321" max="14321" width="46" style="1027" customWidth="1"/>
    <col min="14322" max="14322" width="18.28515625" style="1027" customWidth="1"/>
    <col min="14323" max="14323" width="46" style="1027" customWidth="1"/>
    <col min="14324" max="14324" width="18.28515625" style="1027" customWidth="1"/>
    <col min="14325" max="14325" width="46" style="1027" customWidth="1"/>
    <col min="14326" max="14326" width="18.28515625" style="1027" customWidth="1"/>
    <col min="14327" max="14327" width="46" style="1027" customWidth="1"/>
    <col min="14328" max="14328" width="18.28515625" style="1027" customWidth="1"/>
    <col min="14329" max="14329" width="46" style="1027" customWidth="1"/>
    <col min="14330" max="14330" width="18.28515625" style="1027" customWidth="1"/>
    <col min="14331" max="14331" width="46" style="1027" customWidth="1"/>
    <col min="14332" max="14332" width="18.28515625" style="1027" customWidth="1"/>
    <col min="14333" max="14333" width="46" style="1027" customWidth="1"/>
    <col min="14334" max="14334" width="18.28515625" style="1027" customWidth="1"/>
    <col min="14335" max="14335" width="46" style="1027" customWidth="1"/>
    <col min="14336" max="14336" width="18.28515625" style="1027" customWidth="1"/>
    <col min="14337" max="14337" width="46" style="1027" customWidth="1"/>
    <col min="14338" max="14338" width="18.28515625" style="1027" customWidth="1"/>
    <col min="14339" max="14568" width="11.42578125" style="1027"/>
    <col min="14569" max="14569" width="45.85546875" style="1027" customWidth="1"/>
    <col min="14570" max="14570" width="18.28515625" style="1027" customWidth="1"/>
    <col min="14571" max="14571" width="46" style="1027" customWidth="1"/>
    <col min="14572" max="14572" width="18.28515625" style="1027" customWidth="1"/>
    <col min="14573" max="14573" width="46" style="1027" customWidth="1"/>
    <col min="14574" max="14574" width="18.28515625" style="1027" customWidth="1"/>
    <col min="14575" max="14575" width="46" style="1027" customWidth="1"/>
    <col min="14576" max="14576" width="18.28515625" style="1027" customWidth="1"/>
    <col min="14577" max="14577" width="46" style="1027" customWidth="1"/>
    <col min="14578" max="14578" width="18.28515625" style="1027" customWidth="1"/>
    <col min="14579" max="14579" width="46" style="1027" customWidth="1"/>
    <col min="14580" max="14580" width="18.28515625" style="1027" customWidth="1"/>
    <col min="14581" max="14581" width="46" style="1027" customWidth="1"/>
    <col min="14582" max="14582" width="18.28515625" style="1027" customWidth="1"/>
    <col min="14583" max="14583" width="46" style="1027" customWidth="1"/>
    <col min="14584" max="14584" width="18.28515625" style="1027" customWidth="1"/>
    <col min="14585" max="14585" width="46" style="1027" customWidth="1"/>
    <col min="14586" max="14586" width="18.28515625" style="1027" customWidth="1"/>
    <col min="14587" max="14587" width="46" style="1027" customWidth="1"/>
    <col min="14588" max="14588" width="18.28515625" style="1027" customWidth="1"/>
    <col min="14589" max="14589" width="46" style="1027" customWidth="1"/>
    <col min="14590" max="14590" width="18.28515625" style="1027" customWidth="1"/>
    <col min="14591" max="14591" width="46" style="1027" customWidth="1"/>
    <col min="14592" max="14592" width="18.28515625" style="1027" customWidth="1"/>
    <col min="14593" max="14593" width="46" style="1027" customWidth="1"/>
    <col min="14594" max="14594" width="18.28515625" style="1027" customWidth="1"/>
    <col min="14595" max="14824" width="11.42578125" style="1027"/>
    <col min="14825" max="14825" width="45.85546875" style="1027" customWidth="1"/>
    <col min="14826" max="14826" width="18.28515625" style="1027" customWidth="1"/>
    <col min="14827" max="14827" width="46" style="1027" customWidth="1"/>
    <col min="14828" max="14828" width="18.28515625" style="1027" customWidth="1"/>
    <col min="14829" max="14829" width="46" style="1027" customWidth="1"/>
    <col min="14830" max="14830" width="18.28515625" style="1027" customWidth="1"/>
    <col min="14831" max="14831" width="46" style="1027" customWidth="1"/>
    <col min="14832" max="14832" width="18.28515625" style="1027" customWidth="1"/>
    <col min="14833" max="14833" width="46" style="1027" customWidth="1"/>
    <col min="14834" max="14834" width="18.28515625" style="1027" customWidth="1"/>
    <col min="14835" max="14835" width="46" style="1027" customWidth="1"/>
    <col min="14836" max="14836" width="18.28515625" style="1027" customWidth="1"/>
    <col min="14837" max="14837" width="46" style="1027" customWidth="1"/>
    <col min="14838" max="14838" width="18.28515625" style="1027" customWidth="1"/>
    <col min="14839" max="14839" width="46" style="1027" customWidth="1"/>
    <col min="14840" max="14840" width="18.28515625" style="1027" customWidth="1"/>
    <col min="14841" max="14841" width="46" style="1027" customWidth="1"/>
    <col min="14842" max="14842" width="18.28515625" style="1027" customWidth="1"/>
    <col min="14843" max="14843" width="46" style="1027" customWidth="1"/>
    <col min="14844" max="14844" width="18.28515625" style="1027" customWidth="1"/>
    <col min="14845" max="14845" width="46" style="1027" customWidth="1"/>
    <col min="14846" max="14846" width="18.28515625" style="1027" customWidth="1"/>
    <col min="14847" max="14847" width="46" style="1027" customWidth="1"/>
    <col min="14848" max="14848" width="18.28515625" style="1027" customWidth="1"/>
    <col min="14849" max="14849" width="46" style="1027" customWidth="1"/>
    <col min="14850" max="14850" width="18.28515625" style="1027" customWidth="1"/>
    <col min="14851" max="15080" width="11.42578125" style="1027"/>
    <col min="15081" max="15081" width="45.85546875" style="1027" customWidth="1"/>
    <col min="15082" max="15082" width="18.28515625" style="1027" customWidth="1"/>
    <col min="15083" max="15083" width="46" style="1027" customWidth="1"/>
    <col min="15084" max="15084" width="18.28515625" style="1027" customWidth="1"/>
    <col min="15085" max="15085" width="46" style="1027" customWidth="1"/>
    <col min="15086" max="15086" width="18.28515625" style="1027" customWidth="1"/>
    <col min="15087" max="15087" width="46" style="1027" customWidth="1"/>
    <col min="15088" max="15088" width="18.28515625" style="1027" customWidth="1"/>
    <col min="15089" max="15089" width="46" style="1027" customWidth="1"/>
    <col min="15090" max="15090" width="18.28515625" style="1027" customWidth="1"/>
    <col min="15091" max="15091" width="46" style="1027" customWidth="1"/>
    <col min="15092" max="15092" width="18.28515625" style="1027" customWidth="1"/>
    <col min="15093" max="15093" width="46" style="1027" customWidth="1"/>
    <col min="15094" max="15094" width="18.28515625" style="1027" customWidth="1"/>
    <col min="15095" max="15095" width="46" style="1027" customWidth="1"/>
    <col min="15096" max="15096" width="18.28515625" style="1027" customWidth="1"/>
    <col min="15097" max="15097" width="46" style="1027" customWidth="1"/>
    <col min="15098" max="15098" width="18.28515625" style="1027" customWidth="1"/>
    <col min="15099" max="15099" width="46" style="1027" customWidth="1"/>
    <col min="15100" max="15100" width="18.28515625" style="1027" customWidth="1"/>
    <col min="15101" max="15101" width="46" style="1027" customWidth="1"/>
    <col min="15102" max="15102" width="18.28515625" style="1027" customWidth="1"/>
    <col min="15103" max="15103" width="46" style="1027" customWidth="1"/>
    <col min="15104" max="15104" width="18.28515625" style="1027" customWidth="1"/>
    <col min="15105" max="15105" width="46" style="1027" customWidth="1"/>
    <col min="15106" max="15106" width="18.28515625" style="1027" customWidth="1"/>
    <col min="15107" max="15336" width="11.42578125" style="1027"/>
    <col min="15337" max="15337" width="45.85546875" style="1027" customWidth="1"/>
    <col min="15338" max="15338" width="18.28515625" style="1027" customWidth="1"/>
    <col min="15339" max="15339" width="46" style="1027" customWidth="1"/>
    <col min="15340" max="15340" width="18.28515625" style="1027" customWidth="1"/>
    <col min="15341" max="15341" width="46" style="1027" customWidth="1"/>
    <col min="15342" max="15342" width="18.28515625" style="1027" customWidth="1"/>
    <col min="15343" max="15343" width="46" style="1027" customWidth="1"/>
    <col min="15344" max="15344" width="18.28515625" style="1027" customWidth="1"/>
    <col min="15345" max="15345" width="46" style="1027" customWidth="1"/>
    <col min="15346" max="15346" width="18.28515625" style="1027" customWidth="1"/>
    <col min="15347" max="15347" width="46" style="1027" customWidth="1"/>
    <col min="15348" max="15348" width="18.28515625" style="1027" customWidth="1"/>
    <col min="15349" max="15349" width="46" style="1027" customWidth="1"/>
    <col min="15350" max="15350" width="18.28515625" style="1027" customWidth="1"/>
    <col min="15351" max="15351" width="46" style="1027" customWidth="1"/>
    <col min="15352" max="15352" width="18.28515625" style="1027" customWidth="1"/>
    <col min="15353" max="15353" width="46" style="1027" customWidth="1"/>
    <col min="15354" max="15354" width="18.28515625" style="1027" customWidth="1"/>
    <col min="15355" max="15355" width="46" style="1027" customWidth="1"/>
    <col min="15356" max="15356" width="18.28515625" style="1027" customWidth="1"/>
    <col min="15357" max="15357" width="46" style="1027" customWidth="1"/>
    <col min="15358" max="15358" width="18.28515625" style="1027" customWidth="1"/>
    <col min="15359" max="15359" width="46" style="1027" customWidth="1"/>
    <col min="15360" max="15360" width="18.28515625" style="1027" customWidth="1"/>
    <col min="15361" max="15361" width="46" style="1027" customWidth="1"/>
    <col min="15362" max="15362" width="18.28515625" style="1027" customWidth="1"/>
    <col min="15363" max="15592" width="11.42578125" style="1027"/>
    <col min="15593" max="15593" width="45.85546875" style="1027" customWidth="1"/>
    <col min="15594" max="15594" width="18.28515625" style="1027" customWidth="1"/>
    <col min="15595" max="15595" width="46" style="1027" customWidth="1"/>
    <col min="15596" max="15596" width="18.28515625" style="1027" customWidth="1"/>
    <col min="15597" max="15597" width="46" style="1027" customWidth="1"/>
    <col min="15598" max="15598" width="18.28515625" style="1027" customWidth="1"/>
    <col min="15599" max="15599" width="46" style="1027" customWidth="1"/>
    <col min="15600" max="15600" width="18.28515625" style="1027" customWidth="1"/>
    <col min="15601" max="15601" width="46" style="1027" customWidth="1"/>
    <col min="15602" max="15602" width="18.28515625" style="1027" customWidth="1"/>
    <col min="15603" max="15603" width="46" style="1027" customWidth="1"/>
    <col min="15604" max="15604" width="18.28515625" style="1027" customWidth="1"/>
    <col min="15605" max="15605" width="46" style="1027" customWidth="1"/>
    <col min="15606" max="15606" width="18.28515625" style="1027" customWidth="1"/>
    <col min="15607" max="15607" width="46" style="1027" customWidth="1"/>
    <col min="15608" max="15608" width="18.28515625" style="1027" customWidth="1"/>
    <col min="15609" max="15609" width="46" style="1027" customWidth="1"/>
    <col min="15610" max="15610" width="18.28515625" style="1027" customWidth="1"/>
    <col min="15611" max="15611" width="46" style="1027" customWidth="1"/>
    <col min="15612" max="15612" width="18.28515625" style="1027" customWidth="1"/>
    <col min="15613" max="15613" width="46" style="1027" customWidth="1"/>
    <col min="15614" max="15614" width="18.28515625" style="1027" customWidth="1"/>
    <col min="15615" max="15615" width="46" style="1027" customWidth="1"/>
    <col min="15616" max="15616" width="18.28515625" style="1027" customWidth="1"/>
    <col min="15617" max="15617" width="46" style="1027" customWidth="1"/>
    <col min="15618" max="15618" width="18.28515625" style="1027" customWidth="1"/>
    <col min="15619" max="15848" width="11.42578125" style="1027"/>
    <col min="15849" max="15849" width="45.85546875" style="1027" customWidth="1"/>
    <col min="15850" max="15850" width="18.28515625" style="1027" customWidth="1"/>
    <col min="15851" max="15851" width="46" style="1027" customWidth="1"/>
    <col min="15852" max="15852" width="18.28515625" style="1027" customWidth="1"/>
    <col min="15853" max="15853" width="46" style="1027" customWidth="1"/>
    <col min="15854" max="15854" width="18.28515625" style="1027" customWidth="1"/>
    <col min="15855" max="15855" width="46" style="1027" customWidth="1"/>
    <col min="15856" max="15856" width="18.28515625" style="1027" customWidth="1"/>
    <col min="15857" max="15857" width="46" style="1027" customWidth="1"/>
    <col min="15858" max="15858" width="18.28515625" style="1027" customWidth="1"/>
    <col min="15859" max="15859" width="46" style="1027" customWidth="1"/>
    <col min="15860" max="15860" width="18.28515625" style="1027" customWidth="1"/>
    <col min="15861" max="15861" width="46" style="1027" customWidth="1"/>
    <col min="15862" max="15862" width="18.28515625" style="1027" customWidth="1"/>
    <col min="15863" max="15863" width="46" style="1027" customWidth="1"/>
    <col min="15864" max="15864" width="18.28515625" style="1027" customWidth="1"/>
    <col min="15865" max="15865" width="46" style="1027" customWidth="1"/>
    <col min="15866" max="15866" width="18.28515625" style="1027" customWidth="1"/>
    <col min="15867" max="15867" width="46" style="1027" customWidth="1"/>
    <col min="15868" max="15868" width="18.28515625" style="1027" customWidth="1"/>
    <col min="15869" max="15869" width="46" style="1027" customWidth="1"/>
    <col min="15870" max="15870" width="18.28515625" style="1027" customWidth="1"/>
    <col min="15871" max="15871" width="46" style="1027" customWidth="1"/>
    <col min="15872" max="15872" width="18.28515625" style="1027" customWidth="1"/>
    <col min="15873" max="15873" width="46" style="1027" customWidth="1"/>
    <col min="15874" max="15874" width="18.28515625" style="1027" customWidth="1"/>
    <col min="15875" max="16104" width="11.42578125" style="1027"/>
    <col min="16105" max="16105" width="45.85546875" style="1027" customWidth="1"/>
    <col min="16106" max="16106" width="18.28515625" style="1027" customWidth="1"/>
    <col min="16107" max="16107" width="46" style="1027" customWidth="1"/>
    <col min="16108" max="16108" width="18.28515625" style="1027" customWidth="1"/>
    <col min="16109" max="16109" width="46" style="1027" customWidth="1"/>
    <col min="16110" max="16110" width="18.28515625" style="1027" customWidth="1"/>
    <col min="16111" max="16111" width="46" style="1027" customWidth="1"/>
    <col min="16112" max="16112" width="18.28515625" style="1027" customWidth="1"/>
    <col min="16113" max="16113" width="46" style="1027" customWidth="1"/>
    <col min="16114" max="16114" width="18.28515625" style="1027" customWidth="1"/>
    <col min="16115" max="16115" width="46" style="1027" customWidth="1"/>
    <col min="16116" max="16116" width="18.28515625" style="1027" customWidth="1"/>
    <col min="16117" max="16117" width="46" style="1027" customWidth="1"/>
    <col min="16118" max="16118" width="18.28515625" style="1027" customWidth="1"/>
    <col min="16119" max="16119" width="46" style="1027" customWidth="1"/>
    <col min="16120" max="16120" width="18.28515625" style="1027" customWidth="1"/>
    <col min="16121" max="16121" width="46" style="1027" customWidth="1"/>
    <col min="16122" max="16122" width="18.28515625" style="1027" customWidth="1"/>
    <col min="16123" max="16123" width="46" style="1027" customWidth="1"/>
    <col min="16124" max="16124" width="18.28515625" style="1027" customWidth="1"/>
    <col min="16125" max="16125" width="46" style="1027" customWidth="1"/>
    <col min="16126" max="16126" width="18.28515625" style="1027" customWidth="1"/>
    <col min="16127" max="16127" width="46" style="1027" customWidth="1"/>
    <col min="16128" max="16128" width="18.28515625" style="1027" customWidth="1"/>
    <col min="16129" max="16129" width="46" style="1027" customWidth="1"/>
    <col min="16130" max="16130" width="18.28515625" style="1027" customWidth="1"/>
    <col min="16131" max="16384" width="11.42578125" style="1027"/>
  </cols>
  <sheetData>
    <row r="1" spans="1:2" ht="18" x14ac:dyDescent="0.25">
      <c r="A1" s="1778" t="s">
        <v>0</v>
      </c>
      <c r="B1" s="1778"/>
    </row>
    <row r="2" spans="1:2" ht="15.75" x14ac:dyDescent="0.2">
      <c r="A2" s="1777" t="s">
        <v>28</v>
      </c>
      <c r="B2" s="1777"/>
    </row>
    <row r="3" spans="1:2" ht="15.75" x14ac:dyDescent="0.25">
      <c r="A3" s="1776" t="s">
        <v>10003</v>
      </c>
      <c r="B3" s="1776"/>
    </row>
    <row r="4" spans="1:2" ht="16.5" thickBot="1" x14ac:dyDescent="0.3">
      <c r="A4" s="1093"/>
      <c r="B4" s="1093"/>
    </row>
    <row r="5" spans="1:2" ht="13.5" thickTop="1" x14ac:dyDescent="0.2">
      <c r="A5" s="1030" t="s">
        <v>5</v>
      </c>
      <c r="B5" s="1094" t="s">
        <v>10004</v>
      </c>
    </row>
    <row r="6" spans="1:2" x14ac:dyDescent="0.2">
      <c r="A6" s="1034" t="s">
        <v>28</v>
      </c>
      <c r="B6" s="1095"/>
    </row>
    <row r="7" spans="1:2" x14ac:dyDescent="0.2">
      <c r="A7" s="1038"/>
      <c r="B7" s="1096"/>
    </row>
    <row r="8" spans="1:2" x14ac:dyDescent="0.2">
      <c r="A8" s="1097" t="s">
        <v>10005</v>
      </c>
      <c r="B8" s="1096"/>
    </row>
    <row r="9" spans="1:2" x14ac:dyDescent="0.2">
      <c r="A9" s="1038"/>
      <c r="B9" s="1096"/>
    </row>
    <row r="10" spans="1:2" x14ac:dyDescent="0.2">
      <c r="A10" s="1043" t="s">
        <v>56</v>
      </c>
      <c r="B10" s="1096"/>
    </row>
    <row r="11" spans="1:2" x14ac:dyDescent="0.2">
      <c r="A11" s="1038" t="s">
        <v>57</v>
      </c>
      <c r="B11" s="1098">
        <v>11857040.77</v>
      </c>
    </row>
    <row r="12" spans="1:2" x14ac:dyDescent="0.2">
      <c r="A12" s="1038" t="s">
        <v>10006</v>
      </c>
      <c r="B12" s="1098">
        <v>31236448.5</v>
      </c>
    </row>
    <row r="13" spans="1:2" x14ac:dyDescent="0.2">
      <c r="A13" s="1038" t="s">
        <v>10007</v>
      </c>
      <c r="B13" s="1098">
        <v>116712969.2</v>
      </c>
    </row>
    <row r="14" spans="1:2" x14ac:dyDescent="0.2">
      <c r="A14" s="1038" t="s">
        <v>10008</v>
      </c>
      <c r="B14" s="1098">
        <v>10140510.49</v>
      </c>
    </row>
    <row r="15" spans="1:2" x14ac:dyDescent="0.2">
      <c r="A15" s="1038"/>
      <c r="B15" s="1096"/>
    </row>
    <row r="16" spans="1:2" x14ac:dyDescent="0.2">
      <c r="A16" s="1043" t="s">
        <v>59</v>
      </c>
      <c r="B16" s="1096"/>
    </row>
    <row r="17" spans="1:2" x14ac:dyDescent="0.2">
      <c r="A17" s="1038" t="s">
        <v>60</v>
      </c>
      <c r="B17" s="1098">
        <v>3936736.9699999997</v>
      </c>
    </row>
    <row r="18" spans="1:2" x14ac:dyDescent="0.2">
      <c r="A18" s="1038"/>
      <c r="B18" s="1096"/>
    </row>
    <row r="19" spans="1:2" x14ac:dyDescent="0.2">
      <c r="A19" s="1038"/>
      <c r="B19" s="1096"/>
    </row>
    <row r="20" spans="1:2" x14ac:dyDescent="0.2">
      <c r="A20" s="1043" t="s">
        <v>10009</v>
      </c>
      <c r="B20" s="1099">
        <v>173883705.93000001</v>
      </c>
    </row>
    <row r="21" spans="1:2" x14ac:dyDescent="0.2">
      <c r="A21" s="1038"/>
      <c r="B21" s="1096"/>
    </row>
    <row r="22" spans="1:2" x14ac:dyDescent="0.2">
      <c r="A22" s="1043" t="s">
        <v>10010</v>
      </c>
      <c r="B22" s="1096"/>
    </row>
    <row r="23" spans="1:2" x14ac:dyDescent="0.2">
      <c r="A23" s="1038" t="s">
        <v>63</v>
      </c>
      <c r="B23" s="1098">
        <v>22245949.25999999</v>
      </c>
    </row>
    <row r="24" spans="1:2" x14ac:dyDescent="0.2">
      <c r="A24" s="1038"/>
      <c r="B24" s="1096"/>
    </row>
    <row r="25" spans="1:2" x14ac:dyDescent="0.2">
      <c r="A25" s="1038"/>
      <c r="B25" s="1096"/>
    </row>
    <row r="26" spans="1:2" x14ac:dyDescent="0.2">
      <c r="A26" s="1043" t="s">
        <v>64</v>
      </c>
      <c r="B26" s="1096"/>
    </row>
    <row r="27" spans="1:2" x14ac:dyDescent="0.2">
      <c r="A27" s="1038" t="s">
        <v>10011</v>
      </c>
      <c r="B27" s="1098">
        <v>6155887.6900000004</v>
      </c>
    </row>
    <row r="28" spans="1:2" x14ac:dyDescent="0.2">
      <c r="A28" s="1038" t="s">
        <v>10012</v>
      </c>
      <c r="B28" s="1096">
        <v>0</v>
      </c>
    </row>
    <row r="29" spans="1:2" x14ac:dyDescent="0.2">
      <c r="A29" s="1043"/>
      <c r="B29" s="1096"/>
    </row>
    <row r="30" spans="1:2" x14ac:dyDescent="0.2">
      <c r="A30" s="1043" t="s">
        <v>10013</v>
      </c>
      <c r="B30" s="1100">
        <v>202285542.88</v>
      </c>
    </row>
    <row r="31" spans="1:2" x14ac:dyDescent="0.2">
      <c r="A31" s="1043"/>
      <c r="B31" s="1096"/>
    </row>
    <row r="32" spans="1:2" x14ac:dyDescent="0.2">
      <c r="A32" s="1043"/>
      <c r="B32" s="1096"/>
    </row>
    <row r="33" spans="1:2" x14ac:dyDescent="0.2">
      <c r="A33" s="1097" t="s">
        <v>10014</v>
      </c>
      <c r="B33" s="1096"/>
    </row>
    <row r="34" spans="1:2" x14ac:dyDescent="0.2">
      <c r="A34" s="1038"/>
      <c r="B34" s="1096"/>
    </row>
    <row r="35" spans="1:2" x14ac:dyDescent="0.2">
      <c r="A35" s="1043" t="s">
        <v>67</v>
      </c>
      <c r="B35" s="1096"/>
    </row>
    <row r="36" spans="1:2" x14ac:dyDescent="0.2">
      <c r="A36" s="1038" t="s">
        <v>68</v>
      </c>
      <c r="B36" s="1098">
        <v>10976951.4</v>
      </c>
    </row>
    <row r="37" spans="1:2" x14ac:dyDescent="0.2">
      <c r="A37" s="1038" t="s">
        <v>69</v>
      </c>
      <c r="B37" s="1098">
        <v>7124888.3499999996</v>
      </c>
    </row>
    <row r="38" spans="1:2" x14ac:dyDescent="0.2">
      <c r="A38" s="1038" t="s">
        <v>70</v>
      </c>
      <c r="B38" s="1098">
        <v>62579869.32</v>
      </c>
    </row>
    <row r="39" spans="1:2" x14ac:dyDescent="0.2">
      <c r="A39" s="1101" t="s">
        <v>10015</v>
      </c>
      <c r="B39" s="1098">
        <v>8830804.7200000007</v>
      </c>
    </row>
    <row r="40" spans="1:2" x14ac:dyDescent="0.2">
      <c r="A40" s="1038"/>
      <c r="B40" s="1096"/>
    </row>
    <row r="41" spans="1:2" x14ac:dyDescent="0.2">
      <c r="A41" s="1097" t="s">
        <v>10016</v>
      </c>
      <c r="B41" s="1099">
        <v>89512513.789999992</v>
      </c>
    </row>
    <row r="42" spans="1:2" x14ac:dyDescent="0.2">
      <c r="A42" s="1038"/>
      <c r="B42" s="1102"/>
    </row>
    <row r="43" spans="1:2" x14ac:dyDescent="0.2">
      <c r="A43" s="1043" t="s">
        <v>72</v>
      </c>
      <c r="B43" s="1102"/>
    </row>
    <row r="44" spans="1:2" x14ac:dyDescent="0.2">
      <c r="A44" s="1038" t="s">
        <v>10017</v>
      </c>
      <c r="B44" s="1098">
        <v>12380497.619999999</v>
      </c>
    </row>
    <row r="45" spans="1:2" x14ac:dyDescent="0.2">
      <c r="A45" s="1038" t="s">
        <v>9998</v>
      </c>
      <c r="B45" s="1098">
        <v>8070718</v>
      </c>
    </row>
    <row r="46" spans="1:2" x14ac:dyDescent="0.2">
      <c r="A46" s="1038"/>
      <c r="B46" s="1096"/>
    </row>
    <row r="47" spans="1:2" x14ac:dyDescent="0.2">
      <c r="A47" s="1043" t="s">
        <v>10018</v>
      </c>
      <c r="B47" s="1099">
        <v>20451215.619999997</v>
      </c>
    </row>
    <row r="48" spans="1:2" x14ac:dyDescent="0.2">
      <c r="A48" s="1038"/>
      <c r="B48" s="1096"/>
    </row>
    <row r="49" spans="1:2" x14ac:dyDescent="0.2">
      <c r="A49" s="1043" t="s">
        <v>10019</v>
      </c>
      <c r="B49" s="1100">
        <v>109963729.41</v>
      </c>
    </row>
    <row r="50" spans="1:2" x14ac:dyDescent="0.2">
      <c r="A50" s="1038"/>
      <c r="B50" s="1102"/>
    </row>
    <row r="51" spans="1:2" x14ac:dyDescent="0.2">
      <c r="A51" s="1043" t="s">
        <v>10020</v>
      </c>
      <c r="B51" s="1102"/>
    </row>
    <row r="52" spans="1:2" x14ac:dyDescent="0.2">
      <c r="A52" s="1038" t="s">
        <v>75</v>
      </c>
      <c r="B52" s="1098">
        <v>9167500</v>
      </c>
    </row>
    <row r="53" spans="1:2" x14ac:dyDescent="0.2">
      <c r="A53" s="1038" t="s">
        <v>10021</v>
      </c>
      <c r="B53" s="1098">
        <v>8451741</v>
      </c>
    </row>
    <row r="54" spans="1:2" x14ac:dyDescent="0.2">
      <c r="A54" s="1038" t="s">
        <v>10022</v>
      </c>
      <c r="B54" s="1098">
        <v>4548715</v>
      </c>
    </row>
    <row r="55" spans="1:2" x14ac:dyDescent="0.2">
      <c r="A55" s="1038" t="s">
        <v>76</v>
      </c>
      <c r="B55" s="1098">
        <v>0</v>
      </c>
    </row>
    <row r="56" spans="1:2" x14ac:dyDescent="0.2">
      <c r="A56" s="1038" t="s">
        <v>77</v>
      </c>
      <c r="B56" s="1098">
        <v>70418662.710000008</v>
      </c>
    </row>
    <row r="57" spans="1:2" x14ac:dyDescent="0.2">
      <c r="A57" s="1038" t="s">
        <v>10023</v>
      </c>
      <c r="B57" s="1098">
        <v>-264805</v>
      </c>
    </row>
    <row r="58" spans="1:2" x14ac:dyDescent="0.2">
      <c r="A58" s="1043"/>
      <c r="B58" s="1096"/>
    </row>
    <row r="59" spans="1:2" x14ac:dyDescent="0.2">
      <c r="A59" s="1043" t="s">
        <v>10024</v>
      </c>
      <c r="B59" s="1100">
        <v>92321813.710000008</v>
      </c>
    </row>
    <row r="60" spans="1:2" x14ac:dyDescent="0.2">
      <c r="A60" s="1043"/>
      <c r="B60" s="1103"/>
    </row>
    <row r="61" spans="1:2" ht="13.5" thickBot="1" x14ac:dyDescent="0.25">
      <c r="A61" s="1104" t="s">
        <v>10025</v>
      </c>
      <c r="B61" s="1105">
        <v>202285543.12</v>
      </c>
    </row>
    <row r="62" spans="1:2" ht="13.5" thickTop="1" x14ac:dyDescent="0.2">
      <c r="B62" s="1084"/>
    </row>
    <row r="63" spans="1:2" s="1106" customFormat="1" ht="12" x14ac:dyDescent="0.2">
      <c r="B63" s="1107">
        <v>-0.24000000953674316</v>
      </c>
    </row>
  </sheetData>
  <mergeCells count="3">
    <mergeCell ref="A3:B3"/>
    <mergeCell ref="A2:B2"/>
    <mergeCell ref="A1:B1"/>
  </mergeCells>
  <printOptions horizontalCentered="1"/>
  <pageMargins left="0.19652777777777777" right="0.19652777777777777" top="0.19652777777777777" bottom="0.19652777777777777" header="0.51180555555555551" footer="0.51180555555555551"/>
  <pageSetup scale="99" firstPageNumber="0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theme="3" tint="-0.249977111117893"/>
  </sheetPr>
  <dimension ref="A1:P102"/>
  <sheetViews>
    <sheetView workbookViewId="0">
      <pane xSplit="1" ySplit="8" topLeftCell="B15" activePane="bottomRight" state="frozen"/>
      <selection pane="topRight" activeCell="B1" sqref="B1"/>
      <selection pane="bottomLeft" activeCell="A9" sqref="A9"/>
      <selection pane="bottomRight" activeCell="H5" sqref="H5"/>
    </sheetView>
  </sheetViews>
  <sheetFormatPr baseColWidth="10" defaultColWidth="11.42578125" defaultRowHeight="12" zeroHeight="1" x14ac:dyDescent="0.2"/>
  <cols>
    <col min="1" max="1" width="17.85546875" style="513" customWidth="1"/>
    <col min="2" max="2" width="11.85546875" style="513" customWidth="1"/>
    <col min="3" max="3" width="11" style="513" customWidth="1"/>
    <col min="4" max="4" width="11.42578125" style="513" customWidth="1"/>
    <col min="5" max="5" width="11" style="513" customWidth="1"/>
    <col min="6" max="6" width="11.42578125" style="513" customWidth="1"/>
    <col min="7" max="7" width="11.28515625" style="513" customWidth="1"/>
    <col min="8" max="9" width="11" style="513" bestFit="1" customWidth="1"/>
    <col min="10" max="10" width="11.5703125" style="513" bestFit="1" customWidth="1"/>
    <col min="11" max="13" width="11" style="513" bestFit="1" customWidth="1"/>
    <col min="14" max="14" width="13.42578125" style="513" customWidth="1"/>
    <col min="15" max="15" width="2.7109375" style="513" customWidth="1"/>
    <col min="16" max="16" width="14.42578125" style="513" bestFit="1" customWidth="1"/>
    <col min="17" max="31" width="7.7109375" style="513" customWidth="1"/>
    <col min="32" max="85" width="8.7109375" style="513" customWidth="1"/>
    <col min="86" max="91" width="10.28515625" style="513" customWidth="1"/>
    <col min="92" max="93" width="14.28515625" style="513" customWidth="1"/>
    <col min="94" max="16384" width="11.42578125" style="513"/>
  </cols>
  <sheetData>
    <row r="1" spans="1:16" x14ac:dyDescent="0.2"/>
    <row r="2" spans="1:16" ht="23.25" x14ac:dyDescent="0.35">
      <c r="A2" s="911" t="str">
        <f>'Balance y Razones'!A2</f>
        <v>TRANSPORTES BONAMPAK, S.A. DE C.V.</v>
      </c>
    </row>
    <row r="3" spans="1:16" ht="10.5" customHeight="1" x14ac:dyDescent="0.25">
      <c r="A3" s="873"/>
    </row>
    <row r="4" spans="1:16" ht="15" x14ac:dyDescent="0.25">
      <c r="A4" s="1021" t="str">
        <f>'Balance y Razones'!A4</f>
        <v>PRESUPUESTO  2014</v>
      </c>
    </row>
    <row r="5" spans="1:16" ht="15.75" x14ac:dyDescent="0.25">
      <c r="A5" s="873" t="s">
        <v>9980</v>
      </c>
    </row>
    <row r="6" spans="1:16" ht="15.75" x14ac:dyDescent="0.25">
      <c r="A6" s="873" t="s">
        <v>9856</v>
      </c>
    </row>
    <row r="7" spans="1:16" x14ac:dyDescent="0.2"/>
    <row r="8" spans="1:16" ht="28.5" customHeight="1" x14ac:dyDescent="0.2">
      <c r="A8" s="1447" t="s">
        <v>10367</v>
      </c>
      <c r="B8" s="1154" t="s">
        <v>8</v>
      </c>
      <c r="C8" s="1154" t="s">
        <v>9</v>
      </c>
      <c r="D8" s="1154" t="s">
        <v>10</v>
      </c>
      <c r="E8" s="1154" t="s">
        <v>11</v>
      </c>
      <c r="F8" s="1154" t="s">
        <v>12</v>
      </c>
      <c r="G8" s="1154" t="s">
        <v>13</v>
      </c>
      <c r="H8" s="1154" t="s">
        <v>14</v>
      </c>
      <c r="I8" s="1154" t="s">
        <v>15</v>
      </c>
      <c r="J8" s="1154" t="s">
        <v>16</v>
      </c>
      <c r="K8" s="1154" t="s">
        <v>17</v>
      </c>
      <c r="L8" s="1154" t="s">
        <v>18</v>
      </c>
      <c r="M8" s="1154" t="s">
        <v>19</v>
      </c>
      <c r="N8" s="1157" t="s">
        <v>135</v>
      </c>
    </row>
    <row r="9" spans="1:16" ht="12.75" x14ac:dyDescent="0.2">
      <c r="A9" s="1151" t="s">
        <v>10065</v>
      </c>
      <c r="B9" s="1152">
        <f>'[2]Gtos Transp 2014'!D10</f>
        <v>17896.561572742881</v>
      </c>
      <c r="C9" s="1152">
        <f>'[2]Gtos Transp 2014'!E10</f>
        <v>17474.111781935626</v>
      </c>
      <c r="D9" s="1152">
        <f>'[2]Gtos Transp 2014'!F10</f>
        <v>18067.349890599613</v>
      </c>
      <c r="E9" s="1152">
        <f>'[2]Gtos Transp 2014'!G10</f>
        <v>19070.111418107168</v>
      </c>
      <c r="F9" s="1152">
        <f>'[2]Gtos Transp 2014'!H10</f>
        <v>18391.941936907322</v>
      </c>
      <c r="G9" s="1152">
        <f>'[2]Gtos Transp 2014'!I10</f>
        <v>18481.357939746867</v>
      </c>
      <c r="H9" s="1152">
        <f>'[2]Gtos Transp 2014'!J10</f>
        <v>19949.675180122638</v>
      </c>
      <c r="I9" s="1152">
        <f>'[2]Gtos Transp 2014'!K10</f>
        <v>19537.632945642697</v>
      </c>
      <c r="J9" s="1152">
        <f>'[2]Gtos Transp 2014'!L10</f>
        <v>17290.497170700077</v>
      </c>
      <c r="K9" s="1152">
        <f>'[2]Gtos Transp 2014'!M10</f>
        <v>22327.503517414174</v>
      </c>
      <c r="L9" s="1152">
        <f>'[2]Gtos Transp 2014'!N10</f>
        <v>19846.669793257046</v>
      </c>
      <c r="M9" s="1152">
        <f>'[2]Gtos Transp 2014'!O10</f>
        <v>19846.669793257046</v>
      </c>
      <c r="N9" s="1156">
        <f>SUM(B9:M9)</f>
        <v>228180.08294043317</v>
      </c>
      <c r="P9" s="1763">
        <f ca="1">SUM(B9:OFFSET(B9,0,[0]!MESACUMULADO-1))</f>
        <v>90900.07660029261</v>
      </c>
    </row>
    <row r="10" spans="1:16" ht="12.75" x14ac:dyDescent="0.2">
      <c r="A10" s="1243" t="s">
        <v>10147</v>
      </c>
      <c r="B10" s="1152">
        <f>[6]Edo.Res.detalle!D8</f>
        <v>27519.712205614094</v>
      </c>
      <c r="C10" s="1152">
        <f>[6]Edo.Res.detalle!E8</f>
        <v>26870.107161813732</v>
      </c>
      <c r="D10" s="1152">
        <f>[6]Edo.Res.detalle!F8</f>
        <v>27782.335019297843</v>
      </c>
      <c r="E10" s="1152">
        <f>[6]Edo.Res.detalle!G8</f>
        <v>29324.290916004793</v>
      </c>
      <c r="F10" s="1152">
        <f>[6]Edo.Res.detalle!H8</f>
        <v>28281.463282697012</v>
      </c>
      <c r="G10" s="1152">
        <f>[6]Edo.Res.detalle!I8</f>
        <v>28418.959117006798</v>
      </c>
      <c r="H10" s="1152">
        <f>[6]Edo.Res.detalle!J8</f>
        <v>30676.804442067732</v>
      </c>
      <c r="I10" s="1152">
        <f>[6]Edo.Res.detalle!K8</f>
        <v>30043.203196188399</v>
      </c>
      <c r="J10" s="1152">
        <f>[6]Edo.Res.detalle!L8</f>
        <v>26587.761235340127</v>
      </c>
      <c r="K10" s="1152">
        <f>[6]Edo.Res.detalle!M8</f>
        <v>34333.213593660301</v>
      </c>
      <c r="L10" s="1152">
        <f>[6]Edo.Res.detalle!N8</f>
        <v>30518.412083253603</v>
      </c>
      <c r="M10" s="1152">
        <f>[6]Edo.Res.detalle!O8</f>
        <v>30518.412083253603</v>
      </c>
      <c r="N10" s="1156">
        <f t="shared" ref="N10:N15" si="0">SUM(B10:M10)</f>
        <v>350874.67433619802</v>
      </c>
      <c r="P10" s="1763">
        <f ca="1">SUM(B10:OFFSET(B10,0,[0]!MESACUMULADO-1))</f>
        <v>139777.90858542747</v>
      </c>
    </row>
    <row r="11" spans="1:16" ht="12.75" x14ac:dyDescent="0.2">
      <c r="A11" s="1151" t="s">
        <v>2084</v>
      </c>
      <c r="B11" s="1152">
        <f>[7]Edo.Res.detalle!D8</f>
        <v>4198.2021032969506</v>
      </c>
      <c r="C11" s="1152">
        <f>[7]Edo.Res.detalle!E8</f>
        <v>4099.1032013600816</v>
      </c>
      <c r="D11" s="1152">
        <f>[7]Edo.Res.detalle!F8</f>
        <v>4238.265881600415</v>
      </c>
      <c r="E11" s="1152">
        <f>[7]Edo.Res.detalle!G8</f>
        <v>4473.4951761649727</v>
      </c>
      <c r="F11" s="1152">
        <f>[7]Edo.Res.detalle!H8</f>
        <v>4314.4091678950253</v>
      </c>
      <c r="G11" s="1152">
        <f>[7]Edo.Res.detalle!I8</f>
        <v>4335.3845071893129</v>
      </c>
      <c r="H11" s="1152">
        <f>[7]Edo.Res.detalle!J8</f>
        <v>4679.8245551726741</v>
      </c>
      <c r="I11" s="1152">
        <f>[7]Edo.Res.detalle!K8</f>
        <v>4583.1670733201008</v>
      </c>
      <c r="J11" s="1152">
        <f>[7]Edo.Res.detalle!L8</f>
        <v>4056.0306120276614</v>
      </c>
      <c r="K11" s="1152">
        <f>[7]Edo.Res.detalle!M8</f>
        <v>5237.6190726458117</v>
      </c>
      <c r="L11" s="1152">
        <f>[7]Edo.Res.detalle!N8</f>
        <v>4655.6613979073882</v>
      </c>
      <c r="M11" s="1152">
        <f>[7]Edo.Res.detalle!O8</f>
        <v>4655.6613979073882</v>
      </c>
      <c r="N11" s="1156">
        <f t="shared" si="0"/>
        <v>53526.824146487779</v>
      </c>
      <c r="P11" s="1763">
        <f ca="1">SUM(B11:OFFSET(B11,0,[0]!MESACUMULADO-1))</f>
        <v>21323.475530317442</v>
      </c>
    </row>
    <row r="12" spans="1:16" ht="12.75" x14ac:dyDescent="0.2">
      <c r="A12" s="1151" t="s">
        <v>10066</v>
      </c>
      <c r="B12" s="1152">
        <f>'[8]Gtos Mtto 2014'!D$10</f>
        <v>4837.3540747506831</v>
      </c>
      <c r="C12" s="1152">
        <f>'[8]Gtos Mtto 2014'!E$10</f>
        <v>4723.1679385684438</v>
      </c>
      <c r="D12" s="1152">
        <f>'[8]Gtos Mtto 2014'!F$10</f>
        <v>4883.5173314157146</v>
      </c>
      <c r="E12" s="1152">
        <f>'[8]Gtos Mtto 2014'!G$10</f>
        <v>5154.5589245941328</v>
      </c>
      <c r="F12" s="1152">
        <f>'[8]Gtos Mtto 2014'!H$10</f>
        <v>4971.2529923389657</v>
      </c>
      <c r="G12" s="1152">
        <f>'[8]Gtos Mtto 2014'!I$10</f>
        <v>4995.4217056376465</v>
      </c>
      <c r="H12" s="1152">
        <f>'[8]Gtos Mtto 2014'!J$10</f>
        <v>5392.3007573419791</v>
      </c>
      <c r="I12" s="1152">
        <f>'[8]Gtos Mtto 2014'!K$10</f>
        <v>5280.9277333211739</v>
      </c>
      <c r="J12" s="1152">
        <f>'[8]Gtos Mtto 2014'!L$10</f>
        <v>4673.5377968099938</v>
      </c>
      <c r="K12" s="1152">
        <f>'[8]Gtos Mtto 2014'!M$10</f>
        <v>6035.016261641611</v>
      </c>
      <c r="L12" s="1152">
        <f>'[8]Gtos Mtto 2014'!N$10</f>
        <v>5364.4588992369881</v>
      </c>
      <c r="M12" s="1152">
        <f>'[8]Gtos Mtto 2014'!O$10</f>
        <v>5364.4588992369881</v>
      </c>
      <c r="N12" s="1156">
        <f t="shared" si="0"/>
        <v>61675.973314894327</v>
      </c>
      <c r="P12" s="1763">
        <f ca="1">SUM(B12:OFFSET(B12,0,[0]!MESACUMULADO-1))</f>
        <v>24569.85126166794</v>
      </c>
    </row>
    <row r="13" spans="1:16" ht="12.75" x14ac:dyDescent="0.2">
      <c r="A13" s="1151" t="s">
        <v>10067</v>
      </c>
      <c r="B13" s="1152">
        <f>[3]Edo.Res.detalle!D$8</f>
        <v>30342.195661376027</v>
      </c>
      <c r="C13" s="1152">
        <f>[3]Edo.Res.detalle!E$8</f>
        <v>29625.714564725913</v>
      </c>
      <c r="D13" s="1152">
        <f>[3]Edo.Res.detalle!F$8</f>
        <v>30631.812368307961</v>
      </c>
      <c r="E13" s="1152">
        <f>[3]Edo.Res.detalle!G$8</f>
        <v>32331.77393639951</v>
      </c>
      <c r="F13" s="1152">
        <f>[3]Edo.Res.detalle!H$8</f>
        <v>31182.641717095597</v>
      </c>
      <c r="G13" s="1152">
        <f>[3]Edo.Res.detalle!I$8</f>
        <v>31333.175974464837</v>
      </c>
      <c r="H13" s="1152">
        <f>[3]Edo.Res.detalle!J$8</f>
        <v>33822.70654113574</v>
      </c>
      <c r="I13" s="1152">
        <f>[3]Edo.Res.detalle!K$8</f>
        <v>33123.630452057099</v>
      </c>
      <c r="J13" s="1152">
        <f>[3]Edo.Res.detalle!L$8</f>
        <v>29314.647891408844</v>
      </c>
      <c r="K13" s="1152">
        <f>[3]Edo.Res.detalle!M$8</f>
        <v>37854.251938792011</v>
      </c>
      <c r="L13" s="1152">
        <f>[3]Edo.Res.detalle!N$8</f>
        <v>33648.44616781512</v>
      </c>
      <c r="M13" s="1152">
        <f>[3]Edo.Res.detalle!O$8</f>
        <v>33645.44616781512</v>
      </c>
      <c r="N13" s="1156">
        <f t="shared" si="0"/>
        <v>386856.44338139374</v>
      </c>
      <c r="P13" s="1763">
        <f ca="1">SUM(B13:OFFSET(B13,0,[0]!MESACUMULADO-1))</f>
        <v>154114.13824790501</v>
      </c>
    </row>
    <row r="14" spans="1:16" ht="12.75" x14ac:dyDescent="0.2">
      <c r="A14" s="1151" t="s">
        <v>2054</v>
      </c>
      <c r="B14" s="1152">
        <f>[9]Edo.Res.detalle!D$8</f>
        <v>9324.4542264868123</v>
      </c>
      <c r="C14" s="1152">
        <f>[9]Edo.Res.detalle!E$8</f>
        <v>9104.3497264486268</v>
      </c>
      <c r="D14" s="1152">
        <f>[9]Edo.Res.detalle!F$8</f>
        <v>9413.4382386279631</v>
      </c>
      <c r="E14" s="1152">
        <f>[9]Edo.Res.detalle!G$8</f>
        <v>9935.896361397583</v>
      </c>
      <c r="F14" s="1152">
        <f>[9]Edo.Res.detalle!H$8</f>
        <v>9582.5569637962417</v>
      </c>
      <c r="G14" s="1152">
        <f>[9]Edo.Res.detalle!I$8</f>
        <v>9629.1444282208395</v>
      </c>
      <c r="H14" s="1152">
        <f>[9]Edo.Res.detalle!J$8</f>
        <v>10394.166068953078</v>
      </c>
      <c r="I14" s="1152">
        <f>[9]Edo.Res.detalle!K$8</f>
        <v>10179.484106768836</v>
      </c>
      <c r="J14" s="1152">
        <f>[9]Edo.Res.detalle!L$8</f>
        <v>9008.6829677351743</v>
      </c>
      <c r="K14" s="1152">
        <f>[9]Edo.Res.detalle!M$8</f>
        <v>11633.060557114808</v>
      </c>
      <c r="L14" s="1152">
        <f>[9]Edo.Res.detalle!N$8</f>
        <v>10340.498272990941</v>
      </c>
      <c r="M14" s="1152">
        <f>[9]Edo.Res.detalle!O$8</f>
        <v>10340.498272990941</v>
      </c>
      <c r="N14" s="1156">
        <f t="shared" si="0"/>
        <v>118886.23019153184</v>
      </c>
      <c r="P14" s="1763">
        <f ca="1">SUM(B14:OFFSET(B14,0,[0]!MESACUMULADO-1))</f>
        <v>47360.695516757223</v>
      </c>
    </row>
    <row r="15" spans="1:16" ht="12.75" x14ac:dyDescent="0.2">
      <c r="A15" s="1153" t="s">
        <v>82</v>
      </c>
      <c r="B15" s="1155">
        <f t="shared" ref="B15:M15" si="1">SUM(B9:B14)</f>
        <v>94118.479844267436</v>
      </c>
      <c r="C15" s="1155">
        <f t="shared" si="1"/>
        <v>91896.554374852421</v>
      </c>
      <c r="D15" s="1155">
        <f t="shared" si="1"/>
        <v>95016.718729849512</v>
      </c>
      <c r="E15" s="1155">
        <f t="shared" si="1"/>
        <v>100290.12673266816</v>
      </c>
      <c r="F15" s="1155">
        <f t="shared" si="1"/>
        <v>96724.266060730166</v>
      </c>
      <c r="G15" s="1155">
        <f t="shared" si="1"/>
        <v>97193.443672266294</v>
      </c>
      <c r="H15" s="1155">
        <f t="shared" si="1"/>
        <v>104915.47754479384</v>
      </c>
      <c r="I15" s="1155">
        <f t="shared" si="1"/>
        <v>102748.0455072983</v>
      </c>
      <c r="J15" s="1155">
        <f t="shared" si="1"/>
        <v>90931.157674021873</v>
      </c>
      <c r="K15" s="1155">
        <f t="shared" si="1"/>
        <v>117420.66494126871</v>
      </c>
      <c r="L15" s="1155">
        <f t="shared" si="1"/>
        <v>104374.14661446109</v>
      </c>
      <c r="M15" s="1155">
        <f t="shared" si="1"/>
        <v>104371.14661446109</v>
      </c>
      <c r="N15" s="1156">
        <f t="shared" si="0"/>
        <v>1200000.2283109389</v>
      </c>
      <c r="P15" s="1763">
        <f ca="1">SUM(B15:OFFSET(B15,0,[0]!MESACUMULADO-1))</f>
        <v>478046.14574236766</v>
      </c>
    </row>
    <row r="16" spans="1:16" ht="12.75" x14ac:dyDescent="0.2">
      <c r="D16"/>
      <c r="H16"/>
      <c r="I16"/>
      <c r="J16"/>
      <c r="K16"/>
      <c r="L16"/>
      <c r="M16"/>
      <c r="N16"/>
    </row>
    <row r="17" spans="1:16" ht="12.75" x14ac:dyDescent="0.2">
      <c r="D17"/>
      <c r="H17"/>
      <c r="I17"/>
      <c r="J17"/>
      <c r="K17"/>
      <c r="L17"/>
      <c r="M17"/>
      <c r="N17"/>
    </row>
    <row r="18" spans="1:16" ht="12.75" x14ac:dyDescent="0.2">
      <c r="D18"/>
      <c r="H18"/>
      <c r="I18"/>
      <c r="J18"/>
      <c r="K18"/>
      <c r="L18"/>
      <c r="M18"/>
      <c r="N18"/>
    </row>
    <row r="19" spans="1:16" ht="12.75" x14ac:dyDescent="0.2">
      <c r="A19" s="1447" t="s">
        <v>10690</v>
      </c>
      <c r="B19" s="1154" t="s">
        <v>8</v>
      </c>
      <c r="C19" s="1154" t="s">
        <v>9</v>
      </c>
      <c r="D19" s="1154" t="s">
        <v>10</v>
      </c>
      <c r="E19" s="1154" t="s">
        <v>11</v>
      </c>
      <c r="F19" s="1154" t="s">
        <v>12</v>
      </c>
      <c r="G19" s="1154" t="s">
        <v>13</v>
      </c>
      <c r="H19" s="1154" t="s">
        <v>14</v>
      </c>
      <c r="I19" s="1154" t="s">
        <v>15</v>
      </c>
      <c r="J19" s="1154" t="s">
        <v>16</v>
      </c>
      <c r="K19" s="1154" t="s">
        <v>17</v>
      </c>
      <c r="L19" s="1154" t="s">
        <v>18</v>
      </c>
      <c r="M19" s="1154" t="s">
        <v>19</v>
      </c>
      <c r="N19" s="1157" t="s">
        <v>135</v>
      </c>
    </row>
    <row r="20" spans="1:16" ht="12.75" x14ac:dyDescent="0.2">
      <c r="A20" s="1151" t="s">
        <v>10065</v>
      </c>
      <c r="B20" s="1152">
        <f>[2]Edo.Res.detalle!D16</f>
        <v>5828047.6634224709</v>
      </c>
      <c r="C20" s="1152">
        <f>[2]Edo.Res.detalle!E16</f>
        <v>5934711.3598075649</v>
      </c>
      <c r="D20" s="1152">
        <f>[2]Edo.Res.detalle!F16</f>
        <v>6136192.0980845485</v>
      </c>
      <c r="E20" s="1152">
        <f>[2]Edo.Res.detalle!G16</f>
        <v>6476758.7776813442</v>
      </c>
      <c r="F20" s="1152">
        <f>[2]Edo.Res.detalle!H16</f>
        <v>6246432.9005107395</v>
      </c>
      <c r="G20" s="1152">
        <f>[2]Edo.Res.detalle!I16</f>
        <v>6276801.1489472073</v>
      </c>
      <c r="H20" s="1152">
        <f>[2]Edo.Res.detalle!J16</f>
        <v>6861532.5959873181</v>
      </c>
      <c r="I20" s="1152">
        <f>[2]Edo.Res.detalle!K16</f>
        <v>6719813.9365464589</v>
      </c>
      <c r="J20" s="1152">
        <f>[2]Edo.Res.detalle!L16</f>
        <v>5946929.4044343317</v>
      </c>
      <c r="K20" s="1152">
        <f>[2]Edo.Res.detalle!M16</f>
        <v>7679367.7986498959</v>
      </c>
      <c r="L20" s="1152">
        <f>[2]Edo.Res.detalle!N16</f>
        <v>6826104.7099110195</v>
      </c>
      <c r="M20" s="1152">
        <f>[2]Edo.Res.detalle!O16</f>
        <v>6826104.7099110195</v>
      </c>
      <c r="N20" s="1156">
        <f>SUM(B20:M20)</f>
        <v>77758797.103893921</v>
      </c>
      <c r="P20" s="1763">
        <f ca="1">SUM(B20:OFFSET(B20,0,[0]!MESACUMULADO-1))</f>
        <v>30622142.799506668</v>
      </c>
    </row>
    <row r="21" spans="1:16" ht="12.75" x14ac:dyDescent="0.2">
      <c r="A21" s="1243" t="s">
        <v>10147</v>
      </c>
      <c r="B21" s="1152">
        <f>[6]Edo.Res.detalle!D16</f>
        <v>7121245.1187888253</v>
      </c>
      <c r="C21" s="1152">
        <f>[6]Edo.Res.detalle!E16</f>
        <v>7251576.6416419279</v>
      </c>
      <c r="D21" s="1152">
        <f>[6]Edo.Res.detalle!F16</f>
        <v>7497764.3543797415</v>
      </c>
      <c r="E21" s="1152">
        <f>[6]Edo.Res.detalle!G16</f>
        <v>7913900.0733653652</v>
      </c>
      <c r="F21" s="1152">
        <f>[6]Edo.Res.detalle!H16</f>
        <v>7632466.7146737296</v>
      </c>
      <c r="G21" s="1152">
        <f>[6]Edo.Res.detalle!I16</f>
        <v>7669573.4360723281</v>
      </c>
      <c r="H21" s="1152">
        <f>[6]Edo.Res.detalle!J16</f>
        <v>8502440.5565960929</v>
      </c>
      <c r="I21" s="1152">
        <f>[6]Edo.Res.detalle!K16</f>
        <v>8326830.4489707127</v>
      </c>
      <c r="J21" s="1152">
        <f>[6]Edo.Res.detalle!L16</f>
        <v>7369113.6853370368</v>
      </c>
      <c r="K21" s="1152">
        <f>[6]Edo.Res.detalle!M16</f>
        <v>9515857.7630955279</v>
      </c>
      <c r="L21" s="1152">
        <f>[6]Edo.Res.detalle!N16</f>
        <v>8458540.2338626944</v>
      </c>
      <c r="M21" s="1152">
        <f>[6]Edo.Res.detalle!O16</f>
        <v>8458540.2338626944</v>
      </c>
      <c r="N21" s="1156">
        <f t="shared" ref="N21:N26" si="2">SUM(B21:M21)</f>
        <v>95717849.260646686</v>
      </c>
      <c r="P21" s="1763">
        <f ca="1">SUM(B21:OFFSET(B21,0,[0]!MESACUMULADO-1))</f>
        <v>37416952.902849592</v>
      </c>
    </row>
    <row r="22" spans="1:16" ht="12.75" x14ac:dyDescent="0.2">
      <c r="A22" s="1151" t="s">
        <v>2084</v>
      </c>
      <c r="B22" s="1152">
        <f>[7]Edo.Res.detalle!D12</f>
        <v>1028209.5625297102</v>
      </c>
      <c r="C22" s="1152">
        <f>[7]Edo.Res.detalle!E12</f>
        <v>1047027.6365969895</v>
      </c>
      <c r="D22" s="1152">
        <f>[7]Edo.Res.detalle!F12</f>
        <v>1082573.7463280628</v>
      </c>
      <c r="E22" s="1152">
        <f>[7]Edo.Res.detalle!G12</f>
        <v>1142658.0038467771</v>
      </c>
      <c r="F22" s="1152">
        <f>[7]Edo.Res.detalle!H12</f>
        <v>1102022.9090291439</v>
      </c>
      <c r="G22" s="1152">
        <f>[7]Edo.Res.detalle!I12</f>
        <v>1107380.6077376881</v>
      </c>
      <c r="H22" s="1152">
        <f>[7]Edo.Res.detalle!J12</f>
        <v>1210541.4773942365</v>
      </c>
      <c r="I22" s="1152">
        <f>[7]Edo.Res.detalle!K12</f>
        <v>1185538.8540045007</v>
      </c>
      <c r="J22" s="1152">
        <f>[7]Edo.Res.detalle!L12</f>
        <v>1049183.1972660455</v>
      </c>
      <c r="K22" s="1152">
        <f>[7]Edo.Res.detalle!M12</f>
        <v>1354827.5272885629</v>
      </c>
      <c r="L22" s="1152">
        <f>[7]Edo.Res.detalle!N12</f>
        <v>1204291.1353676112</v>
      </c>
      <c r="M22" s="1152">
        <f>[7]Edo.Res.detalle!O12</f>
        <v>1204291.1353676112</v>
      </c>
      <c r="N22" s="1156">
        <f t="shared" si="2"/>
        <v>13718545.792756941</v>
      </c>
      <c r="P22" s="1763">
        <f ca="1">SUM(B22:OFFSET(B22,0,[0]!MESACUMULADO-1))</f>
        <v>5402491.8583306829</v>
      </c>
    </row>
    <row r="23" spans="1:16" ht="17.25" customHeight="1" x14ac:dyDescent="0.2">
      <c r="A23" s="1151" t="s">
        <v>10066</v>
      </c>
      <c r="B23" s="1152">
        <f>[8]Edo.Res.detalle!D$12</f>
        <v>1679265.7162596025</v>
      </c>
      <c r="C23" s="1152">
        <f>[8]Edo.Res.detalle!E$12</f>
        <v>1709999.2824301692</v>
      </c>
      <c r="D23" s="1152">
        <f>[8]Edo.Res.detalle!F$12</f>
        <v>1768052.9765340576</v>
      </c>
      <c r="E23" s="1152">
        <f>[8]Edo.Res.detalle!G$12</f>
        <v>1866182.2270438971</v>
      </c>
      <c r="F23" s="1152">
        <f>[8]Edo.Res.detalle!H$12</f>
        <v>1799817.232891999</v>
      </c>
      <c r="G23" s="1152">
        <f>[8]Edo.Res.detalle!I$12</f>
        <v>1808567.3944224673</v>
      </c>
      <c r="H23" s="1152">
        <f>[8]Edo.Res.detalle!J$12</f>
        <v>1977049.1105889238</v>
      </c>
      <c r="I23" s="1152">
        <f>[8]Edo.Res.detalle!K$12</f>
        <v>1936214.9754038402</v>
      </c>
      <c r="J23" s="1152">
        <f>[8]Edo.Res.detalle!L$12</f>
        <v>1713519.7312401929</v>
      </c>
      <c r="K23" s="1152">
        <f>[8]Edo.Res.detalle!M$12</f>
        <v>2212696.2254882888</v>
      </c>
      <c r="L23" s="1152">
        <f>[8]Edo.Res.detalle!N$12</f>
        <v>1966841.0893229237</v>
      </c>
      <c r="M23" s="1152">
        <f>[8]Edo.Res.detalle!O$12</f>
        <v>1966841.0893229237</v>
      </c>
      <c r="N23" s="1156">
        <f t="shared" si="2"/>
        <v>22405047.050949287</v>
      </c>
      <c r="P23" s="1763">
        <f ca="1">SUM(B23:OFFSET(B23,0,[0]!MESACUMULADO-1))</f>
        <v>8823317.4351597242</v>
      </c>
    </row>
    <row r="24" spans="1:16" ht="12.75" x14ac:dyDescent="0.2">
      <c r="A24" s="1151" t="s">
        <v>10067</v>
      </c>
      <c r="B24" s="1152">
        <f>[3]Edo.Res.detalle!D$16</f>
        <v>6758460.4201867748</v>
      </c>
      <c r="C24" s="1152">
        <f>[3]Edo.Res.detalle!E$16</f>
        <v>6882083.2796128346</v>
      </c>
      <c r="D24" s="1152">
        <f>[3]Edo.Res.detalle!F$16</f>
        <v>7115814.4055977883</v>
      </c>
      <c r="E24" s="1152">
        <f>[3]Edo.Res.detalle!G$16</f>
        <v>7510711.7900302215</v>
      </c>
      <c r="F24" s="1152">
        <f>[3]Edo.Res.detalle!H$16</f>
        <v>7243794.5693133408</v>
      </c>
      <c r="G24" s="1152">
        <f>[3]Edo.Res.detalle!I$16</f>
        <v>7278718.4678575648</v>
      </c>
      <c r="H24" s="1152">
        <f>[3]Edo.Res.detalle!J$16</f>
        <v>7956829.2259416915</v>
      </c>
      <c r="I24" s="1152">
        <f>[3]Edo.Res.detalle!K$16</f>
        <v>7792349.2145622</v>
      </c>
      <c r="J24" s="1152">
        <f>[3]Edo.Res.detalle!L$16</f>
        <v>6896317.0683144536</v>
      </c>
      <c r="K24" s="1152">
        <f>[3]Edo.Res.detalle!M$16</f>
        <v>8905262.1901992634</v>
      </c>
      <c r="L24" s="1152">
        <f>[3]Edo.Res.detalle!N$16</f>
        <v>7915850.5022273669</v>
      </c>
      <c r="M24" s="1152">
        <f>[3]Edo.Res.detalle!O$16</f>
        <v>7915015.0045490647</v>
      </c>
      <c r="N24" s="1156">
        <f t="shared" si="2"/>
        <v>90171206.138392583</v>
      </c>
      <c r="P24" s="1763">
        <f ca="1">SUM(B24:OFFSET(B24,0,[0]!MESACUMULADO-1))</f>
        <v>35510864.464740962</v>
      </c>
    </row>
    <row r="25" spans="1:16" ht="12.75" x14ac:dyDescent="0.2">
      <c r="A25" s="1151" t="s">
        <v>2054</v>
      </c>
      <c r="B25" s="1152">
        <f>[9]Edo.Res.detalle!D$12</f>
        <v>2479810.0476170448</v>
      </c>
      <c r="C25" s="1152">
        <f>[9]Edo.Res.detalle!E$12</f>
        <v>2421273.9298494244</v>
      </c>
      <c r="D25" s="1152">
        <f>[9]Edo.Res.detalle!F$12</f>
        <v>2503475.0731536699</v>
      </c>
      <c r="E25" s="1152">
        <f>[9]Edo.Res.detalle!G$12</f>
        <v>2642421.2110008593</v>
      </c>
      <c r="F25" s="1152">
        <f>[9]Edo.Res.detalle!H$12</f>
        <v>2548451.680226414</v>
      </c>
      <c r="G25" s="1152">
        <f>[9]Edo.Res.detalle!I$12</f>
        <v>2560841.4737271378</v>
      </c>
      <c r="H25" s="1152">
        <f>[9]Edo.Res.detalle!J$12</f>
        <v>2799403.2036656355</v>
      </c>
      <c r="I25" s="1152">
        <f>[9]Edo.Res.detalle!K$12</f>
        <v>2741584.0993025736</v>
      </c>
      <c r="J25" s="1152">
        <f>[9]Edo.Res.detalle!L$12</f>
        <v>2426258.7102599558</v>
      </c>
      <c r="K25" s="1152">
        <f>[9]Edo.Res.detalle!M$12</f>
        <v>3133067.7974537709</v>
      </c>
      <c r="L25" s="1152">
        <f>[9]Edo.Res.detalle!N$12</f>
        <v>2784949.1532922406</v>
      </c>
      <c r="M25" s="1152">
        <f>[9]Edo.Res.detalle!O$12</f>
        <v>2784949.1532922406</v>
      </c>
      <c r="N25" s="1156">
        <f t="shared" si="2"/>
        <v>31826485.532840967</v>
      </c>
      <c r="P25" s="1763">
        <f ca="1">SUM(B25:OFFSET(B25,0,[0]!MESACUMULADO-1))</f>
        <v>12595431.941847412</v>
      </c>
    </row>
    <row r="26" spans="1:16" ht="12.75" x14ac:dyDescent="0.2">
      <c r="A26" s="1153" t="s">
        <v>82</v>
      </c>
      <c r="B26" s="1155">
        <f t="shared" ref="B26:M26" si="3">SUM(B20:B25)</f>
        <v>24895038.528804429</v>
      </c>
      <c r="C26" s="1155">
        <f t="shared" si="3"/>
        <v>25246672.129938908</v>
      </c>
      <c r="D26" s="1155">
        <f t="shared" si="3"/>
        <v>26103872.654077869</v>
      </c>
      <c r="E26" s="1155">
        <f t="shared" si="3"/>
        <v>27552632.082968466</v>
      </c>
      <c r="F26" s="1155">
        <f t="shared" si="3"/>
        <v>26572986.006645367</v>
      </c>
      <c r="G26" s="1155">
        <f t="shared" si="3"/>
        <v>26701882.528764393</v>
      </c>
      <c r="H26" s="1155">
        <f t="shared" si="3"/>
        <v>29307796.170173898</v>
      </c>
      <c r="I26" s="1155">
        <f t="shared" si="3"/>
        <v>28702331.528790288</v>
      </c>
      <c r="J26" s="1155">
        <f t="shared" si="3"/>
        <v>25401321.796852015</v>
      </c>
      <c r="K26" s="1155">
        <f t="shared" si="3"/>
        <v>32801079.302175313</v>
      </c>
      <c r="L26" s="1155">
        <f t="shared" si="3"/>
        <v>29156576.823983856</v>
      </c>
      <c r="M26" s="1155">
        <f t="shared" si="3"/>
        <v>29155741.326305553</v>
      </c>
      <c r="N26" s="1156">
        <f t="shared" si="2"/>
        <v>331597930.87948036</v>
      </c>
      <c r="P26" s="1762">
        <f ca="1">SUM(P20:P25)</f>
        <v>130371201.40243505</v>
      </c>
    </row>
    <row r="27" spans="1:16" ht="12.75" x14ac:dyDescent="0.2">
      <c r="A27"/>
    </row>
    <row r="28" spans="1:16" ht="12.75" x14ac:dyDescent="0.2">
      <c r="A28"/>
    </row>
    <row r="29" spans="1:16" ht="12.75" x14ac:dyDescent="0.2">
      <c r="A29" s="1447" t="s">
        <v>10691</v>
      </c>
      <c r="B29" s="1154" t="s">
        <v>8</v>
      </c>
      <c r="C29" s="1154" t="s">
        <v>9</v>
      </c>
      <c r="D29" s="1154" t="s">
        <v>10</v>
      </c>
      <c r="E29" s="1154" t="s">
        <v>11</v>
      </c>
      <c r="F29" s="1154" t="s">
        <v>12</v>
      </c>
      <c r="G29" s="1154" t="s">
        <v>13</v>
      </c>
      <c r="H29" s="1154" t="s">
        <v>14</v>
      </c>
      <c r="I29" s="1154" t="s">
        <v>15</v>
      </c>
      <c r="J29" s="1154" t="s">
        <v>16</v>
      </c>
      <c r="K29" s="1154" t="s">
        <v>17</v>
      </c>
      <c r="L29" s="1154" t="s">
        <v>18</v>
      </c>
      <c r="M29" s="1154" t="s">
        <v>19</v>
      </c>
      <c r="N29" s="1157" t="s">
        <v>135</v>
      </c>
    </row>
    <row r="30" spans="1:16" ht="12.75" x14ac:dyDescent="0.2">
      <c r="A30" s="1151" t="s">
        <v>10065</v>
      </c>
      <c r="B30" s="1152">
        <f>[2]Edo.Res.detalle!D18</f>
        <v>1032181.5933780726</v>
      </c>
      <c r="C30" s="1152">
        <f>[2]Edo.Res.detalle!E18</f>
        <v>1032181.5933780726</v>
      </c>
      <c r="D30" s="1152">
        <f>[2]Edo.Res.detalle!F18</f>
        <v>1032181.5933780726</v>
      </c>
      <c r="E30" s="1152">
        <f>[2]Edo.Res.detalle!G18</f>
        <v>1032181.5933780726</v>
      </c>
      <c r="F30" s="1152">
        <f>[2]Edo.Res.detalle!H18</f>
        <v>1032181.5933780726</v>
      </c>
      <c r="G30" s="1152">
        <f>[2]Edo.Res.detalle!I18</f>
        <v>1032181.5933780726</v>
      </c>
      <c r="H30" s="1152">
        <f>[2]Edo.Res.detalle!J18</f>
        <v>1032181.5933780726</v>
      </c>
      <c r="I30" s="1152">
        <f>[2]Edo.Res.detalle!K18</f>
        <v>1032181.5933780726</v>
      </c>
      <c r="J30" s="1152">
        <f>[2]Edo.Res.detalle!L18</f>
        <v>1032181.5933780726</v>
      </c>
      <c r="K30" s="1152">
        <f>[2]Edo.Res.detalle!M18</f>
        <v>1032181.5933780726</v>
      </c>
      <c r="L30" s="1152">
        <f>[2]Edo.Res.detalle!N18</f>
        <v>1032181.5933780726</v>
      </c>
      <c r="M30" s="1152">
        <f>[2]Edo.Res.detalle!O18</f>
        <v>1032181.5933780726</v>
      </c>
      <c r="N30" s="1156">
        <f>SUM(B30:M30)</f>
        <v>12386179.120536871</v>
      </c>
      <c r="P30" s="1763">
        <f ca="1">SUM(B30:OFFSET(B30,0,[0]!MESACUMULADO-1))</f>
        <v>5160907.966890363</v>
      </c>
    </row>
    <row r="31" spans="1:16" ht="12.75" x14ac:dyDescent="0.2">
      <c r="A31" s="1243" t="s">
        <v>10147</v>
      </c>
      <c r="B31" s="1152">
        <f>[6]Edo.Res.detalle!D18</f>
        <v>299603.89610389597</v>
      </c>
      <c r="C31" s="1152">
        <f>[6]Edo.Res.detalle!E18</f>
        <v>927619.75524475495</v>
      </c>
      <c r="D31" s="1152">
        <f>[6]Edo.Res.detalle!F18</f>
        <v>1008282.3426573424</v>
      </c>
      <c r="E31" s="1152">
        <f>[6]Edo.Res.detalle!G18</f>
        <v>1440403.3466533464</v>
      </c>
      <c r="F31" s="1152">
        <f>[6]Edo.Res.detalle!H18</f>
        <v>1498019.4805194798</v>
      </c>
      <c r="G31" s="1152">
        <f>[6]Edo.Res.detalle!I18</f>
        <v>1440403.3466533464</v>
      </c>
      <c r="H31" s="1152">
        <f>[6]Edo.Res.detalle!J18</f>
        <v>1555635.6143856139</v>
      </c>
      <c r="I31" s="1152">
        <f>[6]Edo.Res.detalle!K18</f>
        <v>1498019.4805194798</v>
      </c>
      <c r="J31" s="1152">
        <f>[6]Edo.Res.detalle!L18</f>
        <v>1440403.3466533464</v>
      </c>
      <c r="K31" s="1152">
        <f>[6]Edo.Res.detalle!M18</f>
        <v>1555635.6143856139</v>
      </c>
      <c r="L31" s="1152">
        <f>[6]Edo.Res.detalle!N18</f>
        <v>1382787.2127872126</v>
      </c>
      <c r="M31" s="1152">
        <f>[6]Edo.Res.detalle!O18</f>
        <v>1498019.4805194798</v>
      </c>
      <c r="N31" s="1156">
        <f t="shared" ref="N31:N36" si="4">SUM(B31:M31)</f>
        <v>15544832.917082911</v>
      </c>
      <c r="P31" s="1763">
        <f ca="1">SUM(B31:OFFSET(B31,0,[0]!MESACUMULADO-1))</f>
        <v>5173928.82117882</v>
      </c>
    </row>
    <row r="32" spans="1:16" ht="12.75" x14ac:dyDescent="0.2">
      <c r="A32" s="1151" t="s">
        <v>2084</v>
      </c>
      <c r="B32" s="1152"/>
      <c r="C32" s="1152"/>
      <c r="D32" s="1152"/>
      <c r="E32" s="1152"/>
      <c r="F32" s="1152"/>
      <c r="G32" s="1152"/>
      <c r="H32" s="1152"/>
      <c r="I32" s="1152"/>
      <c r="J32" s="1152"/>
      <c r="K32" s="1152"/>
      <c r="L32" s="1152"/>
      <c r="M32" s="1152"/>
      <c r="N32" s="1156">
        <f t="shared" si="4"/>
        <v>0</v>
      </c>
      <c r="P32" s="1763">
        <f ca="1">SUM(B32:OFFSET(B32,0,[0]!MESACUMULADO-1))</f>
        <v>0</v>
      </c>
    </row>
    <row r="33" spans="1:16" ht="12.75" x14ac:dyDescent="0.2">
      <c r="A33" s="1151" t="s">
        <v>10066</v>
      </c>
      <c r="B33" s="1152"/>
      <c r="C33" s="1152"/>
      <c r="D33" s="1152"/>
      <c r="E33" s="1152"/>
      <c r="F33" s="1152"/>
      <c r="G33" s="1152"/>
      <c r="H33" s="1152"/>
      <c r="I33" s="1152"/>
      <c r="J33" s="1152"/>
      <c r="K33" s="1152"/>
      <c r="L33" s="1152"/>
      <c r="M33" s="1152"/>
      <c r="N33" s="1156">
        <f t="shared" si="4"/>
        <v>0</v>
      </c>
      <c r="P33" s="1763">
        <f ca="1">SUM(B33:OFFSET(B33,0,[0]!MESACUMULADO-1))</f>
        <v>0</v>
      </c>
    </row>
    <row r="34" spans="1:16" ht="12.75" x14ac:dyDescent="0.2">
      <c r="A34" s="1151" t="s">
        <v>10067</v>
      </c>
      <c r="B34" s="1152">
        <f>[3]Edo.Res.detalle!D$18</f>
        <v>0</v>
      </c>
      <c r="C34" s="1152">
        <f>[3]Edo.Res.detalle!E$18</f>
        <v>397551.32367632358</v>
      </c>
      <c r="D34" s="1152">
        <f>[3]Edo.Res.detalle!F$18</f>
        <v>432121.00399600388</v>
      </c>
      <c r="E34" s="1152">
        <f>[3]Edo.Res.detalle!G$18</f>
        <v>432121.00399600388</v>
      </c>
      <c r="F34" s="1152">
        <f>[3]Edo.Res.detalle!H$18</f>
        <v>1348217.5324675322</v>
      </c>
      <c r="G34" s="1152">
        <f>[3]Edo.Res.detalle!I$18</f>
        <v>1296363.0119880117</v>
      </c>
      <c r="H34" s="1152">
        <f>[3]Edo.Res.detalle!J$18</f>
        <v>1400072.0529470528</v>
      </c>
      <c r="I34" s="1152">
        <f>[3]Edo.Res.detalle!K$18</f>
        <v>1348217.5324675322</v>
      </c>
      <c r="J34" s="1152">
        <f>[3]Edo.Res.detalle!L$18</f>
        <v>1296363.0119880117</v>
      </c>
      <c r="K34" s="1152">
        <f>[3]Edo.Res.detalle!M$18</f>
        <v>1400072.0529470528</v>
      </c>
      <c r="L34" s="1152">
        <f>[3]Edo.Res.detalle!N$18</f>
        <v>1244508.4915084913</v>
      </c>
      <c r="M34" s="1152">
        <f>[3]Edo.Res.detalle!O$18</f>
        <v>1348217.5324675322</v>
      </c>
      <c r="N34" s="1156">
        <f t="shared" si="4"/>
        <v>11943824.550449546</v>
      </c>
      <c r="P34" s="1763">
        <f ca="1">SUM(B34:OFFSET(B34,0,[0]!MESACUMULADO-1))</f>
        <v>2610010.8641358633</v>
      </c>
    </row>
    <row r="35" spans="1:16" ht="12.75" x14ac:dyDescent="0.2">
      <c r="A35" s="1151" t="s">
        <v>2054</v>
      </c>
      <c r="B35" s="1152">
        <v>0</v>
      </c>
      <c r="C35" s="1152">
        <v>0</v>
      </c>
      <c r="D35" s="1152">
        <v>0</v>
      </c>
      <c r="E35" s="1152">
        <v>0</v>
      </c>
      <c r="F35" s="1152">
        <v>0</v>
      </c>
      <c r="G35" s="1152">
        <v>0</v>
      </c>
      <c r="H35" s="1152">
        <v>0</v>
      </c>
      <c r="I35" s="1152">
        <v>0</v>
      </c>
      <c r="J35" s="1152">
        <v>0</v>
      </c>
      <c r="K35" s="1152">
        <v>0</v>
      </c>
      <c r="L35" s="1152">
        <v>0</v>
      </c>
      <c r="M35" s="1152">
        <v>0</v>
      </c>
      <c r="N35" s="1156">
        <f t="shared" si="4"/>
        <v>0</v>
      </c>
      <c r="P35" s="1763">
        <f ca="1">SUM(B35:OFFSET(B35,0,[0]!MESACUMULADO-1))</f>
        <v>0</v>
      </c>
    </row>
    <row r="36" spans="1:16" ht="12.75" x14ac:dyDescent="0.2">
      <c r="A36" s="1153" t="s">
        <v>82</v>
      </c>
      <c r="B36" s="1155">
        <f t="shared" ref="B36:M36" si="5">SUM(B30:B35)</f>
        <v>1331785.4894819686</v>
      </c>
      <c r="C36" s="1155">
        <f t="shared" si="5"/>
        <v>2357352.6722991513</v>
      </c>
      <c r="D36" s="1155">
        <f t="shared" si="5"/>
        <v>2472584.940031419</v>
      </c>
      <c r="E36" s="1155">
        <f t="shared" si="5"/>
        <v>2904705.9440274229</v>
      </c>
      <c r="F36" s="1155">
        <f t="shared" si="5"/>
        <v>3878418.6063650846</v>
      </c>
      <c r="G36" s="1155">
        <f t="shared" si="5"/>
        <v>3768947.9520194307</v>
      </c>
      <c r="H36" s="1155">
        <f t="shared" si="5"/>
        <v>3987889.2607107395</v>
      </c>
      <c r="I36" s="1155">
        <f t="shared" si="5"/>
        <v>3878418.6063650846</v>
      </c>
      <c r="J36" s="1155">
        <f t="shared" si="5"/>
        <v>3768947.9520194307</v>
      </c>
      <c r="K36" s="1155">
        <f t="shared" si="5"/>
        <v>3987889.2607107395</v>
      </c>
      <c r="L36" s="1155">
        <f t="shared" si="5"/>
        <v>3659477.2976737767</v>
      </c>
      <c r="M36" s="1155">
        <f t="shared" si="5"/>
        <v>3878418.6063650846</v>
      </c>
      <c r="N36" s="1156">
        <f t="shared" si="4"/>
        <v>39874836.588069335</v>
      </c>
      <c r="P36" s="1763">
        <f ca="1">SUM(B36:OFFSET(B36,0,[0]!MESACUMULADO-1))</f>
        <v>12944847.652205046</v>
      </c>
    </row>
    <row r="37" spans="1:16" ht="12.75" x14ac:dyDescent="0.2">
      <c r="A37"/>
    </row>
    <row r="38" spans="1:16" ht="12.75" x14ac:dyDescent="0.2">
      <c r="A38"/>
    </row>
    <row r="39" spans="1:16" ht="12.75" x14ac:dyDescent="0.2">
      <c r="A39"/>
    </row>
    <row r="40" spans="1:16" ht="12.75" x14ac:dyDescent="0.2">
      <c r="A40"/>
    </row>
    <row r="41" spans="1:16" ht="12.75" x14ac:dyDescent="0.2">
      <c r="A41"/>
    </row>
    <row r="42" spans="1:16" ht="12.75" x14ac:dyDescent="0.2">
      <c r="A42"/>
    </row>
    <row r="43" spans="1:16" ht="12.75" x14ac:dyDescent="0.2">
      <c r="A43"/>
    </row>
    <row r="44" spans="1:16" ht="12.75" x14ac:dyDescent="0.2">
      <c r="A44"/>
    </row>
    <row r="45" spans="1:16" ht="12.75" x14ac:dyDescent="0.2">
      <c r="A45"/>
    </row>
    <row r="46" spans="1:16" ht="12.75" x14ac:dyDescent="0.2">
      <c r="A46"/>
    </row>
    <row r="47" spans="1:16" ht="12.75" x14ac:dyDescent="0.2">
      <c r="A47"/>
    </row>
    <row r="48" spans="1:16" ht="12.75" x14ac:dyDescent="0.2">
      <c r="A48"/>
    </row>
    <row r="49" spans="1:1" ht="12.75" x14ac:dyDescent="0.2">
      <c r="A49"/>
    </row>
    <row r="50" spans="1:1" ht="12.75" x14ac:dyDescent="0.2">
      <c r="A50"/>
    </row>
    <row r="51" spans="1:1" ht="12.75" x14ac:dyDescent="0.2">
      <c r="A51"/>
    </row>
    <row r="52" spans="1:1" ht="12.75" x14ac:dyDescent="0.2">
      <c r="A52"/>
    </row>
    <row r="53" spans="1:1" ht="12.75" x14ac:dyDescent="0.2">
      <c r="A53"/>
    </row>
    <row r="54" spans="1:1" ht="12.75" x14ac:dyDescent="0.2">
      <c r="A54"/>
    </row>
    <row r="55" spans="1:1" ht="12.75" x14ac:dyDescent="0.2">
      <c r="A55"/>
    </row>
    <row r="56" spans="1:1" ht="12.75" x14ac:dyDescent="0.2">
      <c r="A56"/>
    </row>
    <row r="57" spans="1:1" ht="12.75" x14ac:dyDescent="0.2">
      <c r="A57"/>
    </row>
    <row r="58" spans="1:1" ht="12.75" x14ac:dyDescent="0.2">
      <c r="A58"/>
    </row>
    <row r="59" spans="1:1" ht="12.75" x14ac:dyDescent="0.2">
      <c r="A59"/>
    </row>
    <row r="60" spans="1:1" ht="12.75" x14ac:dyDescent="0.2">
      <c r="A60"/>
    </row>
    <row r="61" spans="1:1" ht="12.75" x14ac:dyDescent="0.2">
      <c r="A61"/>
    </row>
    <row r="62" spans="1:1" ht="12.75" x14ac:dyDescent="0.2">
      <c r="A62"/>
    </row>
    <row r="63" spans="1:1" ht="12.75" x14ac:dyDescent="0.2">
      <c r="A63"/>
    </row>
    <row r="64" spans="1:1" ht="12.75" x14ac:dyDescent="0.2">
      <c r="A64"/>
    </row>
    <row r="65" spans="1:1" ht="12.75" x14ac:dyDescent="0.2">
      <c r="A65"/>
    </row>
    <row r="66" spans="1:1" ht="12.75" x14ac:dyDescent="0.2">
      <c r="A66"/>
    </row>
    <row r="67" spans="1:1" ht="12.75" x14ac:dyDescent="0.2">
      <c r="A67"/>
    </row>
    <row r="68" spans="1:1" ht="12.75" x14ac:dyDescent="0.2">
      <c r="A68"/>
    </row>
    <row r="69" spans="1:1" ht="12.75" x14ac:dyDescent="0.2">
      <c r="A69"/>
    </row>
    <row r="70" spans="1:1" ht="12.75" x14ac:dyDescent="0.2">
      <c r="A70"/>
    </row>
    <row r="71" spans="1:1" ht="12.75" x14ac:dyDescent="0.2">
      <c r="A71"/>
    </row>
    <row r="72" spans="1:1" ht="12.75" x14ac:dyDescent="0.2">
      <c r="A72"/>
    </row>
    <row r="73" spans="1:1" ht="12.75" x14ac:dyDescent="0.2">
      <c r="A73"/>
    </row>
    <row r="74" spans="1:1" ht="12.75" x14ac:dyDescent="0.2">
      <c r="A74"/>
    </row>
    <row r="75" spans="1:1" ht="12.75" x14ac:dyDescent="0.2">
      <c r="A75"/>
    </row>
    <row r="76" spans="1:1" ht="12.75" x14ac:dyDescent="0.2">
      <c r="A76"/>
    </row>
    <row r="77" spans="1:1" ht="12.75" x14ac:dyDescent="0.2">
      <c r="A77"/>
    </row>
    <row r="78" spans="1:1" ht="12.75" x14ac:dyDescent="0.2">
      <c r="A78"/>
    </row>
    <row r="79" spans="1:1" ht="12.75" x14ac:dyDescent="0.2">
      <c r="A79"/>
    </row>
    <row r="80" spans="1:1" ht="12.75" x14ac:dyDescent="0.2">
      <c r="A80"/>
    </row>
    <row r="81" spans="1:1" ht="12.75" x14ac:dyDescent="0.2">
      <c r="A81"/>
    </row>
    <row r="82" spans="1:1" ht="12.75" x14ac:dyDescent="0.2">
      <c r="A82"/>
    </row>
    <row r="83" spans="1:1" ht="12.75" x14ac:dyDescent="0.2">
      <c r="A83"/>
    </row>
    <row r="84" spans="1:1" ht="12.75" x14ac:dyDescent="0.2">
      <c r="A84"/>
    </row>
    <row r="85" spans="1:1" ht="12.75" x14ac:dyDescent="0.2">
      <c r="A85"/>
    </row>
    <row r="86" spans="1:1" ht="12.75" x14ac:dyDescent="0.2">
      <c r="A86"/>
    </row>
    <row r="87" spans="1:1" ht="12.75" x14ac:dyDescent="0.2">
      <c r="A87"/>
    </row>
    <row r="88" spans="1:1" ht="12.75" x14ac:dyDescent="0.2">
      <c r="A88"/>
    </row>
    <row r="89" spans="1:1" ht="12.75" x14ac:dyDescent="0.2">
      <c r="A89"/>
    </row>
    <row r="90" spans="1:1" ht="12.75" x14ac:dyDescent="0.2">
      <c r="A90"/>
    </row>
    <row r="91" spans="1:1" ht="12.75" x14ac:dyDescent="0.2">
      <c r="A91"/>
    </row>
    <row r="92" spans="1:1" ht="12.75" x14ac:dyDescent="0.2">
      <c r="A92"/>
    </row>
    <row r="93" spans="1:1" ht="12.75" x14ac:dyDescent="0.2">
      <c r="A93"/>
    </row>
    <row r="94" spans="1:1" ht="12.75" x14ac:dyDescent="0.2">
      <c r="A94"/>
    </row>
    <row r="95" spans="1:1" ht="12.75" x14ac:dyDescent="0.2">
      <c r="A95"/>
    </row>
    <row r="96" spans="1:1" x14ac:dyDescent="0.2"/>
    <row r="97" x14ac:dyDescent="0.2"/>
    <row r="98" x14ac:dyDescent="0.2"/>
    <row r="99" x14ac:dyDescent="0.2"/>
    <row r="100" x14ac:dyDescent="0.2"/>
    <row r="101" x14ac:dyDescent="0.2"/>
    <row r="102" x14ac:dyDescent="0.2"/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2060"/>
  </sheetPr>
  <dimension ref="A1:T97"/>
  <sheetViews>
    <sheetView zoomScale="90" zoomScaleNormal="90" workbookViewId="0">
      <selection activeCell="E11" sqref="E11"/>
    </sheetView>
  </sheetViews>
  <sheetFormatPr baseColWidth="10" defaultColWidth="0" defaultRowHeight="12.75" zeroHeight="1" x14ac:dyDescent="0.2"/>
  <cols>
    <col min="1" max="1" width="44" style="809" customWidth="1"/>
    <col min="2" max="13" width="13.7109375" style="809" customWidth="1"/>
    <col min="14" max="14" width="15.5703125" style="809" bestFit="1" customWidth="1"/>
    <col min="15" max="16" width="11.42578125" style="809" customWidth="1"/>
    <col min="17" max="256" width="0" style="809" hidden="1"/>
    <col min="257" max="257" width="44" style="809" customWidth="1"/>
    <col min="258" max="269" width="13.7109375" style="809" customWidth="1"/>
    <col min="270" max="270" width="15.5703125" style="809" bestFit="1" customWidth="1"/>
    <col min="271" max="272" width="11.42578125" style="809" customWidth="1"/>
    <col min="273" max="512" width="0" style="809" hidden="1"/>
    <col min="513" max="513" width="44" style="809" customWidth="1"/>
    <col min="514" max="525" width="13.7109375" style="809" customWidth="1"/>
    <col min="526" max="526" width="15.5703125" style="809" bestFit="1" customWidth="1"/>
    <col min="527" max="528" width="11.42578125" style="809" customWidth="1"/>
    <col min="529" max="768" width="0" style="809" hidden="1"/>
    <col min="769" max="769" width="44" style="809" customWidth="1"/>
    <col min="770" max="781" width="13.7109375" style="809" customWidth="1"/>
    <col min="782" max="782" width="15.5703125" style="809" bestFit="1" customWidth="1"/>
    <col min="783" max="784" width="11.42578125" style="809" customWidth="1"/>
    <col min="785" max="1024" width="0" style="809" hidden="1"/>
    <col min="1025" max="1025" width="44" style="809" customWidth="1"/>
    <col min="1026" max="1037" width="13.7109375" style="809" customWidth="1"/>
    <col min="1038" max="1038" width="15.5703125" style="809" bestFit="1" customWidth="1"/>
    <col min="1039" max="1040" width="11.42578125" style="809" customWidth="1"/>
    <col min="1041" max="1280" width="0" style="809" hidden="1"/>
    <col min="1281" max="1281" width="44" style="809" customWidth="1"/>
    <col min="1282" max="1293" width="13.7109375" style="809" customWidth="1"/>
    <col min="1294" max="1294" width="15.5703125" style="809" bestFit="1" customWidth="1"/>
    <col min="1295" max="1296" width="11.42578125" style="809" customWidth="1"/>
    <col min="1297" max="1536" width="0" style="809" hidden="1"/>
    <col min="1537" max="1537" width="44" style="809" customWidth="1"/>
    <col min="1538" max="1549" width="13.7109375" style="809" customWidth="1"/>
    <col min="1550" max="1550" width="15.5703125" style="809" bestFit="1" customWidth="1"/>
    <col min="1551" max="1552" width="11.42578125" style="809" customWidth="1"/>
    <col min="1553" max="1792" width="0" style="809" hidden="1"/>
    <col min="1793" max="1793" width="44" style="809" customWidth="1"/>
    <col min="1794" max="1805" width="13.7109375" style="809" customWidth="1"/>
    <col min="1806" max="1806" width="15.5703125" style="809" bestFit="1" customWidth="1"/>
    <col min="1807" max="1808" width="11.42578125" style="809" customWidth="1"/>
    <col min="1809" max="2048" width="0" style="809" hidden="1"/>
    <col min="2049" max="2049" width="44" style="809" customWidth="1"/>
    <col min="2050" max="2061" width="13.7109375" style="809" customWidth="1"/>
    <col min="2062" max="2062" width="15.5703125" style="809" bestFit="1" customWidth="1"/>
    <col min="2063" max="2064" width="11.42578125" style="809" customWidth="1"/>
    <col min="2065" max="2304" width="0" style="809" hidden="1"/>
    <col min="2305" max="2305" width="44" style="809" customWidth="1"/>
    <col min="2306" max="2317" width="13.7109375" style="809" customWidth="1"/>
    <col min="2318" max="2318" width="15.5703125" style="809" bestFit="1" customWidth="1"/>
    <col min="2319" max="2320" width="11.42578125" style="809" customWidth="1"/>
    <col min="2321" max="2560" width="0" style="809" hidden="1"/>
    <col min="2561" max="2561" width="44" style="809" customWidth="1"/>
    <col min="2562" max="2573" width="13.7109375" style="809" customWidth="1"/>
    <col min="2574" max="2574" width="15.5703125" style="809" bestFit="1" customWidth="1"/>
    <col min="2575" max="2576" width="11.42578125" style="809" customWidth="1"/>
    <col min="2577" max="2816" width="0" style="809" hidden="1"/>
    <col min="2817" max="2817" width="44" style="809" customWidth="1"/>
    <col min="2818" max="2829" width="13.7109375" style="809" customWidth="1"/>
    <col min="2830" max="2830" width="15.5703125" style="809" bestFit="1" customWidth="1"/>
    <col min="2831" max="2832" width="11.42578125" style="809" customWidth="1"/>
    <col min="2833" max="3072" width="0" style="809" hidden="1"/>
    <col min="3073" max="3073" width="44" style="809" customWidth="1"/>
    <col min="3074" max="3085" width="13.7109375" style="809" customWidth="1"/>
    <col min="3086" max="3086" width="15.5703125" style="809" bestFit="1" customWidth="1"/>
    <col min="3087" max="3088" width="11.42578125" style="809" customWidth="1"/>
    <col min="3089" max="3328" width="0" style="809" hidden="1"/>
    <col min="3329" max="3329" width="44" style="809" customWidth="1"/>
    <col min="3330" max="3341" width="13.7109375" style="809" customWidth="1"/>
    <col min="3342" max="3342" width="15.5703125" style="809" bestFit="1" customWidth="1"/>
    <col min="3343" max="3344" width="11.42578125" style="809" customWidth="1"/>
    <col min="3345" max="3584" width="0" style="809" hidden="1"/>
    <col min="3585" max="3585" width="44" style="809" customWidth="1"/>
    <col min="3586" max="3597" width="13.7109375" style="809" customWidth="1"/>
    <col min="3598" max="3598" width="15.5703125" style="809" bestFit="1" customWidth="1"/>
    <col min="3599" max="3600" width="11.42578125" style="809" customWidth="1"/>
    <col min="3601" max="3840" width="0" style="809" hidden="1"/>
    <col min="3841" max="3841" width="44" style="809" customWidth="1"/>
    <col min="3842" max="3853" width="13.7109375" style="809" customWidth="1"/>
    <col min="3854" max="3854" width="15.5703125" style="809" bestFit="1" customWidth="1"/>
    <col min="3855" max="3856" width="11.42578125" style="809" customWidth="1"/>
    <col min="3857" max="4096" width="0" style="809" hidden="1"/>
    <col min="4097" max="4097" width="44" style="809" customWidth="1"/>
    <col min="4098" max="4109" width="13.7109375" style="809" customWidth="1"/>
    <col min="4110" max="4110" width="15.5703125" style="809" bestFit="1" customWidth="1"/>
    <col min="4111" max="4112" width="11.42578125" style="809" customWidth="1"/>
    <col min="4113" max="4352" width="0" style="809" hidden="1"/>
    <col min="4353" max="4353" width="44" style="809" customWidth="1"/>
    <col min="4354" max="4365" width="13.7109375" style="809" customWidth="1"/>
    <col min="4366" max="4366" width="15.5703125" style="809" bestFit="1" customWidth="1"/>
    <col min="4367" max="4368" width="11.42578125" style="809" customWidth="1"/>
    <col min="4369" max="4608" width="0" style="809" hidden="1"/>
    <col min="4609" max="4609" width="44" style="809" customWidth="1"/>
    <col min="4610" max="4621" width="13.7109375" style="809" customWidth="1"/>
    <col min="4622" max="4622" width="15.5703125" style="809" bestFit="1" customWidth="1"/>
    <col min="4623" max="4624" width="11.42578125" style="809" customWidth="1"/>
    <col min="4625" max="4864" width="0" style="809" hidden="1"/>
    <col min="4865" max="4865" width="44" style="809" customWidth="1"/>
    <col min="4866" max="4877" width="13.7109375" style="809" customWidth="1"/>
    <col min="4878" max="4878" width="15.5703125" style="809" bestFit="1" customWidth="1"/>
    <col min="4879" max="4880" width="11.42578125" style="809" customWidth="1"/>
    <col min="4881" max="5120" width="0" style="809" hidden="1"/>
    <col min="5121" max="5121" width="44" style="809" customWidth="1"/>
    <col min="5122" max="5133" width="13.7109375" style="809" customWidth="1"/>
    <col min="5134" max="5134" width="15.5703125" style="809" bestFit="1" customWidth="1"/>
    <col min="5135" max="5136" width="11.42578125" style="809" customWidth="1"/>
    <col min="5137" max="5376" width="0" style="809" hidden="1"/>
    <col min="5377" max="5377" width="44" style="809" customWidth="1"/>
    <col min="5378" max="5389" width="13.7109375" style="809" customWidth="1"/>
    <col min="5390" max="5390" width="15.5703125" style="809" bestFit="1" customWidth="1"/>
    <col min="5391" max="5392" width="11.42578125" style="809" customWidth="1"/>
    <col min="5393" max="5632" width="0" style="809" hidden="1"/>
    <col min="5633" max="5633" width="44" style="809" customWidth="1"/>
    <col min="5634" max="5645" width="13.7109375" style="809" customWidth="1"/>
    <col min="5646" max="5646" width="15.5703125" style="809" bestFit="1" customWidth="1"/>
    <col min="5647" max="5648" width="11.42578125" style="809" customWidth="1"/>
    <col min="5649" max="5888" width="0" style="809" hidden="1"/>
    <col min="5889" max="5889" width="44" style="809" customWidth="1"/>
    <col min="5890" max="5901" width="13.7109375" style="809" customWidth="1"/>
    <col min="5902" max="5902" width="15.5703125" style="809" bestFit="1" customWidth="1"/>
    <col min="5903" max="5904" width="11.42578125" style="809" customWidth="1"/>
    <col min="5905" max="6144" width="0" style="809" hidden="1"/>
    <col min="6145" max="6145" width="44" style="809" customWidth="1"/>
    <col min="6146" max="6157" width="13.7109375" style="809" customWidth="1"/>
    <col min="6158" max="6158" width="15.5703125" style="809" bestFit="1" customWidth="1"/>
    <col min="6159" max="6160" width="11.42578125" style="809" customWidth="1"/>
    <col min="6161" max="6400" width="0" style="809" hidden="1"/>
    <col min="6401" max="6401" width="44" style="809" customWidth="1"/>
    <col min="6402" max="6413" width="13.7109375" style="809" customWidth="1"/>
    <col min="6414" max="6414" width="15.5703125" style="809" bestFit="1" customWidth="1"/>
    <col min="6415" max="6416" width="11.42578125" style="809" customWidth="1"/>
    <col min="6417" max="6656" width="0" style="809" hidden="1"/>
    <col min="6657" max="6657" width="44" style="809" customWidth="1"/>
    <col min="6658" max="6669" width="13.7109375" style="809" customWidth="1"/>
    <col min="6670" max="6670" width="15.5703125" style="809" bestFit="1" customWidth="1"/>
    <col min="6671" max="6672" width="11.42578125" style="809" customWidth="1"/>
    <col min="6673" max="6912" width="0" style="809" hidden="1"/>
    <col min="6913" max="6913" width="44" style="809" customWidth="1"/>
    <col min="6914" max="6925" width="13.7109375" style="809" customWidth="1"/>
    <col min="6926" max="6926" width="15.5703125" style="809" bestFit="1" customWidth="1"/>
    <col min="6927" max="6928" width="11.42578125" style="809" customWidth="1"/>
    <col min="6929" max="7168" width="0" style="809" hidden="1"/>
    <col min="7169" max="7169" width="44" style="809" customWidth="1"/>
    <col min="7170" max="7181" width="13.7109375" style="809" customWidth="1"/>
    <col min="7182" max="7182" width="15.5703125" style="809" bestFit="1" customWidth="1"/>
    <col min="7183" max="7184" width="11.42578125" style="809" customWidth="1"/>
    <col min="7185" max="7424" width="0" style="809" hidden="1"/>
    <col min="7425" max="7425" width="44" style="809" customWidth="1"/>
    <col min="7426" max="7437" width="13.7109375" style="809" customWidth="1"/>
    <col min="7438" max="7438" width="15.5703125" style="809" bestFit="1" customWidth="1"/>
    <col min="7439" max="7440" width="11.42578125" style="809" customWidth="1"/>
    <col min="7441" max="7680" width="0" style="809" hidden="1"/>
    <col min="7681" max="7681" width="44" style="809" customWidth="1"/>
    <col min="7682" max="7693" width="13.7109375" style="809" customWidth="1"/>
    <col min="7694" max="7694" width="15.5703125" style="809" bestFit="1" customWidth="1"/>
    <col min="7695" max="7696" width="11.42578125" style="809" customWidth="1"/>
    <col min="7697" max="7936" width="0" style="809" hidden="1"/>
    <col min="7937" max="7937" width="44" style="809" customWidth="1"/>
    <col min="7938" max="7949" width="13.7109375" style="809" customWidth="1"/>
    <col min="7950" max="7950" width="15.5703125" style="809" bestFit="1" customWidth="1"/>
    <col min="7951" max="7952" width="11.42578125" style="809" customWidth="1"/>
    <col min="7953" max="8192" width="0" style="809" hidden="1"/>
    <col min="8193" max="8193" width="44" style="809" customWidth="1"/>
    <col min="8194" max="8205" width="13.7109375" style="809" customWidth="1"/>
    <col min="8206" max="8206" width="15.5703125" style="809" bestFit="1" customWidth="1"/>
    <col min="8207" max="8208" width="11.42578125" style="809" customWidth="1"/>
    <col min="8209" max="8448" width="0" style="809" hidden="1"/>
    <col min="8449" max="8449" width="44" style="809" customWidth="1"/>
    <col min="8450" max="8461" width="13.7109375" style="809" customWidth="1"/>
    <col min="8462" max="8462" width="15.5703125" style="809" bestFit="1" customWidth="1"/>
    <col min="8463" max="8464" width="11.42578125" style="809" customWidth="1"/>
    <col min="8465" max="8704" width="0" style="809" hidden="1"/>
    <col min="8705" max="8705" width="44" style="809" customWidth="1"/>
    <col min="8706" max="8717" width="13.7109375" style="809" customWidth="1"/>
    <col min="8718" max="8718" width="15.5703125" style="809" bestFit="1" customWidth="1"/>
    <col min="8719" max="8720" width="11.42578125" style="809" customWidth="1"/>
    <col min="8721" max="8960" width="0" style="809" hidden="1"/>
    <col min="8961" max="8961" width="44" style="809" customWidth="1"/>
    <col min="8962" max="8973" width="13.7109375" style="809" customWidth="1"/>
    <col min="8974" max="8974" width="15.5703125" style="809" bestFit="1" customWidth="1"/>
    <col min="8975" max="8976" width="11.42578125" style="809" customWidth="1"/>
    <col min="8977" max="9216" width="0" style="809" hidden="1"/>
    <col min="9217" max="9217" width="44" style="809" customWidth="1"/>
    <col min="9218" max="9229" width="13.7109375" style="809" customWidth="1"/>
    <col min="9230" max="9230" width="15.5703125" style="809" bestFit="1" customWidth="1"/>
    <col min="9231" max="9232" width="11.42578125" style="809" customWidth="1"/>
    <col min="9233" max="9472" width="0" style="809" hidden="1"/>
    <col min="9473" max="9473" width="44" style="809" customWidth="1"/>
    <col min="9474" max="9485" width="13.7109375" style="809" customWidth="1"/>
    <col min="9486" max="9486" width="15.5703125" style="809" bestFit="1" customWidth="1"/>
    <col min="9487" max="9488" width="11.42578125" style="809" customWidth="1"/>
    <col min="9489" max="9728" width="0" style="809" hidden="1"/>
    <col min="9729" max="9729" width="44" style="809" customWidth="1"/>
    <col min="9730" max="9741" width="13.7109375" style="809" customWidth="1"/>
    <col min="9742" max="9742" width="15.5703125" style="809" bestFit="1" customWidth="1"/>
    <col min="9743" max="9744" width="11.42578125" style="809" customWidth="1"/>
    <col min="9745" max="9984" width="0" style="809" hidden="1"/>
    <col min="9985" max="9985" width="44" style="809" customWidth="1"/>
    <col min="9986" max="9997" width="13.7109375" style="809" customWidth="1"/>
    <col min="9998" max="9998" width="15.5703125" style="809" bestFit="1" customWidth="1"/>
    <col min="9999" max="10000" width="11.42578125" style="809" customWidth="1"/>
    <col min="10001" max="10240" width="0" style="809" hidden="1"/>
    <col min="10241" max="10241" width="44" style="809" customWidth="1"/>
    <col min="10242" max="10253" width="13.7109375" style="809" customWidth="1"/>
    <col min="10254" max="10254" width="15.5703125" style="809" bestFit="1" customWidth="1"/>
    <col min="10255" max="10256" width="11.42578125" style="809" customWidth="1"/>
    <col min="10257" max="10496" width="0" style="809" hidden="1"/>
    <col min="10497" max="10497" width="44" style="809" customWidth="1"/>
    <col min="10498" max="10509" width="13.7109375" style="809" customWidth="1"/>
    <col min="10510" max="10510" width="15.5703125" style="809" bestFit="1" customWidth="1"/>
    <col min="10511" max="10512" width="11.42578125" style="809" customWidth="1"/>
    <col min="10513" max="10752" width="0" style="809" hidden="1"/>
    <col min="10753" max="10753" width="44" style="809" customWidth="1"/>
    <col min="10754" max="10765" width="13.7109375" style="809" customWidth="1"/>
    <col min="10766" max="10766" width="15.5703125" style="809" bestFit="1" customWidth="1"/>
    <col min="10767" max="10768" width="11.42578125" style="809" customWidth="1"/>
    <col min="10769" max="11008" width="0" style="809" hidden="1"/>
    <col min="11009" max="11009" width="44" style="809" customWidth="1"/>
    <col min="11010" max="11021" width="13.7109375" style="809" customWidth="1"/>
    <col min="11022" max="11022" width="15.5703125" style="809" bestFit="1" customWidth="1"/>
    <col min="11023" max="11024" width="11.42578125" style="809" customWidth="1"/>
    <col min="11025" max="11264" width="0" style="809" hidden="1"/>
    <col min="11265" max="11265" width="44" style="809" customWidth="1"/>
    <col min="11266" max="11277" width="13.7109375" style="809" customWidth="1"/>
    <col min="11278" max="11278" width="15.5703125" style="809" bestFit="1" customWidth="1"/>
    <col min="11279" max="11280" width="11.42578125" style="809" customWidth="1"/>
    <col min="11281" max="11520" width="0" style="809" hidden="1"/>
    <col min="11521" max="11521" width="44" style="809" customWidth="1"/>
    <col min="11522" max="11533" width="13.7109375" style="809" customWidth="1"/>
    <col min="11534" max="11534" width="15.5703125" style="809" bestFit="1" customWidth="1"/>
    <col min="11535" max="11536" width="11.42578125" style="809" customWidth="1"/>
    <col min="11537" max="11776" width="0" style="809" hidden="1"/>
    <col min="11777" max="11777" width="44" style="809" customWidth="1"/>
    <col min="11778" max="11789" width="13.7109375" style="809" customWidth="1"/>
    <col min="11790" max="11790" width="15.5703125" style="809" bestFit="1" customWidth="1"/>
    <col min="11791" max="11792" width="11.42578125" style="809" customWidth="1"/>
    <col min="11793" max="12032" width="0" style="809" hidden="1"/>
    <col min="12033" max="12033" width="44" style="809" customWidth="1"/>
    <col min="12034" max="12045" width="13.7109375" style="809" customWidth="1"/>
    <col min="12046" max="12046" width="15.5703125" style="809" bestFit="1" customWidth="1"/>
    <col min="12047" max="12048" width="11.42578125" style="809" customWidth="1"/>
    <col min="12049" max="12288" width="0" style="809" hidden="1"/>
    <col min="12289" max="12289" width="44" style="809" customWidth="1"/>
    <col min="12290" max="12301" width="13.7109375" style="809" customWidth="1"/>
    <col min="12302" max="12302" width="15.5703125" style="809" bestFit="1" customWidth="1"/>
    <col min="12303" max="12304" width="11.42578125" style="809" customWidth="1"/>
    <col min="12305" max="12544" width="0" style="809" hidden="1"/>
    <col min="12545" max="12545" width="44" style="809" customWidth="1"/>
    <col min="12546" max="12557" width="13.7109375" style="809" customWidth="1"/>
    <col min="12558" max="12558" width="15.5703125" style="809" bestFit="1" customWidth="1"/>
    <col min="12559" max="12560" width="11.42578125" style="809" customWidth="1"/>
    <col min="12561" max="12800" width="0" style="809" hidden="1"/>
    <col min="12801" max="12801" width="44" style="809" customWidth="1"/>
    <col min="12802" max="12813" width="13.7109375" style="809" customWidth="1"/>
    <col min="12814" max="12814" width="15.5703125" style="809" bestFit="1" customWidth="1"/>
    <col min="12815" max="12816" width="11.42578125" style="809" customWidth="1"/>
    <col min="12817" max="13056" width="0" style="809" hidden="1"/>
    <col min="13057" max="13057" width="44" style="809" customWidth="1"/>
    <col min="13058" max="13069" width="13.7109375" style="809" customWidth="1"/>
    <col min="13070" max="13070" width="15.5703125" style="809" bestFit="1" customWidth="1"/>
    <col min="13071" max="13072" width="11.42578125" style="809" customWidth="1"/>
    <col min="13073" max="13312" width="0" style="809" hidden="1"/>
    <col min="13313" max="13313" width="44" style="809" customWidth="1"/>
    <col min="13314" max="13325" width="13.7109375" style="809" customWidth="1"/>
    <col min="13326" max="13326" width="15.5703125" style="809" bestFit="1" customWidth="1"/>
    <col min="13327" max="13328" width="11.42578125" style="809" customWidth="1"/>
    <col min="13329" max="13568" width="0" style="809" hidden="1"/>
    <col min="13569" max="13569" width="44" style="809" customWidth="1"/>
    <col min="13570" max="13581" width="13.7109375" style="809" customWidth="1"/>
    <col min="13582" max="13582" width="15.5703125" style="809" bestFit="1" customWidth="1"/>
    <col min="13583" max="13584" width="11.42578125" style="809" customWidth="1"/>
    <col min="13585" max="13824" width="0" style="809" hidden="1"/>
    <col min="13825" max="13825" width="44" style="809" customWidth="1"/>
    <col min="13826" max="13837" width="13.7109375" style="809" customWidth="1"/>
    <col min="13838" max="13838" width="15.5703125" style="809" bestFit="1" customWidth="1"/>
    <col min="13839" max="13840" width="11.42578125" style="809" customWidth="1"/>
    <col min="13841" max="14080" width="0" style="809" hidden="1"/>
    <col min="14081" max="14081" width="44" style="809" customWidth="1"/>
    <col min="14082" max="14093" width="13.7109375" style="809" customWidth="1"/>
    <col min="14094" max="14094" width="15.5703125" style="809" bestFit="1" customWidth="1"/>
    <col min="14095" max="14096" width="11.42578125" style="809" customWidth="1"/>
    <col min="14097" max="14336" width="0" style="809" hidden="1"/>
    <col min="14337" max="14337" width="44" style="809" customWidth="1"/>
    <col min="14338" max="14349" width="13.7109375" style="809" customWidth="1"/>
    <col min="14350" max="14350" width="15.5703125" style="809" bestFit="1" customWidth="1"/>
    <col min="14351" max="14352" width="11.42578125" style="809" customWidth="1"/>
    <col min="14353" max="14592" width="0" style="809" hidden="1"/>
    <col min="14593" max="14593" width="44" style="809" customWidth="1"/>
    <col min="14594" max="14605" width="13.7109375" style="809" customWidth="1"/>
    <col min="14606" max="14606" width="15.5703125" style="809" bestFit="1" customWidth="1"/>
    <col min="14607" max="14608" width="11.42578125" style="809" customWidth="1"/>
    <col min="14609" max="14848" width="0" style="809" hidden="1"/>
    <col min="14849" max="14849" width="44" style="809" customWidth="1"/>
    <col min="14850" max="14861" width="13.7109375" style="809" customWidth="1"/>
    <col min="14862" max="14862" width="15.5703125" style="809" bestFit="1" customWidth="1"/>
    <col min="14863" max="14864" width="11.42578125" style="809" customWidth="1"/>
    <col min="14865" max="15104" width="0" style="809" hidden="1"/>
    <col min="15105" max="15105" width="44" style="809" customWidth="1"/>
    <col min="15106" max="15117" width="13.7109375" style="809" customWidth="1"/>
    <col min="15118" max="15118" width="15.5703125" style="809" bestFit="1" customWidth="1"/>
    <col min="15119" max="15120" width="11.42578125" style="809" customWidth="1"/>
    <col min="15121" max="15360" width="0" style="809" hidden="1"/>
    <col min="15361" max="15361" width="44" style="809" customWidth="1"/>
    <col min="15362" max="15373" width="13.7109375" style="809" customWidth="1"/>
    <col min="15374" max="15374" width="15.5703125" style="809" bestFit="1" customWidth="1"/>
    <col min="15375" max="15376" width="11.42578125" style="809" customWidth="1"/>
    <col min="15377" max="15616" width="0" style="809" hidden="1"/>
    <col min="15617" max="15617" width="44" style="809" customWidth="1"/>
    <col min="15618" max="15629" width="13.7109375" style="809" customWidth="1"/>
    <col min="15630" max="15630" width="15.5703125" style="809" bestFit="1" customWidth="1"/>
    <col min="15631" max="15632" width="11.42578125" style="809" customWidth="1"/>
    <col min="15633" max="15872" width="0" style="809" hidden="1"/>
    <col min="15873" max="15873" width="44" style="809" customWidth="1"/>
    <col min="15874" max="15885" width="13.7109375" style="809" customWidth="1"/>
    <col min="15886" max="15886" width="15.5703125" style="809" bestFit="1" customWidth="1"/>
    <col min="15887" max="15888" width="11.42578125" style="809" customWidth="1"/>
    <col min="15889" max="16128" width="0" style="809" hidden="1"/>
    <col min="16129" max="16129" width="44" style="809" customWidth="1"/>
    <col min="16130" max="16141" width="13.7109375" style="809" customWidth="1"/>
    <col min="16142" max="16142" width="15.5703125" style="809" bestFit="1" customWidth="1"/>
    <col min="16143" max="16144" width="11.42578125" style="809" customWidth="1"/>
    <col min="16145" max="16384" width="0" style="809" hidden="1"/>
  </cols>
  <sheetData>
    <row r="1" spans="1:20" x14ac:dyDescent="0.2">
      <c r="A1" s="810"/>
      <c r="B1" s="810"/>
      <c r="C1" s="810"/>
      <c r="D1" s="810"/>
      <c r="E1" s="810"/>
      <c r="F1" s="810"/>
      <c r="G1" s="810"/>
      <c r="H1" s="810"/>
      <c r="I1" s="810"/>
      <c r="J1" s="810"/>
      <c r="K1" s="810"/>
      <c r="L1" s="810"/>
      <c r="M1" s="810"/>
      <c r="N1" s="810"/>
    </row>
    <row r="2" spans="1:20" ht="23.25" x14ac:dyDescent="0.35">
      <c r="A2" s="911" t="str">
        <f>'Volumen Presupuesto'!A2</f>
        <v>TRANSPORTES BONAMPAK, S.A. DE C.V.</v>
      </c>
      <c r="B2" s="810"/>
      <c r="C2" s="810"/>
      <c r="D2" s="810"/>
      <c r="E2" s="810"/>
      <c r="F2" s="810"/>
      <c r="G2" s="810"/>
      <c r="H2" s="810"/>
      <c r="I2" s="810"/>
      <c r="J2" s="810"/>
      <c r="K2" s="810"/>
      <c r="L2" s="810"/>
      <c r="M2" s="810"/>
      <c r="N2" s="810"/>
    </row>
    <row r="3" spans="1:20" x14ac:dyDescent="0.2">
      <c r="A3" s="808"/>
      <c r="B3" s="810"/>
      <c r="C3" s="810"/>
      <c r="D3" s="810"/>
      <c r="E3" s="810"/>
      <c r="F3" s="810"/>
      <c r="G3" s="810"/>
      <c r="H3" s="810"/>
      <c r="I3" s="810"/>
      <c r="J3" s="810"/>
      <c r="K3" s="810"/>
      <c r="L3" s="810"/>
      <c r="M3" s="810"/>
      <c r="N3" s="810"/>
    </row>
    <row r="4" spans="1:20" ht="15.75" x14ac:dyDescent="0.25">
      <c r="A4" s="873" t="str">
        <f>'Volumen Presupuesto'!A4</f>
        <v>PRESUPUESTO  2014</v>
      </c>
      <c r="B4" s="810"/>
      <c r="C4" s="810"/>
      <c r="D4" s="810"/>
      <c r="E4" s="810"/>
      <c r="F4" s="810"/>
      <c r="G4" s="810"/>
      <c r="H4" s="810"/>
      <c r="I4" s="810"/>
      <c r="J4" s="810"/>
      <c r="K4" s="810"/>
      <c r="L4" s="810"/>
      <c r="M4" s="810"/>
      <c r="N4" s="810"/>
    </row>
    <row r="5" spans="1:20" ht="15.75" x14ac:dyDescent="0.25">
      <c r="A5" s="873" t="s">
        <v>9962</v>
      </c>
      <c r="B5" s="810"/>
      <c r="C5" s="810"/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</row>
    <row r="6" spans="1:20" ht="16.5" thickBot="1" x14ac:dyDescent="0.3">
      <c r="A6" s="875" t="s">
        <v>9963</v>
      </c>
      <c r="B6" s="876"/>
      <c r="C6" s="876"/>
      <c r="D6" s="876"/>
      <c r="E6" s="876"/>
      <c r="F6" s="876"/>
      <c r="G6" s="876"/>
      <c r="H6" s="876"/>
      <c r="I6" s="876"/>
      <c r="J6" s="876"/>
      <c r="K6" s="876"/>
      <c r="L6" s="876"/>
      <c r="M6" s="876"/>
      <c r="N6" s="876"/>
    </row>
    <row r="7" spans="1:20" ht="13.5" thickTop="1" x14ac:dyDescent="0.2">
      <c r="A7" s="878"/>
      <c r="B7" s="1001"/>
      <c r="C7" s="1001"/>
      <c r="D7" s="1001"/>
      <c r="E7" s="1001"/>
      <c r="F7" s="1001"/>
      <c r="G7" s="1001"/>
      <c r="H7" s="1001"/>
      <c r="I7" s="1001"/>
      <c r="J7" s="1001"/>
      <c r="K7" s="1001"/>
      <c r="L7" s="1001"/>
      <c r="M7" s="1001"/>
      <c r="N7" s="1002" t="s">
        <v>135</v>
      </c>
      <c r="T7" s="815"/>
    </row>
    <row r="8" spans="1:20" ht="15.75" x14ac:dyDescent="0.25">
      <c r="A8" s="973" t="s">
        <v>5</v>
      </c>
      <c r="B8" s="1003" t="s">
        <v>8</v>
      </c>
      <c r="C8" s="1003" t="s">
        <v>9</v>
      </c>
      <c r="D8" s="1003" t="s">
        <v>10</v>
      </c>
      <c r="E8" s="1003" t="s">
        <v>11</v>
      </c>
      <c r="F8" s="1003" t="s">
        <v>12</v>
      </c>
      <c r="G8" s="1003" t="s">
        <v>13</v>
      </c>
      <c r="H8" s="1003" t="s">
        <v>14</v>
      </c>
      <c r="I8" s="1003" t="s">
        <v>15</v>
      </c>
      <c r="J8" s="1003" t="s">
        <v>16</v>
      </c>
      <c r="K8" s="1003" t="s">
        <v>17</v>
      </c>
      <c r="L8" s="1003" t="s">
        <v>18</v>
      </c>
      <c r="M8" s="1003" t="s">
        <v>19</v>
      </c>
      <c r="N8" s="975">
        <v>2014</v>
      </c>
      <c r="T8" s="815"/>
    </row>
    <row r="9" spans="1:20" x14ac:dyDescent="0.2">
      <c r="A9" s="882"/>
      <c r="B9" s="883"/>
      <c r="C9" s="883"/>
      <c r="D9" s="883"/>
      <c r="E9" s="883"/>
      <c r="F9" s="883"/>
      <c r="G9" s="883"/>
      <c r="H9" s="883"/>
      <c r="I9" s="883"/>
      <c r="J9" s="883"/>
      <c r="K9" s="883"/>
      <c r="L9" s="883"/>
      <c r="M9" s="883"/>
      <c r="N9" s="884"/>
      <c r="T9" s="815"/>
    </row>
    <row r="10" spans="1:20" ht="15.75" x14ac:dyDescent="0.25">
      <c r="A10" s="977" t="s">
        <v>9964</v>
      </c>
      <c r="B10" s="885"/>
      <c r="C10" s="885"/>
      <c r="D10" s="885"/>
      <c r="E10" s="885"/>
      <c r="F10" s="885"/>
      <c r="G10" s="885"/>
      <c r="H10" s="885"/>
      <c r="I10" s="885"/>
      <c r="J10" s="885"/>
      <c r="K10" s="885"/>
      <c r="L10" s="885"/>
      <c r="M10" s="885"/>
      <c r="N10" s="815"/>
      <c r="T10" s="815"/>
    </row>
    <row r="11" spans="1:20" x14ac:dyDescent="0.2">
      <c r="A11" s="878"/>
      <c r="B11" s="885"/>
      <c r="C11" s="885"/>
      <c r="D11" s="885"/>
      <c r="E11" s="885"/>
      <c r="F11" s="885"/>
      <c r="G11" s="885"/>
      <c r="H11" s="885"/>
      <c r="I11" s="885"/>
      <c r="J11" s="885"/>
      <c r="K11" s="885"/>
      <c r="L11" s="885"/>
      <c r="M11" s="885"/>
      <c r="N11" s="815"/>
      <c r="T11" s="815"/>
    </row>
    <row r="12" spans="1:20" x14ac:dyDescent="0.2">
      <c r="A12" s="895" t="s">
        <v>9965</v>
      </c>
      <c r="B12" s="1004">
        <v>78</v>
      </c>
      <c r="C12" s="1004">
        <v>78</v>
      </c>
      <c r="D12" s="1004">
        <f>78+7</f>
        <v>85</v>
      </c>
      <c r="E12" s="1004">
        <f t="shared" ref="E12:M12" si="0">78+7</f>
        <v>85</v>
      </c>
      <c r="F12" s="1004">
        <f t="shared" si="0"/>
        <v>85</v>
      </c>
      <c r="G12" s="1004">
        <f t="shared" si="0"/>
        <v>85</v>
      </c>
      <c r="H12" s="1004">
        <f t="shared" si="0"/>
        <v>85</v>
      </c>
      <c r="I12" s="1004">
        <f t="shared" si="0"/>
        <v>85</v>
      </c>
      <c r="J12" s="1004">
        <f t="shared" si="0"/>
        <v>85</v>
      </c>
      <c r="K12" s="1004">
        <f t="shared" si="0"/>
        <v>85</v>
      </c>
      <c r="L12" s="1004">
        <f t="shared" si="0"/>
        <v>85</v>
      </c>
      <c r="M12" s="1004">
        <f t="shared" si="0"/>
        <v>85</v>
      </c>
      <c r="N12" s="1005">
        <f>SUM(B12:M12)/12</f>
        <v>83.833333333333329</v>
      </c>
      <c r="T12" s="815"/>
    </row>
    <row r="13" spans="1:20" x14ac:dyDescent="0.2">
      <c r="A13" s="878"/>
      <c r="B13" s="885"/>
      <c r="C13" s="885"/>
      <c r="D13" s="885"/>
      <c r="E13" s="885"/>
      <c r="F13" s="885"/>
      <c r="G13" s="885"/>
      <c r="H13" s="885"/>
      <c r="I13" s="885"/>
      <c r="J13" s="885"/>
      <c r="K13" s="885"/>
      <c r="L13" s="885"/>
      <c r="M13" s="885"/>
      <c r="N13" s="924"/>
      <c r="T13" s="815"/>
    </row>
    <row r="14" spans="1:20" x14ac:dyDescent="0.2">
      <c r="A14" s="895" t="s">
        <v>9966</v>
      </c>
      <c r="B14" s="885"/>
      <c r="C14" s="885"/>
      <c r="D14" s="885"/>
      <c r="E14" s="885"/>
      <c r="F14" s="885"/>
      <c r="G14" s="885"/>
      <c r="H14" s="885"/>
      <c r="I14" s="885"/>
      <c r="J14" s="885"/>
      <c r="K14" s="885"/>
      <c r="L14" s="885"/>
      <c r="M14" s="885"/>
      <c r="N14" s="924"/>
      <c r="T14" s="815"/>
    </row>
    <row r="15" spans="1:20" x14ac:dyDescent="0.2">
      <c r="A15" s="878" t="s">
        <v>9967</v>
      </c>
      <c r="B15" s="1006">
        <v>165</v>
      </c>
      <c r="C15" s="1006">
        <v>165</v>
      </c>
      <c r="D15" s="1006">
        <v>165</v>
      </c>
      <c r="E15" s="1006">
        <v>165</v>
      </c>
      <c r="F15" s="1006">
        <v>165</v>
      </c>
      <c r="G15" s="1006">
        <v>165</v>
      </c>
      <c r="H15" s="1006">
        <v>165</v>
      </c>
      <c r="I15" s="1006">
        <v>165</v>
      </c>
      <c r="J15" s="1006">
        <v>165</v>
      </c>
      <c r="K15" s="1006">
        <v>165</v>
      </c>
      <c r="L15" s="1006">
        <v>165</v>
      </c>
      <c r="M15" s="1006">
        <v>165</v>
      </c>
      <c r="N15" s="1007">
        <f>SUM(B15:M15)/12</f>
        <v>165</v>
      </c>
      <c r="T15" s="815"/>
    </row>
    <row r="16" spans="1:20" x14ac:dyDescent="0.2">
      <c r="A16" s="878" t="s">
        <v>10362</v>
      </c>
      <c r="B16" s="1006">
        <v>10</v>
      </c>
      <c r="C16" s="1006">
        <v>10</v>
      </c>
      <c r="D16" s="1006">
        <v>10</v>
      </c>
      <c r="E16" s="1006">
        <v>10</v>
      </c>
      <c r="F16" s="1006">
        <v>10</v>
      </c>
      <c r="G16" s="1006">
        <v>10</v>
      </c>
      <c r="H16" s="1006">
        <v>10</v>
      </c>
      <c r="I16" s="1006">
        <v>10</v>
      </c>
      <c r="J16" s="1006">
        <v>10</v>
      </c>
      <c r="K16" s="1006">
        <v>10</v>
      </c>
      <c r="L16" s="1006">
        <v>10</v>
      </c>
      <c r="M16" s="1006">
        <v>10</v>
      </c>
      <c r="N16" s="1007">
        <f>SUM(B16:M16)/12</f>
        <v>10</v>
      </c>
      <c r="T16" s="815"/>
    </row>
    <row r="17" spans="1:20" x14ac:dyDescent="0.2">
      <c r="A17" s="878" t="s">
        <v>9968</v>
      </c>
      <c r="B17" s="1006">
        <v>0</v>
      </c>
      <c r="C17" s="1006">
        <v>0</v>
      </c>
      <c r="D17" s="1006">
        <v>0</v>
      </c>
      <c r="E17" s="1006">
        <v>0</v>
      </c>
      <c r="F17" s="1006">
        <v>0</v>
      </c>
      <c r="G17" s="1006">
        <v>0</v>
      </c>
      <c r="H17" s="1006">
        <v>0</v>
      </c>
      <c r="I17" s="1006">
        <v>0</v>
      </c>
      <c r="J17" s="1006">
        <v>0</v>
      </c>
      <c r="K17" s="1006">
        <v>0</v>
      </c>
      <c r="L17" s="1006">
        <v>0</v>
      </c>
      <c r="M17" s="1006">
        <v>0</v>
      </c>
      <c r="N17" s="1007">
        <v>0</v>
      </c>
      <c r="T17" s="815"/>
    </row>
    <row r="18" spans="1:20" x14ac:dyDescent="0.2">
      <c r="A18" s="895" t="s">
        <v>9969</v>
      </c>
      <c r="B18" s="1008">
        <f t="shared" ref="B18:M18" si="1">SUM(B15:B17)</f>
        <v>175</v>
      </c>
      <c r="C18" s="1008">
        <f t="shared" si="1"/>
        <v>175</v>
      </c>
      <c r="D18" s="1008">
        <f t="shared" si="1"/>
        <v>175</v>
      </c>
      <c r="E18" s="1008">
        <f t="shared" si="1"/>
        <v>175</v>
      </c>
      <c r="F18" s="1008">
        <f t="shared" si="1"/>
        <v>175</v>
      </c>
      <c r="G18" s="1008">
        <f t="shared" si="1"/>
        <v>175</v>
      </c>
      <c r="H18" s="1008">
        <f t="shared" si="1"/>
        <v>175</v>
      </c>
      <c r="I18" s="1008">
        <f t="shared" si="1"/>
        <v>175</v>
      </c>
      <c r="J18" s="1008">
        <f t="shared" si="1"/>
        <v>175</v>
      </c>
      <c r="K18" s="1008">
        <f t="shared" si="1"/>
        <v>175</v>
      </c>
      <c r="L18" s="1008">
        <f t="shared" si="1"/>
        <v>175</v>
      </c>
      <c r="M18" s="1008">
        <f t="shared" si="1"/>
        <v>175</v>
      </c>
      <c r="N18" s="1009">
        <f>+SUM(N15:N17)</f>
        <v>175</v>
      </c>
      <c r="O18" s="1010"/>
      <c r="T18" s="815"/>
    </row>
    <row r="19" spans="1:20" x14ac:dyDescent="0.2">
      <c r="A19" s="878"/>
      <c r="B19" s="1006"/>
      <c r="C19" s="1006"/>
      <c r="D19" s="1006"/>
      <c r="E19" s="1006"/>
      <c r="F19" s="1006"/>
      <c r="G19" s="1006"/>
      <c r="H19" s="1006"/>
      <c r="I19" s="1006"/>
      <c r="J19" s="1006"/>
      <c r="K19" s="1006"/>
      <c r="L19" s="1006"/>
      <c r="M19" s="1006"/>
      <c r="N19" s="1007"/>
      <c r="T19" s="815"/>
    </row>
    <row r="20" spans="1:20" x14ac:dyDescent="0.2">
      <c r="A20" s="895" t="s">
        <v>9970</v>
      </c>
      <c r="B20" s="1008">
        <v>25</v>
      </c>
      <c r="C20" s="1008">
        <v>25</v>
      </c>
      <c r="D20" s="1008">
        <v>25</v>
      </c>
      <c r="E20" s="1008">
        <v>25</v>
      </c>
      <c r="F20" s="1008">
        <v>25</v>
      </c>
      <c r="G20" s="1008">
        <v>25</v>
      </c>
      <c r="H20" s="1008">
        <v>25</v>
      </c>
      <c r="I20" s="1008">
        <v>25</v>
      </c>
      <c r="J20" s="1008">
        <v>25</v>
      </c>
      <c r="K20" s="1008">
        <v>25</v>
      </c>
      <c r="L20" s="1008">
        <v>25</v>
      </c>
      <c r="M20" s="1008">
        <v>25</v>
      </c>
      <c r="N20" s="1008">
        <v>25</v>
      </c>
      <c r="T20" s="815"/>
    </row>
    <row r="21" spans="1:20" x14ac:dyDescent="0.2">
      <c r="A21" s="878"/>
      <c r="B21" s="1006"/>
      <c r="C21" s="1006"/>
      <c r="D21" s="1006"/>
      <c r="E21" s="1006"/>
      <c r="F21" s="1006"/>
      <c r="G21" s="1006"/>
      <c r="H21" s="1006"/>
      <c r="I21" s="1006"/>
      <c r="J21" s="1006"/>
      <c r="K21" s="1006"/>
      <c r="L21" s="1006"/>
      <c r="M21" s="1006"/>
      <c r="N21" s="1007"/>
      <c r="T21" s="815"/>
    </row>
    <row r="22" spans="1:20" x14ac:dyDescent="0.2">
      <c r="A22" s="878"/>
      <c r="B22" s="1006"/>
      <c r="C22" s="1006"/>
      <c r="D22" s="1006"/>
      <c r="E22" s="1006"/>
      <c r="F22" s="1006"/>
      <c r="G22" s="1006"/>
      <c r="H22" s="1006"/>
      <c r="I22" s="1006"/>
      <c r="J22" s="1006"/>
      <c r="K22" s="1006"/>
      <c r="L22" s="1006"/>
      <c r="M22" s="1006"/>
      <c r="N22" s="1007"/>
      <c r="T22" s="815"/>
    </row>
    <row r="23" spans="1:20" x14ac:dyDescent="0.2">
      <c r="A23" s="878"/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7"/>
      <c r="T23" s="815"/>
    </row>
    <row r="24" spans="1:20" ht="15.75" x14ac:dyDescent="0.25">
      <c r="A24" s="977"/>
      <c r="B24" s="1011">
        <f t="shared" ref="B24:M24" si="2">SUM(B12+B18+B20)</f>
        <v>278</v>
      </c>
      <c r="C24" s="1011">
        <f t="shared" si="2"/>
        <v>278</v>
      </c>
      <c r="D24" s="1011">
        <f t="shared" si="2"/>
        <v>285</v>
      </c>
      <c r="E24" s="1011">
        <f t="shared" si="2"/>
        <v>285</v>
      </c>
      <c r="F24" s="1011">
        <f t="shared" si="2"/>
        <v>285</v>
      </c>
      <c r="G24" s="1011">
        <f t="shared" si="2"/>
        <v>285</v>
      </c>
      <c r="H24" s="1011">
        <f t="shared" si="2"/>
        <v>285</v>
      </c>
      <c r="I24" s="1011">
        <f t="shared" si="2"/>
        <v>285</v>
      </c>
      <c r="J24" s="1011">
        <f t="shared" si="2"/>
        <v>285</v>
      </c>
      <c r="K24" s="1011">
        <f t="shared" si="2"/>
        <v>285</v>
      </c>
      <c r="L24" s="1011">
        <f t="shared" si="2"/>
        <v>285</v>
      </c>
      <c r="M24" s="1011">
        <f t="shared" si="2"/>
        <v>285</v>
      </c>
      <c r="N24" s="1012">
        <f>SUM(N12+N18+N20)</f>
        <v>283.83333333333331</v>
      </c>
      <c r="T24" s="815"/>
    </row>
    <row r="25" spans="1:20" x14ac:dyDescent="0.2">
      <c r="A25" s="878"/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7"/>
      <c r="T25" s="815"/>
    </row>
    <row r="26" spans="1:20" x14ac:dyDescent="0.2">
      <c r="A26" s="895"/>
      <c r="B26" s="1006"/>
      <c r="C26" s="1006"/>
      <c r="D26" s="1006"/>
      <c r="E26" s="1006"/>
      <c r="F26" s="1006"/>
      <c r="G26" s="1006"/>
      <c r="H26" s="1006"/>
      <c r="I26" s="1006"/>
      <c r="J26" s="1006"/>
      <c r="K26" s="1006"/>
      <c r="L26" s="1006"/>
      <c r="M26" s="1006"/>
      <c r="N26" s="1007"/>
      <c r="T26" s="815"/>
    </row>
    <row r="27" spans="1:20" ht="15.75" x14ac:dyDescent="0.25">
      <c r="A27" s="977" t="s">
        <v>9971</v>
      </c>
      <c r="B27" s="1006"/>
      <c r="C27" s="1006"/>
      <c r="D27" s="1006"/>
      <c r="E27" s="1006"/>
      <c r="F27" s="1006"/>
      <c r="G27" s="1006"/>
      <c r="H27" s="1006"/>
      <c r="I27" s="1006"/>
      <c r="J27" s="1006"/>
      <c r="K27" s="1006"/>
      <c r="L27" s="1006"/>
      <c r="M27" s="1006"/>
      <c r="N27" s="1007"/>
      <c r="T27" s="815"/>
    </row>
    <row r="28" spans="1:20" x14ac:dyDescent="0.2">
      <c r="A28" s="878"/>
      <c r="B28" s="1006"/>
      <c r="C28" s="1006"/>
      <c r="D28" s="1006"/>
      <c r="E28" s="1006"/>
      <c r="F28" s="1006"/>
      <c r="G28" s="1006"/>
      <c r="H28" s="1006"/>
      <c r="I28" s="1006"/>
      <c r="J28" s="1006"/>
      <c r="K28" s="1006"/>
      <c r="L28" s="1006"/>
      <c r="M28" s="1006"/>
      <c r="N28" s="1007"/>
      <c r="T28" s="815"/>
    </row>
    <row r="29" spans="1:20" x14ac:dyDescent="0.2">
      <c r="A29" s="895" t="s">
        <v>9972</v>
      </c>
      <c r="B29" s="1006"/>
      <c r="C29" s="1006"/>
      <c r="D29" s="1006"/>
      <c r="E29" s="1006"/>
      <c r="F29" s="1006"/>
      <c r="G29" s="1006"/>
      <c r="H29" s="1006"/>
      <c r="I29" s="1006"/>
      <c r="J29" s="1006"/>
      <c r="K29" s="1006"/>
      <c r="L29" s="1006"/>
      <c r="M29" s="1006"/>
      <c r="N29" s="1007"/>
      <c r="T29" s="815"/>
    </row>
    <row r="30" spans="1:20" x14ac:dyDescent="0.2">
      <c r="A30" s="878" t="s">
        <v>9973</v>
      </c>
      <c r="B30" s="1013">
        <f>Edo.Res.detalle!D16</f>
        <v>24895038.528804429</v>
      </c>
      <c r="C30" s="1013">
        <f>Edo.Res.detalle!E16</f>
        <v>25246672.129938908</v>
      </c>
      <c r="D30" s="1013">
        <f>Edo.Res.detalle!F16</f>
        <v>26103872.654077869</v>
      </c>
      <c r="E30" s="1013">
        <f>Edo.Res.detalle!G16</f>
        <v>27552632.082968466</v>
      </c>
      <c r="F30" s="1013">
        <f>Edo.Res.detalle!H16</f>
        <v>26572986.006645367</v>
      </c>
      <c r="G30" s="1013">
        <f>Edo.Res.detalle!I16</f>
        <v>26701882.528764393</v>
      </c>
      <c r="H30" s="1013">
        <f>Edo.Res.detalle!J16</f>
        <v>29307796.170173898</v>
      </c>
      <c r="I30" s="1013">
        <f>Edo.Res.detalle!K16</f>
        <v>28702331.528790288</v>
      </c>
      <c r="J30" s="1013">
        <f>Edo.Res.detalle!L16</f>
        <v>25401321.796852015</v>
      </c>
      <c r="K30" s="1013">
        <f>Edo.Res.detalle!M16</f>
        <v>32801079.302175313</v>
      </c>
      <c r="L30" s="1013">
        <f>Edo.Res.detalle!N16</f>
        <v>29156576.823983856</v>
      </c>
      <c r="M30" s="1013">
        <f>Edo.Res.detalle!O16</f>
        <v>29155741.326305553</v>
      </c>
      <c r="N30" s="1014">
        <f>SUM(B30:M30)</f>
        <v>331597930.87948036</v>
      </c>
      <c r="T30" s="815"/>
    </row>
    <row r="31" spans="1:20" x14ac:dyDescent="0.2">
      <c r="A31" s="878" t="s">
        <v>9974</v>
      </c>
      <c r="B31" s="1013">
        <f>+'[4]Estado de Resultados'!B18</f>
        <v>0</v>
      </c>
      <c r="C31" s="1013">
        <f>+'[4]Estado de Resultados'!C18</f>
        <v>0</v>
      </c>
      <c r="D31" s="1013">
        <f>+'[4]Estado de Resultados'!D18</f>
        <v>0</v>
      </c>
      <c r="E31" s="1013">
        <f>+'[4]Estado de Resultados'!E18</f>
        <v>0</v>
      </c>
      <c r="F31" s="1013">
        <f>+'[4]Estado de Resultados'!F18</f>
        <v>0</v>
      </c>
      <c r="G31" s="1013">
        <f>+'[4]Estado de Resultados'!G18</f>
        <v>0</v>
      </c>
      <c r="H31" s="1013">
        <f>+'[4]Estado de Resultados'!H18</f>
        <v>0</v>
      </c>
      <c r="I31" s="1013">
        <f>+'[4]Estado de Resultados'!I18</f>
        <v>0</v>
      </c>
      <c r="J31" s="1013">
        <f>+'[4]Estado de Resultados'!J18</f>
        <v>0</v>
      </c>
      <c r="K31" s="1013">
        <f>+'[4]Estado de Resultados'!K18</f>
        <v>0</v>
      </c>
      <c r="L31" s="1013">
        <f>+'[4]Estado de Resultados'!L18</f>
        <v>0</v>
      </c>
      <c r="M31" s="1013">
        <f>+'[4]Estado de Resultados'!M18</f>
        <v>0</v>
      </c>
      <c r="N31" s="1014">
        <f>SUM(B31:M31)</f>
        <v>0</v>
      </c>
      <c r="T31" s="815"/>
    </row>
    <row r="32" spans="1:20" x14ac:dyDescent="0.2">
      <c r="A32" s="878" t="s">
        <v>9975</v>
      </c>
      <c r="B32" s="1013">
        <f>Edo.Res.detalle!D18</f>
        <v>1331785.4894819686</v>
      </c>
      <c r="C32" s="1013">
        <f>Edo.Res.detalle!E18</f>
        <v>2357352.6722991513</v>
      </c>
      <c r="D32" s="1013">
        <f>Edo.Res.detalle!F18</f>
        <v>2472584.940031419</v>
      </c>
      <c r="E32" s="1013">
        <f>Edo.Res.detalle!G18</f>
        <v>2904705.9440274229</v>
      </c>
      <c r="F32" s="1013">
        <f>Edo.Res.detalle!H18</f>
        <v>3878418.6063650846</v>
      </c>
      <c r="G32" s="1013">
        <f>Edo.Res.detalle!I18</f>
        <v>3768947.9520194307</v>
      </c>
      <c r="H32" s="1013">
        <f>Edo.Res.detalle!J18</f>
        <v>3987889.2607107395</v>
      </c>
      <c r="I32" s="1013">
        <f>Edo.Res.detalle!K18</f>
        <v>3878418.6063650846</v>
      </c>
      <c r="J32" s="1013">
        <f>Edo.Res.detalle!L18</f>
        <v>3768947.9520194307</v>
      </c>
      <c r="K32" s="1013">
        <f>Edo.Res.detalle!M18</f>
        <v>3987889.2607107395</v>
      </c>
      <c r="L32" s="1013">
        <f>Edo.Res.detalle!N18</f>
        <v>3659477.2976737767</v>
      </c>
      <c r="M32" s="1013">
        <f>Edo.Res.detalle!O18</f>
        <v>3878418.6063650846</v>
      </c>
      <c r="N32" s="1014">
        <f>SUM(B32:M32)</f>
        <v>39874836.588069335</v>
      </c>
      <c r="T32" s="815"/>
    </row>
    <row r="33" spans="1:20" x14ac:dyDescent="0.2">
      <c r="A33" s="895" t="s">
        <v>9969</v>
      </c>
      <c r="B33" s="1015">
        <f t="shared" ref="B33:L33" si="3">SUM(B30:B32)</f>
        <v>26226824.018286396</v>
      </c>
      <c r="C33" s="1015">
        <f t="shared" si="3"/>
        <v>27604024.802238058</v>
      </c>
      <c r="D33" s="1015">
        <f t="shared" si="3"/>
        <v>28576457.594109289</v>
      </c>
      <c r="E33" s="1015">
        <f t="shared" si="3"/>
        <v>30457338.02699589</v>
      </c>
      <c r="F33" s="1015">
        <f t="shared" si="3"/>
        <v>30451404.613010451</v>
      </c>
      <c r="G33" s="1015">
        <f t="shared" si="3"/>
        <v>30470830.480783824</v>
      </c>
      <c r="H33" s="1015">
        <f t="shared" si="3"/>
        <v>33295685.430884637</v>
      </c>
      <c r="I33" s="1015">
        <f t="shared" si="3"/>
        <v>32580750.135155372</v>
      </c>
      <c r="J33" s="1015">
        <f t="shared" si="3"/>
        <v>29170269.748871446</v>
      </c>
      <c r="K33" s="1015">
        <f t="shared" si="3"/>
        <v>36788968.562886052</v>
      </c>
      <c r="L33" s="1015">
        <f t="shared" si="3"/>
        <v>32816054.121657632</v>
      </c>
      <c r="M33" s="1015">
        <f>SUM(M30:M32)</f>
        <v>33034159.932670638</v>
      </c>
      <c r="N33" s="1016">
        <f>SUM(N30:N32)</f>
        <v>371472767.46754968</v>
      </c>
      <c r="T33" s="815"/>
    </row>
    <row r="34" spans="1:20" x14ac:dyDescent="0.2">
      <c r="A34" s="878"/>
      <c r="B34" s="1006"/>
      <c r="C34" s="1006"/>
      <c r="D34" s="1006"/>
      <c r="E34" s="1006"/>
      <c r="F34" s="1006"/>
      <c r="G34" s="1006"/>
      <c r="H34" s="1006"/>
      <c r="I34" s="1006"/>
      <c r="J34" s="1006"/>
      <c r="K34" s="1006"/>
      <c r="L34" s="1006"/>
      <c r="M34" s="1006"/>
      <c r="N34" s="1007"/>
      <c r="T34" s="815"/>
    </row>
    <row r="35" spans="1:20" ht="15.75" x14ac:dyDescent="0.25">
      <c r="A35" s="977" t="s">
        <v>9976</v>
      </c>
      <c r="B35" s="1006"/>
      <c r="C35" s="1006"/>
      <c r="D35" s="1006"/>
      <c r="E35" s="1006"/>
      <c r="F35" s="1006"/>
      <c r="G35" s="1006"/>
      <c r="H35" s="1006"/>
      <c r="I35" s="1006"/>
      <c r="J35" s="1006"/>
      <c r="K35" s="1006"/>
      <c r="L35" s="1006"/>
      <c r="M35" s="1006"/>
      <c r="N35" s="1007"/>
      <c r="T35" s="815"/>
    </row>
    <row r="36" spans="1:20" x14ac:dyDescent="0.2">
      <c r="A36" s="878"/>
      <c r="B36" s="1006"/>
      <c r="C36" s="1006"/>
      <c r="D36" s="1006"/>
      <c r="E36" s="1006"/>
      <c r="F36" s="1006"/>
      <c r="G36" s="1006"/>
      <c r="H36" s="1006"/>
      <c r="I36" s="1006"/>
      <c r="J36" s="1006"/>
      <c r="K36" s="1006"/>
      <c r="L36" s="1006"/>
      <c r="M36" s="1006"/>
      <c r="N36" s="1007"/>
      <c r="T36" s="815"/>
    </row>
    <row r="37" spans="1:20" x14ac:dyDescent="0.2">
      <c r="A37" s="878" t="s">
        <v>9977</v>
      </c>
      <c r="B37" s="1006">
        <f>Edo.Res.detalle!D7+Edo.Res.detalle!D11</f>
        <v>1091359.409933222</v>
      </c>
      <c r="C37" s="1006">
        <f>Edo.Res.detalle!E7+Edo.Res.detalle!E11</f>
        <v>1131485.4270816166</v>
      </c>
      <c r="D37" s="1006">
        <f>Edo.Res.detalle!F7+Edo.Res.detalle!F11</f>
        <v>1172549.5946727814</v>
      </c>
      <c r="E37" s="1006">
        <f>Edo.Res.detalle!G7+Edo.Res.detalle!G11</f>
        <v>1256817.7819435471</v>
      </c>
      <c r="F37" s="1006">
        <f>Edo.Res.detalle!H7+Edo.Res.detalle!H11</f>
        <v>1279117.9472431128</v>
      </c>
      <c r="G37" s="1006">
        <f>Edo.Res.detalle!I7+Edo.Res.detalle!I11</f>
        <v>1277350.929988293</v>
      </c>
      <c r="H37" s="1006">
        <f>Edo.Res.detalle!J7+Edo.Res.detalle!J11</f>
        <v>1374830.6455080502</v>
      </c>
      <c r="I37" s="1006">
        <f>Edo.Res.detalle!K7+Edo.Res.detalle!K11</f>
        <v>1344462.3377187296</v>
      </c>
      <c r="J37" s="1006">
        <f>Edo.Res.detalle!L7+Edo.Res.detalle!L11</f>
        <v>1209418.6536385985</v>
      </c>
      <c r="K37" s="1006">
        <f>Edo.Res.detalle!M7+Edo.Res.detalle!M11</f>
        <v>1510485.5918107054</v>
      </c>
      <c r="L37" s="1006">
        <f>Edo.Res.detalle!N7+Edo.Res.detalle!N11</f>
        <v>1348390.7499642791</v>
      </c>
      <c r="M37" s="1006">
        <f>Edo.Res.detalle!O7+Edo.Res.detalle!O11</f>
        <v>1362068.2347902211</v>
      </c>
      <c r="N37" s="1014">
        <f>SUM(B37:M37)</f>
        <v>15358337.304293156</v>
      </c>
      <c r="T37" s="815"/>
    </row>
    <row r="38" spans="1:20" x14ac:dyDescent="0.2">
      <c r="A38" s="878" t="s">
        <v>9978</v>
      </c>
      <c r="B38" s="1013">
        <f>B37/B18</f>
        <v>6236.3394853326972</v>
      </c>
      <c r="C38" s="1013">
        <f t="shared" ref="C38:N38" si="4">C37/C18</f>
        <v>6465.6310118949523</v>
      </c>
      <c r="D38" s="1013">
        <f t="shared" si="4"/>
        <v>6700.2833981301792</v>
      </c>
      <c r="E38" s="1013">
        <f t="shared" si="4"/>
        <v>7181.8158968202688</v>
      </c>
      <c r="F38" s="1013">
        <f t="shared" si="4"/>
        <v>7309.2454128177878</v>
      </c>
      <c r="G38" s="1013">
        <f t="shared" si="4"/>
        <v>7299.148171361674</v>
      </c>
      <c r="H38" s="1013">
        <f t="shared" si="4"/>
        <v>7856.1751171888582</v>
      </c>
      <c r="I38" s="1013">
        <f t="shared" si="4"/>
        <v>7682.6419298213123</v>
      </c>
      <c r="J38" s="1013">
        <f t="shared" si="4"/>
        <v>6910.9637350777057</v>
      </c>
      <c r="K38" s="1013">
        <f t="shared" si="4"/>
        <v>8631.3462389183169</v>
      </c>
      <c r="L38" s="1013">
        <f t="shared" si="4"/>
        <v>7705.0899997958804</v>
      </c>
      <c r="M38" s="1013">
        <f t="shared" si="4"/>
        <v>7783.2470559441208</v>
      </c>
      <c r="N38" s="1013">
        <f t="shared" si="4"/>
        <v>87761.927453103752</v>
      </c>
      <c r="T38" s="815"/>
    </row>
    <row r="39" spans="1:20" ht="13.5" thickBot="1" x14ac:dyDescent="0.25">
      <c r="A39" s="1017" t="s">
        <v>9979</v>
      </c>
      <c r="B39" s="1018">
        <f>B37/(Edo.Res.detalle!D9+Edo.Res.detalle!D13)</f>
        <v>340.41664962487374</v>
      </c>
      <c r="C39" s="1018">
        <f>C37/(Edo.Res.detalle!E9+Edo.Res.detalle!E13)</f>
        <v>355.1637474797916</v>
      </c>
      <c r="D39" s="1018">
        <f>D37/(Edo.Res.detalle!F9+Edo.Res.detalle!F13)</f>
        <v>355.82812300485676</v>
      </c>
      <c r="E39" s="1018">
        <f>E37/(Edo.Res.detalle!G9+Edo.Res.detalle!G13)</f>
        <v>359.84626540738321</v>
      </c>
      <c r="F39" s="1018">
        <f>F37/(Edo.Res.detalle!H9+Edo.Res.detalle!H13)</f>
        <v>373.4379072310162</v>
      </c>
      <c r="G39" s="1018">
        <f>G37/(Edo.Res.detalle!I9+Edo.Res.detalle!I13)</f>
        <v>371.85332875058651</v>
      </c>
      <c r="H39" s="1018">
        <f>H37/(Edo.Res.detalle!J9+Edo.Res.detalle!J13)</f>
        <v>371.32206995435826</v>
      </c>
      <c r="I39" s="1018">
        <f>I37/(Edo.Res.detalle!K9+Edo.Res.detalle!K13)</f>
        <v>370.8902826277199</v>
      </c>
      <c r="J39" s="1018">
        <f>J37/(Edo.Res.detalle!L9+Edo.Res.detalle!L13)</f>
        <v>374.72557553822742</v>
      </c>
      <c r="K39" s="1018">
        <f>K37/(Edo.Res.detalle!M9+Edo.Res.detalle!M13)</f>
        <v>366.87974029941978</v>
      </c>
      <c r="L39" s="1018">
        <f>L37/(Edo.Res.detalle!N9+Edo.Res.detalle!N13)</f>
        <v>367.66527059005836</v>
      </c>
      <c r="M39" s="1018">
        <f>M37/(Edo.Res.detalle!O9+Edo.Res.detalle!O13)</f>
        <v>370.25039408722051</v>
      </c>
      <c r="N39" s="1019">
        <f>(N37/2)/'[4]Volumenes y Unidades'!N48</f>
        <v>960.25866356369511</v>
      </c>
      <c r="T39" s="815"/>
    </row>
    <row r="40" spans="1:20" ht="13.5" thickTop="1" x14ac:dyDescent="0.2">
      <c r="T40" s="815"/>
    </row>
    <row r="41" spans="1:20" x14ac:dyDescent="0.2">
      <c r="T41" s="815"/>
    </row>
    <row r="42" spans="1:20" x14ac:dyDescent="0.2">
      <c r="T42" s="815"/>
    </row>
    <row r="43" spans="1:20" x14ac:dyDescent="0.2">
      <c r="T43" s="815"/>
    </row>
    <row r="44" spans="1:20" x14ac:dyDescent="0.2">
      <c r="T44" s="815"/>
    </row>
    <row r="45" spans="1:20" x14ac:dyDescent="0.2">
      <c r="T45" s="815"/>
    </row>
    <row r="46" spans="1:20" hidden="1" x14ac:dyDescent="0.2">
      <c r="T46" s="815"/>
    </row>
    <row r="47" spans="1:20" hidden="1" x14ac:dyDescent="0.2">
      <c r="T47" s="815"/>
    </row>
    <row r="48" spans="1:20" hidden="1" x14ac:dyDescent="0.2">
      <c r="T48" s="815"/>
    </row>
    <row r="49" spans="20:20" hidden="1" x14ac:dyDescent="0.2">
      <c r="T49" s="815"/>
    </row>
    <row r="50" spans="20:20" hidden="1" x14ac:dyDescent="0.2"/>
    <row r="51" spans="20:20" hidden="1" x14ac:dyDescent="0.2"/>
    <row r="52" spans="20:20" hidden="1" x14ac:dyDescent="0.2"/>
    <row r="53" spans="20:20" hidden="1" x14ac:dyDescent="0.2"/>
    <row r="54" spans="20:20" hidden="1" x14ac:dyDescent="0.2"/>
    <row r="55" spans="20:20" hidden="1" x14ac:dyDescent="0.2"/>
    <row r="56" spans="20:20" hidden="1" x14ac:dyDescent="0.2"/>
    <row r="57" spans="20:20" hidden="1" x14ac:dyDescent="0.2"/>
    <row r="58" spans="20:20" hidden="1" x14ac:dyDescent="0.2"/>
    <row r="59" spans="20:20" hidden="1" x14ac:dyDescent="0.2">
      <c r="T59" s="815"/>
    </row>
    <row r="60" spans="20:20" hidden="1" x14ac:dyDescent="0.2">
      <c r="T60" s="815"/>
    </row>
    <row r="61" spans="20:20" hidden="1" x14ac:dyDescent="0.2">
      <c r="T61" s="815"/>
    </row>
    <row r="62" spans="20:20" hidden="1" x14ac:dyDescent="0.2">
      <c r="T62" s="815"/>
    </row>
    <row r="63" spans="20:20" hidden="1" x14ac:dyDescent="0.2">
      <c r="T63" s="815"/>
    </row>
    <row r="64" spans="20:20" hidden="1" x14ac:dyDescent="0.2">
      <c r="T64" s="815"/>
    </row>
    <row r="65" spans="20:20" hidden="1" x14ac:dyDescent="0.2">
      <c r="T65" s="815"/>
    </row>
    <row r="66" spans="20:20" hidden="1" x14ac:dyDescent="0.2">
      <c r="T66" s="815"/>
    </row>
    <row r="67" spans="20:20" hidden="1" x14ac:dyDescent="0.2">
      <c r="T67" s="815"/>
    </row>
    <row r="68" spans="20:20" hidden="1" x14ac:dyDescent="0.2">
      <c r="T68" s="815"/>
    </row>
    <row r="69" spans="20:20" hidden="1" x14ac:dyDescent="0.2">
      <c r="T69" s="815"/>
    </row>
    <row r="70" spans="20:20" hidden="1" x14ac:dyDescent="0.2">
      <c r="T70" s="815"/>
    </row>
    <row r="71" spans="20:20" hidden="1" x14ac:dyDescent="0.2">
      <c r="T71" s="815"/>
    </row>
    <row r="72" spans="20:20" hidden="1" x14ac:dyDescent="0.2">
      <c r="T72" s="815"/>
    </row>
    <row r="73" spans="20:20" hidden="1" x14ac:dyDescent="0.2">
      <c r="T73" s="815"/>
    </row>
    <row r="74" spans="20:20" hidden="1" x14ac:dyDescent="0.2">
      <c r="T74" s="815"/>
    </row>
    <row r="75" spans="20:20" hidden="1" x14ac:dyDescent="0.2">
      <c r="T75" s="815"/>
    </row>
    <row r="76" spans="20:20" hidden="1" x14ac:dyDescent="0.2">
      <c r="T76" s="815"/>
    </row>
    <row r="77" spans="20:20" hidden="1" x14ac:dyDescent="0.2">
      <c r="T77" s="815"/>
    </row>
    <row r="78" spans="20:20" hidden="1" x14ac:dyDescent="0.2">
      <c r="T78" s="815"/>
    </row>
    <row r="79" spans="20:20" hidden="1" x14ac:dyDescent="0.2">
      <c r="T79" s="815"/>
    </row>
    <row r="80" spans="20:20" hidden="1" x14ac:dyDescent="0.2">
      <c r="T80" s="815"/>
    </row>
    <row r="81" spans="20:20" hidden="1" x14ac:dyDescent="0.2">
      <c r="T81" s="815"/>
    </row>
    <row r="82" spans="20:20" hidden="1" x14ac:dyDescent="0.2">
      <c r="T82" s="815"/>
    </row>
    <row r="83" spans="20:20" hidden="1" x14ac:dyDescent="0.2">
      <c r="T83" s="815"/>
    </row>
    <row r="84" spans="20:20" hidden="1" x14ac:dyDescent="0.2">
      <c r="T84" s="815"/>
    </row>
    <row r="85" spans="20:20" hidden="1" x14ac:dyDescent="0.2">
      <c r="T85" s="815"/>
    </row>
    <row r="86" spans="20:20" hidden="1" x14ac:dyDescent="0.2">
      <c r="T86" s="815"/>
    </row>
    <row r="87" spans="20:20" hidden="1" x14ac:dyDescent="0.2">
      <c r="T87" s="815"/>
    </row>
    <row r="88" spans="20:20" hidden="1" x14ac:dyDescent="0.2">
      <c r="T88" s="815"/>
    </row>
    <row r="89" spans="20:20" hidden="1" x14ac:dyDescent="0.2">
      <c r="T89" s="815"/>
    </row>
    <row r="90" spans="20:20" hidden="1" x14ac:dyDescent="0.2">
      <c r="T90" s="815"/>
    </row>
    <row r="91" spans="20:20" hidden="1" x14ac:dyDescent="0.2">
      <c r="T91" s="815"/>
    </row>
    <row r="92" spans="20:20" hidden="1" x14ac:dyDescent="0.2">
      <c r="T92" s="815"/>
    </row>
    <row r="93" spans="20:20" hidden="1" x14ac:dyDescent="0.2">
      <c r="T93" s="815"/>
    </row>
    <row r="94" spans="20:20" hidden="1" x14ac:dyDescent="0.2">
      <c r="T94" s="815"/>
    </row>
    <row r="95" spans="20:20" hidden="1" x14ac:dyDescent="0.2">
      <c r="T95" s="815"/>
    </row>
    <row r="96" spans="20:20" hidden="1" x14ac:dyDescent="0.2">
      <c r="T96" s="815"/>
    </row>
    <row r="97" spans="20:20" hidden="1" x14ac:dyDescent="0.2">
      <c r="T97" s="8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  <pageSetUpPr fitToPage="1"/>
  </sheetPr>
  <dimension ref="A1:T178"/>
  <sheetViews>
    <sheetView showGridLines="0" topLeftCell="A8" zoomScale="75" workbookViewId="0">
      <selection activeCell="H16" sqref="H16"/>
    </sheetView>
  </sheetViews>
  <sheetFormatPr baseColWidth="10" defaultColWidth="0" defaultRowHeight="12.75" zeroHeight="1" x14ac:dyDescent="0.2"/>
  <cols>
    <col min="1" max="1" width="11.42578125" style="809" customWidth="1"/>
    <col min="2" max="2" width="61.28515625" style="809" customWidth="1"/>
    <col min="3" max="3" width="20.140625" style="809" customWidth="1"/>
    <col min="4" max="5" width="11.42578125" style="809" customWidth="1"/>
    <col min="6" max="7" width="14.7109375" style="809" customWidth="1"/>
    <col min="8" max="8" width="18.5703125" style="809" customWidth="1"/>
    <col min="9" max="9" width="11.7109375" style="809" customWidth="1"/>
    <col min="10" max="10" width="22" style="809" customWidth="1"/>
    <col min="11" max="11" width="13.7109375" style="809" customWidth="1"/>
    <col min="12" max="12" width="16" style="809" customWidth="1"/>
    <col min="13" max="13" width="0.28515625" style="809" hidden="1" customWidth="1"/>
    <col min="14" max="14" width="11.7109375" style="809" customWidth="1"/>
    <col min="15" max="16" width="11.42578125" style="809" customWidth="1"/>
    <col min="17" max="256" width="0" style="809" hidden="1"/>
    <col min="257" max="257" width="11.42578125" style="809" customWidth="1"/>
    <col min="258" max="258" width="61.28515625" style="809" customWidth="1"/>
    <col min="259" max="259" width="20.140625" style="809" customWidth="1"/>
    <col min="260" max="261" width="11.42578125" style="809" customWidth="1"/>
    <col min="262" max="263" width="14.7109375" style="809" customWidth="1"/>
    <col min="264" max="264" width="18.5703125" style="809" customWidth="1"/>
    <col min="265" max="265" width="11.7109375" style="809" customWidth="1"/>
    <col min="266" max="266" width="22" style="809" customWidth="1"/>
    <col min="267" max="267" width="13.7109375" style="809" customWidth="1"/>
    <col min="268" max="268" width="16" style="809" customWidth="1"/>
    <col min="269" max="269" width="0" style="809" hidden="1" customWidth="1"/>
    <col min="270" max="270" width="11.7109375" style="809" customWidth="1"/>
    <col min="271" max="272" width="11.42578125" style="809" customWidth="1"/>
    <col min="273" max="512" width="0" style="809" hidden="1"/>
    <col min="513" max="513" width="11.42578125" style="809" customWidth="1"/>
    <col min="514" max="514" width="61.28515625" style="809" customWidth="1"/>
    <col min="515" max="515" width="20.140625" style="809" customWidth="1"/>
    <col min="516" max="517" width="11.42578125" style="809" customWidth="1"/>
    <col min="518" max="519" width="14.7109375" style="809" customWidth="1"/>
    <col min="520" max="520" width="18.5703125" style="809" customWidth="1"/>
    <col min="521" max="521" width="11.7109375" style="809" customWidth="1"/>
    <col min="522" max="522" width="22" style="809" customWidth="1"/>
    <col min="523" max="523" width="13.7109375" style="809" customWidth="1"/>
    <col min="524" max="524" width="16" style="809" customWidth="1"/>
    <col min="525" max="525" width="0" style="809" hidden="1" customWidth="1"/>
    <col min="526" max="526" width="11.7109375" style="809" customWidth="1"/>
    <col min="527" max="528" width="11.42578125" style="809" customWidth="1"/>
    <col min="529" max="768" width="0" style="809" hidden="1"/>
    <col min="769" max="769" width="11.42578125" style="809" customWidth="1"/>
    <col min="770" max="770" width="61.28515625" style="809" customWidth="1"/>
    <col min="771" max="771" width="20.140625" style="809" customWidth="1"/>
    <col min="772" max="773" width="11.42578125" style="809" customWidth="1"/>
    <col min="774" max="775" width="14.7109375" style="809" customWidth="1"/>
    <col min="776" max="776" width="18.5703125" style="809" customWidth="1"/>
    <col min="777" max="777" width="11.7109375" style="809" customWidth="1"/>
    <col min="778" max="778" width="22" style="809" customWidth="1"/>
    <col min="779" max="779" width="13.7109375" style="809" customWidth="1"/>
    <col min="780" max="780" width="16" style="809" customWidth="1"/>
    <col min="781" max="781" width="0" style="809" hidden="1" customWidth="1"/>
    <col min="782" max="782" width="11.7109375" style="809" customWidth="1"/>
    <col min="783" max="784" width="11.42578125" style="809" customWidth="1"/>
    <col min="785" max="1024" width="0" style="809" hidden="1"/>
    <col min="1025" max="1025" width="11.42578125" style="809" customWidth="1"/>
    <col min="1026" max="1026" width="61.28515625" style="809" customWidth="1"/>
    <col min="1027" max="1027" width="20.140625" style="809" customWidth="1"/>
    <col min="1028" max="1029" width="11.42578125" style="809" customWidth="1"/>
    <col min="1030" max="1031" width="14.7109375" style="809" customWidth="1"/>
    <col min="1032" max="1032" width="18.5703125" style="809" customWidth="1"/>
    <col min="1033" max="1033" width="11.7109375" style="809" customWidth="1"/>
    <col min="1034" max="1034" width="22" style="809" customWidth="1"/>
    <col min="1035" max="1035" width="13.7109375" style="809" customWidth="1"/>
    <col min="1036" max="1036" width="16" style="809" customWidth="1"/>
    <col min="1037" max="1037" width="0" style="809" hidden="1" customWidth="1"/>
    <col min="1038" max="1038" width="11.7109375" style="809" customWidth="1"/>
    <col min="1039" max="1040" width="11.42578125" style="809" customWidth="1"/>
    <col min="1041" max="1280" width="0" style="809" hidden="1"/>
    <col min="1281" max="1281" width="11.42578125" style="809" customWidth="1"/>
    <col min="1282" max="1282" width="61.28515625" style="809" customWidth="1"/>
    <col min="1283" max="1283" width="20.140625" style="809" customWidth="1"/>
    <col min="1284" max="1285" width="11.42578125" style="809" customWidth="1"/>
    <col min="1286" max="1287" width="14.7109375" style="809" customWidth="1"/>
    <col min="1288" max="1288" width="18.5703125" style="809" customWidth="1"/>
    <col min="1289" max="1289" width="11.7109375" style="809" customWidth="1"/>
    <col min="1290" max="1290" width="22" style="809" customWidth="1"/>
    <col min="1291" max="1291" width="13.7109375" style="809" customWidth="1"/>
    <col min="1292" max="1292" width="16" style="809" customWidth="1"/>
    <col min="1293" max="1293" width="0" style="809" hidden="1" customWidth="1"/>
    <col min="1294" max="1294" width="11.7109375" style="809" customWidth="1"/>
    <col min="1295" max="1296" width="11.42578125" style="809" customWidth="1"/>
    <col min="1297" max="1536" width="0" style="809" hidden="1"/>
    <col min="1537" max="1537" width="11.42578125" style="809" customWidth="1"/>
    <col min="1538" max="1538" width="61.28515625" style="809" customWidth="1"/>
    <col min="1539" max="1539" width="20.140625" style="809" customWidth="1"/>
    <col min="1540" max="1541" width="11.42578125" style="809" customWidth="1"/>
    <col min="1542" max="1543" width="14.7109375" style="809" customWidth="1"/>
    <col min="1544" max="1544" width="18.5703125" style="809" customWidth="1"/>
    <col min="1545" max="1545" width="11.7109375" style="809" customWidth="1"/>
    <col min="1546" max="1546" width="22" style="809" customWidth="1"/>
    <col min="1547" max="1547" width="13.7109375" style="809" customWidth="1"/>
    <col min="1548" max="1548" width="16" style="809" customWidth="1"/>
    <col min="1549" max="1549" width="0" style="809" hidden="1" customWidth="1"/>
    <col min="1550" max="1550" width="11.7109375" style="809" customWidth="1"/>
    <col min="1551" max="1552" width="11.42578125" style="809" customWidth="1"/>
    <col min="1553" max="1792" width="0" style="809" hidden="1"/>
    <col min="1793" max="1793" width="11.42578125" style="809" customWidth="1"/>
    <col min="1794" max="1794" width="61.28515625" style="809" customWidth="1"/>
    <col min="1795" max="1795" width="20.140625" style="809" customWidth="1"/>
    <col min="1796" max="1797" width="11.42578125" style="809" customWidth="1"/>
    <col min="1798" max="1799" width="14.7109375" style="809" customWidth="1"/>
    <col min="1800" max="1800" width="18.5703125" style="809" customWidth="1"/>
    <col min="1801" max="1801" width="11.7109375" style="809" customWidth="1"/>
    <col min="1802" max="1802" width="22" style="809" customWidth="1"/>
    <col min="1803" max="1803" width="13.7109375" style="809" customWidth="1"/>
    <col min="1804" max="1804" width="16" style="809" customWidth="1"/>
    <col min="1805" max="1805" width="0" style="809" hidden="1" customWidth="1"/>
    <col min="1806" max="1806" width="11.7109375" style="809" customWidth="1"/>
    <col min="1807" max="1808" width="11.42578125" style="809" customWidth="1"/>
    <col min="1809" max="2048" width="0" style="809" hidden="1"/>
    <col min="2049" max="2049" width="11.42578125" style="809" customWidth="1"/>
    <col min="2050" max="2050" width="61.28515625" style="809" customWidth="1"/>
    <col min="2051" max="2051" width="20.140625" style="809" customWidth="1"/>
    <col min="2052" max="2053" width="11.42578125" style="809" customWidth="1"/>
    <col min="2054" max="2055" width="14.7109375" style="809" customWidth="1"/>
    <col min="2056" max="2056" width="18.5703125" style="809" customWidth="1"/>
    <col min="2057" max="2057" width="11.7109375" style="809" customWidth="1"/>
    <col min="2058" max="2058" width="22" style="809" customWidth="1"/>
    <col min="2059" max="2059" width="13.7109375" style="809" customWidth="1"/>
    <col min="2060" max="2060" width="16" style="809" customWidth="1"/>
    <col min="2061" max="2061" width="0" style="809" hidden="1" customWidth="1"/>
    <col min="2062" max="2062" width="11.7109375" style="809" customWidth="1"/>
    <col min="2063" max="2064" width="11.42578125" style="809" customWidth="1"/>
    <col min="2065" max="2304" width="0" style="809" hidden="1"/>
    <col min="2305" max="2305" width="11.42578125" style="809" customWidth="1"/>
    <col min="2306" max="2306" width="61.28515625" style="809" customWidth="1"/>
    <col min="2307" max="2307" width="20.140625" style="809" customWidth="1"/>
    <col min="2308" max="2309" width="11.42578125" style="809" customWidth="1"/>
    <col min="2310" max="2311" width="14.7109375" style="809" customWidth="1"/>
    <col min="2312" max="2312" width="18.5703125" style="809" customWidth="1"/>
    <col min="2313" max="2313" width="11.7109375" style="809" customWidth="1"/>
    <col min="2314" max="2314" width="22" style="809" customWidth="1"/>
    <col min="2315" max="2315" width="13.7109375" style="809" customWidth="1"/>
    <col min="2316" max="2316" width="16" style="809" customWidth="1"/>
    <col min="2317" max="2317" width="0" style="809" hidden="1" customWidth="1"/>
    <col min="2318" max="2318" width="11.7109375" style="809" customWidth="1"/>
    <col min="2319" max="2320" width="11.42578125" style="809" customWidth="1"/>
    <col min="2321" max="2560" width="0" style="809" hidden="1"/>
    <col min="2561" max="2561" width="11.42578125" style="809" customWidth="1"/>
    <col min="2562" max="2562" width="61.28515625" style="809" customWidth="1"/>
    <col min="2563" max="2563" width="20.140625" style="809" customWidth="1"/>
    <col min="2564" max="2565" width="11.42578125" style="809" customWidth="1"/>
    <col min="2566" max="2567" width="14.7109375" style="809" customWidth="1"/>
    <col min="2568" max="2568" width="18.5703125" style="809" customWidth="1"/>
    <col min="2569" max="2569" width="11.7109375" style="809" customWidth="1"/>
    <col min="2570" max="2570" width="22" style="809" customWidth="1"/>
    <col min="2571" max="2571" width="13.7109375" style="809" customWidth="1"/>
    <col min="2572" max="2572" width="16" style="809" customWidth="1"/>
    <col min="2573" max="2573" width="0" style="809" hidden="1" customWidth="1"/>
    <col min="2574" max="2574" width="11.7109375" style="809" customWidth="1"/>
    <col min="2575" max="2576" width="11.42578125" style="809" customWidth="1"/>
    <col min="2577" max="2816" width="0" style="809" hidden="1"/>
    <col min="2817" max="2817" width="11.42578125" style="809" customWidth="1"/>
    <col min="2818" max="2818" width="61.28515625" style="809" customWidth="1"/>
    <col min="2819" max="2819" width="20.140625" style="809" customWidth="1"/>
    <col min="2820" max="2821" width="11.42578125" style="809" customWidth="1"/>
    <col min="2822" max="2823" width="14.7109375" style="809" customWidth="1"/>
    <col min="2824" max="2824" width="18.5703125" style="809" customWidth="1"/>
    <col min="2825" max="2825" width="11.7109375" style="809" customWidth="1"/>
    <col min="2826" max="2826" width="22" style="809" customWidth="1"/>
    <col min="2827" max="2827" width="13.7109375" style="809" customWidth="1"/>
    <col min="2828" max="2828" width="16" style="809" customWidth="1"/>
    <col min="2829" max="2829" width="0" style="809" hidden="1" customWidth="1"/>
    <col min="2830" max="2830" width="11.7109375" style="809" customWidth="1"/>
    <col min="2831" max="2832" width="11.42578125" style="809" customWidth="1"/>
    <col min="2833" max="3072" width="0" style="809" hidden="1"/>
    <col min="3073" max="3073" width="11.42578125" style="809" customWidth="1"/>
    <col min="3074" max="3074" width="61.28515625" style="809" customWidth="1"/>
    <col min="3075" max="3075" width="20.140625" style="809" customWidth="1"/>
    <col min="3076" max="3077" width="11.42578125" style="809" customWidth="1"/>
    <col min="3078" max="3079" width="14.7109375" style="809" customWidth="1"/>
    <col min="3080" max="3080" width="18.5703125" style="809" customWidth="1"/>
    <col min="3081" max="3081" width="11.7109375" style="809" customWidth="1"/>
    <col min="3082" max="3082" width="22" style="809" customWidth="1"/>
    <col min="3083" max="3083" width="13.7109375" style="809" customWidth="1"/>
    <col min="3084" max="3084" width="16" style="809" customWidth="1"/>
    <col min="3085" max="3085" width="0" style="809" hidden="1" customWidth="1"/>
    <col min="3086" max="3086" width="11.7109375" style="809" customWidth="1"/>
    <col min="3087" max="3088" width="11.42578125" style="809" customWidth="1"/>
    <col min="3089" max="3328" width="0" style="809" hidden="1"/>
    <col min="3329" max="3329" width="11.42578125" style="809" customWidth="1"/>
    <col min="3330" max="3330" width="61.28515625" style="809" customWidth="1"/>
    <col min="3331" max="3331" width="20.140625" style="809" customWidth="1"/>
    <col min="3332" max="3333" width="11.42578125" style="809" customWidth="1"/>
    <col min="3334" max="3335" width="14.7109375" style="809" customWidth="1"/>
    <col min="3336" max="3336" width="18.5703125" style="809" customWidth="1"/>
    <col min="3337" max="3337" width="11.7109375" style="809" customWidth="1"/>
    <col min="3338" max="3338" width="22" style="809" customWidth="1"/>
    <col min="3339" max="3339" width="13.7109375" style="809" customWidth="1"/>
    <col min="3340" max="3340" width="16" style="809" customWidth="1"/>
    <col min="3341" max="3341" width="0" style="809" hidden="1" customWidth="1"/>
    <col min="3342" max="3342" width="11.7109375" style="809" customWidth="1"/>
    <col min="3343" max="3344" width="11.42578125" style="809" customWidth="1"/>
    <col min="3345" max="3584" width="0" style="809" hidden="1"/>
    <col min="3585" max="3585" width="11.42578125" style="809" customWidth="1"/>
    <col min="3586" max="3586" width="61.28515625" style="809" customWidth="1"/>
    <col min="3587" max="3587" width="20.140625" style="809" customWidth="1"/>
    <col min="3588" max="3589" width="11.42578125" style="809" customWidth="1"/>
    <col min="3590" max="3591" width="14.7109375" style="809" customWidth="1"/>
    <col min="3592" max="3592" width="18.5703125" style="809" customWidth="1"/>
    <col min="3593" max="3593" width="11.7109375" style="809" customWidth="1"/>
    <col min="3594" max="3594" width="22" style="809" customWidth="1"/>
    <col min="3595" max="3595" width="13.7109375" style="809" customWidth="1"/>
    <col min="3596" max="3596" width="16" style="809" customWidth="1"/>
    <col min="3597" max="3597" width="0" style="809" hidden="1" customWidth="1"/>
    <col min="3598" max="3598" width="11.7109375" style="809" customWidth="1"/>
    <col min="3599" max="3600" width="11.42578125" style="809" customWidth="1"/>
    <col min="3601" max="3840" width="0" style="809" hidden="1"/>
    <col min="3841" max="3841" width="11.42578125" style="809" customWidth="1"/>
    <col min="3842" max="3842" width="61.28515625" style="809" customWidth="1"/>
    <col min="3843" max="3843" width="20.140625" style="809" customWidth="1"/>
    <col min="3844" max="3845" width="11.42578125" style="809" customWidth="1"/>
    <col min="3846" max="3847" width="14.7109375" style="809" customWidth="1"/>
    <col min="3848" max="3848" width="18.5703125" style="809" customWidth="1"/>
    <col min="3849" max="3849" width="11.7109375" style="809" customWidth="1"/>
    <col min="3850" max="3850" width="22" style="809" customWidth="1"/>
    <col min="3851" max="3851" width="13.7109375" style="809" customWidth="1"/>
    <col min="3852" max="3852" width="16" style="809" customWidth="1"/>
    <col min="3853" max="3853" width="0" style="809" hidden="1" customWidth="1"/>
    <col min="3854" max="3854" width="11.7109375" style="809" customWidth="1"/>
    <col min="3855" max="3856" width="11.42578125" style="809" customWidth="1"/>
    <col min="3857" max="4096" width="0" style="809" hidden="1"/>
    <col min="4097" max="4097" width="11.42578125" style="809" customWidth="1"/>
    <col min="4098" max="4098" width="61.28515625" style="809" customWidth="1"/>
    <col min="4099" max="4099" width="20.140625" style="809" customWidth="1"/>
    <col min="4100" max="4101" width="11.42578125" style="809" customWidth="1"/>
    <col min="4102" max="4103" width="14.7109375" style="809" customWidth="1"/>
    <col min="4104" max="4104" width="18.5703125" style="809" customWidth="1"/>
    <col min="4105" max="4105" width="11.7109375" style="809" customWidth="1"/>
    <col min="4106" max="4106" width="22" style="809" customWidth="1"/>
    <col min="4107" max="4107" width="13.7109375" style="809" customWidth="1"/>
    <col min="4108" max="4108" width="16" style="809" customWidth="1"/>
    <col min="4109" max="4109" width="0" style="809" hidden="1" customWidth="1"/>
    <col min="4110" max="4110" width="11.7109375" style="809" customWidth="1"/>
    <col min="4111" max="4112" width="11.42578125" style="809" customWidth="1"/>
    <col min="4113" max="4352" width="0" style="809" hidden="1"/>
    <col min="4353" max="4353" width="11.42578125" style="809" customWidth="1"/>
    <col min="4354" max="4354" width="61.28515625" style="809" customWidth="1"/>
    <col min="4355" max="4355" width="20.140625" style="809" customWidth="1"/>
    <col min="4356" max="4357" width="11.42578125" style="809" customWidth="1"/>
    <col min="4358" max="4359" width="14.7109375" style="809" customWidth="1"/>
    <col min="4360" max="4360" width="18.5703125" style="809" customWidth="1"/>
    <col min="4361" max="4361" width="11.7109375" style="809" customWidth="1"/>
    <col min="4362" max="4362" width="22" style="809" customWidth="1"/>
    <col min="4363" max="4363" width="13.7109375" style="809" customWidth="1"/>
    <col min="4364" max="4364" width="16" style="809" customWidth="1"/>
    <col min="4365" max="4365" width="0" style="809" hidden="1" customWidth="1"/>
    <col min="4366" max="4366" width="11.7109375" style="809" customWidth="1"/>
    <col min="4367" max="4368" width="11.42578125" style="809" customWidth="1"/>
    <col min="4369" max="4608" width="0" style="809" hidden="1"/>
    <col min="4609" max="4609" width="11.42578125" style="809" customWidth="1"/>
    <col min="4610" max="4610" width="61.28515625" style="809" customWidth="1"/>
    <col min="4611" max="4611" width="20.140625" style="809" customWidth="1"/>
    <col min="4612" max="4613" width="11.42578125" style="809" customWidth="1"/>
    <col min="4614" max="4615" width="14.7109375" style="809" customWidth="1"/>
    <col min="4616" max="4616" width="18.5703125" style="809" customWidth="1"/>
    <col min="4617" max="4617" width="11.7109375" style="809" customWidth="1"/>
    <col min="4618" max="4618" width="22" style="809" customWidth="1"/>
    <col min="4619" max="4619" width="13.7109375" style="809" customWidth="1"/>
    <col min="4620" max="4620" width="16" style="809" customWidth="1"/>
    <col min="4621" max="4621" width="0" style="809" hidden="1" customWidth="1"/>
    <col min="4622" max="4622" width="11.7109375" style="809" customWidth="1"/>
    <col min="4623" max="4624" width="11.42578125" style="809" customWidth="1"/>
    <col min="4625" max="4864" width="0" style="809" hidden="1"/>
    <col min="4865" max="4865" width="11.42578125" style="809" customWidth="1"/>
    <col min="4866" max="4866" width="61.28515625" style="809" customWidth="1"/>
    <col min="4867" max="4867" width="20.140625" style="809" customWidth="1"/>
    <col min="4868" max="4869" width="11.42578125" style="809" customWidth="1"/>
    <col min="4870" max="4871" width="14.7109375" style="809" customWidth="1"/>
    <col min="4872" max="4872" width="18.5703125" style="809" customWidth="1"/>
    <col min="4873" max="4873" width="11.7109375" style="809" customWidth="1"/>
    <col min="4874" max="4874" width="22" style="809" customWidth="1"/>
    <col min="4875" max="4875" width="13.7109375" style="809" customWidth="1"/>
    <col min="4876" max="4876" width="16" style="809" customWidth="1"/>
    <col min="4877" max="4877" width="0" style="809" hidden="1" customWidth="1"/>
    <col min="4878" max="4878" width="11.7109375" style="809" customWidth="1"/>
    <col min="4879" max="4880" width="11.42578125" style="809" customWidth="1"/>
    <col min="4881" max="5120" width="0" style="809" hidden="1"/>
    <col min="5121" max="5121" width="11.42578125" style="809" customWidth="1"/>
    <col min="5122" max="5122" width="61.28515625" style="809" customWidth="1"/>
    <col min="5123" max="5123" width="20.140625" style="809" customWidth="1"/>
    <col min="5124" max="5125" width="11.42578125" style="809" customWidth="1"/>
    <col min="5126" max="5127" width="14.7109375" style="809" customWidth="1"/>
    <col min="5128" max="5128" width="18.5703125" style="809" customWidth="1"/>
    <col min="5129" max="5129" width="11.7109375" style="809" customWidth="1"/>
    <col min="5130" max="5130" width="22" style="809" customWidth="1"/>
    <col min="5131" max="5131" width="13.7109375" style="809" customWidth="1"/>
    <col min="5132" max="5132" width="16" style="809" customWidth="1"/>
    <col min="5133" max="5133" width="0" style="809" hidden="1" customWidth="1"/>
    <col min="5134" max="5134" width="11.7109375" style="809" customWidth="1"/>
    <col min="5135" max="5136" width="11.42578125" style="809" customWidth="1"/>
    <col min="5137" max="5376" width="0" style="809" hidden="1"/>
    <col min="5377" max="5377" width="11.42578125" style="809" customWidth="1"/>
    <col min="5378" max="5378" width="61.28515625" style="809" customWidth="1"/>
    <col min="5379" max="5379" width="20.140625" style="809" customWidth="1"/>
    <col min="5380" max="5381" width="11.42578125" style="809" customWidth="1"/>
    <col min="5382" max="5383" width="14.7109375" style="809" customWidth="1"/>
    <col min="5384" max="5384" width="18.5703125" style="809" customWidth="1"/>
    <col min="5385" max="5385" width="11.7109375" style="809" customWidth="1"/>
    <col min="5386" max="5386" width="22" style="809" customWidth="1"/>
    <col min="5387" max="5387" width="13.7109375" style="809" customWidth="1"/>
    <col min="5388" max="5388" width="16" style="809" customWidth="1"/>
    <col min="5389" max="5389" width="0" style="809" hidden="1" customWidth="1"/>
    <col min="5390" max="5390" width="11.7109375" style="809" customWidth="1"/>
    <col min="5391" max="5392" width="11.42578125" style="809" customWidth="1"/>
    <col min="5393" max="5632" width="0" style="809" hidden="1"/>
    <col min="5633" max="5633" width="11.42578125" style="809" customWidth="1"/>
    <col min="5634" max="5634" width="61.28515625" style="809" customWidth="1"/>
    <col min="5635" max="5635" width="20.140625" style="809" customWidth="1"/>
    <col min="5636" max="5637" width="11.42578125" style="809" customWidth="1"/>
    <col min="5638" max="5639" width="14.7109375" style="809" customWidth="1"/>
    <col min="5640" max="5640" width="18.5703125" style="809" customWidth="1"/>
    <col min="5641" max="5641" width="11.7109375" style="809" customWidth="1"/>
    <col min="5642" max="5642" width="22" style="809" customWidth="1"/>
    <col min="5643" max="5643" width="13.7109375" style="809" customWidth="1"/>
    <col min="5644" max="5644" width="16" style="809" customWidth="1"/>
    <col min="5645" max="5645" width="0" style="809" hidden="1" customWidth="1"/>
    <col min="5646" max="5646" width="11.7109375" style="809" customWidth="1"/>
    <col min="5647" max="5648" width="11.42578125" style="809" customWidth="1"/>
    <col min="5649" max="5888" width="0" style="809" hidden="1"/>
    <col min="5889" max="5889" width="11.42578125" style="809" customWidth="1"/>
    <col min="5890" max="5890" width="61.28515625" style="809" customWidth="1"/>
    <col min="5891" max="5891" width="20.140625" style="809" customWidth="1"/>
    <col min="5892" max="5893" width="11.42578125" style="809" customWidth="1"/>
    <col min="5894" max="5895" width="14.7109375" style="809" customWidth="1"/>
    <col min="5896" max="5896" width="18.5703125" style="809" customWidth="1"/>
    <col min="5897" max="5897" width="11.7109375" style="809" customWidth="1"/>
    <col min="5898" max="5898" width="22" style="809" customWidth="1"/>
    <col min="5899" max="5899" width="13.7109375" style="809" customWidth="1"/>
    <col min="5900" max="5900" width="16" style="809" customWidth="1"/>
    <col min="5901" max="5901" width="0" style="809" hidden="1" customWidth="1"/>
    <col min="5902" max="5902" width="11.7109375" style="809" customWidth="1"/>
    <col min="5903" max="5904" width="11.42578125" style="809" customWidth="1"/>
    <col min="5905" max="6144" width="0" style="809" hidden="1"/>
    <col min="6145" max="6145" width="11.42578125" style="809" customWidth="1"/>
    <col min="6146" max="6146" width="61.28515625" style="809" customWidth="1"/>
    <col min="6147" max="6147" width="20.140625" style="809" customWidth="1"/>
    <col min="6148" max="6149" width="11.42578125" style="809" customWidth="1"/>
    <col min="6150" max="6151" width="14.7109375" style="809" customWidth="1"/>
    <col min="6152" max="6152" width="18.5703125" style="809" customWidth="1"/>
    <col min="6153" max="6153" width="11.7109375" style="809" customWidth="1"/>
    <col min="6154" max="6154" width="22" style="809" customWidth="1"/>
    <col min="6155" max="6155" width="13.7109375" style="809" customWidth="1"/>
    <col min="6156" max="6156" width="16" style="809" customWidth="1"/>
    <col min="6157" max="6157" width="0" style="809" hidden="1" customWidth="1"/>
    <col min="6158" max="6158" width="11.7109375" style="809" customWidth="1"/>
    <col min="6159" max="6160" width="11.42578125" style="809" customWidth="1"/>
    <col min="6161" max="6400" width="0" style="809" hidden="1"/>
    <col min="6401" max="6401" width="11.42578125" style="809" customWidth="1"/>
    <col min="6402" max="6402" width="61.28515625" style="809" customWidth="1"/>
    <col min="6403" max="6403" width="20.140625" style="809" customWidth="1"/>
    <col min="6404" max="6405" width="11.42578125" style="809" customWidth="1"/>
    <col min="6406" max="6407" width="14.7109375" style="809" customWidth="1"/>
    <col min="6408" max="6408" width="18.5703125" style="809" customWidth="1"/>
    <col min="6409" max="6409" width="11.7109375" style="809" customWidth="1"/>
    <col min="6410" max="6410" width="22" style="809" customWidth="1"/>
    <col min="6411" max="6411" width="13.7109375" style="809" customWidth="1"/>
    <col min="6412" max="6412" width="16" style="809" customWidth="1"/>
    <col min="6413" max="6413" width="0" style="809" hidden="1" customWidth="1"/>
    <col min="6414" max="6414" width="11.7109375" style="809" customWidth="1"/>
    <col min="6415" max="6416" width="11.42578125" style="809" customWidth="1"/>
    <col min="6417" max="6656" width="0" style="809" hidden="1"/>
    <col min="6657" max="6657" width="11.42578125" style="809" customWidth="1"/>
    <col min="6658" max="6658" width="61.28515625" style="809" customWidth="1"/>
    <col min="6659" max="6659" width="20.140625" style="809" customWidth="1"/>
    <col min="6660" max="6661" width="11.42578125" style="809" customWidth="1"/>
    <col min="6662" max="6663" width="14.7109375" style="809" customWidth="1"/>
    <col min="6664" max="6664" width="18.5703125" style="809" customWidth="1"/>
    <col min="6665" max="6665" width="11.7109375" style="809" customWidth="1"/>
    <col min="6666" max="6666" width="22" style="809" customWidth="1"/>
    <col min="6667" max="6667" width="13.7109375" style="809" customWidth="1"/>
    <col min="6668" max="6668" width="16" style="809" customWidth="1"/>
    <col min="6669" max="6669" width="0" style="809" hidden="1" customWidth="1"/>
    <col min="6670" max="6670" width="11.7109375" style="809" customWidth="1"/>
    <col min="6671" max="6672" width="11.42578125" style="809" customWidth="1"/>
    <col min="6673" max="6912" width="0" style="809" hidden="1"/>
    <col min="6913" max="6913" width="11.42578125" style="809" customWidth="1"/>
    <col min="6914" max="6914" width="61.28515625" style="809" customWidth="1"/>
    <col min="6915" max="6915" width="20.140625" style="809" customWidth="1"/>
    <col min="6916" max="6917" width="11.42578125" style="809" customWidth="1"/>
    <col min="6918" max="6919" width="14.7109375" style="809" customWidth="1"/>
    <col min="6920" max="6920" width="18.5703125" style="809" customWidth="1"/>
    <col min="6921" max="6921" width="11.7109375" style="809" customWidth="1"/>
    <col min="6922" max="6922" width="22" style="809" customWidth="1"/>
    <col min="6923" max="6923" width="13.7109375" style="809" customWidth="1"/>
    <col min="6924" max="6924" width="16" style="809" customWidth="1"/>
    <col min="6925" max="6925" width="0" style="809" hidden="1" customWidth="1"/>
    <col min="6926" max="6926" width="11.7109375" style="809" customWidth="1"/>
    <col min="6927" max="6928" width="11.42578125" style="809" customWidth="1"/>
    <col min="6929" max="7168" width="0" style="809" hidden="1"/>
    <col min="7169" max="7169" width="11.42578125" style="809" customWidth="1"/>
    <col min="7170" max="7170" width="61.28515625" style="809" customWidth="1"/>
    <col min="7171" max="7171" width="20.140625" style="809" customWidth="1"/>
    <col min="7172" max="7173" width="11.42578125" style="809" customWidth="1"/>
    <col min="7174" max="7175" width="14.7109375" style="809" customWidth="1"/>
    <col min="7176" max="7176" width="18.5703125" style="809" customWidth="1"/>
    <col min="7177" max="7177" width="11.7109375" style="809" customWidth="1"/>
    <col min="7178" max="7178" width="22" style="809" customWidth="1"/>
    <col min="7179" max="7179" width="13.7109375" style="809" customWidth="1"/>
    <col min="7180" max="7180" width="16" style="809" customWidth="1"/>
    <col min="7181" max="7181" width="0" style="809" hidden="1" customWidth="1"/>
    <col min="7182" max="7182" width="11.7109375" style="809" customWidth="1"/>
    <col min="7183" max="7184" width="11.42578125" style="809" customWidth="1"/>
    <col min="7185" max="7424" width="0" style="809" hidden="1"/>
    <col min="7425" max="7425" width="11.42578125" style="809" customWidth="1"/>
    <col min="7426" max="7426" width="61.28515625" style="809" customWidth="1"/>
    <col min="7427" max="7427" width="20.140625" style="809" customWidth="1"/>
    <col min="7428" max="7429" width="11.42578125" style="809" customWidth="1"/>
    <col min="7430" max="7431" width="14.7109375" style="809" customWidth="1"/>
    <col min="7432" max="7432" width="18.5703125" style="809" customWidth="1"/>
    <col min="7433" max="7433" width="11.7109375" style="809" customWidth="1"/>
    <col min="7434" max="7434" width="22" style="809" customWidth="1"/>
    <col min="7435" max="7435" width="13.7109375" style="809" customWidth="1"/>
    <col min="7436" max="7436" width="16" style="809" customWidth="1"/>
    <col min="7437" max="7437" width="0" style="809" hidden="1" customWidth="1"/>
    <col min="7438" max="7438" width="11.7109375" style="809" customWidth="1"/>
    <col min="7439" max="7440" width="11.42578125" style="809" customWidth="1"/>
    <col min="7441" max="7680" width="0" style="809" hidden="1"/>
    <col min="7681" max="7681" width="11.42578125" style="809" customWidth="1"/>
    <col min="7682" max="7682" width="61.28515625" style="809" customWidth="1"/>
    <col min="7683" max="7683" width="20.140625" style="809" customWidth="1"/>
    <col min="7684" max="7685" width="11.42578125" style="809" customWidth="1"/>
    <col min="7686" max="7687" width="14.7109375" style="809" customWidth="1"/>
    <col min="7688" max="7688" width="18.5703125" style="809" customWidth="1"/>
    <col min="7689" max="7689" width="11.7109375" style="809" customWidth="1"/>
    <col min="7690" max="7690" width="22" style="809" customWidth="1"/>
    <col min="7691" max="7691" width="13.7109375" style="809" customWidth="1"/>
    <col min="7692" max="7692" width="16" style="809" customWidth="1"/>
    <col min="7693" max="7693" width="0" style="809" hidden="1" customWidth="1"/>
    <col min="7694" max="7694" width="11.7109375" style="809" customWidth="1"/>
    <col min="7695" max="7696" width="11.42578125" style="809" customWidth="1"/>
    <col min="7697" max="7936" width="0" style="809" hidden="1"/>
    <col min="7937" max="7937" width="11.42578125" style="809" customWidth="1"/>
    <col min="7938" max="7938" width="61.28515625" style="809" customWidth="1"/>
    <col min="7939" max="7939" width="20.140625" style="809" customWidth="1"/>
    <col min="7940" max="7941" width="11.42578125" style="809" customWidth="1"/>
    <col min="7942" max="7943" width="14.7109375" style="809" customWidth="1"/>
    <col min="7944" max="7944" width="18.5703125" style="809" customWidth="1"/>
    <col min="7945" max="7945" width="11.7109375" style="809" customWidth="1"/>
    <col min="7946" max="7946" width="22" style="809" customWidth="1"/>
    <col min="7947" max="7947" width="13.7109375" style="809" customWidth="1"/>
    <col min="7948" max="7948" width="16" style="809" customWidth="1"/>
    <col min="7949" max="7949" width="0" style="809" hidden="1" customWidth="1"/>
    <col min="7950" max="7950" width="11.7109375" style="809" customWidth="1"/>
    <col min="7951" max="7952" width="11.42578125" style="809" customWidth="1"/>
    <col min="7953" max="8192" width="0" style="809" hidden="1"/>
    <col min="8193" max="8193" width="11.42578125" style="809" customWidth="1"/>
    <col min="8194" max="8194" width="61.28515625" style="809" customWidth="1"/>
    <col min="8195" max="8195" width="20.140625" style="809" customWidth="1"/>
    <col min="8196" max="8197" width="11.42578125" style="809" customWidth="1"/>
    <col min="8198" max="8199" width="14.7109375" style="809" customWidth="1"/>
    <col min="8200" max="8200" width="18.5703125" style="809" customWidth="1"/>
    <col min="8201" max="8201" width="11.7109375" style="809" customWidth="1"/>
    <col min="8202" max="8202" width="22" style="809" customWidth="1"/>
    <col min="8203" max="8203" width="13.7109375" style="809" customWidth="1"/>
    <col min="8204" max="8204" width="16" style="809" customWidth="1"/>
    <col min="8205" max="8205" width="0" style="809" hidden="1" customWidth="1"/>
    <col min="8206" max="8206" width="11.7109375" style="809" customWidth="1"/>
    <col min="8207" max="8208" width="11.42578125" style="809" customWidth="1"/>
    <col min="8209" max="8448" width="0" style="809" hidden="1"/>
    <col min="8449" max="8449" width="11.42578125" style="809" customWidth="1"/>
    <col min="8450" max="8450" width="61.28515625" style="809" customWidth="1"/>
    <col min="8451" max="8451" width="20.140625" style="809" customWidth="1"/>
    <col min="8452" max="8453" width="11.42578125" style="809" customWidth="1"/>
    <col min="8454" max="8455" width="14.7109375" style="809" customWidth="1"/>
    <col min="8456" max="8456" width="18.5703125" style="809" customWidth="1"/>
    <col min="8457" max="8457" width="11.7109375" style="809" customWidth="1"/>
    <col min="8458" max="8458" width="22" style="809" customWidth="1"/>
    <col min="8459" max="8459" width="13.7109375" style="809" customWidth="1"/>
    <col min="8460" max="8460" width="16" style="809" customWidth="1"/>
    <col min="8461" max="8461" width="0" style="809" hidden="1" customWidth="1"/>
    <col min="8462" max="8462" width="11.7109375" style="809" customWidth="1"/>
    <col min="8463" max="8464" width="11.42578125" style="809" customWidth="1"/>
    <col min="8465" max="8704" width="0" style="809" hidden="1"/>
    <col min="8705" max="8705" width="11.42578125" style="809" customWidth="1"/>
    <col min="8706" max="8706" width="61.28515625" style="809" customWidth="1"/>
    <col min="8707" max="8707" width="20.140625" style="809" customWidth="1"/>
    <col min="8708" max="8709" width="11.42578125" style="809" customWidth="1"/>
    <col min="8710" max="8711" width="14.7109375" style="809" customWidth="1"/>
    <col min="8712" max="8712" width="18.5703125" style="809" customWidth="1"/>
    <col min="8713" max="8713" width="11.7109375" style="809" customWidth="1"/>
    <col min="8714" max="8714" width="22" style="809" customWidth="1"/>
    <col min="8715" max="8715" width="13.7109375" style="809" customWidth="1"/>
    <col min="8716" max="8716" width="16" style="809" customWidth="1"/>
    <col min="8717" max="8717" width="0" style="809" hidden="1" customWidth="1"/>
    <col min="8718" max="8718" width="11.7109375" style="809" customWidth="1"/>
    <col min="8719" max="8720" width="11.42578125" style="809" customWidth="1"/>
    <col min="8721" max="8960" width="0" style="809" hidden="1"/>
    <col min="8961" max="8961" width="11.42578125" style="809" customWidth="1"/>
    <col min="8962" max="8962" width="61.28515625" style="809" customWidth="1"/>
    <col min="8963" max="8963" width="20.140625" style="809" customWidth="1"/>
    <col min="8964" max="8965" width="11.42578125" style="809" customWidth="1"/>
    <col min="8966" max="8967" width="14.7109375" style="809" customWidth="1"/>
    <col min="8968" max="8968" width="18.5703125" style="809" customWidth="1"/>
    <col min="8969" max="8969" width="11.7109375" style="809" customWidth="1"/>
    <col min="8970" max="8970" width="22" style="809" customWidth="1"/>
    <col min="8971" max="8971" width="13.7109375" style="809" customWidth="1"/>
    <col min="8972" max="8972" width="16" style="809" customWidth="1"/>
    <col min="8973" max="8973" width="0" style="809" hidden="1" customWidth="1"/>
    <col min="8974" max="8974" width="11.7109375" style="809" customWidth="1"/>
    <col min="8975" max="8976" width="11.42578125" style="809" customWidth="1"/>
    <col min="8977" max="9216" width="0" style="809" hidden="1"/>
    <col min="9217" max="9217" width="11.42578125" style="809" customWidth="1"/>
    <col min="9218" max="9218" width="61.28515625" style="809" customWidth="1"/>
    <col min="9219" max="9219" width="20.140625" style="809" customWidth="1"/>
    <col min="9220" max="9221" width="11.42578125" style="809" customWidth="1"/>
    <col min="9222" max="9223" width="14.7109375" style="809" customWidth="1"/>
    <col min="9224" max="9224" width="18.5703125" style="809" customWidth="1"/>
    <col min="9225" max="9225" width="11.7109375" style="809" customWidth="1"/>
    <col min="9226" max="9226" width="22" style="809" customWidth="1"/>
    <col min="9227" max="9227" width="13.7109375" style="809" customWidth="1"/>
    <col min="9228" max="9228" width="16" style="809" customWidth="1"/>
    <col min="9229" max="9229" width="0" style="809" hidden="1" customWidth="1"/>
    <col min="9230" max="9230" width="11.7109375" style="809" customWidth="1"/>
    <col min="9231" max="9232" width="11.42578125" style="809" customWidth="1"/>
    <col min="9233" max="9472" width="0" style="809" hidden="1"/>
    <col min="9473" max="9473" width="11.42578125" style="809" customWidth="1"/>
    <col min="9474" max="9474" width="61.28515625" style="809" customWidth="1"/>
    <col min="9475" max="9475" width="20.140625" style="809" customWidth="1"/>
    <col min="9476" max="9477" width="11.42578125" style="809" customWidth="1"/>
    <col min="9478" max="9479" width="14.7109375" style="809" customWidth="1"/>
    <col min="9480" max="9480" width="18.5703125" style="809" customWidth="1"/>
    <col min="9481" max="9481" width="11.7109375" style="809" customWidth="1"/>
    <col min="9482" max="9482" width="22" style="809" customWidth="1"/>
    <col min="9483" max="9483" width="13.7109375" style="809" customWidth="1"/>
    <col min="9484" max="9484" width="16" style="809" customWidth="1"/>
    <col min="9485" max="9485" width="0" style="809" hidden="1" customWidth="1"/>
    <col min="9486" max="9486" width="11.7109375" style="809" customWidth="1"/>
    <col min="9487" max="9488" width="11.42578125" style="809" customWidth="1"/>
    <col min="9489" max="9728" width="0" style="809" hidden="1"/>
    <col min="9729" max="9729" width="11.42578125" style="809" customWidth="1"/>
    <col min="9730" max="9730" width="61.28515625" style="809" customWidth="1"/>
    <col min="9731" max="9731" width="20.140625" style="809" customWidth="1"/>
    <col min="9732" max="9733" width="11.42578125" style="809" customWidth="1"/>
    <col min="9734" max="9735" width="14.7109375" style="809" customWidth="1"/>
    <col min="9736" max="9736" width="18.5703125" style="809" customWidth="1"/>
    <col min="9737" max="9737" width="11.7109375" style="809" customWidth="1"/>
    <col min="9738" max="9738" width="22" style="809" customWidth="1"/>
    <col min="9739" max="9739" width="13.7109375" style="809" customWidth="1"/>
    <col min="9740" max="9740" width="16" style="809" customWidth="1"/>
    <col min="9741" max="9741" width="0" style="809" hidden="1" customWidth="1"/>
    <col min="9742" max="9742" width="11.7109375" style="809" customWidth="1"/>
    <col min="9743" max="9744" width="11.42578125" style="809" customWidth="1"/>
    <col min="9745" max="9984" width="0" style="809" hidden="1"/>
    <col min="9985" max="9985" width="11.42578125" style="809" customWidth="1"/>
    <col min="9986" max="9986" width="61.28515625" style="809" customWidth="1"/>
    <col min="9987" max="9987" width="20.140625" style="809" customWidth="1"/>
    <col min="9988" max="9989" width="11.42578125" style="809" customWidth="1"/>
    <col min="9990" max="9991" width="14.7109375" style="809" customWidth="1"/>
    <col min="9992" max="9992" width="18.5703125" style="809" customWidth="1"/>
    <col min="9993" max="9993" width="11.7109375" style="809" customWidth="1"/>
    <col min="9994" max="9994" width="22" style="809" customWidth="1"/>
    <col min="9995" max="9995" width="13.7109375" style="809" customWidth="1"/>
    <col min="9996" max="9996" width="16" style="809" customWidth="1"/>
    <col min="9997" max="9997" width="0" style="809" hidden="1" customWidth="1"/>
    <col min="9998" max="9998" width="11.7109375" style="809" customWidth="1"/>
    <col min="9999" max="10000" width="11.42578125" style="809" customWidth="1"/>
    <col min="10001" max="10240" width="0" style="809" hidden="1"/>
    <col min="10241" max="10241" width="11.42578125" style="809" customWidth="1"/>
    <col min="10242" max="10242" width="61.28515625" style="809" customWidth="1"/>
    <col min="10243" max="10243" width="20.140625" style="809" customWidth="1"/>
    <col min="10244" max="10245" width="11.42578125" style="809" customWidth="1"/>
    <col min="10246" max="10247" width="14.7109375" style="809" customWidth="1"/>
    <col min="10248" max="10248" width="18.5703125" style="809" customWidth="1"/>
    <col min="10249" max="10249" width="11.7109375" style="809" customWidth="1"/>
    <col min="10250" max="10250" width="22" style="809" customWidth="1"/>
    <col min="10251" max="10251" width="13.7109375" style="809" customWidth="1"/>
    <col min="10252" max="10252" width="16" style="809" customWidth="1"/>
    <col min="10253" max="10253" width="0" style="809" hidden="1" customWidth="1"/>
    <col min="10254" max="10254" width="11.7109375" style="809" customWidth="1"/>
    <col min="10255" max="10256" width="11.42578125" style="809" customWidth="1"/>
    <col min="10257" max="10496" width="0" style="809" hidden="1"/>
    <col min="10497" max="10497" width="11.42578125" style="809" customWidth="1"/>
    <col min="10498" max="10498" width="61.28515625" style="809" customWidth="1"/>
    <col min="10499" max="10499" width="20.140625" style="809" customWidth="1"/>
    <col min="10500" max="10501" width="11.42578125" style="809" customWidth="1"/>
    <col min="10502" max="10503" width="14.7109375" style="809" customWidth="1"/>
    <col min="10504" max="10504" width="18.5703125" style="809" customWidth="1"/>
    <col min="10505" max="10505" width="11.7109375" style="809" customWidth="1"/>
    <col min="10506" max="10506" width="22" style="809" customWidth="1"/>
    <col min="10507" max="10507" width="13.7109375" style="809" customWidth="1"/>
    <col min="10508" max="10508" width="16" style="809" customWidth="1"/>
    <col min="10509" max="10509" width="0" style="809" hidden="1" customWidth="1"/>
    <col min="10510" max="10510" width="11.7109375" style="809" customWidth="1"/>
    <col min="10511" max="10512" width="11.42578125" style="809" customWidth="1"/>
    <col min="10513" max="10752" width="0" style="809" hidden="1"/>
    <col min="10753" max="10753" width="11.42578125" style="809" customWidth="1"/>
    <col min="10754" max="10754" width="61.28515625" style="809" customWidth="1"/>
    <col min="10755" max="10755" width="20.140625" style="809" customWidth="1"/>
    <col min="10756" max="10757" width="11.42578125" style="809" customWidth="1"/>
    <col min="10758" max="10759" width="14.7109375" style="809" customWidth="1"/>
    <col min="10760" max="10760" width="18.5703125" style="809" customWidth="1"/>
    <col min="10761" max="10761" width="11.7109375" style="809" customWidth="1"/>
    <col min="10762" max="10762" width="22" style="809" customWidth="1"/>
    <col min="10763" max="10763" width="13.7109375" style="809" customWidth="1"/>
    <col min="10764" max="10764" width="16" style="809" customWidth="1"/>
    <col min="10765" max="10765" width="0" style="809" hidden="1" customWidth="1"/>
    <col min="10766" max="10766" width="11.7109375" style="809" customWidth="1"/>
    <col min="10767" max="10768" width="11.42578125" style="809" customWidth="1"/>
    <col min="10769" max="11008" width="0" style="809" hidden="1"/>
    <col min="11009" max="11009" width="11.42578125" style="809" customWidth="1"/>
    <col min="11010" max="11010" width="61.28515625" style="809" customWidth="1"/>
    <col min="11011" max="11011" width="20.140625" style="809" customWidth="1"/>
    <col min="11012" max="11013" width="11.42578125" style="809" customWidth="1"/>
    <col min="11014" max="11015" width="14.7109375" style="809" customWidth="1"/>
    <col min="11016" max="11016" width="18.5703125" style="809" customWidth="1"/>
    <col min="11017" max="11017" width="11.7109375" style="809" customWidth="1"/>
    <col min="11018" max="11018" width="22" style="809" customWidth="1"/>
    <col min="11019" max="11019" width="13.7109375" style="809" customWidth="1"/>
    <col min="11020" max="11020" width="16" style="809" customWidth="1"/>
    <col min="11021" max="11021" width="0" style="809" hidden="1" customWidth="1"/>
    <col min="11022" max="11022" width="11.7109375" style="809" customWidth="1"/>
    <col min="11023" max="11024" width="11.42578125" style="809" customWidth="1"/>
    <col min="11025" max="11264" width="0" style="809" hidden="1"/>
    <col min="11265" max="11265" width="11.42578125" style="809" customWidth="1"/>
    <col min="11266" max="11266" width="61.28515625" style="809" customWidth="1"/>
    <col min="11267" max="11267" width="20.140625" style="809" customWidth="1"/>
    <col min="11268" max="11269" width="11.42578125" style="809" customWidth="1"/>
    <col min="11270" max="11271" width="14.7109375" style="809" customWidth="1"/>
    <col min="11272" max="11272" width="18.5703125" style="809" customWidth="1"/>
    <col min="11273" max="11273" width="11.7109375" style="809" customWidth="1"/>
    <col min="11274" max="11274" width="22" style="809" customWidth="1"/>
    <col min="11275" max="11275" width="13.7109375" style="809" customWidth="1"/>
    <col min="11276" max="11276" width="16" style="809" customWidth="1"/>
    <col min="11277" max="11277" width="0" style="809" hidden="1" customWidth="1"/>
    <col min="11278" max="11278" width="11.7109375" style="809" customWidth="1"/>
    <col min="11279" max="11280" width="11.42578125" style="809" customWidth="1"/>
    <col min="11281" max="11520" width="0" style="809" hidden="1"/>
    <col min="11521" max="11521" width="11.42578125" style="809" customWidth="1"/>
    <col min="11522" max="11522" width="61.28515625" style="809" customWidth="1"/>
    <col min="11523" max="11523" width="20.140625" style="809" customWidth="1"/>
    <col min="11524" max="11525" width="11.42578125" style="809" customWidth="1"/>
    <col min="11526" max="11527" width="14.7109375" style="809" customWidth="1"/>
    <col min="11528" max="11528" width="18.5703125" style="809" customWidth="1"/>
    <col min="11529" max="11529" width="11.7109375" style="809" customWidth="1"/>
    <col min="11530" max="11530" width="22" style="809" customWidth="1"/>
    <col min="11531" max="11531" width="13.7109375" style="809" customWidth="1"/>
    <col min="11532" max="11532" width="16" style="809" customWidth="1"/>
    <col min="11533" max="11533" width="0" style="809" hidden="1" customWidth="1"/>
    <col min="11534" max="11534" width="11.7109375" style="809" customWidth="1"/>
    <col min="11535" max="11536" width="11.42578125" style="809" customWidth="1"/>
    <col min="11537" max="11776" width="0" style="809" hidden="1"/>
    <col min="11777" max="11777" width="11.42578125" style="809" customWidth="1"/>
    <col min="11778" max="11778" width="61.28515625" style="809" customWidth="1"/>
    <col min="11779" max="11779" width="20.140625" style="809" customWidth="1"/>
    <col min="11780" max="11781" width="11.42578125" style="809" customWidth="1"/>
    <col min="11782" max="11783" width="14.7109375" style="809" customWidth="1"/>
    <col min="11784" max="11784" width="18.5703125" style="809" customWidth="1"/>
    <col min="11785" max="11785" width="11.7109375" style="809" customWidth="1"/>
    <col min="11786" max="11786" width="22" style="809" customWidth="1"/>
    <col min="11787" max="11787" width="13.7109375" style="809" customWidth="1"/>
    <col min="11788" max="11788" width="16" style="809" customWidth="1"/>
    <col min="11789" max="11789" width="0" style="809" hidden="1" customWidth="1"/>
    <col min="11790" max="11790" width="11.7109375" style="809" customWidth="1"/>
    <col min="11791" max="11792" width="11.42578125" style="809" customWidth="1"/>
    <col min="11793" max="12032" width="0" style="809" hidden="1"/>
    <col min="12033" max="12033" width="11.42578125" style="809" customWidth="1"/>
    <col min="12034" max="12034" width="61.28515625" style="809" customWidth="1"/>
    <col min="12035" max="12035" width="20.140625" style="809" customWidth="1"/>
    <col min="12036" max="12037" width="11.42578125" style="809" customWidth="1"/>
    <col min="12038" max="12039" width="14.7109375" style="809" customWidth="1"/>
    <col min="12040" max="12040" width="18.5703125" style="809" customWidth="1"/>
    <col min="12041" max="12041" width="11.7109375" style="809" customWidth="1"/>
    <col min="12042" max="12042" width="22" style="809" customWidth="1"/>
    <col min="12043" max="12043" width="13.7109375" style="809" customWidth="1"/>
    <col min="12044" max="12044" width="16" style="809" customWidth="1"/>
    <col min="12045" max="12045" width="0" style="809" hidden="1" customWidth="1"/>
    <col min="12046" max="12046" width="11.7109375" style="809" customWidth="1"/>
    <col min="12047" max="12048" width="11.42578125" style="809" customWidth="1"/>
    <col min="12049" max="12288" width="0" style="809" hidden="1"/>
    <col min="12289" max="12289" width="11.42578125" style="809" customWidth="1"/>
    <col min="12290" max="12290" width="61.28515625" style="809" customWidth="1"/>
    <col min="12291" max="12291" width="20.140625" style="809" customWidth="1"/>
    <col min="12292" max="12293" width="11.42578125" style="809" customWidth="1"/>
    <col min="12294" max="12295" width="14.7109375" style="809" customWidth="1"/>
    <col min="12296" max="12296" width="18.5703125" style="809" customWidth="1"/>
    <col min="12297" max="12297" width="11.7109375" style="809" customWidth="1"/>
    <col min="12298" max="12298" width="22" style="809" customWidth="1"/>
    <col min="12299" max="12299" width="13.7109375" style="809" customWidth="1"/>
    <col min="12300" max="12300" width="16" style="809" customWidth="1"/>
    <col min="12301" max="12301" width="0" style="809" hidden="1" customWidth="1"/>
    <col min="12302" max="12302" width="11.7109375" style="809" customWidth="1"/>
    <col min="12303" max="12304" width="11.42578125" style="809" customWidth="1"/>
    <col min="12305" max="12544" width="0" style="809" hidden="1"/>
    <col min="12545" max="12545" width="11.42578125" style="809" customWidth="1"/>
    <col min="12546" max="12546" width="61.28515625" style="809" customWidth="1"/>
    <col min="12547" max="12547" width="20.140625" style="809" customWidth="1"/>
    <col min="12548" max="12549" width="11.42578125" style="809" customWidth="1"/>
    <col min="12550" max="12551" width="14.7109375" style="809" customWidth="1"/>
    <col min="12552" max="12552" width="18.5703125" style="809" customWidth="1"/>
    <col min="12553" max="12553" width="11.7109375" style="809" customWidth="1"/>
    <col min="12554" max="12554" width="22" style="809" customWidth="1"/>
    <col min="12555" max="12555" width="13.7109375" style="809" customWidth="1"/>
    <col min="12556" max="12556" width="16" style="809" customWidth="1"/>
    <col min="12557" max="12557" width="0" style="809" hidden="1" customWidth="1"/>
    <col min="12558" max="12558" width="11.7109375" style="809" customWidth="1"/>
    <col min="12559" max="12560" width="11.42578125" style="809" customWidth="1"/>
    <col min="12561" max="12800" width="0" style="809" hidden="1"/>
    <col min="12801" max="12801" width="11.42578125" style="809" customWidth="1"/>
    <col min="12802" max="12802" width="61.28515625" style="809" customWidth="1"/>
    <col min="12803" max="12803" width="20.140625" style="809" customWidth="1"/>
    <col min="12804" max="12805" width="11.42578125" style="809" customWidth="1"/>
    <col min="12806" max="12807" width="14.7109375" style="809" customWidth="1"/>
    <col min="12808" max="12808" width="18.5703125" style="809" customWidth="1"/>
    <col min="12809" max="12809" width="11.7109375" style="809" customWidth="1"/>
    <col min="12810" max="12810" width="22" style="809" customWidth="1"/>
    <col min="12811" max="12811" width="13.7109375" style="809" customWidth="1"/>
    <col min="12812" max="12812" width="16" style="809" customWidth="1"/>
    <col min="12813" max="12813" width="0" style="809" hidden="1" customWidth="1"/>
    <col min="12814" max="12814" width="11.7109375" style="809" customWidth="1"/>
    <col min="12815" max="12816" width="11.42578125" style="809" customWidth="1"/>
    <col min="12817" max="13056" width="0" style="809" hidden="1"/>
    <col min="13057" max="13057" width="11.42578125" style="809" customWidth="1"/>
    <col min="13058" max="13058" width="61.28515625" style="809" customWidth="1"/>
    <col min="13059" max="13059" width="20.140625" style="809" customWidth="1"/>
    <col min="13060" max="13061" width="11.42578125" style="809" customWidth="1"/>
    <col min="13062" max="13063" width="14.7109375" style="809" customWidth="1"/>
    <col min="13064" max="13064" width="18.5703125" style="809" customWidth="1"/>
    <col min="13065" max="13065" width="11.7109375" style="809" customWidth="1"/>
    <col min="13066" max="13066" width="22" style="809" customWidth="1"/>
    <col min="13067" max="13067" width="13.7109375" style="809" customWidth="1"/>
    <col min="13068" max="13068" width="16" style="809" customWidth="1"/>
    <col min="13069" max="13069" width="0" style="809" hidden="1" customWidth="1"/>
    <col min="13070" max="13070" width="11.7109375" style="809" customWidth="1"/>
    <col min="13071" max="13072" width="11.42578125" style="809" customWidth="1"/>
    <col min="13073" max="13312" width="0" style="809" hidden="1"/>
    <col min="13313" max="13313" width="11.42578125" style="809" customWidth="1"/>
    <col min="13314" max="13314" width="61.28515625" style="809" customWidth="1"/>
    <col min="13315" max="13315" width="20.140625" style="809" customWidth="1"/>
    <col min="13316" max="13317" width="11.42578125" style="809" customWidth="1"/>
    <col min="13318" max="13319" width="14.7109375" style="809" customWidth="1"/>
    <col min="13320" max="13320" width="18.5703125" style="809" customWidth="1"/>
    <col min="13321" max="13321" width="11.7109375" style="809" customWidth="1"/>
    <col min="13322" max="13322" width="22" style="809" customWidth="1"/>
    <col min="13323" max="13323" width="13.7109375" style="809" customWidth="1"/>
    <col min="13324" max="13324" width="16" style="809" customWidth="1"/>
    <col min="13325" max="13325" width="0" style="809" hidden="1" customWidth="1"/>
    <col min="13326" max="13326" width="11.7109375" style="809" customWidth="1"/>
    <col min="13327" max="13328" width="11.42578125" style="809" customWidth="1"/>
    <col min="13329" max="13568" width="0" style="809" hidden="1"/>
    <col min="13569" max="13569" width="11.42578125" style="809" customWidth="1"/>
    <col min="13570" max="13570" width="61.28515625" style="809" customWidth="1"/>
    <col min="13571" max="13571" width="20.140625" style="809" customWidth="1"/>
    <col min="13572" max="13573" width="11.42578125" style="809" customWidth="1"/>
    <col min="13574" max="13575" width="14.7109375" style="809" customWidth="1"/>
    <col min="13576" max="13576" width="18.5703125" style="809" customWidth="1"/>
    <col min="13577" max="13577" width="11.7109375" style="809" customWidth="1"/>
    <col min="13578" max="13578" width="22" style="809" customWidth="1"/>
    <col min="13579" max="13579" width="13.7109375" style="809" customWidth="1"/>
    <col min="13580" max="13580" width="16" style="809" customWidth="1"/>
    <col min="13581" max="13581" width="0" style="809" hidden="1" customWidth="1"/>
    <col min="13582" max="13582" width="11.7109375" style="809" customWidth="1"/>
    <col min="13583" max="13584" width="11.42578125" style="809" customWidth="1"/>
    <col min="13585" max="13824" width="0" style="809" hidden="1"/>
    <col min="13825" max="13825" width="11.42578125" style="809" customWidth="1"/>
    <col min="13826" max="13826" width="61.28515625" style="809" customWidth="1"/>
    <col min="13827" max="13827" width="20.140625" style="809" customWidth="1"/>
    <col min="13828" max="13829" width="11.42578125" style="809" customWidth="1"/>
    <col min="13830" max="13831" width="14.7109375" style="809" customWidth="1"/>
    <col min="13832" max="13832" width="18.5703125" style="809" customWidth="1"/>
    <col min="13833" max="13833" width="11.7109375" style="809" customWidth="1"/>
    <col min="13834" max="13834" width="22" style="809" customWidth="1"/>
    <col min="13835" max="13835" width="13.7109375" style="809" customWidth="1"/>
    <col min="13836" max="13836" width="16" style="809" customWidth="1"/>
    <col min="13837" max="13837" width="0" style="809" hidden="1" customWidth="1"/>
    <col min="13838" max="13838" width="11.7109375" style="809" customWidth="1"/>
    <col min="13839" max="13840" width="11.42578125" style="809" customWidth="1"/>
    <col min="13841" max="14080" width="0" style="809" hidden="1"/>
    <col min="14081" max="14081" width="11.42578125" style="809" customWidth="1"/>
    <col min="14082" max="14082" width="61.28515625" style="809" customWidth="1"/>
    <col min="14083" max="14083" width="20.140625" style="809" customWidth="1"/>
    <col min="14084" max="14085" width="11.42578125" style="809" customWidth="1"/>
    <col min="14086" max="14087" width="14.7109375" style="809" customWidth="1"/>
    <col min="14088" max="14088" width="18.5703125" style="809" customWidth="1"/>
    <col min="14089" max="14089" width="11.7109375" style="809" customWidth="1"/>
    <col min="14090" max="14090" width="22" style="809" customWidth="1"/>
    <col min="14091" max="14091" width="13.7109375" style="809" customWidth="1"/>
    <col min="14092" max="14092" width="16" style="809" customWidth="1"/>
    <col min="14093" max="14093" width="0" style="809" hidden="1" customWidth="1"/>
    <col min="14094" max="14094" width="11.7109375" style="809" customWidth="1"/>
    <col min="14095" max="14096" width="11.42578125" style="809" customWidth="1"/>
    <col min="14097" max="14336" width="0" style="809" hidden="1"/>
    <col min="14337" max="14337" width="11.42578125" style="809" customWidth="1"/>
    <col min="14338" max="14338" width="61.28515625" style="809" customWidth="1"/>
    <col min="14339" max="14339" width="20.140625" style="809" customWidth="1"/>
    <col min="14340" max="14341" width="11.42578125" style="809" customWidth="1"/>
    <col min="14342" max="14343" width="14.7109375" style="809" customWidth="1"/>
    <col min="14344" max="14344" width="18.5703125" style="809" customWidth="1"/>
    <col min="14345" max="14345" width="11.7109375" style="809" customWidth="1"/>
    <col min="14346" max="14346" width="22" style="809" customWidth="1"/>
    <col min="14347" max="14347" width="13.7109375" style="809" customWidth="1"/>
    <col min="14348" max="14348" width="16" style="809" customWidth="1"/>
    <col min="14349" max="14349" width="0" style="809" hidden="1" customWidth="1"/>
    <col min="14350" max="14350" width="11.7109375" style="809" customWidth="1"/>
    <col min="14351" max="14352" width="11.42578125" style="809" customWidth="1"/>
    <col min="14353" max="14592" width="0" style="809" hidden="1"/>
    <col min="14593" max="14593" width="11.42578125" style="809" customWidth="1"/>
    <col min="14594" max="14594" width="61.28515625" style="809" customWidth="1"/>
    <col min="14595" max="14595" width="20.140625" style="809" customWidth="1"/>
    <col min="14596" max="14597" width="11.42578125" style="809" customWidth="1"/>
    <col min="14598" max="14599" width="14.7109375" style="809" customWidth="1"/>
    <col min="14600" max="14600" width="18.5703125" style="809" customWidth="1"/>
    <col min="14601" max="14601" width="11.7109375" style="809" customWidth="1"/>
    <col min="14602" max="14602" width="22" style="809" customWidth="1"/>
    <col min="14603" max="14603" width="13.7109375" style="809" customWidth="1"/>
    <col min="14604" max="14604" width="16" style="809" customWidth="1"/>
    <col min="14605" max="14605" width="0" style="809" hidden="1" customWidth="1"/>
    <col min="14606" max="14606" width="11.7109375" style="809" customWidth="1"/>
    <col min="14607" max="14608" width="11.42578125" style="809" customWidth="1"/>
    <col min="14609" max="14848" width="0" style="809" hidden="1"/>
    <col min="14849" max="14849" width="11.42578125" style="809" customWidth="1"/>
    <col min="14850" max="14850" width="61.28515625" style="809" customWidth="1"/>
    <col min="14851" max="14851" width="20.140625" style="809" customWidth="1"/>
    <col min="14852" max="14853" width="11.42578125" style="809" customWidth="1"/>
    <col min="14854" max="14855" width="14.7109375" style="809" customWidth="1"/>
    <col min="14856" max="14856" width="18.5703125" style="809" customWidth="1"/>
    <col min="14857" max="14857" width="11.7109375" style="809" customWidth="1"/>
    <col min="14858" max="14858" width="22" style="809" customWidth="1"/>
    <col min="14859" max="14859" width="13.7109375" style="809" customWidth="1"/>
    <col min="14860" max="14860" width="16" style="809" customWidth="1"/>
    <col min="14861" max="14861" width="0" style="809" hidden="1" customWidth="1"/>
    <col min="14862" max="14862" width="11.7109375" style="809" customWidth="1"/>
    <col min="14863" max="14864" width="11.42578125" style="809" customWidth="1"/>
    <col min="14865" max="15104" width="0" style="809" hidden="1"/>
    <col min="15105" max="15105" width="11.42578125" style="809" customWidth="1"/>
    <col min="15106" max="15106" width="61.28515625" style="809" customWidth="1"/>
    <col min="15107" max="15107" width="20.140625" style="809" customWidth="1"/>
    <col min="15108" max="15109" width="11.42578125" style="809" customWidth="1"/>
    <col min="15110" max="15111" width="14.7109375" style="809" customWidth="1"/>
    <col min="15112" max="15112" width="18.5703125" style="809" customWidth="1"/>
    <col min="15113" max="15113" width="11.7109375" style="809" customWidth="1"/>
    <col min="15114" max="15114" width="22" style="809" customWidth="1"/>
    <col min="15115" max="15115" width="13.7109375" style="809" customWidth="1"/>
    <col min="15116" max="15116" width="16" style="809" customWidth="1"/>
    <col min="15117" max="15117" width="0" style="809" hidden="1" customWidth="1"/>
    <col min="15118" max="15118" width="11.7109375" style="809" customWidth="1"/>
    <col min="15119" max="15120" width="11.42578125" style="809" customWidth="1"/>
    <col min="15121" max="15360" width="0" style="809" hidden="1"/>
    <col min="15361" max="15361" width="11.42578125" style="809" customWidth="1"/>
    <col min="15362" max="15362" width="61.28515625" style="809" customWidth="1"/>
    <col min="15363" max="15363" width="20.140625" style="809" customWidth="1"/>
    <col min="15364" max="15365" width="11.42578125" style="809" customWidth="1"/>
    <col min="15366" max="15367" width="14.7109375" style="809" customWidth="1"/>
    <col min="15368" max="15368" width="18.5703125" style="809" customWidth="1"/>
    <col min="15369" max="15369" width="11.7109375" style="809" customWidth="1"/>
    <col min="15370" max="15370" width="22" style="809" customWidth="1"/>
    <col min="15371" max="15371" width="13.7109375" style="809" customWidth="1"/>
    <col min="15372" max="15372" width="16" style="809" customWidth="1"/>
    <col min="15373" max="15373" width="0" style="809" hidden="1" customWidth="1"/>
    <col min="15374" max="15374" width="11.7109375" style="809" customWidth="1"/>
    <col min="15375" max="15376" width="11.42578125" style="809" customWidth="1"/>
    <col min="15377" max="15616" width="0" style="809" hidden="1"/>
    <col min="15617" max="15617" width="11.42578125" style="809" customWidth="1"/>
    <col min="15618" max="15618" width="61.28515625" style="809" customWidth="1"/>
    <col min="15619" max="15619" width="20.140625" style="809" customWidth="1"/>
    <col min="15620" max="15621" width="11.42578125" style="809" customWidth="1"/>
    <col min="15622" max="15623" width="14.7109375" style="809" customWidth="1"/>
    <col min="15624" max="15624" width="18.5703125" style="809" customWidth="1"/>
    <col min="15625" max="15625" width="11.7109375" style="809" customWidth="1"/>
    <col min="15626" max="15626" width="22" style="809" customWidth="1"/>
    <col min="15627" max="15627" width="13.7109375" style="809" customWidth="1"/>
    <col min="15628" max="15628" width="16" style="809" customWidth="1"/>
    <col min="15629" max="15629" width="0" style="809" hidden="1" customWidth="1"/>
    <col min="15630" max="15630" width="11.7109375" style="809" customWidth="1"/>
    <col min="15631" max="15632" width="11.42578125" style="809" customWidth="1"/>
    <col min="15633" max="15872" width="0" style="809" hidden="1"/>
    <col min="15873" max="15873" width="11.42578125" style="809" customWidth="1"/>
    <col min="15874" max="15874" width="61.28515625" style="809" customWidth="1"/>
    <col min="15875" max="15875" width="20.140625" style="809" customWidth="1"/>
    <col min="15876" max="15877" width="11.42578125" style="809" customWidth="1"/>
    <col min="15878" max="15879" width="14.7109375" style="809" customWidth="1"/>
    <col min="15880" max="15880" width="18.5703125" style="809" customWidth="1"/>
    <col min="15881" max="15881" width="11.7109375" style="809" customWidth="1"/>
    <col min="15882" max="15882" width="22" style="809" customWidth="1"/>
    <col min="15883" max="15883" width="13.7109375" style="809" customWidth="1"/>
    <col min="15884" max="15884" width="16" style="809" customWidth="1"/>
    <col min="15885" max="15885" width="0" style="809" hidden="1" customWidth="1"/>
    <col min="15886" max="15886" width="11.7109375" style="809" customWidth="1"/>
    <col min="15887" max="15888" width="11.42578125" style="809" customWidth="1"/>
    <col min="15889" max="16128" width="0" style="809" hidden="1"/>
    <col min="16129" max="16129" width="11.42578125" style="809" customWidth="1"/>
    <col min="16130" max="16130" width="61.28515625" style="809" customWidth="1"/>
    <col min="16131" max="16131" width="20.140625" style="809" customWidth="1"/>
    <col min="16132" max="16133" width="11.42578125" style="809" customWidth="1"/>
    <col min="16134" max="16135" width="14.7109375" style="809" customWidth="1"/>
    <col min="16136" max="16136" width="18.5703125" style="809" customWidth="1"/>
    <col min="16137" max="16137" width="11.7109375" style="809" customWidth="1"/>
    <col min="16138" max="16138" width="22" style="809" customWidth="1"/>
    <col min="16139" max="16139" width="13.7109375" style="809" customWidth="1"/>
    <col min="16140" max="16140" width="16" style="809" customWidth="1"/>
    <col min="16141" max="16141" width="0" style="809" hidden="1" customWidth="1"/>
    <col min="16142" max="16142" width="11.7109375" style="809" customWidth="1"/>
    <col min="16143" max="16144" width="11.42578125" style="809" customWidth="1"/>
    <col min="16145" max="16384" width="0" style="809" hidden="1"/>
  </cols>
  <sheetData>
    <row r="1" spans="1:20" x14ac:dyDescent="0.2">
      <c r="A1" s="810"/>
      <c r="B1" s="810"/>
      <c r="C1" s="810"/>
      <c r="D1" s="810"/>
      <c r="E1" s="810"/>
      <c r="F1" s="810"/>
      <c r="G1" s="810"/>
      <c r="H1" s="810"/>
      <c r="I1" s="810"/>
      <c r="J1" s="810"/>
      <c r="K1" s="810"/>
      <c r="L1" s="810"/>
      <c r="M1" s="810"/>
      <c r="N1" s="810"/>
    </row>
    <row r="2" spans="1:20" ht="25.5" x14ac:dyDescent="0.35">
      <c r="A2" s="1448" t="str">
        <f>caratula!B16</f>
        <v>TRANSPORTES BONAMPAK, S.A. DE C.V.</v>
      </c>
      <c r="B2" s="1449"/>
      <c r="C2" s="810"/>
      <c r="D2" s="810"/>
      <c r="E2" s="810"/>
      <c r="F2" s="810"/>
      <c r="G2" s="810"/>
      <c r="H2" s="810"/>
      <c r="I2" s="810"/>
      <c r="J2" s="810"/>
      <c r="K2" s="810"/>
      <c r="L2" s="810"/>
      <c r="M2" s="810"/>
      <c r="N2" s="810"/>
    </row>
    <row r="3" spans="1:20" ht="15.75" x14ac:dyDescent="0.25">
      <c r="A3" s="873"/>
      <c r="B3" s="810"/>
      <c r="C3" s="810"/>
      <c r="D3" s="810"/>
      <c r="E3" s="810"/>
      <c r="F3" s="810"/>
      <c r="G3" s="810"/>
      <c r="H3" s="810"/>
      <c r="I3" s="810"/>
      <c r="J3" s="810"/>
      <c r="K3" s="810"/>
      <c r="L3" s="810"/>
      <c r="M3" s="810"/>
      <c r="N3" s="810"/>
    </row>
    <row r="4" spans="1:20" ht="15.75" x14ac:dyDescent="0.25">
      <c r="A4" s="1450" t="str">
        <f>caratula!B26</f>
        <v>PRESUPUESTO  2014</v>
      </c>
      <c r="B4" s="810"/>
      <c r="C4" s="810"/>
      <c r="D4" s="810"/>
      <c r="E4" s="810"/>
      <c r="F4" s="810"/>
      <c r="G4" s="810"/>
      <c r="H4" s="810"/>
      <c r="I4" s="810"/>
      <c r="J4" s="810"/>
      <c r="K4" s="810"/>
      <c r="L4" s="810"/>
      <c r="M4" s="810"/>
      <c r="N4" s="810"/>
    </row>
    <row r="5" spans="1:20" ht="15.75" x14ac:dyDescent="0.25">
      <c r="A5" s="873" t="s">
        <v>10368</v>
      </c>
      <c r="B5" s="810"/>
      <c r="C5" s="810"/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</row>
    <row r="6" spans="1:20" ht="16.5" thickBot="1" x14ac:dyDescent="0.3">
      <c r="A6" s="1451" t="s">
        <v>9856</v>
      </c>
      <c r="B6" s="918"/>
      <c r="C6" s="918"/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</row>
    <row r="7" spans="1:20" ht="16.5" thickTop="1" x14ac:dyDescent="0.25">
      <c r="A7" s="1452"/>
      <c r="B7" s="1453"/>
      <c r="C7" s="1453"/>
      <c r="D7" s="1453"/>
      <c r="E7" s="1453"/>
      <c r="F7" s="1453"/>
      <c r="G7" s="1453"/>
      <c r="H7" s="1453"/>
      <c r="I7" s="1453"/>
      <c r="J7" s="1453"/>
      <c r="K7" s="1453"/>
      <c r="L7" s="1453"/>
      <c r="M7" s="1453"/>
      <c r="N7" s="826"/>
      <c r="T7" s="815"/>
    </row>
    <row r="8" spans="1:20" x14ac:dyDescent="0.2">
      <c r="A8" s="1454" t="s">
        <v>10369</v>
      </c>
      <c r="B8" s="810"/>
      <c r="C8" s="810"/>
      <c r="D8" s="810"/>
      <c r="E8" s="810"/>
      <c r="F8" s="810"/>
      <c r="G8" s="810"/>
      <c r="H8" s="810"/>
      <c r="I8" s="810"/>
      <c r="J8" s="810"/>
      <c r="K8" s="810"/>
      <c r="L8" s="810"/>
      <c r="M8" s="810"/>
      <c r="N8" s="815"/>
      <c r="T8" s="815"/>
    </row>
    <row r="9" spans="1:20" x14ac:dyDescent="0.2">
      <c r="A9" s="934"/>
      <c r="B9" s="918"/>
      <c r="C9" s="918"/>
      <c r="D9" s="918"/>
      <c r="E9" s="918"/>
      <c r="F9" s="918"/>
      <c r="G9" s="918"/>
      <c r="H9" s="918"/>
      <c r="I9" s="918"/>
      <c r="J9" s="1455"/>
      <c r="K9" s="918"/>
      <c r="L9" s="918"/>
      <c r="M9" s="918"/>
      <c r="N9" s="1456"/>
      <c r="T9" s="815"/>
    </row>
    <row r="10" spans="1:20" x14ac:dyDescent="0.2">
      <c r="A10" s="1454"/>
      <c r="B10" s="1457"/>
      <c r="C10" s="1457"/>
      <c r="D10" s="1457"/>
      <c r="E10" s="1458"/>
      <c r="F10" s="1459" t="s">
        <v>10370</v>
      </c>
      <c r="G10" s="1459"/>
      <c r="H10" s="1460"/>
      <c r="I10" s="1457"/>
      <c r="J10" s="1457"/>
      <c r="K10" s="1458"/>
      <c r="L10" s="1458"/>
      <c r="M10" s="1457"/>
      <c r="N10" s="924"/>
      <c r="T10" s="815"/>
    </row>
    <row r="11" spans="1:20" x14ac:dyDescent="0.2">
      <c r="A11" s="1454" t="s">
        <v>10371</v>
      </c>
      <c r="B11" s="1461"/>
      <c r="C11" s="1457"/>
      <c r="D11" s="1457"/>
      <c r="E11" s="1458"/>
      <c r="F11" s="1457"/>
      <c r="G11" s="1458"/>
      <c r="H11" s="1458"/>
      <c r="I11" s="1457" t="s">
        <v>10372</v>
      </c>
      <c r="J11" s="1457"/>
      <c r="K11" s="1458"/>
      <c r="L11" s="1003" t="s">
        <v>53</v>
      </c>
      <c r="M11" s="1457" t="s">
        <v>10373</v>
      </c>
      <c r="N11" s="975" t="s">
        <v>10374</v>
      </c>
      <c r="T11" s="815"/>
    </row>
    <row r="12" spans="1:20" x14ac:dyDescent="0.2">
      <c r="A12" s="1462"/>
      <c r="B12" s="1459"/>
      <c r="C12" s="1459"/>
      <c r="D12" s="1459"/>
      <c r="E12" s="1460"/>
      <c r="F12" s="1459" t="s">
        <v>10375</v>
      </c>
      <c r="G12" s="1460"/>
      <c r="H12" s="1460"/>
      <c r="I12" s="1459"/>
      <c r="J12" s="1459"/>
      <c r="K12" s="1460"/>
      <c r="L12" s="1460"/>
      <c r="M12" s="1459"/>
      <c r="N12" s="1463"/>
      <c r="T12" s="815"/>
    </row>
    <row r="13" spans="1:20" x14ac:dyDescent="0.2">
      <c r="A13" s="881" t="s">
        <v>10376</v>
      </c>
      <c r="B13" s="1458"/>
      <c r="C13" s="1003"/>
      <c r="D13" s="1003" t="s">
        <v>10377</v>
      </c>
      <c r="E13" s="1003"/>
      <c r="F13" s="1003" t="s">
        <v>10378</v>
      </c>
      <c r="G13" s="1003" t="s">
        <v>10379</v>
      </c>
      <c r="H13" s="1003" t="s">
        <v>10380</v>
      </c>
      <c r="I13" s="1003" t="s">
        <v>10381</v>
      </c>
      <c r="J13" s="1003" t="s">
        <v>10382</v>
      </c>
      <c r="K13" s="1003" t="s">
        <v>10381</v>
      </c>
      <c r="L13" s="1003"/>
      <c r="M13" s="1003" t="s">
        <v>10383</v>
      </c>
      <c r="N13" s="975" t="s">
        <v>10384</v>
      </c>
      <c r="T13" s="815"/>
    </row>
    <row r="14" spans="1:20" x14ac:dyDescent="0.2">
      <c r="A14" s="881" t="s">
        <v>10385</v>
      </c>
      <c r="B14" s="1458" t="s">
        <v>10386</v>
      </c>
      <c r="C14" s="1003" t="s">
        <v>10387</v>
      </c>
      <c r="D14" s="1003" t="s">
        <v>10388</v>
      </c>
      <c r="E14" s="1003" t="s">
        <v>10389</v>
      </c>
      <c r="F14" s="1003" t="s">
        <v>10390</v>
      </c>
      <c r="G14" s="1003" t="s">
        <v>10391</v>
      </c>
      <c r="H14" s="1003" t="s">
        <v>10392</v>
      </c>
      <c r="I14" s="1003" t="s">
        <v>10393</v>
      </c>
      <c r="J14" s="1003" t="s">
        <v>52</v>
      </c>
      <c r="K14" s="1003" t="s">
        <v>10394</v>
      </c>
      <c r="L14" s="1003" t="s">
        <v>10395</v>
      </c>
      <c r="M14" s="1003" t="s">
        <v>10396</v>
      </c>
      <c r="N14" s="975" t="s">
        <v>10397</v>
      </c>
      <c r="T14" s="815"/>
    </row>
    <row r="15" spans="1:20" x14ac:dyDescent="0.2">
      <c r="A15" s="1464"/>
      <c r="B15" s="1460"/>
      <c r="C15" s="1460"/>
      <c r="D15" s="1460"/>
      <c r="E15" s="1460"/>
      <c r="F15" s="1465">
        <v>1</v>
      </c>
      <c r="G15" s="1465">
        <v>2</v>
      </c>
      <c r="H15" s="1465">
        <v>3</v>
      </c>
      <c r="I15" s="1465">
        <v>4</v>
      </c>
      <c r="J15" s="1465">
        <v>5</v>
      </c>
      <c r="K15" s="1465">
        <v>6</v>
      </c>
      <c r="L15" s="1465" t="s">
        <v>10398</v>
      </c>
      <c r="M15" s="1465" t="s">
        <v>7</v>
      </c>
      <c r="N15" s="1466" t="s">
        <v>10193</v>
      </c>
      <c r="T15" s="815"/>
    </row>
    <row r="16" spans="1:20" ht="18.75" customHeight="1" x14ac:dyDescent="0.2">
      <c r="A16" s="1467">
        <v>1</v>
      </c>
      <c r="B16" s="1468" t="s">
        <v>10688</v>
      </c>
      <c r="C16" s="1469" t="s">
        <v>10399</v>
      </c>
      <c r="D16" s="1470">
        <v>1</v>
      </c>
      <c r="E16" s="1470" t="s">
        <v>10448</v>
      </c>
      <c r="F16" s="1471">
        <v>0</v>
      </c>
      <c r="G16" s="1471">
        <v>0</v>
      </c>
      <c r="H16" s="1471">
        <f>'Inversiones 2014'!K56+'Inversiones 2014'!K71+'Inversiones 2014'!K82</f>
        <v>13352600</v>
      </c>
      <c r="I16" s="1471">
        <v>0</v>
      </c>
      <c r="J16" s="1471">
        <f t="shared" ref="J16:J24" si="0">H16</f>
        <v>13352600</v>
      </c>
      <c r="K16" s="1471">
        <v>0</v>
      </c>
      <c r="L16" s="1472"/>
      <c r="M16" s="1469"/>
      <c r="N16" s="1473" t="s">
        <v>10400</v>
      </c>
      <c r="T16" s="815"/>
    </row>
    <row r="17" spans="1:20" ht="15" x14ac:dyDescent="0.2">
      <c r="A17" s="1467">
        <f t="shared" ref="A17:A28" si="1">+A16+1</f>
        <v>2</v>
      </c>
      <c r="B17" s="1474" t="s">
        <v>10444</v>
      </c>
      <c r="C17" s="1469" t="s">
        <v>10399</v>
      </c>
      <c r="D17" s="1470">
        <v>1</v>
      </c>
      <c r="E17" s="1470" t="s">
        <v>10448</v>
      </c>
      <c r="F17" s="1471">
        <v>0</v>
      </c>
      <c r="G17" s="1471">
        <v>0</v>
      </c>
      <c r="H17" s="1471">
        <f>'Inversiones 2014'!F13*25</f>
        <v>2335125</v>
      </c>
      <c r="I17" s="1471">
        <v>0</v>
      </c>
      <c r="J17" s="1471">
        <f>H17</f>
        <v>2335125</v>
      </c>
      <c r="K17" s="1471">
        <v>0</v>
      </c>
      <c r="L17" s="1475"/>
      <c r="M17" s="1469"/>
      <c r="N17" s="1473" t="s">
        <v>10400</v>
      </c>
      <c r="T17" s="815"/>
    </row>
    <row r="18" spans="1:20" ht="15" x14ac:dyDescent="0.2">
      <c r="A18" s="1467">
        <f t="shared" si="1"/>
        <v>3</v>
      </c>
      <c r="B18" s="1476" t="s">
        <v>10445</v>
      </c>
      <c r="C18" s="1469" t="s">
        <v>10399</v>
      </c>
      <c r="D18" s="1470">
        <v>1</v>
      </c>
      <c r="E18" s="1470">
        <v>3</v>
      </c>
      <c r="F18" s="1471">
        <v>0</v>
      </c>
      <c r="G18" s="1471">
        <v>0</v>
      </c>
      <c r="H18" s="1471">
        <f>'Inversiones 2014'!F85*5</f>
        <v>467025</v>
      </c>
      <c r="I18" s="1471">
        <v>0</v>
      </c>
      <c r="J18" s="1471">
        <f>H18</f>
        <v>467025</v>
      </c>
      <c r="K18" s="1471">
        <v>0</v>
      </c>
      <c r="L18" s="1475"/>
      <c r="M18" s="1469"/>
      <c r="N18" s="1473" t="s">
        <v>10400</v>
      </c>
      <c r="T18" s="815"/>
    </row>
    <row r="19" spans="1:20" ht="15" x14ac:dyDescent="0.2">
      <c r="A19" s="1467">
        <f t="shared" si="1"/>
        <v>4</v>
      </c>
      <c r="B19" s="1477" t="s">
        <v>10447</v>
      </c>
      <c r="C19" s="1469" t="s">
        <v>10399</v>
      </c>
      <c r="D19" s="1470">
        <v>1</v>
      </c>
      <c r="E19" s="1470">
        <v>3</v>
      </c>
      <c r="F19" s="1471">
        <v>0</v>
      </c>
      <c r="G19" s="1471">
        <v>0</v>
      </c>
      <c r="H19" s="1471" t="e">
        <f>'Inversiones 2014'!#REF!*10</f>
        <v>#REF!</v>
      </c>
      <c r="I19" s="1471">
        <v>0</v>
      </c>
      <c r="J19" s="1471" t="e">
        <f t="shared" si="0"/>
        <v>#REF!</v>
      </c>
      <c r="K19" s="1471">
        <v>0</v>
      </c>
      <c r="L19" s="1475"/>
      <c r="M19" s="1469"/>
      <c r="N19" s="1473" t="s">
        <v>10400</v>
      </c>
      <c r="T19" s="815"/>
    </row>
    <row r="20" spans="1:20" ht="15" x14ac:dyDescent="0.2">
      <c r="A20" s="1467">
        <f t="shared" si="1"/>
        <v>5</v>
      </c>
      <c r="B20" s="1478" t="s">
        <v>10446</v>
      </c>
      <c r="C20" s="1469" t="s">
        <v>10399</v>
      </c>
      <c r="D20" s="1470">
        <v>1</v>
      </c>
      <c r="E20" s="1470">
        <v>3</v>
      </c>
      <c r="F20" s="1471">
        <v>0</v>
      </c>
      <c r="G20" s="1471">
        <v>0</v>
      </c>
      <c r="H20" s="1471">
        <f>'Inversiones 2014'!F29*10</f>
        <v>3676500</v>
      </c>
      <c r="I20" s="1471">
        <v>0</v>
      </c>
      <c r="J20" s="1471">
        <f t="shared" si="0"/>
        <v>3676500</v>
      </c>
      <c r="K20" s="1471">
        <v>0</v>
      </c>
      <c r="L20" s="1475"/>
      <c r="M20" s="1469"/>
      <c r="N20" s="1473" t="s">
        <v>10400</v>
      </c>
      <c r="T20" s="815"/>
    </row>
    <row r="21" spans="1:20" ht="15" hidden="1" x14ac:dyDescent="0.2">
      <c r="A21" s="1467">
        <f t="shared" si="1"/>
        <v>6</v>
      </c>
      <c r="B21" s="1478" t="s">
        <v>10446</v>
      </c>
      <c r="C21" s="1469" t="s">
        <v>10399</v>
      </c>
      <c r="D21" s="1470">
        <v>1</v>
      </c>
      <c r="E21" s="1470">
        <v>3</v>
      </c>
      <c r="F21" s="1471">
        <v>0</v>
      </c>
      <c r="G21" s="1471">
        <v>0</v>
      </c>
      <c r="H21" s="1471"/>
      <c r="I21" s="1471">
        <v>0</v>
      </c>
      <c r="J21" s="1471">
        <f>H21</f>
        <v>0</v>
      </c>
      <c r="K21" s="1471">
        <v>0</v>
      </c>
      <c r="L21" s="1475"/>
      <c r="M21" s="1469"/>
      <c r="N21" s="1473" t="s">
        <v>10400</v>
      </c>
      <c r="T21" s="815"/>
    </row>
    <row r="22" spans="1:20" ht="15" hidden="1" x14ac:dyDescent="0.2">
      <c r="A22" s="1467">
        <f t="shared" si="1"/>
        <v>7</v>
      </c>
      <c r="B22" s="1479">
        <v>0</v>
      </c>
      <c r="C22" s="1469" t="s">
        <v>10126</v>
      </c>
      <c r="D22" s="1470">
        <v>1</v>
      </c>
      <c r="E22" s="1470">
        <v>3</v>
      </c>
      <c r="F22" s="1471">
        <v>0</v>
      </c>
      <c r="G22" s="1471">
        <v>0</v>
      </c>
      <c r="H22" s="1471">
        <f>+B22*(16158.1342740958*TCProm)</f>
        <v>0</v>
      </c>
      <c r="I22" s="1471">
        <v>0</v>
      </c>
      <c r="J22" s="1471">
        <f>H22</f>
        <v>0</v>
      </c>
      <c r="K22" s="1471">
        <v>0</v>
      </c>
      <c r="L22" s="1475"/>
      <c r="M22" s="1469"/>
      <c r="N22" s="1473" t="s">
        <v>10400</v>
      </c>
      <c r="T22" s="815"/>
    </row>
    <row r="23" spans="1:20" ht="15" hidden="1" x14ac:dyDescent="0.2">
      <c r="A23" s="1467">
        <f t="shared" si="1"/>
        <v>8</v>
      </c>
      <c r="B23" s="1480" t="s">
        <v>10401</v>
      </c>
      <c r="C23" s="1469" t="s">
        <v>10402</v>
      </c>
      <c r="D23" s="1470">
        <v>1</v>
      </c>
      <c r="E23" s="1470">
        <v>3</v>
      </c>
      <c r="F23" s="1471">
        <v>0</v>
      </c>
      <c r="G23" s="1471">
        <v>0</v>
      </c>
      <c r="H23" s="1471">
        <f>+'[1]Inversiones Areas 2009'!F10+'[1]Inversiones Areas 2009'!F11</f>
        <v>0</v>
      </c>
      <c r="I23" s="1471">
        <v>0</v>
      </c>
      <c r="J23" s="1471">
        <f t="shared" si="0"/>
        <v>0</v>
      </c>
      <c r="K23" s="1471">
        <v>0</v>
      </c>
      <c r="L23" s="1475"/>
      <c r="M23" s="1469"/>
      <c r="N23" s="1473" t="s">
        <v>10400</v>
      </c>
      <c r="T23" s="815"/>
    </row>
    <row r="24" spans="1:20" ht="15" hidden="1" x14ac:dyDescent="0.2">
      <c r="A24" s="1467">
        <v>2</v>
      </c>
      <c r="B24" s="1480" t="s">
        <v>10403</v>
      </c>
      <c r="C24" s="1469" t="s">
        <v>10402</v>
      </c>
      <c r="D24" s="1470">
        <v>1</v>
      </c>
      <c r="E24" s="1470">
        <v>1</v>
      </c>
      <c r="F24" s="1471">
        <v>0</v>
      </c>
      <c r="G24" s="1471">
        <v>0</v>
      </c>
      <c r="H24" s="1471"/>
      <c r="I24" s="1471">
        <v>0</v>
      </c>
      <c r="J24" s="1471">
        <f t="shared" si="0"/>
        <v>0</v>
      </c>
      <c r="K24" s="1471">
        <v>0</v>
      </c>
      <c r="L24" s="1475"/>
      <c r="M24" s="1469"/>
      <c r="N24" s="1473" t="s">
        <v>10400</v>
      </c>
      <c r="T24" s="815"/>
    </row>
    <row r="25" spans="1:20" ht="15" hidden="1" x14ac:dyDescent="0.2">
      <c r="A25" s="1467">
        <f t="shared" si="1"/>
        <v>3</v>
      </c>
      <c r="B25" s="1480" t="s">
        <v>10404</v>
      </c>
      <c r="C25" s="1469" t="s">
        <v>10402</v>
      </c>
      <c r="D25" s="1470">
        <v>2</v>
      </c>
      <c r="E25" s="1470">
        <v>3</v>
      </c>
      <c r="F25" s="1471">
        <v>0</v>
      </c>
      <c r="G25" s="1471">
        <v>0</v>
      </c>
      <c r="H25" s="1471">
        <v>0</v>
      </c>
      <c r="I25" s="1471">
        <v>0</v>
      </c>
      <c r="J25" s="1471">
        <f>H25</f>
        <v>0</v>
      </c>
      <c r="K25" s="1471">
        <v>0</v>
      </c>
      <c r="L25" s="1475"/>
      <c r="M25" s="1469"/>
      <c r="N25" s="1473" t="s">
        <v>10400</v>
      </c>
      <c r="O25" s="1481"/>
      <c r="T25" s="815"/>
    </row>
    <row r="26" spans="1:20" ht="15" hidden="1" x14ac:dyDescent="0.2">
      <c r="A26" s="1467">
        <f t="shared" si="1"/>
        <v>4</v>
      </c>
      <c r="B26" s="1482" t="str">
        <f>+'[1]Inversiones Areas 2009'!D29</f>
        <v>Obra Civil Ampliación Patio Maniobras</v>
      </c>
      <c r="C26" s="1469" t="s">
        <v>10402</v>
      </c>
      <c r="D26" s="1470">
        <v>1</v>
      </c>
      <c r="E26" s="1470">
        <v>3</v>
      </c>
      <c r="F26" s="1471">
        <v>0</v>
      </c>
      <c r="G26" s="1471">
        <v>0</v>
      </c>
      <c r="H26" s="1471">
        <f>+'[1]Inversiones Areas 2009'!F29</f>
        <v>0</v>
      </c>
      <c r="I26" s="1471">
        <v>0</v>
      </c>
      <c r="J26" s="1471">
        <f>H26</f>
        <v>0</v>
      </c>
      <c r="K26" s="1471">
        <v>0</v>
      </c>
      <c r="L26" s="1475"/>
      <c r="M26" s="1469"/>
      <c r="N26" s="1473" t="s">
        <v>10400</v>
      </c>
      <c r="T26" s="815"/>
    </row>
    <row r="27" spans="1:20" ht="15" hidden="1" x14ac:dyDescent="0.2">
      <c r="A27" s="1467">
        <f t="shared" si="1"/>
        <v>5</v>
      </c>
      <c r="B27" s="1480" t="s">
        <v>10405</v>
      </c>
      <c r="C27" s="1469" t="s">
        <v>10402</v>
      </c>
      <c r="D27" s="1470">
        <v>1</v>
      </c>
      <c r="E27" s="1470">
        <v>3</v>
      </c>
      <c r="F27" s="1471">
        <v>0</v>
      </c>
      <c r="G27" s="1471">
        <v>0</v>
      </c>
      <c r="H27" s="1471">
        <v>0</v>
      </c>
      <c r="I27" s="1471">
        <v>0</v>
      </c>
      <c r="J27" s="1471">
        <f>H27</f>
        <v>0</v>
      </c>
      <c r="K27" s="1471">
        <v>0</v>
      </c>
      <c r="L27" s="1475"/>
      <c r="M27" s="1469"/>
      <c r="N27" s="1473" t="s">
        <v>10400</v>
      </c>
      <c r="O27" s="1481"/>
      <c r="T27" s="815"/>
    </row>
    <row r="28" spans="1:20" ht="15" hidden="1" x14ac:dyDescent="0.2">
      <c r="A28" s="1467">
        <f t="shared" si="1"/>
        <v>6</v>
      </c>
      <c r="B28" s="1480" t="s">
        <v>10406</v>
      </c>
      <c r="C28" s="1469" t="s">
        <v>10399</v>
      </c>
      <c r="D28" s="1470">
        <v>1</v>
      </c>
      <c r="E28" s="1470">
        <v>3</v>
      </c>
      <c r="F28" s="1471">
        <v>0</v>
      </c>
      <c r="G28" s="1471">
        <v>0</v>
      </c>
      <c r="H28" s="1471">
        <v>0</v>
      </c>
      <c r="I28" s="1471">
        <v>0</v>
      </c>
      <c r="J28" s="1471">
        <f>H28</f>
        <v>0</v>
      </c>
      <c r="K28" s="1471">
        <v>0</v>
      </c>
      <c r="L28" s="1475"/>
      <c r="M28" s="1469"/>
      <c r="N28" s="1473" t="s">
        <v>10400</v>
      </c>
      <c r="T28" s="815"/>
    </row>
    <row r="29" spans="1:20" ht="15" x14ac:dyDescent="0.2">
      <c r="A29" s="1467"/>
      <c r="B29" s="1469"/>
      <c r="C29" s="1469"/>
      <c r="D29" s="1470"/>
      <c r="E29" s="1470"/>
      <c r="F29" s="1471"/>
      <c r="G29" s="1471"/>
      <c r="H29" s="1471"/>
      <c r="I29" s="1471"/>
      <c r="J29" s="1483"/>
      <c r="K29" s="1471"/>
      <c r="L29" s="1472"/>
      <c r="M29" s="1469"/>
      <c r="N29" s="1473"/>
      <c r="T29" s="815"/>
    </row>
    <row r="30" spans="1:20" ht="16.5" thickBot="1" x14ac:dyDescent="0.3">
      <c r="A30" s="1484" t="s">
        <v>82</v>
      </c>
      <c r="B30" s="1485"/>
      <c r="C30" s="1485"/>
      <c r="D30" s="1485"/>
      <c r="E30" s="1485"/>
      <c r="F30" s="1486">
        <f>SUM(F29:F29)</f>
        <v>0</v>
      </c>
      <c r="G30" s="1486">
        <f>SUM(G29:G29)</f>
        <v>0</v>
      </c>
      <c r="H30" s="1487" t="e">
        <f>+SUM(H16:H29)</f>
        <v>#REF!</v>
      </c>
      <c r="I30" s="1486">
        <f>+SUM(I16:I29)</f>
        <v>0</v>
      </c>
      <c r="J30" s="1487" t="e">
        <f>+SUM(J16:J29)</f>
        <v>#REF!</v>
      </c>
      <c r="K30" s="1486">
        <f>+SUM(K16:K29)</f>
        <v>0</v>
      </c>
      <c r="L30" s="1488"/>
      <c r="M30" s="1485" t="s">
        <v>10407</v>
      </c>
      <c r="N30" s="1489"/>
      <c r="T30" s="815"/>
    </row>
    <row r="31" spans="1:20" ht="15.75" thickTop="1" x14ac:dyDescent="0.2">
      <c r="A31" s="1490"/>
      <c r="B31" s="1469"/>
      <c r="C31" s="1469"/>
      <c r="D31" s="1469"/>
      <c r="E31" s="1469"/>
      <c r="F31" s="1472"/>
      <c r="G31" s="1472"/>
      <c r="H31" s="1472"/>
      <c r="I31" s="1472"/>
      <c r="J31" s="1472"/>
      <c r="K31" s="1472"/>
      <c r="L31" s="1472"/>
      <c r="M31" s="1469"/>
      <c r="N31" s="949"/>
      <c r="T31" s="815"/>
    </row>
    <row r="32" spans="1:20" ht="15" x14ac:dyDescent="0.2">
      <c r="A32" s="1490"/>
      <c r="B32" s="1491" t="s">
        <v>10408</v>
      </c>
      <c r="C32" s="1469"/>
      <c r="D32" s="1469"/>
      <c r="E32" s="1469"/>
      <c r="F32" s="1472"/>
      <c r="G32" s="1472"/>
      <c r="H32" s="1472"/>
      <c r="I32" s="1472"/>
      <c r="J32" s="1492"/>
      <c r="K32" s="1472"/>
      <c r="L32" s="1493"/>
      <c r="M32" s="1469"/>
      <c r="N32" s="949"/>
      <c r="T32" s="815"/>
    </row>
    <row r="33" spans="1:20" ht="15" x14ac:dyDescent="0.2">
      <c r="A33" s="1467"/>
      <c r="B33" s="1469"/>
      <c r="C33" s="1469"/>
      <c r="D33" s="1470"/>
      <c r="E33" s="1470"/>
      <c r="F33" s="1469"/>
      <c r="G33" s="1469"/>
      <c r="H33" s="1472"/>
      <c r="I33" s="1469"/>
      <c r="J33" s="1494"/>
      <c r="K33" s="1469"/>
      <c r="L33" s="1493"/>
      <c r="M33" s="1469"/>
      <c r="N33" s="1473"/>
      <c r="T33" s="815"/>
    </row>
    <row r="34" spans="1:20" ht="15.75" x14ac:dyDescent="0.25">
      <c r="A34" s="1467">
        <v>1</v>
      </c>
      <c r="B34" s="1472" t="s">
        <v>10122</v>
      </c>
      <c r="C34" s="1469" t="s">
        <v>10123</v>
      </c>
      <c r="D34" s="1470">
        <v>1</v>
      </c>
      <c r="E34" s="1470">
        <v>1</v>
      </c>
      <c r="F34" s="1469"/>
      <c r="G34" s="1469"/>
      <c r="H34" s="1495">
        <v>500000</v>
      </c>
      <c r="I34" s="1471">
        <v>0</v>
      </c>
      <c r="J34" s="1495">
        <f t="shared" ref="J34:J45" si="2">H34</f>
        <v>500000</v>
      </c>
      <c r="K34" s="1471">
        <v>0</v>
      </c>
      <c r="L34" s="1496" t="s">
        <v>10410</v>
      </c>
      <c r="M34" s="1469"/>
      <c r="N34" s="1473" t="s">
        <v>10400</v>
      </c>
      <c r="T34" s="815"/>
    </row>
    <row r="35" spans="1:20" ht="15" x14ac:dyDescent="0.2">
      <c r="A35" s="1467">
        <v>2</v>
      </c>
      <c r="B35" s="1469" t="s">
        <v>10218</v>
      </c>
      <c r="C35" s="1469" t="s">
        <v>10034</v>
      </c>
      <c r="D35" s="1470">
        <v>1</v>
      </c>
      <c r="E35" s="1470">
        <v>3</v>
      </c>
      <c r="F35" s="1471">
        <v>0</v>
      </c>
      <c r="G35" s="1471">
        <v>0</v>
      </c>
      <c r="H35" s="1471">
        <v>14000</v>
      </c>
      <c r="I35" s="1471">
        <v>0</v>
      </c>
      <c r="J35" s="1471">
        <f t="shared" si="2"/>
        <v>14000</v>
      </c>
      <c r="K35" s="1471">
        <v>0</v>
      </c>
      <c r="L35" s="1497"/>
      <c r="M35" s="1469"/>
      <c r="N35" s="1473" t="s">
        <v>10400</v>
      </c>
      <c r="T35" s="815"/>
    </row>
    <row r="36" spans="1:20" ht="15" x14ac:dyDescent="0.2">
      <c r="A36" s="1467">
        <v>3</v>
      </c>
      <c r="B36" s="1469" t="s">
        <v>10219</v>
      </c>
      <c r="C36" s="1469" t="s">
        <v>10123</v>
      </c>
      <c r="D36" s="1470">
        <v>1</v>
      </c>
      <c r="E36" s="1470">
        <v>3</v>
      </c>
      <c r="F36" s="1471">
        <v>0</v>
      </c>
      <c r="G36" s="1471">
        <v>0</v>
      </c>
      <c r="H36" s="1471">
        <v>350000</v>
      </c>
      <c r="I36" s="1471">
        <v>0</v>
      </c>
      <c r="J36" s="1471">
        <f t="shared" si="2"/>
        <v>350000</v>
      </c>
      <c r="K36" s="1471">
        <v>0</v>
      </c>
      <c r="L36" s="1497"/>
      <c r="M36" s="1469"/>
      <c r="N36" s="1473" t="s">
        <v>10400</v>
      </c>
      <c r="T36" s="815"/>
    </row>
    <row r="37" spans="1:20" ht="15" x14ac:dyDescent="0.2">
      <c r="A37" s="1467">
        <v>4</v>
      </c>
      <c r="B37" s="1469" t="s">
        <v>10220</v>
      </c>
      <c r="C37" s="1469" t="s">
        <v>10123</v>
      </c>
      <c r="D37" s="1470">
        <v>1</v>
      </c>
      <c r="E37" s="1470">
        <v>1</v>
      </c>
      <c r="F37" s="1471">
        <v>0</v>
      </c>
      <c r="G37" s="1471">
        <v>0</v>
      </c>
      <c r="H37" s="1471">
        <v>1200000</v>
      </c>
      <c r="I37" s="1471">
        <v>0</v>
      </c>
      <c r="J37" s="1471">
        <f t="shared" si="2"/>
        <v>1200000</v>
      </c>
      <c r="K37" s="1471">
        <v>0</v>
      </c>
      <c r="L37" s="1497"/>
      <c r="M37" s="1469"/>
      <c r="N37" s="1473" t="s">
        <v>10400</v>
      </c>
      <c r="T37" s="815"/>
    </row>
    <row r="38" spans="1:20" ht="15" x14ac:dyDescent="0.2">
      <c r="A38" s="1467">
        <v>5</v>
      </c>
      <c r="B38" s="1469" t="s">
        <v>10358</v>
      </c>
      <c r="C38" s="1469" t="s">
        <v>10123</v>
      </c>
      <c r="D38" s="1470">
        <v>1</v>
      </c>
      <c r="E38" s="1470">
        <v>1</v>
      </c>
      <c r="F38" s="1471">
        <v>0</v>
      </c>
      <c r="G38" s="1471">
        <v>0</v>
      </c>
      <c r="H38" s="1471">
        <v>300000</v>
      </c>
      <c r="I38" s="1471">
        <v>0</v>
      </c>
      <c r="J38" s="1471">
        <f t="shared" si="2"/>
        <v>300000</v>
      </c>
      <c r="K38" s="1471">
        <v>0</v>
      </c>
      <c r="L38" s="1497"/>
      <c r="M38" s="1469"/>
      <c r="N38" s="1473" t="s">
        <v>10400</v>
      </c>
      <c r="T38" s="815"/>
    </row>
    <row r="39" spans="1:20" ht="15" x14ac:dyDescent="0.2">
      <c r="A39" s="1467">
        <v>6</v>
      </c>
      <c r="B39" s="1469" t="s">
        <v>10221</v>
      </c>
      <c r="C39" s="1469" t="s">
        <v>10126</v>
      </c>
      <c r="D39" s="1470">
        <v>1</v>
      </c>
      <c r="E39" s="1470">
        <v>3</v>
      </c>
      <c r="F39" s="1471">
        <v>0</v>
      </c>
      <c r="G39" s="1471">
        <v>0</v>
      </c>
      <c r="H39" s="1471">
        <v>230000</v>
      </c>
      <c r="I39" s="1471">
        <v>0</v>
      </c>
      <c r="J39" s="1471">
        <f t="shared" si="2"/>
        <v>230000</v>
      </c>
      <c r="K39" s="1471">
        <v>0</v>
      </c>
      <c r="L39" s="1497"/>
      <c r="M39" s="1469"/>
      <c r="N39" s="1473" t="s">
        <v>10400</v>
      </c>
      <c r="T39" s="815"/>
    </row>
    <row r="40" spans="1:20" ht="15" x14ac:dyDescent="0.2">
      <c r="A40" s="1467">
        <v>7</v>
      </c>
      <c r="B40" s="1469" t="s">
        <v>10222</v>
      </c>
      <c r="C40" s="1469" t="s">
        <v>10126</v>
      </c>
      <c r="D40" s="1470">
        <v>1</v>
      </c>
      <c r="E40" s="1470">
        <v>1</v>
      </c>
      <c r="F40" s="1471">
        <v>0</v>
      </c>
      <c r="G40" s="1471">
        <v>0</v>
      </c>
      <c r="H40" s="1471">
        <v>166000</v>
      </c>
      <c r="I40" s="1471">
        <v>0</v>
      </c>
      <c r="J40" s="1471">
        <f t="shared" si="2"/>
        <v>166000</v>
      </c>
      <c r="K40" s="1471">
        <v>0</v>
      </c>
      <c r="L40" s="1497"/>
      <c r="M40" s="1469"/>
      <c r="N40" s="1473" t="s">
        <v>10400</v>
      </c>
      <c r="T40" s="815"/>
    </row>
    <row r="41" spans="1:20" ht="15" x14ac:dyDescent="0.2">
      <c r="A41" s="1467">
        <v>8</v>
      </c>
      <c r="B41" s="1469" t="s">
        <v>10223</v>
      </c>
      <c r="C41" s="1469" t="s">
        <v>10126</v>
      </c>
      <c r="D41" s="1470">
        <v>1</v>
      </c>
      <c r="E41" s="1470">
        <v>3</v>
      </c>
      <c r="F41" s="1471">
        <v>0</v>
      </c>
      <c r="G41" s="1471">
        <v>0</v>
      </c>
      <c r="H41" s="1471">
        <v>200000</v>
      </c>
      <c r="I41" s="1471">
        <v>0</v>
      </c>
      <c r="J41" s="1471">
        <f t="shared" si="2"/>
        <v>200000</v>
      </c>
      <c r="K41" s="1471">
        <v>0</v>
      </c>
      <c r="L41" s="1497"/>
      <c r="M41" s="1469"/>
      <c r="N41" s="1473" t="s">
        <v>10400</v>
      </c>
      <c r="T41" s="815"/>
    </row>
    <row r="42" spans="1:20" ht="15" x14ac:dyDescent="0.2">
      <c r="A42" s="1467">
        <v>9</v>
      </c>
      <c r="B42" s="1469" t="s">
        <v>10224</v>
      </c>
      <c r="C42" s="1469" t="s">
        <v>10034</v>
      </c>
      <c r="D42" s="1470">
        <v>1</v>
      </c>
      <c r="E42" s="1470">
        <v>1</v>
      </c>
      <c r="F42" s="1471">
        <v>0</v>
      </c>
      <c r="G42" s="1471">
        <v>0</v>
      </c>
      <c r="H42" s="1471">
        <v>10000</v>
      </c>
      <c r="I42" s="1471">
        <v>0</v>
      </c>
      <c r="J42" s="1471">
        <f t="shared" si="2"/>
        <v>10000</v>
      </c>
      <c r="K42" s="1471">
        <v>0</v>
      </c>
      <c r="L42" s="1497"/>
      <c r="M42" s="1469"/>
      <c r="N42" s="1473" t="s">
        <v>10400</v>
      </c>
      <c r="T42" s="815"/>
    </row>
    <row r="43" spans="1:20" ht="15" x14ac:dyDescent="0.2">
      <c r="A43" s="1467">
        <v>10</v>
      </c>
      <c r="B43" s="1469" t="s">
        <v>10125</v>
      </c>
      <c r="C43" s="1469" t="s">
        <v>10126</v>
      </c>
      <c r="D43" s="1470">
        <v>1</v>
      </c>
      <c r="E43" s="1470">
        <v>1</v>
      </c>
      <c r="F43" s="1471">
        <v>0</v>
      </c>
      <c r="G43" s="1471">
        <v>0</v>
      </c>
      <c r="H43" s="1471">
        <v>70000</v>
      </c>
      <c r="I43" s="1471">
        <v>0</v>
      </c>
      <c r="J43" s="1471">
        <f t="shared" si="2"/>
        <v>70000</v>
      </c>
      <c r="K43" s="1471">
        <v>0</v>
      </c>
      <c r="L43" s="1497"/>
      <c r="M43" s="1469"/>
      <c r="N43" s="1473" t="s">
        <v>10400</v>
      </c>
      <c r="T43" s="815"/>
    </row>
    <row r="44" spans="1:20" ht="15" x14ac:dyDescent="0.2">
      <c r="A44" s="1467">
        <v>11</v>
      </c>
      <c r="B44" s="1469" t="s">
        <v>10227</v>
      </c>
      <c r="C44" s="1469" t="s">
        <v>10126</v>
      </c>
      <c r="D44" s="1470">
        <v>1</v>
      </c>
      <c r="E44" s="1470">
        <v>1</v>
      </c>
      <c r="F44" s="1471">
        <v>0</v>
      </c>
      <c r="G44" s="1471">
        <v>0</v>
      </c>
      <c r="H44" s="1471">
        <v>90000</v>
      </c>
      <c r="I44" s="1471">
        <v>0</v>
      </c>
      <c r="J44" s="1471">
        <f t="shared" si="2"/>
        <v>90000</v>
      </c>
      <c r="K44" s="1471">
        <v>0</v>
      </c>
      <c r="L44" s="1497"/>
      <c r="M44" s="1469"/>
      <c r="N44" s="1473" t="s">
        <v>10400</v>
      </c>
      <c r="T44" s="815"/>
    </row>
    <row r="45" spans="1:20" ht="15" x14ac:dyDescent="0.2">
      <c r="A45" s="1467">
        <v>12</v>
      </c>
      <c r="B45" s="1469" t="s">
        <v>10228</v>
      </c>
      <c r="C45" s="1469" t="s">
        <v>10126</v>
      </c>
      <c r="D45" s="1470">
        <v>1</v>
      </c>
      <c r="E45" s="1470">
        <v>1</v>
      </c>
      <c r="F45" s="1471">
        <v>0</v>
      </c>
      <c r="G45" s="1471">
        <v>0</v>
      </c>
      <c r="H45" s="1471">
        <v>8000</v>
      </c>
      <c r="I45" s="1471">
        <v>0</v>
      </c>
      <c r="J45" s="1471">
        <f t="shared" si="2"/>
        <v>8000</v>
      </c>
      <c r="K45" s="1471">
        <v>0</v>
      </c>
      <c r="L45" s="1497"/>
      <c r="M45" s="1469"/>
      <c r="N45" s="1473" t="s">
        <v>10400</v>
      </c>
      <c r="T45" s="815"/>
    </row>
    <row r="46" spans="1:20" ht="15" x14ac:dyDescent="0.2">
      <c r="A46" s="1467">
        <v>13</v>
      </c>
      <c r="B46" s="1469" t="s">
        <v>10229</v>
      </c>
      <c r="C46" s="1469" t="s">
        <v>10034</v>
      </c>
      <c r="D46" s="1470">
        <v>1</v>
      </c>
      <c r="E46" s="1470">
        <v>1</v>
      </c>
      <c r="F46" s="1471">
        <v>0</v>
      </c>
      <c r="G46" s="1471">
        <v>0</v>
      </c>
      <c r="H46" s="1471">
        <v>24000</v>
      </c>
      <c r="I46" s="1471">
        <v>0</v>
      </c>
      <c r="J46" s="1471">
        <f>H46</f>
        <v>24000</v>
      </c>
      <c r="K46" s="1471">
        <v>0</v>
      </c>
      <c r="L46" s="1497"/>
      <c r="M46" s="1469"/>
      <c r="N46" s="1473" t="s">
        <v>10400</v>
      </c>
      <c r="T46" s="815"/>
    </row>
    <row r="47" spans="1:20" ht="15" x14ac:dyDescent="0.2">
      <c r="A47" s="1467">
        <v>14</v>
      </c>
      <c r="B47" s="1469" t="s">
        <v>10230</v>
      </c>
      <c r="C47" s="1469" t="s">
        <v>10126</v>
      </c>
      <c r="D47" s="1470">
        <v>1</v>
      </c>
      <c r="E47" s="1470">
        <v>1</v>
      </c>
      <c r="F47" s="1471">
        <v>0</v>
      </c>
      <c r="G47" s="1471">
        <v>0</v>
      </c>
      <c r="H47" s="1471">
        <v>15000</v>
      </c>
      <c r="I47" s="1471">
        <v>0</v>
      </c>
      <c r="J47" s="1471">
        <f>H47</f>
        <v>15000</v>
      </c>
      <c r="K47" s="1471">
        <v>0</v>
      </c>
      <c r="L47" s="1497"/>
      <c r="M47" s="1469"/>
      <c r="N47" s="1473" t="s">
        <v>10400</v>
      </c>
      <c r="T47" s="815"/>
    </row>
    <row r="48" spans="1:20" ht="15" x14ac:dyDescent="0.2">
      <c r="A48" s="1467">
        <v>15</v>
      </c>
      <c r="B48" s="1469" t="s">
        <v>10231</v>
      </c>
      <c r="C48" s="1469" t="s">
        <v>10126</v>
      </c>
      <c r="D48" s="1470">
        <v>1</v>
      </c>
      <c r="E48" s="1470">
        <v>1</v>
      </c>
      <c r="F48" s="1471">
        <v>0</v>
      </c>
      <c r="G48" s="1471">
        <v>0</v>
      </c>
      <c r="H48" s="1471">
        <v>8500</v>
      </c>
      <c r="I48" s="1471">
        <v>0</v>
      </c>
      <c r="J48" s="1471">
        <f>H48</f>
        <v>8500</v>
      </c>
      <c r="K48" s="1471">
        <v>0</v>
      </c>
      <c r="L48" s="1497"/>
      <c r="M48" s="1469"/>
      <c r="N48" s="1473" t="s">
        <v>10400</v>
      </c>
      <c r="T48" s="815"/>
    </row>
    <row r="49" spans="1:20" ht="15" x14ac:dyDescent="0.2">
      <c r="A49" s="1467">
        <v>16</v>
      </c>
      <c r="B49" s="1469" t="s">
        <v>10218</v>
      </c>
      <c r="C49" s="1469" t="s">
        <v>10034</v>
      </c>
      <c r="D49" s="1470">
        <v>1</v>
      </c>
      <c r="E49" s="1470">
        <v>1</v>
      </c>
      <c r="F49" s="1471">
        <v>0</v>
      </c>
      <c r="G49" s="1471">
        <v>0</v>
      </c>
      <c r="H49" s="1471">
        <v>14000</v>
      </c>
      <c r="I49" s="1471">
        <v>0</v>
      </c>
      <c r="J49" s="1471">
        <f>H49</f>
        <v>14000</v>
      </c>
      <c r="K49" s="1471">
        <v>0</v>
      </c>
      <c r="L49" s="1497"/>
      <c r="M49" s="1469"/>
      <c r="N49" s="1473" t="s">
        <v>10400</v>
      </c>
      <c r="T49" s="815"/>
    </row>
    <row r="50" spans="1:20" ht="15" x14ac:dyDescent="0.2">
      <c r="A50" s="1467">
        <v>17</v>
      </c>
      <c r="B50" s="1469" t="s">
        <v>10128</v>
      </c>
      <c r="C50" s="1469" t="s">
        <v>10126</v>
      </c>
      <c r="D50" s="1470">
        <v>1</v>
      </c>
      <c r="E50" s="1470">
        <v>1</v>
      </c>
      <c r="F50" s="1471">
        <v>0</v>
      </c>
      <c r="G50" s="1471">
        <v>0</v>
      </c>
      <c r="H50" s="1471">
        <v>290000</v>
      </c>
      <c r="I50" s="1471"/>
      <c r="J50" s="1471">
        <f t="shared" ref="J50:J60" si="3">H50</f>
        <v>290000</v>
      </c>
      <c r="K50" s="1471">
        <v>0</v>
      </c>
      <c r="L50" s="1497"/>
      <c r="M50" s="1469"/>
      <c r="N50" s="1473" t="s">
        <v>10400</v>
      </c>
      <c r="T50" s="815"/>
    </row>
    <row r="51" spans="1:20" ht="15" x14ac:dyDescent="0.2">
      <c r="A51" s="1467">
        <v>18</v>
      </c>
      <c r="B51" s="1469" t="s">
        <v>10234</v>
      </c>
      <c r="C51" s="1469" t="s">
        <v>10126</v>
      </c>
      <c r="D51" s="1470">
        <v>1</v>
      </c>
      <c r="E51" s="1470">
        <v>1</v>
      </c>
      <c r="F51" s="1471">
        <v>0</v>
      </c>
      <c r="G51" s="1471">
        <v>0</v>
      </c>
      <c r="H51" s="1471">
        <v>150000</v>
      </c>
      <c r="I51" s="1471"/>
      <c r="J51" s="1471">
        <f t="shared" si="3"/>
        <v>150000</v>
      </c>
      <c r="K51" s="1471">
        <v>0</v>
      </c>
      <c r="L51" s="1497"/>
      <c r="M51" s="1469"/>
      <c r="N51" s="1473" t="s">
        <v>10400</v>
      </c>
      <c r="T51" s="815"/>
    </row>
    <row r="52" spans="1:20" ht="15" x14ac:dyDescent="0.2">
      <c r="A52" s="1467">
        <v>19</v>
      </c>
      <c r="B52" s="1469" t="s">
        <v>10230</v>
      </c>
      <c r="C52" s="1469" t="s">
        <v>10126</v>
      </c>
      <c r="D52" s="1470">
        <v>1</v>
      </c>
      <c r="E52" s="1470">
        <v>1</v>
      </c>
      <c r="F52" s="1471">
        <v>0</v>
      </c>
      <c r="G52" s="1471">
        <v>0</v>
      </c>
      <c r="H52" s="1471">
        <v>15000</v>
      </c>
      <c r="I52" s="1471"/>
      <c r="J52" s="1471">
        <f t="shared" si="3"/>
        <v>15000</v>
      </c>
      <c r="K52" s="1471">
        <v>0</v>
      </c>
      <c r="L52" s="1497"/>
      <c r="M52" s="1469"/>
      <c r="N52" s="1473" t="s">
        <v>10400</v>
      </c>
      <c r="T52" s="815"/>
    </row>
    <row r="53" spans="1:20" ht="15" x14ac:dyDescent="0.2">
      <c r="A53" s="1467">
        <v>20</v>
      </c>
      <c r="B53" s="1469" t="s">
        <v>10235</v>
      </c>
      <c r="C53" s="1469" t="s">
        <v>10126</v>
      </c>
      <c r="D53" s="1470">
        <v>1</v>
      </c>
      <c r="E53" s="1470">
        <v>1</v>
      </c>
      <c r="F53" s="1471">
        <v>0</v>
      </c>
      <c r="G53" s="1471">
        <v>0</v>
      </c>
      <c r="H53" s="1471">
        <v>230000</v>
      </c>
      <c r="I53" s="1471"/>
      <c r="J53" s="1471">
        <f t="shared" si="3"/>
        <v>230000</v>
      </c>
      <c r="K53" s="1471">
        <v>0</v>
      </c>
      <c r="L53" s="1497"/>
      <c r="M53" s="1469"/>
      <c r="N53" s="1473" t="s">
        <v>10400</v>
      </c>
      <c r="T53" s="815"/>
    </row>
    <row r="54" spans="1:20" ht="15" x14ac:dyDescent="0.2">
      <c r="A54" s="1467">
        <v>21</v>
      </c>
      <c r="B54" s="1469" t="s">
        <v>10236</v>
      </c>
      <c r="C54" s="1469" t="s">
        <v>10126</v>
      </c>
      <c r="D54" s="1470">
        <v>1</v>
      </c>
      <c r="E54" s="1470">
        <v>1</v>
      </c>
      <c r="F54" s="1471">
        <v>0</v>
      </c>
      <c r="G54" s="1471">
        <v>0</v>
      </c>
      <c r="H54" s="1471">
        <v>60000</v>
      </c>
      <c r="I54" s="1471"/>
      <c r="J54" s="1471">
        <f t="shared" si="3"/>
        <v>60000</v>
      </c>
      <c r="K54" s="1471">
        <v>0</v>
      </c>
      <c r="L54" s="1497"/>
      <c r="M54" s="1469"/>
      <c r="N54" s="1473" t="s">
        <v>10400</v>
      </c>
      <c r="T54" s="815"/>
    </row>
    <row r="55" spans="1:20" ht="15" x14ac:dyDescent="0.2">
      <c r="A55" s="1467">
        <v>22</v>
      </c>
      <c r="B55" s="1469" t="s">
        <v>10237</v>
      </c>
      <c r="C55" s="1469" t="s">
        <v>10126</v>
      </c>
      <c r="D55" s="1470">
        <v>1</v>
      </c>
      <c r="E55" s="1470">
        <v>1</v>
      </c>
      <c r="F55" s="1471">
        <v>0</v>
      </c>
      <c r="G55" s="1471">
        <v>0</v>
      </c>
      <c r="H55" s="1471">
        <v>35000</v>
      </c>
      <c r="I55" s="1471"/>
      <c r="J55" s="1471">
        <f t="shared" si="3"/>
        <v>35000</v>
      </c>
      <c r="K55" s="1471">
        <v>0</v>
      </c>
      <c r="L55" s="1497"/>
      <c r="M55" s="1469"/>
      <c r="N55" s="1473" t="s">
        <v>10400</v>
      </c>
      <c r="T55" s="815"/>
    </row>
    <row r="56" spans="1:20" ht="15" x14ac:dyDescent="0.2">
      <c r="A56" s="1467">
        <v>23</v>
      </c>
      <c r="B56" s="1469" t="s">
        <v>10238</v>
      </c>
      <c r="C56" s="1469" t="s">
        <v>10126</v>
      </c>
      <c r="D56" s="1470">
        <v>1</v>
      </c>
      <c r="E56" s="1470">
        <v>1</v>
      </c>
      <c r="F56" s="1471">
        <v>0</v>
      </c>
      <c r="G56" s="1471">
        <v>0</v>
      </c>
      <c r="H56" s="1471">
        <v>20000</v>
      </c>
      <c r="I56" s="1471"/>
      <c r="J56" s="1471">
        <f t="shared" si="3"/>
        <v>20000</v>
      </c>
      <c r="K56" s="1471">
        <v>0</v>
      </c>
      <c r="L56" s="1497"/>
      <c r="M56" s="1469"/>
      <c r="N56" s="1473" t="s">
        <v>10400</v>
      </c>
      <c r="T56" s="815"/>
    </row>
    <row r="57" spans="1:20" ht="15" x14ac:dyDescent="0.2">
      <c r="A57" s="1467">
        <v>24</v>
      </c>
      <c r="B57" s="1469" t="s">
        <v>10239</v>
      </c>
      <c r="C57" s="1469" t="s">
        <v>10126</v>
      </c>
      <c r="D57" s="1470">
        <v>1</v>
      </c>
      <c r="E57" s="1470">
        <v>1</v>
      </c>
      <c r="F57" s="1471">
        <v>0</v>
      </c>
      <c r="G57" s="1471">
        <v>0</v>
      </c>
      <c r="H57" s="1471">
        <v>7000</v>
      </c>
      <c r="I57" s="1471"/>
      <c r="J57" s="1471">
        <f t="shared" si="3"/>
        <v>7000</v>
      </c>
      <c r="K57" s="1471">
        <v>0</v>
      </c>
      <c r="L57" s="1497"/>
      <c r="M57" s="1469"/>
      <c r="N57" s="1473" t="s">
        <v>10400</v>
      </c>
      <c r="T57" s="815"/>
    </row>
    <row r="58" spans="1:20" ht="15" x14ac:dyDescent="0.2">
      <c r="A58" s="1467">
        <v>25</v>
      </c>
      <c r="B58" s="1469" t="s">
        <v>10128</v>
      </c>
      <c r="C58" s="1469" t="s">
        <v>10126</v>
      </c>
      <c r="D58" s="1470">
        <v>1</v>
      </c>
      <c r="E58" s="1470">
        <v>1</v>
      </c>
      <c r="F58" s="1471">
        <v>0</v>
      </c>
      <c r="G58" s="1471">
        <v>0</v>
      </c>
      <c r="H58" s="1471">
        <v>26300</v>
      </c>
      <c r="I58" s="1471"/>
      <c r="J58" s="1471">
        <f t="shared" si="3"/>
        <v>26300</v>
      </c>
      <c r="K58" s="1471">
        <v>0</v>
      </c>
      <c r="L58" s="1497"/>
      <c r="M58" s="1469"/>
      <c r="N58" s="1473" t="s">
        <v>10400</v>
      </c>
      <c r="T58" s="815"/>
    </row>
    <row r="59" spans="1:20" ht="15" x14ac:dyDescent="0.2">
      <c r="A59" s="1467">
        <v>26</v>
      </c>
      <c r="B59" s="1469" t="s">
        <v>10224</v>
      </c>
      <c r="C59" s="1469" t="s">
        <v>10034</v>
      </c>
      <c r="D59" s="1470">
        <v>1</v>
      </c>
      <c r="E59" s="1470">
        <v>1</v>
      </c>
      <c r="F59" s="1471">
        <v>0</v>
      </c>
      <c r="G59" s="1471">
        <v>0</v>
      </c>
      <c r="H59" s="1471">
        <v>10000</v>
      </c>
      <c r="I59" s="1471"/>
      <c r="J59" s="1471">
        <f t="shared" si="3"/>
        <v>10000</v>
      </c>
      <c r="K59" s="1471">
        <v>0</v>
      </c>
      <c r="L59" s="1497"/>
      <c r="M59" s="1469"/>
      <c r="N59" s="1473" t="s">
        <v>10400</v>
      </c>
      <c r="T59" s="815"/>
    </row>
    <row r="60" spans="1:20" ht="15" x14ac:dyDescent="0.2">
      <c r="A60" s="1467">
        <v>27</v>
      </c>
      <c r="B60" s="1469" t="s">
        <v>10240</v>
      </c>
      <c r="C60" s="1469" t="s">
        <v>10241</v>
      </c>
      <c r="D60" s="1470">
        <v>1</v>
      </c>
      <c r="E60" s="1470">
        <v>1</v>
      </c>
      <c r="F60" s="1471">
        <v>0</v>
      </c>
      <c r="G60" s="1471">
        <v>0</v>
      </c>
      <c r="H60" s="1471">
        <v>45000</v>
      </c>
      <c r="I60" s="1471"/>
      <c r="J60" s="1471">
        <f t="shared" si="3"/>
        <v>45000</v>
      </c>
      <c r="K60" s="1471">
        <v>0</v>
      </c>
      <c r="L60" s="1497"/>
      <c r="M60" s="1469"/>
      <c r="N60" s="1473" t="s">
        <v>10400</v>
      </c>
      <c r="T60" s="815"/>
    </row>
    <row r="61" spans="1:20" ht="15" x14ac:dyDescent="0.2">
      <c r="A61" s="1467">
        <v>28</v>
      </c>
      <c r="B61" s="1469" t="s">
        <v>10242</v>
      </c>
      <c r="C61" s="1469" t="s">
        <v>10034</v>
      </c>
      <c r="D61" s="1470">
        <v>1</v>
      </c>
      <c r="E61" s="1470">
        <v>1</v>
      </c>
      <c r="F61" s="1471">
        <v>0</v>
      </c>
      <c r="G61" s="1471">
        <v>0</v>
      </c>
      <c r="H61" s="1471">
        <v>4500</v>
      </c>
      <c r="I61" s="1471">
        <v>0</v>
      </c>
      <c r="J61" s="1471">
        <f>H61</f>
        <v>4500</v>
      </c>
      <c r="K61" s="1471">
        <v>0</v>
      </c>
      <c r="L61" s="1497"/>
      <c r="M61" s="1469"/>
      <c r="N61" s="1473" t="s">
        <v>10400</v>
      </c>
      <c r="T61" s="815"/>
    </row>
    <row r="62" spans="1:20" ht="15" x14ac:dyDescent="0.2">
      <c r="A62" s="1467"/>
      <c r="B62" s="1469"/>
      <c r="C62" s="1469"/>
      <c r="D62" s="1470"/>
      <c r="E62" s="1470"/>
      <c r="F62" s="1471"/>
      <c r="G62" s="1471"/>
      <c r="H62" s="1471"/>
      <c r="I62" s="1471"/>
      <c r="J62" s="1471"/>
      <c r="K62" s="1471"/>
      <c r="L62" s="1498"/>
      <c r="M62" s="1469"/>
      <c r="N62" s="1473"/>
      <c r="T62" s="815"/>
    </row>
    <row r="63" spans="1:20" ht="15" hidden="1" x14ac:dyDescent="0.2">
      <c r="A63" s="1467"/>
      <c r="B63" s="1469"/>
      <c r="C63" s="1469"/>
      <c r="D63" s="1470"/>
      <c r="E63" s="1470"/>
      <c r="F63" s="1471"/>
      <c r="G63" s="1471"/>
      <c r="H63" s="1471"/>
      <c r="I63" s="1471"/>
      <c r="J63" s="1471"/>
      <c r="K63" s="1471"/>
      <c r="L63" s="1498"/>
      <c r="M63" s="1469"/>
      <c r="N63" s="1473"/>
      <c r="O63" s="1499"/>
      <c r="T63" s="815"/>
    </row>
    <row r="64" spans="1:20" ht="15" hidden="1" x14ac:dyDescent="0.2">
      <c r="A64" s="1467">
        <v>2</v>
      </c>
      <c r="B64" s="1472" t="s">
        <v>10411</v>
      </c>
      <c r="C64" s="1469" t="s">
        <v>10412</v>
      </c>
      <c r="D64" s="1470">
        <v>1</v>
      </c>
      <c r="E64" s="1470">
        <v>1</v>
      </c>
      <c r="F64" s="1469"/>
      <c r="G64" s="1469"/>
      <c r="H64" s="1471">
        <f>+SUM(H65:H67)</f>
        <v>0</v>
      </c>
      <c r="I64" s="1471">
        <v>0</v>
      </c>
      <c r="J64" s="1471">
        <f>H64</f>
        <v>0</v>
      </c>
      <c r="K64" s="1471">
        <v>0</v>
      </c>
      <c r="L64" s="1498"/>
      <c r="M64" s="1469"/>
      <c r="N64" s="1473" t="s">
        <v>10400</v>
      </c>
      <c r="O64" s="1499"/>
      <c r="T64" s="815"/>
    </row>
    <row r="65" spans="1:20" ht="15" hidden="1" x14ac:dyDescent="0.2">
      <c r="A65" s="1467"/>
      <c r="B65" s="1469" t="s">
        <v>10413</v>
      </c>
      <c r="C65" s="1469" t="s">
        <v>10414</v>
      </c>
      <c r="D65" s="1470">
        <v>1</v>
      </c>
      <c r="E65" s="1470">
        <v>1</v>
      </c>
      <c r="F65" s="1471">
        <v>0</v>
      </c>
      <c r="G65" s="1471">
        <v>0</v>
      </c>
      <c r="H65" s="1471">
        <v>0</v>
      </c>
      <c r="I65" s="1471">
        <v>0</v>
      </c>
      <c r="J65" s="1471">
        <f>H65</f>
        <v>0</v>
      </c>
      <c r="K65" s="1471">
        <v>0</v>
      </c>
      <c r="L65" s="1500"/>
      <c r="M65" s="1469"/>
      <c r="N65" s="1473" t="s">
        <v>10400</v>
      </c>
      <c r="O65" s="1499">
        <v>143478.26086956522</v>
      </c>
      <c r="T65" s="815"/>
    </row>
    <row r="66" spans="1:20" ht="15" hidden="1" x14ac:dyDescent="0.2">
      <c r="A66" s="1467"/>
      <c r="B66" s="1469" t="s">
        <v>10415</v>
      </c>
      <c r="C66" s="1469" t="s">
        <v>10412</v>
      </c>
      <c r="D66" s="1470">
        <v>2</v>
      </c>
      <c r="E66" s="1470">
        <v>1</v>
      </c>
      <c r="F66" s="1471">
        <v>0</v>
      </c>
      <c r="G66" s="1471">
        <v>0</v>
      </c>
      <c r="H66" s="1471">
        <v>0</v>
      </c>
      <c r="I66" s="1471">
        <v>0</v>
      </c>
      <c r="J66" s="1471">
        <f>H66</f>
        <v>0</v>
      </c>
      <c r="K66" s="1471">
        <v>0</v>
      </c>
      <c r="L66" s="1500"/>
      <c r="M66" s="1469"/>
      <c r="N66" s="1473" t="s">
        <v>10400</v>
      </c>
      <c r="O66" s="1499">
        <v>108695.65217391305</v>
      </c>
      <c r="T66" s="815"/>
    </row>
    <row r="67" spans="1:20" ht="15" hidden="1" x14ac:dyDescent="0.2">
      <c r="A67" s="1467"/>
      <c r="B67" s="1469" t="s">
        <v>10413</v>
      </c>
      <c r="C67" s="1469" t="s">
        <v>10399</v>
      </c>
      <c r="D67" s="1470">
        <v>2</v>
      </c>
      <c r="E67" s="1470">
        <v>1</v>
      </c>
      <c r="F67" s="1471">
        <v>0</v>
      </c>
      <c r="G67" s="1471">
        <v>0</v>
      </c>
      <c r="H67" s="1471">
        <v>0</v>
      </c>
      <c r="I67" s="1471">
        <v>0</v>
      </c>
      <c r="J67" s="1471">
        <f>H67</f>
        <v>0</v>
      </c>
      <c r="K67" s="1471">
        <v>0</v>
      </c>
      <c r="L67" s="1500"/>
      <c r="M67" s="1469"/>
      <c r="N67" s="1473" t="s">
        <v>10400</v>
      </c>
      <c r="O67" s="1499">
        <v>143478.26086956522</v>
      </c>
      <c r="T67" s="815"/>
    </row>
    <row r="68" spans="1:20" ht="15" hidden="1" x14ac:dyDescent="0.2">
      <c r="A68" s="1467"/>
      <c r="B68" s="1469"/>
      <c r="C68" s="1469" t="s">
        <v>10399</v>
      </c>
      <c r="D68" s="1470"/>
      <c r="E68" s="1470"/>
      <c r="F68" s="1471"/>
      <c r="G68" s="1471"/>
      <c r="H68" s="1471"/>
      <c r="I68" s="1471"/>
      <c r="J68" s="1471"/>
      <c r="K68" s="1471"/>
      <c r="L68" s="1500"/>
      <c r="M68" s="1469"/>
      <c r="N68" s="1473"/>
      <c r="O68" s="1499"/>
      <c r="T68" s="815"/>
    </row>
    <row r="69" spans="1:20" ht="15" x14ac:dyDescent="0.2">
      <c r="A69" s="1490"/>
      <c r="B69" s="1469"/>
      <c r="C69" s="1469"/>
      <c r="D69" s="1469"/>
      <c r="E69" s="1469"/>
      <c r="F69" s="1469"/>
      <c r="G69" s="1469"/>
      <c r="H69" s="1471"/>
      <c r="I69" s="1471"/>
      <c r="J69" s="1471"/>
      <c r="K69" s="1469"/>
      <c r="L69" s="1501"/>
      <c r="M69" s="1469"/>
      <c r="N69" s="949"/>
      <c r="O69" s="1502"/>
      <c r="T69" s="815"/>
    </row>
    <row r="70" spans="1:20" ht="15.75" x14ac:dyDescent="0.25">
      <c r="A70" s="1503" t="s">
        <v>82</v>
      </c>
      <c r="B70" s="1504"/>
      <c r="C70" s="1505"/>
      <c r="D70" s="1505"/>
      <c r="E70" s="1505"/>
      <c r="F70" s="1506">
        <f t="shared" ref="F70:K70" si="4">SUM(F34:F62)</f>
        <v>0</v>
      </c>
      <c r="G70" s="1506">
        <f t="shared" si="4"/>
        <v>0</v>
      </c>
      <c r="H70" s="1507">
        <f t="shared" si="4"/>
        <v>4092300</v>
      </c>
      <c r="I70" s="1506">
        <f t="shared" si="4"/>
        <v>0</v>
      </c>
      <c r="J70" s="1507">
        <f t="shared" si="4"/>
        <v>4092300</v>
      </c>
      <c r="K70" s="1506">
        <f t="shared" si="4"/>
        <v>0</v>
      </c>
      <c r="L70" s="1508"/>
      <c r="M70" s="1505"/>
      <c r="N70" s="1509"/>
      <c r="T70" s="815"/>
    </row>
    <row r="71" spans="1:20" x14ac:dyDescent="0.2">
      <c r="A71" s="831"/>
      <c r="B71" s="810"/>
      <c r="C71" s="885"/>
      <c r="D71" s="810"/>
      <c r="E71" s="810"/>
      <c r="F71" s="810"/>
      <c r="G71" s="810"/>
      <c r="H71" s="885"/>
      <c r="I71" s="810"/>
      <c r="J71" s="810"/>
      <c r="K71" s="810"/>
      <c r="L71" s="810"/>
      <c r="M71" s="810"/>
      <c r="N71" s="815"/>
      <c r="T71" s="815"/>
    </row>
    <row r="72" spans="1:20" x14ac:dyDescent="0.2">
      <c r="A72" s="831" t="s">
        <v>10416</v>
      </c>
      <c r="B72" s="810"/>
      <c r="C72" s="885"/>
      <c r="D72" s="810" t="s">
        <v>10417</v>
      </c>
      <c r="E72" s="810"/>
      <c r="F72" s="810"/>
      <c r="G72" s="810"/>
      <c r="H72" s="1006"/>
      <c r="I72" s="810" t="s">
        <v>10418</v>
      </c>
      <c r="J72" s="810"/>
      <c r="K72" s="810"/>
      <c r="L72" s="810"/>
      <c r="M72" s="810"/>
      <c r="N72" s="815"/>
      <c r="T72" s="815"/>
    </row>
    <row r="73" spans="1:20" x14ac:dyDescent="0.2">
      <c r="A73" s="831"/>
      <c r="B73" s="810"/>
      <c r="C73" s="885"/>
      <c r="D73" s="810"/>
      <c r="E73" s="810"/>
      <c r="F73" s="810"/>
      <c r="G73" s="810"/>
      <c r="H73" s="885"/>
      <c r="I73" s="810"/>
      <c r="J73" s="810"/>
      <c r="K73" s="1510"/>
      <c r="L73" s="810"/>
      <c r="M73" s="810"/>
      <c r="N73" s="815"/>
      <c r="T73" s="815"/>
    </row>
    <row r="74" spans="1:20" x14ac:dyDescent="0.2">
      <c r="A74" s="831" t="s">
        <v>10419</v>
      </c>
      <c r="B74" s="810"/>
      <c r="C74" s="1511">
        <v>1</v>
      </c>
      <c r="D74" s="810" t="s">
        <v>10420</v>
      </c>
      <c r="E74" s="810"/>
      <c r="F74" s="810"/>
      <c r="G74" s="810"/>
      <c r="H74" s="885"/>
      <c r="I74" s="810"/>
      <c r="J74" s="810"/>
      <c r="K74" s="1512"/>
      <c r="L74" s="1512"/>
      <c r="M74" s="1512"/>
      <c r="N74" s="1513"/>
      <c r="T74" s="815"/>
    </row>
    <row r="75" spans="1:20" x14ac:dyDescent="0.2">
      <c r="A75" s="831" t="s">
        <v>10421</v>
      </c>
      <c r="B75" s="810"/>
      <c r="C75" s="1511">
        <v>2</v>
      </c>
      <c r="D75" s="810" t="s">
        <v>10422</v>
      </c>
      <c r="E75" s="810"/>
      <c r="F75" s="810"/>
      <c r="G75" s="810"/>
      <c r="H75" s="885"/>
      <c r="I75" s="810" t="s">
        <v>10423</v>
      </c>
      <c r="J75" s="1010" t="e">
        <f>+J30</f>
        <v>#REF!</v>
      </c>
      <c r="K75" s="1514" t="e">
        <f>+H16/B16</f>
        <v>#VALUE!</v>
      </c>
      <c r="L75" s="1515"/>
      <c r="M75" s="1512"/>
      <c r="N75" s="1513"/>
      <c r="T75" s="815"/>
    </row>
    <row r="76" spans="1:20" x14ac:dyDescent="0.2">
      <c r="A76" s="831" t="s">
        <v>10424</v>
      </c>
      <c r="B76" s="810"/>
      <c r="C76" s="1511">
        <v>3</v>
      </c>
      <c r="D76" s="810" t="s">
        <v>10425</v>
      </c>
      <c r="E76" s="810"/>
      <c r="F76" s="810"/>
      <c r="G76" s="810"/>
      <c r="H76" s="885"/>
      <c r="I76" s="810"/>
      <c r="J76" s="810"/>
      <c r="K76" s="1514"/>
      <c r="L76" s="1512"/>
      <c r="M76" s="1512"/>
      <c r="N76" s="1513"/>
      <c r="T76" s="815"/>
    </row>
    <row r="77" spans="1:20" x14ac:dyDescent="0.2">
      <c r="A77" s="831"/>
      <c r="B77" s="810"/>
      <c r="C77" s="1511"/>
      <c r="D77" s="810"/>
      <c r="E77" s="810"/>
      <c r="F77" s="810"/>
      <c r="G77" s="810"/>
      <c r="H77" s="885"/>
      <c r="I77" s="810" t="s">
        <v>10426</v>
      </c>
      <c r="J77" s="1010">
        <f>+J70</f>
        <v>4092300</v>
      </c>
      <c r="K77" s="1514"/>
      <c r="L77" s="1512"/>
      <c r="M77" s="1512"/>
      <c r="N77" s="1513"/>
      <c r="T77" s="815"/>
    </row>
    <row r="78" spans="1:20" x14ac:dyDescent="0.2">
      <c r="A78" s="831"/>
      <c r="B78" s="810"/>
      <c r="C78" s="1511"/>
      <c r="D78" s="810" t="s">
        <v>10427</v>
      </c>
      <c r="E78" s="810"/>
      <c r="F78" s="810"/>
      <c r="G78" s="810"/>
      <c r="H78" s="885"/>
      <c r="I78" s="810"/>
      <c r="J78" s="810"/>
      <c r="K78" s="1514"/>
      <c r="L78" s="1512"/>
      <c r="M78" s="1512"/>
      <c r="N78" s="1513"/>
      <c r="T78" s="815"/>
    </row>
    <row r="79" spans="1:20" x14ac:dyDescent="0.2">
      <c r="A79" s="831"/>
      <c r="B79" s="810"/>
      <c r="C79" s="1511"/>
      <c r="D79" s="810" t="s">
        <v>10428</v>
      </c>
      <c r="E79" s="810"/>
      <c r="F79" s="810"/>
      <c r="G79" s="810"/>
      <c r="H79" s="885"/>
      <c r="I79" s="810" t="s">
        <v>135</v>
      </c>
      <c r="J79" s="1516" t="e">
        <f>J75+J77</f>
        <v>#REF!</v>
      </c>
      <c r="K79" s="1514"/>
      <c r="L79" s="1512"/>
      <c r="M79" s="1512"/>
      <c r="N79" s="1513"/>
      <c r="T79" s="815"/>
    </row>
    <row r="80" spans="1:20" ht="13.5" thickBot="1" x14ac:dyDescent="0.25">
      <c r="A80" s="1517"/>
      <c r="B80" s="876"/>
      <c r="C80" s="1518"/>
      <c r="D80" s="876"/>
      <c r="E80" s="876"/>
      <c r="F80" s="876"/>
      <c r="G80" s="876"/>
      <c r="H80" s="1519"/>
      <c r="I80" s="876"/>
      <c r="J80" s="1520"/>
      <c r="K80" s="1521"/>
      <c r="L80" s="1522"/>
      <c r="M80" s="876"/>
      <c r="N80" s="1523"/>
      <c r="T80" s="815"/>
    </row>
    <row r="81" spans="1:20" ht="13.5" thickTop="1" x14ac:dyDescent="0.2">
      <c r="F81" s="1524"/>
      <c r="G81" s="1524"/>
      <c r="H81" s="1524"/>
      <c r="I81" s="1524"/>
      <c r="J81" s="1524"/>
      <c r="K81" s="1525"/>
      <c r="L81" s="1524"/>
      <c r="M81" s="1524"/>
      <c r="N81" s="1524"/>
      <c r="O81" s="1524"/>
      <c r="P81" s="1524"/>
    </row>
    <row r="82" spans="1:20" x14ac:dyDescent="0.2">
      <c r="F82" s="1524"/>
      <c r="G82" s="1524"/>
      <c r="H82" s="1524"/>
      <c r="I82" s="893"/>
      <c r="O82" s="1524"/>
      <c r="P82" s="1524"/>
    </row>
    <row r="83" spans="1:20" x14ac:dyDescent="0.2">
      <c r="F83" s="1524"/>
      <c r="G83" s="1524"/>
      <c r="H83" s="1524"/>
      <c r="I83" s="893"/>
      <c r="J83" s="893"/>
      <c r="K83" s="893"/>
      <c r="M83" s="1524"/>
      <c r="N83" s="1524"/>
      <c r="O83" s="1524"/>
      <c r="P83" s="1524"/>
    </row>
    <row r="84" spans="1:20" ht="21" hidden="1" thickTop="1" x14ac:dyDescent="0.3">
      <c r="A84" s="1526"/>
      <c r="B84" s="1527" t="s">
        <v>10429</v>
      </c>
      <c r="C84" s="1528"/>
      <c r="D84" s="1528"/>
      <c r="E84" s="1528"/>
      <c r="F84" s="1529"/>
      <c r="G84" s="1529"/>
      <c r="H84" s="1529"/>
      <c r="I84" s="1530"/>
      <c r="J84" s="1530"/>
      <c r="K84" s="1530"/>
      <c r="L84" s="1531"/>
      <c r="M84" s="1529"/>
      <c r="N84" s="1532"/>
      <c r="O84" s="1524"/>
      <c r="P84" s="1524"/>
      <c r="T84" s="815"/>
    </row>
    <row r="85" spans="1:20" ht="15" hidden="1" x14ac:dyDescent="0.2">
      <c r="A85" s="1467"/>
      <c r="B85" s="1469"/>
      <c r="C85" s="1469"/>
      <c r="D85" s="1470"/>
      <c r="E85" s="1470"/>
      <c r="F85" s="1533"/>
      <c r="G85" s="1533"/>
      <c r="H85" s="1533"/>
      <c r="I85" s="1472"/>
      <c r="J85" s="1534"/>
      <c r="K85" s="1472"/>
      <c r="L85" s="1493"/>
      <c r="M85" s="1533"/>
      <c r="N85" s="1535"/>
      <c r="O85" s="1524"/>
      <c r="P85" s="1524"/>
      <c r="T85" s="815"/>
    </row>
    <row r="86" spans="1:20" ht="15" hidden="1" x14ac:dyDescent="0.2">
      <c r="A86" s="1467">
        <v>1</v>
      </c>
      <c r="B86" s="1472" t="s">
        <v>10409</v>
      </c>
      <c r="C86" s="1469"/>
      <c r="D86" s="1470"/>
      <c r="E86" s="1470"/>
      <c r="F86" s="1533"/>
      <c r="G86" s="1533"/>
      <c r="H86" s="1533"/>
      <c r="I86" s="1472"/>
      <c r="J86" s="1472"/>
      <c r="K86" s="1472"/>
      <c r="L86" s="1493"/>
      <c r="M86" s="1533"/>
      <c r="N86" s="1535"/>
      <c r="O86" s="1524"/>
      <c r="P86" s="1524"/>
      <c r="T86" s="815"/>
    </row>
    <row r="87" spans="1:20" ht="15" hidden="1" x14ac:dyDescent="0.2">
      <c r="A87" s="1467"/>
      <c r="B87" s="1469" t="s">
        <v>10430</v>
      </c>
      <c r="C87" s="1469" t="s">
        <v>10126</v>
      </c>
      <c r="D87" s="1470">
        <v>1</v>
      </c>
      <c r="E87" s="1470">
        <v>3</v>
      </c>
      <c r="F87" s="1533">
        <v>0</v>
      </c>
      <c r="G87" s="1533">
        <v>0</v>
      </c>
      <c r="H87" s="1533">
        <v>36000</v>
      </c>
      <c r="I87" s="1472">
        <v>0</v>
      </c>
      <c r="J87" s="1472">
        <f t="shared" ref="J87:J93" si="5">H87</f>
        <v>36000</v>
      </c>
      <c r="K87" s="1472">
        <v>0</v>
      </c>
      <c r="L87" s="1493" t="s">
        <v>10431</v>
      </c>
      <c r="M87" s="1533"/>
      <c r="N87" s="1535" t="s">
        <v>10400</v>
      </c>
      <c r="O87" s="1524"/>
      <c r="P87" s="1524"/>
      <c r="T87" s="815"/>
    </row>
    <row r="88" spans="1:20" ht="15" hidden="1" x14ac:dyDescent="0.2">
      <c r="A88" s="1467"/>
      <c r="B88" s="1469" t="s">
        <v>10432</v>
      </c>
      <c r="C88" s="1469" t="s">
        <v>10126</v>
      </c>
      <c r="D88" s="1470">
        <v>1</v>
      </c>
      <c r="E88" s="1470">
        <v>3</v>
      </c>
      <c r="F88" s="1533">
        <v>0</v>
      </c>
      <c r="G88" s="1533">
        <v>0</v>
      </c>
      <c r="H88" s="1533">
        <v>24000</v>
      </c>
      <c r="I88" s="1472">
        <v>0</v>
      </c>
      <c r="J88" s="1472">
        <f t="shared" si="5"/>
        <v>24000</v>
      </c>
      <c r="K88" s="1472">
        <v>0</v>
      </c>
      <c r="L88" s="1493" t="s">
        <v>10433</v>
      </c>
      <c r="M88" s="1533"/>
      <c r="N88" s="1535" t="s">
        <v>10400</v>
      </c>
      <c r="O88" s="1524"/>
      <c r="P88" s="1524"/>
      <c r="T88" s="815"/>
    </row>
    <row r="89" spans="1:20" ht="15" hidden="1" x14ac:dyDescent="0.2">
      <c r="A89" s="1467"/>
      <c r="B89" s="1469" t="s">
        <v>10434</v>
      </c>
      <c r="C89" s="1469" t="s">
        <v>10126</v>
      </c>
      <c r="D89" s="1470">
        <v>1</v>
      </c>
      <c r="E89" s="1470">
        <v>1</v>
      </c>
      <c r="F89" s="1533">
        <v>0</v>
      </c>
      <c r="G89" s="1533">
        <v>0</v>
      </c>
      <c r="H89" s="1533">
        <v>13000</v>
      </c>
      <c r="I89" s="1472">
        <v>0</v>
      </c>
      <c r="J89" s="1472">
        <f t="shared" si="5"/>
        <v>13000</v>
      </c>
      <c r="K89" s="1472">
        <v>0</v>
      </c>
      <c r="L89" s="1493" t="s">
        <v>10435</v>
      </c>
      <c r="M89" s="1533"/>
      <c r="N89" s="1535" t="s">
        <v>10400</v>
      </c>
      <c r="O89" s="1524"/>
      <c r="P89" s="1524"/>
      <c r="T89" s="815"/>
    </row>
    <row r="90" spans="1:20" ht="15" hidden="1" x14ac:dyDescent="0.2">
      <c r="A90" s="1467"/>
      <c r="B90" s="1469" t="s">
        <v>10436</v>
      </c>
      <c r="C90" s="1469" t="s">
        <v>10126</v>
      </c>
      <c r="D90" s="1470">
        <v>2</v>
      </c>
      <c r="E90" s="1470">
        <v>3</v>
      </c>
      <c r="F90" s="1533">
        <v>0</v>
      </c>
      <c r="G90" s="1533">
        <v>0</v>
      </c>
      <c r="H90" s="1533">
        <v>2500</v>
      </c>
      <c r="I90" s="1472">
        <v>0</v>
      </c>
      <c r="J90" s="1472">
        <f t="shared" si="5"/>
        <v>2500</v>
      </c>
      <c r="K90" s="1472">
        <v>0</v>
      </c>
      <c r="L90" s="1493" t="s">
        <v>10435</v>
      </c>
      <c r="M90" s="1533"/>
      <c r="N90" s="1535" t="s">
        <v>10400</v>
      </c>
      <c r="O90" s="1524"/>
      <c r="P90" s="1524"/>
      <c r="T90" s="815"/>
    </row>
    <row r="91" spans="1:20" ht="15" hidden="1" x14ac:dyDescent="0.2">
      <c r="A91" s="1467"/>
      <c r="B91" s="1469" t="s">
        <v>10437</v>
      </c>
      <c r="C91" s="1469" t="s">
        <v>10126</v>
      </c>
      <c r="D91" s="1470">
        <v>1</v>
      </c>
      <c r="E91" s="1470">
        <v>2</v>
      </c>
      <c r="F91" s="1533">
        <v>0</v>
      </c>
      <c r="G91" s="1533">
        <v>0</v>
      </c>
      <c r="H91" s="1533">
        <v>10000</v>
      </c>
      <c r="I91" s="1472">
        <v>0</v>
      </c>
      <c r="J91" s="1472">
        <f t="shared" si="5"/>
        <v>10000</v>
      </c>
      <c r="K91" s="1472">
        <v>0</v>
      </c>
      <c r="L91" s="1493" t="s">
        <v>10438</v>
      </c>
      <c r="M91" s="1533"/>
      <c r="N91" s="1535" t="s">
        <v>10400</v>
      </c>
      <c r="O91" s="1524"/>
      <c r="P91" s="1524"/>
      <c r="T91" s="815"/>
    </row>
    <row r="92" spans="1:20" ht="15" hidden="1" x14ac:dyDescent="0.2">
      <c r="A92" s="1467"/>
      <c r="B92" s="1469" t="s">
        <v>10439</v>
      </c>
      <c r="C92" s="1469" t="s">
        <v>10126</v>
      </c>
      <c r="D92" s="1470">
        <v>2</v>
      </c>
      <c r="E92" s="1470">
        <v>3</v>
      </c>
      <c r="F92" s="1533">
        <v>0</v>
      </c>
      <c r="G92" s="1533">
        <v>0</v>
      </c>
      <c r="H92" s="1533">
        <v>35000</v>
      </c>
      <c r="I92" s="1472">
        <v>0</v>
      </c>
      <c r="J92" s="1472">
        <f t="shared" si="5"/>
        <v>35000</v>
      </c>
      <c r="K92" s="1472">
        <v>0</v>
      </c>
      <c r="L92" s="1493" t="s">
        <v>10438</v>
      </c>
      <c r="M92" s="1533"/>
      <c r="N92" s="1535" t="s">
        <v>10400</v>
      </c>
      <c r="O92" s="1524"/>
      <c r="P92" s="1524"/>
      <c r="T92" s="815"/>
    </row>
    <row r="93" spans="1:20" ht="15" hidden="1" x14ac:dyDescent="0.2">
      <c r="A93" s="1467"/>
      <c r="B93" s="1469" t="s">
        <v>10440</v>
      </c>
      <c r="C93" s="1469" t="s">
        <v>10126</v>
      </c>
      <c r="D93" s="1470">
        <v>2</v>
      </c>
      <c r="E93" s="1470">
        <v>1</v>
      </c>
      <c r="F93" s="1533">
        <v>0</v>
      </c>
      <c r="G93" s="1533">
        <v>0</v>
      </c>
      <c r="H93" s="1533">
        <v>6000</v>
      </c>
      <c r="I93" s="1472">
        <v>0</v>
      </c>
      <c r="J93" s="1472">
        <f t="shared" si="5"/>
        <v>6000</v>
      </c>
      <c r="K93" s="1472">
        <v>0</v>
      </c>
      <c r="L93" s="1493" t="s">
        <v>10438</v>
      </c>
      <c r="M93" s="1533"/>
      <c r="N93" s="1535" t="s">
        <v>10400</v>
      </c>
      <c r="O93" s="1524"/>
      <c r="P93" s="1524"/>
      <c r="T93" s="815"/>
    </row>
    <row r="94" spans="1:20" ht="15.75" hidden="1" x14ac:dyDescent="0.25">
      <c r="A94" s="1467"/>
      <c r="B94" s="1469"/>
      <c r="C94" s="1469"/>
      <c r="D94" s="1470"/>
      <c r="E94" s="1470"/>
      <c r="F94" s="1533"/>
      <c r="G94" s="1533"/>
      <c r="H94" s="1533"/>
      <c r="I94" s="1536" t="s">
        <v>10441</v>
      </c>
      <c r="J94" s="1537">
        <f>SUM(J87:J93)</f>
        <v>126500</v>
      </c>
      <c r="K94" s="1472"/>
      <c r="L94" s="1493"/>
      <c r="M94" s="1533"/>
      <c r="N94" s="1535"/>
      <c r="O94" s="1524"/>
      <c r="P94" s="1524"/>
      <c r="T94" s="815"/>
    </row>
    <row r="95" spans="1:20" ht="15" hidden="1" x14ac:dyDescent="0.2">
      <c r="A95" s="1467"/>
      <c r="B95" s="1469"/>
      <c r="C95" s="1469"/>
      <c r="D95" s="1470"/>
      <c r="E95" s="1470"/>
      <c r="F95" s="1533"/>
      <c r="G95" s="1533"/>
      <c r="H95" s="1533"/>
      <c r="I95" s="1472"/>
      <c r="J95" s="1472"/>
      <c r="K95" s="1472"/>
      <c r="L95" s="1493"/>
      <c r="M95" s="1533"/>
      <c r="N95" s="1535"/>
      <c r="O95" s="1524"/>
      <c r="P95" s="1524"/>
      <c r="T95" s="815"/>
    </row>
    <row r="96" spans="1:20" ht="15" hidden="1" x14ac:dyDescent="0.2">
      <c r="A96" s="1467"/>
      <c r="B96" s="1469" t="s">
        <v>10442</v>
      </c>
      <c r="C96" s="1469" t="s">
        <v>10412</v>
      </c>
      <c r="D96" s="1470">
        <v>1</v>
      </c>
      <c r="E96" s="1470">
        <v>1</v>
      </c>
      <c r="F96" s="1533">
        <v>0</v>
      </c>
      <c r="G96" s="1533">
        <v>0</v>
      </c>
      <c r="H96" s="1533">
        <v>75000</v>
      </c>
      <c r="I96" s="1472">
        <v>0</v>
      </c>
      <c r="J96" s="1472">
        <f>H96</f>
        <v>75000</v>
      </c>
      <c r="K96" s="1472">
        <v>0</v>
      </c>
      <c r="L96" s="1493" t="s">
        <v>10438</v>
      </c>
      <c r="M96" s="1533"/>
      <c r="N96" s="1535" t="s">
        <v>10400</v>
      </c>
      <c r="O96" s="1538">
        <v>75000</v>
      </c>
      <c r="P96" s="1524"/>
      <c r="T96" s="815"/>
    </row>
    <row r="97" spans="1:20" ht="15.75" hidden="1" x14ac:dyDescent="0.25">
      <c r="A97" s="1467"/>
      <c r="B97" s="1469"/>
      <c r="C97" s="1469"/>
      <c r="D97" s="1470"/>
      <c r="E97" s="1470"/>
      <c r="F97" s="1533"/>
      <c r="G97" s="1533"/>
      <c r="H97" s="1533"/>
      <c r="I97" s="1536" t="s">
        <v>10441</v>
      </c>
      <c r="J97" s="1537">
        <f>+SUM(J96:J96)</f>
        <v>75000</v>
      </c>
      <c r="K97" s="1472"/>
      <c r="L97" s="1493"/>
      <c r="M97" s="1533"/>
      <c r="N97" s="1535"/>
      <c r="O97" s="1538"/>
      <c r="P97" s="1524"/>
      <c r="T97" s="815"/>
    </row>
    <row r="98" spans="1:20" ht="15" hidden="1" x14ac:dyDescent="0.2">
      <c r="A98" s="1467"/>
      <c r="B98" s="1469"/>
      <c r="C98" s="1469"/>
      <c r="D98" s="1470"/>
      <c r="E98" s="1470"/>
      <c r="F98" s="1533"/>
      <c r="G98" s="1533"/>
      <c r="H98" s="1533"/>
      <c r="I98" s="1472"/>
      <c r="J98" s="1472"/>
      <c r="K98" s="1472"/>
      <c r="L98" s="1493"/>
      <c r="M98" s="1533"/>
      <c r="N98" s="1535"/>
      <c r="O98" s="1538"/>
      <c r="P98" s="1524"/>
      <c r="T98" s="815"/>
    </row>
    <row r="99" spans="1:20" ht="15" hidden="1" x14ac:dyDescent="0.2">
      <c r="A99" s="1467">
        <v>2</v>
      </c>
      <c r="B99" s="1472" t="s">
        <v>10443</v>
      </c>
      <c r="C99" s="1469"/>
      <c r="D99" s="1470"/>
      <c r="E99" s="1470"/>
      <c r="F99" s="1533"/>
      <c r="G99" s="1533"/>
      <c r="H99" s="1533"/>
      <c r="I99" s="1472"/>
      <c r="J99" s="1472"/>
      <c r="K99" s="1472"/>
      <c r="L99" s="1493"/>
      <c r="M99" s="1533"/>
      <c r="N99" s="1535"/>
      <c r="O99" s="1538"/>
      <c r="P99" s="1524"/>
      <c r="T99" s="815"/>
    </row>
    <row r="100" spans="1:20" ht="15.75" hidden="1" x14ac:dyDescent="0.25">
      <c r="A100" s="1467"/>
      <c r="B100" s="1472" t="s">
        <v>10413</v>
      </c>
      <c r="C100" s="1469" t="s">
        <v>10399</v>
      </c>
      <c r="D100" s="1470">
        <v>2</v>
      </c>
      <c r="E100" s="1470">
        <v>1</v>
      </c>
      <c r="F100" s="1533">
        <v>0</v>
      </c>
      <c r="G100" s="1533">
        <v>0</v>
      </c>
      <c r="H100" s="1533">
        <v>165000</v>
      </c>
      <c r="I100" s="1472">
        <v>0</v>
      </c>
      <c r="J100" s="1539">
        <v>165000</v>
      </c>
      <c r="K100" s="1472">
        <v>0</v>
      </c>
      <c r="L100" s="1493"/>
      <c r="M100" s="1533"/>
      <c r="N100" s="1535" t="s">
        <v>10400</v>
      </c>
      <c r="O100" s="1538"/>
      <c r="P100" s="1524"/>
      <c r="T100" s="815"/>
    </row>
    <row r="101" spans="1:20" ht="15.75" hidden="1" thickBot="1" x14ac:dyDescent="0.25">
      <c r="A101" s="1540"/>
      <c r="B101" s="1541"/>
      <c r="C101" s="1541"/>
      <c r="D101" s="1542"/>
      <c r="E101" s="1542"/>
      <c r="F101" s="1543"/>
      <c r="G101" s="1543"/>
      <c r="H101" s="1543"/>
      <c r="I101" s="1544"/>
      <c r="J101" s="1544"/>
      <c r="K101" s="1544"/>
      <c r="L101" s="1545"/>
      <c r="M101" s="1543"/>
      <c r="N101" s="1546"/>
      <c r="O101" s="1538">
        <v>143478.26086956522</v>
      </c>
      <c r="P101" s="1524"/>
      <c r="T101" s="815"/>
    </row>
    <row r="102" spans="1:20" hidden="1" x14ac:dyDescent="0.2">
      <c r="F102" s="1524"/>
      <c r="G102" s="1524"/>
      <c r="H102" s="1524"/>
      <c r="I102" s="893"/>
      <c r="J102" s="893"/>
      <c r="K102" s="893"/>
      <c r="L102" s="893"/>
      <c r="M102" s="1524"/>
      <c r="N102" s="1524"/>
      <c r="O102" s="1524"/>
      <c r="P102" s="1524"/>
      <c r="T102" s="815"/>
    </row>
    <row r="103" spans="1:20" hidden="1" x14ac:dyDescent="0.2">
      <c r="F103" s="1524"/>
      <c r="G103" s="1524"/>
      <c r="H103" s="1524"/>
      <c r="I103" s="893"/>
      <c r="J103" s="893"/>
      <c r="K103" s="893"/>
      <c r="L103" s="893"/>
      <c r="M103" s="1524"/>
      <c r="N103" s="1524"/>
      <c r="O103" s="1524"/>
      <c r="P103" s="1524"/>
      <c r="T103" s="815"/>
    </row>
    <row r="104" spans="1:20" hidden="1" x14ac:dyDescent="0.2">
      <c r="F104" s="1524"/>
      <c r="G104" s="1524"/>
      <c r="H104" s="1524"/>
      <c r="I104" s="893"/>
      <c r="J104" s="893"/>
      <c r="K104" s="893"/>
      <c r="L104" s="893"/>
      <c r="M104" s="1524"/>
      <c r="N104" s="1524"/>
      <c r="O104" s="1524"/>
      <c r="P104" s="1524"/>
      <c r="T104" s="815"/>
    </row>
    <row r="105" spans="1:20" hidden="1" x14ac:dyDescent="0.2">
      <c r="F105" s="1524"/>
      <c r="G105" s="1524"/>
      <c r="H105" s="1524"/>
      <c r="I105" s="893"/>
      <c r="J105" s="893"/>
      <c r="K105" s="893"/>
      <c r="L105" s="893"/>
      <c r="M105" s="1524"/>
      <c r="N105" s="1524"/>
      <c r="O105" s="1524"/>
      <c r="P105" s="1524"/>
      <c r="T105" s="815"/>
    </row>
    <row r="106" spans="1:20" hidden="1" x14ac:dyDescent="0.2">
      <c r="F106" s="1524"/>
      <c r="G106" s="1524"/>
      <c r="H106" s="1524"/>
      <c r="I106" s="893"/>
      <c r="J106" s="893"/>
      <c r="K106" s="893"/>
      <c r="L106" s="893"/>
      <c r="M106" s="1524"/>
      <c r="N106" s="1524"/>
      <c r="O106" s="1524"/>
      <c r="P106" s="1524"/>
      <c r="T106" s="815"/>
    </row>
    <row r="107" spans="1:20" hidden="1" x14ac:dyDescent="0.2">
      <c r="F107" s="1524"/>
      <c r="G107" s="1524"/>
      <c r="H107" s="1524"/>
      <c r="I107" s="893"/>
      <c r="J107" s="893"/>
      <c r="K107" s="893"/>
      <c r="L107" s="893"/>
      <c r="M107" s="1524"/>
      <c r="N107" s="1524"/>
      <c r="O107" s="1524"/>
      <c r="P107" s="1524"/>
      <c r="T107" s="815"/>
    </row>
    <row r="108" spans="1:20" hidden="1" x14ac:dyDescent="0.2">
      <c r="F108" s="1524"/>
      <c r="G108" s="1524"/>
      <c r="H108" s="1524"/>
      <c r="I108" s="893"/>
      <c r="J108" s="893"/>
      <c r="K108" s="893"/>
      <c r="L108" s="893"/>
      <c r="M108" s="1524"/>
      <c r="N108" s="1524"/>
      <c r="O108" s="1524"/>
      <c r="P108" s="1524"/>
      <c r="T108" s="815"/>
    </row>
    <row r="109" spans="1:20" hidden="1" x14ac:dyDescent="0.2">
      <c r="F109" s="1524"/>
      <c r="G109" s="1524"/>
      <c r="H109" s="1524"/>
      <c r="I109" s="893"/>
      <c r="J109" s="893"/>
      <c r="K109" s="893"/>
      <c r="L109" s="893"/>
      <c r="M109" s="1524"/>
      <c r="N109" s="1524"/>
      <c r="O109" s="1524"/>
      <c r="P109" s="1524"/>
      <c r="T109" s="815"/>
    </row>
    <row r="110" spans="1:20" hidden="1" x14ac:dyDescent="0.2">
      <c r="F110" s="1524"/>
      <c r="G110" s="1524"/>
      <c r="H110" s="1524"/>
      <c r="I110" s="893"/>
      <c r="J110" s="893"/>
      <c r="K110" s="893"/>
      <c r="L110" s="893"/>
      <c r="M110" s="1524"/>
      <c r="N110" s="1524"/>
      <c r="O110" s="1524"/>
      <c r="P110" s="1524"/>
      <c r="T110" s="815"/>
    </row>
    <row r="111" spans="1:20" hidden="1" x14ac:dyDescent="0.2">
      <c r="F111" s="1524"/>
      <c r="G111" s="1524"/>
      <c r="H111" s="1524"/>
      <c r="I111" s="893"/>
      <c r="J111" s="893"/>
      <c r="K111" s="893"/>
      <c r="L111" s="893"/>
      <c r="M111" s="1524"/>
      <c r="N111" s="1524"/>
      <c r="O111" s="1524"/>
      <c r="P111" s="1524"/>
      <c r="T111" s="815"/>
    </row>
    <row r="112" spans="1:20" hidden="1" x14ac:dyDescent="0.2">
      <c r="F112" s="1524"/>
      <c r="G112" s="1524"/>
      <c r="H112" s="1524"/>
      <c r="I112" s="893"/>
      <c r="J112" s="893"/>
      <c r="K112" s="893"/>
      <c r="L112" s="893"/>
      <c r="M112" s="1524"/>
      <c r="N112" s="1524"/>
      <c r="O112" s="1524"/>
      <c r="P112" s="1524"/>
      <c r="T112" s="815"/>
    </row>
    <row r="113" spans="6:20" hidden="1" x14ac:dyDescent="0.2">
      <c r="F113" s="1524"/>
      <c r="G113" s="1524"/>
      <c r="H113" s="1524"/>
      <c r="I113" s="893"/>
      <c r="J113" s="893"/>
      <c r="K113" s="893"/>
      <c r="L113" s="893"/>
      <c r="M113" s="1524"/>
      <c r="N113" s="1524"/>
      <c r="O113" s="1524"/>
      <c r="P113" s="1524"/>
      <c r="T113" s="815"/>
    </row>
    <row r="114" spans="6:20" hidden="1" x14ac:dyDescent="0.2">
      <c r="F114" s="1524"/>
      <c r="G114" s="1524"/>
      <c r="H114" s="1524"/>
      <c r="I114" s="893"/>
      <c r="J114" s="893"/>
      <c r="K114" s="893"/>
      <c r="L114" s="893"/>
      <c r="M114" s="1524"/>
      <c r="N114" s="1524"/>
      <c r="O114" s="1524"/>
      <c r="P114" s="1524"/>
      <c r="T114" s="815"/>
    </row>
    <row r="115" spans="6:20" hidden="1" x14ac:dyDescent="0.2">
      <c r="F115" s="1524"/>
      <c r="G115" s="1524"/>
      <c r="H115" s="1524"/>
      <c r="I115" s="893"/>
      <c r="J115" s="893"/>
      <c r="K115" s="893"/>
      <c r="L115" s="893"/>
      <c r="M115" s="1524"/>
      <c r="N115" s="1524"/>
      <c r="O115" s="1524"/>
      <c r="P115" s="1524"/>
      <c r="T115" s="815"/>
    </row>
    <row r="116" spans="6:20" hidden="1" x14ac:dyDescent="0.2">
      <c r="F116" s="1524"/>
      <c r="G116" s="1524"/>
      <c r="H116" s="1524"/>
      <c r="I116" s="893"/>
      <c r="J116" s="893"/>
      <c r="K116" s="893"/>
      <c r="L116" s="893"/>
      <c r="M116" s="1524"/>
      <c r="N116" s="1524"/>
      <c r="O116" s="1524"/>
      <c r="P116" s="1524"/>
      <c r="T116" s="815"/>
    </row>
    <row r="117" spans="6:20" hidden="1" x14ac:dyDescent="0.2">
      <c r="F117" s="1524"/>
      <c r="G117" s="1524"/>
      <c r="H117" s="1524"/>
      <c r="I117" s="893"/>
      <c r="J117" s="893"/>
      <c r="K117" s="893"/>
      <c r="L117" s="893"/>
      <c r="M117" s="1524"/>
      <c r="N117" s="1524"/>
      <c r="O117" s="1524"/>
      <c r="P117" s="1524"/>
      <c r="T117" s="815"/>
    </row>
    <row r="118" spans="6:20" hidden="1" x14ac:dyDescent="0.2">
      <c r="F118" s="1524"/>
      <c r="G118" s="1524"/>
      <c r="H118" s="1524"/>
      <c r="I118" s="893"/>
      <c r="J118" s="893"/>
      <c r="K118" s="893"/>
      <c r="L118" s="893"/>
      <c r="M118" s="1524"/>
      <c r="N118" s="1524"/>
      <c r="O118" s="1524"/>
      <c r="P118" s="1524"/>
      <c r="T118" s="815"/>
    </row>
    <row r="119" spans="6:20" hidden="1" x14ac:dyDescent="0.2">
      <c r="F119" s="1524"/>
      <c r="G119" s="1524"/>
      <c r="H119" s="1524"/>
      <c r="I119" s="893"/>
      <c r="J119" s="893"/>
      <c r="K119" s="893"/>
      <c r="L119" s="893"/>
      <c r="M119" s="1524"/>
      <c r="N119" s="1524"/>
      <c r="O119" s="1524"/>
      <c r="P119" s="1524"/>
      <c r="T119" s="815"/>
    </row>
    <row r="120" spans="6:20" hidden="1" x14ac:dyDescent="0.2">
      <c r="F120" s="1524"/>
      <c r="G120" s="1524"/>
      <c r="H120" s="1524"/>
      <c r="I120" s="893"/>
      <c r="J120" s="893"/>
      <c r="K120" s="893"/>
      <c r="L120" s="893"/>
      <c r="M120" s="1524"/>
      <c r="N120" s="1524"/>
      <c r="O120" s="1524"/>
      <c r="P120" s="1524"/>
      <c r="T120" s="815"/>
    </row>
    <row r="121" spans="6:20" hidden="1" x14ac:dyDescent="0.2">
      <c r="F121" s="1524"/>
      <c r="G121" s="1524"/>
      <c r="H121" s="1524"/>
      <c r="I121" s="893"/>
      <c r="J121" s="893"/>
      <c r="K121" s="893"/>
      <c r="L121" s="893"/>
      <c r="M121" s="1524"/>
      <c r="N121" s="1524"/>
      <c r="O121" s="1524"/>
      <c r="P121" s="1524"/>
      <c r="T121" s="815"/>
    </row>
    <row r="122" spans="6:20" hidden="1" x14ac:dyDescent="0.2">
      <c r="F122" s="1524"/>
      <c r="G122" s="1524"/>
      <c r="H122" s="1524"/>
      <c r="I122" s="893"/>
      <c r="J122" s="893"/>
      <c r="K122" s="893"/>
      <c r="L122" s="893"/>
      <c r="M122" s="1524"/>
      <c r="N122" s="1524"/>
      <c r="O122" s="1524"/>
      <c r="P122" s="1524"/>
      <c r="T122" s="815"/>
    </row>
    <row r="123" spans="6:20" hidden="1" x14ac:dyDescent="0.2">
      <c r="F123" s="1524"/>
      <c r="G123" s="1524"/>
      <c r="H123" s="1524"/>
      <c r="I123" s="893"/>
      <c r="J123" s="893"/>
      <c r="K123" s="893"/>
      <c r="L123" s="893"/>
      <c r="M123" s="1524"/>
      <c r="N123" s="1524"/>
      <c r="O123" s="1524"/>
      <c r="P123" s="1524"/>
      <c r="T123" s="815"/>
    </row>
    <row r="124" spans="6:20" hidden="1" x14ac:dyDescent="0.2">
      <c r="F124" s="1524"/>
      <c r="G124" s="1524"/>
      <c r="H124" s="1524"/>
      <c r="I124" s="893"/>
      <c r="J124" s="893"/>
      <c r="K124" s="893"/>
      <c r="L124" s="893"/>
      <c r="M124" s="1524"/>
      <c r="N124" s="1524"/>
      <c r="O124" s="1524"/>
      <c r="P124" s="1524"/>
      <c r="T124" s="815"/>
    </row>
    <row r="125" spans="6:20" hidden="1" x14ac:dyDescent="0.2">
      <c r="F125" s="1524"/>
      <c r="G125" s="1524"/>
      <c r="H125" s="1524"/>
      <c r="I125" s="893"/>
      <c r="J125" s="893"/>
      <c r="K125" s="893"/>
      <c r="L125" s="893"/>
      <c r="M125" s="1524"/>
      <c r="N125" s="1524"/>
      <c r="O125" s="1524"/>
      <c r="P125" s="1524"/>
      <c r="T125" s="815"/>
    </row>
    <row r="126" spans="6:20" hidden="1" x14ac:dyDescent="0.2">
      <c r="F126" s="1524"/>
      <c r="G126" s="1524"/>
      <c r="H126" s="1524"/>
      <c r="I126" s="893"/>
      <c r="J126" s="893"/>
      <c r="K126" s="893"/>
      <c r="L126" s="893"/>
      <c r="M126" s="1524"/>
      <c r="N126" s="1524"/>
      <c r="O126" s="1524"/>
      <c r="P126" s="1524"/>
      <c r="T126" s="815"/>
    </row>
    <row r="127" spans="6:20" hidden="1" x14ac:dyDescent="0.2">
      <c r="F127" s="1524"/>
      <c r="G127" s="1524"/>
      <c r="H127" s="1524"/>
      <c r="I127" s="893"/>
      <c r="J127" s="893"/>
      <c r="K127" s="893"/>
      <c r="L127" s="893"/>
      <c r="M127" s="1524"/>
      <c r="N127" s="1524"/>
      <c r="O127" s="1524"/>
      <c r="P127" s="1524"/>
      <c r="T127" s="815"/>
    </row>
    <row r="128" spans="6:20" hidden="1" x14ac:dyDescent="0.2">
      <c r="F128" s="1524"/>
      <c r="G128" s="1524"/>
      <c r="H128" s="1524"/>
      <c r="I128" s="893"/>
      <c r="J128" s="893"/>
      <c r="K128" s="893"/>
      <c r="L128" s="893"/>
      <c r="M128" s="1524"/>
      <c r="N128" s="1524"/>
      <c r="O128" s="1524"/>
      <c r="P128" s="1524"/>
      <c r="T128" s="815"/>
    </row>
    <row r="129" spans="6:20" hidden="1" x14ac:dyDescent="0.2">
      <c r="F129" s="1524"/>
      <c r="G129" s="1524"/>
      <c r="H129" s="1524"/>
      <c r="I129" s="893"/>
      <c r="J129" s="893"/>
      <c r="K129" s="893"/>
      <c r="L129" s="893"/>
      <c r="M129" s="1524"/>
      <c r="N129" s="1524"/>
      <c r="O129" s="1524"/>
      <c r="P129" s="1524"/>
      <c r="T129" s="815"/>
    </row>
    <row r="130" spans="6:20" hidden="1" x14ac:dyDescent="0.2">
      <c r="F130" s="1524"/>
      <c r="G130" s="1524"/>
      <c r="H130" s="1524"/>
      <c r="I130" s="893"/>
      <c r="J130" s="893"/>
      <c r="K130" s="893"/>
      <c r="L130" s="893"/>
      <c r="M130" s="1524"/>
      <c r="N130" s="1524"/>
      <c r="O130" s="1524"/>
      <c r="P130" s="1524"/>
      <c r="T130" s="815"/>
    </row>
    <row r="131" spans="6:20" hidden="1" x14ac:dyDescent="0.2">
      <c r="F131" s="1524"/>
      <c r="G131" s="1524"/>
      <c r="H131" s="1524"/>
      <c r="I131" s="893"/>
      <c r="J131" s="893"/>
      <c r="K131" s="893"/>
      <c r="L131" s="893"/>
      <c r="M131" s="1524"/>
      <c r="N131" s="1524"/>
      <c r="O131" s="1524"/>
      <c r="P131" s="1524"/>
    </row>
    <row r="132" spans="6:20" hidden="1" x14ac:dyDescent="0.2">
      <c r="F132" s="1524"/>
      <c r="G132" s="1524"/>
      <c r="H132" s="1524"/>
      <c r="I132" s="893"/>
      <c r="J132" s="893"/>
      <c r="K132" s="893"/>
      <c r="L132" s="893"/>
      <c r="M132" s="1524"/>
      <c r="N132" s="1524"/>
      <c r="O132" s="1524"/>
      <c r="P132" s="1524"/>
    </row>
    <row r="133" spans="6:20" hidden="1" x14ac:dyDescent="0.2">
      <c r="F133" s="1524"/>
      <c r="G133" s="1524"/>
      <c r="H133" s="1524"/>
      <c r="I133" s="893"/>
      <c r="J133" s="893"/>
      <c r="K133" s="893"/>
      <c r="L133" s="893"/>
      <c r="M133" s="1524"/>
      <c r="N133" s="1524"/>
      <c r="O133" s="1524"/>
      <c r="P133" s="1524"/>
    </row>
    <row r="134" spans="6:20" hidden="1" x14ac:dyDescent="0.2">
      <c r="F134" s="1524"/>
      <c r="G134" s="1524"/>
      <c r="H134" s="1524"/>
      <c r="I134" s="893"/>
      <c r="J134" s="893"/>
      <c r="K134" s="893"/>
      <c r="L134" s="893"/>
      <c r="M134" s="1524"/>
      <c r="N134" s="1524"/>
      <c r="O134" s="1524"/>
      <c r="P134" s="1524"/>
    </row>
    <row r="135" spans="6:20" hidden="1" x14ac:dyDescent="0.2">
      <c r="F135" s="1524"/>
      <c r="G135" s="1524"/>
      <c r="H135" s="1524"/>
      <c r="I135" s="893"/>
      <c r="J135" s="893"/>
      <c r="K135" s="893"/>
      <c r="L135" s="893"/>
      <c r="M135" s="1524"/>
      <c r="N135" s="1524"/>
      <c r="O135" s="1524"/>
      <c r="P135" s="1524"/>
    </row>
    <row r="136" spans="6:20" hidden="1" x14ac:dyDescent="0.2">
      <c r="F136" s="1524"/>
      <c r="G136" s="1524"/>
      <c r="H136" s="1524"/>
      <c r="I136" s="893"/>
      <c r="J136" s="893"/>
      <c r="K136" s="893"/>
      <c r="L136" s="893"/>
      <c r="M136" s="1524"/>
      <c r="N136" s="1524"/>
      <c r="O136" s="1524"/>
      <c r="P136" s="1524"/>
    </row>
    <row r="137" spans="6:20" hidden="1" x14ac:dyDescent="0.2">
      <c r="F137" s="1524"/>
      <c r="G137" s="1524"/>
      <c r="H137" s="1524"/>
      <c r="I137" s="893"/>
      <c r="J137" s="893"/>
      <c r="K137" s="893"/>
      <c r="L137" s="893"/>
      <c r="M137" s="1524"/>
      <c r="N137" s="1524"/>
      <c r="O137" s="1524"/>
      <c r="P137" s="1524"/>
    </row>
    <row r="138" spans="6:20" hidden="1" x14ac:dyDescent="0.2">
      <c r="F138" s="1524"/>
      <c r="G138" s="1524"/>
      <c r="H138" s="1524"/>
      <c r="I138" s="893"/>
      <c r="J138" s="893"/>
      <c r="K138" s="893"/>
      <c r="L138" s="893"/>
      <c r="M138" s="1524"/>
      <c r="N138" s="1524"/>
      <c r="O138" s="1524"/>
      <c r="P138" s="1524"/>
    </row>
    <row r="139" spans="6:20" hidden="1" x14ac:dyDescent="0.2">
      <c r="F139" s="1524"/>
      <c r="G139" s="1524"/>
      <c r="H139" s="1524"/>
      <c r="I139" s="893"/>
      <c r="J139" s="893"/>
      <c r="K139" s="893"/>
      <c r="L139" s="893"/>
      <c r="M139" s="1524"/>
      <c r="N139" s="1524"/>
      <c r="O139" s="1524"/>
      <c r="P139" s="1524"/>
    </row>
    <row r="140" spans="6:20" hidden="1" x14ac:dyDescent="0.2">
      <c r="F140" s="1524"/>
      <c r="G140" s="1524"/>
      <c r="H140" s="1524"/>
      <c r="I140" s="893"/>
      <c r="J140" s="893"/>
      <c r="K140" s="893"/>
      <c r="L140" s="893"/>
      <c r="M140" s="1524"/>
      <c r="N140" s="1524"/>
      <c r="O140" s="1524"/>
      <c r="P140" s="1524"/>
    </row>
    <row r="141" spans="6:20" hidden="1" x14ac:dyDescent="0.2">
      <c r="F141" s="1524"/>
      <c r="G141" s="1524"/>
      <c r="H141" s="1524"/>
      <c r="I141" s="893"/>
      <c r="J141" s="893"/>
      <c r="K141" s="893"/>
      <c r="L141" s="893"/>
      <c r="M141" s="1524"/>
      <c r="N141" s="1524"/>
      <c r="O141" s="1524"/>
      <c r="P141" s="1524"/>
    </row>
    <row r="142" spans="6:20" hidden="1" x14ac:dyDescent="0.2">
      <c r="F142" s="1524"/>
      <c r="G142" s="1524"/>
      <c r="H142" s="1524"/>
      <c r="I142" s="893"/>
      <c r="J142" s="893"/>
      <c r="K142" s="893"/>
      <c r="L142" s="893"/>
      <c r="M142" s="1524"/>
      <c r="N142" s="1524"/>
      <c r="O142" s="1524"/>
      <c r="P142" s="1524"/>
    </row>
    <row r="143" spans="6:20" hidden="1" x14ac:dyDescent="0.2">
      <c r="F143" s="1524"/>
      <c r="G143" s="1524"/>
      <c r="H143" s="1524"/>
      <c r="I143" s="893"/>
      <c r="J143" s="893"/>
      <c r="K143" s="893"/>
      <c r="L143" s="893"/>
      <c r="M143" s="1524"/>
      <c r="N143" s="1524"/>
      <c r="O143" s="1524"/>
      <c r="P143" s="1524"/>
    </row>
    <row r="144" spans="6:20" hidden="1" x14ac:dyDescent="0.2">
      <c r="F144" s="1524"/>
      <c r="G144" s="1524"/>
      <c r="H144" s="1524"/>
      <c r="I144" s="893"/>
      <c r="J144" s="893"/>
      <c r="K144" s="893"/>
      <c r="L144" s="893"/>
      <c r="M144" s="1524"/>
      <c r="N144" s="1524"/>
      <c r="O144" s="1524"/>
      <c r="P144" s="1524"/>
    </row>
    <row r="145" spans="6:16" hidden="1" x14ac:dyDescent="0.2">
      <c r="F145" s="1524"/>
      <c r="G145" s="1524"/>
      <c r="H145" s="1524"/>
      <c r="I145" s="893"/>
      <c r="J145" s="893"/>
      <c r="K145" s="893"/>
      <c r="L145" s="893"/>
      <c r="M145" s="1524"/>
      <c r="N145" s="1524"/>
      <c r="O145" s="1524"/>
      <c r="P145" s="1524"/>
    </row>
    <row r="146" spans="6:16" hidden="1" x14ac:dyDescent="0.2">
      <c r="F146" s="1524"/>
      <c r="G146" s="1524"/>
      <c r="H146" s="1524"/>
      <c r="I146" s="893"/>
      <c r="J146" s="893"/>
      <c r="K146" s="893"/>
      <c r="L146" s="893"/>
      <c r="M146" s="1524"/>
      <c r="N146" s="1524"/>
      <c r="O146" s="1524"/>
      <c r="P146" s="1524"/>
    </row>
    <row r="147" spans="6:16" hidden="1" x14ac:dyDescent="0.2">
      <c r="F147" s="1524"/>
      <c r="G147" s="1524"/>
      <c r="H147" s="1524"/>
      <c r="I147" s="893"/>
      <c r="J147" s="893"/>
      <c r="K147" s="893"/>
      <c r="L147" s="893"/>
      <c r="M147" s="1524"/>
      <c r="N147" s="1524"/>
      <c r="O147" s="1524"/>
      <c r="P147" s="1524"/>
    </row>
    <row r="148" spans="6:16" hidden="1" x14ac:dyDescent="0.2">
      <c r="F148" s="1524"/>
      <c r="G148" s="1524"/>
      <c r="H148" s="1524"/>
      <c r="I148" s="893"/>
      <c r="J148" s="893"/>
      <c r="K148" s="893"/>
      <c r="L148" s="893"/>
      <c r="M148" s="1524"/>
      <c r="N148" s="1524"/>
      <c r="O148" s="1524"/>
      <c r="P148" s="1524"/>
    </row>
    <row r="149" spans="6:16" hidden="1" x14ac:dyDescent="0.2">
      <c r="F149" s="1524"/>
      <c r="G149" s="1524"/>
      <c r="H149" s="1524"/>
      <c r="I149" s="893"/>
      <c r="J149" s="893"/>
      <c r="K149" s="893"/>
      <c r="L149" s="893"/>
      <c r="M149" s="1524"/>
      <c r="N149" s="1524"/>
      <c r="O149" s="1524"/>
      <c r="P149" s="1524"/>
    </row>
    <row r="150" spans="6:16" hidden="1" x14ac:dyDescent="0.2">
      <c r="F150" s="1524"/>
      <c r="G150" s="1524"/>
      <c r="H150" s="1524"/>
      <c r="I150" s="893"/>
      <c r="J150" s="893"/>
      <c r="K150" s="893"/>
      <c r="L150" s="893"/>
      <c r="M150" s="1524"/>
      <c r="N150" s="1524"/>
      <c r="O150" s="1524"/>
      <c r="P150" s="1524"/>
    </row>
    <row r="151" spans="6:16" hidden="1" x14ac:dyDescent="0.2">
      <c r="F151" s="1524"/>
      <c r="G151" s="1524"/>
      <c r="H151" s="1524"/>
      <c r="I151" s="893"/>
      <c r="K151" s="893"/>
      <c r="L151" s="893"/>
      <c r="M151" s="1524"/>
      <c r="N151" s="1524"/>
      <c r="O151" s="1524"/>
      <c r="P151" s="1524"/>
    </row>
    <row r="152" spans="6:16" hidden="1" x14ac:dyDescent="0.2">
      <c r="F152" s="1524"/>
      <c r="G152" s="1524"/>
      <c r="H152" s="1524"/>
      <c r="I152" s="893"/>
      <c r="J152" s="893"/>
      <c r="K152" s="893"/>
      <c r="L152" s="893"/>
      <c r="M152" s="1524"/>
      <c r="N152" s="1524"/>
      <c r="O152" s="1524"/>
      <c r="P152" s="1524"/>
    </row>
    <row r="153" spans="6:16" hidden="1" x14ac:dyDescent="0.2">
      <c r="F153" s="1524"/>
      <c r="G153" s="1524"/>
      <c r="H153" s="1524"/>
      <c r="I153" s="893"/>
      <c r="J153" s="893"/>
      <c r="K153" s="893"/>
      <c r="L153" s="893"/>
      <c r="M153" s="1524"/>
      <c r="N153" s="1524"/>
      <c r="O153" s="1524"/>
      <c r="P153" s="1524"/>
    </row>
    <row r="154" spans="6:16" hidden="1" x14ac:dyDescent="0.2">
      <c r="F154" s="1524"/>
      <c r="G154" s="1524"/>
      <c r="H154" s="1524"/>
      <c r="I154" s="893"/>
      <c r="K154" s="893"/>
      <c r="L154" s="893"/>
      <c r="M154" s="1524"/>
      <c r="N154" s="1524"/>
      <c r="O154" s="1524"/>
      <c r="P154" s="1524"/>
    </row>
    <row r="155" spans="6:16" hidden="1" x14ac:dyDescent="0.2">
      <c r="F155" s="1524"/>
      <c r="G155" s="1524"/>
      <c r="H155" s="1524"/>
      <c r="I155" s="893"/>
      <c r="M155" s="1524"/>
      <c r="N155" s="1524"/>
      <c r="O155" s="1524"/>
      <c r="P155" s="1524"/>
    </row>
    <row r="156" spans="6:16" hidden="1" x14ac:dyDescent="0.2">
      <c r="F156" s="1524"/>
      <c r="G156" s="1524"/>
      <c r="H156" s="1524"/>
      <c r="I156" s="1524"/>
      <c r="J156" s="893"/>
      <c r="K156" s="893"/>
      <c r="L156" s="1524"/>
      <c r="M156" s="1524"/>
      <c r="N156" s="1524"/>
      <c r="O156" s="1524"/>
      <c r="P156" s="1524"/>
    </row>
    <row r="157" spans="6:16" hidden="1" x14ac:dyDescent="0.2">
      <c r="F157" s="1524"/>
      <c r="G157" s="1524"/>
      <c r="H157" s="1524"/>
      <c r="I157" s="1524"/>
      <c r="J157" s="893" t="e">
        <f>ROUNDDOWN(+J79/N157,1)</f>
        <v>#REF!</v>
      </c>
      <c r="K157" s="1547"/>
      <c r="L157" s="893" t="e">
        <f>+H16+H19+H20</f>
        <v>#REF!</v>
      </c>
      <c r="M157" s="1524"/>
      <c r="N157" s="1524">
        <v>11.25</v>
      </c>
      <c r="O157" s="1524"/>
      <c r="P157" s="1524"/>
    </row>
    <row r="158" spans="6:16" hidden="1" x14ac:dyDescent="0.2">
      <c r="J158" s="893"/>
      <c r="K158" s="893"/>
      <c r="L158" s="893" t="e">
        <f>+L157/N157</f>
        <v>#REF!</v>
      </c>
    </row>
    <row r="159" spans="6:16" hidden="1" x14ac:dyDescent="0.2">
      <c r="J159" s="893" t="e">
        <f>+J157-L158</f>
        <v>#REF!</v>
      </c>
      <c r="K159" s="893"/>
    </row>
    <row r="160" spans="6:16" hidden="1" x14ac:dyDescent="0.2">
      <c r="J160" s="893"/>
      <c r="K160" s="893"/>
    </row>
    <row r="161" spans="10:12" hidden="1" x14ac:dyDescent="0.2">
      <c r="J161" s="893" t="e">
        <f>+L158+J159</f>
        <v>#REF!</v>
      </c>
      <c r="K161" s="893"/>
    </row>
    <row r="162" spans="10:12" hidden="1" x14ac:dyDescent="0.2">
      <c r="J162" s="893" t="e">
        <f>+J161*N157</f>
        <v>#REF!</v>
      </c>
      <c r="K162" s="893" t="e">
        <f>+J162-J79</f>
        <v>#REF!</v>
      </c>
      <c r="L162" s="893" t="s">
        <v>10291</v>
      </c>
    </row>
    <row r="163" spans="10:12" hidden="1" x14ac:dyDescent="0.2">
      <c r="J163" s="893"/>
      <c r="K163" s="893"/>
    </row>
    <row r="164" spans="10:12" hidden="1" x14ac:dyDescent="0.2">
      <c r="J164" s="1481"/>
    </row>
    <row r="165" spans="10:12" hidden="1" x14ac:dyDescent="0.2"/>
    <row r="166" spans="10:12" hidden="1" x14ac:dyDescent="0.2"/>
    <row r="167" spans="10:12" hidden="1" x14ac:dyDescent="0.2"/>
    <row r="168" spans="10:12" hidden="1" x14ac:dyDescent="0.2"/>
    <row r="169" spans="10:12" hidden="1" x14ac:dyDescent="0.2"/>
    <row r="170" spans="10:12" hidden="1" x14ac:dyDescent="0.2"/>
    <row r="171" spans="10:12" hidden="1" x14ac:dyDescent="0.2"/>
    <row r="172" spans="10:12" hidden="1" x14ac:dyDescent="0.2"/>
    <row r="173" spans="10:12" hidden="1" x14ac:dyDescent="0.2"/>
    <row r="174" spans="10:12" hidden="1" x14ac:dyDescent="0.2"/>
    <row r="175" spans="10:12" hidden="1" x14ac:dyDescent="0.2"/>
    <row r="176" spans="10:12" hidden="1" x14ac:dyDescent="0.2"/>
    <row r="177" hidden="1" x14ac:dyDescent="0.2"/>
    <row r="178" hidden="1" x14ac:dyDescent="0.2"/>
  </sheetData>
  <printOptions horizontalCentered="1"/>
  <pageMargins left="0.75" right="0.75" top="0.39370078740157483" bottom="1" header="0" footer="0"/>
  <pageSetup scale="58" orientation="landscape" horizontalDpi="36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3" tint="-0.499984740745262"/>
  </sheetPr>
  <dimension ref="A1:AL76"/>
  <sheetViews>
    <sheetView tabSelected="1" zoomScale="80" zoomScaleNormal="80" workbookViewId="0">
      <pane xSplit="3" ySplit="5" topLeftCell="F6" activePane="bottomRight" state="frozen"/>
      <selection pane="topRight" activeCell="D1" sqref="D1"/>
      <selection pane="bottomLeft" activeCell="A6" sqref="A6"/>
      <selection pane="bottomRight" activeCell="AF20" sqref="AF20"/>
    </sheetView>
  </sheetViews>
  <sheetFormatPr baseColWidth="10" defaultColWidth="0" defaultRowHeight="12.75" outlineLevelRow="1" x14ac:dyDescent="0.2"/>
  <cols>
    <col min="1" max="1" width="33.7109375" customWidth="1"/>
    <col min="2" max="2" width="17" customWidth="1"/>
    <col min="3" max="3" width="10.140625" customWidth="1"/>
    <col min="4" max="4" width="14.5703125" customWidth="1"/>
    <col min="5" max="6" width="14.42578125" customWidth="1"/>
    <col min="7" max="15" width="14.5703125" customWidth="1"/>
    <col min="16" max="16" width="31.7109375" hidden="1" customWidth="1"/>
    <col min="17" max="17" width="13.7109375" hidden="1" customWidth="1"/>
    <col min="18" max="18" width="6.7109375" hidden="1" customWidth="1"/>
    <col min="19" max="19" width="13.7109375" hidden="1" customWidth="1"/>
    <col min="20" max="20" width="6.7109375" hidden="1" customWidth="1"/>
    <col min="21" max="21" width="14.140625" hidden="1" customWidth="1"/>
    <col min="22" max="22" width="6.7109375" hidden="1" customWidth="1"/>
    <col min="23" max="23" width="13.7109375" hidden="1" customWidth="1"/>
    <col min="24" max="24" width="6.7109375" hidden="1" customWidth="1"/>
    <col min="25" max="25" width="14.140625" hidden="1" customWidth="1"/>
    <col min="26" max="26" width="7.28515625" hidden="1" customWidth="1"/>
    <col min="27" max="27" width="13.7109375" hidden="1" customWidth="1"/>
    <col min="28" max="28" width="6.7109375" hidden="1" customWidth="1"/>
    <col min="29" max="29" width="14.7109375" hidden="1" customWidth="1"/>
    <col min="30" max="30" width="6.7109375" hidden="1" customWidth="1"/>
    <col min="31" max="31" width="2.5703125" customWidth="1"/>
    <col min="32" max="32" width="14.28515625" style="1137" customWidth="1"/>
    <col min="33" max="33" width="4.140625" style="1158" customWidth="1"/>
    <col min="34" max="34" width="8.28515625" customWidth="1"/>
    <col min="35" max="38" width="0" hidden="1" customWidth="1"/>
    <col min="39" max="16384" width="11.42578125" hidden="1"/>
  </cols>
  <sheetData>
    <row r="1" spans="1:33" ht="19.5" customHeight="1" x14ac:dyDescent="0.25">
      <c r="A1" s="1" t="s">
        <v>0</v>
      </c>
      <c r="P1" s="1" t="s">
        <v>0</v>
      </c>
    </row>
    <row r="2" spans="1:33" ht="20.25" customHeight="1" x14ac:dyDescent="0.25">
      <c r="A2" s="1" t="s">
        <v>10343</v>
      </c>
      <c r="D2" s="248" t="s">
        <v>28</v>
      </c>
      <c r="H2" s="774"/>
      <c r="I2" s="41" t="s">
        <v>28</v>
      </c>
      <c r="J2" s="41" t="s">
        <v>28</v>
      </c>
      <c r="P2" s="1" t="s">
        <v>9789</v>
      </c>
      <c r="S2" s="248"/>
    </row>
    <row r="3" spans="1:33" ht="20.25" customHeight="1" thickBot="1" x14ac:dyDescent="0.3">
      <c r="A3" s="1" t="s">
        <v>1</v>
      </c>
      <c r="D3" s="734"/>
      <c r="F3" s="1770" t="s">
        <v>307</v>
      </c>
      <c r="G3" s="1761">
        <v>5</v>
      </c>
      <c r="H3" s="1760"/>
      <c r="P3" s="1" t="s">
        <v>1</v>
      </c>
      <c r="AF3" s="1140" t="s">
        <v>6</v>
      </c>
      <c r="AG3" s="1630"/>
    </row>
    <row r="4" spans="1:33" s="1130" customFormat="1" ht="13.5" thickTop="1" x14ac:dyDescent="0.2">
      <c r="A4" s="2"/>
      <c r="B4" s="3"/>
      <c r="C4" s="17"/>
      <c r="D4" s="1132" t="s">
        <v>28</v>
      </c>
      <c r="E4" s="1132" t="s">
        <v>28</v>
      </c>
      <c r="F4" s="1132" t="s">
        <v>28</v>
      </c>
      <c r="G4" s="1132" t="s">
        <v>28</v>
      </c>
      <c r="H4" s="1132" t="s">
        <v>28</v>
      </c>
      <c r="I4" s="1132" t="s">
        <v>28</v>
      </c>
      <c r="J4" s="1132" t="s">
        <v>28</v>
      </c>
      <c r="K4" s="1132" t="s">
        <v>28</v>
      </c>
      <c r="L4" s="1132" t="s">
        <v>28</v>
      </c>
      <c r="M4" s="1132" t="s">
        <v>28</v>
      </c>
      <c r="N4" s="1132" t="s">
        <v>28</v>
      </c>
      <c r="O4" s="1132" t="s">
        <v>28</v>
      </c>
      <c r="P4" s="432"/>
      <c r="Q4" s="28"/>
      <c r="R4" s="28"/>
      <c r="S4" s="28"/>
      <c r="T4" s="28"/>
      <c r="U4" s="28" t="s">
        <v>2</v>
      </c>
      <c r="V4" s="28"/>
      <c r="W4" s="28"/>
      <c r="X4" s="28"/>
      <c r="Y4" s="28" t="s">
        <v>3</v>
      </c>
      <c r="Z4" s="28"/>
      <c r="AA4" s="28"/>
      <c r="AB4" s="1132"/>
      <c r="AC4" s="28" t="s">
        <v>4</v>
      </c>
      <c r="AD4" s="59"/>
      <c r="AF4" s="1138"/>
      <c r="AG4" s="1631"/>
    </row>
    <row r="5" spans="1:33" s="1130" customFormat="1" x14ac:dyDescent="0.2">
      <c r="A5" s="4" t="s">
        <v>5</v>
      </c>
      <c r="B5" s="5" t="s">
        <v>10145</v>
      </c>
      <c r="C5" s="18" t="s">
        <v>7</v>
      </c>
      <c r="D5" s="1136" t="s">
        <v>303</v>
      </c>
      <c r="E5" s="1136" t="s">
        <v>304</v>
      </c>
      <c r="F5" s="1136" t="s">
        <v>305</v>
      </c>
      <c r="G5" s="1136" t="s">
        <v>306</v>
      </c>
      <c r="H5" s="1136" t="s">
        <v>307</v>
      </c>
      <c r="I5" s="1136" t="s">
        <v>308</v>
      </c>
      <c r="J5" s="1136" t="s">
        <v>309</v>
      </c>
      <c r="K5" s="1136" t="s">
        <v>310</v>
      </c>
      <c r="L5" s="1136" t="s">
        <v>311</v>
      </c>
      <c r="M5" s="1136" t="s">
        <v>312</v>
      </c>
      <c r="N5" s="1136" t="s">
        <v>313</v>
      </c>
      <c r="O5" s="1136" t="s">
        <v>314</v>
      </c>
      <c r="P5" s="433" t="s">
        <v>5</v>
      </c>
      <c r="Q5" s="29" t="s">
        <v>20</v>
      </c>
      <c r="R5" s="29" t="s">
        <v>7</v>
      </c>
      <c r="S5" s="29" t="s">
        <v>21</v>
      </c>
      <c r="T5" s="29" t="s">
        <v>7</v>
      </c>
      <c r="U5" s="29" t="s">
        <v>22</v>
      </c>
      <c r="V5" s="29" t="s">
        <v>7</v>
      </c>
      <c r="W5" s="29" t="s">
        <v>23</v>
      </c>
      <c r="X5" s="29" t="s">
        <v>7</v>
      </c>
      <c r="Y5" s="29" t="s">
        <v>24</v>
      </c>
      <c r="Z5" s="29" t="s">
        <v>7</v>
      </c>
      <c r="AA5" s="29" t="s">
        <v>25</v>
      </c>
      <c r="AB5" s="29" t="s">
        <v>7</v>
      </c>
      <c r="AC5" s="40" t="s">
        <v>26</v>
      </c>
      <c r="AD5" s="15" t="s">
        <v>7</v>
      </c>
      <c r="AF5" s="1138"/>
      <c r="AG5" s="1631"/>
    </row>
    <row r="6" spans="1:33" x14ac:dyDescent="0.2">
      <c r="A6" s="6" t="s">
        <v>28</v>
      </c>
      <c r="B6" s="7"/>
      <c r="C6" s="19"/>
      <c r="D6" s="258"/>
      <c r="E6" s="258"/>
      <c r="F6" s="258"/>
      <c r="G6" s="258"/>
      <c r="H6" s="258"/>
      <c r="I6" s="258"/>
      <c r="J6" s="258"/>
      <c r="K6" s="258"/>
      <c r="L6" s="258"/>
      <c r="M6" s="258"/>
      <c r="N6" s="258"/>
      <c r="O6" s="258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9"/>
      <c r="AC6" s="30"/>
      <c r="AD6" s="14"/>
    </row>
    <row r="7" spans="1:33" x14ac:dyDescent="0.2">
      <c r="A7" s="1159" t="s">
        <v>10149</v>
      </c>
      <c r="B7" s="1222">
        <f>SUM(D7:O7)</f>
        <v>13017464.711902676</v>
      </c>
      <c r="C7" s="1223"/>
      <c r="D7" s="1224">
        <f>[2]Edo.Res.detalle!D7+[6]Edo.Res.detalle!D7+[7]Edo.Res.detalle!D7+[8]Edo.Res.detalle!D7+[3]Edo.Res.detalle!D7+[9]Edo.Res.detalle!D7</f>
        <v>1020986.6939006819</v>
      </c>
      <c r="E7" s="1224">
        <f>[2]Edo.Res.detalle!E7+[6]Edo.Res.detalle!E7+[7]Edo.Res.detalle!E7+[8]Edo.Res.detalle!E7+[3]Edo.Res.detalle!E7+[9]Edo.Res.detalle!E7</f>
        <v>996883.34041970607</v>
      </c>
      <c r="F7" s="1224">
        <f>[2]Edo.Res.detalle!F7+[6]Edo.Res.detalle!F7+[7]Edo.Res.detalle!F7+[8]Edo.Res.detalle!F7+[3]Edo.Res.detalle!F7+[9]Edo.Res.detalle!F7</f>
        <v>1030730.7247940875</v>
      </c>
      <c r="G7" s="1224">
        <f>[2]Edo.Res.detalle!G7+[6]Edo.Res.detalle!G7+[7]Edo.Res.detalle!G7+[8]Edo.Res.detalle!G7+[3]Edo.Res.detalle!G7+[9]Edo.Res.detalle!G7</f>
        <v>1087935.9750019161</v>
      </c>
      <c r="H7" s="1224">
        <f>[2]Edo.Res.detalle!H7+[6]Edo.Res.detalle!H7+[7]Edo.Res.detalle!H7+[8]Edo.Res.detalle!H7+[3]Edo.Res.detalle!H7+[9]Edo.Res.detalle!H7</f>
        <v>1049254.3221196637</v>
      </c>
      <c r="I7" s="1224">
        <f>[2]Edo.Res.detalle!I7+[6]Edo.Res.detalle!I7+[7]Edo.Res.detalle!I7+[8]Edo.Res.detalle!I7+[3]Edo.Res.detalle!I7+[9]Edo.Res.detalle!I7</f>
        <v>1054343.2489207881</v>
      </c>
      <c r="J7" s="1224">
        <f>[2]Edo.Res.detalle!J7+[6]Edo.Res.detalle!J7+[7]Edo.Res.detalle!J7+[8]Edo.Res.detalle!J7+[3]Edo.Res.detalle!J7+[9]Edo.Res.detalle!J7</f>
        <v>1138111.0763286571</v>
      </c>
      <c r="K7" s="1224">
        <f>[2]Edo.Res.detalle!K7+[6]Edo.Res.detalle!K7+[7]Edo.Res.detalle!K7+[8]Edo.Res.detalle!K7+[3]Edo.Res.detalle!K7+[9]Edo.Res.detalle!K7</f>
        <v>1114598.7125952805</v>
      </c>
      <c r="L7" s="1224">
        <f>[2]Edo.Res.detalle!L7+[6]Edo.Res.detalle!L7+[7]Edo.Res.detalle!L7+[8]Edo.Res.detalle!L7+[3]Edo.Res.detalle!L7+[9]Edo.Res.detalle!L7</f>
        <v>986410.97257109336</v>
      </c>
      <c r="M7" s="1224">
        <f>[2]Edo.Res.detalle!M7+[6]Edo.Res.detalle!M7+[7]Edo.Res.detalle!M7+[8]Edo.Res.detalle!M7+[3]Edo.Res.detalle!M7+[9]Edo.Res.detalle!M7</f>
        <v>1273766.0226313123</v>
      </c>
      <c r="N7" s="1224">
        <f>[2]Edo.Res.detalle!N7+[6]Edo.Res.detalle!N7+[7]Edo.Res.detalle!N7+[8]Edo.Res.detalle!N7+[3]Edo.Res.detalle!N7+[9]Edo.Res.detalle!N7</f>
        <v>1132239.0129527182</v>
      </c>
      <c r="O7" s="1224">
        <f>[2]Edo.Res.detalle!O7+[6]Edo.Res.detalle!O7+[7]Edo.Res.detalle!O7+[8]Edo.Res.detalle!O7+[3]Edo.Res.detalle!O7+[9]Edo.Res.detalle!O7</f>
        <v>1132204.609666772</v>
      </c>
      <c r="P7" s="434" t="s">
        <v>27</v>
      </c>
      <c r="Q7" s="259">
        <f>SUM(D7:F7)</f>
        <v>3048600.7591144755</v>
      </c>
      <c r="R7" s="259"/>
      <c r="S7" s="259">
        <f>SUM(G7:I7)</f>
        <v>3191533.5460423678</v>
      </c>
      <c r="T7" s="259"/>
      <c r="U7" s="259">
        <f>+Q7+S7</f>
        <v>6240134.3051568437</v>
      </c>
      <c r="V7" s="259"/>
      <c r="W7" s="259">
        <f>SUM(J7:L7)</f>
        <v>3239120.7614950314</v>
      </c>
      <c r="X7" s="259"/>
      <c r="Y7" s="259">
        <f>+U7+W7</f>
        <v>9479255.0666518752</v>
      </c>
      <c r="Z7" s="259"/>
      <c r="AA7" s="259">
        <f>SUM(M7:O7)</f>
        <v>3538209.6452508029</v>
      </c>
      <c r="AB7" s="260"/>
      <c r="AC7" s="259">
        <f>(+Q7+S7+W7+AA7)</f>
        <v>13017464.711902678</v>
      </c>
      <c r="AD7" s="261"/>
      <c r="AE7" s="41" t="s">
        <v>28</v>
      </c>
      <c r="AF7" s="1139">
        <f ca="1">SUM(D7:OFFSET(D7,0,$G$3-1))</f>
        <v>5185791.0562360547</v>
      </c>
      <c r="AG7" s="1231"/>
    </row>
    <row r="8" spans="1:33" x14ac:dyDescent="0.2">
      <c r="A8" s="1159" t="s">
        <v>10150</v>
      </c>
      <c r="B8" s="1222">
        <f>SUM(D8:O8)</f>
        <v>1200000.2283109389</v>
      </c>
      <c r="C8" s="1223"/>
      <c r="D8" s="1224">
        <f>[2]Edo.Res.detalle!D8+[6]Edo.Res.detalle!D8+[7]Edo.Res.detalle!D8+[8]Edo.Res.detalle!D8+[3]Edo.Res.detalle!D8+[9]Edo.Res.detalle!D8</f>
        <v>94118.479844267436</v>
      </c>
      <c r="E8" s="1224">
        <f>[2]Edo.Res.detalle!E8+[6]Edo.Res.detalle!E8+[7]Edo.Res.detalle!E8+[8]Edo.Res.detalle!E8+[3]Edo.Res.detalle!E8+[9]Edo.Res.detalle!E8</f>
        <v>91896.554374852421</v>
      </c>
      <c r="F8" s="1224">
        <f>[2]Edo.Res.detalle!F8+[6]Edo.Res.detalle!F8+[7]Edo.Res.detalle!F8+[8]Edo.Res.detalle!F8+[3]Edo.Res.detalle!F8+[9]Edo.Res.detalle!F8</f>
        <v>95016.718729849512</v>
      </c>
      <c r="G8" s="1224">
        <f>[2]Edo.Res.detalle!G8+[6]Edo.Res.detalle!G8+[7]Edo.Res.detalle!G8+[8]Edo.Res.detalle!G8+[3]Edo.Res.detalle!G8+[9]Edo.Res.detalle!G8</f>
        <v>100290.12673266816</v>
      </c>
      <c r="H8" s="1224">
        <f>[2]Edo.Res.detalle!H8+[6]Edo.Res.detalle!H8+[7]Edo.Res.detalle!H8+[8]Edo.Res.detalle!H8+[3]Edo.Res.detalle!H8+[9]Edo.Res.detalle!H8</f>
        <v>96724.266060730166</v>
      </c>
      <c r="I8" s="1224">
        <f>[2]Edo.Res.detalle!I8+[6]Edo.Res.detalle!I8+[7]Edo.Res.detalle!I8+[8]Edo.Res.detalle!I8+[3]Edo.Res.detalle!I8+[9]Edo.Res.detalle!I8</f>
        <v>97193.443672266294</v>
      </c>
      <c r="J8" s="1224">
        <f>[2]Edo.Res.detalle!J8+[6]Edo.Res.detalle!J8+[7]Edo.Res.detalle!J8+[8]Edo.Res.detalle!J8+[3]Edo.Res.detalle!J8+[9]Edo.Res.detalle!J8</f>
        <v>104915.47754479384</v>
      </c>
      <c r="K8" s="1224">
        <f>[2]Edo.Res.detalle!K8+[6]Edo.Res.detalle!K8+[7]Edo.Res.detalle!K8+[8]Edo.Res.detalle!K8+[3]Edo.Res.detalle!K8+[9]Edo.Res.detalle!K8</f>
        <v>102748.0455072983</v>
      </c>
      <c r="L8" s="1224">
        <f>[2]Edo.Res.detalle!L8+[6]Edo.Res.detalle!L8+[7]Edo.Res.detalle!L8+[8]Edo.Res.detalle!L8+[3]Edo.Res.detalle!L8+[9]Edo.Res.detalle!L8</f>
        <v>90931.157674021873</v>
      </c>
      <c r="M8" s="1224">
        <f>[2]Edo.Res.detalle!M8+[6]Edo.Res.detalle!M8+[7]Edo.Res.detalle!M8+[8]Edo.Res.detalle!M8+[3]Edo.Res.detalle!M8+[9]Edo.Res.detalle!M8</f>
        <v>117420.66494126871</v>
      </c>
      <c r="N8" s="1224">
        <f>[2]Edo.Res.detalle!N8+[6]Edo.Res.detalle!N8+[7]Edo.Res.detalle!N8+[8]Edo.Res.detalle!N8+[3]Edo.Res.detalle!N8+[9]Edo.Res.detalle!N8</f>
        <v>104374.14661446109</v>
      </c>
      <c r="O8" s="1224">
        <f>[2]Edo.Res.detalle!O8+[6]Edo.Res.detalle!O8+[7]Edo.Res.detalle!O8+[8]Edo.Res.detalle!O8+[3]Edo.Res.detalle!O8+[9]Edo.Res.detalle!O8</f>
        <v>104371.14661446109</v>
      </c>
      <c r="P8" s="435" t="s">
        <v>29</v>
      </c>
      <c r="Q8" s="259">
        <f>SUM(D9:F9)</f>
        <v>9317.0628855004652</v>
      </c>
      <c r="R8" s="259"/>
      <c r="S8" s="259">
        <f>SUM(G9:I9)</f>
        <v>9753.8898988906567</v>
      </c>
      <c r="T8" s="259"/>
      <c r="U8" s="259">
        <f>+Q8+S8</f>
        <v>19070.95278439112</v>
      </c>
      <c r="V8" s="259"/>
      <c r="W8" s="259">
        <f>SUM(J9:L9)</f>
        <v>9899.3304033285749</v>
      </c>
      <c r="X8" s="259"/>
      <c r="Y8" s="259">
        <f>+U8+W8</f>
        <v>28970.283187719695</v>
      </c>
      <c r="Z8" s="259"/>
      <c r="AA8" s="259">
        <f>SUM(M9:O9)</f>
        <v>10813.407678299098</v>
      </c>
      <c r="AB8" s="260"/>
      <c r="AC8" s="259">
        <f>+Q8+S8+W8+AA8</f>
        <v>39783.690866018791</v>
      </c>
      <c r="AD8" s="261"/>
      <c r="AE8" s="41" t="s">
        <v>28</v>
      </c>
      <c r="AF8" s="1139">
        <f ca="1">SUM(D8:OFFSET(D8,0,$G$3-1))</f>
        <v>478046.14574236766</v>
      </c>
      <c r="AG8" s="1231"/>
    </row>
    <row r="9" spans="1:33" x14ac:dyDescent="0.2">
      <c r="A9" s="1159" t="s">
        <v>10151</v>
      </c>
      <c r="B9" s="1222">
        <f>SUM(D9:O9)</f>
        <v>39783.690866018791</v>
      </c>
      <c r="C9" s="1223"/>
      <c r="D9" s="1224">
        <f>[2]Edo.Res.detalle!D9+[6]Edo.Res.detalle!D9+[7]Edo.Res.detalle!D9+[8]Edo.Res.detalle!D9+[3]Edo.Res.detalle!D9+[9]Edo.Res.detalle!D9</f>
        <v>3120.3155518644166</v>
      </c>
      <c r="E9" s="1224">
        <f>[2]Edo.Res.detalle!E9+[6]Edo.Res.detalle!E9+[7]Edo.Res.detalle!E9+[8]Edo.Res.detalle!E9+[3]Edo.Res.detalle!E9+[9]Edo.Res.detalle!E9</f>
        <v>3046.6525641229427</v>
      </c>
      <c r="F9" s="1224">
        <f>[2]Edo.Res.detalle!F9+[6]Edo.Res.detalle!F9+[7]Edo.Res.detalle!F9+[8]Edo.Res.detalle!F9+[3]Edo.Res.detalle!F9+[9]Edo.Res.detalle!F9</f>
        <v>3150.0947695131053</v>
      </c>
      <c r="G9" s="1224">
        <f>[2]Edo.Res.detalle!G9+[6]Edo.Res.detalle!G9+[7]Edo.Res.detalle!G9+[8]Edo.Res.detalle!G9+[3]Edo.Res.detalle!G9+[9]Edo.Res.detalle!G9</f>
        <v>3324.9247366542872</v>
      </c>
      <c r="H9" s="1224">
        <f>[2]Edo.Res.detalle!H9+[6]Edo.Res.detalle!H9+[7]Edo.Res.detalle!H9+[8]Edo.Res.detalle!H9+[3]Edo.Res.detalle!H9+[9]Edo.Res.detalle!H9</f>
        <v>3206.7038907274259</v>
      </c>
      <c r="I9" s="1224">
        <f>[2]Edo.Res.detalle!I9+[6]Edo.Res.detalle!I9+[7]Edo.Res.detalle!I9+[8]Edo.Res.detalle!I9+[3]Edo.Res.detalle!I9+[9]Edo.Res.detalle!I9</f>
        <v>3222.2612715089431</v>
      </c>
      <c r="J9" s="1224">
        <f>[2]Edo.Res.detalle!J9+[6]Edo.Res.detalle!J9+[7]Edo.Res.detalle!J9+[8]Edo.Res.detalle!J9+[3]Edo.Res.detalle!J9+[9]Edo.Res.detalle!J9</f>
        <v>3478.2700248796141</v>
      </c>
      <c r="K9" s="1224">
        <f>[2]Edo.Res.detalle!K9+[6]Edo.Res.detalle!K9+[7]Edo.Res.detalle!K9+[8]Edo.Res.detalle!K9+[3]Edo.Res.detalle!K9+[9]Edo.Res.detalle!K9</f>
        <v>3406.4142726098403</v>
      </c>
      <c r="L9" s="1224">
        <f>[2]Edo.Res.detalle!L9+[6]Edo.Res.detalle!L9+[7]Edo.Res.detalle!L9+[8]Edo.Res.detalle!L9+[3]Edo.Res.detalle!L9+[9]Edo.Res.detalle!L9</f>
        <v>3014.6461058391214</v>
      </c>
      <c r="M9" s="1224">
        <f>[2]Edo.Res.detalle!M9+[6]Edo.Res.detalle!M9+[7]Edo.Res.detalle!M9+[8]Edo.Res.detalle!M9+[3]Edo.Res.detalle!M9+[9]Edo.Res.detalle!M9</f>
        <v>3892.8549226845448</v>
      </c>
      <c r="N9" s="1224">
        <f>[2]Edo.Res.detalle!N9+[6]Edo.Res.detalle!N9+[7]Edo.Res.detalle!N9+[8]Edo.Res.detalle!N9+[3]Edo.Res.detalle!N9+[9]Edo.Res.detalle!N9</f>
        <v>3460.3222883999988</v>
      </c>
      <c r="O9" s="1224">
        <f>[2]Edo.Res.detalle!O9+[6]Edo.Res.detalle!O9+[7]Edo.Res.detalle!O9+[8]Edo.Res.detalle!O9+[3]Edo.Res.detalle!O9+[9]Edo.Res.detalle!O9</f>
        <v>3460.2304672145542</v>
      </c>
      <c r="P9" s="435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60"/>
      <c r="AC9" s="259"/>
      <c r="AD9" s="908"/>
      <c r="AE9" s="41"/>
      <c r="AF9" s="1139">
        <f ca="1">SUM(D9:OFFSET(D9,0,$G$3-1))</f>
        <v>15848.691512882178</v>
      </c>
      <c r="AG9" s="1231"/>
    </row>
    <row r="10" spans="1:33" x14ac:dyDescent="0.2">
      <c r="A10" s="1159"/>
      <c r="B10" s="1222" t="s">
        <v>28</v>
      </c>
      <c r="C10" s="1223"/>
      <c r="D10" s="1224" t="s">
        <v>28</v>
      </c>
      <c r="E10" s="1224" t="s">
        <v>28</v>
      </c>
      <c r="F10" s="1224" t="s">
        <v>28</v>
      </c>
      <c r="G10" s="1224" t="s">
        <v>28</v>
      </c>
      <c r="H10" s="1224" t="s">
        <v>28</v>
      </c>
      <c r="I10" s="1224" t="s">
        <v>28</v>
      </c>
      <c r="J10" s="1224" t="s">
        <v>28</v>
      </c>
      <c r="K10" s="1224" t="s">
        <v>28</v>
      </c>
      <c r="L10" s="1224" t="s">
        <v>28</v>
      </c>
      <c r="M10" s="1224" t="s">
        <v>28</v>
      </c>
      <c r="N10" s="1224" t="s">
        <v>28</v>
      </c>
      <c r="O10" s="1224" t="s">
        <v>28</v>
      </c>
      <c r="P10" s="435"/>
      <c r="Q10" s="259" t="s">
        <v>28</v>
      </c>
      <c r="R10" s="259"/>
      <c r="S10" s="259" t="s">
        <v>28</v>
      </c>
      <c r="T10" s="259"/>
      <c r="U10" s="259" t="s">
        <v>28</v>
      </c>
      <c r="V10" s="259"/>
      <c r="W10" s="259" t="s">
        <v>28</v>
      </c>
      <c r="X10" s="259"/>
      <c r="Y10" s="259"/>
      <c r="Z10" s="259"/>
      <c r="AA10" s="259" t="s">
        <v>28</v>
      </c>
      <c r="AB10" s="260"/>
      <c r="AC10" s="259" t="s">
        <v>28</v>
      </c>
      <c r="AD10" s="261"/>
      <c r="AE10" s="41"/>
      <c r="AF10" s="1139"/>
      <c r="AG10" s="1231"/>
    </row>
    <row r="11" spans="1:33" x14ac:dyDescent="0.2">
      <c r="A11" s="1159" t="s">
        <v>10152</v>
      </c>
      <c r="B11" s="1222">
        <f t="shared" ref="B11:B13" si="0">SUM(D11:O11)</f>
        <v>2340872.59239048</v>
      </c>
      <c r="C11" s="1223"/>
      <c r="D11" s="1224">
        <f>[2]Edo.Res.detalle!D11+[6]Edo.Res.detalle!D$11+[3]Edo.Res.detalle!D$11</f>
        <v>70372.716032539989</v>
      </c>
      <c r="E11" s="1224">
        <f>[2]Edo.Res.detalle!E11+[6]Edo.Res.detalle!E$11+[3]Edo.Res.detalle!E$11</f>
        <v>134602.08666191061</v>
      </c>
      <c r="F11" s="1224">
        <f>[2]Edo.Res.detalle!F11+[6]Edo.Res.detalle!F$11+[3]Edo.Res.detalle!F$11</f>
        <v>141818.86987869383</v>
      </c>
      <c r="G11" s="1224">
        <f>[2]Edo.Res.detalle!G11+[6]Edo.Res.detalle!G$11+[3]Edo.Res.detalle!G$11</f>
        <v>168881.8069416309</v>
      </c>
      <c r="H11" s="1224">
        <f>[2]Edo.Res.detalle!H11+[6]Edo.Res.detalle!H$11+[3]Edo.Res.detalle!H$11</f>
        <v>229863.62512344908</v>
      </c>
      <c r="I11" s="1224">
        <f>[2]Edo.Res.detalle!I11+[6]Edo.Res.detalle!I$11+[3]Edo.Res.detalle!I$11</f>
        <v>223007.68106750504</v>
      </c>
      <c r="J11" s="1224">
        <f>[2]Edo.Res.detalle!J11+[6]Edo.Res.detalle!J$11+[3]Edo.Res.detalle!J$11</f>
        <v>236719.56917939315</v>
      </c>
      <c r="K11" s="1224">
        <f>[2]Edo.Res.detalle!K11+[6]Edo.Res.detalle!K$11+[3]Edo.Res.detalle!K$11</f>
        <v>229863.62512344908</v>
      </c>
      <c r="L11" s="1224">
        <f>[2]Edo.Res.detalle!L11+[6]Edo.Res.detalle!L$11+[3]Edo.Res.detalle!L$11</f>
        <v>223007.68106750504</v>
      </c>
      <c r="M11" s="1224">
        <f>[2]Edo.Res.detalle!M11+[6]Edo.Res.detalle!M$11+[3]Edo.Res.detalle!M$11</f>
        <v>236719.56917939315</v>
      </c>
      <c r="N11" s="1224">
        <f>[2]Edo.Res.detalle!N11+[6]Edo.Res.detalle!N$11+[3]Edo.Res.detalle!N$11</f>
        <v>216151.737011561</v>
      </c>
      <c r="O11" s="1224">
        <f>[2]Edo.Res.detalle!O11+[6]Edo.Res.detalle!O$11+[3]Edo.Res.detalle!O$11</f>
        <v>229863.62512344908</v>
      </c>
      <c r="P11" s="435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60"/>
      <c r="AC11" s="259"/>
      <c r="AD11" s="908"/>
      <c r="AE11" s="41"/>
      <c r="AF11" s="1139">
        <f ca="1">SUM(D11:OFFSET(D11,0,$G$3-1))</f>
        <v>745539.10463822447</v>
      </c>
      <c r="AG11" s="1231"/>
    </row>
    <row r="12" spans="1:33" x14ac:dyDescent="0.2">
      <c r="A12" s="1159" t="s">
        <v>10153</v>
      </c>
      <c r="B12" s="1222">
        <f t="shared" si="0"/>
        <v>0</v>
      </c>
      <c r="C12" s="1223"/>
      <c r="D12" s="1224"/>
      <c r="E12" s="1224"/>
      <c r="F12" s="1224"/>
      <c r="G12" s="1224"/>
      <c r="H12" s="1224"/>
      <c r="I12" s="1224"/>
      <c r="J12" s="1224"/>
      <c r="K12" s="1224"/>
      <c r="L12" s="1224"/>
      <c r="M12" s="1224"/>
      <c r="N12" s="1224"/>
      <c r="O12" s="1224"/>
      <c r="P12" s="435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60"/>
      <c r="AC12" s="259"/>
      <c r="AD12" s="908"/>
      <c r="AE12" s="41"/>
      <c r="AF12" s="1139"/>
      <c r="AG12" s="1231"/>
    </row>
    <row r="13" spans="1:33" x14ac:dyDescent="0.2">
      <c r="A13" s="1159" t="s">
        <v>10154</v>
      </c>
      <c r="B13" s="1222">
        <f t="shared" si="0"/>
        <v>2274.636363636364</v>
      </c>
      <c r="C13" s="1223"/>
      <c r="D13" s="1224">
        <f>[2]Edo.Res.detalle!D13+[6]Edo.Res.detalle!D$13+[3]Edo.Res.detalle!D$13</f>
        <v>85.63636363636364</v>
      </c>
      <c r="E13" s="1224">
        <f>[2]Edo.Res.detalle!E13+[6]Edo.Res.detalle!E$13+[3]Edo.Res.detalle!E$13</f>
        <v>139.16083916083915</v>
      </c>
      <c r="F13" s="1224">
        <f>[2]Edo.Res.detalle!F13+[6]Edo.Res.detalle!F$13+[3]Edo.Res.detalle!F$13</f>
        <v>145.17482517482517</v>
      </c>
      <c r="G13" s="1224">
        <f>[2]Edo.Res.detalle!G13+[6]Edo.Res.detalle!G$13+[3]Edo.Res.detalle!G$13</f>
        <v>167.72727272727272</v>
      </c>
      <c r="H13" s="1224">
        <f>[2]Edo.Res.detalle!H13+[6]Edo.Res.detalle!H$13+[3]Edo.Res.detalle!H$13</f>
        <v>218.54545454545456</v>
      </c>
      <c r="I13" s="1224">
        <f>[2]Edo.Res.detalle!I13+[6]Edo.Res.detalle!I$13+[3]Edo.Res.detalle!I$13</f>
        <v>212.83216783216784</v>
      </c>
      <c r="J13" s="1224">
        <f>[2]Edo.Res.detalle!J13+[6]Edo.Res.detalle!J$13+[3]Edo.Res.detalle!J$13</f>
        <v>224.25874125874128</v>
      </c>
      <c r="K13" s="1224">
        <f>[2]Edo.Res.detalle!K13+[6]Edo.Res.detalle!K$13+[3]Edo.Res.detalle!K$13</f>
        <v>218.54545454545456</v>
      </c>
      <c r="L13" s="1224">
        <f>[2]Edo.Res.detalle!L13+[6]Edo.Res.detalle!L$13+[3]Edo.Res.detalle!L$13</f>
        <v>212.83216783216784</v>
      </c>
      <c r="M13" s="1224">
        <f>[2]Edo.Res.detalle!M13+[6]Edo.Res.detalle!M$13+[3]Edo.Res.detalle!M$13</f>
        <v>224.25874125874128</v>
      </c>
      <c r="N13" s="1224">
        <f>[2]Edo.Res.detalle!N13+[6]Edo.Res.detalle!N$13+[3]Edo.Res.detalle!N$13</f>
        <v>207.11888111888112</v>
      </c>
      <c r="O13" s="1224">
        <f>[2]Edo.Res.detalle!O13+[6]Edo.Res.detalle!O$13+[3]Edo.Res.detalle!O$13</f>
        <v>218.54545454545456</v>
      </c>
      <c r="P13" s="435"/>
      <c r="Q13" s="259"/>
      <c r="R13" s="259"/>
      <c r="S13" s="259"/>
      <c r="T13" s="259"/>
      <c r="U13" s="259"/>
      <c r="V13" s="259"/>
      <c r="W13" s="259"/>
      <c r="X13" s="259"/>
      <c r="Y13" s="259"/>
      <c r="Z13" s="259"/>
      <c r="AA13" s="259"/>
      <c r="AB13" s="260"/>
      <c r="AC13" s="259"/>
      <c r="AD13" s="908"/>
      <c r="AE13" s="41"/>
      <c r="AF13" s="1139">
        <f ca="1">SUM(D13:OFFSET(D13,0,$G$3-1))</f>
        <v>756.2447552447552</v>
      </c>
      <c r="AG13" s="1231"/>
    </row>
    <row r="14" spans="1:33" x14ac:dyDescent="0.2">
      <c r="A14" s="1159"/>
      <c r="B14" s="1222"/>
      <c r="C14" s="1223"/>
      <c r="D14" s="1224"/>
      <c r="E14" s="1224"/>
      <c r="F14" s="1224"/>
      <c r="G14" s="1224"/>
      <c r="H14" s="1224"/>
      <c r="I14" s="1224"/>
      <c r="J14" s="1224"/>
      <c r="K14" s="1224"/>
      <c r="L14" s="1224"/>
      <c r="M14" s="1224"/>
      <c r="N14" s="1224"/>
      <c r="O14" s="1224"/>
      <c r="P14" s="435"/>
      <c r="Q14" s="259"/>
      <c r="R14" s="259"/>
      <c r="S14" s="259"/>
      <c r="T14" s="259"/>
      <c r="U14" s="259"/>
      <c r="V14" s="259"/>
      <c r="W14" s="259"/>
      <c r="X14" s="259"/>
      <c r="Y14" s="259"/>
      <c r="Z14" s="259"/>
      <c r="AA14" s="259"/>
      <c r="AB14" s="260"/>
      <c r="AC14" s="259"/>
      <c r="AD14" s="908"/>
      <c r="AE14" s="41"/>
      <c r="AF14" s="1139"/>
      <c r="AG14" s="1231"/>
    </row>
    <row r="15" spans="1:33" x14ac:dyDescent="0.2">
      <c r="A15" s="1253" t="s">
        <v>30</v>
      </c>
      <c r="B15" s="1222" t="s">
        <v>28</v>
      </c>
      <c r="C15" s="1223"/>
      <c r="D15" s="1254" t="s">
        <v>28</v>
      </c>
      <c r="E15" s="1254" t="s">
        <v>28</v>
      </c>
      <c r="F15" s="1254" t="s">
        <v>28</v>
      </c>
      <c r="G15" s="1224" t="s">
        <v>28</v>
      </c>
      <c r="H15" s="1224" t="s">
        <v>28</v>
      </c>
      <c r="I15" s="1224" t="s">
        <v>28</v>
      </c>
      <c r="J15" s="1224" t="s">
        <v>28</v>
      </c>
      <c r="K15" s="1224" t="s">
        <v>28</v>
      </c>
      <c r="L15" s="1224" t="s">
        <v>28</v>
      </c>
      <c r="M15" s="1224" t="s">
        <v>28</v>
      </c>
      <c r="N15" s="1224" t="s">
        <v>28</v>
      </c>
      <c r="O15" s="1224" t="s">
        <v>28</v>
      </c>
      <c r="P15" s="436" t="s">
        <v>30</v>
      </c>
      <c r="Q15" s="259"/>
      <c r="R15" s="259"/>
      <c r="S15" s="259"/>
      <c r="T15" s="259"/>
      <c r="U15" s="259"/>
      <c r="V15" s="259"/>
      <c r="W15" s="259"/>
      <c r="X15" s="259"/>
      <c r="Y15" s="259"/>
      <c r="Z15" s="259"/>
      <c r="AA15" s="259"/>
      <c r="AB15" s="260"/>
      <c r="AC15" s="259"/>
      <c r="AD15" s="261"/>
      <c r="AF15" s="1139"/>
      <c r="AG15" s="1231"/>
    </row>
    <row r="16" spans="1:33" x14ac:dyDescent="0.2">
      <c r="A16" s="1159" t="s">
        <v>31</v>
      </c>
      <c r="B16" s="1222">
        <f>SUM(D16:O16)</f>
        <v>331597930.87948036</v>
      </c>
      <c r="C16" s="1223">
        <f>(B16/$B$20)*100</f>
        <v>89.265744334393872</v>
      </c>
      <c r="D16" s="1269">
        <f>[2]Edo.Res.detalle!D16+[6]Edo.Res.detalle!D16+[7]Edo.Res.detalle!D12+[8]Edo.Res.detalle!D12+[3]Edo.Res.detalle!D16+[9]Edo.Res.detalle!D12</f>
        <v>24895038.528804429</v>
      </c>
      <c r="E16" s="1269">
        <f>[2]Edo.Res.detalle!E16+[6]Edo.Res.detalle!E16+[7]Edo.Res.detalle!E12+[8]Edo.Res.detalle!E12+[3]Edo.Res.detalle!E16+[9]Edo.Res.detalle!E12</f>
        <v>25246672.129938908</v>
      </c>
      <c r="F16" s="1269">
        <f>[2]Edo.Res.detalle!F16+[6]Edo.Res.detalle!F16+[7]Edo.Res.detalle!F12+[8]Edo.Res.detalle!F12+[3]Edo.Res.detalle!F16+[9]Edo.Res.detalle!F12</f>
        <v>26103872.654077869</v>
      </c>
      <c r="G16" s="1269">
        <f>[2]Edo.Res.detalle!G16+[6]Edo.Res.detalle!G16+[7]Edo.Res.detalle!G12+[8]Edo.Res.detalle!G12+[3]Edo.Res.detalle!G16+[9]Edo.Res.detalle!G12</f>
        <v>27552632.082968466</v>
      </c>
      <c r="H16" s="1269">
        <f>[2]Edo.Res.detalle!H16+[6]Edo.Res.detalle!H16+[7]Edo.Res.detalle!H12+[8]Edo.Res.detalle!H12+[3]Edo.Res.detalle!H16+[9]Edo.Res.detalle!H12</f>
        <v>26572986.006645367</v>
      </c>
      <c r="I16" s="1269">
        <f>[2]Edo.Res.detalle!I16+[6]Edo.Res.detalle!I16+[7]Edo.Res.detalle!I12+[8]Edo.Res.detalle!I12+[3]Edo.Res.detalle!I16+[9]Edo.Res.detalle!I12</f>
        <v>26701882.528764393</v>
      </c>
      <c r="J16" s="1269">
        <f>[2]Edo.Res.detalle!J16+[6]Edo.Res.detalle!J16+[7]Edo.Res.detalle!J12+[8]Edo.Res.detalle!J12+[3]Edo.Res.detalle!J16+[9]Edo.Res.detalle!J12</f>
        <v>29307796.170173898</v>
      </c>
      <c r="K16" s="1269">
        <f>[2]Edo.Res.detalle!K16+[6]Edo.Res.detalle!K16+[7]Edo.Res.detalle!K12+[8]Edo.Res.detalle!K12+[3]Edo.Res.detalle!K16+[9]Edo.Res.detalle!K12</f>
        <v>28702331.528790288</v>
      </c>
      <c r="L16" s="1269">
        <f>[2]Edo.Res.detalle!L16+[6]Edo.Res.detalle!L16+[7]Edo.Res.detalle!L12+[8]Edo.Res.detalle!L12+[3]Edo.Res.detalle!L16+[9]Edo.Res.detalle!L12</f>
        <v>25401321.796852015</v>
      </c>
      <c r="M16" s="1269">
        <f>[2]Edo.Res.detalle!M16+[6]Edo.Res.detalle!M16+[7]Edo.Res.detalle!M12+[8]Edo.Res.detalle!M12+[3]Edo.Res.detalle!M16+[9]Edo.Res.detalle!M12</f>
        <v>32801079.302175313</v>
      </c>
      <c r="N16" s="1269">
        <f>[2]Edo.Res.detalle!N16+[6]Edo.Res.detalle!N16+[7]Edo.Res.detalle!N12+[8]Edo.Res.detalle!N12+[3]Edo.Res.detalle!N16+[9]Edo.Res.detalle!N12</f>
        <v>29156576.823983856</v>
      </c>
      <c r="O16" s="1269">
        <f>[2]Edo.Res.detalle!O16+[6]Edo.Res.detalle!O16+[7]Edo.Res.detalle!O12+[8]Edo.Res.detalle!O12+[3]Edo.Res.detalle!O16+[9]Edo.Res.detalle!O12</f>
        <v>29155741.326305553</v>
      </c>
      <c r="P16" s="434" t="s">
        <v>31</v>
      </c>
      <c r="Q16" s="259">
        <f>SUM(D16:F16)</f>
        <v>76245583.312821209</v>
      </c>
      <c r="R16" s="266">
        <f>(Q16/$Q$20)*100</f>
        <v>92.522843701734729</v>
      </c>
      <c r="S16" s="259">
        <f>SUM(G16:I16)</f>
        <v>80827500.618378222</v>
      </c>
      <c r="T16" s="266">
        <f>(S16/$S$20)*100</f>
        <v>88.452482166376853</v>
      </c>
      <c r="U16" s="259">
        <f>+Q16+S16</f>
        <v>157073083.93119943</v>
      </c>
      <c r="V16" s="266">
        <f>(U16/$U$20)*100</f>
        <v>90.382590648439816</v>
      </c>
      <c r="W16" s="259">
        <f>SUM(J16:L16)</f>
        <v>83411449.495816201</v>
      </c>
      <c r="X16" s="266">
        <f>(W16/$W$20)*100</f>
        <v>87.758380702892339</v>
      </c>
      <c r="Y16" s="259">
        <f>+U16+W16</f>
        <v>240484533.42701563</v>
      </c>
      <c r="Z16" s="266">
        <f>(Y16/$Y$20)*100</f>
        <v>89.454795449347529</v>
      </c>
      <c r="AA16" s="259">
        <f>SUM(M16:O16)</f>
        <v>91113397.45246473</v>
      </c>
      <c r="AB16" s="270">
        <f>(AA16/$AA$20)*100</f>
        <v>88.770579742695148</v>
      </c>
      <c r="AC16" s="259">
        <f>+Q16+S16+W16+AA16</f>
        <v>331597930.87948036</v>
      </c>
      <c r="AD16" s="272">
        <f>(AC16/$AC$20)*100</f>
        <v>89.265744334393872</v>
      </c>
      <c r="AE16" s="41" t="s">
        <v>28</v>
      </c>
      <c r="AF16" s="1139">
        <f ca="1">SUM(D16:OFFSET(D16,0,$G$3-1))</f>
        <v>130371201.40243505</v>
      </c>
      <c r="AG16" s="1231"/>
    </row>
    <row r="17" spans="1:33" x14ac:dyDescent="0.2">
      <c r="A17" s="1160" t="s">
        <v>32</v>
      </c>
      <c r="B17" s="1268">
        <f t="shared" ref="B17:B18" si="1">SUM(D17:O17)</f>
        <v>0</v>
      </c>
      <c r="C17" s="1223">
        <f>(B17/$B$20)*100</f>
        <v>0</v>
      </c>
      <c r="D17" s="1269"/>
      <c r="E17" s="1269"/>
      <c r="F17" s="1269"/>
      <c r="G17" s="1269"/>
      <c r="H17" s="1269"/>
      <c r="I17" s="1269"/>
      <c r="J17" s="1269"/>
      <c r="K17" s="1269"/>
      <c r="L17" s="1269"/>
      <c r="M17" s="1269"/>
      <c r="N17" s="1269"/>
      <c r="O17" s="1269"/>
      <c r="P17" s="435" t="s">
        <v>32</v>
      </c>
      <c r="Q17" s="259">
        <f>SUM(D17:F17)</f>
        <v>0</v>
      </c>
      <c r="R17" s="266">
        <f>(Q17/$Q$20)*100</f>
        <v>0</v>
      </c>
      <c r="S17" s="259">
        <f>SUM(G17:I17)</f>
        <v>0</v>
      </c>
      <c r="T17" s="266">
        <f>(S17/$S$20)*100</f>
        <v>0</v>
      </c>
      <c r="U17" s="259">
        <f>+Q17+S17</f>
        <v>0</v>
      </c>
      <c r="V17" s="266">
        <f>(U17/$U$20)*100</f>
        <v>0</v>
      </c>
      <c r="W17" s="259">
        <f>SUM(J17:L17)</f>
        <v>0</v>
      </c>
      <c r="X17" s="266">
        <f>(W17/$W$20)*100</f>
        <v>0</v>
      </c>
      <c r="Y17" s="259">
        <f>+U17+W17</f>
        <v>0</v>
      </c>
      <c r="Z17" s="266">
        <f>(Y17/$Y$20)*100</f>
        <v>0</v>
      </c>
      <c r="AA17" s="259">
        <f>SUM(M17:O17)</f>
        <v>0</v>
      </c>
      <c r="AB17" s="270">
        <f>(AA17/$AA$20)*100</f>
        <v>0</v>
      </c>
      <c r="AC17" s="259">
        <f>+Q17+S17+W17+AA17</f>
        <v>0</v>
      </c>
      <c r="AD17" s="272">
        <f>(AC17/$AC$20)*100</f>
        <v>0</v>
      </c>
      <c r="AE17" s="41" t="s">
        <v>28</v>
      </c>
      <c r="AF17" s="1139"/>
      <c r="AG17" s="1231"/>
    </row>
    <row r="18" spans="1:33" x14ac:dyDescent="0.2">
      <c r="A18" s="1159" t="s">
        <v>170</v>
      </c>
      <c r="B18" s="1268">
        <f t="shared" si="1"/>
        <v>39874836.588069335</v>
      </c>
      <c r="C18" s="1223">
        <f>(B18/$B$20)*100</f>
        <v>10.734255665606129</v>
      </c>
      <c r="D18" s="1269">
        <f>[2]Edo.Res.detalle!D$18+[3]Edo.Res.detalle!D$18+[6]Edo.Res.detalle!D$18</f>
        <v>1331785.4894819686</v>
      </c>
      <c r="E18" s="1269">
        <f>[2]Edo.Res.detalle!E$18+[3]Edo.Res.detalle!E$18+[6]Edo.Res.detalle!E$18</f>
        <v>2357352.6722991513</v>
      </c>
      <c r="F18" s="1269">
        <f>[2]Edo.Res.detalle!F$18+[3]Edo.Res.detalle!F$18+[6]Edo.Res.detalle!F$18</f>
        <v>2472584.940031419</v>
      </c>
      <c r="G18" s="1269">
        <f>[2]Edo.Res.detalle!G$18+[3]Edo.Res.detalle!G$18+[6]Edo.Res.detalle!G$18</f>
        <v>2904705.9440274229</v>
      </c>
      <c r="H18" s="1269">
        <f>[2]Edo.Res.detalle!H$18+[3]Edo.Res.detalle!H$18+[6]Edo.Res.detalle!H$18</f>
        <v>3878418.6063650846</v>
      </c>
      <c r="I18" s="1269">
        <f>[2]Edo.Res.detalle!I$18+[3]Edo.Res.detalle!I$18+[6]Edo.Res.detalle!I$18</f>
        <v>3768947.9520194307</v>
      </c>
      <c r="J18" s="1269">
        <f>[2]Edo.Res.detalle!J$18+[3]Edo.Res.detalle!J$18+[6]Edo.Res.detalle!J$18</f>
        <v>3987889.2607107395</v>
      </c>
      <c r="K18" s="1269">
        <f>[2]Edo.Res.detalle!K$18+[3]Edo.Res.detalle!K$18+[6]Edo.Res.detalle!K$18</f>
        <v>3878418.6063650846</v>
      </c>
      <c r="L18" s="1269">
        <f>[2]Edo.Res.detalle!L$18+[3]Edo.Res.detalle!L$18+[6]Edo.Res.detalle!L$18</f>
        <v>3768947.9520194307</v>
      </c>
      <c r="M18" s="1269">
        <f>[2]Edo.Res.detalle!M$18+[3]Edo.Res.detalle!M$18+[6]Edo.Res.detalle!M$18</f>
        <v>3987889.2607107395</v>
      </c>
      <c r="N18" s="1269">
        <f>[2]Edo.Res.detalle!N$18+[3]Edo.Res.detalle!N$18+[6]Edo.Res.detalle!N$18</f>
        <v>3659477.2976737767</v>
      </c>
      <c r="O18" s="1269">
        <f>[2]Edo.Res.detalle!O$18+[3]Edo.Res.detalle!O$18+[6]Edo.Res.detalle!O$18</f>
        <v>3878418.6063650846</v>
      </c>
      <c r="P18" s="434" t="s">
        <v>169</v>
      </c>
      <c r="Q18" s="259">
        <f>SUM(D18:F18)</f>
        <v>6161723.1018125396</v>
      </c>
      <c r="R18" s="266">
        <f>(Q18/$Q$20)*100</f>
        <v>7.4771562982652613</v>
      </c>
      <c r="S18" s="259">
        <f>SUM(G18:I18)</f>
        <v>10552072.502411939</v>
      </c>
      <c r="T18" s="266">
        <f>(S18/$S$20)*100</f>
        <v>11.547517833623138</v>
      </c>
      <c r="U18" s="259">
        <f>+Q18+S18</f>
        <v>16713795.604224479</v>
      </c>
      <c r="V18" s="266">
        <f>(U18/$U$20)*100</f>
        <v>9.6174093515601751</v>
      </c>
      <c r="W18" s="259">
        <f>SUM(J18:L18)</f>
        <v>11635255.819095254</v>
      </c>
      <c r="X18" s="266">
        <f>(W18/$W$20)*100</f>
        <v>12.241619297107661</v>
      </c>
      <c r="Y18" s="259">
        <f>+U18+W18</f>
        <v>28349051.423319735</v>
      </c>
      <c r="Z18" s="266">
        <f>(Y18/$Y$20)*100</f>
        <v>10.545204550652471</v>
      </c>
      <c r="AA18" s="259">
        <f>SUM(M18:O18)</f>
        <v>11525785.1647496</v>
      </c>
      <c r="AB18" s="270">
        <f>(AA18/$AA$20)*100</f>
        <v>11.229420257304866</v>
      </c>
      <c r="AC18" s="259">
        <f>+Q18+S18+W18+AA18</f>
        <v>39874836.588069335</v>
      </c>
      <c r="AD18" s="272">
        <f>(AC18/$AC$20)*100</f>
        <v>10.734255665606129</v>
      </c>
      <c r="AE18" s="41" t="s">
        <v>28</v>
      </c>
      <c r="AF18" s="1139">
        <f ca="1">SUM(D18:OFFSET(D18,0,$G$3-1))</f>
        <v>12944847.652205046</v>
      </c>
      <c r="AG18" s="1231"/>
    </row>
    <row r="19" spans="1:33" x14ac:dyDescent="0.2">
      <c r="A19" s="1253"/>
      <c r="B19" s="1222" t="s">
        <v>28</v>
      </c>
      <c r="C19" s="1223" t="s">
        <v>28</v>
      </c>
      <c r="D19" s="1254"/>
      <c r="E19" s="1254" t="s">
        <v>28</v>
      </c>
      <c r="F19" s="1254" t="s">
        <v>28</v>
      </c>
      <c r="G19" s="1254" t="s">
        <v>28</v>
      </c>
      <c r="H19" s="1254" t="s">
        <v>28</v>
      </c>
      <c r="I19" s="1254" t="s">
        <v>28</v>
      </c>
      <c r="J19" s="1254" t="s">
        <v>28</v>
      </c>
      <c r="K19" s="1254" t="s">
        <v>28</v>
      </c>
      <c r="L19" s="1254" t="s">
        <v>28</v>
      </c>
      <c r="M19" s="1254" t="s">
        <v>28</v>
      </c>
      <c r="N19" s="1254" t="s">
        <v>28</v>
      </c>
      <c r="O19" s="1254" t="s">
        <v>28</v>
      </c>
      <c r="P19" s="436"/>
      <c r="Q19" s="259"/>
      <c r="R19" s="266"/>
      <c r="S19" s="259"/>
      <c r="T19" s="266" t="s">
        <v>28</v>
      </c>
      <c r="U19" s="259"/>
      <c r="V19" s="266"/>
      <c r="W19" s="259"/>
      <c r="X19" s="266"/>
      <c r="Y19" s="259"/>
      <c r="Z19" s="266"/>
      <c r="AA19" s="259"/>
      <c r="AB19" s="270"/>
      <c r="AC19" s="259"/>
      <c r="AD19" s="272"/>
      <c r="AE19" t="s">
        <v>28</v>
      </c>
      <c r="AF19" s="1139"/>
      <c r="AG19" s="1231"/>
    </row>
    <row r="20" spans="1:33" x14ac:dyDescent="0.2">
      <c r="A20" s="1253" t="s">
        <v>33</v>
      </c>
      <c r="B20" s="1233">
        <f>SUM(D20:O20)</f>
        <v>371472767.46754968</v>
      </c>
      <c r="C20" s="1255">
        <f>B20/B20*100</f>
        <v>100</v>
      </c>
      <c r="D20" s="1235">
        <f t="shared" ref="D20:O20" si="2">SUM(D16:D18)</f>
        <v>26226824.018286396</v>
      </c>
      <c r="E20" s="1235">
        <f t="shared" si="2"/>
        <v>27604024.802238058</v>
      </c>
      <c r="F20" s="1235">
        <f t="shared" si="2"/>
        <v>28576457.594109289</v>
      </c>
      <c r="G20" s="1235">
        <f t="shared" si="2"/>
        <v>30457338.02699589</v>
      </c>
      <c r="H20" s="1235">
        <f t="shared" si="2"/>
        <v>30451404.613010451</v>
      </c>
      <c r="I20" s="1235">
        <f t="shared" si="2"/>
        <v>30470830.480783824</v>
      </c>
      <c r="J20" s="1235">
        <f t="shared" si="2"/>
        <v>33295685.430884637</v>
      </c>
      <c r="K20" s="1235">
        <f t="shared" si="2"/>
        <v>32580750.135155372</v>
      </c>
      <c r="L20" s="1235">
        <f t="shared" si="2"/>
        <v>29170269.748871446</v>
      </c>
      <c r="M20" s="1235">
        <f t="shared" si="2"/>
        <v>36788968.562886052</v>
      </c>
      <c r="N20" s="1235">
        <f t="shared" si="2"/>
        <v>32816054.121657632</v>
      </c>
      <c r="O20" s="1235">
        <f t="shared" si="2"/>
        <v>33034159.932670638</v>
      </c>
      <c r="P20" s="436" t="s">
        <v>33</v>
      </c>
      <c r="Q20" s="263">
        <f>SUM(D20:F20)</f>
        <v>82407306.414633751</v>
      </c>
      <c r="R20" s="267">
        <f>SUM(R16:R18)</f>
        <v>99.999999999999986</v>
      </c>
      <c r="S20" s="262">
        <f>SUM(G20:I20)</f>
        <v>91379573.120790169</v>
      </c>
      <c r="T20" s="268">
        <f>SUM(T16:T19)</f>
        <v>99.999999999999986</v>
      </c>
      <c r="U20" s="262">
        <f>+Q20+S20</f>
        <v>173786879.53542393</v>
      </c>
      <c r="V20" s="267">
        <f>SUM(V16:V18)</f>
        <v>99.999999999999986</v>
      </c>
      <c r="W20" s="262">
        <f>SUM(J20:L20)</f>
        <v>95046705.314911455</v>
      </c>
      <c r="X20" s="267">
        <f>SUM(X16:X18)</f>
        <v>100</v>
      </c>
      <c r="Y20" s="262">
        <f>+U20+W20</f>
        <v>268833584.85033536</v>
      </c>
      <c r="Z20" s="267">
        <f>SUM(Z16:Z18)</f>
        <v>100</v>
      </c>
      <c r="AA20" s="262">
        <f>SUM(M20:O20)</f>
        <v>102639182.61721432</v>
      </c>
      <c r="AB20" s="268">
        <f>SUM(AB16:AB18)</f>
        <v>100.00000000000001</v>
      </c>
      <c r="AC20" s="262">
        <f>+Y20+AA20</f>
        <v>371472767.46754968</v>
      </c>
      <c r="AD20" s="273">
        <f>SUM(AD16:AD18)</f>
        <v>100</v>
      </c>
      <c r="AE20" s="41" t="s">
        <v>28</v>
      </c>
      <c r="AF20" s="1139">
        <f ca="1">SUM(D20:OFFSET(D20,0,$G$3-1))</f>
        <v>143316049.05464011</v>
      </c>
      <c r="AG20" s="1231"/>
    </row>
    <row r="21" spans="1:33" x14ac:dyDescent="0.2">
      <c r="A21" s="101" t="s">
        <v>28</v>
      </c>
      <c r="B21" s="9" t="s">
        <v>28</v>
      </c>
      <c r="C21" s="19"/>
      <c r="D21" s="258"/>
      <c r="E21" s="258" t="s">
        <v>28</v>
      </c>
      <c r="F21" s="258" t="s">
        <v>28</v>
      </c>
      <c r="G21" s="258" t="s">
        <v>28</v>
      </c>
      <c r="H21" s="258" t="s">
        <v>28</v>
      </c>
      <c r="I21" s="258" t="s">
        <v>28</v>
      </c>
      <c r="J21" s="258" t="s">
        <v>28</v>
      </c>
      <c r="K21" s="258" t="s">
        <v>28</v>
      </c>
      <c r="L21" s="258" t="s">
        <v>28</v>
      </c>
      <c r="M21" s="258" t="s">
        <v>28</v>
      </c>
      <c r="N21" s="258" t="s">
        <v>28</v>
      </c>
      <c r="O21" s="258" t="s">
        <v>28</v>
      </c>
      <c r="P21" s="30"/>
      <c r="Q21" s="259"/>
      <c r="R21" s="266"/>
      <c r="S21" s="259"/>
      <c r="T21" s="266"/>
      <c r="U21" s="259"/>
      <c r="V21" s="266"/>
      <c r="W21" s="259"/>
      <c r="X21" s="266"/>
      <c r="Y21" s="259"/>
      <c r="Z21" s="266"/>
      <c r="AA21" s="259"/>
      <c r="AB21" s="270"/>
      <c r="AC21" s="259"/>
      <c r="AD21" s="272"/>
      <c r="AE21" t="s">
        <v>28</v>
      </c>
    </row>
    <row r="22" spans="1:33" x14ac:dyDescent="0.2">
      <c r="A22" s="10" t="s">
        <v>34</v>
      </c>
      <c r="B22" s="9"/>
      <c r="C22" s="19"/>
      <c r="D22" s="775">
        <f>D16/D8</f>
        <v>264.50744391533789</v>
      </c>
      <c r="E22" s="775">
        <f t="shared" ref="E22:O22" si="3">E18/E16</f>
        <v>9.3372808113734385E-2</v>
      </c>
      <c r="F22" s="775">
        <f t="shared" si="3"/>
        <v>9.4721000703516661E-2</v>
      </c>
      <c r="G22" s="775">
        <f t="shared" si="3"/>
        <v>0.10542390052901529</v>
      </c>
      <c r="H22" s="775">
        <f t="shared" si="3"/>
        <v>0.14595343577101838</v>
      </c>
      <c r="I22" s="775">
        <f t="shared" si="3"/>
        <v>0.14114914736664583</v>
      </c>
      <c r="J22" s="775">
        <f t="shared" si="3"/>
        <v>0.1360692300968421</v>
      </c>
      <c r="K22" s="775">
        <f t="shared" si="3"/>
        <v>0.13512555948546484</v>
      </c>
      <c r="L22" s="775">
        <f t="shared" si="3"/>
        <v>0.14837605626044689</v>
      </c>
      <c r="M22" s="775">
        <f t="shared" si="3"/>
        <v>0.12157798906471561</v>
      </c>
      <c r="N22" s="775">
        <f t="shared" si="3"/>
        <v>0.12551121209344213</v>
      </c>
      <c r="O22" s="775">
        <f t="shared" si="3"/>
        <v>0.13302418082800763</v>
      </c>
      <c r="P22" s="436" t="s">
        <v>34</v>
      </c>
      <c r="Q22" s="259"/>
      <c r="R22" s="266"/>
      <c r="S22" s="259"/>
      <c r="T22" s="266"/>
      <c r="U22" s="259"/>
      <c r="V22" s="266"/>
      <c r="W22" s="259"/>
      <c r="X22" s="266"/>
      <c r="Y22" s="259"/>
      <c r="Z22" s="266"/>
      <c r="AA22" s="259"/>
      <c r="AB22" s="270"/>
      <c r="AC22" s="259"/>
      <c r="AD22" s="272"/>
    </row>
    <row r="23" spans="1:33" x14ac:dyDescent="0.2">
      <c r="A23" s="10"/>
      <c r="B23" s="9"/>
      <c r="C23" s="19"/>
      <c r="D23" s="258" t="s">
        <v>28</v>
      </c>
      <c r="E23" s="258" t="s">
        <v>28</v>
      </c>
      <c r="F23" s="258" t="s">
        <v>28</v>
      </c>
      <c r="G23" s="1135"/>
      <c r="H23" s="258" t="s">
        <v>28</v>
      </c>
      <c r="I23" s="258" t="s">
        <v>28</v>
      </c>
      <c r="J23" s="258" t="s">
        <v>28</v>
      </c>
      <c r="K23" s="258" t="s">
        <v>28</v>
      </c>
      <c r="L23" s="258" t="s">
        <v>28</v>
      </c>
      <c r="M23" s="258" t="s">
        <v>28</v>
      </c>
      <c r="N23" s="258" t="s">
        <v>28</v>
      </c>
      <c r="O23" s="258" t="s">
        <v>28</v>
      </c>
      <c r="P23" s="436"/>
      <c r="Q23" s="259"/>
      <c r="R23" s="266"/>
      <c r="S23" s="259"/>
      <c r="T23" s="266"/>
      <c r="U23" s="259"/>
      <c r="V23" s="266"/>
      <c r="W23" s="259"/>
      <c r="X23" s="266"/>
      <c r="Y23" s="259"/>
      <c r="Z23" s="266"/>
      <c r="AA23" s="259"/>
      <c r="AB23" s="270"/>
      <c r="AC23" s="259"/>
      <c r="AD23" s="272"/>
    </row>
    <row r="24" spans="1:33" x14ac:dyDescent="0.2">
      <c r="A24" s="67" t="s">
        <v>35</v>
      </c>
      <c r="B24" s="1632">
        <f>B25+B26</f>
        <v>48306570.279551655</v>
      </c>
      <c r="C24" s="26">
        <f t="shared" ref="C24:C29" si="4">(B24/$B$20)*100</f>
        <v>13.004067729883193</v>
      </c>
      <c r="D24" s="1274">
        <f t="shared" ref="D24:O24" si="5">+D25+D26</f>
        <v>3630100.3091352847</v>
      </c>
      <c r="E24" s="1274">
        <f t="shared" si="5"/>
        <v>3793047.5404907083</v>
      </c>
      <c r="F24" s="1274">
        <f t="shared" si="5"/>
        <v>3862281.3313440895</v>
      </c>
      <c r="G24" s="1274">
        <f t="shared" si="5"/>
        <v>4013038.1105856504</v>
      </c>
      <c r="H24" s="1274">
        <f t="shared" si="5"/>
        <v>4098162.4093730883</v>
      </c>
      <c r="I24" s="1274">
        <f t="shared" si="5"/>
        <v>4050528.2328679767</v>
      </c>
      <c r="J24" s="1274">
        <f t="shared" si="5"/>
        <v>4151577.9050578717</v>
      </c>
      <c r="K24" s="1274">
        <f t="shared" si="5"/>
        <v>4144766.8643846912</v>
      </c>
      <c r="L24" s="1274">
        <f t="shared" si="5"/>
        <v>3987726.0102222497</v>
      </c>
      <c r="M24" s="1274">
        <f t="shared" si="5"/>
        <v>4317852.1991238836</v>
      </c>
      <c r="N24" s="1274">
        <f t="shared" si="5"/>
        <v>4110744.6856178776</v>
      </c>
      <c r="O24" s="1274">
        <f t="shared" si="5"/>
        <v>4146744.6813482856</v>
      </c>
      <c r="P24" s="679" t="s">
        <v>35</v>
      </c>
      <c r="Q24" s="263">
        <f t="shared" ref="Q24:Q29" si="6">SUM(D24:F24)</f>
        <v>11285429.180970084</v>
      </c>
      <c r="R24" s="268">
        <f t="shared" ref="R24:R29" si="7">(Q24/$Q$20)*100</f>
        <v>13.694694890507957</v>
      </c>
      <c r="S24" s="262">
        <f t="shared" ref="S24:S29" si="8">SUM(G24:I24)</f>
        <v>12161728.752826715</v>
      </c>
      <c r="T24" s="268">
        <f t="shared" ref="T24:T29" si="9">(S24/$S$20)*100</f>
        <v>13.309023381790944</v>
      </c>
      <c r="U24" s="262">
        <f t="shared" ref="U24:U29" si="10">+Q24+S24</f>
        <v>23447157.933796801</v>
      </c>
      <c r="V24" s="268">
        <f t="shared" ref="V24:V29" si="11">(U24/$U$20)*100</f>
        <v>13.491903414387183</v>
      </c>
      <c r="W24" s="262">
        <f t="shared" ref="W24:W29" si="12">SUM(J24:L24)</f>
        <v>12284070.779664813</v>
      </c>
      <c r="X24" s="268">
        <f t="shared" ref="X24:X29" si="13">(W24/$W$20)*100</f>
        <v>12.924246809991866</v>
      </c>
      <c r="Y24" s="262">
        <f t="shared" ref="Y24:Y29" si="14">+U24+W24</f>
        <v>35731228.713461615</v>
      </c>
      <c r="Z24" s="268">
        <f t="shared" ref="Z24:Z29" si="15">(Y24/$Y$20)*100</f>
        <v>13.29120717314909</v>
      </c>
      <c r="AA24" s="262">
        <f t="shared" ref="AA24:AA29" si="16">SUM(M24:O24)</f>
        <v>12575341.566090047</v>
      </c>
      <c r="AB24" s="268">
        <f t="shared" ref="AB24:AB29" si="17">(AA24/$AA$20)*100</f>
        <v>12.251989196941393</v>
      </c>
      <c r="AC24" s="262">
        <f t="shared" ref="AC24:AC29" si="18">+Q24+S24+W24+AA24</f>
        <v>48306570.279551663</v>
      </c>
      <c r="AD24" s="273">
        <f t="shared" ref="AD24:AD29" si="19">(AC24/$AC$20)*100</f>
        <v>13.004067729883193</v>
      </c>
      <c r="AE24" s="41" t="s">
        <v>28</v>
      </c>
      <c r="AF24" s="1139">
        <f ca="1">SUM(D24:OFFSET(D24,0,$G$3-1))</f>
        <v>19396629.700928822</v>
      </c>
      <c r="AG24" s="1231"/>
    </row>
    <row r="25" spans="1:33" x14ac:dyDescent="0.2">
      <c r="A25" s="1159" t="s">
        <v>144</v>
      </c>
      <c r="B25" s="1271">
        <f>SUM(D25:O25)</f>
        <v>11609079.357696984</v>
      </c>
      <c r="C25" s="19">
        <f t="shared" si="4"/>
        <v>3.1251495060700796</v>
      </c>
      <c r="D25" s="1275">
        <f>[2]Edo.Res.detalle!D25+[6]Edo.Res.detalle!D25+[7]Edo.Res.detalle!D21+[8]Edo.Res.detalle!D21+[3]Edo.Res.detalle!D25+[9]Edo.Res.detalle!D21</f>
        <v>940396.67572795332</v>
      </c>
      <c r="E25" s="1275">
        <f>[2]Edo.Res.detalle!E25+[6]Edo.Res.detalle!E25+[7]Edo.Res.detalle!E21+[8]Edo.Res.detalle!E21+[3]Edo.Res.detalle!E25+[9]Edo.Res.detalle!E21</f>
        <v>984394.89838303498</v>
      </c>
      <c r="F25" s="1275">
        <f>[2]Edo.Res.detalle!F25+[6]Edo.Res.detalle!F25+[7]Edo.Res.detalle!F21+[8]Edo.Res.detalle!F21+[3]Edo.Res.detalle!F25+[9]Edo.Res.detalle!F21</f>
        <v>1008582.2482983997</v>
      </c>
      <c r="G25" s="1275">
        <f>[2]Edo.Res.detalle!G25+[6]Edo.Res.detalle!G25+[7]Edo.Res.detalle!G21+[8]Edo.Res.detalle!G21+[3]Edo.Res.detalle!G25+[9]Edo.Res.detalle!G21</f>
        <v>966023.98610153724</v>
      </c>
      <c r="H25" s="1275">
        <f>[2]Edo.Res.detalle!H25+[6]Edo.Res.detalle!H25+[7]Edo.Res.detalle!H21+[8]Edo.Res.detalle!H21+[3]Edo.Res.detalle!H25+[9]Edo.Res.detalle!H21</f>
        <v>964648.66117954336</v>
      </c>
      <c r="I25" s="1275">
        <f>[2]Edo.Res.detalle!I25+[6]Edo.Res.detalle!I25+[7]Edo.Res.detalle!I21+[8]Edo.Res.detalle!I21+[3]Edo.Res.detalle!I25+[9]Edo.Res.detalle!I21</f>
        <v>956557.9288426399</v>
      </c>
      <c r="J25" s="1275">
        <f>[2]Edo.Res.detalle!J25+[6]Edo.Res.detalle!J25+[7]Edo.Res.detalle!J21+[8]Edo.Res.detalle!J21+[3]Edo.Res.detalle!J25+[9]Edo.Res.detalle!J21</f>
        <v>960324.0237582156</v>
      </c>
      <c r="K25" s="1275">
        <f>[2]Edo.Res.detalle!K25+[6]Edo.Res.detalle!K25+[7]Edo.Res.detalle!K21+[8]Edo.Res.detalle!K21+[3]Edo.Res.detalle!K25+[9]Edo.Res.detalle!K21</f>
        <v>983155.62972186261</v>
      </c>
      <c r="L25" s="1275">
        <f>[2]Edo.Res.detalle!L25+[6]Edo.Res.detalle!L25+[7]Edo.Res.detalle!L21+[8]Edo.Res.detalle!L21+[3]Edo.Res.detalle!L25+[9]Edo.Res.detalle!L21</f>
        <v>953152.57031290443</v>
      </c>
      <c r="M25" s="1275">
        <f>[2]Edo.Res.detalle!M25+[6]Edo.Res.detalle!M25+[7]Edo.Res.detalle!M21+[8]Edo.Res.detalle!M21+[3]Edo.Res.detalle!M25+[9]Edo.Res.detalle!M21</f>
        <v>971064.8547621239</v>
      </c>
      <c r="N25" s="1275">
        <f>[2]Edo.Res.detalle!N25+[6]Edo.Res.detalle!N25+[7]Edo.Res.detalle!N21+[8]Edo.Res.detalle!N21+[3]Edo.Res.detalle!N25+[9]Edo.Res.detalle!N21</f>
        <v>958597.903037076</v>
      </c>
      <c r="O25" s="1275">
        <f>[2]Edo.Res.detalle!O25+[6]Edo.Res.detalle!O25+[7]Edo.Res.detalle!O21+[8]Edo.Res.detalle!O21+[3]Edo.Res.detalle!O25+[9]Edo.Res.detalle!O21</f>
        <v>962179.97757169197</v>
      </c>
      <c r="P25" s="434" t="s">
        <v>144</v>
      </c>
      <c r="Q25" s="259">
        <f t="shared" si="6"/>
        <v>2933373.8224093881</v>
      </c>
      <c r="R25" s="266">
        <f t="shared" si="7"/>
        <v>3.5596040570117267</v>
      </c>
      <c r="S25" s="259">
        <f t="shared" si="8"/>
        <v>2887230.5761237205</v>
      </c>
      <c r="T25" s="266">
        <f t="shared" si="9"/>
        <v>3.1596017332092727</v>
      </c>
      <c r="U25" s="259">
        <f t="shared" si="10"/>
        <v>5820604.3985331086</v>
      </c>
      <c r="V25" s="266">
        <f t="shared" si="11"/>
        <v>3.3492772377828808</v>
      </c>
      <c r="W25" s="259">
        <f t="shared" si="12"/>
        <v>2896632.2237929823</v>
      </c>
      <c r="X25" s="266">
        <f t="shared" si="13"/>
        <v>3.0475882506350724</v>
      </c>
      <c r="Y25" s="259">
        <f t="shared" si="14"/>
        <v>8717236.6223260909</v>
      </c>
      <c r="Z25" s="266">
        <f t="shared" si="15"/>
        <v>3.2426144327090447</v>
      </c>
      <c r="AA25" s="259">
        <f t="shared" si="16"/>
        <v>2891842.7353708916</v>
      </c>
      <c r="AB25" s="270">
        <f t="shared" si="17"/>
        <v>2.8174841825814392</v>
      </c>
      <c r="AC25" s="259">
        <f t="shared" si="18"/>
        <v>11609079.357696982</v>
      </c>
      <c r="AD25" s="272">
        <f t="shared" si="19"/>
        <v>3.1251495060700787</v>
      </c>
      <c r="AE25" s="41" t="s">
        <v>28</v>
      </c>
      <c r="AF25" s="1139">
        <f ca="1">SUM(D25:OFFSET(D25,0,$G$3-1))</f>
        <v>4864046.4696904691</v>
      </c>
      <c r="AG25" s="1231"/>
    </row>
    <row r="26" spans="1:33" s="1158" customFormat="1" x14ac:dyDescent="0.2">
      <c r="A26" s="1159" t="s">
        <v>145</v>
      </c>
      <c r="B26" s="1268">
        <f>SUM(D26:O26)</f>
        <v>36697490.921854667</v>
      </c>
      <c r="C26" s="1223">
        <f t="shared" si="4"/>
        <v>9.8789182238131108</v>
      </c>
      <c r="D26" s="1269">
        <f>[2]Edo.Res.detalle!D26+[6]Edo.Res.detalle!D26+[7]Edo.Res.detalle!D22+[8]Edo.Res.detalle!D22+[3]Edo.Res.detalle!D26+[9]Edo.Res.detalle!D22</f>
        <v>2689703.6334073315</v>
      </c>
      <c r="E26" s="1269">
        <f>[2]Edo.Res.detalle!E26+[6]Edo.Res.detalle!E26+[7]Edo.Res.detalle!E22+[8]Edo.Res.detalle!E22+[3]Edo.Res.detalle!E26+[9]Edo.Res.detalle!E22</f>
        <v>2808652.6421076735</v>
      </c>
      <c r="F26" s="1269">
        <f>[2]Edo.Res.detalle!F26+[6]Edo.Res.detalle!F26+[7]Edo.Res.detalle!F22+[8]Edo.Res.detalle!F22+[3]Edo.Res.detalle!F26+[9]Edo.Res.detalle!F22</f>
        <v>2853699.0830456899</v>
      </c>
      <c r="G26" s="1269">
        <f>[2]Edo.Res.detalle!G26+[6]Edo.Res.detalle!G26+[7]Edo.Res.detalle!G22+[8]Edo.Res.detalle!G22+[3]Edo.Res.detalle!G26+[9]Edo.Res.detalle!G22</f>
        <v>3047014.1244841134</v>
      </c>
      <c r="H26" s="1269">
        <f>[2]Edo.Res.detalle!H26+[6]Edo.Res.detalle!H26+[7]Edo.Res.detalle!H22+[8]Edo.Res.detalle!H22+[3]Edo.Res.detalle!H26+[9]Edo.Res.detalle!H22</f>
        <v>3133513.7481935448</v>
      </c>
      <c r="I26" s="1269">
        <f>[2]Edo.Res.detalle!I26+[6]Edo.Res.detalle!I26+[7]Edo.Res.detalle!I22+[8]Edo.Res.detalle!I22+[3]Edo.Res.detalle!I26+[9]Edo.Res.detalle!I22</f>
        <v>3093970.3040253366</v>
      </c>
      <c r="J26" s="1269">
        <f>[2]Edo.Res.detalle!J26+[6]Edo.Res.detalle!J26+[7]Edo.Res.detalle!J22+[8]Edo.Res.detalle!J22+[3]Edo.Res.detalle!J26+[9]Edo.Res.detalle!J22</f>
        <v>3191253.8812996559</v>
      </c>
      <c r="K26" s="1269">
        <f>[2]Edo.Res.detalle!K26+[6]Edo.Res.detalle!K26+[7]Edo.Res.detalle!K22+[8]Edo.Res.detalle!K22+[3]Edo.Res.detalle!K26+[9]Edo.Res.detalle!K22</f>
        <v>3161611.2346628285</v>
      </c>
      <c r="L26" s="1269">
        <f>[2]Edo.Res.detalle!L26+[6]Edo.Res.detalle!L26+[7]Edo.Res.detalle!L22+[8]Edo.Res.detalle!L22+[3]Edo.Res.detalle!L26+[9]Edo.Res.detalle!L22</f>
        <v>3034573.439909345</v>
      </c>
      <c r="M26" s="1269">
        <f>[2]Edo.Res.detalle!M26+[6]Edo.Res.detalle!M26+[7]Edo.Res.detalle!M22+[8]Edo.Res.detalle!M22+[3]Edo.Res.detalle!M26+[9]Edo.Res.detalle!M22</f>
        <v>3346787.3443617597</v>
      </c>
      <c r="N26" s="1269">
        <f>[2]Edo.Res.detalle!N26+[6]Edo.Res.detalle!N26+[7]Edo.Res.detalle!N22+[8]Edo.Res.detalle!N22+[3]Edo.Res.detalle!N26+[9]Edo.Res.detalle!N22</f>
        <v>3152146.7825808018</v>
      </c>
      <c r="O26" s="1269">
        <f>[2]Edo.Res.detalle!O26+[6]Edo.Res.detalle!O26+[7]Edo.Res.detalle!O22+[8]Edo.Res.detalle!O22+[3]Edo.Res.detalle!O26+[9]Edo.Res.detalle!O22</f>
        <v>3184564.7037765938</v>
      </c>
      <c r="P26" s="1225" t="s">
        <v>145</v>
      </c>
      <c r="Q26" s="1226">
        <f t="shared" si="6"/>
        <v>8352055.3585606944</v>
      </c>
      <c r="R26" s="1227">
        <f t="shared" si="7"/>
        <v>10.135090833496228</v>
      </c>
      <c r="S26" s="1226">
        <f t="shared" si="8"/>
        <v>9274498.1767029949</v>
      </c>
      <c r="T26" s="1227">
        <f t="shared" si="9"/>
        <v>10.14942164858167</v>
      </c>
      <c r="U26" s="1226">
        <f t="shared" si="10"/>
        <v>17626553.535263687</v>
      </c>
      <c r="V26" s="1227">
        <f t="shared" si="11"/>
        <v>10.142626176604299</v>
      </c>
      <c r="W26" s="1226">
        <f t="shared" si="12"/>
        <v>9387438.5558718294</v>
      </c>
      <c r="X26" s="1227">
        <f t="shared" si="13"/>
        <v>9.8766585593567928</v>
      </c>
      <c r="Y26" s="1226">
        <f t="shared" si="14"/>
        <v>27013992.091135517</v>
      </c>
      <c r="Z26" s="1227">
        <f t="shared" si="15"/>
        <v>10.048592740440041</v>
      </c>
      <c r="AA26" s="1226">
        <f t="shared" si="16"/>
        <v>9683498.8307191562</v>
      </c>
      <c r="AB26" s="1228">
        <f t="shared" si="17"/>
        <v>9.4345050143599547</v>
      </c>
      <c r="AC26" s="1226">
        <f t="shared" si="18"/>
        <v>36697490.921854675</v>
      </c>
      <c r="AD26" s="1229">
        <f t="shared" si="19"/>
        <v>9.8789182238131126</v>
      </c>
      <c r="AE26" s="1230" t="s">
        <v>28</v>
      </c>
      <c r="AF26" s="1231">
        <f ca="1">SUM(D26:OFFSET(D26,0,$G$3-1))</f>
        <v>14532583.231238352</v>
      </c>
      <c r="AG26" s="1231"/>
    </row>
    <row r="27" spans="1:33" s="1158" customFormat="1" x14ac:dyDescent="0.2">
      <c r="A27" s="1232" t="s">
        <v>36</v>
      </c>
      <c r="B27" s="1272">
        <f>B28+B29</f>
        <v>213626854.53505599</v>
      </c>
      <c r="C27" s="1234">
        <f t="shared" si="4"/>
        <v>57.5080795266419</v>
      </c>
      <c r="D27" s="1276">
        <f t="shared" ref="D27:O27" si="20">+D28+D29</f>
        <v>15147760.080113079</v>
      </c>
      <c r="E27" s="1276">
        <f t="shared" si="20"/>
        <v>15872624.757753396</v>
      </c>
      <c r="F27" s="1276">
        <f t="shared" si="20"/>
        <v>16334725.173343115</v>
      </c>
      <c r="G27" s="1276">
        <f t="shared" si="20"/>
        <v>17467357.253519919</v>
      </c>
      <c r="H27" s="1276">
        <f t="shared" si="20"/>
        <v>17727790.949336905</v>
      </c>
      <c r="I27" s="1276">
        <f t="shared" si="20"/>
        <v>17796002.778864317</v>
      </c>
      <c r="J27" s="1276">
        <f t="shared" si="20"/>
        <v>18858452.754041053</v>
      </c>
      <c r="K27" s="1276">
        <f t="shared" si="20"/>
        <v>18710637.324512102</v>
      </c>
      <c r="L27" s="1276">
        <f t="shared" si="20"/>
        <v>17223843.361029778</v>
      </c>
      <c r="M27" s="1276">
        <f t="shared" si="20"/>
        <v>20532589.921778601</v>
      </c>
      <c r="N27" s="1276">
        <f t="shared" si="20"/>
        <v>18805859.557984762</v>
      </c>
      <c r="O27" s="1276">
        <f t="shared" si="20"/>
        <v>19149210.622778978</v>
      </c>
      <c r="P27" s="1236" t="s">
        <v>36</v>
      </c>
      <c r="Q27" s="1237">
        <f t="shared" si="6"/>
        <v>47355110.011209592</v>
      </c>
      <c r="R27" s="1238">
        <f t="shared" si="7"/>
        <v>57.464698303499397</v>
      </c>
      <c r="S27" s="1239">
        <f t="shared" si="8"/>
        <v>52991150.98172114</v>
      </c>
      <c r="T27" s="1238">
        <f t="shared" si="9"/>
        <v>57.990149408637251</v>
      </c>
      <c r="U27" s="1239">
        <f t="shared" si="10"/>
        <v>100346260.99293074</v>
      </c>
      <c r="V27" s="1238">
        <f t="shared" si="11"/>
        <v>57.74098784740341</v>
      </c>
      <c r="W27" s="1239">
        <f t="shared" si="12"/>
        <v>54792933.439582929</v>
      </c>
      <c r="X27" s="1238">
        <f t="shared" si="13"/>
        <v>57.648430061874755</v>
      </c>
      <c r="Y27" s="1239">
        <f t="shared" si="14"/>
        <v>155139194.43251365</v>
      </c>
      <c r="Z27" s="1238">
        <f t="shared" si="15"/>
        <v>57.708263838717365</v>
      </c>
      <c r="AA27" s="1239">
        <f t="shared" si="16"/>
        <v>58487660.102542341</v>
      </c>
      <c r="AB27" s="1238">
        <f t="shared" si="17"/>
        <v>56.983754752478873</v>
      </c>
      <c r="AC27" s="1239">
        <f t="shared" si="18"/>
        <v>213626854.53505599</v>
      </c>
      <c r="AD27" s="1240">
        <f t="shared" si="19"/>
        <v>57.5080795266419</v>
      </c>
      <c r="AE27" s="1230" t="s">
        <v>28</v>
      </c>
      <c r="AF27" s="1231">
        <f ca="1">SUM(D27:OFFSET(D27,0,$G$3-1))</f>
        <v>82550258.214066416</v>
      </c>
      <c r="AG27" s="1231"/>
    </row>
    <row r="28" spans="1:33" s="1158" customFormat="1" x14ac:dyDescent="0.2">
      <c r="A28" s="1159" t="s">
        <v>144</v>
      </c>
      <c r="B28" s="1268">
        <f>SUM(D28:O28)</f>
        <v>20052572.724542469</v>
      </c>
      <c r="C28" s="1223">
        <f t="shared" si="4"/>
        <v>5.3981272601077492</v>
      </c>
      <c r="D28" s="1269">
        <f>[2]Edo.Res.detalle!D28+[3]Edo.Res.detalle!D28+[6]Edo.Res.detalle!D28+[7]Edo.Res.detalle!D24+[8]Edo.Res.detalle!D24+[9]Edo.Res.detalle!D24</f>
        <v>1717249.0569737859</v>
      </c>
      <c r="E28" s="1269">
        <f>[2]Edo.Res.detalle!E28+[3]Edo.Res.detalle!E28+[6]Edo.Res.detalle!E28+[7]Edo.Res.detalle!E24+[8]Edo.Res.detalle!E24+[9]Edo.Res.detalle!E24</f>
        <v>1870390.509850939</v>
      </c>
      <c r="F28" s="1269">
        <f>[2]Edo.Res.detalle!F28+[3]Edo.Res.detalle!F28+[6]Edo.Res.detalle!F28+[7]Edo.Res.detalle!F24+[8]Edo.Res.detalle!F24+[9]Edo.Res.detalle!F24</f>
        <v>1723729.4240929822</v>
      </c>
      <c r="G28" s="1269">
        <f>[2]Edo.Res.detalle!G28+[3]Edo.Res.detalle!G28+[6]Edo.Res.detalle!G28+[7]Edo.Res.detalle!G24+[8]Edo.Res.detalle!G24+[9]Edo.Res.detalle!G24</f>
        <v>1797756.883442949</v>
      </c>
      <c r="H28" s="1269">
        <f>[2]Edo.Res.detalle!H28+[3]Edo.Res.detalle!H28+[6]Edo.Res.detalle!H28+[7]Edo.Res.detalle!H24+[8]Edo.Res.detalle!H24+[9]Edo.Res.detalle!H24</f>
        <v>1625282.2769622195</v>
      </c>
      <c r="I28" s="1269">
        <f>[2]Edo.Res.detalle!I28+[3]Edo.Res.detalle!I28+[6]Edo.Res.detalle!I28+[7]Edo.Res.detalle!I24+[8]Edo.Res.detalle!I24+[9]Edo.Res.detalle!I24</f>
        <v>1627552.4463604433</v>
      </c>
      <c r="J28" s="1269">
        <f>[2]Edo.Res.detalle!J28+[3]Edo.Res.detalle!J28+[6]Edo.Res.detalle!J28+[7]Edo.Res.detalle!J24+[8]Edo.Res.detalle!J24+[9]Edo.Res.detalle!J24</f>
        <v>1646360.5577297565</v>
      </c>
      <c r="K28" s="1269">
        <f>[2]Edo.Res.detalle!K28+[3]Edo.Res.detalle!K28+[6]Edo.Res.detalle!K28+[7]Edo.Res.detalle!K24+[8]Edo.Res.detalle!K24+[9]Edo.Res.detalle!K24</f>
        <v>1657889.9317021819</v>
      </c>
      <c r="L28" s="1269">
        <f>[2]Edo.Res.detalle!L28+[3]Edo.Res.detalle!L28+[6]Edo.Res.detalle!L28+[7]Edo.Res.detalle!L24+[8]Edo.Res.detalle!L24+[9]Edo.Res.detalle!L24</f>
        <v>1635136.4046344352</v>
      </c>
      <c r="M28" s="1269">
        <f>[2]Edo.Res.detalle!M28+[3]Edo.Res.detalle!M28+[6]Edo.Res.detalle!M28+[7]Edo.Res.detalle!M24+[8]Edo.Res.detalle!M24+[9]Edo.Res.detalle!M24</f>
        <v>1628184.509977381</v>
      </c>
      <c r="N28" s="1269">
        <f>[2]Edo.Res.detalle!N28+[3]Edo.Res.detalle!N28+[6]Edo.Res.detalle!N28+[7]Edo.Res.detalle!N24+[8]Edo.Res.detalle!N24+[9]Edo.Res.detalle!N24</f>
        <v>1556401.7361307447</v>
      </c>
      <c r="O28" s="1269">
        <f>[2]Edo.Res.detalle!O28+[3]Edo.Res.detalle!O28+[6]Edo.Res.detalle!O28+[7]Edo.Res.detalle!O24+[8]Edo.Res.detalle!O24+[9]Edo.Res.detalle!O24</f>
        <v>1566638.9866846555</v>
      </c>
      <c r="P28" s="1225" t="s">
        <v>144</v>
      </c>
      <c r="Q28" s="1226">
        <f t="shared" si="6"/>
        <v>5311368.9909177069</v>
      </c>
      <c r="R28" s="1227">
        <f t="shared" si="7"/>
        <v>6.4452646518907741</v>
      </c>
      <c r="S28" s="1226">
        <f t="shared" si="8"/>
        <v>5050591.6067656111</v>
      </c>
      <c r="T28" s="1227">
        <f t="shared" si="9"/>
        <v>5.5270466191492078</v>
      </c>
      <c r="U28" s="1226">
        <f t="shared" si="10"/>
        <v>10361960.597683318</v>
      </c>
      <c r="V28" s="1227">
        <f t="shared" si="11"/>
        <v>5.9624527613266585</v>
      </c>
      <c r="W28" s="1226">
        <f t="shared" si="12"/>
        <v>4939386.8940663729</v>
      </c>
      <c r="X28" s="1227">
        <f t="shared" si="13"/>
        <v>5.1967996972657335</v>
      </c>
      <c r="Y28" s="1226">
        <f t="shared" si="14"/>
        <v>15301347.491749691</v>
      </c>
      <c r="Z28" s="1227">
        <f t="shared" si="15"/>
        <v>5.6917544362131078</v>
      </c>
      <c r="AA28" s="1226">
        <f t="shared" si="16"/>
        <v>4751225.2327927817</v>
      </c>
      <c r="AB28" s="1228">
        <f t="shared" si="17"/>
        <v>4.6290559917182357</v>
      </c>
      <c r="AC28" s="1226">
        <f t="shared" si="18"/>
        <v>20052572.724542473</v>
      </c>
      <c r="AD28" s="1229">
        <f t="shared" si="19"/>
        <v>5.3981272601077501</v>
      </c>
      <c r="AE28" s="1230" t="s">
        <v>28</v>
      </c>
      <c r="AF28" s="1231">
        <f ca="1">SUM(D28:OFFSET(D28,0,$G$3-1))</f>
        <v>8734408.1513228752</v>
      </c>
      <c r="AG28" s="1231"/>
    </row>
    <row r="29" spans="1:33" s="1158" customFormat="1" x14ac:dyDescent="0.2">
      <c r="A29" s="1159" t="s">
        <v>145</v>
      </c>
      <c r="B29" s="1268">
        <f t="shared" ref="B29" si="21">SUM(D29:O29)</f>
        <v>193574281.81051353</v>
      </c>
      <c r="C29" s="1223">
        <f t="shared" si="4"/>
        <v>52.109952266534144</v>
      </c>
      <c r="D29" s="1269">
        <f>[2]Edo.Res.detalle!D29+[3]Edo.Res.detalle!D29+[6]Edo.Res.detalle!D29+[7]Edo.Res.detalle!D25+[8]Edo.Res.detalle!D25+[9]Edo.Res.detalle!D25</f>
        <v>13430511.023139294</v>
      </c>
      <c r="E29" s="1269">
        <f>[2]Edo.Res.detalle!E29+[3]Edo.Res.detalle!E29+[6]Edo.Res.detalle!E29+[7]Edo.Res.detalle!E25+[8]Edo.Res.detalle!E25+[9]Edo.Res.detalle!E25</f>
        <v>14002234.247902457</v>
      </c>
      <c r="F29" s="1269">
        <f>[2]Edo.Res.detalle!F29+[3]Edo.Res.detalle!F29+[6]Edo.Res.detalle!F29+[7]Edo.Res.detalle!F25+[8]Edo.Res.detalle!F25+[9]Edo.Res.detalle!F25</f>
        <v>14610995.749250133</v>
      </c>
      <c r="G29" s="1269">
        <f>[2]Edo.Res.detalle!G29+[3]Edo.Res.detalle!G29+[6]Edo.Res.detalle!G29+[7]Edo.Res.detalle!G25+[8]Edo.Res.detalle!G25+[9]Edo.Res.detalle!G25</f>
        <v>15669600.370076969</v>
      </c>
      <c r="H29" s="1269">
        <f>[2]Edo.Res.detalle!H29+[3]Edo.Res.detalle!H29+[6]Edo.Res.detalle!H29+[7]Edo.Res.detalle!H25+[8]Edo.Res.detalle!H25+[9]Edo.Res.detalle!H25</f>
        <v>16102508.672374686</v>
      </c>
      <c r="I29" s="1269">
        <f>[2]Edo.Res.detalle!I29+[3]Edo.Res.detalle!I29+[6]Edo.Res.detalle!I29+[7]Edo.Res.detalle!I25+[8]Edo.Res.detalle!I25+[9]Edo.Res.detalle!I25</f>
        <v>16168450.332503872</v>
      </c>
      <c r="J29" s="1269">
        <f>[2]Edo.Res.detalle!J29+[3]Edo.Res.detalle!J29+[6]Edo.Res.detalle!J29+[7]Edo.Res.detalle!J25+[8]Edo.Res.detalle!J25+[9]Edo.Res.detalle!J25</f>
        <v>17212092.196311299</v>
      </c>
      <c r="K29" s="1269">
        <f>[2]Edo.Res.detalle!K29+[3]Edo.Res.detalle!K29+[6]Edo.Res.detalle!K29+[7]Edo.Res.detalle!K25+[8]Edo.Res.detalle!K25+[9]Edo.Res.detalle!K25</f>
        <v>17052747.39280992</v>
      </c>
      <c r="L29" s="1269">
        <f>[2]Edo.Res.detalle!L29+[3]Edo.Res.detalle!L29+[6]Edo.Res.detalle!L29+[7]Edo.Res.detalle!L25+[8]Edo.Res.detalle!L25+[9]Edo.Res.detalle!L25</f>
        <v>15588706.956395341</v>
      </c>
      <c r="M29" s="1269">
        <f>[2]Edo.Res.detalle!M29+[3]Edo.Res.detalle!M29+[6]Edo.Res.detalle!M29+[7]Edo.Res.detalle!M25+[8]Edo.Res.detalle!M25+[9]Edo.Res.detalle!M25</f>
        <v>18904405.411801219</v>
      </c>
      <c r="N29" s="1269">
        <f>[2]Edo.Res.detalle!N29+[3]Edo.Res.detalle!N29+[6]Edo.Res.detalle!N29+[7]Edo.Res.detalle!N25+[8]Edo.Res.detalle!N25+[9]Edo.Res.detalle!N25</f>
        <v>17249457.821854018</v>
      </c>
      <c r="O29" s="1269">
        <f>[2]Edo.Res.detalle!O29+[3]Edo.Res.detalle!O29+[6]Edo.Res.detalle!O29+[7]Edo.Res.detalle!O25+[8]Edo.Res.detalle!O25+[9]Edo.Res.detalle!O25</f>
        <v>17582571.636094324</v>
      </c>
      <c r="P29" s="1225" t="s">
        <v>145</v>
      </c>
      <c r="Q29" s="1226">
        <f t="shared" si="6"/>
        <v>42043741.02029188</v>
      </c>
      <c r="R29" s="1227">
        <f t="shared" si="7"/>
        <v>51.019433651608615</v>
      </c>
      <c r="S29" s="1226">
        <f t="shared" si="8"/>
        <v>47940559.374955527</v>
      </c>
      <c r="T29" s="1227">
        <f t="shared" si="9"/>
        <v>52.463102789488033</v>
      </c>
      <c r="U29" s="1226">
        <f t="shared" si="10"/>
        <v>89984300.3952474</v>
      </c>
      <c r="V29" s="1227">
        <f t="shared" si="11"/>
        <v>51.778535086076737</v>
      </c>
      <c r="W29" s="1226">
        <f t="shared" si="12"/>
        <v>49853546.545516565</v>
      </c>
      <c r="X29" s="1227">
        <f t="shared" si="13"/>
        <v>52.451630364609038</v>
      </c>
      <c r="Y29" s="1226">
        <f t="shared" si="14"/>
        <v>139837846.94076395</v>
      </c>
      <c r="Z29" s="1227">
        <f t="shared" si="15"/>
        <v>52.016509402504255</v>
      </c>
      <c r="AA29" s="1226">
        <f t="shared" si="16"/>
        <v>53736434.869749561</v>
      </c>
      <c r="AB29" s="1228">
        <f t="shared" si="17"/>
        <v>52.354698760760641</v>
      </c>
      <c r="AC29" s="1226">
        <f t="shared" si="18"/>
        <v>193574281.8105135</v>
      </c>
      <c r="AD29" s="1229">
        <f t="shared" si="19"/>
        <v>52.109952266534144</v>
      </c>
      <c r="AE29" s="1230" t="s">
        <v>28</v>
      </c>
      <c r="AF29" s="1231">
        <f ca="1">SUM(D29:OFFSET(D29,0,$G$3-1))</f>
        <v>73815850.06274353</v>
      </c>
      <c r="AG29" s="1231"/>
    </row>
    <row r="30" spans="1:33" ht="6" customHeight="1" x14ac:dyDescent="0.2">
      <c r="A30" s="6"/>
      <c r="B30" s="1271" t="s">
        <v>28</v>
      </c>
      <c r="C30" s="19" t="s">
        <v>28</v>
      </c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30"/>
      <c r="Q30" s="259"/>
      <c r="R30" s="266"/>
      <c r="S30" s="259"/>
      <c r="T30" s="266"/>
      <c r="U30" s="259"/>
      <c r="V30" s="266"/>
      <c r="W30" s="259"/>
      <c r="X30" s="266"/>
      <c r="Y30" s="259"/>
      <c r="Z30" s="266"/>
      <c r="AA30" s="259"/>
      <c r="AB30" s="270"/>
      <c r="AC30" s="259"/>
      <c r="AD30" s="272"/>
      <c r="AE30" t="s">
        <v>28</v>
      </c>
    </row>
    <row r="31" spans="1:33" x14ac:dyDescent="0.2">
      <c r="A31" s="10" t="s">
        <v>37</v>
      </c>
      <c r="B31" s="1270">
        <f>B24+B27</f>
        <v>261933424.81460765</v>
      </c>
      <c r="C31" s="20">
        <f>(B31/$B$20)*100</f>
        <v>70.512147256525097</v>
      </c>
      <c r="D31" s="1274">
        <f>+D24+D27</f>
        <v>18777860.389248364</v>
      </c>
      <c r="E31" s="1274">
        <f t="shared" ref="E31:O31" si="22">+E24+E27</f>
        <v>19665672.298244104</v>
      </c>
      <c r="F31" s="1274">
        <f t="shared" si="22"/>
        <v>20197006.504687205</v>
      </c>
      <c r="G31" s="1274">
        <f t="shared" si="22"/>
        <v>21480395.364105567</v>
      </c>
      <c r="H31" s="1274">
        <f t="shared" si="22"/>
        <v>21825953.358709995</v>
      </c>
      <c r="I31" s="1274">
        <f t="shared" si="22"/>
        <v>21846531.011732295</v>
      </c>
      <c r="J31" s="1274">
        <f t="shared" si="22"/>
        <v>23010030.659098923</v>
      </c>
      <c r="K31" s="1274">
        <f t="shared" si="22"/>
        <v>22855404.188896794</v>
      </c>
      <c r="L31" s="1274">
        <f t="shared" si="22"/>
        <v>21211569.371252026</v>
      </c>
      <c r="M31" s="1274">
        <f t="shared" si="22"/>
        <v>24850442.120902486</v>
      </c>
      <c r="N31" s="1274">
        <f t="shared" si="22"/>
        <v>22916604.243602641</v>
      </c>
      <c r="O31" s="1274">
        <f t="shared" si="22"/>
        <v>23295955.304127265</v>
      </c>
      <c r="P31" s="436" t="s">
        <v>37</v>
      </c>
      <c r="Q31" s="262">
        <f>+Q24+Q27</f>
        <v>58640539.19217968</v>
      </c>
      <c r="R31" s="268">
        <f>(Q31/$Q$20)*100</f>
        <v>71.159393194007365</v>
      </c>
      <c r="S31" s="262">
        <f>+S24+S27</f>
        <v>65152879.734547853</v>
      </c>
      <c r="T31" s="268">
        <f>(S31/$S$20)*100</f>
        <v>71.299172790428187</v>
      </c>
      <c r="U31" s="262">
        <f>+U24+U27</f>
        <v>123793418.92672753</v>
      </c>
      <c r="V31" s="268">
        <f>(U31/$U$20)*100</f>
        <v>71.232891261790584</v>
      </c>
      <c r="W31" s="262">
        <f>+W24+W27</f>
        <v>67077004.219247743</v>
      </c>
      <c r="X31" s="268">
        <f>(W31/$W$20)*100</f>
        <v>70.572676871866619</v>
      </c>
      <c r="Y31" s="262">
        <f>+Y24+Y27</f>
        <v>190870423.14597526</v>
      </c>
      <c r="Z31" s="268">
        <f>(Y31/$Y$20)*100</f>
        <v>70.999471011866461</v>
      </c>
      <c r="AA31" s="262">
        <f>+AA24+AA27</f>
        <v>71063001.668632388</v>
      </c>
      <c r="AB31" s="268">
        <f>(AA31/$AA$20)*100</f>
        <v>69.235743949420268</v>
      </c>
      <c r="AC31" s="262">
        <f>+AC24+AC27</f>
        <v>261933424.81460765</v>
      </c>
      <c r="AD31" s="273">
        <f>(AC31/$AC$20)*100</f>
        <v>70.512147256525097</v>
      </c>
      <c r="AE31" s="41" t="s">
        <v>28</v>
      </c>
      <c r="AF31" s="1139">
        <f ca="1">SUM(D31:OFFSET(D31,0,$G$3-1))</f>
        <v>101946887.91499522</v>
      </c>
      <c r="AG31" s="1231"/>
    </row>
    <row r="32" spans="1:33" x14ac:dyDescent="0.2">
      <c r="A32" s="6"/>
      <c r="B32" s="1270"/>
      <c r="C32" s="21" t="s">
        <v>28</v>
      </c>
      <c r="D32" s="1274"/>
      <c r="E32" s="1274"/>
      <c r="F32" s="1274"/>
      <c r="G32" s="1274"/>
      <c r="H32" s="1274"/>
      <c r="I32" s="1274"/>
      <c r="J32" s="1274"/>
      <c r="K32" s="1274"/>
      <c r="L32" s="1274"/>
      <c r="M32" s="1274"/>
      <c r="N32" s="1274"/>
      <c r="O32" s="1274"/>
      <c r="P32" s="30"/>
      <c r="Q32" s="259"/>
      <c r="R32" s="266"/>
      <c r="S32" s="259"/>
      <c r="T32" s="266"/>
      <c r="U32" s="259"/>
      <c r="V32" s="266"/>
      <c r="W32" s="259"/>
      <c r="X32" s="266"/>
      <c r="Y32" s="259"/>
      <c r="Z32" s="266"/>
      <c r="AA32" s="259"/>
      <c r="AB32" s="270"/>
      <c r="AC32" s="259"/>
      <c r="AD32" s="272"/>
    </row>
    <row r="33" spans="1:35" x14ac:dyDescent="0.2">
      <c r="A33" s="10" t="s">
        <v>38</v>
      </c>
      <c r="B33" s="1270">
        <f>+B20-B31</f>
        <v>109539342.65294203</v>
      </c>
      <c r="C33" s="20">
        <f>(B33/$B$20)*100</f>
        <v>29.487852743474914</v>
      </c>
      <c r="D33" s="1274">
        <f t="shared" ref="D33:O33" si="23">+D20-D31</f>
        <v>7448963.6290380321</v>
      </c>
      <c r="E33" s="1274">
        <f t="shared" si="23"/>
        <v>7938352.5039939545</v>
      </c>
      <c r="F33" s="1274">
        <f t="shared" si="23"/>
        <v>8379451.0894220844</v>
      </c>
      <c r="G33" s="1274">
        <f t="shared" si="23"/>
        <v>8976942.6628903225</v>
      </c>
      <c r="H33" s="1274">
        <f t="shared" si="23"/>
        <v>8625451.2543004565</v>
      </c>
      <c r="I33" s="1274">
        <f t="shared" si="23"/>
        <v>8624299.4690515287</v>
      </c>
      <c r="J33" s="1274">
        <f t="shared" si="23"/>
        <v>10285654.771785714</v>
      </c>
      <c r="K33" s="1274">
        <f t="shared" si="23"/>
        <v>9725345.9462585784</v>
      </c>
      <c r="L33" s="1274">
        <f t="shared" si="23"/>
        <v>7958700.3776194192</v>
      </c>
      <c r="M33" s="1274">
        <f t="shared" si="23"/>
        <v>11938526.441983566</v>
      </c>
      <c r="N33" s="1274">
        <f t="shared" si="23"/>
        <v>9899449.8780549914</v>
      </c>
      <c r="O33" s="1274">
        <f t="shared" si="23"/>
        <v>9738204.6285433732</v>
      </c>
      <c r="P33" s="436" t="s">
        <v>38</v>
      </c>
      <c r="Q33" s="262">
        <f t="shared" ref="Q33:AC33" si="24">Q20-Q31</f>
        <v>23766767.222454071</v>
      </c>
      <c r="R33" s="268">
        <f>(Q33/$Q$20)*100</f>
        <v>28.840606805992643</v>
      </c>
      <c r="S33" s="262">
        <f t="shared" si="24"/>
        <v>26226693.386242315</v>
      </c>
      <c r="T33" s="268">
        <f>(S33/$S$20)*100</f>
        <v>28.700827209571813</v>
      </c>
      <c r="U33" s="262">
        <f t="shared" si="24"/>
        <v>49993460.608696401</v>
      </c>
      <c r="V33" s="268">
        <f>(U33/$U$20)*100</f>
        <v>28.767108738209412</v>
      </c>
      <c r="W33" s="262">
        <f t="shared" si="24"/>
        <v>27969701.095663711</v>
      </c>
      <c r="X33" s="268">
        <f>(W33/$W$20)*100</f>
        <v>29.427323128133377</v>
      </c>
      <c r="Y33" s="262">
        <f t="shared" si="24"/>
        <v>77963161.704360098</v>
      </c>
      <c r="Z33" s="268">
        <f>(Y33/$Y$20)*100</f>
        <v>29.000528988133546</v>
      </c>
      <c r="AA33" s="262">
        <f t="shared" si="24"/>
        <v>31576180.948581934</v>
      </c>
      <c r="AB33" s="268">
        <f>(AA33/$AA$20)*100</f>
        <v>30.764256050579732</v>
      </c>
      <c r="AC33" s="262">
        <f t="shared" si="24"/>
        <v>109539342.65294203</v>
      </c>
      <c r="AD33" s="273">
        <f>(AC33/$AC$20)*100</f>
        <v>29.487852743474914</v>
      </c>
      <c r="AE33" s="41" t="s">
        <v>28</v>
      </c>
      <c r="AF33" s="1139">
        <f ca="1">SUM(D33:OFFSET(D33,0,$G$3-1))</f>
        <v>41369161.139644846</v>
      </c>
      <c r="AG33" s="1231"/>
    </row>
    <row r="34" spans="1:35" x14ac:dyDescent="0.2">
      <c r="A34" s="6"/>
      <c r="B34" s="1271" t="s">
        <v>28</v>
      </c>
      <c r="C34" s="25"/>
      <c r="D34" s="1277"/>
      <c r="E34" s="1277" t="s">
        <v>28</v>
      </c>
      <c r="F34" s="1277" t="s">
        <v>28</v>
      </c>
      <c r="G34" s="1277" t="s">
        <v>28</v>
      </c>
      <c r="H34" s="1277" t="s">
        <v>28</v>
      </c>
      <c r="I34" s="1277" t="s">
        <v>28</v>
      </c>
      <c r="J34" s="1277" t="s">
        <v>28</v>
      </c>
      <c r="K34" s="1277" t="s">
        <v>28</v>
      </c>
      <c r="L34" s="1277" t="s">
        <v>28</v>
      </c>
      <c r="M34" s="1277" t="s">
        <v>28</v>
      </c>
      <c r="N34" s="1277" t="s">
        <v>28</v>
      </c>
      <c r="O34" s="1277" t="s">
        <v>28</v>
      </c>
      <c r="P34" s="30"/>
      <c r="Q34" s="259"/>
      <c r="R34" s="266"/>
      <c r="S34" s="259"/>
      <c r="T34" s="266"/>
      <c r="U34" s="259"/>
      <c r="V34" s="266"/>
      <c r="W34" s="259"/>
      <c r="X34" s="266"/>
      <c r="Y34" s="259"/>
      <c r="Z34" s="266"/>
      <c r="AA34" s="259"/>
      <c r="AB34" s="270"/>
      <c r="AC34" s="259"/>
      <c r="AD34" s="272"/>
    </row>
    <row r="35" spans="1:35" x14ac:dyDescent="0.2">
      <c r="A35" s="10" t="s">
        <v>39</v>
      </c>
      <c r="B35" s="1271" t="s">
        <v>28</v>
      </c>
      <c r="C35" s="19"/>
      <c r="D35" s="1277" t="s">
        <v>28</v>
      </c>
      <c r="E35" s="1277" t="s">
        <v>28</v>
      </c>
      <c r="F35" s="1277" t="s">
        <v>28</v>
      </c>
      <c r="G35" s="1277" t="s">
        <v>28</v>
      </c>
      <c r="H35" s="1277" t="s">
        <v>28</v>
      </c>
      <c r="I35" s="1277" t="s">
        <v>28</v>
      </c>
      <c r="J35" s="1277" t="s">
        <v>28</v>
      </c>
      <c r="K35" s="1277" t="s">
        <v>28</v>
      </c>
      <c r="L35" s="1277" t="s">
        <v>28</v>
      </c>
      <c r="M35" s="1277" t="s">
        <v>28</v>
      </c>
      <c r="N35" s="1277" t="s">
        <v>28</v>
      </c>
      <c r="O35" s="1277" t="s">
        <v>28</v>
      </c>
      <c r="P35" s="436" t="s">
        <v>39</v>
      </c>
      <c r="Q35" s="259"/>
      <c r="R35" s="266"/>
      <c r="S35" s="259"/>
      <c r="T35" s="266"/>
      <c r="U35" s="259"/>
      <c r="V35" s="266"/>
      <c r="W35" s="259"/>
      <c r="X35" s="266"/>
      <c r="Y35" s="259"/>
      <c r="Z35" s="266"/>
      <c r="AA35" s="259"/>
      <c r="AB35" s="270"/>
      <c r="AC35" s="259"/>
      <c r="AD35" s="272"/>
    </row>
    <row r="36" spans="1:35" x14ac:dyDescent="0.2">
      <c r="A36" s="10"/>
      <c r="B36" s="1271" t="s">
        <v>28</v>
      </c>
      <c r="C36" s="19"/>
      <c r="D36" s="1295"/>
      <c r="E36" s="1752">
        <v>124808.95601147231</v>
      </c>
      <c r="F36" s="1277" t="s">
        <v>28</v>
      </c>
      <c r="G36" s="1277" t="s">
        <v>28</v>
      </c>
      <c r="H36" s="1277" t="s">
        <v>28</v>
      </c>
      <c r="I36" s="1277" t="s">
        <v>28</v>
      </c>
      <c r="J36" s="1277" t="s">
        <v>28</v>
      </c>
      <c r="K36" s="1277" t="s">
        <v>28</v>
      </c>
      <c r="L36" s="1277" t="s">
        <v>28</v>
      </c>
      <c r="M36" s="1277" t="s">
        <v>28</v>
      </c>
      <c r="N36" s="1277" t="s">
        <v>28</v>
      </c>
      <c r="O36" s="1277" t="s">
        <v>28</v>
      </c>
      <c r="P36" s="436"/>
      <c r="Q36" s="259"/>
      <c r="R36" s="266"/>
      <c r="S36" s="259"/>
      <c r="T36" s="266"/>
      <c r="U36" s="259"/>
      <c r="V36" s="266"/>
      <c r="W36" s="259"/>
      <c r="X36" s="266"/>
      <c r="Y36" s="259"/>
      <c r="Z36" s="266"/>
      <c r="AA36" s="259"/>
      <c r="AB36" s="270"/>
      <c r="AC36" s="259"/>
      <c r="AD36" s="272"/>
    </row>
    <row r="37" spans="1:35" s="1158" customFormat="1" x14ac:dyDescent="0.2">
      <c r="A37" s="1160" t="s">
        <v>40</v>
      </c>
      <c r="B37" s="1268">
        <f>SUM(D37:O37)</f>
        <v>39260560.516126208</v>
      </c>
      <c r="C37" s="1223">
        <f>(B37/$B$20)*100</f>
        <v>10.568893322592173</v>
      </c>
      <c r="D37" s="1269">
        <f>(37337662+800000)/12</f>
        <v>3178138.5</v>
      </c>
      <c r="E37" s="1269">
        <f>(37337662+800000)/12+E36</f>
        <v>3302947.4560114723</v>
      </c>
      <c r="F37" s="1269">
        <f>(37337662+500000)/12+$E$36</f>
        <v>3277947.4560114723</v>
      </c>
      <c r="G37" s="1269">
        <f t="shared" ref="G37:O37" si="25">(37337662+500000)/12+$E$36</f>
        <v>3277947.4560114723</v>
      </c>
      <c r="H37" s="1269">
        <f t="shared" si="25"/>
        <v>3277947.4560114723</v>
      </c>
      <c r="I37" s="1269">
        <f t="shared" si="25"/>
        <v>3277947.4560114723</v>
      </c>
      <c r="J37" s="1269">
        <f t="shared" si="25"/>
        <v>3277947.4560114723</v>
      </c>
      <c r="K37" s="1269">
        <f t="shared" si="25"/>
        <v>3277947.4560114723</v>
      </c>
      <c r="L37" s="1269">
        <f t="shared" si="25"/>
        <v>3277947.4560114723</v>
      </c>
      <c r="M37" s="1269">
        <f t="shared" si="25"/>
        <v>3277947.4560114723</v>
      </c>
      <c r="N37" s="1269">
        <f t="shared" si="25"/>
        <v>3277947.4560114723</v>
      </c>
      <c r="O37" s="1269">
        <f t="shared" si="25"/>
        <v>3277947.4560114723</v>
      </c>
      <c r="P37" s="1241" t="s">
        <v>40</v>
      </c>
      <c r="Q37" s="1226">
        <f>SUM(D37:F37)</f>
        <v>9759033.4120229445</v>
      </c>
      <c r="R37" s="1227">
        <f>(Q37/$Q$20)*100</f>
        <v>11.842437080663943</v>
      </c>
      <c r="S37" s="1226">
        <f>SUM(G37:I37)</f>
        <v>9833842.3680344168</v>
      </c>
      <c r="T37" s="1227">
        <f>(S37/$S$20)*100</f>
        <v>10.761532399626713</v>
      </c>
      <c r="U37" s="1226">
        <f>+Q37+S37</f>
        <v>19592875.780057363</v>
      </c>
      <c r="V37" s="1227">
        <f>(U37/$U$20)*100</f>
        <v>11.274082273894354</v>
      </c>
      <c r="W37" s="1226">
        <f>SUM(J37:L37)</f>
        <v>9833842.3680344168</v>
      </c>
      <c r="X37" s="1227">
        <f>(W37/$W$20)*100</f>
        <v>10.346326403900745</v>
      </c>
      <c r="Y37" s="1226">
        <f>+U37+W37</f>
        <v>29426718.148091778</v>
      </c>
      <c r="Z37" s="1227">
        <f>(Y37/$Y$20)*100</f>
        <v>10.946072145142944</v>
      </c>
      <c r="AA37" s="1226">
        <f>SUM(M37:O37)</f>
        <v>9833842.3680344168</v>
      </c>
      <c r="AB37" s="1228">
        <f>(AA37/$AA$20)*100</f>
        <v>9.5809827370791201</v>
      </c>
      <c r="AC37" s="1226">
        <f>+Q37+S37+W37+AA37</f>
        <v>39260560.516126193</v>
      </c>
      <c r="AD37" s="1229">
        <f t="shared" ref="AD37:AD44" si="26">(AC37/$AC$20)*100</f>
        <v>10.568893322592169</v>
      </c>
      <c r="AE37" s="1230" t="s">
        <v>28</v>
      </c>
      <c r="AF37" s="1231">
        <f ca="1">SUM(D37:OFFSET(D37,0,$G$3-1))</f>
        <v>16314928.324045889</v>
      </c>
      <c r="AG37" s="1231"/>
    </row>
    <row r="38" spans="1:35" s="1158" customFormat="1" x14ac:dyDescent="0.2">
      <c r="A38" s="1160" t="s">
        <v>41</v>
      </c>
      <c r="B38" s="1268">
        <f>SUM(D38:O38)</f>
        <v>27654909.432500005</v>
      </c>
      <c r="C38" s="1223">
        <f>(B38/$B$20)*100</f>
        <v>7.4446667035735867</v>
      </c>
      <c r="D38" s="1269">
        <f>'Depreciación 2014'!E52</f>
        <v>1812968.9799999997</v>
      </c>
      <c r="E38" s="1269">
        <f>'Depreciación 2014'!F52</f>
        <v>1831138.0808333331</v>
      </c>
      <c r="F38" s="1269">
        <f>'Depreciación 2014'!G52</f>
        <v>1992241.7858333332</v>
      </c>
      <c r="G38" s="1269">
        <f>'Depreciación 2014'!H52</f>
        <v>2199947.5025000009</v>
      </c>
      <c r="H38" s="1269">
        <f>'Depreciación 2014'!I52</f>
        <v>2318845.5741666672</v>
      </c>
      <c r="I38" s="1269">
        <f>'Depreciación 2014'!J52</f>
        <v>2542217.5325000007</v>
      </c>
      <c r="J38" s="1269">
        <f>'Depreciación 2014'!K52</f>
        <v>2494366.1608333336</v>
      </c>
      <c r="K38" s="1269">
        <f>'Depreciación 2014'!L52</f>
        <v>2530082.0025000009</v>
      </c>
      <c r="L38" s="1269">
        <f>'Depreciación 2014'!M52</f>
        <v>2548373.6691666674</v>
      </c>
      <c r="M38" s="1269">
        <f>'Depreciación 2014'!N52</f>
        <v>2543686.205833334</v>
      </c>
      <c r="N38" s="1269">
        <f>'Depreciación 2014'!O52</f>
        <v>2420676.225833335</v>
      </c>
      <c r="O38" s="1269">
        <f>'Depreciación 2014'!P52</f>
        <v>2420365.7125000018</v>
      </c>
      <c r="P38" s="1241" t="s">
        <v>41</v>
      </c>
      <c r="Q38" s="1226">
        <f>SUM(D38:F38)</f>
        <v>5636348.8466666657</v>
      </c>
      <c r="R38" s="1227">
        <f>(Q38/$Q$20)*100</f>
        <v>6.8396227129513028</v>
      </c>
      <c r="S38" s="1226">
        <f>SUM(G38:I38)</f>
        <v>7061010.6091666687</v>
      </c>
      <c r="T38" s="1227">
        <f>(S38/$S$20)*100</f>
        <v>7.7271214649176203</v>
      </c>
      <c r="U38" s="1226">
        <f>+Q38+S38</f>
        <v>12697359.455833334</v>
      </c>
      <c r="V38" s="1227">
        <f>(U38/$U$20)*100</f>
        <v>7.3062819758180657</v>
      </c>
      <c r="W38" s="1226">
        <f>SUM(J38:L38)</f>
        <v>7572821.8325000014</v>
      </c>
      <c r="X38" s="1227">
        <f>(W38/$W$20)*100</f>
        <v>7.9674743142432041</v>
      </c>
      <c r="Y38" s="1226">
        <f>+U38+W38</f>
        <v>20270181.288333334</v>
      </c>
      <c r="Z38" s="1227">
        <f>(Y38/$Y$20)*100</f>
        <v>7.5400479815861248</v>
      </c>
      <c r="AA38" s="1226">
        <f>SUM(M38:O38)</f>
        <v>7384728.1441666707</v>
      </c>
      <c r="AB38" s="1228">
        <f>(AA38/$AA$20)*100</f>
        <v>7.1948430958452771</v>
      </c>
      <c r="AC38" s="1226">
        <f>+Q38+S38+W38+AA38</f>
        <v>27654909.432500005</v>
      </c>
      <c r="AD38" s="1229">
        <f t="shared" si="26"/>
        <v>7.4446667035735867</v>
      </c>
      <c r="AE38" s="1230" t="s">
        <v>28</v>
      </c>
      <c r="AF38" s="1231">
        <f ca="1">SUM(D38:OFFSET(D38,0,$G$3-1))</f>
        <v>10155141.923333334</v>
      </c>
      <c r="AG38" s="1231"/>
    </row>
    <row r="39" spans="1:35" s="1158" customFormat="1" x14ac:dyDescent="0.2">
      <c r="A39" s="1160" t="s">
        <v>248</v>
      </c>
      <c r="B39" s="1268">
        <f>SUM(D39:O39)</f>
        <v>-8187230.2800000012</v>
      </c>
      <c r="C39" s="1242">
        <f>(B39/$B$20)*100</f>
        <v>-2.2039920546033578</v>
      </c>
      <c r="D39" s="1269">
        <f>'Otros Gastos y Productos'!C23-'Otros Gastos y Productos'!C16</f>
        <v>119088.56</v>
      </c>
      <c r="E39" s="1269">
        <f>'Otros Gastos y Productos'!D23-'Otros Gastos y Productos'!D16</f>
        <v>119088.56</v>
      </c>
      <c r="F39" s="1269">
        <f>'Otros Gastos y Productos'!E23-'Otros Gastos y Productos'!E16</f>
        <v>-4630911.4400000004</v>
      </c>
      <c r="G39" s="1269">
        <f>'Otros Gastos y Productos'!F23-'Otros Gastos y Productos'!F16</f>
        <v>119088.56</v>
      </c>
      <c r="H39" s="1269">
        <f>'Otros Gastos y Productos'!G23-'Otros Gastos y Productos'!G16</f>
        <v>119088.56</v>
      </c>
      <c r="I39" s="1269">
        <f>'Otros Gastos y Productos'!H23-'Otros Gastos y Productos'!H16</f>
        <v>119088.56</v>
      </c>
      <c r="J39" s="1269">
        <f>'Otros Gastos y Productos'!I23-'Otros Gastos y Productos'!I16</f>
        <v>119088.56</v>
      </c>
      <c r="K39" s="1269">
        <f>'Otros Gastos y Productos'!J23-'Otros Gastos y Productos'!J16</f>
        <v>18665.559999999998</v>
      </c>
      <c r="L39" s="1269">
        <f>'Otros Gastos y Productos'!K23-'Otros Gastos y Productos'!K16</f>
        <v>-4646781.4400000004</v>
      </c>
      <c r="M39" s="1269">
        <f>'Otros Gastos y Productos'!L23-'Otros Gastos y Productos'!L16</f>
        <v>119088.56</v>
      </c>
      <c r="N39" s="1269">
        <f>'Otros Gastos y Productos'!M23-'Otros Gastos y Productos'!M16</f>
        <v>119088.56</v>
      </c>
      <c r="O39" s="1269">
        <f>'Otros Gastos y Productos'!N23-'Otros Gastos y Productos'!N16</f>
        <v>119088.56</v>
      </c>
      <c r="P39" s="1241" t="s">
        <v>42</v>
      </c>
      <c r="Q39" s="1226">
        <f>SUM(D39:F39)</f>
        <v>-4392734.32</v>
      </c>
      <c r="R39" s="1227">
        <f>(Q39/$Q$20)*100</f>
        <v>-5.3305155951802181</v>
      </c>
      <c r="S39" s="1226">
        <f>SUM(G39:I39)</f>
        <v>357265.68</v>
      </c>
      <c r="T39" s="1227">
        <f>(S39/$S$20)*100</f>
        <v>0.39096886513985796</v>
      </c>
      <c r="U39" s="1226">
        <f>+Q39+S39</f>
        <v>-4035468.64</v>
      </c>
      <c r="V39" s="1227">
        <f>(U39/$U$20)*100</f>
        <v>-2.3220790031950762</v>
      </c>
      <c r="W39" s="1226">
        <f>SUM(J39:L39)</f>
        <v>-4509027.32</v>
      </c>
      <c r="X39" s="1227">
        <f>(W39/$W$20)*100</f>
        <v>-4.744012225421768</v>
      </c>
      <c r="Y39" s="1226">
        <f>+U39+W39</f>
        <v>-8544495.9600000009</v>
      </c>
      <c r="Z39" s="1227">
        <f>(Y39/$Y$20)*100</f>
        <v>-3.1783588217807237</v>
      </c>
      <c r="AA39" s="1226">
        <f>SUM(M39:O39)</f>
        <v>357265.68</v>
      </c>
      <c r="AB39" s="1228">
        <f>(AA39/$AA$20)*100</f>
        <v>0.34807923337854069</v>
      </c>
      <c r="AC39" s="1226">
        <f>+Q39+S39+W39+AA39</f>
        <v>-8187230.2800000012</v>
      </c>
      <c r="AD39" s="1229">
        <f t="shared" si="26"/>
        <v>-2.2039920546033578</v>
      </c>
      <c r="AE39" s="1230"/>
      <c r="AF39" s="1231">
        <f ca="1">SUM(D39:OFFSET(D39,0,$G$3-1))</f>
        <v>-4154557.2000000007</v>
      </c>
      <c r="AG39" s="1231"/>
      <c r="AH39" s="1217" t="s">
        <v>10139</v>
      </c>
      <c r="AI39" s="1158" t="s">
        <v>10138</v>
      </c>
    </row>
    <row r="40" spans="1:35" s="1158" customFormat="1" x14ac:dyDescent="0.2">
      <c r="A40" s="1160" t="s">
        <v>249</v>
      </c>
      <c r="B40" s="1268">
        <f>SUM(D40:O40)</f>
        <v>-11044578.611720722</v>
      </c>
      <c r="C40" s="1242">
        <f>(B40/$B$20)*100</f>
        <v>-2.9731866179626558</v>
      </c>
      <c r="D40" s="1269">
        <f>-'[10]ISR VALORES'!$E$24</f>
        <v>-2116036</v>
      </c>
      <c r="E40" s="1269">
        <f>-('[10]ISR VALORES'!E$48+'[10]ISR VALORES'!E$49)</f>
        <v>0</v>
      </c>
      <c r="F40" s="1269">
        <f>-('[10]ISR VALORES'!F$48+'[10]ISR VALORES'!F$49)</f>
        <v>0</v>
      </c>
      <c r="G40" s="1269">
        <f>-('[10]ISR VALORES'!G$48+'[10]ISR VALORES'!G$49)</f>
        <v>-1691504.579777909</v>
      </c>
      <c r="H40" s="1269">
        <f>-('[10]ISR VALORES'!H$48+'[10]ISR VALORES'!H$49)</f>
        <v>-1185757.1214347307</v>
      </c>
      <c r="I40" s="1269">
        <f>-('[10]ISR VALORES'!I$48+'[10]ISR VALORES'!I$49)</f>
        <v>83892.697800437498</v>
      </c>
      <c r="J40" s="1269">
        <f>-('[10]ISR VALORES'!J$48+'[10]ISR VALORES'!J$49)</f>
        <v>-625925.31003078481</v>
      </c>
      <c r="K40" s="1269">
        <f>-('[10]ISR VALORES'!K$48+'[10]ISR VALORES'!K$49)</f>
        <v>-1093594.5499056962</v>
      </c>
      <c r="L40" s="1269">
        <f>-('[10]ISR VALORES'!L$48+'[10]ISR VALORES'!L$49)</f>
        <v>-1409637.6324179838</v>
      </c>
      <c r="M40" s="1269">
        <f>-('[10]ISR VALORES'!M$48+'[10]ISR VALORES'!M$49)</f>
        <v>-1462084.4685258744</v>
      </c>
      <c r="N40" s="1269">
        <f>-('[10]ISR VALORES'!N$48+'[10]ISR VALORES'!N$49)</f>
        <v>-721729.35215758393</v>
      </c>
      <c r="O40" s="1269">
        <f>-('[10]ISR VALORES'!O$48+'[10]ISR VALORES'!O$49)</f>
        <v>-822202.2952705971</v>
      </c>
      <c r="P40" s="1225" t="s">
        <v>249</v>
      </c>
      <c r="Q40" s="1226">
        <f>SUM(D40:F40)</f>
        <v>-2116036</v>
      </c>
      <c r="R40" s="1227">
        <f>(Q40/$Q$20)*100</f>
        <v>-2.5677771693606015</v>
      </c>
      <c r="S40" s="1226">
        <f>SUM(G40:I40)</f>
        <v>-2793369.0034122025</v>
      </c>
      <c r="T40" s="1227">
        <f>(S40/$S$20)*100</f>
        <v>-3.0568855905244656</v>
      </c>
      <c r="U40" s="1226">
        <f>+Q40+S40</f>
        <v>-4909405.003412202</v>
      </c>
      <c r="V40" s="1227">
        <f>(U40/$U$20)*100</f>
        <v>-2.8249572214751062</v>
      </c>
      <c r="W40" s="1226">
        <f>SUM(J40:L40)</f>
        <v>-3129157.4923544647</v>
      </c>
      <c r="X40" s="1227">
        <f>(W40/$W$20)*100</f>
        <v>-3.2922314161094284</v>
      </c>
      <c r="Y40" s="1226">
        <f>+U40+W40</f>
        <v>-8038562.4957666667</v>
      </c>
      <c r="Z40" s="1227">
        <f>(Y40/$Y$20)*100</f>
        <v>-2.9901630409168867</v>
      </c>
      <c r="AA40" s="1226">
        <f>SUM(M40:O40)</f>
        <v>-3006016.1159540555</v>
      </c>
      <c r="AB40" s="1228">
        <f>(AA40/$AA$20)*100</f>
        <v>-2.9287217993198396</v>
      </c>
      <c r="AC40" s="1226">
        <f>+Q40+S40+W40+AA40</f>
        <v>-11044578.611720722</v>
      </c>
      <c r="AD40" s="1229">
        <f t="shared" si="26"/>
        <v>-2.9731866179626558</v>
      </c>
      <c r="AE40" s="1230" t="s">
        <v>28</v>
      </c>
      <c r="AF40" s="1231">
        <f ca="1">SUM(D40:OFFSET(D40,0,$G$3-1))</f>
        <v>-4993297.7012126399</v>
      </c>
      <c r="AG40" s="1231"/>
      <c r="AH40" s="1217" t="s">
        <v>10140</v>
      </c>
      <c r="AI40" s="1158" t="s">
        <v>10138</v>
      </c>
    </row>
    <row r="41" spans="1:35" x14ac:dyDescent="0.2">
      <c r="A41" s="10"/>
      <c r="B41" s="1271" t="s">
        <v>28</v>
      </c>
      <c r="C41" s="19" t="s">
        <v>28</v>
      </c>
      <c r="D41" s="1277" t="s">
        <v>28</v>
      </c>
      <c r="E41" s="1277" t="s">
        <v>28</v>
      </c>
      <c r="F41" s="1277" t="s">
        <v>28</v>
      </c>
      <c r="G41" s="1277" t="s">
        <v>28</v>
      </c>
      <c r="H41" s="1277" t="s">
        <v>28</v>
      </c>
      <c r="I41" s="1277" t="s">
        <v>28</v>
      </c>
      <c r="J41" s="1277" t="s">
        <v>28</v>
      </c>
      <c r="K41" s="1277" t="s">
        <v>28</v>
      </c>
      <c r="L41" s="1277" t="s">
        <v>28</v>
      </c>
      <c r="M41" s="1277" t="s">
        <v>28</v>
      </c>
      <c r="N41" s="1277" t="s">
        <v>28</v>
      </c>
      <c r="O41" s="1277" t="s">
        <v>28</v>
      </c>
      <c r="P41" s="436"/>
      <c r="Q41" s="259"/>
      <c r="R41" s="266"/>
      <c r="S41" s="259"/>
      <c r="T41" s="266"/>
      <c r="U41" s="259"/>
      <c r="V41" s="266"/>
      <c r="W41" s="259"/>
      <c r="X41" s="266"/>
      <c r="Y41" s="259"/>
      <c r="Z41" s="266"/>
      <c r="AA41" s="259"/>
      <c r="AB41" s="270"/>
      <c r="AC41" s="259"/>
      <c r="AD41" s="272"/>
      <c r="AE41" t="s">
        <v>28</v>
      </c>
    </row>
    <row r="42" spans="1:35" x14ac:dyDescent="0.2">
      <c r="A42" s="10" t="s">
        <v>43</v>
      </c>
      <c r="B42" s="1270">
        <f>SUM(B37:B40)</f>
        <v>47683661.056905493</v>
      </c>
      <c r="C42" s="20">
        <f>(B42/$B$20)*100</f>
        <v>12.836381353599746</v>
      </c>
      <c r="D42" s="1274">
        <f t="shared" ref="D42:O42" si="27">SUM(D37:D40)</f>
        <v>2994160.0399999991</v>
      </c>
      <c r="E42" s="1274">
        <f t="shared" si="27"/>
        <v>5253174.0968448045</v>
      </c>
      <c r="F42" s="1274">
        <f t="shared" si="27"/>
        <v>639277.80184480455</v>
      </c>
      <c r="G42" s="1274">
        <f t="shared" si="27"/>
        <v>3905478.9387335642</v>
      </c>
      <c r="H42" s="1274">
        <f t="shared" si="27"/>
        <v>4530124.4687434081</v>
      </c>
      <c r="I42" s="1274">
        <f t="shared" si="27"/>
        <v>6023146.2463119105</v>
      </c>
      <c r="J42" s="1274">
        <f t="shared" si="27"/>
        <v>5265476.866814021</v>
      </c>
      <c r="K42" s="1274">
        <f t="shared" si="27"/>
        <v>4733100.4686057772</v>
      </c>
      <c r="L42" s="1274">
        <f t="shared" si="27"/>
        <v>-230097.94723984459</v>
      </c>
      <c r="M42" s="1274">
        <f t="shared" si="27"/>
        <v>4478637.7533189319</v>
      </c>
      <c r="N42" s="1274">
        <f t="shared" si="27"/>
        <v>5095982.8896872234</v>
      </c>
      <c r="O42" s="1274">
        <f t="shared" si="27"/>
        <v>4995199.4332408775</v>
      </c>
      <c r="P42" s="436" t="s">
        <v>43</v>
      </c>
      <c r="Q42" s="262">
        <f t="shared" ref="Q42:AC42" si="28">SUM(Q37:Q41)</f>
        <v>8886611.93868961</v>
      </c>
      <c r="R42" s="268">
        <f>(Q42/$Q$20)*100</f>
        <v>10.783767029074427</v>
      </c>
      <c r="S42" s="262">
        <f t="shared" si="28"/>
        <v>14458749.653788883</v>
      </c>
      <c r="T42" s="268">
        <f>(S42/$S$20)*100</f>
        <v>15.822737139159726</v>
      </c>
      <c r="U42" s="262">
        <f t="shared" si="28"/>
        <v>23345361.592478495</v>
      </c>
      <c r="V42" s="268">
        <f>(U42/$U$20)*100</f>
        <v>13.433328025042238</v>
      </c>
      <c r="W42" s="262">
        <f t="shared" si="28"/>
        <v>9768479.3881799541</v>
      </c>
      <c r="X42" s="268">
        <f>(W42/$W$20)*100</f>
        <v>10.277557076612757</v>
      </c>
      <c r="Y42" s="262">
        <f t="shared" si="28"/>
        <v>33113840.980658446</v>
      </c>
      <c r="Z42" s="268">
        <f>(Y42/$Y$20)*100</f>
        <v>12.317598264031458</v>
      </c>
      <c r="AA42" s="262">
        <f t="shared" si="28"/>
        <v>14569820.076247029</v>
      </c>
      <c r="AB42" s="268">
        <f>(AA42/$AA$20)*100</f>
        <v>14.195183266983094</v>
      </c>
      <c r="AC42" s="262">
        <f t="shared" si="28"/>
        <v>47683661.056905478</v>
      </c>
      <c r="AD42" s="273">
        <f t="shared" si="26"/>
        <v>12.836381353599743</v>
      </c>
      <c r="AE42" s="41" t="s">
        <v>28</v>
      </c>
      <c r="AF42" s="1139">
        <f ca="1">SUM(D42:OFFSET(D42,0,$G$3-1))</f>
        <v>17322215.346166581</v>
      </c>
      <c r="AG42" s="1231"/>
    </row>
    <row r="43" spans="1:35" x14ac:dyDescent="0.2">
      <c r="A43" s="10"/>
      <c r="B43" s="1271" t="s">
        <v>28</v>
      </c>
      <c r="C43" s="19"/>
      <c r="D43" s="1277" t="s">
        <v>28</v>
      </c>
      <c r="E43" s="1277" t="s">
        <v>28</v>
      </c>
      <c r="F43" s="1277" t="s">
        <v>28</v>
      </c>
      <c r="G43" s="1277" t="s">
        <v>28</v>
      </c>
      <c r="H43" s="1277" t="s">
        <v>28</v>
      </c>
      <c r="I43" s="1277" t="s">
        <v>28</v>
      </c>
      <c r="J43" s="1277" t="s">
        <v>28</v>
      </c>
      <c r="K43" s="1277" t="s">
        <v>28</v>
      </c>
      <c r="L43" s="1277" t="s">
        <v>28</v>
      </c>
      <c r="M43" s="1277" t="s">
        <v>28</v>
      </c>
      <c r="N43" s="1277" t="s">
        <v>28</v>
      </c>
      <c r="O43" s="1277" t="s">
        <v>28</v>
      </c>
      <c r="P43" s="436"/>
      <c r="Q43" s="259"/>
      <c r="R43" s="266"/>
      <c r="S43" s="259"/>
      <c r="T43" s="266"/>
      <c r="U43" s="259"/>
      <c r="V43" s="266"/>
      <c r="W43" s="259"/>
      <c r="X43" s="266"/>
      <c r="Y43" s="259"/>
      <c r="Z43" s="266"/>
      <c r="AA43" s="259"/>
      <c r="AB43" s="270"/>
      <c r="AC43" s="259"/>
      <c r="AD43" s="272"/>
      <c r="AE43" t="s">
        <v>28</v>
      </c>
    </row>
    <row r="44" spans="1:35" x14ac:dyDescent="0.2">
      <c r="A44" s="10" t="s">
        <v>44</v>
      </c>
      <c r="B44" s="1270">
        <f>+B33-B42</f>
        <v>61855681.596036538</v>
      </c>
      <c r="C44" s="382">
        <f>(B44/$B$20)*100</f>
        <v>16.651471389875166</v>
      </c>
      <c r="D44" s="1274">
        <f t="shared" ref="D44:O44" si="29">+D33-D42</f>
        <v>4454803.589038033</v>
      </c>
      <c r="E44" s="1274">
        <f t="shared" si="29"/>
        <v>2685178.40714915</v>
      </c>
      <c r="F44" s="1274">
        <f t="shared" si="29"/>
        <v>7740173.2875772798</v>
      </c>
      <c r="G44" s="1274">
        <f t="shared" si="29"/>
        <v>5071463.7241567578</v>
      </c>
      <c r="H44" s="1274">
        <f t="shared" si="29"/>
        <v>4095326.7855570484</v>
      </c>
      <c r="I44" s="1274">
        <f t="shared" si="29"/>
        <v>2601153.2227396183</v>
      </c>
      <c r="J44" s="1274">
        <f t="shared" si="29"/>
        <v>5020177.9049716927</v>
      </c>
      <c r="K44" s="1274">
        <f t="shared" si="29"/>
        <v>4992245.4776528012</v>
      </c>
      <c r="L44" s="1274">
        <f t="shared" si="29"/>
        <v>8188798.3248592634</v>
      </c>
      <c r="M44" s="1274">
        <f t="shared" si="29"/>
        <v>7459888.6886646338</v>
      </c>
      <c r="N44" s="1274">
        <f t="shared" si="29"/>
        <v>4803466.988367768</v>
      </c>
      <c r="O44" s="1274">
        <f t="shared" si="29"/>
        <v>4743005.1953024957</v>
      </c>
      <c r="P44" s="436" t="s">
        <v>44</v>
      </c>
      <c r="Q44" s="262">
        <f t="shared" ref="Q44:AC44" si="30">Q33-Q42</f>
        <v>14880155.283764461</v>
      </c>
      <c r="R44" s="268">
        <f>(Q44/$Q$20)*100</f>
        <v>18.056839776918213</v>
      </c>
      <c r="S44" s="262">
        <f t="shared" si="30"/>
        <v>11767943.732453432</v>
      </c>
      <c r="T44" s="268">
        <f>(S44/$S$20)*100</f>
        <v>12.878090070412087</v>
      </c>
      <c r="U44" s="262">
        <f t="shared" si="30"/>
        <v>26648099.016217906</v>
      </c>
      <c r="V44" s="268">
        <f>(U44/$U$20)*100</f>
        <v>15.333780713167174</v>
      </c>
      <c r="W44" s="262">
        <f t="shared" si="30"/>
        <v>18201221.707483757</v>
      </c>
      <c r="X44" s="268">
        <f>(W44/$W$20)*100</f>
        <v>19.149766051520619</v>
      </c>
      <c r="Y44" s="262">
        <f t="shared" si="30"/>
        <v>44849320.723701656</v>
      </c>
      <c r="Z44" s="268">
        <f>(Y44/$Y$20)*100</f>
        <v>16.682930724102089</v>
      </c>
      <c r="AA44" s="262">
        <f t="shared" si="30"/>
        <v>17006360.872334905</v>
      </c>
      <c r="AB44" s="268">
        <f>(AA44/$AA$20)*100</f>
        <v>16.569072783596635</v>
      </c>
      <c r="AC44" s="262">
        <f t="shared" si="30"/>
        <v>61855681.596036553</v>
      </c>
      <c r="AD44" s="273">
        <f t="shared" si="26"/>
        <v>16.651471389875169</v>
      </c>
      <c r="AE44" s="41" t="s">
        <v>28</v>
      </c>
      <c r="AF44" s="1139">
        <f ca="1">SUM(D44:OFFSET(D44,0,$G$3-1))</f>
        <v>24046945.793478265</v>
      </c>
      <c r="AG44" s="1231"/>
    </row>
    <row r="45" spans="1:35" x14ac:dyDescent="0.2">
      <c r="A45" s="10"/>
      <c r="B45" s="1271" t="s">
        <v>28</v>
      </c>
      <c r="C45" s="19"/>
      <c r="D45" s="1277" t="s">
        <v>28</v>
      </c>
      <c r="E45" s="1277" t="s">
        <v>28</v>
      </c>
      <c r="F45" s="1277" t="s">
        <v>28</v>
      </c>
      <c r="G45" s="1277" t="s">
        <v>28</v>
      </c>
      <c r="H45" s="1277" t="s">
        <v>28</v>
      </c>
      <c r="I45" s="1277" t="s">
        <v>28</v>
      </c>
      <c r="J45" s="1277" t="s">
        <v>28</v>
      </c>
      <c r="K45" s="1277" t="s">
        <v>28</v>
      </c>
      <c r="L45" s="1277" t="s">
        <v>28</v>
      </c>
      <c r="M45" s="1277" t="s">
        <v>28</v>
      </c>
      <c r="N45" s="1277" t="s">
        <v>28</v>
      </c>
      <c r="O45" s="1277" t="s">
        <v>28</v>
      </c>
      <c r="P45" s="436"/>
      <c r="Q45" s="259"/>
      <c r="R45" s="266"/>
      <c r="S45" s="259"/>
      <c r="T45" s="266"/>
      <c r="U45" s="259"/>
      <c r="V45" s="266"/>
      <c r="W45" s="259"/>
      <c r="X45" s="266"/>
      <c r="Y45" s="259"/>
      <c r="Z45" s="266"/>
      <c r="AA45" s="259"/>
      <c r="AB45" s="270"/>
      <c r="AC45" s="259"/>
      <c r="AD45" s="272"/>
      <c r="AE45" t="s">
        <v>28</v>
      </c>
    </row>
    <row r="46" spans="1:35" x14ac:dyDescent="0.2">
      <c r="A46" s="10" t="s">
        <v>45</v>
      </c>
      <c r="B46" s="1271" t="s">
        <v>28</v>
      </c>
      <c r="C46" s="23" t="s">
        <v>28</v>
      </c>
      <c r="D46" s="1277" t="s">
        <v>28</v>
      </c>
      <c r="E46" s="1277" t="s">
        <v>28</v>
      </c>
      <c r="F46" s="1277" t="s">
        <v>28</v>
      </c>
      <c r="G46" s="1277" t="s">
        <v>28</v>
      </c>
      <c r="H46" s="1277" t="s">
        <v>28</v>
      </c>
      <c r="I46" s="1277" t="s">
        <v>28</v>
      </c>
      <c r="J46" s="1277" t="s">
        <v>28</v>
      </c>
      <c r="K46" s="1277" t="s">
        <v>28</v>
      </c>
      <c r="L46" s="1277" t="s">
        <v>28</v>
      </c>
      <c r="M46" s="1277" t="s">
        <v>28</v>
      </c>
      <c r="N46" s="1277" t="s">
        <v>28</v>
      </c>
      <c r="O46" s="1277" t="s">
        <v>28</v>
      </c>
      <c r="P46" s="436" t="s">
        <v>45</v>
      </c>
      <c r="Q46" s="259"/>
      <c r="R46" s="266"/>
      <c r="S46" s="259"/>
      <c r="T46" s="266"/>
      <c r="U46" s="259"/>
      <c r="V46" s="266"/>
      <c r="W46" s="259"/>
      <c r="X46" s="266"/>
      <c r="Y46" s="259"/>
      <c r="Z46" s="266"/>
      <c r="AA46" s="259"/>
      <c r="AB46" s="270"/>
      <c r="AC46" s="259"/>
      <c r="AD46" s="272"/>
      <c r="AE46" t="s">
        <v>28</v>
      </c>
    </row>
    <row r="47" spans="1:35" x14ac:dyDescent="0.2">
      <c r="A47" s="11"/>
      <c r="B47" s="1271" t="s">
        <v>28</v>
      </c>
      <c r="C47" s="19"/>
      <c r="D47" s="1277" t="s">
        <v>28</v>
      </c>
      <c r="E47" s="1277" t="s">
        <v>28</v>
      </c>
      <c r="F47" s="1277" t="s">
        <v>28</v>
      </c>
      <c r="G47" s="1277" t="s">
        <v>28</v>
      </c>
      <c r="H47" s="1277" t="s">
        <v>28</v>
      </c>
      <c r="I47" s="1277" t="s">
        <v>28</v>
      </c>
      <c r="J47" s="1277" t="s">
        <v>28</v>
      </c>
      <c r="K47" s="1277" t="s">
        <v>28</v>
      </c>
      <c r="L47" s="1277" t="s">
        <v>28</v>
      </c>
      <c r="M47" s="1277" t="s">
        <v>28</v>
      </c>
      <c r="N47" s="1277" t="s">
        <v>28</v>
      </c>
      <c r="O47" s="1277" t="s">
        <v>28</v>
      </c>
      <c r="P47" s="680"/>
      <c r="Q47" s="259"/>
      <c r="R47" s="266"/>
      <c r="S47" s="259"/>
      <c r="T47" s="266"/>
      <c r="U47" s="259"/>
      <c r="V47" s="266"/>
      <c r="W47" s="259"/>
      <c r="X47" s="266"/>
      <c r="Y47" s="259"/>
      <c r="Z47" s="266"/>
      <c r="AA47" s="259"/>
      <c r="AB47" s="270"/>
      <c r="AC47" s="259"/>
      <c r="AD47" s="272"/>
      <c r="AE47" t="s">
        <v>28</v>
      </c>
    </row>
    <row r="48" spans="1:35" x14ac:dyDescent="0.2">
      <c r="A48" s="1159" t="s">
        <v>46</v>
      </c>
      <c r="B48" s="1271">
        <f>SUM(D48:O48)</f>
        <v>-1234298.0999999999</v>
      </c>
      <c r="C48" s="257">
        <f>(B48/$B$20)*100</f>
        <v>-0.33227149015918722</v>
      </c>
      <c r="D48" s="1275">
        <f>-'Productos financieros 2014'!B13</f>
        <v>-110763.62</v>
      </c>
      <c r="E48" s="1275">
        <f>-'Productos financieros 2014'!C13</f>
        <v>-110572.75</v>
      </c>
      <c r="F48" s="1275">
        <f>-'Productos financieros 2014'!D13</f>
        <v>-99031.92</v>
      </c>
      <c r="G48" s="1275">
        <f>-'Productos financieros 2014'!E13</f>
        <v>-86883.959999999992</v>
      </c>
      <c r="H48" s="1275">
        <f>-'Productos financieros 2014'!F13</f>
        <v>-116113.72</v>
      </c>
      <c r="I48" s="1275">
        <f>-'Productos financieros 2014'!G13</f>
        <v>-66401.819999999992</v>
      </c>
      <c r="J48" s="1275">
        <f>-'Productos financieros 2014'!H13</f>
        <v>-149578.02000000002</v>
      </c>
      <c r="K48" s="1275">
        <f>-'Productos financieros 2014'!I13</f>
        <v>-43920.149999999987</v>
      </c>
      <c r="L48" s="1275">
        <f>-'Productos financieros 2014'!J13</f>
        <v>-63629.86</v>
      </c>
      <c r="M48" s="1275">
        <f>-'Productos financieros 2014'!K13</f>
        <v>-320474.86</v>
      </c>
      <c r="N48" s="1275">
        <f>-'Productos financieros 2014'!L13</f>
        <v>36691.87000000001</v>
      </c>
      <c r="O48" s="1275">
        <f>-'Productos financieros 2014'!M13</f>
        <v>-103619.29</v>
      </c>
      <c r="P48" s="434" t="s">
        <v>46</v>
      </c>
      <c r="Q48" s="259">
        <f>SUM(D48:F48)</f>
        <v>-320368.28999999998</v>
      </c>
      <c r="R48" s="266">
        <f>(Q48/$Q$20)*100</f>
        <v>-0.38876199688903984</v>
      </c>
      <c r="S48" s="259">
        <f>SUM(G48:I48)</f>
        <v>-269399.5</v>
      </c>
      <c r="T48" s="266">
        <f>(S48/$S$20)*100</f>
        <v>-0.29481369938541302</v>
      </c>
      <c r="U48" s="259">
        <f>+Q48+S48</f>
        <v>-589767.79</v>
      </c>
      <c r="V48" s="266">
        <f>(U48/$U$20)*100</f>
        <v>-0.3393626674099896</v>
      </c>
      <c r="W48" s="259">
        <f>SUM(J48:L48)</f>
        <v>-257128.03000000003</v>
      </c>
      <c r="X48" s="266">
        <f>(W48/$W$20)*100</f>
        <v>-0.27052808316508825</v>
      </c>
      <c r="Y48" s="259">
        <f>+U48+W48</f>
        <v>-846895.82000000007</v>
      </c>
      <c r="Z48" s="266">
        <f>(Y48/$Y$20)*100</f>
        <v>-0.31502604872508122</v>
      </c>
      <c r="AA48" s="259">
        <f>SUM(M48:O48)</f>
        <v>-387402.27999999997</v>
      </c>
      <c r="AB48" s="270">
        <f>(AA48/$AA$20)*100</f>
        <v>-0.37744092472442009</v>
      </c>
      <c r="AC48" s="259">
        <f>+Q48+S48+W48+AA48</f>
        <v>-1234298.1000000001</v>
      </c>
      <c r="AD48" s="272">
        <f>(AC48/$AC$20)*100</f>
        <v>-0.33227149015918733</v>
      </c>
      <c r="AE48" s="41" t="s">
        <v>28</v>
      </c>
      <c r="AF48" s="1139">
        <f ca="1">SUM(D48:OFFSET(D48,0,$G$3-1))</f>
        <v>-523365.97</v>
      </c>
      <c r="AG48" s="1231"/>
      <c r="AH48" s="1217" t="s">
        <v>10141</v>
      </c>
      <c r="AI48" s="1158" t="s">
        <v>10138</v>
      </c>
    </row>
    <row r="49" spans="1:36" s="1158" customFormat="1" x14ac:dyDescent="0.2">
      <c r="A49" s="1159" t="s">
        <v>47</v>
      </c>
      <c r="B49" s="1268">
        <f>SUM(D49:O49)</f>
        <v>6265402.6700000009</v>
      </c>
      <c r="C49" s="1223">
        <f>(B49/$B$20)*100</f>
        <v>1.6866384883912979</v>
      </c>
      <c r="D49" s="1269">
        <f>'Gtos financieros 2014'!F55</f>
        <v>545651.12</v>
      </c>
      <c r="E49" s="1269">
        <f>'Gtos financieros 2014'!G55</f>
        <v>541460.76</v>
      </c>
      <c r="F49" s="1269">
        <f>'Gtos financieros 2014'!H55</f>
        <v>537244.57999999996</v>
      </c>
      <c r="G49" s="1269">
        <f>'Gtos financieros 2014'!I55</f>
        <v>533001.56999999995</v>
      </c>
      <c r="H49" s="1269">
        <f>'Gtos financieros 2014'!J55</f>
        <v>528732.71</v>
      </c>
      <c r="I49" s="1269">
        <f>'Gtos financieros 2014'!K55</f>
        <v>524435.01</v>
      </c>
      <c r="J49" s="1269">
        <f>'Gtos financieros 2014'!L55</f>
        <v>520113.43</v>
      </c>
      <c r="K49" s="1269">
        <f>'Gtos financieros 2014'!M55</f>
        <v>515761.98</v>
      </c>
      <c r="L49" s="1269">
        <f>'Gtos financieros 2014'!N55</f>
        <v>511385.65</v>
      </c>
      <c r="M49" s="1269">
        <f>'Gtos financieros 2014'!O55</f>
        <v>506979.41</v>
      </c>
      <c r="N49" s="1269">
        <f>'Gtos financieros 2014'!P55</f>
        <v>502548.26</v>
      </c>
      <c r="O49" s="1269">
        <f>'Gtos financieros 2014'!Q55</f>
        <v>498088.19</v>
      </c>
      <c r="P49" s="1225" t="s">
        <v>47</v>
      </c>
      <c r="Q49" s="1226">
        <f>SUM(D49:F49)</f>
        <v>1624356.46</v>
      </c>
      <c r="R49" s="1227">
        <f>(Q49/$Q$20)*100</f>
        <v>1.9711316030972097</v>
      </c>
      <c r="S49" s="1226">
        <f>SUM(G49:I49)</f>
        <v>1586169.2899999998</v>
      </c>
      <c r="T49" s="1227">
        <f>(S49/$S$20)*100</f>
        <v>1.7358029106825883</v>
      </c>
      <c r="U49" s="1226">
        <f>+Q49+S49</f>
        <v>3210525.75</v>
      </c>
      <c r="V49" s="1227">
        <f>(U49/$U$20)*100</f>
        <v>1.8473924835882567</v>
      </c>
      <c r="W49" s="1226">
        <f>SUM(J49:L49)</f>
        <v>1547261.06</v>
      </c>
      <c r="X49" s="1227">
        <f>(W49/$W$20)*100</f>
        <v>1.6278955223893037</v>
      </c>
      <c r="Y49" s="1226">
        <f>+U49+W49</f>
        <v>4757786.8100000005</v>
      </c>
      <c r="Z49" s="1227">
        <f>(Y49/$Y$20)*100</f>
        <v>1.7697888500980072</v>
      </c>
      <c r="AA49" s="1226">
        <f>SUM(M49:O49)</f>
        <v>1507615.8599999999</v>
      </c>
      <c r="AB49" s="1228">
        <f>(AA49/$AA$20)*100</f>
        <v>1.4688502203125957</v>
      </c>
      <c r="AC49" s="1226">
        <f>+Q49+S49+W49+AA49</f>
        <v>6265402.6699999999</v>
      </c>
      <c r="AD49" s="1229">
        <f>(AC49/$AC$20)*100</f>
        <v>1.6866384883912975</v>
      </c>
      <c r="AE49" s="1230" t="s">
        <v>28</v>
      </c>
      <c r="AF49" s="1231">
        <f ca="1">SUM(D49:OFFSET(D49,0,$G$3-1))</f>
        <v>2686090.7399999998</v>
      </c>
      <c r="AG49" s="1231"/>
      <c r="AH49" s="1217" t="s">
        <v>10142</v>
      </c>
      <c r="AI49" s="1158" t="s">
        <v>10138</v>
      </c>
    </row>
    <row r="50" spans="1:36" x14ac:dyDescent="0.2">
      <c r="A50" s="10"/>
      <c r="B50" s="1271" t="s">
        <v>28</v>
      </c>
      <c r="C50" s="23" t="s">
        <v>28</v>
      </c>
      <c r="D50" s="1277" t="s">
        <v>28</v>
      </c>
      <c r="E50" s="1277" t="s">
        <v>28</v>
      </c>
      <c r="F50" s="1277" t="s">
        <v>28</v>
      </c>
      <c r="G50" s="1277" t="s">
        <v>28</v>
      </c>
      <c r="H50" s="1277" t="s">
        <v>28</v>
      </c>
      <c r="I50" s="1277" t="s">
        <v>28</v>
      </c>
      <c r="J50" s="1277" t="s">
        <v>28</v>
      </c>
      <c r="K50" s="1277" t="s">
        <v>28</v>
      </c>
      <c r="L50" s="1277" t="s">
        <v>28</v>
      </c>
      <c r="M50" s="1277" t="s">
        <v>28</v>
      </c>
      <c r="N50" s="1277" t="s">
        <v>28</v>
      </c>
      <c r="O50" s="1277" t="s">
        <v>28</v>
      </c>
      <c r="P50" s="436"/>
      <c r="Q50" s="259"/>
      <c r="R50" s="266"/>
      <c r="S50" s="259"/>
      <c r="T50" s="266"/>
      <c r="U50" s="259"/>
      <c r="V50" s="266"/>
      <c r="W50" s="259"/>
      <c r="X50" s="266"/>
      <c r="Y50" s="259"/>
      <c r="Z50" s="266"/>
      <c r="AA50" s="259"/>
      <c r="AB50" s="270"/>
      <c r="AC50" s="259"/>
      <c r="AD50" s="272"/>
      <c r="AE50" t="s">
        <v>28</v>
      </c>
    </row>
    <row r="51" spans="1:36" x14ac:dyDescent="0.2">
      <c r="A51" s="10" t="s">
        <v>48</v>
      </c>
      <c r="B51" s="1270">
        <f>SUM(B48:B49)</f>
        <v>5031104.5700000012</v>
      </c>
      <c r="C51" s="68">
        <f>(B51/$B$20)*100</f>
        <v>1.3543669982321107</v>
      </c>
      <c r="D51" s="1274">
        <f>SUM(D48:D49)</f>
        <v>434887.5</v>
      </c>
      <c r="E51" s="1274">
        <f t="shared" ref="E51:O51" si="31">SUM(E48:E49)</f>
        <v>430888.01</v>
      </c>
      <c r="F51" s="1274">
        <f t="shared" si="31"/>
        <v>438212.66</v>
      </c>
      <c r="G51" s="1274">
        <f t="shared" si="31"/>
        <v>446117.61</v>
      </c>
      <c r="H51" s="1274">
        <f t="shared" si="31"/>
        <v>412618.99</v>
      </c>
      <c r="I51" s="1274">
        <f t="shared" si="31"/>
        <v>458033.19</v>
      </c>
      <c r="J51" s="1274">
        <f t="shared" si="31"/>
        <v>370535.41</v>
      </c>
      <c r="K51" s="1274">
        <f t="shared" si="31"/>
        <v>471841.83</v>
      </c>
      <c r="L51" s="1274">
        <f t="shared" si="31"/>
        <v>447755.79000000004</v>
      </c>
      <c r="M51" s="1274">
        <f t="shared" si="31"/>
        <v>186504.55</v>
      </c>
      <c r="N51" s="1274">
        <f t="shared" si="31"/>
        <v>539240.13</v>
      </c>
      <c r="O51" s="1274">
        <f t="shared" si="31"/>
        <v>394468.9</v>
      </c>
      <c r="P51" s="436" t="s">
        <v>48</v>
      </c>
      <c r="Q51" s="262">
        <f t="shared" ref="Q51:AC51" si="32">SUM(Q48:Q50)</f>
        <v>1303988.17</v>
      </c>
      <c r="R51" s="268">
        <f>(Q51/$Q$20)*100</f>
        <v>1.5823696062081698</v>
      </c>
      <c r="S51" s="262">
        <f t="shared" si="32"/>
        <v>1316769.7899999998</v>
      </c>
      <c r="T51" s="268">
        <f>(S51/$S$20)*100</f>
        <v>1.4409892112971752</v>
      </c>
      <c r="U51" s="262">
        <f t="shared" si="32"/>
        <v>2620757.96</v>
      </c>
      <c r="V51" s="268">
        <f>(U51/$U$20)*100</f>
        <v>1.508029816178267</v>
      </c>
      <c r="W51" s="262">
        <f t="shared" si="32"/>
        <v>1290133.03</v>
      </c>
      <c r="X51" s="268">
        <f>(W51/$W$20)*100</f>
        <v>1.3573674392242157</v>
      </c>
      <c r="Y51" s="262">
        <f t="shared" si="32"/>
        <v>3910890.99</v>
      </c>
      <c r="Z51" s="268">
        <f>(Y51/$Y$20)*100</f>
        <v>1.4547628013729259</v>
      </c>
      <c r="AA51" s="262">
        <f t="shared" si="32"/>
        <v>1120213.5799999998</v>
      </c>
      <c r="AB51" s="268">
        <f>(AA51/$AA$20)*100</f>
        <v>1.0914092955881753</v>
      </c>
      <c r="AC51" s="262">
        <f t="shared" si="32"/>
        <v>5031104.57</v>
      </c>
      <c r="AD51" s="273">
        <f>(AC51/$AC$20)*100</f>
        <v>1.3543669982321105</v>
      </c>
      <c r="AE51" s="41" t="s">
        <v>28</v>
      </c>
      <c r="AF51" s="1139">
        <f ca="1">SUM(D51:OFFSET(D51,0,$G$3-1))</f>
        <v>2162724.7699999996</v>
      </c>
      <c r="AG51" s="1231"/>
    </row>
    <row r="52" spans="1:36" x14ac:dyDescent="0.2">
      <c r="A52" s="10"/>
      <c r="B52" s="1271"/>
      <c r="C52" s="223"/>
      <c r="D52" s="1275"/>
      <c r="E52" s="1275"/>
      <c r="F52" s="1275"/>
      <c r="G52" s="1275"/>
      <c r="H52" s="1275"/>
      <c r="I52" s="1275"/>
      <c r="J52" s="1275"/>
      <c r="K52" s="1275"/>
      <c r="L52" s="1275"/>
      <c r="M52" s="1275"/>
      <c r="N52" s="1275"/>
      <c r="O52" s="1275"/>
      <c r="P52" s="436"/>
      <c r="Q52" s="259"/>
      <c r="R52" s="266"/>
      <c r="S52" s="259"/>
      <c r="T52" s="266"/>
      <c r="U52" s="259"/>
      <c r="V52" s="266"/>
      <c r="W52" s="259"/>
      <c r="X52" s="266"/>
      <c r="Y52" s="259"/>
      <c r="Z52" s="266"/>
      <c r="AA52" s="259"/>
      <c r="AB52" s="270"/>
      <c r="AC52" s="259"/>
      <c r="AD52" s="272"/>
      <c r="AE52" s="41"/>
    </row>
    <row r="53" spans="1:36" hidden="1" outlineLevel="1" x14ac:dyDescent="0.2">
      <c r="A53" s="10" t="s">
        <v>205</v>
      </c>
      <c r="B53" s="1271"/>
      <c r="C53" s="19"/>
      <c r="D53" s="1277"/>
      <c r="E53" s="1277"/>
      <c r="F53" s="1277"/>
      <c r="G53" s="1277"/>
      <c r="H53" s="1277"/>
      <c r="I53" s="1277"/>
      <c r="J53" s="1277"/>
      <c r="K53" s="1277"/>
      <c r="L53" s="1277"/>
      <c r="M53" s="1277"/>
      <c r="N53" s="1277"/>
      <c r="O53" s="1277"/>
      <c r="P53" s="436" t="s">
        <v>205</v>
      </c>
      <c r="Q53" s="259"/>
      <c r="R53" s="266"/>
      <c r="S53" s="259"/>
      <c r="T53" s="266"/>
      <c r="U53" s="259"/>
      <c r="V53" s="266"/>
      <c r="W53" s="259"/>
      <c r="X53" s="266"/>
      <c r="Y53" s="259"/>
      <c r="Z53" s="266"/>
      <c r="AA53" s="259"/>
      <c r="AB53" s="270"/>
      <c r="AC53" s="259"/>
      <c r="AD53" s="272"/>
    </row>
    <row r="54" spans="1:36" hidden="1" outlineLevel="1" x14ac:dyDescent="0.2">
      <c r="A54" s="10"/>
      <c r="B54" s="1271"/>
      <c r="C54" s="19"/>
      <c r="D54" s="1277"/>
      <c r="E54" s="1277"/>
      <c r="F54" s="1277"/>
      <c r="G54" s="1277"/>
      <c r="H54" s="1277"/>
      <c r="I54" s="1277"/>
      <c r="J54" s="1277"/>
      <c r="K54" s="1277"/>
      <c r="L54" s="1277"/>
      <c r="M54" s="1277"/>
      <c r="N54" s="1277"/>
      <c r="O54" s="1277"/>
      <c r="P54" s="436"/>
      <c r="Q54" s="259"/>
      <c r="R54" s="266"/>
      <c r="S54" s="259"/>
      <c r="T54" s="266"/>
      <c r="U54" s="259"/>
      <c r="V54" s="266"/>
      <c r="W54" s="259"/>
      <c r="X54" s="266"/>
      <c r="Y54" s="259"/>
      <c r="Z54" s="266"/>
      <c r="AA54" s="259"/>
      <c r="AB54" s="270"/>
      <c r="AC54" s="259"/>
      <c r="AD54" s="272"/>
    </row>
    <row r="55" spans="1:36" hidden="1" outlineLevel="1" x14ac:dyDescent="0.2">
      <c r="A55" s="16" t="s">
        <v>206</v>
      </c>
      <c r="B55" s="1271">
        <f>SUM(D55:O55)</f>
        <v>0</v>
      </c>
      <c r="C55" s="19">
        <f>(B55/$B$20)*100</f>
        <v>0</v>
      </c>
      <c r="D55" s="1278">
        <v>0</v>
      </c>
      <c r="E55" s="1278">
        <v>0</v>
      </c>
      <c r="F55" s="1278">
        <v>0</v>
      </c>
      <c r="G55" s="1278">
        <v>0</v>
      </c>
      <c r="H55" s="1278">
        <v>0</v>
      </c>
      <c r="I55" s="1278">
        <v>0</v>
      </c>
      <c r="J55" s="1278">
        <v>0</v>
      </c>
      <c r="K55" s="1278">
        <v>0</v>
      </c>
      <c r="L55" s="1278">
        <v>0</v>
      </c>
      <c r="M55" s="1278">
        <v>0</v>
      </c>
      <c r="N55" s="1278">
        <v>0</v>
      </c>
      <c r="O55" s="1278">
        <v>0</v>
      </c>
      <c r="P55" s="435" t="s">
        <v>206</v>
      </c>
      <c r="Q55" s="259">
        <f>SUM(D55:F55)</f>
        <v>0</v>
      </c>
      <c r="R55" s="266">
        <f>(Q55/$Q$20)*100</f>
        <v>0</v>
      </c>
      <c r="S55" s="259">
        <f>SUM(G55:I55)</f>
        <v>0</v>
      </c>
      <c r="T55" s="266">
        <f>(S55/$S$20)*100</f>
        <v>0</v>
      </c>
      <c r="U55" s="259">
        <f>+Q55+S55</f>
        <v>0</v>
      </c>
      <c r="V55" s="266">
        <f>(U55/$U$20)*100</f>
        <v>0</v>
      </c>
      <c r="W55" s="259">
        <f>SUM(J55:L55)</f>
        <v>0</v>
      </c>
      <c r="X55" s="266">
        <f>(W55/$W$20)*100</f>
        <v>0</v>
      </c>
      <c r="Y55" s="259">
        <f>+U55+W55</f>
        <v>0</v>
      </c>
      <c r="Z55" s="266">
        <f>(Y55/$Y$20)*100</f>
        <v>0</v>
      </c>
      <c r="AA55" s="259">
        <f>SUM(M55:O55)</f>
        <v>0</v>
      </c>
      <c r="AB55" s="270">
        <f>(AA55/$AA$20)*100</f>
        <v>0</v>
      </c>
      <c r="AC55" s="259">
        <f>+Q55+S55+W55+AA55</f>
        <v>0</v>
      </c>
      <c r="AD55" s="272">
        <f>(AC55/$AC$20)*100</f>
        <v>0</v>
      </c>
    </row>
    <row r="56" spans="1:36" hidden="1" outlineLevel="1" x14ac:dyDescent="0.2">
      <c r="A56" s="16"/>
      <c r="B56" s="1271"/>
      <c r="C56" s="19"/>
      <c r="D56" s="1277"/>
      <c r="E56" s="1277"/>
      <c r="F56" s="1277"/>
      <c r="G56" s="1277"/>
      <c r="H56" s="1277"/>
      <c r="I56" s="1277"/>
      <c r="J56" s="1277"/>
      <c r="K56" s="1277"/>
      <c r="L56" s="1277"/>
      <c r="M56" s="1277"/>
      <c r="N56" s="1277"/>
      <c r="O56" s="1277"/>
      <c r="P56" s="435"/>
      <c r="Q56" s="259"/>
      <c r="R56" s="266"/>
      <c r="S56" s="259"/>
      <c r="T56" s="266"/>
      <c r="U56" s="259"/>
      <c r="V56" s="266"/>
      <c r="W56" s="259"/>
      <c r="X56" s="266"/>
      <c r="Y56" s="259"/>
      <c r="Z56" s="266"/>
      <c r="AA56" s="259"/>
      <c r="AB56" s="270"/>
      <c r="AC56" s="259"/>
      <c r="AD56" s="272"/>
    </row>
    <row r="57" spans="1:36" hidden="1" outlineLevel="1" x14ac:dyDescent="0.2">
      <c r="A57" s="10" t="s">
        <v>210</v>
      </c>
      <c r="B57" s="1273">
        <f>+B55</f>
        <v>0</v>
      </c>
      <c r="C57" s="68">
        <f>(B57/$B$20)*100</f>
        <v>0</v>
      </c>
      <c r="D57" s="1279">
        <f>+D55</f>
        <v>0</v>
      </c>
      <c r="E57" s="1279">
        <f t="shared" ref="E57:O57" si="33">+E55</f>
        <v>0</v>
      </c>
      <c r="F57" s="1279">
        <f t="shared" si="33"/>
        <v>0</v>
      </c>
      <c r="G57" s="1279">
        <f t="shared" si="33"/>
        <v>0</v>
      </c>
      <c r="H57" s="1279">
        <f t="shared" si="33"/>
        <v>0</v>
      </c>
      <c r="I57" s="1279">
        <f t="shared" si="33"/>
        <v>0</v>
      </c>
      <c r="J57" s="1279">
        <f t="shared" si="33"/>
        <v>0</v>
      </c>
      <c r="K57" s="1279">
        <f t="shared" si="33"/>
        <v>0</v>
      </c>
      <c r="L57" s="1279">
        <f t="shared" si="33"/>
        <v>0</v>
      </c>
      <c r="M57" s="1279">
        <f t="shared" si="33"/>
        <v>0</v>
      </c>
      <c r="N57" s="1279">
        <f t="shared" si="33"/>
        <v>0</v>
      </c>
      <c r="O57" s="1279">
        <f t="shared" si="33"/>
        <v>0</v>
      </c>
      <c r="P57" s="436" t="s">
        <v>210</v>
      </c>
      <c r="Q57" s="263">
        <f>+Q55</f>
        <v>0</v>
      </c>
      <c r="R57" s="268">
        <f>(Q57/$Q$20)*100</f>
        <v>0</v>
      </c>
      <c r="S57" s="262">
        <f>+S55</f>
        <v>0</v>
      </c>
      <c r="T57" s="268">
        <f>(S57/$S$20)*100</f>
        <v>0</v>
      </c>
      <c r="U57" s="262">
        <f>+U55</f>
        <v>0</v>
      </c>
      <c r="V57" s="268">
        <f>(U57/$U$20)*100</f>
        <v>0</v>
      </c>
      <c r="W57" s="262">
        <f>+W55</f>
        <v>0</v>
      </c>
      <c r="X57" s="268">
        <f>(W57/$W$20)*100</f>
        <v>0</v>
      </c>
      <c r="Y57" s="262">
        <f>+Y55</f>
        <v>0</v>
      </c>
      <c r="Z57" s="268">
        <f>(Y57/$Y$20)*100</f>
        <v>0</v>
      </c>
      <c r="AA57" s="262">
        <f>+AA55</f>
        <v>0</v>
      </c>
      <c r="AB57" s="268">
        <f>(AA57/$AA$20)*100</f>
        <v>0</v>
      </c>
      <c r="AC57" s="262">
        <f>+AC55</f>
        <v>0</v>
      </c>
      <c r="AD57" s="273">
        <f>(AC57/$AC$20)*100</f>
        <v>0</v>
      </c>
    </row>
    <row r="58" spans="1:36" collapsed="1" x14ac:dyDescent="0.2">
      <c r="A58" s="16"/>
      <c r="B58" s="1271"/>
      <c r="C58" s="19"/>
      <c r="D58" s="1277"/>
      <c r="E58" s="1277"/>
      <c r="F58" s="1277"/>
      <c r="G58" s="1277"/>
      <c r="H58" s="1277"/>
      <c r="I58" s="1277"/>
      <c r="J58" s="1277"/>
      <c r="K58" s="1277"/>
      <c r="L58" s="1277"/>
      <c r="M58" s="1277"/>
      <c r="N58" s="1277"/>
      <c r="O58" s="1277"/>
      <c r="P58" s="435"/>
      <c r="Q58" s="259"/>
      <c r="R58" s="266"/>
      <c r="S58" s="259"/>
      <c r="T58" s="266"/>
      <c r="U58" s="259"/>
      <c r="V58" s="266"/>
      <c r="W58" s="259"/>
      <c r="X58" s="266"/>
      <c r="Y58" s="259"/>
      <c r="Z58" s="266"/>
      <c r="AA58" s="259"/>
      <c r="AB58" s="270"/>
      <c r="AC58" s="259"/>
      <c r="AD58" s="272"/>
    </row>
    <row r="59" spans="1:36" x14ac:dyDescent="0.2">
      <c r="A59" s="222" t="s">
        <v>209</v>
      </c>
      <c r="B59" s="1270">
        <f>+B44-B51-B57</f>
        <v>56824577.026036538</v>
      </c>
      <c r="C59" s="382">
        <f>(B59/$B$20)*100</f>
        <v>15.297104391643055</v>
      </c>
      <c r="D59" s="1279">
        <f>+D44-D51-D57</f>
        <v>4019916.089038033</v>
      </c>
      <c r="E59" s="1279">
        <f t="shared" ref="E59:O59" si="34">+E44-E51-E57</f>
        <v>2254290.3971491503</v>
      </c>
      <c r="F59" s="1279">
        <f t="shared" si="34"/>
        <v>7301960.6275772797</v>
      </c>
      <c r="G59" s="1279">
        <f t="shared" si="34"/>
        <v>4625346.1141567575</v>
      </c>
      <c r="H59" s="1279">
        <f t="shared" si="34"/>
        <v>3682707.7955570482</v>
      </c>
      <c r="I59" s="1279">
        <f t="shared" si="34"/>
        <v>2143120.0327396183</v>
      </c>
      <c r="J59" s="1279">
        <f t="shared" si="34"/>
        <v>4649642.4949716926</v>
      </c>
      <c r="K59" s="1279">
        <f t="shared" si="34"/>
        <v>4520403.6476528011</v>
      </c>
      <c r="L59" s="1279">
        <f t="shared" si="34"/>
        <v>7741042.5348592633</v>
      </c>
      <c r="M59" s="1279">
        <f t="shared" si="34"/>
        <v>7273384.138664634</v>
      </c>
      <c r="N59" s="1279">
        <f t="shared" si="34"/>
        <v>4264226.8583677681</v>
      </c>
      <c r="O59" s="1279">
        <f t="shared" si="34"/>
        <v>4348536.2953024954</v>
      </c>
      <c r="P59" s="681" t="s">
        <v>209</v>
      </c>
      <c r="Q59" s="264">
        <f>+Q44-Q51-Q57</f>
        <v>13576167.113764461</v>
      </c>
      <c r="R59" s="268">
        <f>(Q59/$Q$20)*100</f>
        <v>16.474470170710042</v>
      </c>
      <c r="S59" s="264">
        <f>+S44-S51-S57</f>
        <v>10451173.942453433</v>
      </c>
      <c r="T59" s="268">
        <f>(S59/$S$20)*100</f>
        <v>11.437100859114913</v>
      </c>
      <c r="U59" s="264">
        <f>+U44-U51-U57</f>
        <v>24027341.056217905</v>
      </c>
      <c r="V59" s="268">
        <f>(U59/$U$20)*100</f>
        <v>13.825750896988906</v>
      </c>
      <c r="W59" s="264">
        <f>+W44-W51-W57</f>
        <v>16911088.677483756</v>
      </c>
      <c r="X59" s="268">
        <f>(W59/$W$20)*100</f>
        <v>17.792398612296402</v>
      </c>
      <c r="Y59" s="264">
        <f>+Y44-Y51-Y57</f>
        <v>40938429.733701654</v>
      </c>
      <c r="Z59" s="268">
        <f>(Y59/$Y$20)*100</f>
        <v>15.228167922729163</v>
      </c>
      <c r="AA59" s="264">
        <f>+AA44-AA51-AA57</f>
        <v>15886147.292334905</v>
      </c>
      <c r="AB59" s="268">
        <f>(AA59/$AA$20)*100</f>
        <v>15.477663488008458</v>
      </c>
      <c r="AC59" s="264">
        <f>+AC44-AC51-AC57</f>
        <v>56824577.026036553</v>
      </c>
      <c r="AD59" s="273">
        <f>(AC59/$AC$20)*100</f>
        <v>15.29710439164306</v>
      </c>
      <c r="AF59" s="1139">
        <f ca="1">SUM(D59:OFFSET(D59,0,$G$3-1))</f>
        <v>21884221.02347827</v>
      </c>
      <c r="AG59" s="1231"/>
    </row>
    <row r="60" spans="1:36" x14ac:dyDescent="0.2">
      <c r="A60" s="222"/>
      <c r="B60" s="1271"/>
      <c r="C60" s="223"/>
      <c r="D60" s="1278"/>
      <c r="E60" s="1278"/>
      <c r="F60" s="1278"/>
      <c r="G60" s="1278"/>
      <c r="H60" s="1278"/>
      <c r="I60" s="1278"/>
      <c r="J60" s="1278"/>
      <c r="K60" s="1278"/>
      <c r="L60" s="1278"/>
      <c r="M60" s="1278"/>
      <c r="N60" s="1278"/>
      <c r="O60" s="1278"/>
      <c r="P60" s="436"/>
      <c r="Q60" s="259"/>
      <c r="R60" s="266"/>
      <c r="S60" s="259"/>
      <c r="T60" s="266"/>
      <c r="U60" s="259"/>
      <c r="V60" s="266"/>
      <c r="W60" s="259"/>
      <c r="X60" s="266"/>
      <c r="Y60" s="259"/>
      <c r="Z60" s="266"/>
      <c r="AA60" s="259"/>
      <c r="AB60" s="270"/>
      <c r="AC60" s="259"/>
      <c r="AD60" s="272"/>
    </row>
    <row r="61" spans="1:36" x14ac:dyDescent="0.2">
      <c r="A61" s="10" t="s">
        <v>207</v>
      </c>
      <c r="B61" s="1271"/>
      <c r="C61" s="23"/>
      <c r="D61" s="1277" t="s">
        <v>28</v>
      </c>
      <c r="E61" s="1277" t="s">
        <v>28</v>
      </c>
      <c r="F61" s="1277" t="s">
        <v>28</v>
      </c>
      <c r="G61" s="1277" t="s">
        <v>28</v>
      </c>
      <c r="H61" s="1277" t="s">
        <v>28</v>
      </c>
      <c r="I61" s="1277" t="s">
        <v>28</v>
      </c>
      <c r="J61" s="1277" t="s">
        <v>28</v>
      </c>
      <c r="K61" s="1277" t="s">
        <v>28</v>
      </c>
      <c r="L61" s="1277" t="s">
        <v>28</v>
      </c>
      <c r="M61" s="1277" t="s">
        <v>28</v>
      </c>
      <c r="N61" s="1277" t="s">
        <v>28</v>
      </c>
      <c r="O61" s="1277" t="s">
        <v>28</v>
      </c>
      <c r="P61" s="436" t="s">
        <v>207</v>
      </c>
      <c r="Q61" s="259"/>
      <c r="R61" s="266"/>
      <c r="S61" s="259"/>
      <c r="T61" s="266"/>
      <c r="U61" s="259"/>
      <c r="V61" s="266"/>
      <c r="W61" s="259"/>
      <c r="X61" s="266"/>
      <c r="Y61" s="259"/>
      <c r="Z61" s="266"/>
      <c r="AA61" s="259"/>
      <c r="AB61" s="270"/>
      <c r="AC61" s="259"/>
      <c r="AD61" s="272"/>
      <c r="AE61" t="s">
        <v>28</v>
      </c>
    </row>
    <row r="62" spans="1:36" x14ac:dyDescent="0.2">
      <c r="A62" s="10"/>
      <c r="B62" s="1271"/>
      <c r="C62" s="23"/>
      <c r="D62" s="1277"/>
      <c r="E62" s="1277"/>
      <c r="F62" s="1277"/>
      <c r="G62" s="1277"/>
      <c r="H62" s="1277"/>
      <c r="I62" s="1277"/>
      <c r="J62" s="1277"/>
      <c r="K62" s="1277"/>
      <c r="L62" s="1277"/>
      <c r="M62" s="1277"/>
      <c r="N62" s="1277"/>
      <c r="O62" s="1277"/>
      <c r="P62" s="436"/>
      <c r="Q62" s="259"/>
      <c r="R62" s="266"/>
      <c r="S62" s="259"/>
      <c r="T62" s="266"/>
      <c r="U62" s="259"/>
      <c r="V62" s="266"/>
      <c r="W62" s="259"/>
      <c r="X62" s="266"/>
      <c r="Y62" s="259"/>
      <c r="Z62" s="266"/>
      <c r="AA62" s="259"/>
      <c r="AB62" s="270"/>
      <c r="AC62" s="259"/>
      <c r="AD62" s="272"/>
    </row>
    <row r="63" spans="1:36" x14ac:dyDescent="0.2">
      <c r="A63" s="1216" t="s">
        <v>9818</v>
      </c>
      <c r="B63" s="1271">
        <f>SUM(D63:O63)</f>
        <v>12754961.022692643</v>
      </c>
      <c r="C63" s="19">
        <f>(B63/$B$20)*100</f>
        <v>3.433619403556107</v>
      </c>
      <c r="D63" s="1275">
        <f>'[10]ISR VALORES'!$E$45</f>
        <v>-2368752.8117493857</v>
      </c>
      <c r="E63" s="1275">
        <f>'[10]ISR VALORES'!F$45</f>
        <v>1921624.4387435964</v>
      </c>
      <c r="F63" s="1275">
        <f>'[10]ISR VALORES'!G$45</f>
        <v>2138632.9527836982</v>
      </c>
      <c r="G63" s="1275">
        <f>'[10]ISR VALORES'!H$45</f>
        <v>1185757.1214347307</v>
      </c>
      <c r="H63" s="1275">
        <f>'[10]ISR VALORES'!I$45</f>
        <v>-83892.697800437498</v>
      </c>
      <c r="I63" s="1275">
        <f>'[10]ISR VALORES'!J$45</f>
        <v>625925.31003078481</v>
      </c>
      <c r="J63" s="1275">
        <f>'[10]ISR VALORES'!K$45</f>
        <v>1093594.5499056962</v>
      </c>
      <c r="K63" s="1275">
        <f>'[10]ISR VALORES'!L$45</f>
        <v>1409637.6324179838</v>
      </c>
      <c r="L63" s="1275">
        <f>'[10]ISR VALORES'!M$45</f>
        <v>2633300.8319093953</v>
      </c>
      <c r="M63" s="1275">
        <f>'[10]ISR VALORES'!N$45</f>
        <v>1365745.1746779396</v>
      </c>
      <c r="N63" s="1275">
        <f>'[10]ISR VALORES'!O$45</f>
        <v>1671056.6311329636</v>
      </c>
      <c r="O63" s="1275">
        <f>'[10]ISR VALORES'!P$45</f>
        <v>1162331.8892056749</v>
      </c>
      <c r="P63" s="434" t="s">
        <v>10054</v>
      </c>
      <c r="Q63" s="259">
        <f>SUM(D63:F63)</f>
        <v>1691504.579777909</v>
      </c>
      <c r="R63" s="266">
        <f>(Q63/$Q$20)*100</f>
        <v>2.0526148145979617</v>
      </c>
      <c r="S63" s="259">
        <f>SUM(G63:I63)</f>
        <v>1727789.7336650779</v>
      </c>
      <c r="T63" s="266">
        <f>(S63/$S$20)*100</f>
        <v>1.8907833278901376</v>
      </c>
      <c r="U63" s="259">
        <f>+Q63+S63</f>
        <v>3419294.3134429869</v>
      </c>
      <c r="V63" s="266">
        <f>(U63/$U$20)*100</f>
        <v>1.9675215543219493</v>
      </c>
      <c r="W63" s="259">
        <f>SUM(J63:L63)</f>
        <v>5136533.0142330751</v>
      </c>
      <c r="X63" s="266">
        <f>(W63/$W$20)*100</f>
        <v>5.4042199539842724</v>
      </c>
      <c r="Y63" s="259">
        <f>+U63+W63</f>
        <v>8555827.3276760615</v>
      </c>
      <c r="Z63" s="266">
        <f>(Y63/$Y$20)*100</f>
        <v>3.1825738337117548</v>
      </c>
      <c r="AA63" s="259">
        <f>SUM(M63:O63)</f>
        <v>4199133.6950165778</v>
      </c>
      <c r="AB63" s="270">
        <f>(AA63/$AA$20)*100</f>
        <v>4.0911604983030259</v>
      </c>
      <c r="AC63" s="259">
        <f>+Q63+S63+W63+AA63</f>
        <v>12754961.022692639</v>
      </c>
      <c r="AD63" s="272">
        <f>(AC63/$AC$20)*100</f>
        <v>3.4336194035561061</v>
      </c>
      <c r="AE63" t="s">
        <v>28</v>
      </c>
      <c r="AF63" s="1139">
        <f ca="1">SUM(D63:OFFSET(D63,0,$G$3-1))</f>
        <v>2793369.0034122025</v>
      </c>
      <c r="AG63" s="1231"/>
      <c r="AI63" s="1217" t="s">
        <v>10143</v>
      </c>
      <c r="AJ63" s="1158" t="s">
        <v>10138</v>
      </c>
    </row>
    <row r="64" spans="1:36" x14ac:dyDescent="0.2">
      <c r="A64" s="8" t="s">
        <v>9821</v>
      </c>
      <c r="B64" s="1271">
        <f>SUM(D64:O64)</f>
        <v>0</v>
      </c>
      <c r="C64" s="19">
        <f>(B64/$B$20)*100</f>
        <v>0</v>
      </c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434" t="s">
        <v>10055</v>
      </c>
      <c r="Q64" s="259">
        <f>SUM(D64:F64)</f>
        <v>0</v>
      </c>
      <c r="R64" s="266">
        <f>(Q64/$Q$20)*100</f>
        <v>0</v>
      </c>
      <c r="S64" s="259">
        <f>SUM(G64:I64)</f>
        <v>0</v>
      </c>
      <c r="T64" s="266">
        <f>(S64/$S$20)*100</f>
        <v>0</v>
      </c>
      <c r="U64" s="259">
        <f>+Q64+S64</f>
        <v>0</v>
      </c>
      <c r="V64" s="266">
        <f>(U64/$U$20)*100</f>
        <v>0</v>
      </c>
      <c r="W64" s="259">
        <f>SUM(J64:L64)</f>
        <v>0</v>
      </c>
      <c r="X64" s="266">
        <f>(W64/$W$20)*100</f>
        <v>0</v>
      </c>
      <c r="Y64" s="259">
        <f>+U64+W64</f>
        <v>0</v>
      </c>
      <c r="Z64" s="266">
        <f>(Y64/$Y$20)*100</f>
        <v>0</v>
      </c>
      <c r="AA64" s="259">
        <f>SUM(M64:O64)</f>
        <v>0</v>
      </c>
      <c r="AB64" s="270">
        <f>(AA64/$AA$20)*100</f>
        <v>0</v>
      </c>
      <c r="AC64" s="259">
        <f>+Q64+S64+W64+AA64</f>
        <v>0</v>
      </c>
      <c r="AD64" s="272">
        <f>(AC64/$AC$20)*100</f>
        <v>0</v>
      </c>
      <c r="AE64" s="41" t="s">
        <v>28</v>
      </c>
      <c r="AF64" s="1139">
        <f ca="1">SUM(D64:OFFSET(D64,0,$G$3-1))</f>
        <v>0</v>
      </c>
      <c r="AG64" s="1231"/>
    </row>
    <row r="65" spans="1:36" x14ac:dyDescent="0.2">
      <c r="A65" s="1159" t="s">
        <v>49</v>
      </c>
      <c r="B65" s="1271">
        <f>SUM(D65:O65)</f>
        <v>4385438.6829241076</v>
      </c>
      <c r="C65" s="19">
        <f>(B65/$B$20)*100</f>
        <v>1.1805545566155671</v>
      </c>
      <c r="D65" s="1278">
        <f>'[10]ISR VALORES'!E$54</f>
        <v>0</v>
      </c>
      <c r="E65" s="1278">
        <f>'[10]ISR VALORES'!F$54</f>
        <v>634156.50867498759</v>
      </c>
      <c r="F65" s="1278">
        <f>'[10]ISR VALORES'!G$54</f>
        <v>706666.0606936937</v>
      </c>
      <c r="G65" s="1278">
        <f>'[10]ISR VALORES'!H$54</f>
        <v>219507.74465994083</v>
      </c>
      <c r="H65" s="1278">
        <f>'[10]ISR VALORES'!I$54</f>
        <v>174458.71509278973</v>
      </c>
      <c r="I65" s="1278">
        <f>'[10]ISR VALORES'!J$54</f>
        <v>206092.84158077507</v>
      </c>
      <c r="J65" s="1278">
        <f>'[10]ISR VALORES'!K$54</f>
        <v>289202.20137840754</v>
      </c>
      <c r="K65" s="1278">
        <f>'[10]ISR VALORES'!L$54</f>
        <v>352826.8305187705</v>
      </c>
      <c r="L65" s="1278">
        <f>'[10]ISR VALORES'!M$54</f>
        <v>727573.62061425298</v>
      </c>
      <c r="M65" s="1278">
        <f>'[10]ISR VALORES'!N$54</f>
        <v>300726.42867091432</v>
      </c>
      <c r="N65" s="1278">
        <f>'[10]ISR VALORES'!O$54</f>
        <v>476977.96826602623</v>
      </c>
      <c r="O65" s="1278">
        <f>'[10]ISR VALORES'!P$54</f>
        <v>297249.76277354895</v>
      </c>
      <c r="P65" s="434" t="s">
        <v>49</v>
      </c>
      <c r="Q65" s="259">
        <f>SUM(D65:F65)</f>
        <v>1340822.5693686814</v>
      </c>
      <c r="R65" s="266">
        <f>(Q65/$Q$20)*100</f>
        <v>1.6270675838163065</v>
      </c>
      <c r="S65" s="259">
        <f>SUM(G65:I65)</f>
        <v>600059.30133350566</v>
      </c>
      <c r="T65" s="266">
        <f>(S65/$S$20)*100</f>
        <v>0.65666678103247078</v>
      </c>
      <c r="U65" s="259">
        <f>+Q65+S65</f>
        <v>1940881.8707021871</v>
      </c>
      <c r="V65" s="266">
        <f>(U65/$U$20)*100</f>
        <v>1.1168172625520711</v>
      </c>
      <c r="W65" s="259">
        <f>SUM(J65:L65)</f>
        <v>1369602.6525114309</v>
      </c>
      <c r="X65" s="266">
        <f>(W65/$W$20)*100</f>
        <v>1.4409785672987028</v>
      </c>
      <c r="Y65" s="259">
        <f>+U65+W65</f>
        <v>3310484.523213618</v>
      </c>
      <c r="Z65" s="266">
        <f>(Y65/$Y$20)*100</f>
        <v>1.2314252049484911</v>
      </c>
      <c r="AA65" s="259">
        <f>SUM(M65:O65)</f>
        <v>1074954.1597104894</v>
      </c>
      <c r="AB65" s="270">
        <f>(AA65/$AA$20)*100</f>
        <v>1.0473136401713721</v>
      </c>
      <c r="AC65" s="259">
        <f>+Q65+S65+W65+AA65</f>
        <v>4385438.6829241076</v>
      </c>
      <c r="AD65" s="272">
        <f>(AC65/$AC$20)*100</f>
        <v>1.1805545566155671</v>
      </c>
      <c r="AE65" s="41" t="s">
        <v>28</v>
      </c>
      <c r="AF65" s="1139">
        <f ca="1">SUM(D65:OFFSET(D65,0,$G$3-1))</f>
        <v>1734789.029121412</v>
      </c>
      <c r="AG65" s="1231"/>
      <c r="AI65" s="1217" t="s">
        <v>10144</v>
      </c>
      <c r="AJ65" s="1158" t="s">
        <v>10138</v>
      </c>
    </row>
    <row r="66" spans="1:36" x14ac:dyDescent="0.2">
      <c r="A66" s="10"/>
      <c r="B66" s="1271" t="s">
        <v>28</v>
      </c>
      <c r="C66" s="19"/>
      <c r="D66" s="1277" t="s">
        <v>28</v>
      </c>
      <c r="E66" s="1277" t="s">
        <v>28</v>
      </c>
      <c r="F66" s="1277" t="s">
        <v>28</v>
      </c>
      <c r="G66" s="1277" t="s">
        <v>28</v>
      </c>
      <c r="H66" s="1277" t="s">
        <v>28</v>
      </c>
      <c r="I66" s="1277" t="s">
        <v>28</v>
      </c>
      <c r="J66" s="1277" t="s">
        <v>28</v>
      </c>
      <c r="K66" s="1277" t="s">
        <v>28</v>
      </c>
      <c r="L66" s="1277" t="s">
        <v>28</v>
      </c>
      <c r="M66" s="1277" t="s">
        <v>28</v>
      </c>
      <c r="N66" s="1277" t="s">
        <v>28</v>
      </c>
      <c r="O66" s="1277" t="s">
        <v>28</v>
      </c>
      <c r="P66" s="436"/>
      <c r="Q66" s="259"/>
      <c r="R66" s="266"/>
      <c r="S66" s="259"/>
      <c r="T66" s="266"/>
      <c r="U66" s="259"/>
      <c r="V66" s="266"/>
      <c r="W66" s="259"/>
      <c r="X66" s="266"/>
      <c r="Y66" s="259"/>
      <c r="Z66" s="266"/>
      <c r="AA66" s="259"/>
      <c r="AB66" s="270"/>
      <c r="AC66" s="259"/>
      <c r="AD66" s="272"/>
      <c r="AE66" t="s">
        <v>28</v>
      </c>
    </row>
    <row r="67" spans="1:36" x14ac:dyDescent="0.2">
      <c r="A67" s="10" t="s">
        <v>50</v>
      </c>
      <c r="B67" s="1270">
        <f>SUM(B63:B65)</f>
        <v>17140399.70561675</v>
      </c>
      <c r="C67" s="20">
        <f>(B67/$B$20)*100</f>
        <v>4.6141739601716738</v>
      </c>
      <c r="D67" s="1274">
        <f>SUM(D63:D65)</f>
        <v>-2368752.8117493857</v>
      </c>
      <c r="E67" s="1274">
        <f t="shared" ref="E67:O67" si="35">SUM(E63:E65)</f>
        <v>2555780.947418584</v>
      </c>
      <c r="F67" s="1274">
        <f t="shared" si="35"/>
        <v>2845299.013477392</v>
      </c>
      <c r="G67" s="1274">
        <f t="shared" si="35"/>
        <v>1405264.8660946717</v>
      </c>
      <c r="H67" s="1274">
        <f t="shared" si="35"/>
        <v>90566.017292352233</v>
      </c>
      <c r="I67" s="1274">
        <f t="shared" si="35"/>
        <v>832018.15161155991</v>
      </c>
      <c r="J67" s="1274">
        <f t="shared" si="35"/>
        <v>1382796.7512841038</v>
      </c>
      <c r="K67" s="1274">
        <f t="shared" si="35"/>
        <v>1762464.4629367543</v>
      </c>
      <c r="L67" s="1274">
        <f t="shared" si="35"/>
        <v>3360874.4525236483</v>
      </c>
      <c r="M67" s="1274">
        <f t="shared" si="35"/>
        <v>1666471.603348854</v>
      </c>
      <c r="N67" s="1274">
        <f t="shared" si="35"/>
        <v>2148034.5993989897</v>
      </c>
      <c r="O67" s="1274">
        <f t="shared" si="35"/>
        <v>1459581.6519792238</v>
      </c>
      <c r="P67" s="436" t="s">
        <v>50</v>
      </c>
      <c r="Q67" s="262">
        <f>SUM(Q63:Q66)</f>
        <v>3032327.1491465904</v>
      </c>
      <c r="R67" s="268">
        <f>(Q67/$Q$20)*100</f>
        <v>3.6796823984142684</v>
      </c>
      <c r="S67" s="262">
        <f>SUM(S63:S66)</f>
        <v>2327849.0349985836</v>
      </c>
      <c r="T67" s="268">
        <f>(S67/$S$20)*100</f>
        <v>2.5474501089226083</v>
      </c>
      <c r="U67" s="262">
        <f>SUM(U63:U66)</f>
        <v>5360176.184145174</v>
      </c>
      <c r="V67" s="268">
        <f>(U67/$U$20)*100</f>
        <v>3.0843388168740207</v>
      </c>
      <c r="W67" s="262">
        <f>SUM(W63:W66)</f>
        <v>6506135.666744506</v>
      </c>
      <c r="X67" s="268">
        <f>(W67/$W$20)*100</f>
        <v>6.8451985212829749</v>
      </c>
      <c r="Y67" s="262">
        <f>SUM(Y63:Y66)</f>
        <v>11866311.850889679</v>
      </c>
      <c r="Z67" s="268">
        <f>(Y67/$Y$20)*100</f>
        <v>4.4139990386602452</v>
      </c>
      <c r="AA67" s="262">
        <f>SUM(AA63:AA66)</f>
        <v>5274087.8547270671</v>
      </c>
      <c r="AB67" s="268">
        <f>(AA67/$AA$20)*100</f>
        <v>5.1384741384743968</v>
      </c>
      <c r="AC67" s="262">
        <f>SUM(AC63:AC66)</f>
        <v>17140399.705616746</v>
      </c>
      <c r="AD67" s="273">
        <f>(AC67/$AC$20)*100</f>
        <v>4.6141739601716729</v>
      </c>
      <c r="AE67" s="41" t="s">
        <v>28</v>
      </c>
      <c r="AF67" s="1139">
        <f ca="1">SUM(D67:OFFSET(D67,0,$G$3-1))</f>
        <v>4528158.032533614</v>
      </c>
      <c r="AG67" s="1231"/>
    </row>
    <row r="68" spans="1:36" x14ac:dyDescent="0.2">
      <c r="A68" s="10"/>
      <c r="B68" s="1271" t="s">
        <v>28</v>
      </c>
      <c r="C68" s="19" t="s">
        <v>28</v>
      </c>
      <c r="D68" s="1277" t="s">
        <v>28</v>
      </c>
      <c r="E68" s="1277" t="s">
        <v>28</v>
      </c>
      <c r="F68" s="1277" t="s">
        <v>28</v>
      </c>
      <c r="G68" s="1277" t="s">
        <v>28</v>
      </c>
      <c r="H68" s="1277" t="s">
        <v>28</v>
      </c>
      <c r="I68" s="1277" t="s">
        <v>28</v>
      </c>
      <c r="J68" s="1277" t="s">
        <v>28</v>
      </c>
      <c r="K68" s="1277" t="s">
        <v>28</v>
      </c>
      <c r="L68" s="1277" t="s">
        <v>28</v>
      </c>
      <c r="M68" s="1277" t="s">
        <v>28</v>
      </c>
      <c r="N68" s="1277" t="s">
        <v>28</v>
      </c>
      <c r="O68" s="1277" t="s">
        <v>28</v>
      </c>
      <c r="P68" s="436"/>
      <c r="Q68" s="259"/>
      <c r="R68" s="266"/>
      <c r="S68" s="259"/>
      <c r="T68" s="266"/>
      <c r="U68" s="259"/>
      <c r="V68" s="266"/>
      <c r="W68" s="259"/>
      <c r="X68" s="266"/>
      <c r="Y68" s="259"/>
      <c r="Z68" s="266"/>
      <c r="AA68" s="259"/>
      <c r="AB68" s="270"/>
      <c r="AC68" s="259"/>
      <c r="AD68" s="272"/>
      <c r="AE68" t="s">
        <v>28</v>
      </c>
    </row>
    <row r="69" spans="1:36" x14ac:dyDescent="0.2">
      <c r="A69" s="10" t="s">
        <v>51</v>
      </c>
      <c r="B69" s="1270">
        <f>+B59-B67</f>
        <v>39684177.320419788</v>
      </c>
      <c r="C69" s="382">
        <f>(B69/$B$20)*100</f>
        <v>10.682930431471382</v>
      </c>
      <c r="D69" s="1274">
        <f t="shared" ref="D69:O69" si="36">+D59-D67</f>
        <v>6388668.9007874187</v>
      </c>
      <c r="E69" s="1274">
        <f t="shared" si="36"/>
        <v>-301490.55026943376</v>
      </c>
      <c r="F69" s="1274">
        <f t="shared" si="36"/>
        <v>4456661.6140998881</v>
      </c>
      <c r="G69" s="1274">
        <f t="shared" si="36"/>
        <v>3220081.2480620858</v>
      </c>
      <c r="H69" s="1274">
        <f t="shared" si="36"/>
        <v>3592141.7782646958</v>
      </c>
      <c r="I69" s="1274">
        <f t="shared" si="36"/>
        <v>1311101.8811280583</v>
      </c>
      <c r="J69" s="1274">
        <f t="shared" si="36"/>
        <v>3266845.7436875887</v>
      </c>
      <c r="K69" s="1274">
        <f t="shared" si="36"/>
        <v>2757939.1847160468</v>
      </c>
      <c r="L69" s="1274">
        <f t="shared" si="36"/>
        <v>4380168.0823356155</v>
      </c>
      <c r="M69" s="1274">
        <f t="shared" si="36"/>
        <v>5606912.53531578</v>
      </c>
      <c r="N69" s="1274">
        <f t="shared" si="36"/>
        <v>2116192.2589687784</v>
      </c>
      <c r="O69" s="1274">
        <f t="shared" si="36"/>
        <v>2888954.6433232715</v>
      </c>
      <c r="P69" s="436" t="s">
        <v>51</v>
      </c>
      <c r="Q69" s="262">
        <f>Q59-Q67</f>
        <v>10543839.964617871</v>
      </c>
      <c r="R69" s="268">
        <f>(Q69/$Q$20)*100</f>
        <v>12.794787772295773</v>
      </c>
      <c r="S69" s="262">
        <f>S59-S67</f>
        <v>8123324.9074548492</v>
      </c>
      <c r="T69" s="268">
        <f>(S69/$S$20)*100</f>
        <v>8.8896507501923043</v>
      </c>
      <c r="U69" s="262">
        <f>U59-U67</f>
        <v>18667164.87207273</v>
      </c>
      <c r="V69" s="268">
        <f>(U69/$U$20)*100</f>
        <v>10.741412080114886</v>
      </c>
      <c r="W69" s="262">
        <f>W59-W67</f>
        <v>10404953.01073925</v>
      </c>
      <c r="X69" s="268">
        <f>(W69/$W$20)*100</f>
        <v>10.947200091013427</v>
      </c>
      <c r="Y69" s="262">
        <f>Y59-Y67</f>
        <v>29072117.882811975</v>
      </c>
      <c r="Z69" s="268">
        <f>(Y69/$Y$20)*100</f>
        <v>10.814168884068916</v>
      </c>
      <c r="AA69" s="262">
        <f>AA59-AA67</f>
        <v>10612059.437607838</v>
      </c>
      <c r="AB69" s="268">
        <f>(AA69/$AA$20)*100</f>
        <v>10.33918934953406</v>
      </c>
      <c r="AC69" s="262">
        <f>AC59-AC67</f>
        <v>39684177.320419803</v>
      </c>
      <c r="AD69" s="273">
        <f>(AC69/$AC$20)*100</f>
        <v>10.682930431471386</v>
      </c>
      <c r="AE69" s="41" t="s">
        <v>28</v>
      </c>
      <c r="AF69" s="1139">
        <f ca="1">SUM(D69:OFFSET(D69,0,$G$3-1))</f>
        <v>17356062.990944654</v>
      </c>
      <c r="AG69" s="1231"/>
    </row>
    <row r="70" spans="1:36" x14ac:dyDescent="0.2">
      <c r="A70" s="10"/>
      <c r="B70" s="1271" t="s">
        <v>28</v>
      </c>
      <c r="C70" s="22" t="s">
        <v>28</v>
      </c>
      <c r="D70" s="1277" t="s">
        <v>28</v>
      </c>
      <c r="E70" s="1277" t="s">
        <v>28</v>
      </c>
      <c r="F70" s="1277" t="s">
        <v>28</v>
      </c>
      <c r="G70" s="1277" t="s">
        <v>28</v>
      </c>
      <c r="H70" s="1277" t="s">
        <v>28</v>
      </c>
      <c r="I70" s="1277" t="s">
        <v>28</v>
      </c>
      <c r="J70" s="1277" t="s">
        <v>28</v>
      </c>
      <c r="K70" s="1277" t="s">
        <v>28</v>
      </c>
      <c r="L70" s="1277" t="s">
        <v>28</v>
      </c>
      <c r="M70" s="1277" t="s">
        <v>28</v>
      </c>
      <c r="N70" s="1277" t="s">
        <v>28</v>
      </c>
      <c r="O70" s="1277" t="s">
        <v>28</v>
      </c>
      <c r="P70" s="436"/>
      <c r="Q70" s="259"/>
      <c r="R70" s="266"/>
      <c r="S70" s="259"/>
      <c r="T70" s="266"/>
      <c r="U70" s="259"/>
      <c r="V70" s="266"/>
      <c r="W70" s="259"/>
      <c r="X70" s="266"/>
      <c r="Y70" s="259"/>
      <c r="Z70" s="266"/>
      <c r="AA70" s="259"/>
      <c r="AB70" s="270"/>
      <c r="AC70" s="259"/>
      <c r="AD70" s="272"/>
    </row>
    <row r="71" spans="1:36" x14ac:dyDescent="0.2">
      <c r="A71" s="10" t="s">
        <v>208</v>
      </c>
      <c r="B71" s="1270">
        <f>+B69+B38</f>
        <v>67339086.752919793</v>
      </c>
      <c r="C71" s="21">
        <f>(B71/$B$20)*100</f>
        <v>18.127597135044969</v>
      </c>
      <c r="D71" s="1274">
        <f t="shared" ref="D71:O71" si="37">+D69+D38</f>
        <v>8201637.8807874182</v>
      </c>
      <c r="E71" s="1274">
        <f t="shared" si="37"/>
        <v>1529647.5305638993</v>
      </c>
      <c r="F71" s="1274">
        <f t="shared" si="37"/>
        <v>6448903.3999332208</v>
      </c>
      <c r="G71" s="1274">
        <f t="shared" si="37"/>
        <v>5420028.7505620867</v>
      </c>
      <c r="H71" s="1274">
        <f t="shared" si="37"/>
        <v>5910987.3524313625</v>
      </c>
      <c r="I71" s="1274">
        <f t="shared" si="37"/>
        <v>3853319.413628059</v>
      </c>
      <c r="J71" s="1274">
        <f t="shared" si="37"/>
        <v>5761211.9045209223</v>
      </c>
      <c r="K71" s="1274">
        <f t="shared" si="37"/>
        <v>5288021.1872160472</v>
      </c>
      <c r="L71" s="1274">
        <f t="shared" si="37"/>
        <v>6928541.7515022829</v>
      </c>
      <c r="M71" s="1274">
        <f t="shared" si="37"/>
        <v>8150598.7411491144</v>
      </c>
      <c r="N71" s="1274">
        <f t="shared" si="37"/>
        <v>4536868.4848021138</v>
      </c>
      <c r="O71" s="1274">
        <f t="shared" si="37"/>
        <v>5309320.3558232728</v>
      </c>
      <c r="P71" s="436" t="s">
        <v>208</v>
      </c>
      <c r="Q71" s="684">
        <f>+Q69+Q38</f>
        <v>16180188.811284536</v>
      </c>
      <c r="R71" s="268">
        <f>(Q71/$Q$20)*100</f>
        <v>19.634410485247077</v>
      </c>
      <c r="S71" s="684">
        <f>+S69+S38</f>
        <v>15184335.516621519</v>
      </c>
      <c r="T71" s="268">
        <f>(S71/$S$20)*100</f>
        <v>16.616772215109926</v>
      </c>
      <c r="U71" s="262">
        <f>+U69+U38</f>
        <v>31364524.327906065</v>
      </c>
      <c r="V71" s="268">
        <f>(U71/$U$20)*100</f>
        <v>18.047694055932954</v>
      </c>
      <c r="W71" s="684">
        <f>+W69+W38</f>
        <v>17977774.843239252</v>
      </c>
      <c r="X71" s="268">
        <f>(W71/$W$20)*100</f>
        <v>18.914674405256633</v>
      </c>
      <c r="Y71" s="262">
        <f>+Y69+Y38</f>
        <v>49342299.171145305</v>
      </c>
      <c r="Z71" s="268">
        <f>(Y71/$Y$20)*100</f>
        <v>18.35421686565504</v>
      </c>
      <c r="AA71" s="684">
        <f>+AA69+AA38</f>
        <v>17996787.58177451</v>
      </c>
      <c r="AB71" s="268">
        <f>(AA71/$AA$20)*100</f>
        <v>17.534032445379339</v>
      </c>
      <c r="AC71" s="262">
        <f>+AC69+AC38</f>
        <v>67339086.752919808</v>
      </c>
      <c r="AD71" s="273">
        <f>(AC71/$AC$20)*100</f>
        <v>18.127597135044972</v>
      </c>
      <c r="AE71" s="41" t="s">
        <v>28</v>
      </c>
      <c r="AF71" s="1139">
        <f ca="1">SUM(D71:OFFSET(D71,0,$G$3-1))</f>
        <v>27511204.914277986</v>
      </c>
      <c r="AG71" s="1231"/>
    </row>
    <row r="72" spans="1:36" ht="13.5" thickBot="1" x14ac:dyDescent="0.25">
      <c r="A72" s="12"/>
      <c r="B72" s="13"/>
      <c r="C72" s="24"/>
      <c r="D72" s="1280"/>
      <c r="E72" s="1280"/>
      <c r="F72" s="1280"/>
      <c r="G72" s="1280"/>
      <c r="H72" s="1280"/>
      <c r="I72" s="1280"/>
      <c r="J72" s="1280"/>
      <c r="K72" s="1280"/>
      <c r="L72" s="1280"/>
      <c r="M72" s="1280"/>
      <c r="N72" s="1280"/>
      <c r="O72" s="1280"/>
      <c r="P72" s="682"/>
      <c r="Q72" s="265"/>
      <c r="R72" s="269"/>
      <c r="S72" s="265"/>
      <c r="T72" s="269"/>
      <c r="U72" s="265"/>
      <c r="V72" s="269"/>
      <c r="W72" s="265"/>
      <c r="X72" s="269"/>
      <c r="Y72" s="265"/>
      <c r="Z72" s="269"/>
      <c r="AA72" s="265"/>
      <c r="AB72" s="271"/>
      <c r="AC72" s="265"/>
      <c r="AD72" s="274"/>
    </row>
    <row r="73" spans="1:36" ht="13.5" hidden="1" thickTop="1" x14ac:dyDescent="0.2">
      <c r="A73" s="734" t="s">
        <v>10110</v>
      </c>
      <c r="D73" s="738">
        <f>D71+C73</f>
        <v>8201637.8807874182</v>
      </c>
      <c r="E73" s="738">
        <f t="shared" ref="E73:O73" si="38">E71+D73</f>
        <v>9731285.4113513175</v>
      </c>
      <c r="F73" s="738">
        <f t="shared" si="38"/>
        <v>16180188.811284538</v>
      </c>
      <c r="G73" s="738">
        <f t="shared" si="38"/>
        <v>21600217.561846625</v>
      </c>
      <c r="H73" s="738">
        <f t="shared" si="38"/>
        <v>27511204.914277986</v>
      </c>
      <c r="I73" s="738">
        <f t="shared" si="38"/>
        <v>31364524.327906046</v>
      </c>
      <c r="J73" s="738">
        <f t="shared" si="38"/>
        <v>37125736.232426971</v>
      </c>
      <c r="K73" s="738">
        <f t="shared" si="38"/>
        <v>42413757.419643015</v>
      </c>
      <c r="L73" s="738">
        <f t="shared" si="38"/>
        <v>49342299.171145298</v>
      </c>
      <c r="M73" s="738">
        <f t="shared" si="38"/>
        <v>57492897.91229441</v>
      </c>
      <c r="N73" s="738">
        <f t="shared" si="38"/>
        <v>62029766.397096522</v>
      </c>
      <c r="O73" s="738">
        <f t="shared" si="38"/>
        <v>67339086.752919793</v>
      </c>
    </row>
    <row r="74" spans="1:36" ht="13.5" thickTop="1" x14ac:dyDescent="0.2">
      <c r="B74" t="s">
        <v>28</v>
      </c>
    </row>
    <row r="76" spans="1:36" x14ac:dyDescent="0.2">
      <c r="B76" s="774"/>
    </row>
  </sheetData>
  <phoneticPr fontId="0" type="noConversion"/>
  <printOptions horizontalCentered="1"/>
  <pageMargins left="0.78740157480314965" right="0.19685039370078741" top="0.39370078740157483" bottom="1" header="0.78740157480314965" footer="0.78740157480314965"/>
  <pageSetup scale="55" pageOrder="overThenDown" orientation="landscape" horizontalDpi="4294967292" r:id="rId1"/>
  <headerFooter alignWithMargins="0">
    <oddHeader>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2060"/>
  </sheetPr>
  <dimension ref="A1:O75"/>
  <sheetViews>
    <sheetView zoomScale="124" zoomScaleNormal="124" workbookViewId="0">
      <pane xSplit="1" ySplit="6" topLeftCell="B52" activePane="bottomRight" state="frozen"/>
      <selection pane="topRight" activeCell="B1" sqref="B1"/>
      <selection pane="bottomLeft" activeCell="A7" sqref="A7"/>
      <selection pane="bottomRight" activeCell="D76" sqref="D76"/>
    </sheetView>
  </sheetViews>
  <sheetFormatPr baseColWidth="10" defaultRowHeight="12.75" x14ac:dyDescent="0.2"/>
  <cols>
    <col min="1" max="1" width="40.7109375" style="112" customWidth="1"/>
    <col min="2" max="2" width="14.5703125" style="112" customWidth="1"/>
    <col min="3" max="3" width="14.5703125" style="110" customWidth="1"/>
    <col min="4" max="4" width="14.5703125" style="111" customWidth="1"/>
    <col min="5" max="5" width="14.85546875" style="112" customWidth="1"/>
    <col min="6" max="11" width="14.7109375" style="112" customWidth="1"/>
    <col min="12" max="12" width="14.85546875" style="112" customWidth="1"/>
    <col min="13" max="13" width="14.5703125" style="112" customWidth="1"/>
    <col min="14" max="14" width="14.7109375" style="112" customWidth="1"/>
    <col min="15" max="15" width="12.28515625" style="112" customWidth="1"/>
    <col min="16" max="16384" width="11.42578125" style="112"/>
  </cols>
  <sheetData>
    <row r="1" spans="1:15" ht="15.75" x14ac:dyDescent="0.25">
      <c r="A1" s="109" t="s">
        <v>0</v>
      </c>
      <c r="B1" s="109"/>
    </row>
    <row r="2" spans="1:15" ht="15.75" x14ac:dyDescent="0.25">
      <c r="A2" s="1779" t="s">
        <v>9981</v>
      </c>
      <c r="B2" s="1779"/>
      <c r="C2" s="1779"/>
    </row>
    <row r="3" spans="1:15" s="804" customFormat="1" ht="15.75" x14ac:dyDescent="0.25">
      <c r="A3" s="802" t="str">
        <f>'Personal y KMS Recorridos'!A4</f>
        <v>PRESUPUESTO  2014</v>
      </c>
      <c r="B3" s="803"/>
      <c r="C3" s="803"/>
      <c r="D3" s="803"/>
      <c r="E3" s="803"/>
      <c r="F3" s="803"/>
      <c r="G3" s="803"/>
      <c r="H3" s="803"/>
      <c r="I3" s="803"/>
      <c r="J3" s="803"/>
      <c r="K3" s="803"/>
      <c r="L3" s="803"/>
      <c r="M3" s="803"/>
      <c r="N3" s="803"/>
    </row>
    <row r="4" spans="1:15" ht="16.5" thickBot="1" x14ac:dyDescent="0.3">
      <c r="A4" s="113" t="s">
        <v>28</v>
      </c>
      <c r="B4" s="113"/>
      <c r="C4" s="114"/>
      <c r="D4" s="115"/>
      <c r="E4" s="113"/>
      <c r="F4" s="113"/>
    </row>
    <row r="5" spans="1:15" ht="13.5" thickTop="1" x14ac:dyDescent="0.2">
      <c r="A5" s="116"/>
      <c r="B5" s="117" t="s">
        <v>183</v>
      </c>
      <c r="C5" s="117" t="s">
        <v>172</v>
      </c>
      <c r="D5" s="118" t="s">
        <v>173</v>
      </c>
      <c r="E5" s="118" t="s">
        <v>174</v>
      </c>
      <c r="F5" s="119" t="s">
        <v>175</v>
      </c>
      <c r="G5" s="117" t="s">
        <v>176</v>
      </c>
      <c r="H5" s="118" t="s">
        <v>177</v>
      </c>
      <c r="I5" s="118" t="s">
        <v>178</v>
      </c>
      <c r="J5" s="119" t="s">
        <v>179</v>
      </c>
      <c r="K5" s="117" t="s">
        <v>180</v>
      </c>
      <c r="L5" s="118" t="s">
        <v>181</v>
      </c>
      <c r="M5" s="118" t="s">
        <v>182</v>
      </c>
      <c r="N5" s="120" t="s">
        <v>183</v>
      </c>
      <c r="O5" s="504" t="s">
        <v>299</v>
      </c>
    </row>
    <row r="6" spans="1:15" x14ac:dyDescent="0.2">
      <c r="A6" s="121" t="s">
        <v>5</v>
      </c>
      <c r="B6" s="494">
        <v>2013</v>
      </c>
      <c r="C6" s="122" t="s">
        <v>28</v>
      </c>
      <c r="D6" s="122" t="s">
        <v>28</v>
      </c>
      <c r="E6" s="122" t="s">
        <v>28</v>
      </c>
      <c r="F6" s="122" t="s">
        <v>28</v>
      </c>
      <c r="G6" s="122" t="s">
        <v>28</v>
      </c>
      <c r="H6" s="122" t="s">
        <v>28</v>
      </c>
      <c r="I6" s="122" t="s">
        <v>28</v>
      </c>
      <c r="J6" s="122" t="s">
        <v>28</v>
      </c>
      <c r="K6" s="122" t="s">
        <v>28</v>
      </c>
      <c r="L6" s="122" t="s">
        <v>28</v>
      </c>
      <c r="M6" s="122" t="s">
        <v>28</v>
      </c>
      <c r="N6" s="123" t="s">
        <v>28</v>
      </c>
      <c r="O6" s="504" t="s">
        <v>300</v>
      </c>
    </row>
    <row r="7" spans="1:15" x14ac:dyDescent="0.2">
      <c r="A7" s="124"/>
      <c r="B7" s="108"/>
      <c r="C7" s="108"/>
      <c r="D7" s="108"/>
      <c r="E7" s="125"/>
      <c r="F7" s="126"/>
      <c r="G7" s="108"/>
      <c r="H7" s="108"/>
      <c r="I7" s="125"/>
      <c r="J7" s="126"/>
      <c r="K7" s="108"/>
      <c r="L7" s="108"/>
      <c r="M7" s="125"/>
      <c r="N7" s="127"/>
    </row>
    <row r="8" spans="1:15" x14ac:dyDescent="0.2">
      <c r="A8" s="128" t="s">
        <v>55</v>
      </c>
      <c r="B8" s="108"/>
      <c r="C8" s="108"/>
      <c r="D8" s="108"/>
      <c r="E8" s="125"/>
      <c r="F8" s="126"/>
      <c r="G8" s="108"/>
      <c r="H8" s="108"/>
      <c r="I8" s="125"/>
      <c r="J8" s="126"/>
      <c r="K8" s="108"/>
      <c r="L8" s="108"/>
      <c r="M8" s="125"/>
      <c r="N8" s="127"/>
    </row>
    <row r="9" spans="1:15" x14ac:dyDescent="0.2">
      <c r="A9" s="124"/>
      <c r="B9" s="108"/>
      <c r="C9" s="108"/>
      <c r="D9" s="108"/>
      <c r="E9" s="125"/>
      <c r="F9" s="126"/>
      <c r="G9" s="108"/>
      <c r="H9" s="108"/>
      <c r="I9" s="125"/>
      <c r="J9" s="126"/>
      <c r="K9" s="108"/>
      <c r="L9" s="108"/>
      <c r="M9" s="125"/>
      <c r="N9" s="127"/>
    </row>
    <row r="10" spans="1:15" x14ac:dyDescent="0.2">
      <c r="A10" s="128" t="s">
        <v>56</v>
      </c>
      <c r="B10" s="495"/>
      <c r="C10" s="495"/>
      <c r="D10" s="495"/>
      <c r="E10" s="495"/>
      <c r="F10" s="495"/>
      <c r="G10" s="495"/>
      <c r="H10" s="495"/>
      <c r="I10" s="495"/>
      <c r="J10" s="495"/>
      <c r="K10" s="495"/>
      <c r="L10" s="495"/>
      <c r="M10" s="495"/>
      <c r="N10" s="496"/>
    </row>
    <row r="11" spans="1:15" x14ac:dyDescent="0.2">
      <c r="A11" s="1025" t="s">
        <v>57</v>
      </c>
      <c r="B11" s="129">
        <f>+Balance2013!B10</f>
        <v>39332785.439999998</v>
      </c>
      <c r="C11" s="129">
        <f>'Presup. de Flujo de Caja'!B83</f>
        <v>26997998.504102048</v>
      </c>
      <c r="D11" s="129">
        <f>'Presup. de Flujo de Caja'!C83</f>
        <v>33953343.202969611</v>
      </c>
      <c r="E11" s="129">
        <f>'Presup. de Flujo de Caja'!D83</f>
        <v>40425075.288179494</v>
      </c>
      <c r="F11" s="129">
        <f>'Presup. de Flujo de Caja'!E83</f>
        <v>43301135.109788977</v>
      </c>
      <c r="G11" s="129">
        <f>'Presup. de Flujo de Caja'!F83</f>
        <v>34558089.012430593</v>
      </c>
      <c r="H11" s="129">
        <f>'Presup. de Flujo de Caja'!G83</f>
        <v>30908614.352135938</v>
      </c>
      <c r="I11" s="129">
        <f>'Presup. de Flujo de Caja'!H83</f>
        <v>21447655.177665148</v>
      </c>
      <c r="J11" s="129">
        <f>'Presup. de Flujo de Caja'!I83</f>
        <v>22500668.07923843</v>
      </c>
      <c r="K11" s="129">
        <f>'Presup. de Flujo de Caja'!J83</f>
        <v>31270372.099338941</v>
      </c>
      <c r="L11" s="129">
        <f>'Presup. de Flujo de Caja'!K83</f>
        <v>34822981.832508355</v>
      </c>
      <c r="M11" s="129">
        <f>'Presup. de Flujo de Caja'!L83</f>
        <v>40819447.012222223</v>
      </c>
      <c r="N11" s="129">
        <f>'Presup. de Flujo de Caja'!M83</f>
        <v>45059649.320373081</v>
      </c>
      <c r="O11" s="503"/>
    </row>
    <row r="12" spans="1:15" x14ac:dyDescent="0.2">
      <c r="A12" s="1025" t="s">
        <v>58</v>
      </c>
      <c r="B12" s="129">
        <f>+Balance2013!B11</f>
        <v>37966810.160599992</v>
      </c>
      <c r="C12" s="129">
        <f>B12+Edo.Res.detalle!D20-'Presup. de Flujo de Caja'!B15-'Presup. de Flujo de Caja'!B16</f>
        <v>50467936.365535975</v>
      </c>
      <c r="D12" s="129">
        <f>C12+Edo.Res.detalle!E20-'Presup. de Flujo de Caja'!C15-'Presup. de Flujo de Caja'!C16+2889847-1360677</f>
        <v>48046599.204650894</v>
      </c>
      <c r="E12" s="129">
        <f>D12+Edo.Res.detalle!F20-'Presup. de Flujo de Caja'!D15-'Presup. de Flujo de Caja'!D16-7884973</f>
        <v>40522495.402851619</v>
      </c>
      <c r="F12" s="129">
        <f>E12+Edo.Res.detalle!G20-'Presup. de Flujo de Caja'!E15-'Presup. de Flujo de Caja'!E16-663301-3000000</f>
        <v>37682731.135115199</v>
      </c>
      <c r="G12" s="129">
        <f>F12+Edo.Res.detalle!H20-'Presup. de Flujo de Caja'!F15-'Presup. de Flujo de Caja'!F16-(24128195*0.16)-16813</f>
        <v>34387854.50832215</v>
      </c>
      <c r="H12" s="129">
        <f>G12+Edo.Res.detalle!I20-'Presup. de Flujo de Caja'!G15-'Presup. de Flujo de Caja'!G16</f>
        <v>34327999.876046769</v>
      </c>
      <c r="I12" s="129">
        <f>H12+Edo.Res.detalle!J20-'Presup. de Flujo de Caja'!H15-'Presup. de Flujo de Caja'!H16+216293</f>
        <v>35523114.1462918</v>
      </c>
      <c r="J12" s="129">
        <f>I12+Edo.Res.detalle!K20-'Presup. de Flujo de Caja'!I15-'Presup. de Flujo de Caja'!I16</f>
        <v>35242951.16496563</v>
      </c>
      <c r="K12" s="129">
        <f>J12+Edo.Res.detalle!L20-'Presup. de Flujo de Caja'!J15-'Presup. de Flujo de Caja'!J16</f>
        <v>34154124.656473063</v>
      </c>
      <c r="L12" s="129">
        <f>K12+Edo.Res.detalle!M20-'Presup. de Flujo de Caja'!K15-'Presup. de Flujo de Caja'!K16</f>
        <v>36571099.08589223</v>
      </c>
      <c r="M12" s="129">
        <f>L12+Edo.Res.detalle!N20-'Presup. de Flujo de Caja'!L15-'Presup. de Flujo de Caja'!L16-2018722</f>
        <v>33163455.575701535</v>
      </c>
      <c r="N12" s="129">
        <f>M12+Edo.Res.detalle!O20-'Presup. de Flujo de Caja'!M15-'Presup. de Flujo de Caja'!M16+51901</f>
        <v>33412153.104220219</v>
      </c>
      <c r="O12" s="503">
        <f>+N12-B12</f>
        <v>-4554657.0563797727</v>
      </c>
    </row>
    <row r="13" spans="1:15" x14ac:dyDescent="0.2">
      <c r="A13" s="1025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218"/>
    </row>
    <row r="14" spans="1:15" x14ac:dyDescent="0.2">
      <c r="A14" s="1025"/>
      <c r="B14" s="129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218"/>
    </row>
    <row r="15" spans="1:15" x14ac:dyDescent="0.2">
      <c r="A15" s="1026" t="s">
        <v>59</v>
      </c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218"/>
    </row>
    <row r="16" spans="1:15" x14ac:dyDescent="0.2">
      <c r="A16" s="1025" t="s">
        <v>60</v>
      </c>
      <c r="B16" s="129">
        <f>+Balance2013!B14</f>
        <v>8807291</v>
      </c>
      <c r="C16" s="129">
        <v>8170291</v>
      </c>
      <c r="D16" s="129">
        <v>8470291</v>
      </c>
      <c r="E16" s="129">
        <v>8120291</v>
      </c>
      <c r="F16" s="129">
        <v>7770291</v>
      </c>
      <c r="G16" s="129">
        <v>8120291</v>
      </c>
      <c r="H16" s="129">
        <v>7820291</v>
      </c>
      <c r="I16" s="129">
        <v>8120291</v>
      </c>
      <c r="J16" s="129">
        <v>8420291</v>
      </c>
      <c r="K16" s="129">
        <v>8270291</v>
      </c>
      <c r="L16" s="129">
        <v>8090291</v>
      </c>
      <c r="M16" s="129">
        <v>8270291</v>
      </c>
      <c r="N16" s="218">
        <v>8450291</v>
      </c>
      <c r="O16" s="503">
        <f>+N16-B16</f>
        <v>-357000</v>
      </c>
    </row>
    <row r="17" spans="1:15" x14ac:dyDescent="0.2">
      <c r="A17" s="1025"/>
      <c r="B17" s="129"/>
      <c r="C17" s="129"/>
      <c r="D17" s="129"/>
      <c r="E17" s="129"/>
      <c r="F17" s="130"/>
      <c r="G17" s="129"/>
      <c r="H17" s="129"/>
      <c r="I17" s="129"/>
      <c r="J17" s="130"/>
      <c r="K17" s="129"/>
      <c r="L17" s="129"/>
      <c r="M17" s="129"/>
      <c r="N17" s="218"/>
    </row>
    <row r="18" spans="1:15" x14ac:dyDescent="0.2">
      <c r="A18" s="1025"/>
      <c r="B18" s="129"/>
      <c r="C18" s="129"/>
      <c r="D18" s="129"/>
      <c r="E18" s="129"/>
      <c r="F18" s="130"/>
      <c r="G18" s="129"/>
      <c r="H18" s="129"/>
      <c r="I18" s="129"/>
      <c r="J18" s="130"/>
      <c r="K18" s="129"/>
      <c r="L18" s="129"/>
      <c r="M18" s="129"/>
      <c r="N18" s="218"/>
    </row>
    <row r="19" spans="1:15" x14ac:dyDescent="0.2">
      <c r="A19" s="1026" t="s">
        <v>61</v>
      </c>
      <c r="B19" s="129">
        <f>SUM(B11+B12+B16)</f>
        <v>86106886.600599989</v>
      </c>
      <c r="C19" s="129">
        <f t="shared" ref="C19:N19" si="0">SUM(C11+C12+C16)</f>
        <v>85636225.869638026</v>
      </c>
      <c r="D19" s="129">
        <f t="shared" si="0"/>
        <v>90470233.407620504</v>
      </c>
      <c r="E19" s="129">
        <f t="shared" si="0"/>
        <v>89067861.691031113</v>
      </c>
      <c r="F19" s="130">
        <f t="shared" si="0"/>
        <v>88754157.244904175</v>
      </c>
      <c r="G19" s="129">
        <f t="shared" si="0"/>
        <v>77066234.520752743</v>
      </c>
      <c r="H19" s="129">
        <f t="shared" si="0"/>
        <v>73056905.228182703</v>
      </c>
      <c r="I19" s="129">
        <f t="shared" si="0"/>
        <v>65091060.323956951</v>
      </c>
      <c r="J19" s="130">
        <f t="shared" si="0"/>
        <v>66163910.244204059</v>
      </c>
      <c r="K19" s="129">
        <f t="shared" si="0"/>
        <v>73694787.755812004</v>
      </c>
      <c r="L19" s="129">
        <f t="shared" si="0"/>
        <v>79484371.918400586</v>
      </c>
      <c r="M19" s="129">
        <f t="shared" si="0"/>
        <v>82253193.587923765</v>
      </c>
      <c r="N19" s="218">
        <f t="shared" si="0"/>
        <v>86922093.4245933</v>
      </c>
      <c r="O19" s="503">
        <f>+N19-B19</f>
        <v>815206.82399331033</v>
      </c>
    </row>
    <row r="20" spans="1:15" x14ac:dyDescent="0.2">
      <c r="A20" s="1025"/>
      <c r="B20" s="129"/>
      <c r="C20" s="129"/>
      <c r="D20" s="129"/>
      <c r="E20" s="129"/>
      <c r="F20" s="130"/>
      <c r="G20" s="129"/>
      <c r="H20" s="129"/>
      <c r="I20" s="129"/>
      <c r="J20" s="130"/>
      <c r="K20" s="129"/>
      <c r="L20" s="129"/>
      <c r="M20" s="129"/>
      <c r="N20" s="218"/>
    </row>
    <row r="21" spans="1:15" x14ac:dyDescent="0.2">
      <c r="A21" s="1026" t="s">
        <v>62</v>
      </c>
      <c r="B21" s="497"/>
      <c r="C21" s="497"/>
      <c r="D21" s="497"/>
      <c r="E21" s="497"/>
      <c r="F21" s="498"/>
      <c r="G21" s="497"/>
      <c r="H21" s="497"/>
      <c r="I21" s="497"/>
      <c r="J21" s="498"/>
      <c r="K21" s="497"/>
      <c r="L21" s="497"/>
      <c r="M21" s="497"/>
      <c r="N21" s="499"/>
    </row>
    <row r="22" spans="1:15" x14ac:dyDescent="0.2">
      <c r="A22" s="1025" t="s">
        <v>63</v>
      </c>
      <c r="B22" s="129">
        <f>+Balance2013!B19</f>
        <v>165206945</v>
      </c>
      <c r="C22" s="129">
        <f>B22+'Inversiones 2014'!L113-'Depreciación 2014'!E68</f>
        <v>167146695</v>
      </c>
      <c r="D22" s="129">
        <f>C22+'Inversiones 2014'!M113-'Depreciación 2014'!F68</f>
        <v>167668104.4070513</v>
      </c>
      <c r="E22" s="129">
        <f>D22+'Inversiones 2014'!N113-'Depreciación 2014'!G68</f>
        <v>178637530.68910259</v>
      </c>
      <c r="F22" s="129">
        <f>E22+'Inversiones 2014'!O113-'Depreciación 2014'!H68</f>
        <v>183875866.8669872</v>
      </c>
      <c r="G22" s="129">
        <f>F22+'Inversiones 2014'!P113-'Depreciación 2014'!I68</f>
        <v>194195262.03525642</v>
      </c>
      <c r="H22" s="129">
        <f>G22+'Inversiones 2014'!Q113-'Depreciación 2014'!J68</f>
        <v>198097619.52724358</v>
      </c>
      <c r="I22" s="129">
        <f>H22+'Inversiones 2014'!R113-'Depreciación 2014'!K68</f>
        <v>201228372.05128205</v>
      </c>
      <c r="J22" s="129">
        <f>I22+'Inversiones 2014'!S113-'Depreciación 2014'!L68</f>
        <v>201809811.27403846</v>
      </c>
      <c r="K22" s="129">
        <f>J22+'Inversiones 2014'!T113-'Depreciación 2014'!M68</f>
        <v>201372992.16346154</v>
      </c>
      <c r="L22" s="129">
        <f>K22+'Inversiones 2014'!U113-'Depreciación 2014'!N68</f>
        <v>200704931.38621795</v>
      </c>
      <c r="M22" s="129">
        <f>L22+'Inversiones 2014'!V113-'Depreciación 2014'!O68</f>
        <v>199934370.60897437</v>
      </c>
      <c r="N22" s="218">
        <f>M22+'Inversiones 2014'!W113-'Depreciación 2014'!P68</f>
        <v>198962143.1650641</v>
      </c>
      <c r="O22" s="503">
        <f>+N22-B22</f>
        <v>33755198.165064096</v>
      </c>
    </row>
    <row r="23" spans="1:15" x14ac:dyDescent="0.2">
      <c r="A23" s="1025"/>
      <c r="B23" s="497"/>
      <c r="C23" s="497"/>
      <c r="D23" s="497"/>
      <c r="E23" s="497"/>
      <c r="F23" s="497"/>
      <c r="G23" s="497"/>
      <c r="H23" s="497"/>
      <c r="I23" s="497"/>
      <c r="J23" s="497"/>
      <c r="K23" s="497"/>
      <c r="L23" s="497"/>
      <c r="M23" s="497"/>
      <c r="N23" s="499"/>
    </row>
    <row r="24" spans="1:15" x14ac:dyDescent="0.2">
      <c r="A24" s="1026" t="s">
        <v>64</v>
      </c>
      <c r="B24" s="129"/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218"/>
    </row>
    <row r="25" spans="1:15" x14ac:dyDescent="0.2">
      <c r="A25" s="1025" t="s">
        <v>202</v>
      </c>
      <c r="B25" s="129">
        <f>+Balance2013!B22</f>
        <v>37300934.710000001</v>
      </c>
      <c r="C25" s="129">
        <f>+'Cuentas de Balance'!E36</f>
        <v>39700166.833333336</v>
      </c>
      <c r="D25" s="129">
        <f>+'Cuentas de Balance'!F36</f>
        <v>38827014.666666664</v>
      </c>
      <c r="E25" s="129">
        <f>+'Cuentas de Balance'!G36</f>
        <v>37957980.5</v>
      </c>
      <c r="F25" s="129">
        <f>+'Cuentas de Balance'!H36</f>
        <v>37093090.333333336</v>
      </c>
      <c r="G25" s="129">
        <f>+'Cuentas de Balance'!I36</f>
        <v>36232370.166666664</v>
      </c>
      <c r="H25" s="129">
        <f>+'Cuentas de Balance'!J36</f>
        <v>35375847</v>
      </c>
      <c r="I25" s="129">
        <f>+'Cuentas de Balance'!K36</f>
        <v>34523544.833333336</v>
      </c>
      <c r="J25" s="129">
        <f>+'Cuentas de Balance'!L36</f>
        <v>33675493.666666664</v>
      </c>
      <c r="K25" s="129">
        <f>+'Cuentas de Balance'!M36</f>
        <v>32831717.5</v>
      </c>
      <c r="L25" s="129">
        <f>+'Cuentas de Balance'!N36</f>
        <v>31992244.333333332</v>
      </c>
      <c r="M25" s="129">
        <f>+'Cuentas de Balance'!O36</f>
        <v>31157100.166666668</v>
      </c>
      <c r="N25" s="218">
        <f>+'Cuentas de Balance'!P36</f>
        <v>30326312</v>
      </c>
      <c r="O25" s="503">
        <f>+N25-B25</f>
        <v>-6974622.7100000009</v>
      </c>
    </row>
    <row r="26" spans="1:15" x14ac:dyDescent="0.2">
      <c r="A26" s="1025" t="s">
        <v>230</v>
      </c>
      <c r="B26" s="129">
        <v>0</v>
      </c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218"/>
    </row>
    <row r="27" spans="1:15" x14ac:dyDescent="0.2">
      <c r="A27" s="1026"/>
      <c r="B27" s="129"/>
      <c r="C27" s="129"/>
      <c r="D27" s="129"/>
      <c r="E27" s="129"/>
      <c r="F27" s="130"/>
      <c r="G27" s="129"/>
      <c r="H27" s="129"/>
      <c r="I27" s="129"/>
      <c r="J27" s="130"/>
      <c r="K27" s="129"/>
      <c r="L27" s="129"/>
      <c r="M27" s="129"/>
      <c r="N27" s="218"/>
    </row>
    <row r="28" spans="1:15" x14ac:dyDescent="0.2">
      <c r="A28" s="1026" t="s">
        <v>65</v>
      </c>
      <c r="B28" s="236">
        <f>SUM(B19+B22+B25+B26)</f>
        <v>288614766.31059998</v>
      </c>
      <c r="C28" s="236">
        <f t="shared" ref="C28:N28" si="1">SUM(C19+C22+C25+C26)</f>
        <v>292483087.70297134</v>
      </c>
      <c r="D28" s="236">
        <f t="shared" si="1"/>
        <v>296965352.4813385</v>
      </c>
      <c r="E28" s="236">
        <f t="shared" si="1"/>
        <v>305663372.88013369</v>
      </c>
      <c r="F28" s="237">
        <f t="shared" si="1"/>
        <v>309723114.4452247</v>
      </c>
      <c r="G28" s="236">
        <f t="shared" si="1"/>
        <v>307493866.72267586</v>
      </c>
      <c r="H28" s="236">
        <f t="shared" si="1"/>
        <v>306530371.75542629</v>
      </c>
      <c r="I28" s="236">
        <f t="shared" si="1"/>
        <v>300842977.20857233</v>
      </c>
      <c r="J28" s="237">
        <f t="shared" si="1"/>
        <v>301649215.18490922</v>
      </c>
      <c r="K28" s="236">
        <f t="shared" si="1"/>
        <v>307899497.41927356</v>
      </c>
      <c r="L28" s="236">
        <f t="shared" si="1"/>
        <v>312181547.63795185</v>
      </c>
      <c r="M28" s="236">
        <f t="shared" si="1"/>
        <v>313344664.36356479</v>
      </c>
      <c r="N28" s="238">
        <f t="shared" si="1"/>
        <v>316210548.58965743</v>
      </c>
      <c r="O28" s="503">
        <f>+N28-B28</f>
        <v>27595782.279057443</v>
      </c>
    </row>
    <row r="29" spans="1:15" x14ac:dyDescent="0.2">
      <c r="A29" s="128"/>
      <c r="B29" s="129"/>
      <c r="C29" s="129"/>
      <c r="D29" s="129"/>
      <c r="E29" s="129"/>
      <c r="F29" s="130"/>
      <c r="G29" s="129"/>
      <c r="H29" s="129"/>
      <c r="I29" s="129"/>
      <c r="J29" s="130"/>
      <c r="K29" s="129"/>
      <c r="L29" s="129"/>
      <c r="M29" s="129"/>
      <c r="N29" s="218"/>
    </row>
    <row r="30" spans="1:15" x14ac:dyDescent="0.2">
      <c r="A30" s="128" t="s">
        <v>66</v>
      </c>
      <c r="B30" s="129"/>
      <c r="C30" s="129"/>
      <c r="D30" s="129"/>
      <c r="E30" s="129"/>
      <c r="F30" s="130"/>
      <c r="G30" s="129"/>
      <c r="H30" s="129"/>
      <c r="I30" s="129"/>
      <c r="J30" s="130"/>
      <c r="K30" s="129"/>
      <c r="L30" s="129"/>
      <c r="M30" s="129"/>
      <c r="N30" s="218"/>
    </row>
    <row r="31" spans="1:15" x14ac:dyDescent="0.2">
      <c r="A31" s="124"/>
      <c r="B31" s="129"/>
      <c r="C31" s="129"/>
      <c r="D31" s="129"/>
      <c r="E31" s="129"/>
      <c r="F31" s="130"/>
      <c r="G31" s="129"/>
      <c r="H31" s="129"/>
      <c r="I31" s="129"/>
      <c r="J31" s="130"/>
      <c r="K31" s="129"/>
      <c r="L31" s="129"/>
      <c r="M31" s="129"/>
      <c r="N31" s="218"/>
    </row>
    <row r="32" spans="1:15" x14ac:dyDescent="0.2">
      <c r="A32" s="128" t="s">
        <v>67</v>
      </c>
      <c r="B32" s="129"/>
      <c r="C32" s="129"/>
      <c r="D32" s="129"/>
      <c r="E32" s="129"/>
      <c r="F32" s="130"/>
      <c r="G32" s="129"/>
      <c r="H32" s="129"/>
      <c r="I32" s="129"/>
      <c r="J32" s="130"/>
      <c r="K32" s="129"/>
      <c r="L32" s="129"/>
      <c r="M32" s="129"/>
      <c r="N32" s="218"/>
    </row>
    <row r="33" spans="1:15" x14ac:dyDescent="0.2">
      <c r="A33" s="124" t="s">
        <v>68</v>
      </c>
      <c r="B33" s="129">
        <f>+Balance2013!B31</f>
        <v>9109968</v>
      </c>
      <c r="C33" s="129">
        <f>+B33+C62</f>
        <v>9217569</v>
      </c>
      <c r="D33" s="129">
        <f>+C33+D62</f>
        <v>11920725</v>
      </c>
      <c r="E33" s="129">
        <f>+D33+E62+2581292</f>
        <v>14436557</v>
      </c>
      <c r="F33" s="129">
        <f t="shared" ref="F33:N33" si="2">+E33+F62</f>
        <v>11520297</v>
      </c>
      <c r="G33" s="129">
        <f>+F33+G62</f>
        <v>11461947</v>
      </c>
      <c r="H33" s="129">
        <f t="shared" si="2"/>
        <v>11407185</v>
      </c>
      <c r="I33" s="129">
        <f t="shared" si="2"/>
        <v>11356033</v>
      </c>
      <c r="J33" s="129">
        <f t="shared" si="2"/>
        <v>11308514</v>
      </c>
      <c r="K33" s="129">
        <f t="shared" si="2"/>
        <v>11264651</v>
      </c>
      <c r="L33" s="129">
        <f t="shared" si="2"/>
        <v>11224467</v>
      </c>
      <c r="M33" s="129">
        <f t="shared" si="2"/>
        <v>11187986</v>
      </c>
      <c r="N33" s="129">
        <f t="shared" si="2"/>
        <v>11155230</v>
      </c>
      <c r="O33" s="503">
        <f>+N33-B33</f>
        <v>2045262</v>
      </c>
    </row>
    <row r="34" spans="1:15" x14ac:dyDescent="0.2">
      <c r="A34" s="124" t="s">
        <v>69</v>
      </c>
      <c r="B34" s="129">
        <f>+Balance2013!B32</f>
        <v>48846757</v>
      </c>
      <c r="C34" s="129">
        <f>+B34+C63+C64+C66-5705328</f>
        <v>47486586.013335727</v>
      </c>
      <c r="D34" s="129">
        <f t="shared" ref="D34:E34" si="3">+C34+D63+D64+D66</f>
        <v>49485993.082010716</v>
      </c>
      <c r="E34" s="129">
        <f t="shared" si="3"/>
        <v>51217673.536037743</v>
      </c>
      <c r="F34" s="129">
        <f>+E34+F63+F64+F66+2517552</f>
        <v>54979747.674031012</v>
      </c>
      <c r="G34" s="129">
        <f>+F34+G63+G64+G66-3281115-863000+26697</f>
        <v>48535837.782457128</v>
      </c>
      <c r="H34" s="129">
        <f>+G34+H63+H64+H66-2755530-22000</f>
        <v>46989415.017371237</v>
      </c>
      <c r="I34" s="129">
        <f>+H34+I63+I64+I66-10205526</f>
        <v>38098105.612082973</v>
      </c>
      <c r="J34" s="129">
        <f>+I34+J63+J64+J66-1033121</f>
        <v>36262105.44260174</v>
      </c>
      <c r="K34" s="129">
        <f>+J34+K63+K64+K66+2063378</f>
        <v>37897351.063215993</v>
      </c>
      <c r="L34" s="129">
        <f>+K34+L63+L64+L66-423545</f>
        <v>36618826.491886906</v>
      </c>
      <c r="M34" s="129">
        <f>+L34+M63+M64+M66-70942</f>
        <v>35869156.460152932</v>
      </c>
      <c r="N34" s="129">
        <f>+M34+N63+N64+N66+42021</f>
        <v>35052721.222926483</v>
      </c>
      <c r="O34" s="503">
        <f>+N34-B34</f>
        <v>-13794035.777073517</v>
      </c>
    </row>
    <row r="35" spans="1:15" x14ac:dyDescent="0.2">
      <c r="A35" s="1439" t="s">
        <v>70</v>
      </c>
      <c r="B35" s="129">
        <f>+Balance2013!B33</f>
        <v>7700000</v>
      </c>
      <c r="C35" s="129">
        <f>B35-1500000-161020-10610+410006</f>
        <v>6438376</v>
      </c>
      <c r="D35" s="129">
        <f>C35+92471-5125</f>
        <v>6525722</v>
      </c>
      <c r="E35" s="129">
        <f>D35</f>
        <v>6525722</v>
      </c>
      <c r="F35" s="129">
        <f>E35</f>
        <v>6525722</v>
      </c>
      <c r="G35" s="129">
        <f>F35+(3435116*0.2)</f>
        <v>7212745.2000000002</v>
      </c>
      <c r="H35" s="129">
        <f>G35-+(3435116*0.2)+36164-16399</f>
        <v>6545487</v>
      </c>
      <c r="I35" s="129">
        <f>H35-699-4296-630</f>
        <v>6539862</v>
      </c>
      <c r="J35" s="129">
        <f>I35-60552-1477</f>
        <v>6477833</v>
      </c>
      <c r="K35" s="129">
        <f>J35+284885</f>
        <v>6762718</v>
      </c>
      <c r="L35" s="129">
        <f>K35</f>
        <v>6762718</v>
      </c>
      <c r="M35" s="129">
        <f>L35-139033-21738</f>
        <v>6601947</v>
      </c>
      <c r="N35" s="129">
        <f>M35+(4200000*0.2)-7686-39</f>
        <v>7434222</v>
      </c>
      <c r="O35" s="503">
        <f>+N35-B35</f>
        <v>-265778</v>
      </c>
    </row>
    <row r="36" spans="1:15" x14ac:dyDescent="0.2">
      <c r="A36" s="124"/>
      <c r="B36" s="129"/>
      <c r="C36" s="129"/>
      <c r="D36" s="129"/>
      <c r="E36" s="129"/>
      <c r="F36" s="130"/>
      <c r="G36" s="129"/>
      <c r="H36" s="129"/>
      <c r="I36" s="129"/>
      <c r="J36" s="130"/>
      <c r="K36" s="129"/>
      <c r="L36" s="129"/>
      <c r="M36" s="129"/>
      <c r="N36" s="218"/>
    </row>
    <row r="37" spans="1:15" x14ac:dyDescent="0.2">
      <c r="A37" s="128" t="s">
        <v>71</v>
      </c>
      <c r="B37" s="129">
        <f t="shared" ref="B37:N37" si="4">SUM(B33:B36)</f>
        <v>65656725</v>
      </c>
      <c r="C37" s="129">
        <f t="shared" si="4"/>
        <v>63142531.013335727</v>
      </c>
      <c r="D37" s="129">
        <f t="shared" si="4"/>
        <v>67932440.082010716</v>
      </c>
      <c r="E37" s="129">
        <f t="shared" si="4"/>
        <v>72179952.536037743</v>
      </c>
      <c r="F37" s="130">
        <f t="shared" si="4"/>
        <v>73025766.674031019</v>
      </c>
      <c r="G37" s="129">
        <f t="shared" si="4"/>
        <v>67210529.982457131</v>
      </c>
      <c r="H37" s="129">
        <f t="shared" si="4"/>
        <v>64942087.017371237</v>
      </c>
      <c r="I37" s="129">
        <f t="shared" si="4"/>
        <v>55994000.612082973</v>
      </c>
      <c r="J37" s="130">
        <f t="shared" si="4"/>
        <v>54048452.44260174</v>
      </c>
      <c r="K37" s="129">
        <f t="shared" si="4"/>
        <v>55924720.063215993</v>
      </c>
      <c r="L37" s="129">
        <f t="shared" si="4"/>
        <v>54606011.491886906</v>
      </c>
      <c r="M37" s="129">
        <f t="shared" si="4"/>
        <v>53659089.460152932</v>
      </c>
      <c r="N37" s="218">
        <f t="shared" si="4"/>
        <v>53642173.222926483</v>
      </c>
      <c r="O37" s="503">
        <f>+N37-B37</f>
        <v>-12014551.777073517</v>
      </c>
    </row>
    <row r="38" spans="1:15" x14ac:dyDescent="0.2">
      <c r="A38" s="124"/>
      <c r="B38" s="129"/>
      <c r="C38" s="129"/>
      <c r="D38" s="129" t="s">
        <v>28</v>
      </c>
      <c r="E38" s="129" t="s">
        <v>28</v>
      </c>
      <c r="F38" s="130" t="s">
        <v>28</v>
      </c>
      <c r="G38" s="129"/>
      <c r="H38" s="129" t="s">
        <v>28</v>
      </c>
      <c r="I38" s="129" t="s">
        <v>28</v>
      </c>
      <c r="J38" s="130" t="s">
        <v>28</v>
      </c>
      <c r="K38" s="129"/>
      <c r="L38" s="129" t="s">
        <v>28</v>
      </c>
      <c r="M38" s="129" t="s">
        <v>28</v>
      </c>
      <c r="N38" s="218" t="s">
        <v>28</v>
      </c>
    </row>
    <row r="39" spans="1:15" x14ac:dyDescent="0.2">
      <c r="A39" s="128" t="s">
        <v>72</v>
      </c>
      <c r="B39" s="129"/>
      <c r="C39" s="129"/>
      <c r="D39" s="129"/>
      <c r="E39" s="129"/>
      <c r="F39" s="130"/>
      <c r="G39" s="129"/>
      <c r="H39" s="129"/>
      <c r="I39" s="129"/>
      <c r="J39" s="130"/>
      <c r="K39" s="129"/>
      <c r="L39" s="129"/>
      <c r="M39" s="129"/>
      <c r="N39" s="218"/>
    </row>
    <row r="40" spans="1:15" x14ac:dyDescent="0.2">
      <c r="A40" s="124" t="s">
        <v>203</v>
      </c>
      <c r="B40" s="129">
        <f>+Balance2013!B38</f>
        <v>56614962</v>
      </c>
      <c r="C40" s="129">
        <f>22950799+15238577+'Cuentas de Balance'!E53</f>
        <v>56608808.416666672</v>
      </c>
      <c r="D40" s="129">
        <f>22950799+15238577+'Cuentas de Balance'!F53</f>
        <v>56602654.833333336</v>
      </c>
      <c r="E40" s="129">
        <f>22950799+15238577+'Cuentas de Balance'!G53</f>
        <v>56596501.25</v>
      </c>
      <c r="F40" s="129">
        <f>22950799+15238577+'Cuentas de Balance'!H53</f>
        <v>56590347.666666672</v>
      </c>
      <c r="G40" s="129">
        <f>22950799+15238577+'Cuentas de Balance'!I53</f>
        <v>56584194.083333343</v>
      </c>
      <c r="H40" s="129">
        <f>22950799+15238577+'Cuentas de Balance'!J53</f>
        <v>56578040.500000007</v>
      </c>
      <c r="I40" s="129">
        <f>22950799+15238577+'Cuentas de Balance'!K53</f>
        <v>56571886.916666672</v>
      </c>
      <c r="J40" s="129">
        <f>22950799+15238577+'Cuentas de Balance'!L53</f>
        <v>56565733.333333343</v>
      </c>
      <c r="K40" s="129">
        <f>22950799+15238577+'Cuentas de Balance'!M53</f>
        <v>56559579.750000015</v>
      </c>
      <c r="L40" s="129">
        <f>22950799+15238577+'Cuentas de Balance'!N53</f>
        <v>56553426.166666679</v>
      </c>
      <c r="M40" s="129">
        <f>22950799+15238577+'Cuentas de Balance'!O53</f>
        <v>56547272.583333343</v>
      </c>
      <c r="N40" s="129">
        <f>22950799+15238577+'Cuentas de Balance'!P53</f>
        <v>56541119.000000015</v>
      </c>
      <c r="O40" s="503">
        <f>+N40-B40</f>
        <v>-73842.999999985099</v>
      </c>
    </row>
    <row r="41" spans="1:15" x14ac:dyDescent="0.2">
      <c r="A41" s="124" t="s">
        <v>9835</v>
      </c>
      <c r="B41" s="129">
        <f>Balance2013!B39</f>
        <v>95968399</v>
      </c>
      <c r="C41" s="129">
        <f>B41</f>
        <v>95968399</v>
      </c>
      <c r="D41" s="129">
        <f>+C41</f>
        <v>95968399</v>
      </c>
      <c r="E41" s="129">
        <f t="shared" ref="E41:N41" si="5">+D41</f>
        <v>95968399</v>
      </c>
      <c r="F41" s="129">
        <f t="shared" si="5"/>
        <v>95968399</v>
      </c>
      <c r="G41" s="129">
        <f t="shared" si="5"/>
        <v>95968399</v>
      </c>
      <c r="H41" s="129">
        <f t="shared" si="5"/>
        <v>95968399</v>
      </c>
      <c r="I41" s="129">
        <f t="shared" si="5"/>
        <v>95968399</v>
      </c>
      <c r="J41" s="129">
        <f t="shared" si="5"/>
        <v>95968399</v>
      </c>
      <c r="K41" s="129">
        <f t="shared" si="5"/>
        <v>95968399</v>
      </c>
      <c r="L41" s="129">
        <f t="shared" si="5"/>
        <v>95968399</v>
      </c>
      <c r="M41" s="129">
        <f t="shared" si="5"/>
        <v>95968399</v>
      </c>
      <c r="N41" s="129">
        <f t="shared" si="5"/>
        <v>95968399</v>
      </c>
    </row>
    <row r="42" spans="1:15" x14ac:dyDescent="0.2">
      <c r="A42" s="128" t="s">
        <v>73</v>
      </c>
      <c r="B42" s="236">
        <f>SUM(B37+B40+B41)</f>
        <v>218240086</v>
      </c>
      <c r="C42" s="236">
        <f>SUM(C37+C40+C41)</f>
        <v>215719738.43000239</v>
      </c>
      <c r="D42" s="236">
        <f t="shared" ref="D42:N42" si="6">SUM(D37+D40+D41)</f>
        <v>220503493.91534406</v>
      </c>
      <c r="E42" s="236">
        <f t="shared" si="6"/>
        <v>224744852.78603774</v>
      </c>
      <c r="F42" s="236">
        <f t="shared" si="6"/>
        <v>225584513.34069771</v>
      </c>
      <c r="G42" s="236">
        <f t="shared" si="6"/>
        <v>219763123.06579047</v>
      </c>
      <c r="H42" s="236">
        <f t="shared" si="6"/>
        <v>217488526.51737124</v>
      </c>
      <c r="I42" s="236">
        <f t="shared" si="6"/>
        <v>208534286.52874964</v>
      </c>
      <c r="J42" s="236">
        <f t="shared" si="6"/>
        <v>206582584.77593508</v>
      </c>
      <c r="K42" s="236">
        <f t="shared" si="6"/>
        <v>208452698.813216</v>
      </c>
      <c r="L42" s="236">
        <f t="shared" si="6"/>
        <v>207127836.6585536</v>
      </c>
      <c r="M42" s="236">
        <f t="shared" si="6"/>
        <v>206174761.04348627</v>
      </c>
      <c r="N42" s="236">
        <f t="shared" si="6"/>
        <v>206151691.2229265</v>
      </c>
      <c r="O42" s="503">
        <f>+N42-B42</f>
        <v>-12088394.777073503</v>
      </c>
    </row>
    <row r="43" spans="1:15" x14ac:dyDescent="0.2">
      <c r="A43" s="124"/>
      <c r="B43" s="129"/>
      <c r="C43" s="129"/>
      <c r="D43" s="129"/>
      <c r="E43" s="129"/>
      <c r="F43" s="130"/>
      <c r="G43" s="129"/>
      <c r="H43" s="129"/>
      <c r="I43" s="129"/>
      <c r="J43" s="130"/>
      <c r="K43" s="129"/>
      <c r="L43" s="129"/>
      <c r="M43" s="129"/>
      <c r="N43" s="218"/>
    </row>
    <row r="44" spans="1:15" x14ac:dyDescent="0.2">
      <c r="A44" s="128" t="s">
        <v>74</v>
      </c>
      <c r="B44" s="129"/>
      <c r="C44" s="129"/>
      <c r="D44" s="129"/>
      <c r="E44" s="129"/>
      <c r="F44" s="130"/>
      <c r="G44" s="129"/>
      <c r="H44" s="129"/>
      <c r="I44" s="129"/>
      <c r="J44" s="130"/>
      <c r="K44" s="129"/>
      <c r="L44" s="129"/>
      <c r="M44" s="129"/>
      <c r="N44" s="218"/>
    </row>
    <row r="45" spans="1:15" x14ac:dyDescent="0.2">
      <c r="A45" s="777" t="s">
        <v>75</v>
      </c>
      <c r="B45" s="129">
        <f>+Balance2013!B43</f>
        <v>13036741</v>
      </c>
      <c r="C45" s="129">
        <f>B45</f>
        <v>13036741</v>
      </c>
      <c r="D45" s="129">
        <f t="shared" ref="D45:N45" si="7">+C45</f>
        <v>13036741</v>
      </c>
      <c r="E45" s="129">
        <f t="shared" si="7"/>
        <v>13036741</v>
      </c>
      <c r="F45" s="129">
        <f t="shared" si="7"/>
        <v>13036741</v>
      </c>
      <c r="G45" s="129">
        <f t="shared" si="7"/>
        <v>13036741</v>
      </c>
      <c r="H45" s="129">
        <f t="shared" si="7"/>
        <v>13036741</v>
      </c>
      <c r="I45" s="129">
        <f t="shared" si="7"/>
        <v>13036741</v>
      </c>
      <c r="J45" s="129">
        <f t="shared" si="7"/>
        <v>13036741</v>
      </c>
      <c r="K45" s="129">
        <f t="shared" si="7"/>
        <v>13036741</v>
      </c>
      <c r="L45" s="129">
        <f t="shared" si="7"/>
        <v>13036741</v>
      </c>
      <c r="M45" s="129">
        <f t="shared" si="7"/>
        <v>13036741</v>
      </c>
      <c r="N45" s="218">
        <f t="shared" si="7"/>
        <v>13036741</v>
      </c>
      <c r="O45" s="503">
        <f>+N45-B45</f>
        <v>0</v>
      </c>
    </row>
    <row r="46" spans="1:15" x14ac:dyDescent="0.2">
      <c r="A46" s="1444" t="s">
        <v>10364</v>
      </c>
      <c r="B46" s="129">
        <f>Balance2013!B44</f>
        <v>4548715</v>
      </c>
      <c r="C46" s="129">
        <f>Balance2013!C44</f>
        <v>4548715</v>
      </c>
      <c r="D46" s="129">
        <f>C46</f>
        <v>4548715</v>
      </c>
      <c r="E46" s="129">
        <f t="shared" ref="E46:N46" si="8">D46</f>
        <v>4548715</v>
      </c>
      <c r="F46" s="129">
        <f t="shared" si="8"/>
        <v>4548715</v>
      </c>
      <c r="G46" s="129">
        <f t="shared" si="8"/>
        <v>4548715</v>
      </c>
      <c r="H46" s="129">
        <f t="shared" si="8"/>
        <v>4548715</v>
      </c>
      <c r="I46" s="129">
        <f t="shared" si="8"/>
        <v>4548715</v>
      </c>
      <c r="J46" s="129">
        <f t="shared" si="8"/>
        <v>4548715</v>
      </c>
      <c r="K46" s="129">
        <f t="shared" si="8"/>
        <v>4548715</v>
      </c>
      <c r="L46" s="129">
        <f t="shared" si="8"/>
        <v>4548715</v>
      </c>
      <c r="M46" s="129">
        <f t="shared" si="8"/>
        <v>4548715</v>
      </c>
      <c r="N46" s="129">
        <f t="shared" si="8"/>
        <v>4548715</v>
      </c>
      <c r="O46" s="503"/>
    </row>
    <row r="47" spans="1:15" x14ac:dyDescent="0.2">
      <c r="A47" s="777" t="s">
        <v>76</v>
      </c>
      <c r="B47" s="129">
        <f>+Balance2013!B45</f>
        <v>12021339.42</v>
      </c>
      <c r="C47" s="129">
        <f>B47+B48</f>
        <v>53054029.310599998</v>
      </c>
      <c r="D47" s="129">
        <f>C47</f>
        <v>53054029.310599998</v>
      </c>
      <c r="E47" s="129">
        <f t="shared" ref="E47:N47" si="9">+D47</f>
        <v>53054029.310599998</v>
      </c>
      <c r="F47" s="129">
        <f t="shared" si="9"/>
        <v>53054029.310599998</v>
      </c>
      <c r="G47" s="129">
        <f t="shared" si="9"/>
        <v>53054029.310599998</v>
      </c>
      <c r="H47" s="129">
        <f t="shared" si="9"/>
        <v>53054029.310599998</v>
      </c>
      <c r="I47" s="129">
        <f t="shared" si="9"/>
        <v>53054029.310599998</v>
      </c>
      <c r="J47" s="129">
        <f t="shared" si="9"/>
        <v>53054029.310599998</v>
      </c>
      <c r="K47" s="129">
        <f t="shared" si="9"/>
        <v>53054029.310599998</v>
      </c>
      <c r="L47" s="129">
        <f t="shared" si="9"/>
        <v>53054029.310599998</v>
      </c>
      <c r="M47" s="129">
        <f t="shared" si="9"/>
        <v>53054029.310599998</v>
      </c>
      <c r="N47" s="218">
        <f t="shared" si="9"/>
        <v>53054029.310599998</v>
      </c>
      <c r="O47" s="503">
        <f>+N47-B47</f>
        <v>41032689.890599996</v>
      </c>
    </row>
    <row r="48" spans="1:15" x14ac:dyDescent="0.2">
      <c r="A48" s="777" t="s">
        <v>77</v>
      </c>
      <c r="B48" s="129">
        <f>+Balance2013!B46</f>
        <v>41032689.890599996</v>
      </c>
      <c r="C48" s="129">
        <f>SUM(Edo.Res.detalle!$D69:D69)</f>
        <v>6388668.9007874187</v>
      </c>
      <c r="D48" s="129">
        <f>SUM(Edo.Res.detalle!$D69:E69)</f>
        <v>6087178.3505179845</v>
      </c>
      <c r="E48" s="129">
        <f>SUM(Edo.Res.detalle!$D69:F69)</f>
        <v>10543839.964617873</v>
      </c>
      <c r="F48" s="129">
        <f>SUM(Edo.Res.detalle!$D69:G69)</f>
        <v>13763921.212679958</v>
      </c>
      <c r="G48" s="129">
        <f>SUM(Edo.Res.detalle!$D69:H69)</f>
        <v>17356062.990944654</v>
      </c>
      <c r="H48" s="129">
        <f>SUM(Edo.Res.detalle!$D69:I69)</f>
        <v>18667164.872072712</v>
      </c>
      <c r="I48" s="129">
        <f>SUM(Edo.Res.detalle!$D69:J69)</f>
        <v>21934010.6157603</v>
      </c>
      <c r="J48" s="129">
        <f>SUM(Edo.Res.detalle!$D69:K69)</f>
        <v>24691949.800476346</v>
      </c>
      <c r="K48" s="129">
        <f>SUM(Edo.Res.detalle!$D69:L69)</f>
        <v>29072117.882811964</v>
      </c>
      <c r="L48" s="129">
        <f>SUM(Edo.Res.detalle!$D69:M69)</f>
        <v>34679030.418127745</v>
      </c>
      <c r="M48" s="129">
        <f>SUM(Edo.Res.detalle!$D69:N69)</f>
        <v>36795222.677096523</v>
      </c>
      <c r="N48" s="129">
        <f>SUM(Edo.Res.detalle!$D69:O69)</f>
        <v>39684177.320419796</v>
      </c>
      <c r="O48" s="503">
        <f>+N48-B48</f>
        <v>-1348512.5701802</v>
      </c>
    </row>
    <row r="49" spans="1:15" x14ac:dyDescent="0.2">
      <c r="A49" s="777" t="s">
        <v>211</v>
      </c>
      <c r="B49" s="129">
        <f>+Balance2013!B47</f>
        <v>-264805</v>
      </c>
      <c r="C49" s="129">
        <f t="shared" ref="C49:N49" si="10">+B49</f>
        <v>-264805</v>
      </c>
      <c r="D49" s="129">
        <f t="shared" si="10"/>
        <v>-264805</v>
      </c>
      <c r="E49" s="129">
        <f t="shared" si="10"/>
        <v>-264805</v>
      </c>
      <c r="F49" s="129">
        <f t="shared" si="10"/>
        <v>-264805</v>
      </c>
      <c r="G49" s="129">
        <f t="shared" si="10"/>
        <v>-264805</v>
      </c>
      <c r="H49" s="129">
        <f t="shared" si="10"/>
        <v>-264805</v>
      </c>
      <c r="I49" s="129">
        <f t="shared" si="10"/>
        <v>-264805</v>
      </c>
      <c r="J49" s="129">
        <f t="shared" si="10"/>
        <v>-264805</v>
      </c>
      <c r="K49" s="129">
        <f t="shared" si="10"/>
        <v>-264805</v>
      </c>
      <c r="L49" s="129">
        <f t="shared" si="10"/>
        <v>-264805</v>
      </c>
      <c r="M49" s="129">
        <f t="shared" si="10"/>
        <v>-264805</v>
      </c>
      <c r="N49" s="129">
        <f t="shared" si="10"/>
        <v>-264805</v>
      </c>
      <c r="O49" s="503">
        <f>+N49-B49</f>
        <v>0</v>
      </c>
    </row>
    <row r="50" spans="1:15" x14ac:dyDescent="0.2">
      <c r="A50" s="128"/>
      <c r="B50" s="129"/>
      <c r="C50" s="129"/>
      <c r="D50" s="129"/>
      <c r="E50" s="129"/>
      <c r="F50" s="130"/>
      <c r="G50" s="129"/>
      <c r="H50" s="129"/>
      <c r="I50" s="129"/>
      <c r="J50" s="130"/>
      <c r="K50" s="129"/>
      <c r="L50" s="129"/>
      <c r="M50" s="129"/>
      <c r="N50" s="676"/>
    </row>
    <row r="51" spans="1:15" x14ac:dyDescent="0.2">
      <c r="A51" s="128" t="s">
        <v>78</v>
      </c>
      <c r="B51" s="236">
        <f t="shared" ref="B51:N51" si="11">SUM(B45:B50)</f>
        <v>70374680.310599998</v>
      </c>
      <c r="C51" s="236">
        <f t="shared" si="11"/>
        <v>76763349.211387411</v>
      </c>
      <c r="D51" s="236">
        <f t="shared" si="11"/>
        <v>76461858.661117986</v>
      </c>
      <c r="E51" s="236">
        <f t="shared" si="11"/>
        <v>80918520.275217876</v>
      </c>
      <c r="F51" s="237">
        <f t="shared" si="11"/>
        <v>84138601.52327995</v>
      </c>
      <c r="G51" s="236">
        <f t="shared" si="11"/>
        <v>87730743.301544651</v>
      </c>
      <c r="H51" s="236">
        <f t="shared" si="11"/>
        <v>89041845.182672709</v>
      </c>
      <c r="I51" s="236">
        <f t="shared" si="11"/>
        <v>92308690.926360294</v>
      </c>
      <c r="J51" s="237">
        <f t="shared" si="11"/>
        <v>95066630.11107634</v>
      </c>
      <c r="K51" s="236">
        <f t="shared" si="11"/>
        <v>99446798.193411961</v>
      </c>
      <c r="L51" s="236">
        <f t="shared" si="11"/>
        <v>105053710.72872774</v>
      </c>
      <c r="M51" s="236">
        <f t="shared" si="11"/>
        <v>107169902.98769653</v>
      </c>
      <c r="N51" s="238">
        <f t="shared" si="11"/>
        <v>110058857.6310198</v>
      </c>
      <c r="O51" s="503">
        <f>+N51-B51</f>
        <v>39684177.320419803</v>
      </c>
    </row>
    <row r="52" spans="1:15" x14ac:dyDescent="0.2">
      <c r="A52" s="128"/>
      <c r="B52" s="129"/>
      <c r="C52" s="129"/>
      <c r="D52" s="129"/>
      <c r="E52" s="129"/>
      <c r="F52" s="130"/>
      <c r="G52" s="129"/>
      <c r="H52" s="129"/>
      <c r="I52" s="129"/>
      <c r="J52" s="130"/>
      <c r="K52" s="129"/>
      <c r="L52" s="129"/>
      <c r="M52" s="129"/>
      <c r="N52" s="218"/>
    </row>
    <row r="53" spans="1:15" x14ac:dyDescent="0.2">
      <c r="A53" s="128"/>
      <c r="B53" s="239"/>
      <c r="C53" s="239"/>
      <c r="D53" s="129"/>
      <c r="E53" s="129"/>
      <c r="F53" s="130"/>
      <c r="G53" s="239"/>
      <c r="H53" s="129"/>
      <c r="I53" s="129"/>
      <c r="J53" s="130"/>
      <c r="K53" s="239"/>
      <c r="L53" s="129"/>
      <c r="M53" s="129"/>
      <c r="N53" s="218"/>
    </row>
    <row r="54" spans="1:15" ht="13.5" thickBot="1" x14ac:dyDescent="0.25">
      <c r="A54" s="131" t="s">
        <v>79</v>
      </c>
      <c r="B54" s="240">
        <f>B42+B51</f>
        <v>288614766.31059998</v>
      </c>
      <c r="C54" s="240">
        <f t="shared" ref="C54:N54" si="12">C42+C51</f>
        <v>292483087.64138979</v>
      </c>
      <c r="D54" s="241">
        <f t="shared" si="12"/>
        <v>296965352.57646203</v>
      </c>
      <c r="E54" s="241">
        <f t="shared" si="12"/>
        <v>305663373.06125563</v>
      </c>
      <c r="F54" s="242">
        <f t="shared" si="12"/>
        <v>309723114.86397767</v>
      </c>
      <c r="G54" s="240">
        <f t="shared" si="12"/>
        <v>307493866.36733514</v>
      </c>
      <c r="H54" s="241">
        <f>H42+H51</f>
        <v>306530371.70004392</v>
      </c>
      <c r="I54" s="241">
        <f t="shared" si="12"/>
        <v>300842977.45510995</v>
      </c>
      <c r="J54" s="242">
        <f t="shared" si="12"/>
        <v>301649214.88701141</v>
      </c>
      <c r="K54" s="240">
        <f t="shared" si="12"/>
        <v>307899497.00662798</v>
      </c>
      <c r="L54" s="241">
        <f t="shared" si="12"/>
        <v>312181547.38728136</v>
      </c>
      <c r="M54" s="241">
        <f t="shared" si="12"/>
        <v>313344664.03118277</v>
      </c>
      <c r="N54" s="243">
        <f t="shared" si="12"/>
        <v>316210548.85394633</v>
      </c>
      <c r="O54" s="503">
        <f>+N54-B54</f>
        <v>27595782.543346345</v>
      </c>
    </row>
    <row r="55" spans="1:15" ht="13.5" thickTop="1" x14ac:dyDescent="0.2">
      <c r="A55" s="506"/>
      <c r="B55" s="507">
        <f>B28-B54</f>
        <v>0</v>
      </c>
      <c r="C55" s="507">
        <f t="shared" ref="C55:N55" si="13">C28-C54</f>
        <v>6.1581552028656006E-2</v>
      </c>
      <c r="D55" s="507">
        <f t="shared" si="13"/>
        <v>-9.5123529434204102E-2</v>
      </c>
      <c r="E55" s="507">
        <f t="shared" si="13"/>
        <v>-0.18112194538116455</v>
      </c>
      <c r="F55" s="507">
        <f t="shared" si="13"/>
        <v>-0.41875296831130981</v>
      </c>
      <c r="G55" s="507">
        <f t="shared" si="13"/>
        <v>0.35534071922302246</v>
      </c>
      <c r="H55" s="507">
        <f t="shared" si="13"/>
        <v>5.5382370948791504E-2</v>
      </c>
      <c r="I55" s="507">
        <f t="shared" si="13"/>
        <v>-0.24653762578964233</v>
      </c>
      <c r="J55" s="507">
        <f t="shared" si="13"/>
        <v>0.2978978157043457</v>
      </c>
      <c r="K55" s="507">
        <f t="shared" si="13"/>
        <v>0.41264557838439941</v>
      </c>
      <c r="L55" s="507">
        <f t="shared" si="13"/>
        <v>0.25067049264907837</v>
      </c>
      <c r="M55" s="507">
        <f t="shared" si="13"/>
        <v>0.33238202333450317</v>
      </c>
      <c r="N55" s="507">
        <f t="shared" si="13"/>
        <v>-0.26428890228271484</v>
      </c>
      <c r="O55" s="507"/>
    </row>
    <row r="56" spans="1:15" x14ac:dyDescent="0.2">
      <c r="A56" s="506"/>
      <c r="B56" s="507"/>
      <c r="C56" s="507"/>
      <c r="D56" s="507"/>
      <c r="E56" s="507"/>
      <c r="F56" s="507"/>
      <c r="G56" s="507"/>
      <c r="H56" s="507"/>
      <c r="I56" s="507"/>
      <c r="J56" s="507"/>
      <c r="K56" s="507"/>
      <c r="L56" s="507"/>
      <c r="M56" s="507"/>
      <c r="N56" s="507"/>
      <c r="O56" s="503"/>
    </row>
    <row r="57" spans="1:15" x14ac:dyDescent="0.2">
      <c r="A57" s="506"/>
      <c r="B57" s="507"/>
      <c r="C57" s="507"/>
      <c r="D57" s="507"/>
      <c r="E57" s="507"/>
      <c r="F57" s="507"/>
      <c r="G57" s="507"/>
      <c r="H57" s="507"/>
      <c r="I57" s="507"/>
      <c r="J57" s="507"/>
      <c r="K57" s="507"/>
      <c r="L57" s="507"/>
      <c r="M57" s="507"/>
      <c r="N57" s="507"/>
      <c r="O57" s="503"/>
    </row>
    <row r="58" spans="1:15" x14ac:dyDescent="0.2">
      <c r="A58" s="506"/>
      <c r="B58" s="507"/>
      <c r="C58" s="507"/>
      <c r="D58" s="507"/>
      <c r="E58" s="507"/>
      <c r="F58" s="507"/>
      <c r="G58" s="507"/>
      <c r="H58" s="507"/>
      <c r="I58" s="507"/>
      <c r="J58" s="507"/>
      <c r="K58" s="507"/>
      <c r="L58" s="507"/>
      <c r="M58" s="507"/>
      <c r="N58" s="507"/>
      <c r="O58" s="503"/>
    </row>
    <row r="59" spans="1:15" x14ac:dyDescent="0.2">
      <c r="A59" s="506"/>
      <c r="B59" s="507"/>
      <c r="C59" s="507"/>
      <c r="D59" s="507"/>
      <c r="E59" s="507"/>
      <c r="F59" s="507"/>
      <c r="G59" s="507"/>
      <c r="H59" s="507"/>
      <c r="I59" s="507"/>
      <c r="J59" s="507"/>
      <c r="K59" s="507"/>
      <c r="L59" s="507"/>
      <c r="M59" s="507"/>
      <c r="N59" s="507"/>
      <c r="O59" s="503"/>
    </row>
    <row r="60" spans="1:15" x14ac:dyDescent="0.2">
      <c r="A60" s="506"/>
      <c r="B60" s="507"/>
      <c r="C60" s="507"/>
      <c r="D60" s="507"/>
      <c r="E60" s="507"/>
      <c r="F60" s="507"/>
      <c r="G60" s="507"/>
      <c r="H60" s="507"/>
      <c r="I60" s="507"/>
      <c r="J60" s="507"/>
      <c r="K60" s="507"/>
      <c r="L60" s="507"/>
      <c r="M60" s="507"/>
      <c r="N60" s="507"/>
      <c r="O60" s="503"/>
    </row>
    <row r="61" spans="1:15" ht="13.5" hidden="1" thickTop="1" x14ac:dyDescent="0.2">
      <c r="B61" s="501" t="s">
        <v>297</v>
      </c>
      <c r="C61" s="117" t="s">
        <v>172</v>
      </c>
      <c r="D61" s="118" t="s">
        <v>173</v>
      </c>
      <c r="E61" s="118" t="s">
        <v>174</v>
      </c>
      <c r="F61" s="119" t="s">
        <v>175</v>
      </c>
      <c r="G61" s="117" t="s">
        <v>176</v>
      </c>
      <c r="H61" s="118" t="s">
        <v>177</v>
      </c>
      <c r="I61" s="118" t="s">
        <v>178</v>
      </c>
      <c r="J61" s="119" t="s">
        <v>179</v>
      </c>
      <c r="K61" s="117" t="s">
        <v>180</v>
      </c>
      <c r="L61" s="118" t="s">
        <v>181</v>
      </c>
      <c r="M61" s="118" t="s">
        <v>182</v>
      </c>
      <c r="N61" s="120" t="s">
        <v>183</v>
      </c>
    </row>
    <row r="62" spans="1:15" hidden="1" x14ac:dyDescent="0.2">
      <c r="A62" s="112" t="s">
        <v>296</v>
      </c>
      <c r="B62" s="500">
        <f>SUM(C62:N62)</f>
        <v>-536030</v>
      </c>
      <c r="C62" s="500">
        <v>107601</v>
      </c>
      <c r="D62" s="500">
        <v>2703156</v>
      </c>
      <c r="E62" s="500">
        <v>-65460</v>
      </c>
      <c r="F62" s="500">
        <v>-2916260</v>
      </c>
      <c r="G62" s="500">
        <v>-58350</v>
      </c>
      <c r="H62" s="500">
        <v>-54762</v>
      </c>
      <c r="I62" s="500">
        <v>-51152</v>
      </c>
      <c r="J62" s="500">
        <v>-47519</v>
      </c>
      <c r="K62" s="500">
        <v>-43863</v>
      </c>
      <c r="L62" s="500">
        <v>-40184</v>
      </c>
      <c r="M62" s="500">
        <v>-36481</v>
      </c>
      <c r="N62" s="805">
        <v>-32756</v>
      </c>
    </row>
    <row r="63" spans="1:15" hidden="1" x14ac:dyDescent="0.2">
      <c r="A63" s="112" t="s">
        <v>432</v>
      </c>
      <c r="B63" s="502">
        <f>SUM(C63:N63)</f>
        <v>18466471.526666671</v>
      </c>
      <c r="C63" s="662">
        <f>'Cuentas de Balance'!E52</f>
        <v>5041913</v>
      </c>
      <c r="D63" s="662">
        <f>'Cuentas de Balance'!F52</f>
        <v>2520956.56</v>
      </c>
      <c r="E63" s="662">
        <f>'Cuentas de Balance'!G52</f>
        <v>2180720.3933333335</v>
      </c>
      <c r="F63" s="662">
        <f>'Cuentas de Balance'!H52</f>
        <v>2180720.3933333335</v>
      </c>
      <c r="G63" s="662">
        <f>'Cuentas de Balance'!I52</f>
        <v>2180720.3933333335</v>
      </c>
      <c r="H63" s="662">
        <f>'Cuentas de Balance'!J52</f>
        <v>2180720.3933333335</v>
      </c>
      <c r="I63" s="662">
        <f>'Cuentas de Balance'!K52</f>
        <v>2180720.3933333335</v>
      </c>
      <c r="J63" s="662">
        <f>'Cuentas de Balance'!L52</f>
        <v>0</v>
      </c>
      <c r="K63" s="662">
        <f>'Cuentas de Balance'!M52</f>
        <v>0</v>
      </c>
      <c r="L63" s="662">
        <f>'Cuentas de Balance'!N52</f>
        <v>0</v>
      </c>
      <c r="M63" s="662">
        <f>'Cuentas de Balance'!O52</f>
        <v>0</v>
      </c>
      <c r="N63" s="662">
        <f>'Cuentas de Balance'!P52</f>
        <v>0</v>
      </c>
    </row>
    <row r="64" spans="1:15" hidden="1" x14ac:dyDescent="0.2">
      <c r="A64" s="112" t="s">
        <v>433</v>
      </c>
      <c r="B64" s="500">
        <f>SUM(C64:N64)</f>
        <v>-13868472</v>
      </c>
      <c r="C64" s="500">
        <f>'Cuentas de Balance'!E43</f>
        <v>-1155706</v>
      </c>
      <c r="D64" s="500">
        <f>-(+'Cuentas de Balance'!E42-'Cuentas de Balance'!F42)</f>
        <v>-1155706</v>
      </c>
      <c r="E64" s="500">
        <f>+D64</f>
        <v>-1155706</v>
      </c>
      <c r="F64" s="500">
        <f t="shared" ref="F64:N64" si="14">+E64</f>
        <v>-1155706</v>
      </c>
      <c r="G64" s="500">
        <f t="shared" si="14"/>
        <v>-1155706</v>
      </c>
      <c r="H64" s="500">
        <f t="shared" si="14"/>
        <v>-1155706</v>
      </c>
      <c r="I64" s="500">
        <f t="shared" si="14"/>
        <v>-1155706</v>
      </c>
      <c r="J64" s="500">
        <f t="shared" si="14"/>
        <v>-1155706</v>
      </c>
      <c r="K64" s="500">
        <f t="shared" si="14"/>
        <v>-1155706</v>
      </c>
      <c r="L64" s="500">
        <f t="shared" si="14"/>
        <v>-1155706</v>
      </c>
      <c r="M64" s="500">
        <f t="shared" si="14"/>
        <v>-1155706</v>
      </c>
      <c r="N64" s="805">
        <f t="shared" si="14"/>
        <v>-1155706</v>
      </c>
    </row>
    <row r="65" spans="1:14" hidden="1" x14ac:dyDescent="0.2">
      <c r="A65" s="112" t="s">
        <v>298</v>
      </c>
      <c r="B65" s="500">
        <f>SUM(C65:N65)</f>
        <v>-54410</v>
      </c>
      <c r="C65" s="500">
        <v>445441</v>
      </c>
      <c r="D65" s="500">
        <v>-45441</v>
      </c>
      <c r="E65" s="500">
        <v>-45441</v>
      </c>
      <c r="F65" s="500">
        <v>-45441</v>
      </c>
      <c r="G65" s="500">
        <v>-45441</v>
      </c>
      <c r="H65" s="500">
        <v>-45441</v>
      </c>
      <c r="I65" s="500">
        <v>-45441</v>
      </c>
      <c r="J65" s="500">
        <v>-45441</v>
      </c>
      <c r="K65" s="500">
        <v>-45441</v>
      </c>
      <c r="L65" s="500">
        <v>-45441</v>
      </c>
      <c r="M65" s="500">
        <v>-45441</v>
      </c>
      <c r="N65" s="805">
        <v>-45441</v>
      </c>
    </row>
    <row r="66" spans="1:14" hidden="1" x14ac:dyDescent="0.2">
      <c r="A66" s="112" t="s">
        <v>10365</v>
      </c>
      <c r="B66" s="500">
        <f>SUM(C66:N66)</f>
        <v>1318423.6962598353</v>
      </c>
      <c r="C66" s="500">
        <v>458950.01333572867</v>
      </c>
      <c r="D66" s="500">
        <f>'Cuentas de Balance'!F51-'Cuentas de Balance'!E51</f>
        <v>634156.50867498759</v>
      </c>
      <c r="E66" s="500">
        <f>'Cuentas de Balance'!G51-'Cuentas de Balance'!F51</f>
        <v>706666.06069369335</v>
      </c>
      <c r="F66" s="500">
        <f>'Cuentas de Balance'!H51-'Cuentas de Balance'!G51</f>
        <v>219507.74465994071</v>
      </c>
      <c r="G66" s="500">
        <f>'Cuentas de Balance'!I51-'Cuentas de Balance'!H51</f>
        <v>-3351506.2849072106</v>
      </c>
      <c r="H66" s="500">
        <f>'Cuentas de Balance'!J51-'Cuentas de Balance'!I51</f>
        <v>206092.8415807751</v>
      </c>
      <c r="I66" s="500">
        <f>'Cuentas de Balance'!K51-'Cuentas de Balance'!J51</f>
        <v>289202.20137840742</v>
      </c>
      <c r="J66" s="500">
        <f>'Cuentas de Balance'!L51-'Cuentas de Balance'!K51</f>
        <v>352826.8305187705</v>
      </c>
      <c r="K66" s="500">
        <f>'Cuentas de Balance'!M51-'Cuentas de Balance'!L51</f>
        <v>727573.62061425298</v>
      </c>
      <c r="L66" s="500">
        <f>'Cuentas de Balance'!N51-'Cuentas de Balance'!M51</f>
        <v>300726.42867091438</v>
      </c>
      <c r="M66" s="500">
        <f>'Cuentas de Balance'!O51-'Cuentas de Balance'!N51</f>
        <v>476977.96826602612</v>
      </c>
      <c r="N66" s="500">
        <f>'Cuentas de Balance'!P51-'Cuentas de Balance'!O51</f>
        <v>297249.76277354918</v>
      </c>
    </row>
    <row r="67" spans="1:14" hidden="1" x14ac:dyDescent="0.2">
      <c r="A67" s="112" t="s">
        <v>301</v>
      </c>
      <c r="B67" s="505">
        <f>SUM(B62:B66)</f>
        <v>5325983.2229265068</v>
      </c>
      <c r="C67" s="505">
        <f t="shared" ref="C67:N67" si="15">SUM(C62:C66)</f>
        <v>4898199.013335729</v>
      </c>
      <c r="D67" s="505">
        <f t="shared" si="15"/>
        <v>4657122.0686749881</v>
      </c>
      <c r="E67" s="505">
        <f t="shared" si="15"/>
        <v>1620779.4540270269</v>
      </c>
      <c r="F67" s="505">
        <f t="shared" si="15"/>
        <v>-1717178.8620067257</v>
      </c>
      <c r="G67" s="505">
        <f t="shared" si="15"/>
        <v>-2430282.8915738771</v>
      </c>
      <c r="H67" s="505">
        <f t="shared" si="15"/>
        <v>1130904.2349141086</v>
      </c>
      <c r="I67" s="505">
        <f t="shared" si="15"/>
        <v>1217623.594711741</v>
      </c>
      <c r="J67" s="505">
        <f t="shared" si="15"/>
        <v>-895839.1694812295</v>
      </c>
      <c r="K67" s="505">
        <f t="shared" si="15"/>
        <v>-517436.37938574702</v>
      </c>
      <c r="L67" s="505">
        <f t="shared" si="15"/>
        <v>-940604.57132908562</v>
      </c>
      <c r="M67" s="505">
        <f t="shared" si="15"/>
        <v>-760650.03173397388</v>
      </c>
      <c r="N67" s="213">
        <f t="shared" si="15"/>
        <v>-936653.23722645082</v>
      </c>
    </row>
    <row r="68" spans="1:14" hidden="1" x14ac:dyDescent="0.2"/>
    <row r="69" spans="1:14" x14ac:dyDescent="0.2">
      <c r="B69" s="694"/>
    </row>
    <row r="70" spans="1:14" x14ac:dyDescent="0.2">
      <c r="B70" s="694"/>
    </row>
    <row r="71" spans="1:14" x14ac:dyDescent="0.2">
      <c r="B71" s="694"/>
    </row>
    <row r="72" spans="1:14" x14ac:dyDescent="0.2">
      <c r="B72" s="694"/>
    </row>
    <row r="73" spans="1:14" x14ac:dyDescent="0.2">
      <c r="B73" s="694"/>
    </row>
    <row r="74" spans="1:14" x14ac:dyDescent="0.2">
      <c r="B74" s="694"/>
    </row>
    <row r="75" spans="1:14" x14ac:dyDescent="0.2">
      <c r="B75" s="694"/>
    </row>
  </sheetData>
  <mergeCells count="1">
    <mergeCell ref="A2:C2"/>
  </mergeCells>
  <phoneticPr fontId="0" type="noConversion"/>
  <printOptions horizontalCentered="1" verticalCentered="1"/>
  <pageMargins left="1.1811023622047245" right="0.75" top="1" bottom="1" header="0" footer="0"/>
  <pageSetup paperSize="5" scale="6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U124"/>
  <sheetViews>
    <sheetView showGridLines="0" zoomScale="80" zoomScaleNormal="80" workbookViewId="0">
      <pane xSplit="1" ySplit="9" topLeftCell="B62" activePane="bottomRight" state="frozen"/>
      <selection pane="topRight" activeCell="B1" sqref="B1"/>
      <selection pane="bottomLeft" activeCell="A10" sqref="A10"/>
      <selection pane="bottomRight" activeCell="D66" sqref="D66"/>
    </sheetView>
  </sheetViews>
  <sheetFormatPr baseColWidth="10" defaultRowHeight="12.75" x14ac:dyDescent="0.2"/>
  <cols>
    <col min="1" max="1" width="58.42578125" style="1340" customWidth="1"/>
    <col min="2" max="2" width="18" style="1340" customWidth="1"/>
    <col min="3" max="3" width="17" style="1340" bestFit="1" customWidth="1"/>
    <col min="4" max="4" width="17.5703125" style="1340" bestFit="1" customWidth="1"/>
    <col min="5" max="6" width="16.7109375" style="1340" bestFit="1" customWidth="1"/>
    <col min="7" max="7" width="16.42578125" style="1340" bestFit="1" customWidth="1"/>
    <col min="8" max="9" width="16.7109375" style="1340" bestFit="1" customWidth="1"/>
    <col min="10" max="10" width="17.28515625" style="1340" bestFit="1" customWidth="1"/>
    <col min="11" max="11" width="17.140625" style="1340" bestFit="1" customWidth="1"/>
    <col min="12" max="12" width="17.28515625" style="1340" bestFit="1" customWidth="1"/>
    <col min="13" max="13" width="17" style="1340" bestFit="1" customWidth="1"/>
    <col min="14" max="14" width="18.7109375" style="1340" bestFit="1" customWidth="1"/>
    <col min="15" max="15" width="14.140625" style="1340" bestFit="1" customWidth="1"/>
    <col min="16" max="16" width="14" style="1341" hidden="1" customWidth="1"/>
    <col min="17" max="17" width="17.5703125" style="1340" hidden="1" customWidth="1"/>
    <col min="18" max="18" width="19.42578125" style="1340" hidden="1" customWidth="1"/>
    <col min="19" max="19" width="11.42578125" style="1341"/>
    <col min="20" max="20" width="16" style="1339" customWidth="1"/>
    <col min="21" max="256" width="11.42578125" style="1340"/>
    <col min="257" max="257" width="58.42578125" style="1340" customWidth="1"/>
    <col min="258" max="258" width="18" style="1340" customWidth="1"/>
    <col min="259" max="259" width="17" style="1340" bestFit="1" customWidth="1"/>
    <col min="260" max="260" width="17.5703125" style="1340" bestFit="1" customWidth="1"/>
    <col min="261" max="262" width="16.7109375" style="1340" bestFit="1" customWidth="1"/>
    <col min="263" max="263" width="16.42578125" style="1340" bestFit="1" customWidth="1"/>
    <col min="264" max="265" width="16.7109375" style="1340" bestFit="1" customWidth="1"/>
    <col min="266" max="266" width="17.28515625" style="1340" bestFit="1" customWidth="1"/>
    <col min="267" max="267" width="17.140625" style="1340" bestFit="1" customWidth="1"/>
    <col min="268" max="268" width="17.28515625" style="1340" bestFit="1" customWidth="1"/>
    <col min="269" max="269" width="17" style="1340" bestFit="1" customWidth="1"/>
    <col min="270" max="270" width="18.7109375" style="1340" bestFit="1" customWidth="1"/>
    <col min="271" max="271" width="14.140625" style="1340" bestFit="1" customWidth="1"/>
    <col min="272" max="272" width="14" style="1340" customWidth="1"/>
    <col min="273" max="273" width="13.5703125" style="1340" customWidth="1"/>
    <col min="274" max="275" width="11.42578125" style="1340"/>
    <col min="276" max="276" width="16" style="1340" customWidth="1"/>
    <col min="277" max="512" width="11.42578125" style="1340"/>
    <col min="513" max="513" width="58.42578125" style="1340" customWidth="1"/>
    <col min="514" max="514" width="18" style="1340" customWidth="1"/>
    <col min="515" max="515" width="17" style="1340" bestFit="1" customWidth="1"/>
    <col min="516" max="516" width="17.5703125" style="1340" bestFit="1" customWidth="1"/>
    <col min="517" max="518" width="16.7109375" style="1340" bestFit="1" customWidth="1"/>
    <col min="519" max="519" width="16.42578125" style="1340" bestFit="1" customWidth="1"/>
    <col min="520" max="521" width="16.7109375" style="1340" bestFit="1" customWidth="1"/>
    <col min="522" max="522" width="17.28515625" style="1340" bestFit="1" customWidth="1"/>
    <col min="523" max="523" width="17.140625" style="1340" bestFit="1" customWidth="1"/>
    <col min="524" max="524" width="17.28515625" style="1340" bestFit="1" customWidth="1"/>
    <col min="525" max="525" width="17" style="1340" bestFit="1" customWidth="1"/>
    <col min="526" max="526" width="18.7109375" style="1340" bestFit="1" customWidth="1"/>
    <col min="527" max="527" width="14.140625" style="1340" bestFit="1" customWidth="1"/>
    <col min="528" max="528" width="14" style="1340" customWidth="1"/>
    <col min="529" max="529" width="13.5703125" style="1340" customWidth="1"/>
    <col min="530" max="531" width="11.42578125" style="1340"/>
    <col min="532" max="532" width="16" style="1340" customWidth="1"/>
    <col min="533" max="768" width="11.42578125" style="1340"/>
    <col min="769" max="769" width="58.42578125" style="1340" customWidth="1"/>
    <col min="770" max="770" width="18" style="1340" customWidth="1"/>
    <col min="771" max="771" width="17" style="1340" bestFit="1" customWidth="1"/>
    <col min="772" max="772" width="17.5703125" style="1340" bestFit="1" customWidth="1"/>
    <col min="773" max="774" width="16.7109375" style="1340" bestFit="1" customWidth="1"/>
    <col min="775" max="775" width="16.42578125" style="1340" bestFit="1" customWidth="1"/>
    <col min="776" max="777" width="16.7109375" style="1340" bestFit="1" customWidth="1"/>
    <col min="778" max="778" width="17.28515625" style="1340" bestFit="1" customWidth="1"/>
    <col min="779" max="779" width="17.140625" style="1340" bestFit="1" customWidth="1"/>
    <col min="780" max="780" width="17.28515625" style="1340" bestFit="1" customWidth="1"/>
    <col min="781" max="781" width="17" style="1340" bestFit="1" customWidth="1"/>
    <col min="782" max="782" width="18.7109375" style="1340" bestFit="1" customWidth="1"/>
    <col min="783" max="783" width="14.140625" style="1340" bestFit="1" customWidth="1"/>
    <col min="784" max="784" width="14" style="1340" customWidth="1"/>
    <col min="785" max="785" width="13.5703125" style="1340" customWidth="1"/>
    <col min="786" max="787" width="11.42578125" style="1340"/>
    <col min="788" max="788" width="16" style="1340" customWidth="1"/>
    <col min="789" max="1024" width="11.42578125" style="1340"/>
    <col min="1025" max="1025" width="58.42578125" style="1340" customWidth="1"/>
    <col min="1026" max="1026" width="18" style="1340" customWidth="1"/>
    <col min="1027" max="1027" width="17" style="1340" bestFit="1" customWidth="1"/>
    <col min="1028" max="1028" width="17.5703125" style="1340" bestFit="1" customWidth="1"/>
    <col min="1029" max="1030" width="16.7109375" style="1340" bestFit="1" customWidth="1"/>
    <col min="1031" max="1031" width="16.42578125" style="1340" bestFit="1" customWidth="1"/>
    <col min="1032" max="1033" width="16.7109375" style="1340" bestFit="1" customWidth="1"/>
    <col min="1034" max="1034" width="17.28515625" style="1340" bestFit="1" customWidth="1"/>
    <col min="1035" max="1035" width="17.140625" style="1340" bestFit="1" customWidth="1"/>
    <col min="1036" max="1036" width="17.28515625" style="1340" bestFit="1" customWidth="1"/>
    <col min="1037" max="1037" width="17" style="1340" bestFit="1" customWidth="1"/>
    <col min="1038" max="1038" width="18.7109375" style="1340" bestFit="1" customWidth="1"/>
    <col min="1039" max="1039" width="14.140625" style="1340" bestFit="1" customWidth="1"/>
    <col min="1040" max="1040" width="14" style="1340" customWidth="1"/>
    <col min="1041" max="1041" width="13.5703125" style="1340" customWidth="1"/>
    <col min="1042" max="1043" width="11.42578125" style="1340"/>
    <col min="1044" max="1044" width="16" style="1340" customWidth="1"/>
    <col min="1045" max="1280" width="11.42578125" style="1340"/>
    <col min="1281" max="1281" width="58.42578125" style="1340" customWidth="1"/>
    <col min="1282" max="1282" width="18" style="1340" customWidth="1"/>
    <col min="1283" max="1283" width="17" style="1340" bestFit="1" customWidth="1"/>
    <col min="1284" max="1284" width="17.5703125" style="1340" bestFit="1" customWidth="1"/>
    <col min="1285" max="1286" width="16.7109375" style="1340" bestFit="1" customWidth="1"/>
    <col min="1287" max="1287" width="16.42578125" style="1340" bestFit="1" customWidth="1"/>
    <col min="1288" max="1289" width="16.7109375" style="1340" bestFit="1" customWidth="1"/>
    <col min="1290" max="1290" width="17.28515625" style="1340" bestFit="1" customWidth="1"/>
    <col min="1291" max="1291" width="17.140625" style="1340" bestFit="1" customWidth="1"/>
    <col min="1292" max="1292" width="17.28515625" style="1340" bestFit="1" customWidth="1"/>
    <col min="1293" max="1293" width="17" style="1340" bestFit="1" customWidth="1"/>
    <col min="1294" max="1294" width="18.7109375" style="1340" bestFit="1" customWidth="1"/>
    <col min="1295" max="1295" width="14.140625" style="1340" bestFit="1" customWidth="1"/>
    <col min="1296" max="1296" width="14" style="1340" customWidth="1"/>
    <col min="1297" max="1297" width="13.5703125" style="1340" customWidth="1"/>
    <col min="1298" max="1299" width="11.42578125" style="1340"/>
    <col min="1300" max="1300" width="16" style="1340" customWidth="1"/>
    <col min="1301" max="1536" width="11.42578125" style="1340"/>
    <col min="1537" max="1537" width="58.42578125" style="1340" customWidth="1"/>
    <col min="1538" max="1538" width="18" style="1340" customWidth="1"/>
    <col min="1539" max="1539" width="17" style="1340" bestFit="1" customWidth="1"/>
    <col min="1540" max="1540" width="17.5703125" style="1340" bestFit="1" customWidth="1"/>
    <col min="1541" max="1542" width="16.7109375" style="1340" bestFit="1" customWidth="1"/>
    <col min="1543" max="1543" width="16.42578125" style="1340" bestFit="1" customWidth="1"/>
    <col min="1544" max="1545" width="16.7109375" style="1340" bestFit="1" customWidth="1"/>
    <col min="1546" max="1546" width="17.28515625" style="1340" bestFit="1" customWidth="1"/>
    <col min="1547" max="1547" width="17.140625" style="1340" bestFit="1" customWidth="1"/>
    <col min="1548" max="1548" width="17.28515625" style="1340" bestFit="1" customWidth="1"/>
    <col min="1549" max="1549" width="17" style="1340" bestFit="1" customWidth="1"/>
    <col min="1550" max="1550" width="18.7109375" style="1340" bestFit="1" customWidth="1"/>
    <col min="1551" max="1551" width="14.140625" style="1340" bestFit="1" customWidth="1"/>
    <col min="1552" max="1552" width="14" style="1340" customWidth="1"/>
    <col min="1553" max="1553" width="13.5703125" style="1340" customWidth="1"/>
    <col min="1554" max="1555" width="11.42578125" style="1340"/>
    <col min="1556" max="1556" width="16" style="1340" customWidth="1"/>
    <col min="1557" max="1792" width="11.42578125" style="1340"/>
    <col min="1793" max="1793" width="58.42578125" style="1340" customWidth="1"/>
    <col min="1794" max="1794" width="18" style="1340" customWidth="1"/>
    <col min="1795" max="1795" width="17" style="1340" bestFit="1" customWidth="1"/>
    <col min="1796" max="1796" width="17.5703125" style="1340" bestFit="1" customWidth="1"/>
    <col min="1797" max="1798" width="16.7109375" style="1340" bestFit="1" customWidth="1"/>
    <col min="1799" max="1799" width="16.42578125" style="1340" bestFit="1" customWidth="1"/>
    <col min="1800" max="1801" width="16.7109375" style="1340" bestFit="1" customWidth="1"/>
    <col min="1802" max="1802" width="17.28515625" style="1340" bestFit="1" customWidth="1"/>
    <col min="1803" max="1803" width="17.140625" style="1340" bestFit="1" customWidth="1"/>
    <col min="1804" max="1804" width="17.28515625" style="1340" bestFit="1" customWidth="1"/>
    <col min="1805" max="1805" width="17" style="1340" bestFit="1" customWidth="1"/>
    <col min="1806" max="1806" width="18.7109375" style="1340" bestFit="1" customWidth="1"/>
    <col min="1807" max="1807" width="14.140625" style="1340" bestFit="1" customWidth="1"/>
    <col min="1808" max="1808" width="14" style="1340" customWidth="1"/>
    <col min="1809" max="1809" width="13.5703125" style="1340" customWidth="1"/>
    <col min="1810" max="1811" width="11.42578125" style="1340"/>
    <col min="1812" max="1812" width="16" style="1340" customWidth="1"/>
    <col min="1813" max="2048" width="11.42578125" style="1340"/>
    <col min="2049" max="2049" width="58.42578125" style="1340" customWidth="1"/>
    <col min="2050" max="2050" width="18" style="1340" customWidth="1"/>
    <col min="2051" max="2051" width="17" style="1340" bestFit="1" customWidth="1"/>
    <col min="2052" max="2052" width="17.5703125" style="1340" bestFit="1" customWidth="1"/>
    <col min="2053" max="2054" width="16.7109375" style="1340" bestFit="1" customWidth="1"/>
    <col min="2055" max="2055" width="16.42578125" style="1340" bestFit="1" customWidth="1"/>
    <col min="2056" max="2057" width="16.7109375" style="1340" bestFit="1" customWidth="1"/>
    <col min="2058" max="2058" width="17.28515625" style="1340" bestFit="1" customWidth="1"/>
    <col min="2059" max="2059" width="17.140625" style="1340" bestFit="1" customWidth="1"/>
    <col min="2060" max="2060" width="17.28515625" style="1340" bestFit="1" customWidth="1"/>
    <col min="2061" max="2061" width="17" style="1340" bestFit="1" customWidth="1"/>
    <col min="2062" max="2062" width="18.7109375" style="1340" bestFit="1" customWidth="1"/>
    <col min="2063" max="2063" width="14.140625" style="1340" bestFit="1" customWidth="1"/>
    <col min="2064" max="2064" width="14" style="1340" customWidth="1"/>
    <col min="2065" max="2065" width="13.5703125" style="1340" customWidth="1"/>
    <col min="2066" max="2067" width="11.42578125" style="1340"/>
    <col min="2068" max="2068" width="16" style="1340" customWidth="1"/>
    <col min="2069" max="2304" width="11.42578125" style="1340"/>
    <col min="2305" max="2305" width="58.42578125" style="1340" customWidth="1"/>
    <col min="2306" max="2306" width="18" style="1340" customWidth="1"/>
    <col min="2307" max="2307" width="17" style="1340" bestFit="1" customWidth="1"/>
    <col min="2308" max="2308" width="17.5703125" style="1340" bestFit="1" customWidth="1"/>
    <col min="2309" max="2310" width="16.7109375" style="1340" bestFit="1" customWidth="1"/>
    <col min="2311" max="2311" width="16.42578125" style="1340" bestFit="1" customWidth="1"/>
    <col min="2312" max="2313" width="16.7109375" style="1340" bestFit="1" customWidth="1"/>
    <col min="2314" max="2314" width="17.28515625" style="1340" bestFit="1" customWidth="1"/>
    <col min="2315" max="2315" width="17.140625" style="1340" bestFit="1" customWidth="1"/>
    <col min="2316" max="2316" width="17.28515625" style="1340" bestFit="1" customWidth="1"/>
    <col min="2317" max="2317" width="17" style="1340" bestFit="1" customWidth="1"/>
    <col min="2318" max="2318" width="18.7109375" style="1340" bestFit="1" customWidth="1"/>
    <col min="2319" max="2319" width="14.140625" style="1340" bestFit="1" customWidth="1"/>
    <col min="2320" max="2320" width="14" style="1340" customWidth="1"/>
    <col min="2321" max="2321" width="13.5703125" style="1340" customWidth="1"/>
    <col min="2322" max="2323" width="11.42578125" style="1340"/>
    <col min="2324" max="2324" width="16" style="1340" customWidth="1"/>
    <col min="2325" max="2560" width="11.42578125" style="1340"/>
    <col min="2561" max="2561" width="58.42578125" style="1340" customWidth="1"/>
    <col min="2562" max="2562" width="18" style="1340" customWidth="1"/>
    <col min="2563" max="2563" width="17" style="1340" bestFit="1" customWidth="1"/>
    <col min="2564" max="2564" width="17.5703125" style="1340" bestFit="1" customWidth="1"/>
    <col min="2565" max="2566" width="16.7109375" style="1340" bestFit="1" customWidth="1"/>
    <col min="2567" max="2567" width="16.42578125" style="1340" bestFit="1" customWidth="1"/>
    <col min="2568" max="2569" width="16.7109375" style="1340" bestFit="1" customWidth="1"/>
    <col min="2570" max="2570" width="17.28515625" style="1340" bestFit="1" customWidth="1"/>
    <col min="2571" max="2571" width="17.140625" style="1340" bestFit="1" customWidth="1"/>
    <col min="2572" max="2572" width="17.28515625" style="1340" bestFit="1" customWidth="1"/>
    <col min="2573" max="2573" width="17" style="1340" bestFit="1" customWidth="1"/>
    <col min="2574" max="2574" width="18.7109375" style="1340" bestFit="1" customWidth="1"/>
    <col min="2575" max="2575" width="14.140625" style="1340" bestFit="1" customWidth="1"/>
    <col min="2576" max="2576" width="14" style="1340" customWidth="1"/>
    <col min="2577" max="2577" width="13.5703125" style="1340" customWidth="1"/>
    <col min="2578" max="2579" width="11.42578125" style="1340"/>
    <col min="2580" max="2580" width="16" style="1340" customWidth="1"/>
    <col min="2581" max="2816" width="11.42578125" style="1340"/>
    <col min="2817" max="2817" width="58.42578125" style="1340" customWidth="1"/>
    <col min="2818" max="2818" width="18" style="1340" customWidth="1"/>
    <col min="2819" max="2819" width="17" style="1340" bestFit="1" customWidth="1"/>
    <col min="2820" max="2820" width="17.5703125" style="1340" bestFit="1" customWidth="1"/>
    <col min="2821" max="2822" width="16.7109375" style="1340" bestFit="1" customWidth="1"/>
    <col min="2823" max="2823" width="16.42578125" style="1340" bestFit="1" customWidth="1"/>
    <col min="2824" max="2825" width="16.7109375" style="1340" bestFit="1" customWidth="1"/>
    <col min="2826" max="2826" width="17.28515625" style="1340" bestFit="1" customWidth="1"/>
    <col min="2827" max="2827" width="17.140625" style="1340" bestFit="1" customWidth="1"/>
    <col min="2828" max="2828" width="17.28515625" style="1340" bestFit="1" customWidth="1"/>
    <col min="2829" max="2829" width="17" style="1340" bestFit="1" customWidth="1"/>
    <col min="2830" max="2830" width="18.7109375" style="1340" bestFit="1" customWidth="1"/>
    <col min="2831" max="2831" width="14.140625" style="1340" bestFit="1" customWidth="1"/>
    <col min="2832" max="2832" width="14" style="1340" customWidth="1"/>
    <col min="2833" max="2833" width="13.5703125" style="1340" customWidth="1"/>
    <col min="2834" max="2835" width="11.42578125" style="1340"/>
    <col min="2836" max="2836" width="16" style="1340" customWidth="1"/>
    <col min="2837" max="3072" width="11.42578125" style="1340"/>
    <col min="3073" max="3073" width="58.42578125" style="1340" customWidth="1"/>
    <col min="3074" max="3074" width="18" style="1340" customWidth="1"/>
    <col min="3075" max="3075" width="17" style="1340" bestFit="1" customWidth="1"/>
    <col min="3076" max="3076" width="17.5703125" style="1340" bestFit="1" customWidth="1"/>
    <col min="3077" max="3078" width="16.7109375" style="1340" bestFit="1" customWidth="1"/>
    <col min="3079" max="3079" width="16.42578125" style="1340" bestFit="1" customWidth="1"/>
    <col min="3080" max="3081" width="16.7109375" style="1340" bestFit="1" customWidth="1"/>
    <col min="3082" max="3082" width="17.28515625" style="1340" bestFit="1" customWidth="1"/>
    <col min="3083" max="3083" width="17.140625" style="1340" bestFit="1" customWidth="1"/>
    <col min="3084" max="3084" width="17.28515625" style="1340" bestFit="1" customWidth="1"/>
    <col min="3085" max="3085" width="17" style="1340" bestFit="1" customWidth="1"/>
    <col min="3086" max="3086" width="18.7109375" style="1340" bestFit="1" customWidth="1"/>
    <col min="3087" max="3087" width="14.140625" style="1340" bestFit="1" customWidth="1"/>
    <col min="3088" max="3088" width="14" style="1340" customWidth="1"/>
    <col min="3089" max="3089" width="13.5703125" style="1340" customWidth="1"/>
    <col min="3090" max="3091" width="11.42578125" style="1340"/>
    <col min="3092" max="3092" width="16" style="1340" customWidth="1"/>
    <col min="3093" max="3328" width="11.42578125" style="1340"/>
    <col min="3329" max="3329" width="58.42578125" style="1340" customWidth="1"/>
    <col min="3330" max="3330" width="18" style="1340" customWidth="1"/>
    <col min="3331" max="3331" width="17" style="1340" bestFit="1" customWidth="1"/>
    <col min="3332" max="3332" width="17.5703125" style="1340" bestFit="1" customWidth="1"/>
    <col min="3333" max="3334" width="16.7109375" style="1340" bestFit="1" customWidth="1"/>
    <col min="3335" max="3335" width="16.42578125" style="1340" bestFit="1" customWidth="1"/>
    <col min="3336" max="3337" width="16.7109375" style="1340" bestFit="1" customWidth="1"/>
    <col min="3338" max="3338" width="17.28515625" style="1340" bestFit="1" customWidth="1"/>
    <col min="3339" max="3339" width="17.140625" style="1340" bestFit="1" customWidth="1"/>
    <col min="3340" max="3340" width="17.28515625" style="1340" bestFit="1" customWidth="1"/>
    <col min="3341" max="3341" width="17" style="1340" bestFit="1" customWidth="1"/>
    <col min="3342" max="3342" width="18.7109375" style="1340" bestFit="1" customWidth="1"/>
    <col min="3343" max="3343" width="14.140625" style="1340" bestFit="1" customWidth="1"/>
    <col min="3344" max="3344" width="14" style="1340" customWidth="1"/>
    <col min="3345" max="3345" width="13.5703125" style="1340" customWidth="1"/>
    <col min="3346" max="3347" width="11.42578125" style="1340"/>
    <col min="3348" max="3348" width="16" style="1340" customWidth="1"/>
    <col min="3349" max="3584" width="11.42578125" style="1340"/>
    <col min="3585" max="3585" width="58.42578125" style="1340" customWidth="1"/>
    <col min="3586" max="3586" width="18" style="1340" customWidth="1"/>
    <col min="3587" max="3587" width="17" style="1340" bestFit="1" customWidth="1"/>
    <col min="3588" max="3588" width="17.5703125" style="1340" bestFit="1" customWidth="1"/>
    <col min="3589" max="3590" width="16.7109375" style="1340" bestFit="1" customWidth="1"/>
    <col min="3591" max="3591" width="16.42578125" style="1340" bestFit="1" customWidth="1"/>
    <col min="3592" max="3593" width="16.7109375" style="1340" bestFit="1" customWidth="1"/>
    <col min="3594" max="3594" width="17.28515625" style="1340" bestFit="1" customWidth="1"/>
    <col min="3595" max="3595" width="17.140625" style="1340" bestFit="1" customWidth="1"/>
    <col min="3596" max="3596" width="17.28515625" style="1340" bestFit="1" customWidth="1"/>
    <col min="3597" max="3597" width="17" style="1340" bestFit="1" customWidth="1"/>
    <col min="3598" max="3598" width="18.7109375" style="1340" bestFit="1" customWidth="1"/>
    <col min="3599" max="3599" width="14.140625" style="1340" bestFit="1" customWidth="1"/>
    <col min="3600" max="3600" width="14" style="1340" customWidth="1"/>
    <col min="3601" max="3601" width="13.5703125" style="1340" customWidth="1"/>
    <col min="3602" max="3603" width="11.42578125" style="1340"/>
    <col min="3604" max="3604" width="16" style="1340" customWidth="1"/>
    <col min="3605" max="3840" width="11.42578125" style="1340"/>
    <col min="3841" max="3841" width="58.42578125" style="1340" customWidth="1"/>
    <col min="3842" max="3842" width="18" style="1340" customWidth="1"/>
    <col min="3843" max="3843" width="17" style="1340" bestFit="1" customWidth="1"/>
    <col min="3844" max="3844" width="17.5703125" style="1340" bestFit="1" customWidth="1"/>
    <col min="3845" max="3846" width="16.7109375" style="1340" bestFit="1" customWidth="1"/>
    <col min="3847" max="3847" width="16.42578125" style="1340" bestFit="1" customWidth="1"/>
    <col min="3848" max="3849" width="16.7109375" style="1340" bestFit="1" customWidth="1"/>
    <col min="3850" max="3850" width="17.28515625" style="1340" bestFit="1" customWidth="1"/>
    <col min="3851" max="3851" width="17.140625" style="1340" bestFit="1" customWidth="1"/>
    <col min="3852" max="3852" width="17.28515625" style="1340" bestFit="1" customWidth="1"/>
    <col min="3853" max="3853" width="17" style="1340" bestFit="1" customWidth="1"/>
    <col min="3854" max="3854" width="18.7109375" style="1340" bestFit="1" customWidth="1"/>
    <col min="3855" max="3855" width="14.140625" style="1340" bestFit="1" customWidth="1"/>
    <col min="3856" max="3856" width="14" style="1340" customWidth="1"/>
    <col min="3857" max="3857" width="13.5703125" style="1340" customWidth="1"/>
    <col min="3858" max="3859" width="11.42578125" style="1340"/>
    <col min="3860" max="3860" width="16" style="1340" customWidth="1"/>
    <col min="3861" max="4096" width="11.42578125" style="1340"/>
    <col min="4097" max="4097" width="58.42578125" style="1340" customWidth="1"/>
    <col min="4098" max="4098" width="18" style="1340" customWidth="1"/>
    <col min="4099" max="4099" width="17" style="1340" bestFit="1" customWidth="1"/>
    <col min="4100" max="4100" width="17.5703125" style="1340" bestFit="1" customWidth="1"/>
    <col min="4101" max="4102" width="16.7109375" style="1340" bestFit="1" customWidth="1"/>
    <col min="4103" max="4103" width="16.42578125" style="1340" bestFit="1" customWidth="1"/>
    <col min="4104" max="4105" width="16.7109375" style="1340" bestFit="1" customWidth="1"/>
    <col min="4106" max="4106" width="17.28515625" style="1340" bestFit="1" customWidth="1"/>
    <col min="4107" max="4107" width="17.140625" style="1340" bestFit="1" customWidth="1"/>
    <col min="4108" max="4108" width="17.28515625" style="1340" bestFit="1" customWidth="1"/>
    <col min="4109" max="4109" width="17" style="1340" bestFit="1" customWidth="1"/>
    <col min="4110" max="4110" width="18.7109375" style="1340" bestFit="1" customWidth="1"/>
    <col min="4111" max="4111" width="14.140625" style="1340" bestFit="1" customWidth="1"/>
    <col min="4112" max="4112" width="14" style="1340" customWidth="1"/>
    <col min="4113" max="4113" width="13.5703125" style="1340" customWidth="1"/>
    <col min="4114" max="4115" width="11.42578125" style="1340"/>
    <col min="4116" max="4116" width="16" style="1340" customWidth="1"/>
    <col min="4117" max="4352" width="11.42578125" style="1340"/>
    <col min="4353" max="4353" width="58.42578125" style="1340" customWidth="1"/>
    <col min="4354" max="4354" width="18" style="1340" customWidth="1"/>
    <col min="4355" max="4355" width="17" style="1340" bestFit="1" customWidth="1"/>
    <col min="4356" max="4356" width="17.5703125" style="1340" bestFit="1" customWidth="1"/>
    <col min="4357" max="4358" width="16.7109375" style="1340" bestFit="1" customWidth="1"/>
    <col min="4359" max="4359" width="16.42578125" style="1340" bestFit="1" customWidth="1"/>
    <col min="4360" max="4361" width="16.7109375" style="1340" bestFit="1" customWidth="1"/>
    <col min="4362" max="4362" width="17.28515625" style="1340" bestFit="1" customWidth="1"/>
    <col min="4363" max="4363" width="17.140625" style="1340" bestFit="1" customWidth="1"/>
    <col min="4364" max="4364" width="17.28515625" style="1340" bestFit="1" customWidth="1"/>
    <col min="4365" max="4365" width="17" style="1340" bestFit="1" customWidth="1"/>
    <col min="4366" max="4366" width="18.7109375" style="1340" bestFit="1" customWidth="1"/>
    <col min="4367" max="4367" width="14.140625" style="1340" bestFit="1" customWidth="1"/>
    <col min="4368" max="4368" width="14" style="1340" customWidth="1"/>
    <col min="4369" max="4369" width="13.5703125" style="1340" customWidth="1"/>
    <col min="4370" max="4371" width="11.42578125" style="1340"/>
    <col min="4372" max="4372" width="16" style="1340" customWidth="1"/>
    <col min="4373" max="4608" width="11.42578125" style="1340"/>
    <col min="4609" max="4609" width="58.42578125" style="1340" customWidth="1"/>
    <col min="4610" max="4610" width="18" style="1340" customWidth="1"/>
    <col min="4611" max="4611" width="17" style="1340" bestFit="1" customWidth="1"/>
    <col min="4612" max="4612" width="17.5703125" style="1340" bestFit="1" customWidth="1"/>
    <col min="4613" max="4614" width="16.7109375" style="1340" bestFit="1" customWidth="1"/>
    <col min="4615" max="4615" width="16.42578125" style="1340" bestFit="1" customWidth="1"/>
    <col min="4616" max="4617" width="16.7109375" style="1340" bestFit="1" customWidth="1"/>
    <col min="4618" max="4618" width="17.28515625" style="1340" bestFit="1" customWidth="1"/>
    <col min="4619" max="4619" width="17.140625" style="1340" bestFit="1" customWidth="1"/>
    <col min="4620" max="4620" width="17.28515625" style="1340" bestFit="1" customWidth="1"/>
    <col min="4621" max="4621" width="17" style="1340" bestFit="1" customWidth="1"/>
    <col min="4622" max="4622" width="18.7109375" style="1340" bestFit="1" customWidth="1"/>
    <col min="4623" max="4623" width="14.140625" style="1340" bestFit="1" customWidth="1"/>
    <col min="4624" max="4624" width="14" style="1340" customWidth="1"/>
    <col min="4625" max="4625" width="13.5703125" style="1340" customWidth="1"/>
    <col min="4626" max="4627" width="11.42578125" style="1340"/>
    <col min="4628" max="4628" width="16" style="1340" customWidth="1"/>
    <col min="4629" max="4864" width="11.42578125" style="1340"/>
    <col min="4865" max="4865" width="58.42578125" style="1340" customWidth="1"/>
    <col min="4866" max="4866" width="18" style="1340" customWidth="1"/>
    <col min="4867" max="4867" width="17" style="1340" bestFit="1" customWidth="1"/>
    <col min="4868" max="4868" width="17.5703125" style="1340" bestFit="1" customWidth="1"/>
    <col min="4869" max="4870" width="16.7109375" style="1340" bestFit="1" customWidth="1"/>
    <col min="4871" max="4871" width="16.42578125" style="1340" bestFit="1" customWidth="1"/>
    <col min="4872" max="4873" width="16.7109375" style="1340" bestFit="1" customWidth="1"/>
    <col min="4874" max="4874" width="17.28515625" style="1340" bestFit="1" customWidth="1"/>
    <col min="4875" max="4875" width="17.140625" style="1340" bestFit="1" customWidth="1"/>
    <col min="4876" max="4876" width="17.28515625" style="1340" bestFit="1" customWidth="1"/>
    <col min="4877" max="4877" width="17" style="1340" bestFit="1" customWidth="1"/>
    <col min="4878" max="4878" width="18.7109375" style="1340" bestFit="1" customWidth="1"/>
    <col min="4879" max="4879" width="14.140625" style="1340" bestFit="1" customWidth="1"/>
    <col min="4880" max="4880" width="14" style="1340" customWidth="1"/>
    <col min="4881" max="4881" width="13.5703125" style="1340" customWidth="1"/>
    <col min="4882" max="4883" width="11.42578125" style="1340"/>
    <col min="4884" max="4884" width="16" style="1340" customWidth="1"/>
    <col min="4885" max="5120" width="11.42578125" style="1340"/>
    <col min="5121" max="5121" width="58.42578125" style="1340" customWidth="1"/>
    <col min="5122" max="5122" width="18" style="1340" customWidth="1"/>
    <col min="5123" max="5123" width="17" style="1340" bestFit="1" customWidth="1"/>
    <col min="5124" max="5124" width="17.5703125" style="1340" bestFit="1" customWidth="1"/>
    <col min="5125" max="5126" width="16.7109375" style="1340" bestFit="1" customWidth="1"/>
    <col min="5127" max="5127" width="16.42578125" style="1340" bestFit="1" customWidth="1"/>
    <col min="5128" max="5129" width="16.7109375" style="1340" bestFit="1" customWidth="1"/>
    <col min="5130" max="5130" width="17.28515625" style="1340" bestFit="1" customWidth="1"/>
    <col min="5131" max="5131" width="17.140625" style="1340" bestFit="1" customWidth="1"/>
    <col min="5132" max="5132" width="17.28515625" style="1340" bestFit="1" customWidth="1"/>
    <col min="5133" max="5133" width="17" style="1340" bestFit="1" customWidth="1"/>
    <col min="5134" max="5134" width="18.7109375" style="1340" bestFit="1" customWidth="1"/>
    <col min="5135" max="5135" width="14.140625" style="1340" bestFit="1" customWidth="1"/>
    <col min="5136" max="5136" width="14" style="1340" customWidth="1"/>
    <col min="5137" max="5137" width="13.5703125" style="1340" customWidth="1"/>
    <col min="5138" max="5139" width="11.42578125" style="1340"/>
    <col min="5140" max="5140" width="16" style="1340" customWidth="1"/>
    <col min="5141" max="5376" width="11.42578125" style="1340"/>
    <col min="5377" max="5377" width="58.42578125" style="1340" customWidth="1"/>
    <col min="5378" max="5378" width="18" style="1340" customWidth="1"/>
    <col min="5379" max="5379" width="17" style="1340" bestFit="1" customWidth="1"/>
    <col min="5380" max="5380" width="17.5703125" style="1340" bestFit="1" customWidth="1"/>
    <col min="5381" max="5382" width="16.7109375" style="1340" bestFit="1" customWidth="1"/>
    <col min="5383" max="5383" width="16.42578125" style="1340" bestFit="1" customWidth="1"/>
    <col min="5384" max="5385" width="16.7109375" style="1340" bestFit="1" customWidth="1"/>
    <col min="5386" max="5386" width="17.28515625" style="1340" bestFit="1" customWidth="1"/>
    <col min="5387" max="5387" width="17.140625" style="1340" bestFit="1" customWidth="1"/>
    <col min="5388" max="5388" width="17.28515625" style="1340" bestFit="1" customWidth="1"/>
    <col min="5389" max="5389" width="17" style="1340" bestFit="1" customWidth="1"/>
    <col min="5390" max="5390" width="18.7109375" style="1340" bestFit="1" customWidth="1"/>
    <col min="5391" max="5391" width="14.140625" style="1340" bestFit="1" customWidth="1"/>
    <col min="5392" max="5392" width="14" style="1340" customWidth="1"/>
    <col min="5393" max="5393" width="13.5703125" style="1340" customWidth="1"/>
    <col min="5394" max="5395" width="11.42578125" style="1340"/>
    <col min="5396" max="5396" width="16" style="1340" customWidth="1"/>
    <col min="5397" max="5632" width="11.42578125" style="1340"/>
    <col min="5633" max="5633" width="58.42578125" style="1340" customWidth="1"/>
    <col min="5634" max="5634" width="18" style="1340" customWidth="1"/>
    <col min="5635" max="5635" width="17" style="1340" bestFit="1" customWidth="1"/>
    <col min="5636" max="5636" width="17.5703125" style="1340" bestFit="1" customWidth="1"/>
    <col min="5637" max="5638" width="16.7109375" style="1340" bestFit="1" customWidth="1"/>
    <col min="5639" max="5639" width="16.42578125" style="1340" bestFit="1" customWidth="1"/>
    <col min="5640" max="5641" width="16.7109375" style="1340" bestFit="1" customWidth="1"/>
    <col min="5642" max="5642" width="17.28515625" style="1340" bestFit="1" customWidth="1"/>
    <col min="5643" max="5643" width="17.140625" style="1340" bestFit="1" customWidth="1"/>
    <col min="5644" max="5644" width="17.28515625" style="1340" bestFit="1" customWidth="1"/>
    <col min="5645" max="5645" width="17" style="1340" bestFit="1" customWidth="1"/>
    <col min="5646" max="5646" width="18.7109375" style="1340" bestFit="1" customWidth="1"/>
    <col min="5647" max="5647" width="14.140625" style="1340" bestFit="1" customWidth="1"/>
    <col min="5648" max="5648" width="14" style="1340" customWidth="1"/>
    <col min="5649" max="5649" width="13.5703125" style="1340" customWidth="1"/>
    <col min="5650" max="5651" width="11.42578125" style="1340"/>
    <col min="5652" max="5652" width="16" style="1340" customWidth="1"/>
    <col min="5653" max="5888" width="11.42578125" style="1340"/>
    <col min="5889" max="5889" width="58.42578125" style="1340" customWidth="1"/>
    <col min="5890" max="5890" width="18" style="1340" customWidth="1"/>
    <col min="5891" max="5891" width="17" style="1340" bestFit="1" customWidth="1"/>
    <col min="5892" max="5892" width="17.5703125" style="1340" bestFit="1" customWidth="1"/>
    <col min="5893" max="5894" width="16.7109375" style="1340" bestFit="1" customWidth="1"/>
    <col min="5895" max="5895" width="16.42578125" style="1340" bestFit="1" customWidth="1"/>
    <col min="5896" max="5897" width="16.7109375" style="1340" bestFit="1" customWidth="1"/>
    <col min="5898" max="5898" width="17.28515625" style="1340" bestFit="1" customWidth="1"/>
    <col min="5899" max="5899" width="17.140625" style="1340" bestFit="1" customWidth="1"/>
    <col min="5900" max="5900" width="17.28515625" style="1340" bestFit="1" customWidth="1"/>
    <col min="5901" max="5901" width="17" style="1340" bestFit="1" customWidth="1"/>
    <col min="5902" max="5902" width="18.7109375" style="1340" bestFit="1" customWidth="1"/>
    <col min="5903" max="5903" width="14.140625" style="1340" bestFit="1" customWidth="1"/>
    <col min="5904" max="5904" width="14" style="1340" customWidth="1"/>
    <col min="5905" max="5905" width="13.5703125" style="1340" customWidth="1"/>
    <col min="5906" max="5907" width="11.42578125" style="1340"/>
    <col min="5908" max="5908" width="16" style="1340" customWidth="1"/>
    <col min="5909" max="6144" width="11.42578125" style="1340"/>
    <col min="6145" max="6145" width="58.42578125" style="1340" customWidth="1"/>
    <col min="6146" max="6146" width="18" style="1340" customWidth="1"/>
    <col min="6147" max="6147" width="17" style="1340" bestFit="1" customWidth="1"/>
    <col min="6148" max="6148" width="17.5703125" style="1340" bestFit="1" customWidth="1"/>
    <col min="6149" max="6150" width="16.7109375" style="1340" bestFit="1" customWidth="1"/>
    <col min="6151" max="6151" width="16.42578125" style="1340" bestFit="1" customWidth="1"/>
    <col min="6152" max="6153" width="16.7109375" style="1340" bestFit="1" customWidth="1"/>
    <col min="6154" max="6154" width="17.28515625" style="1340" bestFit="1" customWidth="1"/>
    <col min="6155" max="6155" width="17.140625" style="1340" bestFit="1" customWidth="1"/>
    <col min="6156" max="6156" width="17.28515625" style="1340" bestFit="1" customWidth="1"/>
    <col min="6157" max="6157" width="17" style="1340" bestFit="1" customWidth="1"/>
    <col min="6158" max="6158" width="18.7109375" style="1340" bestFit="1" customWidth="1"/>
    <col min="6159" max="6159" width="14.140625" style="1340" bestFit="1" customWidth="1"/>
    <col min="6160" max="6160" width="14" style="1340" customWidth="1"/>
    <col min="6161" max="6161" width="13.5703125" style="1340" customWidth="1"/>
    <col min="6162" max="6163" width="11.42578125" style="1340"/>
    <col min="6164" max="6164" width="16" style="1340" customWidth="1"/>
    <col min="6165" max="6400" width="11.42578125" style="1340"/>
    <col min="6401" max="6401" width="58.42578125" style="1340" customWidth="1"/>
    <col min="6402" max="6402" width="18" style="1340" customWidth="1"/>
    <col min="6403" max="6403" width="17" style="1340" bestFit="1" customWidth="1"/>
    <col min="6404" max="6404" width="17.5703125" style="1340" bestFit="1" customWidth="1"/>
    <col min="6405" max="6406" width="16.7109375" style="1340" bestFit="1" customWidth="1"/>
    <col min="6407" max="6407" width="16.42578125" style="1340" bestFit="1" customWidth="1"/>
    <col min="6408" max="6409" width="16.7109375" style="1340" bestFit="1" customWidth="1"/>
    <col min="6410" max="6410" width="17.28515625" style="1340" bestFit="1" customWidth="1"/>
    <col min="6411" max="6411" width="17.140625" style="1340" bestFit="1" customWidth="1"/>
    <col min="6412" max="6412" width="17.28515625" style="1340" bestFit="1" customWidth="1"/>
    <col min="6413" max="6413" width="17" style="1340" bestFit="1" customWidth="1"/>
    <col min="6414" max="6414" width="18.7109375" style="1340" bestFit="1" customWidth="1"/>
    <col min="6415" max="6415" width="14.140625" style="1340" bestFit="1" customWidth="1"/>
    <col min="6416" max="6416" width="14" style="1340" customWidth="1"/>
    <col min="6417" max="6417" width="13.5703125" style="1340" customWidth="1"/>
    <col min="6418" max="6419" width="11.42578125" style="1340"/>
    <col min="6420" max="6420" width="16" style="1340" customWidth="1"/>
    <col min="6421" max="6656" width="11.42578125" style="1340"/>
    <col min="6657" max="6657" width="58.42578125" style="1340" customWidth="1"/>
    <col min="6658" max="6658" width="18" style="1340" customWidth="1"/>
    <col min="6659" max="6659" width="17" style="1340" bestFit="1" customWidth="1"/>
    <col min="6660" max="6660" width="17.5703125" style="1340" bestFit="1" customWidth="1"/>
    <col min="6661" max="6662" width="16.7109375" style="1340" bestFit="1" customWidth="1"/>
    <col min="6663" max="6663" width="16.42578125" style="1340" bestFit="1" customWidth="1"/>
    <col min="6664" max="6665" width="16.7109375" style="1340" bestFit="1" customWidth="1"/>
    <col min="6666" max="6666" width="17.28515625" style="1340" bestFit="1" customWidth="1"/>
    <col min="6667" max="6667" width="17.140625" style="1340" bestFit="1" customWidth="1"/>
    <col min="6668" max="6668" width="17.28515625" style="1340" bestFit="1" customWidth="1"/>
    <col min="6669" max="6669" width="17" style="1340" bestFit="1" customWidth="1"/>
    <col min="6670" max="6670" width="18.7109375" style="1340" bestFit="1" customWidth="1"/>
    <col min="6671" max="6671" width="14.140625" style="1340" bestFit="1" customWidth="1"/>
    <col min="6672" max="6672" width="14" style="1340" customWidth="1"/>
    <col min="6673" max="6673" width="13.5703125" style="1340" customWidth="1"/>
    <col min="6674" max="6675" width="11.42578125" style="1340"/>
    <col min="6676" max="6676" width="16" style="1340" customWidth="1"/>
    <col min="6677" max="6912" width="11.42578125" style="1340"/>
    <col min="6913" max="6913" width="58.42578125" style="1340" customWidth="1"/>
    <col min="6914" max="6914" width="18" style="1340" customWidth="1"/>
    <col min="6915" max="6915" width="17" style="1340" bestFit="1" customWidth="1"/>
    <col min="6916" max="6916" width="17.5703125" style="1340" bestFit="1" customWidth="1"/>
    <col min="6917" max="6918" width="16.7109375" style="1340" bestFit="1" customWidth="1"/>
    <col min="6919" max="6919" width="16.42578125" style="1340" bestFit="1" customWidth="1"/>
    <col min="6920" max="6921" width="16.7109375" style="1340" bestFit="1" customWidth="1"/>
    <col min="6922" max="6922" width="17.28515625" style="1340" bestFit="1" customWidth="1"/>
    <col min="6923" max="6923" width="17.140625" style="1340" bestFit="1" customWidth="1"/>
    <col min="6924" max="6924" width="17.28515625" style="1340" bestFit="1" customWidth="1"/>
    <col min="6925" max="6925" width="17" style="1340" bestFit="1" customWidth="1"/>
    <col min="6926" max="6926" width="18.7109375" style="1340" bestFit="1" customWidth="1"/>
    <col min="6927" max="6927" width="14.140625" style="1340" bestFit="1" customWidth="1"/>
    <col min="6928" max="6928" width="14" style="1340" customWidth="1"/>
    <col min="6929" max="6929" width="13.5703125" style="1340" customWidth="1"/>
    <col min="6930" max="6931" width="11.42578125" style="1340"/>
    <col min="6932" max="6932" width="16" style="1340" customWidth="1"/>
    <col min="6933" max="7168" width="11.42578125" style="1340"/>
    <col min="7169" max="7169" width="58.42578125" style="1340" customWidth="1"/>
    <col min="7170" max="7170" width="18" style="1340" customWidth="1"/>
    <col min="7171" max="7171" width="17" style="1340" bestFit="1" customWidth="1"/>
    <col min="7172" max="7172" width="17.5703125" style="1340" bestFit="1" customWidth="1"/>
    <col min="7173" max="7174" width="16.7109375" style="1340" bestFit="1" customWidth="1"/>
    <col min="7175" max="7175" width="16.42578125" style="1340" bestFit="1" customWidth="1"/>
    <col min="7176" max="7177" width="16.7109375" style="1340" bestFit="1" customWidth="1"/>
    <col min="7178" max="7178" width="17.28515625" style="1340" bestFit="1" customWidth="1"/>
    <col min="7179" max="7179" width="17.140625" style="1340" bestFit="1" customWidth="1"/>
    <col min="7180" max="7180" width="17.28515625" style="1340" bestFit="1" customWidth="1"/>
    <col min="7181" max="7181" width="17" style="1340" bestFit="1" customWidth="1"/>
    <col min="7182" max="7182" width="18.7109375" style="1340" bestFit="1" customWidth="1"/>
    <col min="7183" max="7183" width="14.140625" style="1340" bestFit="1" customWidth="1"/>
    <col min="7184" max="7184" width="14" style="1340" customWidth="1"/>
    <col min="7185" max="7185" width="13.5703125" style="1340" customWidth="1"/>
    <col min="7186" max="7187" width="11.42578125" style="1340"/>
    <col min="7188" max="7188" width="16" style="1340" customWidth="1"/>
    <col min="7189" max="7424" width="11.42578125" style="1340"/>
    <col min="7425" max="7425" width="58.42578125" style="1340" customWidth="1"/>
    <col min="7426" max="7426" width="18" style="1340" customWidth="1"/>
    <col min="7427" max="7427" width="17" style="1340" bestFit="1" customWidth="1"/>
    <col min="7428" max="7428" width="17.5703125" style="1340" bestFit="1" customWidth="1"/>
    <col min="7429" max="7430" width="16.7109375" style="1340" bestFit="1" customWidth="1"/>
    <col min="7431" max="7431" width="16.42578125" style="1340" bestFit="1" customWidth="1"/>
    <col min="7432" max="7433" width="16.7109375" style="1340" bestFit="1" customWidth="1"/>
    <col min="7434" max="7434" width="17.28515625" style="1340" bestFit="1" customWidth="1"/>
    <col min="7435" max="7435" width="17.140625" style="1340" bestFit="1" customWidth="1"/>
    <col min="7436" max="7436" width="17.28515625" style="1340" bestFit="1" customWidth="1"/>
    <col min="7437" max="7437" width="17" style="1340" bestFit="1" customWidth="1"/>
    <col min="7438" max="7438" width="18.7109375" style="1340" bestFit="1" customWidth="1"/>
    <col min="7439" max="7439" width="14.140625" style="1340" bestFit="1" customWidth="1"/>
    <col min="7440" max="7440" width="14" style="1340" customWidth="1"/>
    <col min="7441" max="7441" width="13.5703125" style="1340" customWidth="1"/>
    <col min="7442" max="7443" width="11.42578125" style="1340"/>
    <col min="7444" max="7444" width="16" style="1340" customWidth="1"/>
    <col min="7445" max="7680" width="11.42578125" style="1340"/>
    <col min="7681" max="7681" width="58.42578125" style="1340" customWidth="1"/>
    <col min="7682" max="7682" width="18" style="1340" customWidth="1"/>
    <col min="7683" max="7683" width="17" style="1340" bestFit="1" customWidth="1"/>
    <col min="7684" max="7684" width="17.5703125" style="1340" bestFit="1" customWidth="1"/>
    <col min="7685" max="7686" width="16.7109375" style="1340" bestFit="1" customWidth="1"/>
    <col min="7687" max="7687" width="16.42578125" style="1340" bestFit="1" customWidth="1"/>
    <col min="7688" max="7689" width="16.7109375" style="1340" bestFit="1" customWidth="1"/>
    <col min="7690" max="7690" width="17.28515625" style="1340" bestFit="1" customWidth="1"/>
    <col min="7691" max="7691" width="17.140625" style="1340" bestFit="1" customWidth="1"/>
    <col min="7692" max="7692" width="17.28515625" style="1340" bestFit="1" customWidth="1"/>
    <col min="7693" max="7693" width="17" style="1340" bestFit="1" customWidth="1"/>
    <col min="7694" max="7694" width="18.7109375" style="1340" bestFit="1" customWidth="1"/>
    <col min="7695" max="7695" width="14.140625" style="1340" bestFit="1" customWidth="1"/>
    <col min="7696" max="7696" width="14" style="1340" customWidth="1"/>
    <col min="7697" max="7697" width="13.5703125" style="1340" customWidth="1"/>
    <col min="7698" max="7699" width="11.42578125" style="1340"/>
    <col min="7700" max="7700" width="16" style="1340" customWidth="1"/>
    <col min="7701" max="7936" width="11.42578125" style="1340"/>
    <col min="7937" max="7937" width="58.42578125" style="1340" customWidth="1"/>
    <col min="7938" max="7938" width="18" style="1340" customWidth="1"/>
    <col min="7939" max="7939" width="17" style="1340" bestFit="1" customWidth="1"/>
    <col min="7940" max="7940" width="17.5703125" style="1340" bestFit="1" customWidth="1"/>
    <col min="7941" max="7942" width="16.7109375" style="1340" bestFit="1" customWidth="1"/>
    <col min="7943" max="7943" width="16.42578125" style="1340" bestFit="1" customWidth="1"/>
    <col min="7944" max="7945" width="16.7109375" style="1340" bestFit="1" customWidth="1"/>
    <col min="7946" max="7946" width="17.28515625" style="1340" bestFit="1" customWidth="1"/>
    <col min="7947" max="7947" width="17.140625" style="1340" bestFit="1" customWidth="1"/>
    <col min="7948" max="7948" width="17.28515625" style="1340" bestFit="1" customWidth="1"/>
    <col min="7949" max="7949" width="17" style="1340" bestFit="1" customWidth="1"/>
    <col min="7950" max="7950" width="18.7109375" style="1340" bestFit="1" customWidth="1"/>
    <col min="7951" max="7951" width="14.140625" style="1340" bestFit="1" customWidth="1"/>
    <col min="7952" max="7952" width="14" style="1340" customWidth="1"/>
    <col min="7953" max="7953" width="13.5703125" style="1340" customWidth="1"/>
    <col min="7954" max="7955" width="11.42578125" style="1340"/>
    <col min="7956" max="7956" width="16" style="1340" customWidth="1"/>
    <col min="7957" max="8192" width="11.42578125" style="1340"/>
    <col min="8193" max="8193" width="58.42578125" style="1340" customWidth="1"/>
    <col min="8194" max="8194" width="18" style="1340" customWidth="1"/>
    <col min="8195" max="8195" width="17" style="1340" bestFit="1" customWidth="1"/>
    <col min="8196" max="8196" width="17.5703125" style="1340" bestFit="1" customWidth="1"/>
    <col min="8197" max="8198" width="16.7109375" style="1340" bestFit="1" customWidth="1"/>
    <col min="8199" max="8199" width="16.42578125" style="1340" bestFit="1" customWidth="1"/>
    <col min="8200" max="8201" width="16.7109375" style="1340" bestFit="1" customWidth="1"/>
    <col min="8202" max="8202" width="17.28515625" style="1340" bestFit="1" customWidth="1"/>
    <col min="8203" max="8203" width="17.140625" style="1340" bestFit="1" customWidth="1"/>
    <col min="8204" max="8204" width="17.28515625" style="1340" bestFit="1" customWidth="1"/>
    <col min="8205" max="8205" width="17" style="1340" bestFit="1" customWidth="1"/>
    <col min="8206" max="8206" width="18.7109375" style="1340" bestFit="1" customWidth="1"/>
    <col min="8207" max="8207" width="14.140625" style="1340" bestFit="1" customWidth="1"/>
    <col min="8208" max="8208" width="14" style="1340" customWidth="1"/>
    <col min="8209" max="8209" width="13.5703125" style="1340" customWidth="1"/>
    <col min="8210" max="8211" width="11.42578125" style="1340"/>
    <col min="8212" max="8212" width="16" style="1340" customWidth="1"/>
    <col min="8213" max="8448" width="11.42578125" style="1340"/>
    <col min="8449" max="8449" width="58.42578125" style="1340" customWidth="1"/>
    <col min="8450" max="8450" width="18" style="1340" customWidth="1"/>
    <col min="8451" max="8451" width="17" style="1340" bestFit="1" customWidth="1"/>
    <col min="8452" max="8452" width="17.5703125" style="1340" bestFit="1" customWidth="1"/>
    <col min="8453" max="8454" width="16.7109375" style="1340" bestFit="1" customWidth="1"/>
    <col min="8455" max="8455" width="16.42578125" style="1340" bestFit="1" customWidth="1"/>
    <col min="8456" max="8457" width="16.7109375" style="1340" bestFit="1" customWidth="1"/>
    <col min="8458" max="8458" width="17.28515625" style="1340" bestFit="1" customWidth="1"/>
    <col min="8459" max="8459" width="17.140625" style="1340" bestFit="1" customWidth="1"/>
    <col min="8460" max="8460" width="17.28515625" style="1340" bestFit="1" customWidth="1"/>
    <col min="8461" max="8461" width="17" style="1340" bestFit="1" customWidth="1"/>
    <col min="8462" max="8462" width="18.7109375" style="1340" bestFit="1" customWidth="1"/>
    <col min="8463" max="8463" width="14.140625" style="1340" bestFit="1" customWidth="1"/>
    <col min="8464" max="8464" width="14" style="1340" customWidth="1"/>
    <col min="8465" max="8465" width="13.5703125" style="1340" customWidth="1"/>
    <col min="8466" max="8467" width="11.42578125" style="1340"/>
    <col min="8468" max="8468" width="16" style="1340" customWidth="1"/>
    <col min="8469" max="8704" width="11.42578125" style="1340"/>
    <col min="8705" max="8705" width="58.42578125" style="1340" customWidth="1"/>
    <col min="8706" max="8706" width="18" style="1340" customWidth="1"/>
    <col min="8707" max="8707" width="17" style="1340" bestFit="1" customWidth="1"/>
    <col min="8708" max="8708" width="17.5703125" style="1340" bestFit="1" customWidth="1"/>
    <col min="8709" max="8710" width="16.7109375" style="1340" bestFit="1" customWidth="1"/>
    <col min="8711" max="8711" width="16.42578125" style="1340" bestFit="1" customWidth="1"/>
    <col min="8712" max="8713" width="16.7109375" style="1340" bestFit="1" customWidth="1"/>
    <col min="8714" max="8714" width="17.28515625" style="1340" bestFit="1" customWidth="1"/>
    <col min="8715" max="8715" width="17.140625" style="1340" bestFit="1" customWidth="1"/>
    <col min="8716" max="8716" width="17.28515625" style="1340" bestFit="1" customWidth="1"/>
    <col min="8717" max="8717" width="17" style="1340" bestFit="1" customWidth="1"/>
    <col min="8718" max="8718" width="18.7109375" style="1340" bestFit="1" customWidth="1"/>
    <col min="8719" max="8719" width="14.140625" style="1340" bestFit="1" customWidth="1"/>
    <col min="8720" max="8720" width="14" style="1340" customWidth="1"/>
    <col min="8721" max="8721" width="13.5703125" style="1340" customWidth="1"/>
    <col min="8722" max="8723" width="11.42578125" style="1340"/>
    <col min="8724" max="8724" width="16" style="1340" customWidth="1"/>
    <col min="8725" max="8960" width="11.42578125" style="1340"/>
    <col min="8961" max="8961" width="58.42578125" style="1340" customWidth="1"/>
    <col min="8962" max="8962" width="18" style="1340" customWidth="1"/>
    <col min="8963" max="8963" width="17" style="1340" bestFit="1" customWidth="1"/>
    <col min="8964" max="8964" width="17.5703125" style="1340" bestFit="1" customWidth="1"/>
    <col min="8965" max="8966" width="16.7109375" style="1340" bestFit="1" customWidth="1"/>
    <col min="8967" max="8967" width="16.42578125" style="1340" bestFit="1" customWidth="1"/>
    <col min="8968" max="8969" width="16.7109375" style="1340" bestFit="1" customWidth="1"/>
    <col min="8970" max="8970" width="17.28515625" style="1340" bestFit="1" customWidth="1"/>
    <col min="8971" max="8971" width="17.140625" style="1340" bestFit="1" customWidth="1"/>
    <col min="8972" max="8972" width="17.28515625" style="1340" bestFit="1" customWidth="1"/>
    <col min="8973" max="8973" width="17" style="1340" bestFit="1" customWidth="1"/>
    <col min="8974" max="8974" width="18.7109375" style="1340" bestFit="1" customWidth="1"/>
    <col min="8975" max="8975" width="14.140625" style="1340" bestFit="1" customWidth="1"/>
    <col min="8976" max="8976" width="14" style="1340" customWidth="1"/>
    <col min="8977" max="8977" width="13.5703125" style="1340" customWidth="1"/>
    <col min="8978" max="8979" width="11.42578125" style="1340"/>
    <col min="8980" max="8980" width="16" style="1340" customWidth="1"/>
    <col min="8981" max="9216" width="11.42578125" style="1340"/>
    <col min="9217" max="9217" width="58.42578125" style="1340" customWidth="1"/>
    <col min="9218" max="9218" width="18" style="1340" customWidth="1"/>
    <col min="9219" max="9219" width="17" style="1340" bestFit="1" customWidth="1"/>
    <col min="9220" max="9220" width="17.5703125" style="1340" bestFit="1" customWidth="1"/>
    <col min="9221" max="9222" width="16.7109375" style="1340" bestFit="1" customWidth="1"/>
    <col min="9223" max="9223" width="16.42578125" style="1340" bestFit="1" customWidth="1"/>
    <col min="9224" max="9225" width="16.7109375" style="1340" bestFit="1" customWidth="1"/>
    <col min="9226" max="9226" width="17.28515625" style="1340" bestFit="1" customWidth="1"/>
    <col min="9227" max="9227" width="17.140625" style="1340" bestFit="1" customWidth="1"/>
    <col min="9228" max="9228" width="17.28515625" style="1340" bestFit="1" customWidth="1"/>
    <col min="9229" max="9229" width="17" style="1340" bestFit="1" customWidth="1"/>
    <col min="9230" max="9230" width="18.7109375" style="1340" bestFit="1" customWidth="1"/>
    <col min="9231" max="9231" width="14.140625" style="1340" bestFit="1" customWidth="1"/>
    <col min="9232" max="9232" width="14" style="1340" customWidth="1"/>
    <col min="9233" max="9233" width="13.5703125" style="1340" customWidth="1"/>
    <col min="9234" max="9235" width="11.42578125" style="1340"/>
    <col min="9236" max="9236" width="16" style="1340" customWidth="1"/>
    <col min="9237" max="9472" width="11.42578125" style="1340"/>
    <col min="9473" max="9473" width="58.42578125" style="1340" customWidth="1"/>
    <col min="9474" max="9474" width="18" style="1340" customWidth="1"/>
    <col min="9475" max="9475" width="17" style="1340" bestFit="1" customWidth="1"/>
    <col min="9476" max="9476" width="17.5703125" style="1340" bestFit="1" customWidth="1"/>
    <col min="9477" max="9478" width="16.7109375" style="1340" bestFit="1" customWidth="1"/>
    <col min="9479" max="9479" width="16.42578125" style="1340" bestFit="1" customWidth="1"/>
    <col min="9480" max="9481" width="16.7109375" style="1340" bestFit="1" customWidth="1"/>
    <col min="9482" max="9482" width="17.28515625" style="1340" bestFit="1" customWidth="1"/>
    <col min="9483" max="9483" width="17.140625" style="1340" bestFit="1" customWidth="1"/>
    <col min="9484" max="9484" width="17.28515625" style="1340" bestFit="1" customWidth="1"/>
    <col min="9485" max="9485" width="17" style="1340" bestFit="1" customWidth="1"/>
    <col min="9486" max="9486" width="18.7109375" style="1340" bestFit="1" customWidth="1"/>
    <col min="9487" max="9487" width="14.140625" style="1340" bestFit="1" customWidth="1"/>
    <col min="9488" max="9488" width="14" style="1340" customWidth="1"/>
    <col min="9489" max="9489" width="13.5703125" style="1340" customWidth="1"/>
    <col min="9490" max="9491" width="11.42578125" style="1340"/>
    <col min="9492" max="9492" width="16" style="1340" customWidth="1"/>
    <col min="9493" max="9728" width="11.42578125" style="1340"/>
    <col min="9729" max="9729" width="58.42578125" style="1340" customWidth="1"/>
    <col min="9730" max="9730" width="18" style="1340" customWidth="1"/>
    <col min="9731" max="9731" width="17" style="1340" bestFit="1" customWidth="1"/>
    <col min="9732" max="9732" width="17.5703125" style="1340" bestFit="1" customWidth="1"/>
    <col min="9733" max="9734" width="16.7109375" style="1340" bestFit="1" customWidth="1"/>
    <col min="9735" max="9735" width="16.42578125" style="1340" bestFit="1" customWidth="1"/>
    <col min="9736" max="9737" width="16.7109375" style="1340" bestFit="1" customWidth="1"/>
    <col min="9738" max="9738" width="17.28515625" style="1340" bestFit="1" customWidth="1"/>
    <col min="9739" max="9739" width="17.140625" style="1340" bestFit="1" customWidth="1"/>
    <col min="9740" max="9740" width="17.28515625" style="1340" bestFit="1" customWidth="1"/>
    <col min="9741" max="9741" width="17" style="1340" bestFit="1" customWidth="1"/>
    <col min="9742" max="9742" width="18.7109375" style="1340" bestFit="1" customWidth="1"/>
    <col min="9743" max="9743" width="14.140625" style="1340" bestFit="1" customWidth="1"/>
    <col min="9744" max="9744" width="14" style="1340" customWidth="1"/>
    <col min="9745" max="9745" width="13.5703125" style="1340" customWidth="1"/>
    <col min="9746" max="9747" width="11.42578125" style="1340"/>
    <col min="9748" max="9748" width="16" style="1340" customWidth="1"/>
    <col min="9749" max="9984" width="11.42578125" style="1340"/>
    <col min="9985" max="9985" width="58.42578125" style="1340" customWidth="1"/>
    <col min="9986" max="9986" width="18" style="1340" customWidth="1"/>
    <col min="9987" max="9987" width="17" style="1340" bestFit="1" customWidth="1"/>
    <col min="9988" max="9988" width="17.5703125" style="1340" bestFit="1" customWidth="1"/>
    <col min="9989" max="9990" width="16.7109375" style="1340" bestFit="1" customWidth="1"/>
    <col min="9991" max="9991" width="16.42578125" style="1340" bestFit="1" customWidth="1"/>
    <col min="9992" max="9993" width="16.7109375" style="1340" bestFit="1" customWidth="1"/>
    <col min="9994" max="9994" width="17.28515625" style="1340" bestFit="1" customWidth="1"/>
    <col min="9995" max="9995" width="17.140625" style="1340" bestFit="1" customWidth="1"/>
    <col min="9996" max="9996" width="17.28515625" style="1340" bestFit="1" customWidth="1"/>
    <col min="9997" max="9997" width="17" style="1340" bestFit="1" customWidth="1"/>
    <col min="9998" max="9998" width="18.7109375" style="1340" bestFit="1" customWidth="1"/>
    <col min="9999" max="9999" width="14.140625" style="1340" bestFit="1" customWidth="1"/>
    <col min="10000" max="10000" width="14" style="1340" customWidth="1"/>
    <col min="10001" max="10001" width="13.5703125" style="1340" customWidth="1"/>
    <col min="10002" max="10003" width="11.42578125" style="1340"/>
    <col min="10004" max="10004" width="16" style="1340" customWidth="1"/>
    <col min="10005" max="10240" width="11.42578125" style="1340"/>
    <col min="10241" max="10241" width="58.42578125" style="1340" customWidth="1"/>
    <col min="10242" max="10242" width="18" style="1340" customWidth="1"/>
    <col min="10243" max="10243" width="17" style="1340" bestFit="1" customWidth="1"/>
    <col min="10244" max="10244" width="17.5703125" style="1340" bestFit="1" customWidth="1"/>
    <col min="10245" max="10246" width="16.7109375" style="1340" bestFit="1" customWidth="1"/>
    <col min="10247" max="10247" width="16.42578125" style="1340" bestFit="1" customWidth="1"/>
    <col min="10248" max="10249" width="16.7109375" style="1340" bestFit="1" customWidth="1"/>
    <col min="10250" max="10250" width="17.28515625" style="1340" bestFit="1" customWidth="1"/>
    <col min="10251" max="10251" width="17.140625" style="1340" bestFit="1" customWidth="1"/>
    <col min="10252" max="10252" width="17.28515625" style="1340" bestFit="1" customWidth="1"/>
    <col min="10253" max="10253" width="17" style="1340" bestFit="1" customWidth="1"/>
    <col min="10254" max="10254" width="18.7109375" style="1340" bestFit="1" customWidth="1"/>
    <col min="10255" max="10255" width="14.140625" style="1340" bestFit="1" customWidth="1"/>
    <col min="10256" max="10256" width="14" style="1340" customWidth="1"/>
    <col min="10257" max="10257" width="13.5703125" style="1340" customWidth="1"/>
    <col min="10258" max="10259" width="11.42578125" style="1340"/>
    <col min="10260" max="10260" width="16" style="1340" customWidth="1"/>
    <col min="10261" max="10496" width="11.42578125" style="1340"/>
    <col min="10497" max="10497" width="58.42578125" style="1340" customWidth="1"/>
    <col min="10498" max="10498" width="18" style="1340" customWidth="1"/>
    <col min="10499" max="10499" width="17" style="1340" bestFit="1" customWidth="1"/>
    <col min="10500" max="10500" width="17.5703125" style="1340" bestFit="1" customWidth="1"/>
    <col min="10501" max="10502" width="16.7109375" style="1340" bestFit="1" customWidth="1"/>
    <col min="10503" max="10503" width="16.42578125" style="1340" bestFit="1" customWidth="1"/>
    <col min="10504" max="10505" width="16.7109375" style="1340" bestFit="1" customWidth="1"/>
    <col min="10506" max="10506" width="17.28515625" style="1340" bestFit="1" customWidth="1"/>
    <col min="10507" max="10507" width="17.140625" style="1340" bestFit="1" customWidth="1"/>
    <col min="10508" max="10508" width="17.28515625" style="1340" bestFit="1" customWidth="1"/>
    <col min="10509" max="10509" width="17" style="1340" bestFit="1" customWidth="1"/>
    <col min="10510" max="10510" width="18.7109375" style="1340" bestFit="1" customWidth="1"/>
    <col min="10511" max="10511" width="14.140625" style="1340" bestFit="1" customWidth="1"/>
    <col min="10512" max="10512" width="14" style="1340" customWidth="1"/>
    <col min="10513" max="10513" width="13.5703125" style="1340" customWidth="1"/>
    <col min="10514" max="10515" width="11.42578125" style="1340"/>
    <col min="10516" max="10516" width="16" style="1340" customWidth="1"/>
    <col min="10517" max="10752" width="11.42578125" style="1340"/>
    <col min="10753" max="10753" width="58.42578125" style="1340" customWidth="1"/>
    <col min="10754" max="10754" width="18" style="1340" customWidth="1"/>
    <col min="10755" max="10755" width="17" style="1340" bestFit="1" customWidth="1"/>
    <col min="10756" max="10756" width="17.5703125" style="1340" bestFit="1" customWidth="1"/>
    <col min="10757" max="10758" width="16.7109375" style="1340" bestFit="1" customWidth="1"/>
    <col min="10759" max="10759" width="16.42578125" style="1340" bestFit="1" customWidth="1"/>
    <col min="10760" max="10761" width="16.7109375" style="1340" bestFit="1" customWidth="1"/>
    <col min="10762" max="10762" width="17.28515625" style="1340" bestFit="1" customWidth="1"/>
    <col min="10763" max="10763" width="17.140625" style="1340" bestFit="1" customWidth="1"/>
    <col min="10764" max="10764" width="17.28515625" style="1340" bestFit="1" customWidth="1"/>
    <col min="10765" max="10765" width="17" style="1340" bestFit="1" customWidth="1"/>
    <col min="10766" max="10766" width="18.7109375" style="1340" bestFit="1" customWidth="1"/>
    <col min="10767" max="10767" width="14.140625" style="1340" bestFit="1" customWidth="1"/>
    <col min="10768" max="10768" width="14" style="1340" customWidth="1"/>
    <col min="10769" max="10769" width="13.5703125" style="1340" customWidth="1"/>
    <col min="10770" max="10771" width="11.42578125" style="1340"/>
    <col min="10772" max="10772" width="16" style="1340" customWidth="1"/>
    <col min="10773" max="11008" width="11.42578125" style="1340"/>
    <col min="11009" max="11009" width="58.42578125" style="1340" customWidth="1"/>
    <col min="11010" max="11010" width="18" style="1340" customWidth="1"/>
    <col min="11011" max="11011" width="17" style="1340" bestFit="1" customWidth="1"/>
    <col min="11012" max="11012" width="17.5703125" style="1340" bestFit="1" customWidth="1"/>
    <col min="11013" max="11014" width="16.7109375" style="1340" bestFit="1" customWidth="1"/>
    <col min="11015" max="11015" width="16.42578125" style="1340" bestFit="1" customWidth="1"/>
    <col min="11016" max="11017" width="16.7109375" style="1340" bestFit="1" customWidth="1"/>
    <col min="11018" max="11018" width="17.28515625" style="1340" bestFit="1" customWidth="1"/>
    <col min="11019" max="11019" width="17.140625" style="1340" bestFit="1" customWidth="1"/>
    <col min="11020" max="11020" width="17.28515625" style="1340" bestFit="1" customWidth="1"/>
    <col min="11021" max="11021" width="17" style="1340" bestFit="1" customWidth="1"/>
    <col min="11022" max="11022" width="18.7109375" style="1340" bestFit="1" customWidth="1"/>
    <col min="11023" max="11023" width="14.140625" style="1340" bestFit="1" customWidth="1"/>
    <col min="11024" max="11024" width="14" style="1340" customWidth="1"/>
    <col min="11025" max="11025" width="13.5703125" style="1340" customWidth="1"/>
    <col min="11026" max="11027" width="11.42578125" style="1340"/>
    <col min="11028" max="11028" width="16" style="1340" customWidth="1"/>
    <col min="11029" max="11264" width="11.42578125" style="1340"/>
    <col min="11265" max="11265" width="58.42578125" style="1340" customWidth="1"/>
    <col min="11266" max="11266" width="18" style="1340" customWidth="1"/>
    <col min="11267" max="11267" width="17" style="1340" bestFit="1" customWidth="1"/>
    <col min="11268" max="11268" width="17.5703125" style="1340" bestFit="1" customWidth="1"/>
    <col min="11269" max="11270" width="16.7109375" style="1340" bestFit="1" customWidth="1"/>
    <col min="11271" max="11271" width="16.42578125" style="1340" bestFit="1" customWidth="1"/>
    <col min="11272" max="11273" width="16.7109375" style="1340" bestFit="1" customWidth="1"/>
    <col min="11274" max="11274" width="17.28515625" style="1340" bestFit="1" customWidth="1"/>
    <col min="11275" max="11275" width="17.140625" style="1340" bestFit="1" customWidth="1"/>
    <col min="11276" max="11276" width="17.28515625" style="1340" bestFit="1" customWidth="1"/>
    <col min="11277" max="11277" width="17" style="1340" bestFit="1" customWidth="1"/>
    <col min="11278" max="11278" width="18.7109375" style="1340" bestFit="1" customWidth="1"/>
    <col min="11279" max="11279" width="14.140625" style="1340" bestFit="1" customWidth="1"/>
    <col min="11280" max="11280" width="14" style="1340" customWidth="1"/>
    <col min="11281" max="11281" width="13.5703125" style="1340" customWidth="1"/>
    <col min="11282" max="11283" width="11.42578125" style="1340"/>
    <col min="11284" max="11284" width="16" style="1340" customWidth="1"/>
    <col min="11285" max="11520" width="11.42578125" style="1340"/>
    <col min="11521" max="11521" width="58.42578125" style="1340" customWidth="1"/>
    <col min="11522" max="11522" width="18" style="1340" customWidth="1"/>
    <col min="11523" max="11523" width="17" style="1340" bestFit="1" customWidth="1"/>
    <col min="11524" max="11524" width="17.5703125" style="1340" bestFit="1" customWidth="1"/>
    <col min="11525" max="11526" width="16.7109375" style="1340" bestFit="1" customWidth="1"/>
    <col min="11527" max="11527" width="16.42578125" style="1340" bestFit="1" customWidth="1"/>
    <col min="11528" max="11529" width="16.7109375" style="1340" bestFit="1" customWidth="1"/>
    <col min="11530" max="11530" width="17.28515625" style="1340" bestFit="1" customWidth="1"/>
    <col min="11531" max="11531" width="17.140625" style="1340" bestFit="1" customWidth="1"/>
    <col min="11532" max="11532" width="17.28515625" style="1340" bestFit="1" customWidth="1"/>
    <col min="11533" max="11533" width="17" style="1340" bestFit="1" customWidth="1"/>
    <col min="11534" max="11534" width="18.7109375" style="1340" bestFit="1" customWidth="1"/>
    <col min="11535" max="11535" width="14.140625" style="1340" bestFit="1" customWidth="1"/>
    <col min="11536" max="11536" width="14" style="1340" customWidth="1"/>
    <col min="11537" max="11537" width="13.5703125" style="1340" customWidth="1"/>
    <col min="11538" max="11539" width="11.42578125" style="1340"/>
    <col min="11540" max="11540" width="16" style="1340" customWidth="1"/>
    <col min="11541" max="11776" width="11.42578125" style="1340"/>
    <col min="11777" max="11777" width="58.42578125" style="1340" customWidth="1"/>
    <col min="11778" max="11778" width="18" style="1340" customWidth="1"/>
    <col min="11779" max="11779" width="17" style="1340" bestFit="1" customWidth="1"/>
    <col min="11780" max="11780" width="17.5703125" style="1340" bestFit="1" customWidth="1"/>
    <col min="11781" max="11782" width="16.7109375" style="1340" bestFit="1" customWidth="1"/>
    <col min="11783" max="11783" width="16.42578125" style="1340" bestFit="1" customWidth="1"/>
    <col min="11784" max="11785" width="16.7109375" style="1340" bestFit="1" customWidth="1"/>
    <col min="11786" max="11786" width="17.28515625" style="1340" bestFit="1" customWidth="1"/>
    <col min="11787" max="11787" width="17.140625" style="1340" bestFit="1" customWidth="1"/>
    <col min="11788" max="11788" width="17.28515625" style="1340" bestFit="1" customWidth="1"/>
    <col min="11789" max="11789" width="17" style="1340" bestFit="1" customWidth="1"/>
    <col min="11790" max="11790" width="18.7109375" style="1340" bestFit="1" customWidth="1"/>
    <col min="11791" max="11791" width="14.140625" style="1340" bestFit="1" customWidth="1"/>
    <col min="11792" max="11792" width="14" style="1340" customWidth="1"/>
    <col min="11793" max="11793" width="13.5703125" style="1340" customWidth="1"/>
    <col min="11794" max="11795" width="11.42578125" style="1340"/>
    <col min="11796" max="11796" width="16" style="1340" customWidth="1"/>
    <col min="11797" max="12032" width="11.42578125" style="1340"/>
    <col min="12033" max="12033" width="58.42578125" style="1340" customWidth="1"/>
    <col min="12034" max="12034" width="18" style="1340" customWidth="1"/>
    <col min="12035" max="12035" width="17" style="1340" bestFit="1" customWidth="1"/>
    <col min="12036" max="12036" width="17.5703125" style="1340" bestFit="1" customWidth="1"/>
    <col min="12037" max="12038" width="16.7109375" style="1340" bestFit="1" customWidth="1"/>
    <col min="12039" max="12039" width="16.42578125" style="1340" bestFit="1" customWidth="1"/>
    <col min="12040" max="12041" width="16.7109375" style="1340" bestFit="1" customWidth="1"/>
    <col min="12042" max="12042" width="17.28515625" style="1340" bestFit="1" customWidth="1"/>
    <col min="12043" max="12043" width="17.140625" style="1340" bestFit="1" customWidth="1"/>
    <col min="12044" max="12044" width="17.28515625" style="1340" bestFit="1" customWidth="1"/>
    <col min="12045" max="12045" width="17" style="1340" bestFit="1" customWidth="1"/>
    <col min="12046" max="12046" width="18.7109375" style="1340" bestFit="1" customWidth="1"/>
    <col min="12047" max="12047" width="14.140625" style="1340" bestFit="1" customWidth="1"/>
    <col min="12048" max="12048" width="14" style="1340" customWidth="1"/>
    <col min="12049" max="12049" width="13.5703125" style="1340" customWidth="1"/>
    <col min="12050" max="12051" width="11.42578125" style="1340"/>
    <col min="12052" max="12052" width="16" style="1340" customWidth="1"/>
    <col min="12053" max="12288" width="11.42578125" style="1340"/>
    <col min="12289" max="12289" width="58.42578125" style="1340" customWidth="1"/>
    <col min="12290" max="12290" width="18" style="1340" customWidth="1"/>
    <col min="12291" max="12291" width="17" style="1340" bestFit="1" customWidth="1"/>
    <col min="12292" max="12292" width="17.5703125" style="1340" bestFit="1" customWidth="1"/>
    <col min="12293" max="12294" width="16.7109375" style="1340" bestFit="1" customWidth="1"/>
    <col min="12295" max="12295" width="16.42578125" style="1340" bestFit="1" customWidth="1"/>
    <col min="12296" max="12297" width="16.7109375" style="1340" bestFit="1" customWidth="1"/>
    <col min="12298" max="12298" width="17.28515625" style="1340" bestFit="1" customWidth="1"/>
    <col min="12299" max="12299" width="17.140625" style="1340" bestFit="1" customWidth="1"/>
    <col min="12300" max="12300" width="17.28515625" style="1340" bestFit="1" customWidth="1"/>
    <col min="12301" max="12301" width="17" style="1340" bestFit="1" customWidth="1"/>
    <col min="12302" max="12302" width="18.7109375" style="1340" bestFit="1" customWidth="1"/>
    <col min="12303" max="12303" width="14.140625" style="1340" bestFit="1" customWidth="1"/>
    <col min="12304" max="12304" width="14" style="1340" customWidth="1"/>
    <col min="12305" max="12305" width="13.5703125" style="1340" customWidth="1"/>
    <col min="12306" max="12307" width="11.42578125" style="1340"/>
    <col min="12308" max="12308" width="16" style="1340" customWidth="1"/>
    <col min="12309" max="12544" width="11.42578125" style="1340"/>
    <col min="12545" max="12545" width="58.42578125" style="1340" customWidth="1"/>
    <col min="12546" max="12546" width="18" style="1340" customWidth="1"/>
    <col min="12547" max="12547" width="17" style="1340" bestFit="1" customWidth="1"/>
    <col min="12548" max="12548" width="17.5703125" style="1340" bestFit="1" customWidth="1"/>
    <col min="12549" max="12550" width="16.7109375" style="1340" bestFit="1" customWidth="1"/>
    <col min="12551" max="12551" width="16.42578125" style="1340" bestFit="1" customWidth="1"/>
    <col min="12552" max="12553" width="16.7109375" style="1340" bestFit="1" customWidth="1"/>
    <col min="12554" max="12554" width="17.28515625" style="1340" bestFit="1" customWidth="1"/>
    <col min="12555" max="12555" width="17.140625" style="1340" bestFit="1" customWidth="1"/>
    <col min="12556" max="12556" width="17.28515625" style="1340" bestFit="1" customWidth="1"/>
    <col min="12557" max="12557" width="17" style="1340" bestFit="1" customWidth="1"/>
    <col min="12558" max="12558" width="18.7109375" style="1340" bestFit="1" customWidth="1"/>
    <col min="12559" max="12559" width="14.140625" style="1340" bestFit="1" customWidth="1"/>
    <col min="12560" max="12560" width="14" style="1340" customWidth="1"/>
    <col min="12561" max="12561" width="13.5703125" style="1340" customWidth="1"/>
    <col min="12562" max="12563" width="11.42578125" style="1340"/>
    <col min="12564" max="12564" width="16" style="1340" customWidth="1"/>
    <col min="12565" max="12800" width="11.42578125" style="1340"/>
    <col min="12801" max="12801" width="58.42578125" style="1340" customWidth="1"/>
    <col min="12802" max="12802" width="18" style="1340" customWidth="1"/>
    <col min="12803" max="12803" width="17" style="1340" bestFit="1" customWidth="1"/>
    <col min="12804" max="12804" width="17.5703125" style="1340" bestFit="1" customWidth="1"/>
    <col min="12805" max="12806" width="16.7109375" style="1340" bestFit="1" customWidth="1"/>
    <col min="12807" max="12807" width="16.42578125" style="1340" bestFit="1" customWidth="1"/>
    <col min="12808" max="12809" width="16.7109375" style="1340" bestFit="1" customWidth="1"/>
    <col min="12810" max="12810" width="17.28515625" style="1340" bestFit="1" customWidth="1"/>
    <col min="12811" max="12811" width="17.140625" style="1340" bestFit="1" customWidth="1"/>
    <col min="12812" max="12812" width="17.28515625" style="1340" bestFit="1" customWidth="1"/>
    <col min="12813" max="12813" width="17" style="1340" bestFit="1" customWidth="1"/>
    <col min="12814" max="12814" width="18.7109375" style="1340" bestFit="1" customWidth="1"/>
    <col min="12815" max="12815" width="14.140625" style="1340" bestFit="1" customWidth="1"/>
    <col min="12816" max="12816" width="14" style="1340" customWidth="1"/>
    <col min="12817" max="12817" width="13.5703125" style="1340" customWidth="1"/>
    <col min="12818" max="12819" width="11.42578125" style="1340"/>
    <col min="12820" max="12820" width="16" style="1340" customWidth="1"/>
    <col min="12821" max="13056" width="11.42578125" style="1340"/>
    <col min="13057" max="13057" width="58.42578125" style="1340" customWidth="1"/>
    <col min="13058" max="13058" width="18" style="1340" customWidth="1"/>
    <col min="13059" max="13059" width="17" style="1340" bestFit="1" customWidth="1"/>
    <col min="13060" max="13060" width="17.5703125" style="1340" bestFit="1" customWidth="1"/>
    <col min="13061" max="13062" width="16.7109375" style="1340" bestFit="1" customWidth="1"/>
    <col min="13063" max="13063" width="16.42578125" style="1340" bestFit="1" customWidth="1"/>
    <col min="13064" max="13065" width="16.7109375" style="1340" bestFit="1" customWidth="1"/>
    <col min="13066" max="13066" width="17.28515625" style="1340" bestFit="1" customWidth="1"/>
    <col min="13067" max="13067" width="17.140625" style="1340" bestFit="1" customWidth="1"/>
    <col min="13068" max="13068" width="17.28515625" style="1340" bestFit="1" customWidth="1"/>
    <col min="13069" max="13069" width="17" style="1340" bestFit="1" customWidth="1"/>
    <col min="13070" max="13070" width="18.7109375" style="1340" bestFit="1" customWidth="1"/>
    <col min="13071" max="13071" width="14.140625" style="1340" bestFit="1" customWidth="1"/>
    <col min="13072" max="13072" width="14" style="1340" customWidth="1"/>
    <col min="13073" max="13073" width="13.5703125" style="1340" customWidth="1"/>
    <col min="13074" max="13075" width="11.42578125" style="1340"/>
    <col min="13076" max="13076" width="16" style="1340" customWidth="1"/>
    <col min="13077" max="13312" width="11.42578125" style="1340"/>
    <col min="13313" max="13313" width="58.42578125" style="1340" customWidth="1"/>
    <col min="13314" max="13314" width="18" style="1340" customWidth="1"/>
    <col min="13315" max="13315" width="17" style="1340" bestFit="1" customWidth="1"/>
    <col min="13316" max="13316" width="17.5703125" style="1340" bestFit="1" customWidth="1"/>
    <col min="13317" max="13318" width="16.7109375" style="1340" bestFit="1" customWidth="1"/>
    <col min="13319" max="13319" width="16.42578125" style="1340" bestFit="1" customWidth="1"/>
    <col min="13320" max="13321" width="16.7109375" style="1340" bestFit="1" customWidth="1"/>
    <col min="13322" max="13322" width="17.28515625" style="1340" bestFit="1" customWidth="1"/>
    <col min="13323" max="13323" width="17.140625" style="1340" bestFit="1" customWidth="1"/>
    <col min="13324" max="13324" width="17.28515625" style="1340" bestFit="1" customWidth="1"/>
    <col min="13325" max="13325" width="17" style="1340" bestFit="1" customWidth="1"/>
    <col min="13326" max="13326" width="18.7109375" style="1340" bestFit="1" customWidth="1"/>
    <col min="13327" max="13327" width="14.140625" style="1340" bestFit="1" customWidth="1"/>
    <col min="13328" max="13328" width="14" style="1340" customWidth="1"/>
    <col min="13329" max="13329" width="13.5703125" style="1340" customWidth="1"/>
    <col min="13330" max="13331" width="11.42578125" style="1340"/>
    <col min="13332" max="13332" width="16" style="1340" customWidth="1"/>
    <col min="13333" max="13568" width="11.42578125" style="1340"/>
    <col min="13569" max="13569" width="58.42578125" style="1340" customWidth="1"/>
    <col min="13570" max="13570" width="18" style="1340" customWidth="1"/>
    <col min="13571" max="13571" width="17" style="1340" bestFit="1" customWidth="1"/>
    <col min="13572" max="13572" width="17.5703125" style="1340" bestFit="1" customWidth="1"/>
    <col min="13573" max="13574" width="16.7109375" style="1340" bestFit="1" customWidth="1"/>
    <col min="13575" max="13575" width="16.42578125" style="1340" bestFit="1" customWidth="1"/>
    <col min="13576" max="13577" width="16.7109375" style="1340" bestFit="1" customWidth="1"/>
    <col min="13578" max="13578" width="17.28515625" style="1340" bestFit="1" customWidth="1"/>
    <col min="13579" max="13579" width="17.140625" style="1340" bestFit="1" customWidth="1"/>
    <col min="13580" max="13580" width="17.28515625" style="1340" bestFit="1" customWidth="1"/>
    <col min="13581" max="13581" width="17" style="1340" bestFit="1" customWidth="1"/>
    <col min="13582" max="13582" width="18.7109375" style="1340" bestFit="1" customWidth="1"/>
    <col min="13583" max="13583" width="14.140625" style="1340" bestFit="1" customWidth="1"/>
    <col min="13584" max="13584" width="14" style="1340" customWidth="1"/>
    <col min="13585" max="13585" width="13.5703125" style="1340" customWidth="1"/>
    <col min="13586" max="13587" width="11.42578125" style="1340"/>
    <col min="13588" max="13588" width="16" style="1340" customWidth="1"/>
    <col min="13589" max="13824" width="11.42578125" style="1340"/>
    <col min="13825" max="13825" width="58.42578125" style="1340" customWidth="1"/>
    <col min="13826" max="13826" width="18" style="1340" customWidth="1"/>
    <col min="13827" max="13827" width="17" style="1340" bestFit="1" customWidth="1"/>
    <col min="13828" max="13828" width="17.5703125" style="1340" bestFit="1" customWidth="1"/>
    <col min="13829" max="13830" width="16.7109375" style="1340" bestFit="1" customWidth="1"/>
    <col min="13831" max="13831" width="16.42578125" style="1340" bestFit="1" customWidth="1"/>
    <col min="13832" max="13833" width="16.7109375" style="1340" bestFit="1" customWidth="1"/>
    <col min="13834" max="13834" width="17.28515625" style="1340" bestFit="1" customWidth="1"/>
    <col min="13835" max="13835" width="17.140625" style="1340" bestFit="1" customWidth="1"/>
    <col min="13836" max="13836" width="17.28515625" style="1340" bestFit="1" customWidth="1"/>
    <col min="13837" max="13837" width="17" style="1340" bestFit="1" customWidth="1"/>
    <col min="13838" max="13838" width="18.7109375" style="1340" bestFit="1" customWidth="1"/>
    <col min="13839" max="13839" width="14.140625" style="1340" bestFit="1" customWidth="1"/>
    <col min="13840" max="13840" width="14" style="1340" customWidth="1"/>
    <col min="13841" max="13841" width="13.5703125" style="1340" customWidth="1"/>
    <col min="13842" max="13843" width="11.42578125" style="1340"/>
    <col min="13844" max="13844" width="16" style="1340" customWidth="1"/>
    <col min="13845" max="14080" width="11.42578125" style="1340"/>
    <col min="14081" max="14081" width="58.42578125" style="1340" customWidth="1"/>
    <col min="14082" max="14082" width="18" style="1340" customWidth="1"/>
    <col min="14083" max="14083" width="17" style="1340" bestFit="1" customWidth="1"/>
    <col min="14084" max="14084" width="17.5703125" style="1340" bestFit="1" customWidth="1"/>
    <col min="14085" max="14086" width="16.7109375" style="1340" bestFit="1" customWidth="1"/>
    <col min="14087" max="14087" width="16.42578125" style="1340" bestFit="1" customWidth="1"/>
    <col min="14088" max="14089" width="16.7109375" style="1340" bestFit="1" customWidth="1"/>
    <col min="14090" max="14090" width="17.28515625" style="1340" bestFit="1" customWidth="1"/>
    <col min="14091" max="14091" width="17.140625" style="1340" bestFit="1" customWidth="1"/>
    <col min="14092" max="14092" width="17.28515625" style="1340" bestFit="1" customWidth="1"/>
    <col min="14093" max="14093" width="17" style="1340" bestFit="1" customWidth="1"/>
    <col min="14094" max="14094" width="18.7109375" style="1340" bestFit="1" customWidth="1"/>
    <col min="14095" max="14095" width="14.140625" style="1340" bestFit="1" customWidth="1"/>
    <col min="14096" max="14096" width="14" style="1340" customWidth="1"/>
    <col min="14097" max="14097" width="13.5703125" style="1340" customWidth="1"/>
    <col min="14098" max="14099" width="11.42578125" style="1340"/>
    <col min="14100" max="14100" width="16" style="1340" customWidth="1"/>
    <col min="14101" max="14336" width="11.42578125" style="1340"/>
    <col min="14337" max="14337" width="58.42578125" style="1340" customWidth="1"/>
    <col min="14338" max="14338" width="18" style="1340" customWidth="1"/>
    <col min="14339" max="14339" width="17" style="1340" bestFit="1" customWidth="1"/>
    <col min="14340" max="14340" width="17.5703125" style="1340" bestFit="1" customWidth="1"/>
    <col min="14341" max="14342" width="16.7109375" style="1340" bestFit="1" customWidth="1"/>
    <col min="14343" max="14343" width="16.42578125" style="1340" bestFit="1" customWidth="1"/>
    <col min="14344" max="14345" width="16.7109375" style="1340" bestFit="1" customWidth="1"/>
    <col min="14346" max="14346" width="17.28515625" style="1340" bestFit="1" customWidth="1"/>
    <col min="14347" max="14347" width="17.140625" style="1340" bestFit="1" customWidth="1"/>
    <col min="14348" max="14348" width="17.28515625" style="1340" bestFit="1" customWidth="1"/>
    <col min="14349" max="14349" width="17" style="1340" bestFit="1" customWidth="1"/>
    <col min="14350" max="14350" width="18.7109375" style="1340" bestFit="1" customWidth="1"/>
    <col min="14351" max="14351" width="14.140625" style="1340" bestFit="1" customWidth="1"/>
    <col min="14352" max="14352" width="14" style="1340" customWidth="1"/>
    <col min="14353" max="14353" width="13.5703125" style="1340" customWidth="1"/>
    <col min="14354" max="14355" width="11.42578125" style="1340"/>
    <col min="14356" max="14356" width="16" style="1340" customWidth="1"/>
    <col min="14357" max="14592" width="11.42578125" style="1340"/>
    <col min="14593" max="14593" width="58.42578125" style="1340" customWidth="1"/>
    <col min="14594" max="14594" width="18" style="1340" customWidth="1"/>
    <col min="14595" max="14595" width="17" style="1340" bestFit="1" customWidth="1"/>
    <col min="14596" max="14596" width="17.5703125" style="1340" bestFit="1" customWidth="1"/>
    <col min="14597" max="14598" width="16.7109375" style="1340" bestFit="1" customWidth="1"/>
    <col min="14599" max="14599" width="16.42578125" style="1340" bestFit="1" customWidth="1"/>
    <col min="14600" max="14601" width="16.7109375" style="1340" bestFit="1" customWidth="1"/>
    <col min="14602" max="14602" width="17.28515625" style="1340" bestFit="1" customWidth="1"/>
    <col min="14603" max="14603" width="17.140625" style="1340" bestFit="1" customWidth="1"/>
    <col min="14604" max="14604" width="17.28515625" style="1340" bestFit="1" customWidth="1"/>
    <col min="14605" max="14605" width="17" style="1340" bestFit="1" customWidth="1"/>
    <col min="14606" max="14606" width="18.7109375" style="1340" bestFit="1" customWidth="1"/>
    <col min="14607" max="14607" width="14.140625" style="1340" bestFit="1" customWidth="1"/>
    <col min="14608" max="14608" width="14" style="1340" customWidth="1"/>
    <col min="14609" max="14609" width="13.5703125" style="1340" customWidth="1"/>
    <col min="14610" max="14611" width="11.42578125" style="1340"/>
    <col min="14612" max="14612" width="16" style="1340" customWidth="1"/>
    <col min="14613" max="14848" width="11.42578125" style="1340"/>
    <col min="14849" max="14849" width="58.42578125" style="1340" customWidth="1"/>
    <col min="14850" max="14850" width="18" style="1340" customWidth="1"/>
    <col min="14851" max="14851" width="17" style="1340" bestFit="1" customWidth="1"/>
    <col min="14852" max="14852" width="17.5703125" style="1340" bestFit="1" customWidth="1"/>
    <col min="14853" max="14854" width="16.7109375" style="1340" bestFit="1" customWidth="1"/>
    <col min="14855" max="14855" width="16.42578125" style="1340" bestFit="1" customWidth="1"/>
    <col min="14856" max="14857" width="16.7109375" style="1340" bestFit="1" customWidth="1"/>
    <col min="14858" max="14858" width="17.28515625" style="1340" bestFit="1" customWidth="1"/>
    <col min="14859" max="14859" width="17.140625" style="1340" bestFit="1" customWidth="1"/>
    <col min="14860" max="14860" width="17.28515625" style="1340" bestFit="1" customWidth="1"/>
    <col min="14861" max="14861" width="17" style="1340" bestFit="1" customWidth="1"/>
    <col min="14862" max="14862" width="18.7109375" style="1340" bestFit="1" customWidth="1"/>
    <col min="14863" max="14863" width="14.140625" style="1340" bestFit="1" customWidth="1"/>
    <col min="14864" max="14864" width="14" style="1340" customWidth="1"/>
    <col min="14865" max="14865" width="13.5703125" style="1340" customWidth="1"/>
    <col min="14866" max="14867" width="11.42578125" style="1340"/>
    <col min="14868" max="14868" width="16" style="1340" customWidth="1"/>
    <col min="14869" max="15104" width="11.42578125" style="1340"/>
    <col min="15105" max="15105" width="58.42578125" style="1340" customWidth="1"/>
    <col min="15106" max="15106" width="18" style="1340" customWidth="1"/>
    <col min="15107" max="15107" width="17" style="1340" bestFit="1" customWidth="1"/>
    <col min="15108" max="15108" width="17.5703125" style="1340" bestFit="1" customWidth="1"/>
    <col min="15109" max="15110" width="16.7109375" style="1340" bestFit="1" customWidth="1"/>
    <col min="15111" max="15111" width="16.42578125" style="1340" bestFit="1" customWidth="1"/>
    <col min="15112" max="15113" width="16.7109375" style="1340" bestFit="1" customWidth="1"/>
    <col min="15114" max="15114" width="17.28515625" style="1340" bestFit="1" customWidth="1"/>
    <col min="15115" max="15115" width="17.140625" style="1340" bestFit="1" customWidth="1"/>
    <col min="15116" max="15116" width="17.28515625" style="1340" bestFit="1" customWidth="1"/>
    <col min="15117" max="15117" width="17" style="1340" bestFit="1" customWidth="1"/>
    <col min="15118" max="15118" width="18.7109375" style="1340" bestFit="1" customWidth="1"/>
    <col min="15119" max="15119" width="14.140625" style="1340" bestFit="1" customWidth="1"/>
    <col min="15120" max="15120" width="14" style="1340" customWidth="1"/>
    <col min="15121" max="15121" width="13.5703125" style="1340" customWidth="1"/>
    <col min="15122" max="15123" width="11.42578125" style="1340"/>
    <col min="15124" max="15124" width="16" style="1340" customWidth="1"/>
    <col min="15125" max="15360" width="11.42578125" style="1340"/>
    <col min="15361" max="15361" width="58.42578125" style="1340" customWidth="1"/>
    <col min="15362" max="15362" width="18" style="1340" customWidth="1"/>
    <col min="15363" max="15363" width="17" style="1340" bestFit="1" customWidth="1"/>
    <col min="15364" max="15364" width="17.5703125" style="1340" bestFit="1" customWidth="1"/>
    <col min="15365" max="15366" width="16.7109375" style="1340" bestFit="1" customWidth="1"/>
    <col min="15367" max="15367" width="16.42578125" style="1340" bestFit="1" customWidth="1"/>
    <col min="15368" max="15369" width="16.7109375" style="1340" bestFit="1" customWidth="1"/>
    <col min="15370" max="15370" width="17.28515625" style="1340" bestFit="1" customWidth="1"/>
    <col min="15371" max="15371" width="17.140625" style="1340" bestFit="1" customWidth="1"/>
    <col min="15372" max="15372" width="17.28515625" style="1340" bestFit="1" customWidth="1"/>
    <col min="15373" max="15373" width="17" style="1340" bestFit="1" customWidth="1"/>
    <col min="15374" max="15374" width="18.7109375" style="1340" bestFit="1" customWidth="1"/>
    <col min="15375" max="15375" width="14.140625" style="1340" bestFit="1" customWidth="1"/>
    <col min="15376" max="15376" width="14" style="1340" customWidth="1"/>
    <col min="15377" max="15377" width="13.5703125" style="1340" customWidth="1"/>
    <col min="15378" max="15379" width="11.42578125" style="1340"/>
    <col min="15380" max="15380" width="16" style="1340" customWidth="1"/>
    <col min="15381" max="15616" width="11.42578125" style="1340"/>
    <col min="15617" max="15617" width="58.42578125" style="1340" customWidth="1"/>
    <col min="15618" max="15618" width="18" style="1340" customWidth="1"/>
    <col min="15619" max="15619" width="17" style="1340" bestFit="1" customWidth="1"/>
    <col min="15620" max="15620" width="17.5703125" style="1340" bestFit="1" customWidth="1"/>
    <col min="15621" max="15622" width="16.7109375" style="1340" bestFit="1" customWidth="1"/>
    <col min="15623" max="15623" width="16.42578125" style="1340" bestFit="1" customWidth="1"/>
    <col min="15624" max="15625" width="16.7109375" style="1340" bestFit="1" customWidth="1"/>
    <col min="15626" max="15626" width="17.28515625" style="1340" bestFit="1" customWidth="1"/>
    <col min="15627" max="15627" width="17.140625" style="1340" bestFit="1" customWidth="1"/>
    <col min="15628" max="15628" width="17.28515625" style="1340" bestFit="1" customWidth="1"/>
    <col min="15629" max="15629" width="17" style="1340" bestFit="1" customWidth="1"/>
    <col min="15630" max="15630" width="18.7109375" style="1340" bestFit="1" customWidth="1"/>
    <col min="15631" max="15631" width="14.140625" style="1340" bestFit="1" customWidth="1"/>
    <col min="15632" max="15632" width="14" style="1340" customWidth="1"/>
    <col min="15633" max="15633" width="13.5703125" style="1340" customWidth="1"/>
    <col min="15634" max="15635" width="11.42578125" style="1340"/>
    <col min="15636" max="15636" width="16" style="1340" customWidth="1"/>
    <col min="15637" max="15872" width="11.42578125" style="1340"/>
    <col min="15873" max="15873" width="58.42578125" style="1340" customWidth="1"/>
    <col min="15874" max="15874" width="18" style="1340" customWidth="1"/>
    <col min="15875" max="15875" width="17" style="1340" bestFit="1" customWidth="1"/>
    <col min="15876" max="15876" width="17.5703125" style="1340" bestFit="1" customWidth="1"/>
    <col min="15877" max="15878" width="16.7109375" style="1340" bestFit="1" customWidth="1"/>
    <col min="15879" max="15879" width="16.42578125" style="1340" bestFit="1" customWidth="1"/>
    <col min="15880" max="15881" width="16.7109375" style="1340" bestFit="1" customWidth="1"/>
    <col min="15882" max="15882" width="17.28515625" style="1340" bestFit="1" customWidth="1"/>
    <col min="15883" max="15883" width="17.140625" style="1340" bestFit="1" customWidth="1"/>
    <col min="15884" max="15884" width="17.28515625" style="1340" bestFit="1" customWidth="1"/>
    <col min="15885" max="15885" width="17" style="1340" bestFit="1" customWidth="1"/>
    <col min="15886" max="15886" width="18.7109375" style="1340" bestFit="1" customWidth="1"/>
    <col min="15887" max="15887" width="14.140625" style="1340" bestFit="1" customWidth="1"/>
    <col min="15888" max="15888" width="14" style="1340" customWidth="1"/>
    <col min="15889" max="15889" width="13.5703125" style="1340" customWidth="1"/>
    <col min="15890" max="15891" width="11.42578125" style="1340"/>
    <col min="15892" max="15892" width="16" style="1340" customWidth="1"/>
    <col min="15893" max="16128" width="11.42578125" style="1340"/>
    <col min="16129" max="16129" width="58.42578125" style="1340" customWidth="1"/>
    <col min="16130" max="16130" width="18" style="1340" customWidth="1"/>
    <col min="16131" max="16131" width="17" style="1340" bestFit="1" customWidth="1"/>
    <col min="16132" max="16132" width="17.5703125" style="1340" bestFit="1" customWidth="1"/>
    <col min="16133" max="16134" width="16.7109375" style="1340" bestFit="1" customWidth="1"/>
    <col min="16135" max="16135" width="16.42578125" style="1340" bestFit="1" customWidth="1"/>
    <col min="16136" max="16137" width="16.7109375" style="1340" bestFit="1" customWidth="1"/>
    <col min="16138" max="16138" width="17.28515625" style="1340" bestFit="1" customWidth="1"/>
    <col min="16139" max="16139" width="17.140625" style="1340" bestFit="1" customWidth="1"/>
    <col min="16140" max="16140" width="17.28515625" style="1340" bestFit="1" customWidth="1"/>
    <col min="16141" max="16141" width="17" style="1340" bestFit="1" customWidth="1"/>
    <col min="16142" max="16142" width="18.7109375" style="1340" bestFit="1" customWidth="1"/>
    <col min="16143" max="16143" width="14.140625" style="1340" bestFit="1" customWidth="1"/>
    <col min="16144" max="16144" width="14" style="1340" customWidth="1"/>
    <col min="16145" max="16145" width="13.5703125" style="1340" customWidth="1"/>
    <col min="16146" max="16147" width="11.42578125" style="1340"/>
    <col min="16148" max="16148" width="16" style="1340" customWidth="1"/>
    <col min="16149" max="16384" width="11.42578125" style="1340"/>
  </cols>
  <sheetData>
    <row r="1" spans="1:20" x14ac:dyDescent="0.2">
      <c r="A1" s="1339"/>
      <c r="B1" s="1339"/>
      <c r="C1" s="1339"/>
      <c r="D1" s="1339"/>
      <c r="E1" s="1339"/>
      <c r="F1" s="1339"/>
      <c r="G1" s="1339"/>
      <c r="H1" s="1339"/>
      <c r="I1" s="1339"/>
      <c r="J1" s="1339"/>
      <c r="K1" s="1339"/>
      <c r="L1" s="1339"/>
      <c r="M1" s="1339"/>
      <c r="N1" s="1339"/>
      <c r="T1" s="1340"/>
    </row>
    <row r="2" spans="1:20" ht="25.5" x14ac:dyDescent="0.35">
      <c r="A2" s="1342" t="s">
        <v>10265</v>
      </c>
      <c r="B2" s="1339"/>
      <c r="C2" s="1339"/>
      <c r="D2" s="1339"/>
      <c r="E2" s="1339"/>
      <c r="F2" s="1339"/>
      <c r="G2" s="1339"/>
      <c r="H2" s="1339"/>
      <c r="I2" s="1339"/>
      <c r="J2" s="1339"/>
      <c r="K2" s="1339"/>
      <c r="L2" s="1339"/>
      <c r="M2" s="1339"/>
      <c r="N2" s="1339"/>
      <c r="T2" s="1340"/>
    </row>
    <row r="3" spans="1:20" ht="15.75" x14ac:dyDescent="0.25">
      <c r="A3" s="1343"/>
      <c r="B3" s="1339"/>
      <c r="C3" s="1339"/>
      <c r="D3" s="1339"/>
      <c r="E3" s="1339"/>
      <c r="F3" s="1339"/>
      <c r="G3" s="1339"/>
      <c r="H3" s="1339"/>
      <c r="I3" s="1339"/>
      <c r="J3" s="1339"/>
      <c r="K3" s="1339"/>
      <c r="L3" s="1339"/>
      <c r="M3" s="1339"/>
      <c r="N3" s="1339"/>
      <c r="T3" s="1340"/>
    </row>
    <row r="4" spans="1:20" ht="15.75" x14ac:dyDescent="0.25">
      <c r="A4" s="1344" t="str">
        <f>caratula!B26</f>
        <v>PRESUPUESTO  2014</v>
      </c>
      <c r="B4" s="1339"/>
      <c r="C4" s="1339"/>
      <c r="D4" s="1339"/>
      <c r="E4" s="1339"/>
      <c r="F4" s="1339"/>
      <c r="G4" s="1339"/>
      <c r="H4" s="1339"/>
      <c r="I4" s="1339"/>
      <c r="J4" s="1339"/>
      <c r="K4" s="1339"/>
      <c r="L4" s="1339"/>
      <c r="M4" s="1339"/>
      <c r="N4" s="1339"/>
      <c r="T4" s="1340"/>
    </row>
    <row r="5" spans="1:20" ht="15.75" x14ac:dyDescent="0.25">
      <c r="A5" s="1344" t="s">
        <v>10266</v>
      </c>
      <c r="B5" s="1339"/>
      <c r="C5" s="1339"/>
      <c r="D5" s="1339"/>
      <c r="E5" s="1339"/>
      <c r="F5" s="1339"/>
      <c r="G5" s="1339"/>
      <c r="H5" s="1339"/>
      <c r="I5" s="1339"/>
      <c r="J5" s="1339"/>
      <c r="K5" s="1339"/>
      <c r="L5" s="1339"/>
      <c r="M5" s="1339"/>
      <c r="N5" s="1339"/>
      <c r="T5" s="1340"/>
    </row>
    <row r="6" spans="1:20" ht="16.5" thickBot="1" x14ac:dyDescent="0.3">
      <c r="A6" s="1345" t="s">
        <v>10267</v>
      </c>
      <c r="B6" s="1339"/>
      <c r="C6" s="1339"/>
      <c r="D6" s="1339"/>
      <c r="E6" s="1339"/>
      <c r="F6" s="1339"/>
      <c r="G6" s="1339"/>
      <c r="H6" s="1339"/>
      <c r="I6" s="1339"/>
      <c r="J6" s="1339"/>
      <c r="K6" s="1339"/>
      <c r="L6" s="1339"/>
      <c r="M6" s="1339"/>
      <c r="N6" s="1339"/>
      <c r="O6" s="1027"/>
    </row>
    <row r="7" spans="1:20" ht="13.5" thickTop="1" x14ac:dyDescent="0.2">
      <c r="A7" s="1346"/>
      <c r="B7" s="1347"/>
      <c r="C7" s="1347"/>
      <c r="D7" s="1347"/>
      <c r="E7" s="1347"/>
      <c r="F7" s="1347"/>
      <c r="G7" s="1347"/>
      <c r="H7" s="1347"/>
      <c r="I7" s="1347"/>
      <c r="J7" s="1347"/>
      <c r="K7" s="1347"/>
      <c r="L7" s="1347"/>
      <c r="M7" s="1347"/>
      <c r="N7" s="1348" t="s">
        <v>135</v>
      </c>
      <c r="O7" s="1027"/>
    </row>
    <row r="8" spans="1:20" ht="18" x14ac:dyDescent="0.25">
      <c r="A8" s="1349" t="s">
        <v>5</v>
      </c>
      <c r="B8" s="1350" t="s">
        <v>8</v>
      </c>
      <c r="C8" s="1350" t="s">
        <v>9</v>
      </c>
      <c r="D8" s="1350" t="s">
        <v>10</v>
      </c>
      <c r="E8" s="1350" t="s">
        <v>11</v>
      </c>
      <c r="F8" s="1350" t="s">
        <v>12</v>
      </c>
      <c r="G8" s="1350" t="s">
        <v>13</v>
      </c>
      <c r="H8" s="1350" t="s">
        <v>14</v>
      </c>
      <c r="I8" s="1350" t="s">
        <v>15</v>
      </c>
      <c r="J8" s="1350" t="s">
        <v>16</v>
      </c>
      <c r="K8" s="1350" t="s">
        <v>17</v>
      </c>
      <c r="L8" s="1350" t="s">
        <v>18</v>
      </c>
      <c r="M8" s="1350" t="s">
        <v>19</v>
      </c>
      <c r="N8" s="1351">
        <v>2014</v>
      </c>
      <c r="O8" s="1027"/>
    </row>
    <row r="9" spans="1:20" x14ac:dyDescent="0.2">
      <c r="A9" s="1352"/>
      <c r="B9" s="1353"/>
      <c r="C9" s="1353"/>
      <c r="D9" s="1353"/>
      <c r="E9" s="1353"/>
      <c r="F9" s="1353"/>
      <c r="G9" s="1353"/>
      <c r="H9" s="1353"/>
      <c r="I9" s="1353"/>
      <c r="J9" s="1353"/>
      <c r="K9" s="1353"/>
      <c r="L9" s="1353"/>
      <c r="M9" s="1353"/>
      <c r="N9" s="1354"/>
      <c r="O9" s="1027"/>
    </row>
    <row r="10" spans="1:20" x14ac:dyDescent="0.2">
      <c r="A10" s="1355"/>
      <c r="B10" s="1356"/>
      <c r="C10" s="1356"/>
      <c r="D10" s="1356"/>
      <c r="E10" s="1356"/>
      <c r="F10" s="1356"/>
      <c r="G10" s="1356"/>
      <c r="H10" s="1356"/>
      <c r="I10" s="1356"/>
      <c r="J10" s="1356"/>
      <c r="K10" s="1356"/>
      <c r="L10" s="1356"/>
      <c r="M10" s="1356"/>
      <c r="N10" s="1357"/>
      <c r="O10" s="1027"/>
    </row>
    <row r="11" spans="1:20" x14ac:dyDescent="0.2">
      <c r="A11" s="1358" t="s">
        <v>10268</v>
      </c>
      <c r="B11" s="1356"/>
      <c r="C11" s="1356"/>
      <c r="D11" s="1356"/>
      <c r="E11" s="1356"/>
      <c r="F11" s="1356"/>
      <c r="G11" s="1356"/>
      <c r="H11" s="1356"/>
      <c r="I11" s="1356"/>
      <c r="J11" s="1356"/>
      <c r="K11" s="1356"/>
      <c r="L11" s="1356"/>
      <c r="M11" s="1356"/>
      <c r="N11" s="1357"/>
      <c r="O11" s="1027"/>
    </row>
    <row r="12" spans="1:20" x14ac:dyDescent="0.2">
      <c r="A12" s="1355"/>
      <c r="B12" s="1356"/>
      <c r="C12" s="1356"/>
      <c r="D12" s="1356"/>
      <c r="E12" s="1356"/>
      <c r="F12" s="1356"/>
      <c r="G12" s="1356"/>
      <c r="H12" s="1356"/>
      <c r="I12" s="1356"/>
      <c r="J12" s="1356"/>
      <c r="K12" s="1356"/>
      <c r="L12" s="1356"/>
      <c r="M12" s="1356"/>
      <c r="N12" s="1357"/>
      <c r="O12" s="1027"/>
    </row>
    <row r="13" spans="1:20" x14ac:dyDescent="0.2">
      <c r="A13" s="1358" t="s">
        <v>10269</v>
      </c>
      <c r="B13" s="1356"/>
      <c r="C13" s="1356"/>
      <c r="D13" s="1356"/>
      <c r="E13" s="1356"/>
      <c r="F13" s="1356"/>
      <c r="G13" s="1356"/>
      <c r="H13" s="1356"/>
      <c r="I13" s="1356"/>
      <c r="J13" s="1356"/>
      <c r="K13" s="1356"/>
      <c r="L13" s="1356"/>
      <c r="M13" s="1356"/>
      <c r="N13" s="1357"/>
      <c r="O13" s="1027"/>
    </row>
    <row r="14" spans="1:20" x14ac:dyDescent="0.2">
      <c r="A14" s="1355"/>
      <c r="B14" s="1359">
        <v>0</v>
      </c>
      <c r="C14" s="1359">
        <v>0</v>
      </c>
      <c r="D14" s="1359">
        <f t="shared" ref="D14:M14" si="0">+C14</f>
        <v>0</v>
      </c>
      <c r="E14" s="1359">
        <f t="shared" si="0"/>
        <v>0</v>
      </c>
      <c r="F14" s="1359">
        <f t="shared" si="0"/>
        <v>0</v>
      </c>
      <c r="G14" s="1359">
        <f t="shared" si="0"/>
        <v>0</v>
      </c>
      <c r="H14" s="1359">
        <f t="shared" si="0"/>
        <v>0</v>
      </c>
      <c r="I14" s="1359">
        <f t="shared" si="0"/>
        <v>0</v>
      </c>
      <c r="J14" s="1359">
        <f t="shared" si="0"/>
        <v>0</v>
      </c>
      <c r="K14" s="1359">
        <f t="shared" si="0"/>
        <v>0</v>
      </c>
      <c r="L14" s="1359">
        <f t="shared" si="0"/>
        <v>0</v>
      </c>
      <c r="M14" s="1359">
        <f t="shared" si="0"/>
        <v>0</v>
      </c>
      <c r="N14" s="1360">
        <f>SUM(B14:M14)</f>
        <v>0</v>
      </c>
      <c r="O14" s="1361" t="s">
        <v>10270</v>
      </c>
    </row>
    <row r="15" spans="1:20" x14ac:dyDescent="0.2">
      <c r="A15" s="1355" t="s">
        <v>10271</v>
      </c>
      <c r="B15" s="1013">
        <f t="shared" ref="B15:M15" si="1">C100</f>
        <v>1033178.5489481969</v>
      </c>
      <c r="C15" s="1013">
        <f t="shared" si="1"/>
        <v>1434342.2077636868</v>
      </c>
      <c r="D15" s="1013">
        <f t="shared" si="1"/>
        <v>2368875.8990723779</v>
      </c>
      <c r="E15" s="1013">
        <f t="shared" si="1"/>
        <v>2515797.0404310194</v>
      </c>
      <c r="F15" s="1013">
        <f t="shared" si="1"/>
        <v>3002077.2102611894</v>
      </c>
      <c r="G15" s="1013">
        <f t="shared" si="1"/>
        <v>3867471.5409305189</v>
      </c>
      <c r="H15" s="1013">
        <f t="shared" si="1"/>
        <v>3790842.0828885618</v>
      </c>
      <c r="I15" s="1013">
        <f t="shared" si="1"/>
        <v>3976942.1952761742</v>
      </c>
      <c r="J15" s="1013">
        <f t="shared" si="1"/>
        <v>3867471.5409305189</v>
      </c>
      <c r="K15" s="1013">
        <f t="shared" si="1"/>
        <v>3790842.0828885618</v>
      </c>
      <c r="L15" s="1013">
        <f t="shared" si="1"/>
        <v>3955048.0644070432</v>
      </c>
      <c r="M15" s="1013">
        <f t="shared" si="1"/>
        <v>3681371.4285429078</v>
      </c>
      <c r="N15" s="1360">
        <f>SUM(B15:M15)</f>
        <v>37284259.84234076</v>
      </c>
      <c r="O15" s="1361" t="s">
        <v>10270</v>
      </c>
    </row>
    <row r="16" spans="1:20" x14ac:dyDescent="0.2">
      <c r="A16" s="1355" t="s">
        <v>10272</v>
      </c>
      <c r="B16" s="1359">
        <f t="shared" ref="B16:M16" si="2">C107</f>
        <v>12692519.264402214</v>
      </c>
      <c r="C16" s="1359">
        <f t="shared" si="2"/>
        <v>30120189.755359452</v>
      </c>
      <c r="D16" s="1359">
        <f t="shared" si="2"/>
        <v>25846712.496836178</v>
      </c>
      <c r="E16" s="1359">
        <f t="shared" si="2"/>
        <v>27118004.254301287</v>
      </c>
      <c r="F16" s="1359">
        <f t="shared" si="2"/>
        <v>26866879.829542298</v>
      </c>
      <c r="G16" s="1359">
        <f t="shared" si="2"/>
        <v>26663213.572128683</v>
      </c>
      <c r="H16" s="1359">
        <f t="shared" si="2"/>
        <v>28526022.077751048</v>
      </c>
      <c r="I16" s="1359">
        <f t="shared" si="2"/>
        <v>28883970.921205368</v>
      </c>
      <c r="J16" s="1359">
        <f t="shared" si="2"/>
        <v>26391624.716433495</v>
      </c>
      <c r="K16" s="1359">
        <f t="shared" si="2"/>
        <v>30581152.050578322</v>
      </c>
      <c r="L16" s="1359">
        <f t="shared" si="2"/>
        <v>30249927.567441292</v>
      </c>
      <c r="M16" s="1359">
        <f t="shared" si="2"/>
        <v>29155991.975609049</v>
      </c>
      <c r="N16" s="1360">
        <f>SUM(B16:M16)</f>
        <v>323096208.48158872</v>
      </c>
      <c r="O16" s="1361" t="s">
        <v>10270</v>
      </c>
    </row>
    <row r="17" spans="1:21" x14ac:dyDescent="0.2">
      <c r="A17" s="1355" t="s">
        <v>10273</v>
      </c>
      <c r="B17" s="1359">
        <f>'Productos financieros 2014'!B11</f>
        <v>110763.62</v>
      </c>
      <c r="C17" s="1359">
        <f>'Productos financieros 2014'!C11</f>
        <v>110572.75</v>
      </c>
      <c r="D17" s="1359">
        <f>'Productos financieros 2014'!D11</f>
        <v>99031.92</v>
      </c>
      <c r="E17" s="1359">
        <f>'Productos financieros 2014'!E11</f>
        <v>86883.959999999992</v>
      </c>
      <c r="F17" s="1359">
        <f>'Productos financieros 2014'!F11</f>
        <v>116113.72</v>
      </c>
      <c r="G17" s="1359">
        <f>'Productos financieros 2014'!G11</f>
        <v>66401.819999999992</v>
      </c>
      <c r="H17" s="1359">
        <f>'Productos financieros 2014'!H11</f>
        <v>107250.06</v>
      </c>
      <c r="I17" s="1359">
        <f>'Productos financieros 2014'!I11</f>
        <v>86248.11</v>
      </c>
      <c r="J17" s="1359">
        <f>'Productos financieros 2014'!J11</f>
        <v>63629.86</v>
      </c>
      <c r="K17" s="1359">
        <f>'Productos financieros 2014'!K11</f>
        <v>76485.450000000012</v>
      </c>
      <c r="L17" s="1359">
        <f>'Productos financieros 2014'!L11</f>
        <v>103619.29</v>
      </c>
      <c r="M17" s="1359">
        <f>'Productos financieros 2014'!M11</f>
        <v>103619.29</v>
      </c>
      <c r="N17" s="1360">
        <f>SUM(B17:M17)</f>
        <v>1130619.8499999999</v>
      </c>
      <c r="O17" s="1361"/>
    </row>
    <row r="18" spans="1:21" x14ac:dyDescent="0.2">
      <c r="A18" s="1355" t="s">
        <v>10274</v>
      </c>
      <c r="B18" s="1359">
        <f>'Otros Gastos y Productos'!C16</f>
        <v>88447.44</v>
      </c>
      <c r="C18" s="1359">
        <f>'Otros Gastos y Productos'!D16</f>
        <v>88447.44</v>
      </c>
      <c r="D18" s="1359">
        <f>'Otros Gastos y Productos'!E16</f>
        <v>4838447.4400000004</v>
      </c>
      <c r="E18" s="1359">
        <f>'Otros Gastos y Productos'!F16</f>
        <v>88447.44</v>
      </c>
      <c r="F18" s="1359">
        <f>'Otros Gastos y Productos'!G16</f>
        <v>88447.44</v>
      </c>
      <c r="G18" s="1359">
        <f>'Otros Gastos y Productos'!H16</f>
        <v>88447.44</v>
      </c>
      <c r="H18" s="1359">
        <f>'Otros Gastos y Productos'!I16</f>
        <v>88447.44</v>
      </c>
      <c r="I18" s="1359">
        <f>'Otros Gastos y Productos'!J16</f>
        <v>188870.44</v>
      </c>
      <c r="J18" s="1359">
        <f>'Otros Gastos y Productos'!K16</f>
        <v>4854317.4400000004</v>
      </c>
      <c r="K18" s="1359">
        <f>'Otros Gastos y Productos'!L16</f>
        <v>88447.44</v>
      </c>
      <c r="L18" s="1359">
        <f>'Otros Gastos y Productos'!M16</f>
        <v>88447.44</v>
      </c>
      <c r="M18" s="1359">
        <f>'Otros Gastos y Productos'!N16</f>
        <v>88447.44</v>
      </c>
      <c r="N18" s="1360">
        <f>SUM(B18:M18)</f>
        <v>10677662.280000001</v>
      </c>
      <c r="O18" s="1361"/>
    </row>
    <row r="19" spans="1:21" s="1341" customFormat="1" x14ac:dyDescent="0.2">
      <c r="A19" s="1355"/>
      <c r="B19" s="1359"/>
      <c r="C19" s="1359"/>
      <c r="D19" s="1359"/>
      <c r="E19" s="1359"/>
      <c r="F19" s="1359"/>
      <c r="G19" s="1359"/>
      <c r="H19" s="1359"/>
      <c r="I19" s="1359"/>
      <c r="J19" s="1359"/>
      <c r="K19" s="1359"/>
      <c r="L19" s="1359"/>
      <c r="M19" s="1359"/>
      <c r="N19" s="1360"/>
      <c r="O19" s="1361"/>
      <c r="Q19" s="1340"/>
      <c r="R19" s="1340"/>
      <c r="T19" s="1339"/>
      <c r="U19" s="1340"/>
    </row>
    <row r="20" spans="1:21" s="1341" customFormat="1" ht="12" customHeight="1" x14ac:dyDescent="0.2">
      <c r="A20" s="1355"/>
      <c r="B20" s="1359"/>
      <c r="C20" s="1359"/>
      <c r="D20" s="1359"/>
      <c r="E20" s="1359"/>
      <c r="F20" s="1359"/>
      <c r="G20" s="1359"/>
      <c r="H20" s="1359"/>
      <c r="I20" s="1359"/>
      <c r="J20" s="1359"/>
      <c r="K20" s="1359"/>
      <c r="L20" s="1359"/>
      <c r="M20" s="1359"/>
      <c r="N20" s="1360"/>
      <c r="O20" s="1361" t="s">
        <v>10270</v>
      </c>
      <c r="Q20" s="1340"/>
      <c r="R20" s="1340"/>
      <c r="T20" s="1339"/>
      <c r="U20" s="1340"/>
    </row>
    <row r="21" spans="1:21" s="1341" customFormat="1" x14ac:dyDescent="0.2">
      <c r="A21" s="1358" t="s">
        <v>10275</v>
      </c>
      <c r="B21" s="1362">
        <f t="shared" ref="B21:N21" si="3">SUM(B14:B20)</f>
        <v>13924908.87335041</v>
      </c>
      <c r="C21" s="1362">
        <f t="shared" si="3"/>
        <v>31753552.15312314</v>
      </c>
      <c r="D21" s="1362">
        <f t="shared" si="3"/>
        <v>33153067.75590856</v>
      </c>
      <c r="E21" s="1362">
        <f t="shared" si="3"/>
        <v>29809132.694732308</v>
      </c>
      <c r="F21" s="1362">
        <f t="shared" si="3"/>
        <v>30073518.199803486</v>
      </c>
      <c r="G21" s="1362">
        <f t="shared" si="3"/>
        <v>30685534.373059202</v>
      </c>
      <c r="H21" s="1362">
        <f t="shared" si="3"/>
        <v>32512561.66063961</v>
      </c>
      <c r="I21" s="1362">
        <f t="shared" si="3"/>
        <v>33136031.666481543</v>
      </c>
      <c r="J21" s="1362">
        <f t="shared" si="3"/>
        <v>35177043.557364009</v>
      </c>
      <c r="K21" s="1362">
        <f t="shared" si="3"/>
        <v>34536927.023466885</v>
      </c>
      <c r="L21" s="1362">
        <f t="shared" si="3"/>
        <v>34397042.361848332</v>
      </c>
      <c r="M21" s="1362">
        <f t="shared" si="3"/>
        <v>33029430.134151958</v>
      </c>
      <c r="N21" s="1363">
        <f t="shared" si="3"/>
        <v>372188750.45392954</v>
      </c>
      <c r="O21" s="1361" t="s">
        <v>10270</v>
      </c>
      <c r="Q21" s="1340"/>
      <c r="R21" s="1340"/>
      <c r="S21" s="1341">
        <f ca="1">SUM(B21:OFFSET(B21,0,[0]!MESACUMULADO-1))</f>
        <v>138714179.67691791</v>
      </c>
      <c r="T21" s="1339"/>
      <c r="U21" s="1340"/>
    </row>
    <row r="22" spans="1:21" s="1341" customFormat="1" x14ac:dyDescent="0.2">
      <c r="A22" s="1355"/>
      <c r="B22" s="1359"/>
      <c r="C22" s="1359"/>
      <c r="D22" s="1359"/>
      <c r="E22" s="1359"/>
      <c r="F22" s="1359"/>
      <c r="G22" s="1359"/>
      <c r="H22" s="1359"/>
      <c r="I22" s="1359"/>
      <c r="J22" s="1359"/>
      <c r="K22" s="1359"/>
      <c r="L22" s="1359"/>
      <c r="M22" s="1359"/>
      <c r="N22" s="1364"/>
      <c r="O22" s="1361" t="s">
        <v>10270</v>
      </c>
      <c r="Q22" s="1340"/>
      <c r="R22" s="1340"/>
      <c r="T22" s="1339"/>
      <c r="U22" s="1340"/>
    </row>
    <row r="23" spans="1:21" s="1341" customFormat="1" x14ac:dyDescent="0.2">
      <c r="A23" s="1358" t="s">
        <v>10276</v>
      </c>
      <c r="B23" s="1359"/>
      <c r="C23" s="1359"/>
      <c r="D23" s="1359"/>
      <c r="E23" s="1359"/>
      <c r="F23" s="1359"/>
      <c r="G23" s="1359"/>
      <c r="H23" s="1359"/>
      <c r="I23" s="1359"/>
      <c r="J23" s="1359"/>
      <c r="K23" s="1359"/>
      <c r="L23" s="1359"/>
      <c r="M23" s="1359"/>
      <c r="N23" s="1360"/>
      <c r="O23" s="1361" t="s">
        <v>10270</v>
      </c>
      <c r="Q23" s="1340"/>
      <c r="R23" s="1340"/>
      <c r="T23" s="1339"/>
      <c r="U23" s="1340"/>
    </row>
    <row r="24" spans="1:21" s="1341" customFormat="1" x14ac:dyDescent="0.2">
      <c r="A24" s="1355"/>
      <c r="B24" s="1359"/>
      <c r="C24" s="1359"/>
      <c r="D24" s="1359"/>
      <c r="E24" s="1359"/>
      <c r="F24" s="1359"/>
      <c r="G24" s="1359"/>
      <c r="H24" s="1359"/>
      <c r="I24" s="1359"/>
      <c r="J24" s="1359"/>
      <c r="K24" s="1359"/>
      <c r="L24" s="1359"/>
      <c r="M24" s="1359"/>
      <c r="N24" s="1360"/>
      <c r="O24" s="1361" t="s">
        <v>10270</v>
      </c>
      <c r="Q24" s="1340"/>
      <c r="R24" s="1340"/>
      <c r="T24" s="1339"/>
      <c r="U24" s="1340"/>
    </row>
    <row r="25" spans="1:21" s="1341" customFormat="1" x14ac:dyDescent="0.2">
      <c r="A25" s="1355" t="s">
        <v>10277</v>
      </c>
      <c r="B25" s="1359">
        <f>Edo.Res.detalle!D26+Edo.Res.detalle!D29</f>
        <v>16120214.656546626</v>
      </c>
      <c r="C25" s="1359">
        <f>Edo.Res.detalle!E26+Edo.Res.detalle!E29</f>
        <v>16810886.89001013</v>
      </c>
      <c r="D25" s="1359">
        <f>Edo.Res.detalle!F26+Edo.Res.detalle!F29</f>
        <v>17464694.832295824</v>
      </c>
      <c r="E25" s="1359">
        <f>Edo.Res.detalle!G26+Edo.Res.detalle!G29</f>
        <v>18716614.494561084</v>
      </c>
      <c r="F25" s="1359">
        <f>Edo.Res.detalle!H26+Edo.Res.detalle!H29</f>
        <v>19236022.420568231</v>
      </c>
      <c r="G25" s="1359">
        <f>Edo.Res.detalle!I26+Edo.Res.detalle!I29</f>
        <v>19262420.636529207</v>
      </c>
      <c r="H25" s="1359">
        <f>Edo.Res.detalle!J26+Edo.Res.detalle!J29</f>
        <v>20403346.077610955</v>
      </c>
      <c r="I25" s="1359">
        <f>Edo.Res.detalle!K26+Edo.Res.detalle!K29</f>
        <v>20214358.627472747</v>
      </c>
      <c r="J25" s="1359">
        <f>Edo.Res.detalle!L26+Edo.Res.detalle!L29</f>
        <v>18623280.396304686</v>
      </c>
      <c r="K25" s="1359">
        <f>Edo.Res.detalle!M26+Edo.Res.detalle!M29</f>
        <v>22251192.756162979</v>
      </c>
      <c r="L25" s="1359">
        <f>Edo.Res.detalle!N26+Edo.Res.detalle!N29</f>
        <v>20401604.604434818</v>
      </c>
      <c r="M25" s="1359">
        <f>Edo.Res.detalle!O26+Edo.Res.detalle!O29</f>
        <v>20767136.339870919</v>
      </c>
      <c r="N25" s="1360">
        <f>SUM(B25:M25)</f>
        <v>230271772.7323682</v>
      </c>
      <c r="O25" s="1361" t="s">
        <v>10270</v>
      </c>
      <c r="Q25" s="1340"/>
      <c r="R25" s="1340"/>
      <c r="T25" s="1339"/>
      <c r="U25" s="1340"/>
    </row>
    <row r="26" spans="1:21" s="1341" customFormat="1" x14ac:dyDescent="0.2">
      <c r="A26" s="1355" t="s">
        <v>10278</v>
      </c>
      <c r="B26" s="1359">
        <f>Edo.Res.detalle!D25+Edo.Res.detalle!D28</f>
        <v>2657645.7327017393</v>
      </c>
      <c r="C26" s="1359">
        <f>Edo.Res.detalle!E25+Edo.Res.detalle!E28</f>
        <v>2854785.4082339741</v>
      </c>
      <c r="D26" s="1359">
        <f>Edo.Res.detalle!F25+Edo.Res.detalle!F28</f>
        <v>2732311.672391382</v>
      </c>
      <c r="E26" s="1359">
        <f>Edo.Res.detalle!G25+Edo.Res.detalle!G28</f>
        <v>2763780.8695444865</v>
      </c>
      <c r="F26" s="1359">
        <f>Edo.Res.detalle!H25+Edo.Res.detalle!H28</f>
        <v>2589930.9381417627</v>
      </c>
      <c r="G26" s="1359">
        <f>Edo.Res.detalle!I25+Edo.Res.detalle!I28</f>
        <v>2584110.3752030833</v>
      </c>
      <c r="H26" s="1359">
        <f>Edo.Res.detalle!J25+Edo.Res.detalle!J28</f>
        <v>2606684.5814879723</v>
      </c>
      <c r="I26" s="1359">
        <f>Edo.Res.detalle!K25+Edo.Res.detalle!K28</f>
        <v>2641045.5614240444</v>
      </c>
      <c r="J26" s="1359">
        <f>Edo.Res.detalle!L25+Edo.Res.detalle!L28</f>
        <v>2588288.9749473399</v>
      </c>
      <c r="K26" s="1359">
        <f>Edo.Res.detalle!M25+Edo.Res.detalle!M28</f>
        <v>2599249.3647395046</v>
      </c>
      <c r="L26" s="1359">
        <f>Edo.Res.detalle!N25+Edo.Res.detalle!N28</f>
        <v>2514999.6391678206</v>
      </c>
      <c r="M26" s="1359">
        <f>Edo.Res.detalle!O25+Edo.Res.detalle!O28</f>
        <v>2528818.9642563476</v>
      </c>
      <c r="N26" s="1360">
        <f>SUM(B26:M26)</f>
        <v>31661652.082239453</v>
      </c>
      <c r="O26" s="1361" t="s">
        <v>10270</v>
      </c>
      <c r="Q26" s="1340"/>
      <c r="R26" s="1340"/>
      <c r="T26" s="1339"/>
      <c r="U26" s="1340"/>
    </row>
    <row r="27" spans="1:21" s="1341" customFormat="1" x14ac:dyDescent="0.2">
      <c r="A27" s="1355" t="s">
        <v>10279</v>
      </c>
      <c r="B27" s="1359">
        <f>Edo.Res.detalle!D37</f>
        <v>3178138.5</v>
      </c>
      <c r="C27" s="1359">
        <f>Edo.Res.detalle!E37</f>
        <v>3302947.4560114723</v>
      </c>
      <c r="D27" s="1359">
        <f>Edo.Res.detalle!F37</f>
        <v>3277947.4560114723</v>
      </c>
      <c r="E27" s="1359">
        <f>Edo.Res.detalle!G37</f>
        <v>3277947.4560114723</v>
      </c>
      <c r="F27" s="1359">
        <f>Edo.Res.detalle!H37</f>
        <v>3277947.4560114723</v>
      </c>
      <c r="G27" s="1359">
        <f>Edo.Res.detalle!I37</f>
        <v>3277947.4560114723</v>
      </c>
      <c r="H27" s="1359">
        <f>Edo.Res.detalle!J37</f>
        <v>3277947.4560114723</v>
      </c>
      <c r="I27" s="1359">
        <f>Edo.Res.detalle!K37</f>
        <v>3277947.4560114723</v>
      </c>
      <c r="J27" s="1359">
        <f>Edo.Res.detalle!L37</f>
        <v>3277947.4560114723</v>
      </c>
      <c r="K27" s="1359">
        <f>Edo.Res.detalle!M37</f>
        <v>3277947.4560114723</v>
      </c>
      <c r="L27" s="1359">
        <f>Edo.Res.detalle!N37</f>
        <v>3277947.4560114723</v>
      </c>
      <c r="M27" s="1359">
        <f>Edo.Res.detalle!O37</f>
        <v>3277947.4560114723</v>
      </c>
      <c r="N27" s="1360">
        <f>SUM(B27:M27)</f>
        <v>39260560.516126208</v>
      </c>
      <c r="O27" s="1361" t="s">
        <v>10270</v>
      </c>
      <c r="Q27" s="1340"/>
      <c r="R27" s="1340"/>
      <c r="T27" s="1339"/>
      <c r="U27" s="1340"/>
    </row>
    <row r="28" spans="1:21" s="1341" customFormat="1" x14ac:dyDescent="0.2">
      <c r="A28" s="1355"/>
      <c r="B28" s="1359"/>
      <c r="C28" s="1359"/>
      <c r="D28" s="1359"/>
      <c r="E28" s="1359"/>
      <c r="F28" s="1359"/>
      <c r="G28" s="1359"/>
      <c r="H28" s="1359"/>
      <c r="I28" s="1359"/>
      <c r="J28" s="1359"/>
      <c r="K28" s="1359"/>
      <c r="L28" s="1359"/>
      <c r="M28" s="1359"/>
      <c r="N28" s="1360"/>
      <c r="O28" s="1361" t="s">
        <v>10270</v>
      </c>
      <c r="Q28" s="1340"/>
      <c r="R28" s="1340"/>
      <c r="T28" s="1339"/>
      <c r="U28" s="1340"/>
    </row>
    <row r="29" spans="1:21" s="1341" customFormat="1" x14ac:dyDescent="0.2">
      <c r="A29" s="1355"/>
      <c r="B29" s="1359"/>
      <c r="C29" s="1359"/>
      <c r="D29" s="1359"/>
      <c r="E29" s="1359"/>
      <c r="F29" s="1359"/>
      <c r="G29" s="1359"/>
      <c r="H29" s="1359"/>
      <c r="I29" s="1359"/>
      <c r="J29" s="1359"/>
      <c r="K29" s="1359"/>
      <c r="L29" s="1359"/>
      <c r="M29" s="1359"/>
      <c r="N29" s="1360">
        <f>SUM(B29:M29)</f>
        <v>0</v>
      </c>
      <c r="O29" s="1361" t="s">
        <v>10270</v>
      </c>
      <c r="Q29" s="1340"/>
      <c r="R29" s="1340"/>
      <c r="T29" s="1339"/>
      <c r="U29" s="1340"/>
    </row>
    <row r="30" spans="1:21" s="1341" customFormat="1" x14ac:dyDescent="0.2">
      <c r="A30" s="1355" t="s">
        <v>10280</v>
      </c>
      <c r="B30" s="1013">
        <v>88547</v>
      </c>
      <c r="C30" s="1013">
        <v>65159</v>
      </c>
      <c r="D30" s="1013">
        <v>67082</v>
      </c>
      <c r="E30" s="1013">
        <v>77454</v>
      </c>
      <c r="F30" s="1013">
        <v>86549</v>
      </c>
      <c r="G30" s="1013">
        <v>108882</v>
      </c>
      <c r="H30" s="1013">
        <v>77144</v>
      </c>
      <c r="I30" s="1013">
        <v>77144</v>
      </c>
      <c r="J30" s="1013">
        <v>77144</v>
      </c>
      <c r="K30" s="1013">
        <v>77144</v>
      </c>
      <c r="L30" s="1013">
        <v>77144</v>
      </c>
      <c r="M30" s="1013">
        <v>77144</v>
      </c>
      <c r="N30" s="1360">
        <f>SUM(B30:M30)</f>
        <v>956537</v>
      </c>
      <c r="O30" s="1361" t="s">
        <v>10270</v>
      </c>
      <c r="Q30" s="1340"/>
      <c r="R30" s="1340"/>
      <c r="T30" s="1339"/>
      <c r="U30" s="1340"/>
    </row>
    <row r="31" spans="1:21" s="1341" customFormat="1" x14ac:dyDescent="0.2">
      <c r="A31" s="1355" t="s">
        <v>10281</v>
      </c>
      <c r="B31" s="1359">
        <v>1428475</v>
      </c>
      <c r="C31" s="1359">
        <v>614000</v>
      </c>
      <c r="D31" s="1359">
        <f>590000-84207</f>
        <v>505793</v>
      </c>
      <c r="E31" s="1359">
        <v>770000</v>
      </c>
      <c r="F31" s="1359">
        <v>654000</v>
      </c>
      <c r="G31" s="1359">
        <f>3281115.8780505*0.2+770000-104600</f>
        <v>1321623.1756100999</v>
      </c>
      <c r="H31" s="1359">
        <v>736000</v>
      </c>
      <c r="I31" s="1359">
        <f>851000-100000</f>
        <v>751000</v>
      </c>
      <c r="J31" s="1359">
        <v>649661</v>
      </c>
      <c r="K31" s="1359">
        <v>649000</v>
      </c>
      <c r="L31" s="1359">
        <v>649000</v>
      </c>
      <c r="M31" s="1359">
        <v>649000</v>
      </c>
      <c r="N31" s="1360">
        <f>SUM(B31:M31)</f>
        <v>9377552.175610099</v>
      </c>
      <c r="O31" s="1361" t="s">
        <v>10270</v>
      </c>
      <c r="Q31" s="1340"/>
      <c r="R31" s="1340"/>
      <c r="T31" s="1339"/>
      <c r="U31" s="1340"/>
    </row>
    <row r="32" spans="1:21" s="1341" customFormat="1" x14ac:dyDescent="0.2">
      <c r="A32" s="1355" t="s">
        <v>10282</v>
      </c>
      <c r="B32" s="1359"/>
      <c r="C32" s="1359"/>
      <c r="D32" s="1359"/>
      <c r="E32" s="1359"/>
      <c r="F32" s="1359">
        <f>3281115.8780505*0.8</f>
        <v>2624892.7024404001</v>
      </c>
      <c r="G32" s="1359"/>
      <c r="H32" s="1359"/>
      <c r="I32" s="1359"/>
      <c r="J32" s="1359"/>
      <c r="K32" s="1359"/>
      <c r="L32" s="1359"/>
      <c r="M32" s="1359"/>
      <c r="N32" s="1360">
        <f>SUM(B32:M32)</f>
        <v>2624892.7024404001</v>
      </c>
      <c r="O32" s="1361" t="s">
        <v>10270</v>
      </c>
      <c r="Q32" s="1340"/>
      <c r="R32" s="1340"/>
      <c r="T32" s="1339"/>
      <c r="U32" s="1340"/>
    </row>
    <row r="33" spans="1:21" s="1341" customFormat="1" x14ac:dyDescent="0.2">
      <c r="A33" s="1355" t="s">
        <v>10283</v>
      </c>
      <c r="B33" s="1359"/>
      <c r="C33" s="1359">
        <f>'[10]ISR VALORES'!E$51</f>
        <v>0</v>
      </c>
      <c r="D33" s="1359">
        <f>'[10]ISR VALORES'!F$51</f>
        <v>0</v>
      </c>
      <c r="E33" s="1359">
        <f>'[10]ISR VALORES'!G$51</f>
        <v>447128.37300578924</v>
      </c>
      <c r="F33" s="1359">
        <f>'[10]ISR VALORES'!H$51</f>
        <v>0</v>
      </c>
      <c r="G33" s="1359">
        <f>'[10]ISR VALORES'!I$51</f>
        <v>0</v>
      </c>
      <c r="H33" s="1359">
        <f>'[10]ISR VALORES'!J$51</f>
        <v>0</v>
      </c>
      <c r="I33" s="1359">
        <f>'[10]ISR VALORES'!K$51</f>
        <v>0</v>
      </c>
      <c r="J33" s="1359">
        <f>'[10]ISR VALORES'!L$51</f>
        <v>0</v>
      </c>
      <c r="K33" s="1359">
        <f>'[10]ISR VALORES'!M$51</f>
        <v>1171216.3633835209</v>
      </c>
      <c r="L33" s="1359">
        <f>'[10]ISR VALORES'!N$51</f>
        <v>644015.82252035569</v>
      </c>
      <c r="M33" s="1359">
        <f>'[10]ISR VALORES'!O$51</f>
        <v>848854.33586236648</v>
      </c>
      <c r="N33" s="1360">
        <f>SUM(B33:M33)</f>
        <v>3111214.8947720323</v>
      </c>
      <c r="O33" s="1361" t="s">
        <v>10270</v>
      </c>
      <c r="Q33" s="1340"/>
      <c r="R33" s="1340"/>
      <c r="T33" s="1339"/>
      <c r="U33" s="1340"/>
    </row>
    <row r="34" spans="1:21" s="1341" customFormat="1" x14ac:dyDescent="0.2">
      <c r="A34" s="1355"/>
      <c r="B34" s="1359"/>
      <c r="C34" s="1359"/>
      <c r="D34" s="1359"/>
      <c r="E34" s="1359"/>
      <c r="F34" s="1359"/>
      <c r="G34" s="1359"/>
      <c r="H34" s="1359"/>
      <c r="I34" s="1359"/>
      <c r="J34" s="1359"/>
      <c r="K34" s="1359"/>
      <c r="L34" s="1359"/>
      <c r="M34" s="1359"/>
      <c r="N34" s="1360"/>
      <c r="O34" s="1361" t="s">
        <v>10270</v>
      </c>
      <c r="Q34" s="1340"/>
      <c r="R34" s="1340"/>
      <c r="T34" s="1339"/>
      <c r="U34" s="1340"/>
    </row>
    <row r="35" spans="1:21" x14ac:dyDescent="0.2">
      <c r="A35" s="1355"/>
      <c r="B35" s="1359"/>
      <c r="C35" s="1359"/>
      <c r="D35" s="1359"/>
      <c r="E35" s="1359"/>
      <c r="F35" s="1359"/>
      <c r="G35" s="1359"/>
      <c r="H35" s="1359"/>
      <c r="I35" s="1359"/>
      <c r="J35" s="1359"/>
      <c r="K35" s="1359"/>
      <c r="L35" s="1359"/>
      <c r="M35" s="1359"/>
      <c r="N35" s="1360"/>
      <c r="O35" s="1361" t="s">
        <v>10270</v>
      </c>
      <c r="P35" s="1365"/>
    </row>
    <row r="36" spans="1:21" x14ac:dyDescent="0.2">
      <c r="A36" s="1355"/>
      <c r="B36" s="1359">
        <v>0</v>
      </c>
      <c r="C36" s="1359"/>
      <c r="D36" s="1359"/>
      <c r="E36" s="1359"/>
      <c r="F36" s="1359"/>
      <c r="G36" s="1359"/>
      <c r="H36" s="1359"/>
      <c r="I36" s="1359"/>
      <c r="J36" s="1359"/>
      <c r="K36" s="1359"/>
      <c r="L36" s="1359"/>
      <c r="M36" s="1359"/>
      <c r="N36" s="1360"/>
      <c r="O36" s="1361" t="s">
        <v>10270</v>
      </c>
    </row>
    <row r="37" spans="1:21" x14ac:dyDescent="0.2">
      <c r="A37" s="1355"/>
      <c r="B37" s="1359"/>
      <c r="C37" s="1359"/>
      <c r="D37" s="1359"/>
      <c r="E37" s="1359"/>
      <c r="F37" s="1359"/>
      <c r="G37" s="1359"/>
      <c r="H37" s="1359"/>
      <c r="I37" s="1359"/>
      <c r="J37" s="1359"/>
      <c r="K37" s="1359"/>
      <c r="L37" s="1359"/>
      <c r="M37" s="1359"/>
      <c r="N37" s="1360"/>
      <c r="O37" s="1361" t="s">
        <v>10270</v>
      </c>
    </row>
    <row r="38" spans="1:21" x14ac:dyDescent="0.2">
      <c r="A38" s="1355"/>
      <c r="B38" s="1359"/>
      <c r="C38" s="1359"/>
      <c r="D38" s="1359"/>
      <c r="E38" s="1359"/>
      <c r="F38" s="1359"/>
      <c r="G38" s="1359"/>
      <c r="H38" s="1359"/>
      <c r="I38" s="1359"/>
      <c r="J38" s="1359"/>
      <c r="K38" s="1359"/>
      <c r="L38" s="1359"/>
      <c r="M38" s="1359"/>
      <c r="N38" s="1360"/>
      <c r="O38" s="1361" t="s">
        <v>10270</v>
      </c>
    </row>
    <row r="39" spans="1:21" x14ac:dyDescent="0.2">
      <c r="A39" s="1355"/>
      <c r="B39" s="1359"/>
      <c r="C39" s="1359"/>
      <c r="D39" s="1359"/>
      <c r="E39" s="1359"/>
      <c r="F39" s="1359"/>
      <c r="G39" s="1359"/>
      <c r="H39" s="1359"/>
      <c r="I39" s="1359"/>
      <c r="J39" s="1359"/>
      <c r="K39" s="1359"/>
      <c r="L39" s="1359"/>
      <c r="M39" s="1359"/>
      <c r="N39" s="1360"/>
      <c r="O39" s="1361" t="s">
        <v>10270</v>
      </c>
      <c r="P39" s="1366" t="s">
        <v>10165</v>
      </c>
      <c r="Q39" s="1366" t="s">
        <v>10284</v>
      </c>
    </row>
    <row r="40" spans="1:21" x14ac:dyDescent="0.2">
      <c r="A40" s="1358" t="s">
        <v>10285</v>
      </c>
      <c r="B40" s="1362">
        <f t="shared" ref="B40:N40" si="4">SUM(B25:B39)</f>
        <v>23473020.889248364</v>
      </c>
      <c r="C40" s="1362">
        <f t="shared" si="4"/>
        <v>23647778.754255578</v>
      </c>
      <c r="D40" s="1362">
        <f t="shared" si="4"/>
        <v>24047828.960698679</v>
      </c>
      <c r="E40" s="1362">
        <f t="shared" si="4"/>
        <v>26052925.19312283</v>
      </c>
      <c r="F40" s="1362">
        <f t="shared" si="4"/>
        <v>28469342.517161865</v>
      </c>
      <c r="G40" s="1362">
        <f t="shared" si="4"/>
        <v>26554983.643353861</v>
      </c>
      <c r="H40" s="1362">
        <f t="shared" si="4"/>
        <v>27101122.115110397</v>
      </c>
      <c r="I40" s="1362">
        <f t="shared" si="4"/>
        <v>26961495.644908264</v>
      </c>
      <c r="J40" s="1362">
        <f t="shared" si="4"/>
        <v>25216321.827263497</v>
      </c>
      <c r="K40" s="1362">
        <f t="shared" si="4"/>
        <v>30025749.940297473</v>
      </c>
      <c r="L40" s="1362">
        <f t="shared" si="4"/>
        <v>27564711.522134464</v>
      </c>
      <c r="M40" s="1362">
        <f t="shared" si="4"/>
        <v>28148901.096001104</v>
      </c>
      <c r="N40" s="1363">
        <f t="shared" si="4"/>
        <v>317264182.10355639</v>
      </c>
      <c r="O40" s="1361" t="s">
        <v>10270</v>
      </c>
      <c r="P40" s="1367">
        <f>+'[1]Estado de Resultados'!P32</f>
        <v>88316277.766977832</v>
      </c>
      <c r="Q40" s="1368">
        <f>+N40</f>
        <v>317264182.10355639</v>
      </c>
      <c r="S40" s="1341">
        <f ca="1">SUM(B40:OFFSET(B40,0,[0]!MESACUMULADO-1))</f>
        <v>125690896.31448732</v>
      </c>
    </row>
    <row r="41" spans="1:21" x14ac:dyDescent="0.2">
      <c r="A41" s="1355"/>
      <c r="B41" s="1356"/>
      <c r="C41" s="1356"/>
      <c r="D41" s="1356"/>
      <c r="E41" s="1356"/>
      <c r="F41" s="1356"/>
      <c r="G41" s="1356"/>
      <c r="H41" s="1356"/>
      <c r="I41" s="1356"/>
      <c r="J41" s="1356"/>
      <c r="K41" s="1356"/>
      <c r="L41" s="1356"/>
      <c r="M41" s="1356"/>
      <c r="N41" s="1357"/>
      <c r="O41" s="1361" t="s">
        <v>10270</v>
      </c>
      <c r="Q41" s="1368">
        <f>+N70</f>
        <v>8638992.879999999</v>
      </c>
      <c r="R41" s="1340" t="s">
        <v>10286</v>
      </c>
    </row>
    <row r="42" spans="1:21" x14ac:dyDescent="0.2">
      <c r="A42" s="1358" t="s">
        <v>10287</v>
      </c>
      <c r="B42" s="1369">
        <f t="shared" ref="B42:N42" si="5">B21-B40</f>
        <v>-9548112.0158979539</v>
      </c>
      <c r="C42" s="1369">
        <f t="shared" si="5"/>
        <v>8105773.3988675624</v>
      </c>
      <c r="D42" s="1369">
        <f t="shared" si="5"/>
        <v>9105238.7952098809</v>
      </c>
      <c r="E42" s="1369">
        <f t="shared" si="5"/>
        <v>3756207.5016094781</v>
      </c>
      <c r="F42" s="1369">
        <f t="shared" si="5"/>
        <v>1604175.6826416217</v>
      </c>
      <c r="G42" s="1369">
        <f t="shared" si="5"/>
        <v>4130550.7297053412</v>
      </c>
      <c r="H42" s="1369">
        <f t="shared" si="5"/>
        <v>5411439.5455292128</v>
      </c>
      <c r="I42" s="1369">
        <f t="shared" si="5"/>
        <v>6174536.0215732791</v>
      </c>
      <c r="J42" s="1369">
        <f t="shared" si="5"/>
        <v>9960721.7301005125</v>
      </c>
      <c r="K42" s="1369">
        <f t="shared" si="5"/>
        <v>4511177.0831694119</v>
      </c>
      <c r="L42" s="1369">
        <f t="shared" si="5"/>
        <v>6832330.8397138678</v>
      </c>
      <c r="M42" s="1369">
        <f t="shared" si="5"/>
        <v>4880529.0381508544</v>
      </c>
      <c r="N42" s="1370">
        <f t="shared" si="5"/>
        <v>54924568.350373149</v>
      </c>
      <c r="O42" s="1361" t="s">
        <v>10270</v>
      </c>
      <c r="Q42" s="1368">
        <f>+N80*-1</f>
        <v>-1130619.8499999999</v>
      </c>
      <c r="R42" s="1340" t="s">
        <v>10288</v>
      </c>
      <c r="S42" s="1341">
        <f ca="1">SUM(B42:OFFSET(B42,0,[0]!MESACUMULADO-1))</f>
        <v>13023283.362430589</v>
      </c>
    </row>
    <row r="43" spans="1:21" x14ac:dyDescent="0.2">
      <c r="A43" s="1355"/>
      <c r="B43" s="1356"/>
      <c r="C43" s="1356"/>
      <c r="D43" s="1356"/>
      <c r="E43" s="1356"/>
      <c r="F43" s="1356"/>
      <c r="G43" s="1356"/>
      <c r="H43" s="1356"/>
      <c r="I43" s="1356"/>
      <c r="J43" s="1356"/>
      <c r="K43" s="1356"/>
      <c r="L43" s="1356"/>
      <c r="M43" s="1356"/>
      <c r="N43" s="1357"/>
      <c r="O43" s="1361" t="s">
        <v>10270</v>
      </c>
      <c r="Q43" s="1368">
        <f>(+N19+N20)*-1</f>
        <v>0</v>
      </c>
      <c r="R43" s="1340" t="s">
        <v>10289</v>
      </c>
    </row>
    <row r="44" spans="1:21" x14ac:dyDescent="0.2">
      <c r="A44" s="1358" t="s">
        <v>10290</v>
      </c>
      <c r="B44" s="1371" t="str">
        <f t="shared" ref="B44:M44" si="6">+B8</f>
        <v>Enero</v>
      </c>
      <c r="C44" s="1371" t="str">
        <f t="shared" si="6"/>
        <v>Febrero</v>
      </c>
      <c r="D44" s="1371" t="str">
        <f t="shared" si="6"/>
        <v>Marzo</v>
      </c>
      <c r="E44" s="1371" t="str">
        <f t="shared" si="6"/>
        <v>Abril</v>
      </c>
      <c r="F44" s="1371" t="str">
        <f t="shared" si="6"/>
        <v>Mayo</v>
      </c>
      <c r="G44" s="1371" t="str">
        <f t="shared" si="6"/>
        <v>Junio</v>
      </c>
      <c r="H44" s="1371" t="str">
        <f t="shared" si="6"/>
        <v>Julio</v>
      </c>
      <c r="I44" s="1371" t="str">
        <f t="shared" si="6"/>
        <v>Agosto</v>
      </c>
      <c r="J44" s="1371" t="str">
        <f t="shared" si="6"/>
        <v>Septiembre</v>
      </c>
      <c r="K44" s="1371" t="str">
        <f t="shared" si="6"/>
        <v>Octubre</v>
      </c>
      <c r="L44" s="1371" t="str">
        <f t="shared" si="6"/>
        <v>Noviembre</v>
      </c>
      <c r="M44" s="1371" t="str">
        <f t="shared" si="6"/>
        <v>Diciembre</v>
      </c>
      <c r="N44" s="1357"/>
      <c r="O44" s="1361" t="s">
        <v>10270</v>
      </c>
      <c r="Q44" s="1372">
        <f>+Q40+Q41+Q42+Q43</f>
        <v>324772555.13355637</v>
      </c>
      <c r="R44" s="1373">
        <f>+Q44-P40</f>
        <v>236456277.36657852</v>
      </c>
      <c r="S44" s="1767"/>
      <c r="T44" s="1768"/>
    </row>
    <row r="45" spans="1:21" ht="16.5" hidden="1" customHeight="1" x14ac:dyDescent="0.2">
      <c r="A45" s="1374" t="s">
        <v>10292</v>
      </c>
      <c r="B45" s="1375">
        <v>0</v>
      </c>
      <c r="C45" s="1375">
        <v>0</v>
      </c>
      <c r="D45" s="1375">
        <v>0</v>
      </c>
      <c r="E45" s="1375">
        <v>0</v>
      </c>
      <c r="F45" s="1375">
        <v>0</v>
      </c>
      <c r="G45" s="1375">
        <v>0</v>
      </c>
      <c r="H45" s="1375">
        <v>0</v>
      </c>
      <c r="I45" s="1375">
        <v>0</v>
      </c>
      <c r="J45" s="1375">
        <v>0</v>
      </c>
      <c r="K45" s="1375">
        <v>0</v>
      </c>
      <c r="L45" s="1375">
        <v>0</v>
      </c>
      <c r="M45" s="1375">
        <v>0</v>
      </c>
      <c r="N45" s="1376">
        <f t="shared" ref="N45:N50" si="7">SUM(B45:M45)</f>
        <v>0</v>
      </c>
      <c r="O45" s="1361" t="s">
        <v>10270</v>
      </c>
      <c r="P45" s="1341" t="s">
        <v>10293</v>
      </c>
    </row>
    <row r="46" spans="1:21" hidden="1" x14ac:dyDescent="0.2">
      <c r="A46" s="1374" t="s">
        <v>10294</v>
      </c>
      <c r="B46" s="1375">
        <v>0</v>
      </c>
      <c r="C46" s="1375">
        <v>0</v>
      </c>
      <c r="D46" s="1375">
        <v>0</v>
      </c>
      <c r="E46" s="1375">
        <v>0</v>
      </c>
      <c r="F46" s="1375">
        <v>0</v>
      </c>
      <c r="G46" s="1375">
        <v>0</v>
      </c>
      <c r="H46" s="1375">
        <v>0</v>
      </c>
      <c r="I46" s="1375">
        <v>0</v>
      </c>
      <c r="J46" s="1375">
        <v>0</v>
      </c>
      <c r="K46" s="1375">
        <v>0</v>
      </c>
      <c r="L46" s="1375">
        <v>0</v>
      </c>
      <c r="M46" s="1375">
        <v>0</v>
      </c>
      <c r="N46" s="1377">
        <f t="shared" si="7"/>
        <v>0</v>
      </c>
      <c r="O46" s="1361" t="s">
        <v>10270</v>
      </c>
    </row>
    <row r="47" spans="1:21" hidden="1" x14ac:dyDescent="0.2">
      <c r="A47" s="1374" t="s">
        <v>10295</v>
      </c>
      <c r="B47" s="1378">
        <v>0</v>
      </c>
      <c r="C47" s="1378">
        <v>0</v>
      </c>
      <c r="D47" s="1378">
        <v>0</v>
      </c>
      <c r="E47" s="1378">
        <v>0</v>
      </c>
      <c r="F47" s="1378">
        <v>0</v>
      </c>
      <c r="G47" s="1378">
        <v>0</v>
      </c>
      <c r="H47" s="1378">
        <v>0</v>
      </c>
      <c r="I47" s="1378">
        <v>0</v>
      </c>
      <c r="J47" s="1378">
        <v>0</v>
      </c>
      <c r="K47" s="1378">
        <v>0</v>
      </c>
      <c r="L47" s="1378">
        <v>0</v>
      </c>
      <c r="M47" s="1378">
        <v>0</v>
      </c>
      <c r="N47" s="1377">
        <f t="shared" si="7"/>
        <v>0</v>
      </c>
      <c r="O47" s="1361" t="s">
        <v>10270</v>
      </c>
    </row>
    <row r="48" spans="1:21" hidden="1" x14ac:dyDescent="0.2">
      <c r="A48" s="1374" t="s">
        <v>10296</v>
      </c>
      <c r="B48" s="1375">
        <v>0</v>
      </c>
      <c r="C48" s="1375">
        <v>0</v>
      </c>
      <c r="D48" s="1375">
        <v>0</v>
      </c>
      <c r="E48" s="1375">
        <v>0</v>
      </c>
      <c r="F48" s="1375">
        <v>0</v>
      </c>
      <c r="G48" s="1375">
        <v>0</v>
      </c>
      <c r="H48" s="1375">
        <v>0</v>
      </c>
      <c r="I48" s="1375">
        <v>0</v>
      </c>
      <c r="J48" s="1375">
        <v>0</v>
      </c>
      <c r="K48" s="1375">
        <v>0</v>
      </c>
      <c r="L48" s="1375">
        <v>0</v>
      </c>
      <c r="M48" s="1375">
        <v>0</v>
      </c>
      <c r="N48" s="1376">
        <f t="shared" si="7"/>
        <v>0</v>
      </c>
      <c r="O48" s="1361"/>
    </row>
    <row r="49" spans="1:19" hidden="1" x14ac:dyDescent="0.2">
      <c r="A49" s="1374" t="s">
        <v>10297</v>
      </c>
      <c r="B49" s="1375">
        <v>0</v>
      </c>
      <c r="C49" s="1375">
        <v>0</v>
      </c>
      <c r="D49" s="1375">
        <v>0</v>
      </c>
      <c r="E49" s="1375">
        <v>0</v>
      </c>
      <c r="F49" s="1375">
        <v>0</v>
      </c>
      <c r="G49" s="1375">
        <v>0</v>
      </c>
      <c r="H49" s="1375">
        <v>0</v>
      </c>
      <c r="I49" s="1375">
        <v>0</v>
      </c>
      <c r="J49" s="1375">
        <v>0</v>
      </c>
      <c r="K49" s="1375">
        <v>0</v>
      </c>
      <c r="L49" s="1375">
        <v>0</v>
      </c>
      <c r="M49" s="1375">
        <v>0</v>
      </c>
      <c r="N49" s="1376">
        <f t="shared" si="7"/>
        <v>0</v>
      </c>
      <c r="O49" s="1361"/>
      <c r="P49" s="1341">
        <f>90500+7183</f>
        <v>97683</v>
      </c>
    </row>
    <row r="50" spans="1:19" hidden="1" x14ac:dyDescent="0.2">
      <c r="A50" s="1374" t="s">
        <v>10298</v>
      </c>
      <c r="B50" s="1375">
        <v>0</v>
      </c>
      <c r="C50" s="1375">
        <v>0</v>
      </c>
      <c r="D50" s="1375">
        <v>0</v>
      </c>
      <c r="E50" s="1375">
        <v>0</v>
      </c>
      <c r="F50" s="1375">
        <v>0</v>
      </c>
      <c r="G50" s="1375">
        <v>0</v>
      </c>
      <c r="H50" s="1375">
        <v>0</v>
      </c>
      <c r="I50" s="1375">
        <v>0</v>
      </c>
      <c r="J50" s="1375">
        <v>0</v>
      </c>
      <c r="K50" s="1375">
        <v>0</v>
      </c>
      <c r="L50" s="1375">
        <v>0</v>
      </c>
      <c r="M50" s="1375">
        <v>0</v>
      </c>
      <c r="N50" s="1376">
        <f t="shared" si="7"/>
        <v>0</v>
      </c>
      <c r="O50" s="1361"/>
    </row>
    <row r="51" spans="1:19" x14ac:dyDescent="0.2">
      <c r="A51" s="1355" t="s">
        <v>10299</v>
      </c>
      <c r="B51" s="1359">
        <f t="shared" ref="B51:M51" si="8">B45*$P$51</f>
        <v>0</v>
      </c>
      <c r="C51" s="1359">
        <f t="shared" si="8"/>
        <v>0</v>
      </c>
      <c r="D51" s="1359">
        <f t="shared" si="8"/>
        <v>0</v>
      </c>
      <c r="E51" s="1359">
        <f t="shared" si="8"/>
        <v>0</v>
      </c>
      <c r="F51" s="1359">
        <f t="shared" si="8"/>
        <v>0</v>
      </c>
      <c r="G51" s="1359">
        <f t="shared" si="8"/>
        <v>0</v>
      </c>
      <c r="H51" s="1359">
        <f t="shared" si="8"/>
        <v>0</v>
      </c>
      <c r="I51" s="1359">
        <f t="shared" si="8"/>
        <v>0</v>
      </c>
      <c r="J51" s="1359">
        <f t="shared" si="8"/>
        <v>0</v>
      </c>
      <c r="K51" s="1359">
        <f t="shared" si="8"/>
        <v>0</v>
      </c>
      <c r="L51" s="1359">
        <f t="shared" si="8"/>
        <v>0</v>
      </c>
      <c r="M51" s="1359">
        <f t="shared" si="8"/>
        <v>0</v>
      </c>
      <c r="N51" s="1360">
        <f>+IF(N45=0,0,SUM(B51:M51))</f>
        <v>0</v>
      </c>
      <c r="O51" s="1361" t="s">
        <v>10270</v>
      </c>
      <c r="P51" s="1379">
        <f>(90500+7183)*12.9</f>
        <v>1260110.7</v>
      </c>
    </row>
    <row r="52" spans="1:19" hidden="1" x14ac:dyDescent="0.2">
      <c r="A52" s="1380" t="s">
        <v>10300</v>
      </c>
      <c r="B52" s="1359"/>
      <c r="C52" s="1359">
        <v>0</v>
      </c>
      <c r="D52" s="1359">
        <f>+IF(D48=0,0,D48*[1]Inversiones!$K$66)</f>
        <v>0</v>
      </c>
      <c r="E52" s="1359">
        <f>+IF(E48=0,0,E48*[1]Inversiones!$K$66)*0.7</f>
        <v>0</v>
      </c>
      <c r="F52" s="1359">
        <v>0</v>
      </c>
      <c r="G52" s="1359">
        <f>+IF(G48=0,0,G48*[1]Inversiones!$K$66)</f>
        <v>0</v>
      </c>
      <c r="H52" s="1359">
        <f>+IF(H48=0,0,H48*[1]Inversiones!$K$66)</f>
        <v>0</v>
      </c>
      <c r="I52" s="1359">
        <f>+IF(I48=0,0,I48*[1]Inversiones!$K$66)</f>
        <v>0</v>
      </c>
      <c r="J52" s="1359">
        <f>+IF(J48=0,0,J48*[1]Inversiones!$K$66)</f>
        <v>0</v>
      </c>
      <c r="K52" s="1359">
        <f>+IF(K48=0,0,K48*[1]Inversiones!$K$66)</f>
        <v>0</v>
      </c>
      <c r="L52" s="1359">
        <f>+IF(L48=0,0,L48*[1]Inversiones!$K$66)</f>
        <v>0</v>
      </c>
      <c r="M52" s="1359">
        <f>+IF(M48=0,0,M48*[1]Inversiones!$K$66)</f>
        <v>0</v>
      </c>
      <c r="N52" s="1360">
        <f>+IF(N48=0,0,SUM(B52:M52))</f>
        <v>0</v>
      </c>
      <c r="O52" s="1361" t="s">
        <v>10270</v>
      </c>
      <c r="P52" s="1340"/>
    </row>
    <row r="53" spans="1:19" hidden="1" x14ac:dyDescent="0.2">
      <c r="A53" s="1380" t="s">
        <v>10301</v>
      </c>
      <c r="B53" s="1359"/>
      <c r="C53" s="1359">
        <v>0</v>
      </c>
      <c r="D53" s="1359">
        <f>+IF(D50=0,0,D50*[1]Inversiones!$K$67)</f>
        <v>0</v>
      </c>
      <c r="E53" s="1359">
        <f>+IF(E50=0,0,E50*[1]Inversiones!$K$67)*0.7</f>
        <v>0</v>
      </c>
      <c r="F53" s="1359">
        <v>0</v>
      </c>
      <c r="G53" s="1359">
        <f>+IF(G50=0,0,G50*[1]Inversiones!$K$67)</f>
        <v>0</v>
      </c>
      <c r="H53" s="1359">
        <f>+IF(H50=0,0,H50*[1]Inversiones!$K$67)</f>
        <v>0</v>
      </c>
      <c r="I53" s="1359">
        <f>+IF(I50=0,0,I50*[1]Inversiones!$K$67)</f>
        <v>0</v>
      </c>
      <c r="J53" s="1359">
        <f>+IF(J50=0,0,J50*[1]Inversiones!$K$67)</f>
        <v>0</v>
      </c>
      <c r="K53" s="1359">
        <f>+IF(K50=0,0,K50*[1]Inversiones!$K$67)</f>
        <v>0</v>
      </c>
      <c r="L53" s="1359">
        <f>+IF(L50=0,0,L50*[1]Inversiones!$K$67)</f>
        <v>0</v>
      </c>
      <c r="M53" s="1359">
        <f>+IF(M50=0,0,M50*[1]Inversiones!$K$67)</f>
        <v>0</v>
      </c>
      <c r="N53" s="1360">
        <f>+IF(N50=0,0,SUM(B53:M53))</f>
        <v>0</v>
      </c>
      <c r="O53" s="1361" t="s">
        <v>10270</v>
      </c>
      <c r="P53" s="1340"/>
    </row>
    <row r="54" spans="1:19" hidden="1" x14ac:dyDescent="0.2">
      <c r="A54" s="1380" t="s">
        <v>10302</v>
      </c>
      <c r="B54" s="1359"/>
      <c r="C54" s="1359"/>
      <c r="D54" s="1359"/>
      <c r="E54" s="1359"/>
      <c r="F54" s="1359"/>
      <c r="G54" s="1359"/>
      <c r="H54" s="1359"/>
      <c r="I54" s="1359"/>
      <c r="J54" s="1359"/>
      <c r="K54" s="1359"/>
      <c r="L54" s="1359"/>
      <c r="M54" s="1359"/>
      <c r="N54" s="1360">
        <f t="shared" ref="N54:N60" si="9">SUM(B54:M54)</f>
        <v>0</v>
      </c>
      <c r="O54" s="1361"/>
      <c r="P54" s="1340"/>
    </row>
    <row r="55" spans="1:19" x14ac:dyDescent="0.2">
      <c r="A55" s="1380" t="s">
        <v>10303</v>
      </c>
      <c r="B55" s="1359">
        <f t="shared" ref="B55:M55" si="10">B45*$P$55</f>
        <v>0</v>
      </c>
      <c r="C55" s="1359">
        <f t="shared" si="10"/>
        <v>0</v>
      </c>
      <c r="D55" s="1359">
        <f t="shared" si="10"/>
        <v>0</v>
      </c>
      <c r="E55" s="1359">
        <f t="shared" si="10"/>
        <v>0</v>
      </c>
      <c r="F55" s="1359">
        <f t="shared" si="10"/>
        <v>0</v>
      </c>
      <c r="G55" s="1359">
        <f t="shared" si="10"/>
        <v>0</v>
      </c>
      <c r="H55" s="1359">
        <f t="shared" si="10"/>
        <v>0</v>
      </c>
      <c r="I55" s="1359">
        <f t="shared" si="10"/>
        <v>0</v>
      </c>
      <c r="J55" s="1359">
        <f t="shared" si="10"/>
        <v>0</v>
      </c>
      <c r="K55" s="1359">
        <f t="shared" si="10"/>
        <v>0</v>
      </c>
      <c r="L55" s="1359">
        <f t="shared" si="10"/>
        <v>0</v>
      </c>
      <c r="M55" s="1359">
        <f t="shared" si="10"/>
        <v>0</v>
      </c>
      <c r="N55" s="1360">
        <f t="shared" si="9"/>
        <v>0</v>
      </c>
      <c r="O55" s="1361" t="s">
        <v>10270</v>
      </c>
      <c r="P55" s="1340">
        <f>28500*12.9</f>
        <v>367650</v>
      </c>
    </row>
    <row r="56" spans="1:19" x14ac:dyDescent="0.2">
      <c r="A56" s="1380"/>
      <c r="B56" s="1359"/>
      <c r="C56" s="1359"/>
      <c r="D56" s="1359"/>
      <c r="E56" s="1359"/>
      <c r="F56" s="1359"/>
      <c r="G56" s="1359"/>
      <c r="H56" s="1359"/>
      <c r="I56" s="1359"/>
      <c r="J56" s="1359"/>
      <c r="K56" s="1359"/>
      <c r="L56" s="1359"/>
      <c r="M56" s="1359"/>
      <c r="N56" s="1360">
        <f t="shared" si="9"/>
        <v>0</v>
      </c>
      <c r="O56" s="1361"/>
    </row>
    <row r="57" spans="1:19" hidden="1" x14ac:dyDescent="0.2">
      <c r="A57" s="1380"/>
      <c r="B57" s="1359"/>
      <c r="C57" s="1359">
        <f>+[1]Inversiones!H48/5</f>
        <v>0</v>
      </c>
      <c r="D57" s="1359">
        <f>+C57</f>
        <v>0</v>
      </c>
      <c r="E57" s="1359">
        <f>+D57</f>
        <v>0</v>
      </c>
      <c r="F57" s="1359">
        <f>+E57</f>
        <v>0</v>
      </c>
      <c r="G57" s="1359">
        <f>+F57</f>
        <v>0</v>
      </c>
      <c r="H57" s="1359">
        <v>0</v>
      </c>
      <c r="I57" s="1359"/>
      <c r="J57" s="1359"/>
      <c r="K57" s="1359"/>
      <c r="L57" s="1359"/>
      <c r="M57" s="1359"/>
      <c r="N57" s="1360">
        <f t="shared" si="9"/>
        <v>0</v>
      </c>
      <c r="O57" s="1361"/>
    </row>
    <row r="58" spans="1:19" hidden="1" x14ac:dyDescent="0.2">
      <c r="A58" s="1380"/>
      <c r="B58" s="1359"/>
      <c r="C58" s="1359"/>
      <c r="D58" s="1359"/>
      <c r="E58" s="1359"/>
      <c r="F58" s="1359"/>
      <c r="G58" s="1359"/>
      <c r="H58" s="1359"/>
      <c r="I58" s="1359"/>
      <c r="J58" s="1359"/>
      <c r="K58" s="1359"/>
      <c r="L58" s="1359"/>
      <c r="M58" s="1359"/>
      <c r="N58" s="1360">
        <f t="shared" si="9"/>
        <v>0</v>
      </c>
      <c r="O58" s="1361"/>
    </row>
    <row r="59" spans="1:19" x14ac:dyDescent="0.2">
      <c r="A59" s="1380" t="s">
        <v>10338</v>
      </c>
      <c r="B59" s="1359">
        <f>'Inversiones 2014'!L113</f>
        <v>1939750</v>
      </c>
      <c r="C59" s="1359">
        <f>'Inversiones 2014'!M113</f>
        <v>560430</v>
      </c>
      <c r="D59" s="1359">
        <f>'Inversiones 2014'!N113-'Inversiones 2014'!N105</f>
        <v>2027750</v>
      </c>
      <c r="E59" s="1359">
        <f>'Inversiones 2014'!O113-'Inversiones 2014'!O105</f>
        <v>258000</v>
      </c>
      <c r="F59" s="1359">
        <f>'Inversiones 2014'!P113+'Inversiones 2014'!N105-'Inversiones 2014'!P105</f>
        <v>9750035</v>
      </c>
      <c r="G59" s="1359">
        <f>'Inversiones 2014'!Q113-2957500+'Inversiones 2014'!O105</f>
        <v>7128830</v>
      </c>
      <c r="H59" s="1359">
        <f>'Inversiones 2014'!R113+'Inversiones 2014'!P105-'Inversiones 2014'!R105</f>
        <v>14257730</v>
      </c>
      <c r="I59" s="1359">
        <f>'Inversiones 2014'!S113+2957500-'Inversiones 2014'!S105</f>
        <v>4481500</v>
      </c>
      <c r="J59" s="1359">
        <f>'Inversiones 2014'!T113+'Inversiones 2014'!R105</f>
        <v>524000</v>
      </c>
      <c r="K59" s="1359">
        <f>'Inversiones 2014'!U113+'Inversiones 2014'!S105</f>
        <v>300000</v>
      </c>
      <c r="L59" s="1359">
        <f>'Inversiones 2014'!V113</f>
        <v>200000</v>
      </c>
      <c r="M59" s="1359">
        <f>'Inversiones 2014'!W113</f>
        <v>0</v>
      </c>
      <c r="N59" s="1360">
        <f t="shared" si="9"/>
        <v>41428025</v>
      </c>
      <c r="O59" s="1361"/>
    </row>
    <row r="60" spans="1:19" x14ac:dyDescent="0.2">
      <c r="A60" s="1380"/>
      <c r="B60" s="1359"/>
      <c r="C60" s="1359">
        <f>+[1]Inversiones!H26/4</f>
        <v>0</v>
      </c>
      <c r="D60" s="1359"/>
      <c r="E60" s="1359"/>
      <c r="F60" s="1359">
        <f>+C60</f>
        <v>0</v>
      </c>
      <c r="G60" s="1359"/>
      <c r="H60" s="1359"/>
      <c r="I60" s="1359"/>
      <c r="J60" s="1359">
        <f>+F60</f>
        <v>0</v>
      </c>
      <c r="K60" s="1359">
        <f>+J60</f>
        <v>0</v>
      </c>
      <c r="L60" s="1359"/>
      <c r="M60" s="1359"/>
      <c r="N60" s="1360">
        <f t="shared" si="9"/>
        <v>0</v>
      </c>
      <c r="O60" s="1361" t="s">
        <v>10270</v>
      </c>
      <c r="P60" s="1340"/>
    </row>
    <row r="61" spans="1:19" x14ac:dyDescent="0.2">
      <c r="A61" s="1358" t="s">
        <v>10304</v>
      </c>
      <c r="B61" s="1362">
        <f t="shared" ref="B61:N61" si="11">SUM(B51:B60)</f>
        <v>1939750</v>
      </c>
      <c r="C61" s="1362">
        <f t="shared" si="11"/>
        <v>560430</v>
      </c>
      <c r="D61" s="1362">
        <f t="shared" si="11"/>
        <v>2027750</v>
      </c>
      <c r="E61" s="1362">
        <f t="shared" si="11"/>
        <v>258000</v>
      </c>
      <c r="F61" s="1362">
        <f t="shared" si="11"/>
        <v>9750035</v>
      </c>
      <c r="G61" s="1362">
        <f t="shared" si="11"/>
        <v>7128830</v>
      </c>
      <c r="H61" s="1362">
        <f t="shared" si="11"/>
        <v>14257730</v>
      </c>
      <c r="I61" s="1362">
        <f t="shared" si="11"/>
        <v>4481500</v>
      </c>
      <c r="J61" s="1362">
        <f t="shared" si="11"/>
        <v>524000</v>
      </c>
      <c r="K61" s="1362">
        <f t="shared" si="11"/>
        <v>300000</v>
      </c>
      <c r="L61" s="1362">
        <f t="shared" si="11"/>
        <v>200000</v>
      </c>
      <c r="M61" s="1362">
        <f t="shared" si="11"/>
        <v>0</v>
      </c>
      <c r="N61" s="1381">
        <f t="shared" si="11"/>
        <v>41428025</v>
      </c>
      <c r="O61" s="1382"/>
      <c r="P61" s="1340"/>
      <c r="S61" s="1341">
        <f ca="1">SUM(B61:OFFSET(B61,0,[0]!MESACUMULADO-1))</f>
        <v>14535965</v>
      </c>
    </row>
    <row r="62" spans="1:19" x14ac:dyDescent="0.2">
      <c r="A62" s="1355"/>
      <c r="B62" s="1359"/>
      <c r="C62" s="1359"/>
      <c r="D62" s="1359"/>
      <c r="E62" s="1359"/>
      <c r="F62" s="1359"/>
      <c r="G62" s="1359"/>
      <c r="H62" s="1359"/>
      <c r="I62" s="1359"/>
      <c r="J62" s="1359"/>
      <c r="K62" s="1359"/>
      <c r="L62" s="1359"/>
      <c r="M62" s="1359"/>
      <c r="N62" s="1360"/>
      <c r="O62" s="1361" t="s">
        <v>10270</v>
      </c>
    </row>
    <row r="63" spans="1:19" x14ac:dyDescent="0.2">
      <c r="A63" s="1358" t="s">
        <v>10305</v>
      </c>
      <c r="B63" s="1359"/>
      <c r="C63" s="1359"/>
      <c r="D63" s="1359"/>
      <c r="E63" s="1359"/>
      <c r="F63" s="1359"/>
      <c r="G63" s="1359"/>
      <c r="H63" s="1359"/>
      <c r="I63" s="1359"/>
      <c r="J63" s="1359"/>
      <c r="K63" s="1359"/>
      <c r="L63" s="1359"/>
      <c r="M63" s="1359"/>
      <c r="N63" s="1360"/>
      <c r="O63" s="1361" t="s">
        <v>10270</v>
      </c>
    </row>
    <row r="64" spans="1:19" x14ac:dyDescent="0.2">
      <c r="A64" s="1355"/>
      <c r="B64" s="1359"/>
      <c r="C64" s="1359"/>
      <c r="D64" s="1359"/>
      <c r="E64" s="1359"/>
      <c r="F64" s="1359"/>
      <c r="G64" s="1359"/>
      <c r="H64" s="1359"/>
      <c r="I64" s="1359"/>
      <c r="J64" s="1359"/>
      <c r="K64" s="1359"/>
      <c r="L64" s="1359"/>
      <c r="M64" s="1359"/>
      <c r="N64" s="1360"/>
      <c r="O64" s="1361" t="s">
        <v>10270</v>
      </c>
    </row>
    <row r="65" spans="1:20" x14ac:dyDescent="0.2">
      <c r="A65" s="1355" t="s">
        <v>10306</v>
      </c>
      <c r="B65" s="1359">
        <v>0</v>
      </c>
      <c r="C65" s="1359">
        <v>0</v>
      </c>
      <c r="D65" s="1359">
        <v>0</v>
      </c>
      <c r="E65" s="1359">
        <v>0</v>
      </c>
      <c r="F65" s="1359">
        <v>0</v>
      </c>
      <c r="G65" s="1359">
        <v>0</v>
      </c>
      <c r="H65" s="1359">
        <v>0</v>
      </c>
      <c r="I65" s="1359">
        <v>0</v>
      </c>
      <c r="J65" s="1359">
        <v>0</v>
      </c>
      <c r="K65" s="1359">
        <v>0</v>
      </c>
      <c r="L65" s="1359">
        <v>0</v>
      </c>
      <c r="M65" s="1359">
        <v>0</v>
      </c>
      <c r="N65" s="1360">
        <f>SUM(B65:M65)</f>
        <v>0</v>
      </c>
      <c r="O65" s="1361" t="s">
        <v>10270</v>
      </c>
    </row>
    <row r="66" spans="1:20" x14ac:dyDescent="0.2">
      <c r="A66" s="1355" t="s">
        <v>10307</v>
      </c>
      <c r="B66" s="1359">
        <v>618902</v>
      </c>
      <c r="C66" s="1359">
        <v>622790</v>
      </c>
      <c r="D66" s="1359">
        <v>626704</v>
      </c>
      <c r="E66" s="1359">
        <v>630642</v>
      </c>
      <c r="F66" s="1359">
        <v>634604</v>
      </c>
      <c r="G66" s="1359">
        <v>638592</v>
      </c>
      <c r="H66" s="1359">
        <v>642603</v>
      </c>
      <c r="I66" s="1359">
        <v>646643</v>
      </c>
      <c r="J66" s="1359">
        <v>650705</v>
      </c>
      <c r="K66" s="1359">
        <v>654794</v>
      </c>
      <c r="L66" s="1359">
        <v>658908</v>
      </c>
      <c r="M66" s="1359">
        <v>663049</v>
      </c>
      <c r="N66" s="1360">
        <f>SUM(B66:M66)</f>
        <v>7688936</v>
      </c>
      <c r="O66" s="1361" t="s">
        <v>10270</v>
      </c>
      <c r="T66" s="1383"/>
    </row>
    <row r="67" spans="1:20" x14ac:dyDescent="0.2">
      <c r="A67" s="1355" t="s">
        <v>10308</v>
      </c>
      <c r="B67" s="1359">
        <v>49880.1</v>
      </c>
      <c r="C67" s="1359">
        <v>50181.45</v>
      </c>
      <c r="D67" s="1359">
        <v>50484.63</v>
      </c>
      <c r="E67" s="1359">
        <v>50789.64</v>
      </c>
      <c r="F67" s="1359">
        <v>51096.5</v>
      </c>
      <c r="G67" s="1359">
        <v>51405.21</v>
      </c>
      <c r="H67" s="1359">
        <v>51715.78</v>
      </c>
      <c r="I67" s="1359">
        <v>52028.23</v>
      </c>
      <c r="J67" s="1359">
        <v>52342.57</v>
      </c>
      <c r="K67" s="1359">
        <v>52658.8</v>
      </c>
      <c r="L67" s="1359">
        <v>52976.95</v>
      </c>
      <c r="M67" s="1359">
        <v>53297.02</v>
      </c>
      <c r="N67" s="1360">
        <f>SUM(B67:M67)</f>
        <v>618856.88</v>
      </c>
      <c r="O67" s="1361" t="s">
        <v>10270</v>
      </c>
      <c r="T67" s="1383"/>
    </row>
    <row r="68" spans="1:20" x14ac:dyDescent="0.2">
      <c r="A68" s="1355" t="s">
        <v>10309</v>
      </c>
      <c r="B68" s="1359">
        <f>'Gtos financieros 2014'!F50</f>
        <v>27600</v>
      </c>
      <c r="C68" s="1359">
        <f>'Gtos financieros 2014'!G50</f>
        <v>27600</v>
      </c>
      <c r="D68" s="1359">
        <f>'Gtos financieros 2014'!H50</f>
        <v>27600</v>
      </c>
      <c r="E68" s="1359">
        <f>'Gtos financieros 2014'!I50</f>
        <v>27600</v>
      </c>
      <c r="F68" s="1359">
        <f>'Gtos financieros 2014'!J50</f>
        <v>27600</v>
      </c>
      <c r="G68" s="1359">
        <f>'Gtos financieros 2014'!K50</f>
        <v>27600</v>
      </c>
      <c r="H68" s="1359">
        <f>'Gtos financieros 2014'!L50</f>
        <v>27600</v>
      </c>
      <c r="I68" s="1359">
        <f>'Gtos financieros 2014'!M50</f>
        <v>27600</v>
      </c>
      <c r="J68" s="1359">
        <f>'Gtos financieros 2014'!N50</f>
        <v>27600</v>
      </c>
      <c r="K68" s="1359">
        <f>'Gtos financieros 2014'!O50</f>
        <v>27600</v>
      </c>
      <c r="L68" s="1359">
        <f>'Gtos financieros 2014'!P50</f>
        <v>27600</v>
      </c>
      <c r="M68" s="1359">
        <f>'Gtos financieros 2014'!Q50</f>
        <v>27600</v>
      </c>
      <c r="N68" s="1360">
        <f>SUM(B68:M68)</f>
        <v>331200</v>
      </c>
      <c r="O68" s="1361" t="s">
        <v>10270</v>
      </c>
      <c r="R68" s="1384"/>
      <c r="T68" s="1383"/>
    </row>
    <row r="69" spans="1:20" x14ac:dyDescent="0.2">
      <c r="A69" s="1355"/>
      <c r="B69" s="1359"/>
      <c r="C69" s="1359"/>
      <c r="D69" s="1359"/>
      <c r="E69" s="1359"/>
      <c r="F69" s="1359"/>
      <c r="G69" s="1359"/>
      <c r="H69" s="1359"/>
      <c r="I69" s="1359"/>
      <c r="J69" s="1359"/>
      <c r="K69" s="1359"/>
      <c r="L69" s="1359"/>
      <c r="M69" s="1359"/>
      <c r="N69" s="1360"/>
      <c r="O69" s="1361" t="s">
        <v>10270</v>
      </c>
      <c r="R69" s="1384"/>
      <c r="S69" s="1385"/>
      <c r="T69" s="1386"/>
    </row>
    <row r="70" spans="1:20" x14ac:dyDescent="0.2">
      <c r="A70" s="1358" t="s">
        <v>10310</v>
      </c>
      <c r="B70" s="1362">
        <f t="shared" ref="B70:N70" si="12">-B65+B66+B67+B68</f>
        <v>696382.1</v>
      </c>
      <c r="C70" s="1362">
        <f t="shared" si="12"/>
        <v>700571.45</v>
      </c>
      <c r="D70" s="1362">
        <f t="shared" si="12"/>
        <v>704788.63</v>
      </c>
      <c r="E70" s="1362">
        <f t="shared" si="12"/>
        <v>709031.64</v>
      </c>
      <c r="F70" s="1362">
        <f t="shared" si="12"/>
        <v>713300.5</v>
      </c>
      <c r="G70" s="1362">
        <f t="shared" si="12"/>
        <v>717597.21</v>
      </c>
      <c r="H70" s="1362">
        <f t="shared" si="12"/>
        <v>721918.78</v>
      </c>
      <c r="I70" s="1362">
        <f t="shared" si="12"/>
        <v>726271.23</v>
      </c>
      <c r="J70" s="1362">
        <f t="shared" si="12"/>
        <v>730647.57</v>
      </c>
      <c r="K70" s="1362">
        <f t="shared" si="12"/>
        <v>735052.80000000005</v>
      </c>
      <c r="L70" s="1362">
        <f t="shared" si="12"/>
        <v>739484.95</v>
      </c>
      <c r="M70" s="1362">
        <f t="shared" si="12"/>
        <v>743946.02</v>
      </c>
      <c r="N70" s="1370">
        <f t="shared" si="12"/>
        <v>8638992.879999999</v>
      </c>
      <c r="O70" s="1361" t="s">
        <v>10270</v>
      </c>
      <c r="R70" s="1384"/>
      <c r="S70" s="1341">
        <f ca="1">SUM(B70:OFFSET(B70,0,[0]!MESACUMULADO-1))</f>
        <v>3524074.32</v>
      </c>
      <c r="T70" s="1383"/>
    </row>
    <row r="71" spans="1:20" x14ac:dyDescent="0.2">
      <c r="A71" s="1355"/>
      <c r="B71" s="1356"/>
      <c r="C71" s="1356"/>
      <c r="D71" s="1356"/>
      <c r="E71" s="1356"/>
      <c r="F71" s="1356"/>
      <c r="G71" s="1356"/>
      <c r="H71" s="1356"/>
      <c r="I71" s="1356"/>
      <c r="J71" s="1356"/>
      <c r="K71" s="1356"/>
      <c r="L71" s="1356"/>
      <c r="M71" s="1356"/>
      <c r="N71" s="1357"/>
      <c r="O71" s="1361" t="s">
        <v>10270</v>
      </c>
      <c r="R71" s="1384"/>
      <c r="T71" s="1383"/>
    </row>
    <row r="72" spans="1:20" x14ac:dyDescent="0.2">
      <c r="A72" s="1355"/>
      <c r="B72" s="1356"/>
      <c r="C72" s="1356"/>
      <c r="D72" s="1356"/>
      <c r="E72" s="1356"/>
      <c r="F72" s="1356"/>
      <c r="G72" s="1356"/>
      <c r="H72" s="1356"/>
      <c r="I72" s="1356"/>
      <c r="J72" s="1356"/>
      <c r="K72" s="1356"/>
      <c r="L72" s="1356"/>
      <c r="M72" s="1356"/>
      <c r="N72" s="1357"/>
      <c r="O72" s="1361" t="s">
        <v>10270</v>
      </c>
      <c r="Q72" s="1387"/>
      <c r="R72" s="1388"/>
      <c r="S72" s="1385"/>
      <c r="T72" s="1386"/>
    </row>
    <row r="73" spans="1:20" x14ac:dyDescent="0.2">
      <c r="A73" s="1358" t="s">
        <v>10311</v>
      </c>
      <c r="B73" s="1369">
        <f t="shared" ref="B73:N73" si="13">B42-B61-B70</f>
        <v>-12184244.115897954</v>
      </c>
      <c r="C73" s="1369">
        <f t="shared" si="13"/>
        <v>6844771.9488675622</v>
      </c>
      <c r="D73" s="1369">
        <f t="shared" si="13"/>
        <v>6372700.165209881</v>
      </c>
      <c r="E73" s="1369">
        <f t="shared" si="13"/>
        <v>2789175.861609478</v>
      </c>
      <c r="F73" s="1369">
        <f t="shared" si="13"/>
        <v>-8859159.8173583783</v>
      </c>
      <c r="G73" s="1369">
        <f t="shared" si="13"/>
        <v>-3715876.4802946588</v>
      </c>
      <c r="H73" s="1369">
        <f t="shared" si="13"/>
        <v>-9568209.2344707865</v>
      </c>
      <c r="I73" s="1369">
        <f t="shared" si="13"/>
        <v>966764.79157327907</v>
      </c>
      <c r="J73" s="1369">
        <f t="shared" si="13"/>
        <v>8706074.1601005122</v>
      </c>
      <c r="K73" s="1369">
        <f t="shared" si="13"/>
        <v>3476124.2831694121</v>
      </c>
      <c r="L73" s="1369">
        <f t="shared" si="13"/>
        <v>5892845.8897138676</v>
      </c>
      <c r="M73" s="1369">
        <f t="shared" si="13"/>
        <v>4136583.0181508544</v>
      </c>
      <c r="N73" s="1370">
        <f t="shared" si="13"/>
        <v>4857550.47037315</v>
      </c>
      <c r="O73" s="1389"/>
      <c r="Q73" s="1390"/>
      <c r="R73" s="1391"/>
      <c r="S73" s="1385"/>
      <c r="T73" s="1386"/>
    </row>
    <row r="74" spans="1:20" x14ac:dyDescent="0.2">
      <c r="A74" s="1355"/>
      <c r="B74" s="1356"/>
      <c r="C74" s="1356"/>
      <c r="D74" s="1356"/>
      <c r="E74" s="1356"/>
      <c r="F74" s="1356"/>
      <c r="G74" s="1356"/>
      <c r="H74" s="1356"/>
      <c r="I74" s="1356"/>
      <c r="J74" s="1356"/>
      <c r="K74" s="1356"/>
      <c r="L74" s="1356"/>
      <c r="M74" s="1356"/>
      <c r="N74" s="1357"/>
      <c r="O74" s="1361"/>
      <c r="Q74" s="1392"/>
      <c r="R74" s="1393"/>
      <c r="S74" s="1394"/>
      <c r="T74" s="1395"/>
    </row>
    <row r="75" spans="1:20" x14ac:dyDescent="0.2">
      <c r="A75" s="1355" t="s">
        <v>10312</v>
      </c>
      <c r="B75" s="1396">
        <f t="shared" ref="B75:N75" si="14">+B89</f>
        <v>-12184000</v>
      </c>
      <c r="C75" s="1396">
        <f t="shared" si="14"/>
        <v>6845000</v>
      </c>
      <c r="D75" s="1396">
        <f t="shared" si="14"/>
        <v>6373000</v>
      </c>
      <c r="E75" s="1396">
        <f t="shared" si="14"/>
        <v>2789000</v>
      </c>
      <c r="F75" s="1396">
        <f t="shared" si="14"/>
        <v>-8859000</v>
      </c>
      <c r="G75" s="1396">
        <f t="shared" si="14"/>
        <v>-3716000</v>
      </c>
      <c r="H75" s="1396">
        <f t="shared" si="14"/>
        <v>-9568000</v>
      </c>
      <c r="I75" s="1396">
        <f t="shared" si="14"/>
        <v>967000</v>
      </c>
      <c r="J75" s="1396">
        <f t="shared" si="14"/>
        <v>8706000</v>
      </c>
      <c r="K75" s="1396">
        <f t="shared" si="14"/>
        <v>3476000</v>
      </c>
      <c r="L75" s="1396">
        <f t="shared" si="14"/>
        <v>5893000</v>
      </c>
      <c r="M75" s="1396">
        <f t="shared" si="14"/>
        <v>4137000</v>
      </c>
      <c r="N75" s="1397">
        <f t="shared" si="14"/>
        <v>4858000</v>
      </c>
      <c r="O75" s="1361"/>
      <c r="R75" s="1384"/>
      <c r="T75" s="1383"/>
    </row>
    <row r="76" spans="1:20" x14ac:dyDescent="0.2">
      <c r="A76" s="1355" t="s">
        <v>10313</v>
      </c>
      <c r="B76" s="1396">
        <v>450000</v>
      </c>
      <c r="C76" s="1396">
        <f t="shared" ref="C76:M76" si="15">B77</f>
        <v>449755.88410204649</v>
      </c>
      <c r="D76" s="1396">
        <f t="shared" si="15"/>
        <v>449527.83296960872</v>
      </c>
      <c r="E76" s="1396">
        <f t="shared" si="15"/>
        <v>449227.99817948975</v>
      </c>
      <c r="F76" s="1396">
        <f t="shared" si="15"/>
        <v>449403.85978896776</v>
      </c>
      <c r="G76" s="1396">
        <f t="shared" si="15"/>
        <v>449244.04243058944</v>
      </c>
      <c r="H76" s="1396">
        <f t="shared" si="15"/>
        <v>449367.56213593064</v>
      </c>
      <c r="I76" s="1396">
        <f t="shared" si="15"/>
        <v>449158.32766514411</v>
      </c>
      <c r="J76" s="1396">
        <f t="shared" si="15"/>
        <v>448923.11923842318</v>
      </c>
      <c r="K76" s="1396">
        <f t="shared" si="15"/>
        <v>448997.27933893539</v>
      </c>
      <c r="L76" s="1396">
        <f t="shared" si="15"/>
        <v>449121.56250834744</v>
      </c>
      <c r="M76" s="1396">
        <f t="shared" si="15"/>
        <v>448967.45222221501</v>
      </c>
      <c r="N76" s="1397">
        <f>B76</f>
        <v>450000</v>
      </c>
      <c r="O76" s="1361"/>
      <c r="R76" s="1384"/>
      <c r="T76" s="1383"/>
    </row>
    <row r="77" spans="1:20" s="1392" customFormat="1" x14ac:dyDescent="0.2">
      <c r="A77" s="1358" t="s">
        <v>10314</v>
      </c>
      <c r="B77" s="1369">
        <f t="shared" ref="B77:N77" si="16">SUM(B73-B75+B76)</f>
        <v>449755.88410204649</v>
      </c>
      <c r="C77" s="1369">
        <f t="shared" si="16"/>
        <v>449527.83296960872</v>
      </c>
      <c r="D77" s="1369">
        <f t="shared" si="16"/>
        <v>449227.99817948975</v>
      </c>
      <c r="E77" s="1369">
        <f t="shared" si="16"/>
        <v>449403.85978896776</v>
      </c>
      <c r="F77" s="1369">
        <f t="shared" si="16"/>
        <v>449244.04243058944</v>
      </c>
      <c r="G77" s="1369">
        <f t="shared" si="16"/>
        <v>449367.56213593064</v>
      </c>
      <c r="H77" s="1369">
        <f t="shared" si="16"/>
        <v>449158.32766514411</v>
      </c>
      <c r="I77" s="1369">
        <f t="shared" si="16"/>
        <v>448923.11923842318</v>
      </c>
      <c r="J77" s="1369">
        <f t="shared" si="16"/>
        <v>448997.27933893539</v>
      </c>
      <c r="K77" s="1369">
        <f t="shared" si="16"/>
        <v>449121.56250834744</v>
      </c>
      <c r="L77" s="1369">
        <f t="shared" si="16"/>
        <v>448967.45222221501</v>
      </c>
      <c r="M77" s="1369">
        <f t="shared" si="16"/>
        <v>448550.4703730694</v>
      </c>
      <c r="N77" s="1370">
        <f t="shared" si="16"/>
        <v>449550.47037314996</v>
      </c>
      <c r="Q77" s="1390"/>
      <c r="R77" s="1391"/>
      <c r="S77" s="1385"/>
      <c r="T77" s="1386"/>
    </row>
    <row r="78" spans="1:20" x14ac:dyDescent="0.2">
      <c r="A78" s="1355"/>
      <c r="B78" s="1356"/>
      <c r="C78" s="1356"/>
      <c r="D78" s="1356"/>
      <c r="E78" s="1356"/>
      <c r="F78" s="1356"/>
      <c r="G78" s="1356"/>
      <c r="H78" s="1356"/>
      <c r="I78" s="1356"/>
      <c r="J78" s="1356"/>
      <c r="K78" s="1356"/>
      <c r="L78" s="1356"/>
      <c r="M78" s="1356"/>
      <c r="N78" s="1357"/>
      <c r="Q78" s="1398"/>
      <c r="R78" s="1393"/>
      <c r="S78" s="1394"/>
      <c r="T78" s="1395"/>
    </row>
    <row r="79" spans="1:20" x14ac:dyDescent="0.2">
      <c r="A79" s="1355" t="s">
        <v>10315</v>
      </c>
      <c r="B79" s="1399">
        <v>38621479</v>
      </c>
      <c r="C79" s="1356">
        <f t="shared" ref="C79:M79" si="17">SUM(B81+C75)</f>
        <v>33393242.620000001</v>
      </c>
      <c r="D79" s="1356">
        <f t="shared" si="17"/>
        <v>39876815.370000005</v>
      </c>
      <c r="E79" s="1356">
        <f t="shared" si="17"/>
        <v>42764847.290000007</v>
      </c>
      <c r="F79" s="1356">
        <f t="shared" si="17"/>
        <v>33992731.250000007</v>
      </c>
      <c r="G79" s="1356">
        <f t="shared" si="17"/>
        <v>30392844.970000006</v>
      </c>
      <c r="H79" s="1356">
        <f t="shared" si="17"/>
        <v>20891246.790000007</v>
      </c>
      <c r="I79" s="1356">
        <f t="shared" si="17"/>
        <v>21965496.850000005</v>
      </c>
      <c r="J79" s="1356">
        <f t="shared" si="17"/>
        <v>30757744.960000005</v>
      </c>
      <c r="K79" s="1356">
        <f t="shared" si="17"/>
        <v>34297374.820000008</v>
      </c>
      <c r="L79" s="1356">
        <f t="shared" si="17"/>
        <v>40266860.270000011</v>
      </c>
      <c r="M79" s="1356">
        <f t="shared" si="17"/>
        <v>44507479.56000001</v>
      </c>
      <c r="N79" s="1357">
        <f>B79</f>
        <v>38621479</v>
      </c>
      <c r="R79" s="1384"/>
      <c r="S79" s="1385"/>
      <c r="T79" s="1400"/>
    </row>
    <row r="80" spans="1:20" x14ac:dyDescent="0.2">
      <c r="A80" s="1355" t="s">
        <v>10316</v>
      </c>
      <c r="B80" s="1356">
        <f>'Productos financieros 2014'!B11</f>
        <v>110763.62</v>
      </c>
      <c r="C80" s="1356">
        <f>'Productos financieros 2014'!C11</f>
        <v>110572.75</v>
      </c>
      <c r="D80" s="1356">
        <f>'Productos financieros 2014'!D11</f>
        <v>99031.92</v>
      </c>
      <c r="E80" s="1356">
        <f>'Productos financieros 2014'!E11</f>
        <v>86883.959999999992</v>
      </c>
      <c r="F80" s="1356">
        <f>'Productos financieros 2014'!F11</f>
        <v>116113.72</v>
      </c>
      <c r="G80" s="1356">
        <f>'Productos financieros 2014'!G11</f>
        <v>66401.819999999992</v>
      </c>
      <c r="H80" s="1356">
        <f>'Productos financieros 2014'!H11</f>
        <v>107250.06</v>
      </c>
      <c r="I80" s="1356">
        <f>'Productos financieros 2014'!I11</f>
        <v>86248.11</v>
      </c>
      <c r="J80" s="1356">
        <f>'Productos financieros 2014'!J11</f>
        <v>63629.86</v>
      </c>
      <c r="K80" s="1356">
        <f>'Productos financieros 2014'!K11</f>
        <v>76485.450000000012</v>
      </c>
      <c r="L80" s="1356">
        <f>'Productos financieros 2014'!L11</f>
        <v>103619.29</v>
      </c>
      <c r="M80" s="1356">
        <f>'Productos financieros 2014'!M11</f>
        <v>103619.29</v>
      </c>
      <c r="N80" s="1357">
        <f>SUM(B80:M80)</f>
        <v>1130619.8499999999</v>
      </c>
      <c r="O80" s="1389"/>
      <c r="Q80" s="1392"/>
      <c r="R80" s="1393"/>
      <c r="S80" s="1341">
        <f ca="1">SUM(B80:OFFSET(B80,0,[0]!MESACUMULADO-1))</f>
        <v>523365.97</v>
      </c>
      <c r="T80" s="1383"/>
    </row>
    <row r="81" spans="1:21" s="1392" customFormat="1" x14ac:dyDescent="0.2">
      <c r="A81" s="1401" t="s">
        <v>10317</v>
      </c>
      <c r="B81" s="1369">
        <f>SUM(B75+B79+B80)</f>
        <v>26548242.620000001</v>
      </c>
      <c r="C81" s="1369">
        <f t="shared" ref="C81:M81" si="18">SUM(C79:C80)</f>
        <v>33503815.370000001</v>
      </c>
      <c r="D81" s="1369">
        <f t="shared" si="18"/>
        <v>39975847.290000007</v>
      </c>
      <c r="E81" s="1369">
        <f t="shared" si="18"/>
        <v>42851731.250000007</v>
      </c>
      <c r="F81" s="1369">
        <f t="shared" si="18"/>
        <v>34108844.970000006</v>
      </c>
      <c r="G81" s="1369">
        <f t="shared" si="18"/>
        <v>30459246.790000007</v>
      </c>
      <c r="H81" s="1369">
        <f t="shared" si="18"/>
        <v>20998496.850000005</v>
      </c>
      <c r="I81" s="1369">
        <f t="shared" si="18"/>
        <v>22051744.960000005</v>
      </c>
      <c r="J81" s="1369">
        <f t="shared" si="18"/>
        <v>30821374.820000004</v>
      </c>
      <c r="K81" s="1369">
        <f t="shared" si="18"/>
        <v>34373860.270000011</v>
      </c>
      <c r="L81" s="1369">
        <f t="shared" si="18"/>
        <v>40370479.56000001</v>
      </c>
      <c r="M81" s="1369">
        <f t="shared" si="18"/>
        <v>44611098.850000009</v>
      </c>
      <c r="N81" s="1370">
        <f>SUM(N75+N79+N80)</f>
        <v>44610098.850000001</v>
      </c>
      <c r="P81" s="1402"/>
      <c r="R81" s="1393"/>
      <c r="S81" s="1394"/>
      <c r="T81" s="1383"/>
      <c r="U81" s="1340"/>
    </row>
    <row r="82" spans="1:21" x14ac:dyDescent="0.2">
      <c r="A82" s="1355"/>
      <c r="B82" s="1356"/>
      <c r="C82" s="1356"/>
      <c r="D82" s="1356"/>
      <c r="E82" s="1356"/>
      <c r="F82" s="1356"/>
      <c r="G82" s="1356"/>
      <c r="H82" s="1356"/>
      <c r="I82" s="1356"/>
      <c r="J82" s="1356"/>
      <c r="K82" s="1356"/>
      <c r="L82" s="1356"/>
      <c r="M82" s="1356"/>
      <c r="N82" s="1357"/>
      <c r="Q82" s="1392"/>
      <c r="R82" s="1393"/>
      <c r="S82" s="1394"/>
      <c r="T82" s="1383"/>
    </row>
    <row r="83" spans="1:21" s="1392" customFormat="1" ht="13.5" thickBot="1" x14ac:dyDescent="0.25">
      <c r="A83" s="1403" t="s">
        <v>10318</v>
      </c>
      <c r="B83" s="1404">
        <f t="shared" ref="B83:M83" si="19">B77+B81</f>
        <v>26997998.504102048</v>
      </c>
      <c r="C83" s="1404">
        <f t="shared" si="19"/>
        <v>33953343.202969611</v>
      </c>
      <c r="D83" s="1404">
        <f t="shared" si="19"/>
        <v>40425075.288179494</v>
      </c>
      <c r="E83" s="1404">
        <f t="shared" si="19"/>
        <v>43301135.109788977</v>
      </c>
      <c r="F83" s="1404">
        <f t="shared" si="19"/>
        <v>34558089.012430593</v>
      </c>
      <c r="G83" s="1404">
        <f t="shared" si="19"/>
        <v>30908614.352135938</v>
      </c>
      <c r="H83" s="1404">
        <f t="shared" si="19"/>
        <v>21447655.177665148</v>
      </c>
      <c r="I83" s="1404">
        <f t="shared" si="19"/>
        <v>22500668.07923843</v>
      </c>
      <c r="J83" s="1404">
        <f t="shared" si="19"/>
        <v>31270372.099338941</v>
      </c>
      <c r="K83" s="1404">
        <f t="shared" si="19"/>
        <v>34822981.832508355</v>
      </c>
      <c r="L83" s="1404">
        <f t="shared" si="19"/>
        <v>40819447.012222223</v>
      </c>
      <c r="M83" s="1404">
        <f t="shared" si="19"/>
        <v>45059649.320373081</v>
      </c>
      <c r="N83" s="1405">
        <f>SUM(N77+N81)</f>
        <v>45059649.320373148</v>
      </c>
      <c r="R83" s="1393"/>
      <c r="S83" s="1394"/>
      <c r="T83" s="1383"/>
      <c r="U83" s="1340"/>
    </row>
    <row r="84" spans="1:21" s="1027" customFormat="1" ht="13.5" thickTop="1" x14ac:dyDescent="0.2">
      <c r="B84" s="1406"/>
      <c r="C84" s="1406"/>
      <c r="D84" s="1406"/>
      <c r="E84" s="1406"/>
      <c r="F84" s="1406"/>
      <c r="G84" s="1406"/>
      <c r="H84" s="1406"/>
      <c r="I84" s="1406"/>
      <c r="J84" s="1406"/>
      <c r="K84" s="1406"/>
      <c r="L84" s="1406"/>
      <c r="M84" s="1406"/>
      <c r="N84" s="1406"/>
      <c r="O84" s="1407"/>
      <c r="P84" s="1341"/>
      <c r="Q84" s="1060"/>
      <c r="R84" s="1060"/>
      <c r="S84" s="1408"/>
      <c r="T84" s="1409"/>
    </row>
    <row r="85" spans="1:21" s="1027" customFormat="1" hidden="1" x14ac:dyDescent="0.2">
      <c r="B85" s="1410" t="s">
        <v>10319</v>
      </c>
      <c r="C85" s="1410" t="s">
        <v>10320</v>
      </c>
      <c r="D85" s="1410" t="s">
        <v>10321</v>
      </c>
      <c r="E85" s="1406"/>
      <c r="F85" s="1406"/>
      <c r="G85" s="1406"/>
      <c r="H85" s="1406"/>
      <c r="I85" s="1406"/>
      <c r="J85" s="1406"/>
      <c r="K85" s="1406"/>
      <c r="L85" s="1406"/>
      <c r="M85" s="1406"/>
      <c r="N85" s="1406"/>
      <c r="O85" s="1407"/>
      <c r="P85" s="1341"/>
      <c r="Q85" s="1060"/>
      <c r="R85" s="1060"/>
      <c r="S85" s="1408"/>
      <c r="T85" s="1409"/>
    </row>
    <row r="86" spans="1:21" s="1027" customFormat="1" hidden="1" x14ac:dyDescent="0.2">
      <c r="P86" s="1411"/>
      <c r="Q86" s="1060"/>
      <c r="R86" s="1060"/>
      <c r="S86" s="1408"/>
      <c r="T86" s="1409"/>
      <c r="U86" s="1412"/>
    </row>
    <row r="87" spans="1:21" s="1027" customFormat="1" hidden="1" x14ac:dyDescent="0.2">
      <c r="B87" s="1406">
        <f t="shared" ref="B87:N87" si="20">+B73/1000</f>
        <v>-12184.244115897953</v>
      </c>
      <c r="C87" s="1406">
        <f t="shared" si="20"/>
        <v>6844.7719488675621</v>
      </c>
      <c r="D87" s="1406">
        <f t="shared" si="20"/>
        <v>6372.7001652098807</v>
      </c>
      <c r="E87" s="1406">
        <f t="shared" si="20"/>
        <v>2789.175861609478</v>
      </c>
      <c r="F87" s="1406">
        <f t="shared" si="20"/>
        <v>-8859.1598173583789</v>
      </c>
      <c r="G87" s="1406">
        <f t="shared" si="20"/>
        <v>-3715.8764802946589</v>
      </c>
      <c r="H87" s="1406">
        <f t="shared" si="20"/>
        <v>-9568.2092344707871</v>
      </c>
      <c r="I87" s="1406">
        <f t="shared" si="20"/>
        <v>966.76479157327913</v>
      </c>
      <c r="J87" s="1406">
        <f t="shared" si="20"/>
        <v>8706.074160100512</v>
      </c>
      <c r="K87" s="1406">
        <f t="shared" si="20"/>
        <v>3476.1242831694121</v>
      </c>
      <c r="L87" s="1406">
        <f t="shared" si="20"/>
        <v>5892.845889713868</v>
      </c>
      <c r="M87" s="1406">
        <f t="shared" si="20"/>
        <v>4136.5830181508545</v>
      </c>
      <c r="N87" s="1406">
        <f t="shared" si="20"/>
        <v>4857.5504703731503</v>
      </c>
      <c r="P87" s="1411"/>
      <c r="Q87" s="1060"/>
      <c r="R87" s="1060"/>
      <c r="S87" s="1408"/>
      <c r="T87" s="1413"/>
    </row>
    <row r="88" spans="1:21" s="1027" customFormat="1" hidden="1" x14ac:dyDescent="0.2">
      <c r="B88" s="1406">
        <f t="shared" ref="B88:N88" si="21">+ROUND(B87,0)</f>
        <v>-12184</v>
      </c>
      <c r="C88" s="1406">
        <f t="shared" si="21"/>
        <v>6845</v>
      </c>
      <c r="D88" s="1406">
        <f t="shared" si="21"/>
        <v>6373</v>
      </c>
      <c r="E88" s="1406">
        <f t="shared" si="21"/>
        <v>2789</v>
      </c>
      <c r="F88" s="1406">
        <f t="shared" si="21"/>
        <v>-8859</v>
      </c>
      <c r="G88" s="1406">
        <f t="shared" si="21"/>
        <v>-3716</v>
      </c>
      <c r="H88" s="1406">
        <f t="shared" si="21"/>
        <v>-9568</v>
      </c>
      <c r="I88" s="1406">
        <f t="shared" si="21"/>
        <v>967</v>
      </c>
      <c r="J88" s="1406">
        <f t="shared" si="21"/>
        <v>8706</v>
      </c>
      <c r="K88" s="1406">
        <f t="shared" si="21"/>
        <v>3476</v>
      </c>
      <c r="L88" s="1406">
        <f t="shared" si="21"/>
        <v>5893</v>
      </c>
      <c r="M88" s="1406">
        <f t="shared" si="21"/>
        <v>4137</v>
      </c>
      <c r="N88" s="1406">
        <f t="shared" si="21"/>
        <v>4858</v>
      </c>
      <c r="P88" s="1411"/>
      <c r="S88" s="1411"/>
      <c r="T88" s="1414"/>
    </row>
    <row r="89" spans="1:21" hidden="1" x14ac:dyDescent="0.2">
      <c r="B89" s="1027">
        <f t="shared" ref="B89:N89" si="22">+B88*1000</f>
        <v>-12184000</v>
      </c>
      <c r="C89" s="1027">
        <f t="shared" si="22"/>
        <v>6845000</v>
      </c>
      <c r="D89" s="1027">
        <f t="shared" si="22"/>
        <v>6373000</v>
      </c>
      <c r="E89" s="1027">
        <f t="shared" si="22"/>
        <v>2789000</v>
      </c>
      <c r="F89" s="1027">
        <f t="shared" si="22"/>
        <v>-8859000</v>
      </c>
      <c r="G89" s="1027">
        <f t="shared" si="22"/>
        <v>-3716000</v>
      </c>
      <c r="H89" s="1027">
        <f t="shared" si="22"/>
        <v>-9568000</v>
      </c>
      <c r="I89" s="1027">
        <f t="shared" si="22"/>
        <v>967000</v>
      </c>
      <c r="J89" s="1027">
        <f t="shared" si="22"/>
        <v>8706000</v>
      </c>
      <c r="K89" s="1027">
        <f t="shared" si="22"/>
        <v>3476000</v>
      </c>
      <c r="L89" s="1027">
        <f t="shared" si="22"/>
        <v>5893000</v>
      </c>
      <c r="M89" s="1027">
        <f t="shared" si="22"/>
        <v>4137000</v>
      </c>
      <c r="N89" s="1027">
        <f t="shared" si="22"/>
        <v>4858000</v>
      </c>
    </row>
    <row r="90" spans="1:21" hidden="1" x14ac:dyDescent="0.2"/>
    <row r="91" spans="1:21" hidden="1" x14ac:dyDescent="0.2">
      <c r="A91" s="1340" t="s">
        <v>10322</v>
      </c>
      <c r="B91" s="1415">
        <v>0</v>
      </c>
    </row>
    <row r="92" spans="1:21" hidden="1" x14ac:dyDescent="0.2">
      <c r="A92" s="1340" t="s">
        <v>10323</v>
      </c>
      <c r="B92" s="1415">
        <v>1</v>
      </c>
    </row>
    <row r="93" spans="1:21" hidden="1" x14ac:dyDescent="0.2"/>
    <row r="94" spans="1:21" hidden="1" x14ac:dyDescent="0.2">
      <c r="A94" s="1392" t="s">
        <v>10324</v>
      </c>
    </row>
    <row r="95" spans="1:21" hidden="1" x14ac:dyDescent="0.2">
      <c r="A95" s="1416" t="s">
        <v>10325</v>
      </c>
      <c r="B95" s="1417"/>
      <c r="C95" s="1418" t="s">
        <v>8</v>
      </c>
      <c r="D95" s="1418" t="s">
        <v>9</v>
      </c>
      <c r="E95" s="1418" t="s">
        <v>10</v>
      </c>
      <c r="F95" s="1418" t="s">
        <v>11</v>
      </c>
      <c r="G95" s="1418" t="s">
        <v>12</v>
      </c>
      <c r="H95" s="1418" t="s">
        <v>13</v>
      </c>
      <c r="I95" s="1418" t="s">
        <v>14</v>
      </c>
      <c r="J95" s="1418" t="s">
        <v>15</v>
      </c>
      <c r="K95" s="1418" t="s">
        <v>16</v>
      </c>
      <c r="L95" s="1418" t="s">
        <v>17</v>
      </c>
      <c r="M95" s="1418" t="s">
        <v>18</v>
      </c>
      <c r="N95" s="1418" t="s">
        <v>19</v>
      </c>
      <c r="P95" s="1341" t="s">
        <v>10326</v>
      </c>
    </row>
    <row r="96" spans="1:21" hidden="1" x14ac:dyDescent="0.2">
      <c r="A96" s="1339"/>
    </row>
    <row r="97" spans="1:17" hidden="1" x14ac:dyDescent="0.2">
      <c r="A97" s="1339" t="s">
        <v>10327</v>
      </c>
      <c r="C97" s="1340">
        <f>Edo.Res.detalle!D18</f>
        <v>1331785.4894819686</v>
      </c>
      <c r="D97" s="1340">
        <f>Edo.Res.detalle!E18</f>
        <v>2357352.6722991513</v>
      </c>
      <c r="E97" s="1340">
        <f>Edo.Res.detalle!F18</f>
        <v>2472584.940031419</v>
      </c>
      <c r="F97" s="1340">
        <f>Edo.Res.detalle!G18</f>
        <v>2904705.9440274229</v>
      </c>
      <c r="G97" s="1340">
        <f>Edo.Res.detalle!H18</f>
        <v>3878418.6063650846</v>
      </c>
      <c r="H97" s="1340">
        <f>Edo.Res.detalle!I18</f>
        <v>3768947.9520194307</v>
      </c>
      <c r="I97" s="1340">
        <f>Edo.Res.detalle!J18</f>
        <v>3987889.2607107395</v>
      </c>
      <c r="J97" s="1340">
        <f>Edo.Res.detalle!K18</f>
        <v>3878418.6063650846</v>
      </c>
      <c r="K97" s="1340">
        <f>Edo.Res.detalle!L18</f>
        <v>3768947.9520194307</v>
      </c>
      <c r="L97" s="1340">
        <f>Edo.Res.detalle!M18</f>
        <v>3987889.2607107395</v>
      </c>
      <c r="M97" s="1340">
        <f>Edo.Res.detalle!N18</f>
        <v>3659477.2976737767</v>
      </c>
      <c r="N97" s="1340">
        <f>Edo.Res.detalle!O18</f>
        <v>3878418.6063650846</v>
      </c>
      <c r="P97" s="1341">
        <f>SUM(C97:O97)</f>
        <v>39874836.588069335</v>
      </c>
    </row>
    <row r="98" spans="1:17" hidden="1" x14ac:dyDescent="0.2">
      <c r="A98" s="1339" t="s">
        <v>10328</v>
      </c>
      <c r="B98" s="1415">
        <v>0.9</v>
      </c>
      <c r="C98" s="1340">
        <f t="shared" ref="C98:N98" si="23">(C97*$B$98)</f>
        <v>1198606.9405337716</v>
      </c>
      <c r="D98" s="1340">
        <f t="shared" si="23"/>
        <v>2121617.4050692362</v>
      </c>
      <c r="E98" s="1340">
        <f t="shared" si="23"/>
        <v>2225326.4460282773</v>
      </c>
      <c r="F98" s="1340">
        <f t="shared" si="23"/>
        <v>2614235.3496246808</v>
      </c>
      <c r="G98" s="1340">
        <f t="shared" si="23"/>
        <v>3490576.7457285761</v>
      </c>
      <c r="H98" s="1340">
        <f t="shared" si="23"/>
        <v>3392053.1568174879</v>
      </c>
      <c r="I98" s="1340">
        <f t="shared" si="23"/>
        <v>3589100.3346396657</v>
      </c>
      <c r="J98" s="1340">
        <f t="shared" si="23"/>
        <v>3490576.7457285761</v>
      </c>
      <c r="K98" s="1340">
        <f t="shared" si="23"/>
        <v>3392053.1568174879</v>
      </c>
      <c r="L98" s="1340">
        <f t="shared" si="23"/>
        <v>3589100.3346396657</v>
      </c>
      <c r="M98" s="1340">
        <f t="shared" si="23"/>
        <v>3293529.5679063993</v>
      </c>
      <c r="N98" s="1340">
        <f t="shared" si="23"/>
        <v>3490576.7457285761</v>
      </c>
    </row>
    <row r="99" spans="1:17" hidden="1" x14ac:dyDescent="0.2">
      <c r="A99" s="1339" t="s">
        <v>10329</v>
      </c>
      <c r="C99" s="1419">
        <v>900000</v>
      </c>
      <c r="D99" s="1419">
        <f t="shared" ref="D99:N99" si="24">C98</f>
        <v>1198606.9405337716</v>
      </c>
      <c r="E99" s="1419">
        <f t="shared" si="24"/>
        <v>2121617.4050692362</v>
      </c>
      <c r="F99" s="1419">
        <f t="shared" si="24"/>
        <v>2225326.4460282773</v>
      </c>
      <c r="G99" s="1419">
        <f t="shared" si="24"/>
        <v>2614235.3496246808</v>
      </c>
      <c r="H99" s="1419">
        <f t="shared" si="24"/>
        <v>3490576.7457285761</v>
      </c>
      <c r="I99" s="1419">
        <f t="shared" si="24"/>
        <v>3392053.1568174879</v>
      </c>
      <c r="J99" s="1419">
        <f t="shared" si="24"/>
        <v>3589100.3346396657</v>
      </c>
      <c r="K99" s="1419">
        <f t="shared" si="24"/>
        <v>3490576.7457285761</v>
      </c>
      <c r="L99" s="1419">
        <f t="shared" si="24"/>
        <v>3392053.1568174879</v>
      </c>
      <c r="M99" s="1419">
        <f t="shared" si="24"/>
        <v>3589100.3346396657</v>
      </c>
      <c r="N99" s="1419">
        <f t="shared" si="24"/>
        <v>3293529.5679063993</v>
      </c>
    </row>
    <row r="100" spans="1:17" hidden="1" x14ac:dyDescent="0.2">
      <c r="A100" s="1395" t="s">
        <v>10330</v>
      </c>
      <c r="C100" s="1392">
        <f t="shared" ref="C100:N100" si="25">(C97-C98+C99)</f>
        <v>1033178.5489481969</v>
      </c>
      <c r="D100" s="1392">
        <f t="shared" si="25"/>
        <v>1434342.2077636868</v>
      </c>
      <c r="E100" s="1392">
        <f t="shared" si="25"/>
        <v>2368875.8990723779</v>
      </c>
      <c r="F100" s="1392">
        <f t="shared" si="25"/>
        <v>2515797.0404310194</v>
      </c>
      <c r="G100" s="1392">
        <f t="shared" si="25"/>
        <v>3002077.2102611894</v>
      </c>
      <c r="H100" s="1392">
        <f t="shared" si="25"/>
        <v>3867471.5409305189</v>
      </c>
      <c r="I100" s="1392">
        <f t="shared" si="25"/>
        <v>3790842.0828885618</v>
      </c>
      <c r="J100" s="1392">
        <f t="shared" si="25"/>
        <v>3976942.1952761742</v>
      </c>
      <c r="K100" s="1392">
        <f t="shared" si="25"/>
        <v>3867471.5409305189</v>
      </c>
      <c r="L100" s="1392">
        <f t="shared" si="25"/>
        <v>3790842.0828885618</v>
      </c>
      <c r="M100" s="1392">
        <f t="shared" si="25"/>
        <v>3955048.0644070432</v>
      </c>
      <c r="N100" s="1392">
        <f t="shared" si="25"/>
        <v>3681371.4285429078</v>
      </c>
      <c r="O100" s="1340">
        <f>SUM(C100:N100)</f>
        <v>37284259.84234076</v>
      </c>
    </row>
    <row r="101" spans="1:17" hidden="1" x14ac:dyDescent="0.2">
      <c r="A101" s="1339"/>
    </row>
    <row r="102" spans="1:17" hidden="1" x14ac:dyDescent="0.2">
      <c r="A102" s="1416" t="s">
        <v>10272</v>
      </c>
      <c r="B102" s="1420"/>
      <c r="C102" s="1418" t="s">
        <v>8</v>
      </c>
      <c r="D102" s="1418" t="s">
        <v>9</v>
      </c>
      <c r="E102" s="1418" t="s">
        <v>10</v>
      </c>
      <c r="F102" s="1418" t="s">
        <v>11</v>
      </c>
      <c r="G102" s="1418" t="s">
        <v>12</v>
      </c>
      <c r="H102" s="1418" t="s">
        <v>13</v>
      </c>
      <c r="I102" s="1418" t="s">
        <v>14</v>
      </c>
      <c r="J102" s="1418" t="s">
        <v>15</v>
      </c>
      <c r="K102" s="1418" t="s">
        <v>16</v>
      </c>
      <c r="L102" s="1418" t="s">
        <v>17</v>
      </c>
      <c r="M102" s="1418" t="s">
        <v>18</v>
      </c>
      <c r="N102" s="1418" t="s">
        <v>19</v>
      </c>
    </row>
    <row r="103" spans="1:17" hidden="1" x14ac:dyDescent="0.2">
      <c r="A103" s="1339"/>
    </row>
    <row r="104" spans="1:17" hidden="1" x14ac:dyDescent="0.2">
      <c r="A104" s="1339" t="s">
        <v>10327</v>
      </c>
      <c r="C104" s="1340">
        <f>Edo.Res.detalle!D16</f>
        <v>24895038.528804429</v>
      </c>
      <c r="D104" s="1340">
        <f>Edo.Res.detalle!E16</f>
        <v>25246672.129938908</v>
      </c>
      <c r="E104" s="1340">
        <f>Edo.Res.detalle!F16</f>
        <v>26103872.654077869</v>
      </c>
      <c r="F104" s="1340">
        <f>Edo.Res.detalle!G16</f>
        <v>27552632.082968466</v>
      </c>
      <c r="G104" s="1340">
        <f>Edo.Res.detalle!H16</f>
        <v>26572986.006645367</v>
      </c>
      <c r="H104" s="1340">
        <f>Edo.Res.detalle!I16</f>
        <v>26701882.528764393</v>
      </c>
      <c r="I104" s="1340">
        <f>Edo.Res.detalle!J16</f>
        <v>29307796.170173898</v>
      </c>
      <c r="J104" s="1340">
        <f>Edo.Res.detalle!K16</f>
        <v>28702331.528790288</v>
      </c>
      <c r="K104" s="1340">
        <f>Edo.Res.detalle!L16</f>
        <v>25401321.796852015</v>
      </c>
      <c r="L104" s="1340">
        <f>Edo.Res.detalle!M16</f>
        <v>32801079.302175313</v>
      </c>
      <c r="M104" s="1340">
        <f>Edo.Res.detalle!N16</f>
        <v>29156576.823983856</v>
      </c>
      <c r="N104" s="1340">
        <f>Edo.Res.detalle!O16</f>
        <v>29155741.326305553</v>
      </c>
      <c r="P104" s="1341">
        <f>SUM(C104:O104)</f>
        <v>331597930.87948036</v>
      </c>
      <c r="Q104" s="1340">
        <f>SUM(P97+P104)</f>
        <v>371472767.46754968</v>
      </c>
    </row>
    <row r="105" spans="1:17" hidden="1" x14ac:dyDescent="0.2">
      <c r="A105" s="1339" t="s">
        <v>10328</v>
      </c>
      <c r="B105" s="1415">
        <v>0.3</v>
      </c>
      <c r="C105" s="1340">
        <f>(C104*50%)</f>
        <v>12447519.264402214</v>
      </c>
      <c r="D105" s="1340">
        <f t="shared" ref="D105:N105" si="26">(D104*$B$105)</f>
        <v>7574001.638981672</v>
      </c>
      <c r="E105" s="1340">
        <f t="shared" si="26"/>
        <v>7831161.7962233601</v>
      </c>
      <c r="F105" s="1340">
        <f t="shared" si="26"/>
        <v>8265789.6248905398</v>
      </c>
      <c r="G105" s="1340">
        <f t="shared" si="26"/>
        <v>7971895.8019936094</v>
      </c>
      <c r="H105" s="1340">
        <f t="shared" si="26"/>
        <v>8010564.7586293174</v>
      </c>
      <c r="I105" s="1340">
        <f t="shared" si="26"/>
        <v>8792338.8510521688</v>
      </c>
      <c r="J105" s="1340">
        <f t="shared" si="26"/>
        <v>8610699.4586370867</v>
      </c>
      <c r="K105" s="1340">
        <f t="shared" si="26"/>
        <v>7620396.5390556045</v>
      </c>
      <c r="L105" s="1340">
        <f t="shared" si="26"/>
        <v>9840323.7906525936</v>
      </c>
      <c r="M105" s="1340">
        <f t="shared" si="26"/>
        <v>8746973.047195157</v>
      </c>
      <c r="N105" s="1340">
        <f t="shared" si="26"/>
        <v>8746722.3978916649</v>
      </c>
      <c r="Q105" s="1340">
        <f>'[1]Estado de Resultados'!N26</f>
        <v>96252392.093495175</v>
      </c>
    </row>
    <row r="106" spans="1:17" hidden="1" x14ac:dyDescent="0.2">
      <c r="A106" s="1339" t="s">
        <v>10329</v>
      </c>
      <c r="C106" s="1421">
        <v>245000</v>
      </c>
      <c r="D106" s="1419">
        <f t="shared" ref="D106:N106" si="27">C105</f>
        <v>12447519.264402214</v>
      </c>
      <c r="E106" s="1419">
        <f t="shared" si="27"/>
        <v>7574001.638981672</v>
      </c>
      <c r="F106" s="1419">
        <f t="shared" si="27"/>
        <v>7831161.7962233601</v>
      </c>
      <c r="G106" s="1419">
        <f t="shared" si="27"/>
        <v>8265789.6248905398</v>
      </c>
      <c r="H106" s="1419">
        <f t="shared" si="27"/>
        <v>7971895.8019936094</v>
      </c>
      <c r="I106" s="1419">
        <f t="shared" si="27"/>
        <v>8010564.7586293174</v>
      </c>
      <c r="J106" s="1419">
        <f t="shared" si="27"/>
        <v>8792338.8510521688</v>
      </c>
      <c r="K106" s="1419">
        <f t="shared" si="27"/>
        <v>8610699.4586370867</v>
      </c>
      <c r="L106" s="1419">
        <f t="shared" si="27"/>
        <v>7620396.5390556045</v>
      </c>
      <c r="M106" s="1419">
        <f t="shared" si="27"/>
        <v>9840323.7906525936</v>
      </c>
      <c r="N106" s="1419">
        <f t="shared" si="27"/>
        <v>8746973.047195157</v>
      </c>
      <c r="Q106" s="1340">
        <f>+Q104-Q105</f>
        <v>275220375.37405449</v>
      </c>
    </row>
    <row r="107" spans="1:17" hidden="1" x14ac:dyDescent="0.2">
      <c r="A107" s="1395" t="s">
        <v>10330</v>
      </c>
      <c r="C107" s="1392">
        <f t="shared" ref="C107:N107" si="28">SUM(C104-C105+C106)</f>
        <v>12692519.264402214</v>
      </c>
      <c r="D107" s="1392">
        <f t="shared" si="28"/>
        <v>30120189.755359452</v>
      </c>
      <c r="E107" s="1392">
        <f t="shared" si="28"/>
        <v>25846712.496836178</v>
      </c>
      <c r="F107" s="1392">
        <f t="shared" si="28"/>
        <v>27118004.254301287</v>
      </c>
      <c r="G107" s="1392">
        <f t="shared" si="28"/>
        <v>26866879.829542298</v>
      </c>
      <c r="H107" s="1392">
        <f t="shared" si="28"/>
        <v>26663213.572128683</v>
      </c>
      <c r="I107" s="1392">
        <f t="shared" si="28"/>
        <v>28526022.077751048</v>
      </c>
      <c r="J107" s="1392">
        <f t="shared" si="28"/>
        <v>28883970.921205368</v>
      </c>
      <c r="K107" s="1392">
        <f t="shared" si="28"/>
        <v>26391624.716433495</v>
      </c>
      <c r="L107" s="1392">
        <f t="shared" si="28"/>
        <v>30581152.050578322</v>
      </c>
      <c r="M107" s="1392">
        <f t="shared" si="28"/>
        <v>30249927.567441292</v>
      </c>
      <c r="N107" s="1392">
        <f t="shared" si="28"/>
        <v>29155991.975609049</v>
      </c>
      <c r="O107" s="1340">
        <f>SUM(C107:N107)</f>
        <v>323096208.48158872</v>
      </c>
    </row>
    <row r="108" spans="1:17" hidden="1" x14ac:dyDescent="0.2">
      <c r="A108" s="1339"/>
      <c r="O108" s="1340">
        <f>SUM(O100+O107)</f>
        <v>360380468.32392949</v>
      </c>
    </row>
    <row r="109" spans="1:17" hidden="1" x14ac:dyDescent="0.2">
      <c r="C109" s="1340">
        <f t="shared" ref="C109:N109" si="29">SUM(C98+C105)</f>
        <v>13646126.204935987</v>
      </c>
      <c r="D109" s="1340">
        <f t="shared" si="29"/>
        <v>9695619.0440509077</v>
      </c>
      <c r="E109" s="1340">
        <f t="shared" si="29"/>
        <v>10056488.242251638</v>
      </c>
      <c r="F109" s="1340">
        <f t="shared" si="29"/>
        <v>10880024.97451522</v>
      </c>
      <c r="G109" s="1340">
        <f t="shared" si="29"/>
        <v>11462472.547722185</v>
      </c>
      <c r="H109" s="1340">
        <f t="shared" si="29"/>
        <v>11402617.915446805</v>
      </c>
      <c r="I109" s="1340">
        <f t="shared" si="29"/>
        <v>12381439.185691833</v>
      </c>
      <c r="J109" s="1340">
        <f t="shared" si="29"/>
        <v>12101276.204365663</v>
      </c>
      <c r="K109" s="1340">
        <f t="shared" si="29"/>
        <v>11012449.695873093</v>
      </c>
      <c r="L109" s="1340">
        <f t="shared" si="29"/>
        <v>13429424.12529226</v>
      </c>
      <c r="M109" s="1340">
        <f t="shared" si="29"/>
        <v>12040502.615101557</v>
      </c>
      <c r="N109" s="1340">
        <f t="shared" si="29"/>
        <v>12237299.143620241</v>
      </c>
    </row>
    <row r="110" spans="1:17" hidden="1" x14ac:dyDescent="0.2">
      <c r="A110" s="1394" t="s">
        <v>10331</v>
      </c>
      <c r="B110" s="1341" t="s">
        <v>10332</v>
      </c>
      <c r="C110" s="1340">
        <f>+B112/12</f>
        <v>30.416666666666668</v>
      </c>
      <c r="D110" s="1340">
        <f t="shared" ref="D110:N110" si="30">+C110</f>
        <v>30.416666666666668</v>
      </c>
      <c r="E110" s="1340">
        <f t="shared" si="30"/>
        <v>30.416666666666668</v>
      </c>
      <c r="F110" s="1340">
        <f t="shared" si="30"/>
        <v>30.416666666666668</v>
      </c>
      <c r="G110" s="1340">
        <f t="shared" si="30"/>
        <v>30.416666666666668</v>
      </c>
      <c r="H110" s="1340">
        <f t="shared" si="30"/>
        <v>30.416666666666668</v>
      </c>
      <c r="I110" s="1340">
        <f t="shared" si="30"/>
        <v>30.416666666666668</v>
      </c>
      <c r="J110" s="1340">
        <f t="shared" si="30"/>
        <v>30.416666666666668</v>
      </c>
      <c r="K110" s="1340">
        <f t="shared" si="30"/>
        <v>30.416666666666668</v>
      </c>
      <c r="L110" s="1340">
        <f t="shared" si="30"/>
        <v>30.416666666666668</v>
      </c>
      <c r="M110" s="1340">
        <f t="shared" si="30"/>
        <v>30.416666666666668</v>
      </c>
      <c r="N110" s="1340">
        <f t="shared" si="30"/>
        <v>30.416666666666668</v>
      </c>
      <c r="O110" s="1340">
        <f>+SUM(C110:N110)</f>
        <v>365.00000000000006</v>
      </c>
    </row>
    <row r="111" spans="1:17" hidden="1" x14ac:dyDescent="0.2">
      <c r="A111" s="1422" t="s">
        <v>10333</v>
      </c>
      <c r="B111" s="1423">
        <f>+'[1]Bases Macroeconomicas'!B25</f>
        <v>3.7499999999999999E-2</v>
      </c>
      <c r="C111" s="1340">
        <f t="shared" ref="C111:N111" si="31">IF(B79*$B$111/$B$112*C110&gt;0,B79*$B$111/$B$112*C110,0)</f>
        <v>120692.121875</v>
      </c>
      <c r="D111" s="1340">
        <f t="shared" si="31"/>
        <v>104353.8831875</v>
      </c>
      <c r="E111" s="1340">
        <f t="shared" si="31"/>
        <v>124615.04803125001</v>
      </c>
      <c r="F111" s="1340">
        <f t="shared" si="31"/>
        <v>133640.14778125001</v>
      </c>
      <c r="G111" s="1340">
        <f t="shared" si="31"/>
        <v>106227.28515625003</v>
      </c>
      <c r="H111" s="1340">
        <f t="shared" si="31"/>
        <v>94977.640531250028</v>
      </c>
      <c r="I111" s="1340">
        <f t="shared" si="31"/>
        <v>65285.146218750015</v>
      </c>
      <c r="J111" s="1340">
        <f t="shared" si="31"/>
        <v>68642.177656250016</v>
      </c>
      <c r="K111" s="1340">
        <f t="shared" si="31"/>
        <v>96117.953000000023</v>
      </c>
      <c r="L111" s="1340">
        <f t="shared" si="31"/>
        <v>107179.29631250002</v>
      </c>
      <c r="M111" s="1340">
        <f t="shared" si="31"/>
        <v>125833.93834375002</v>
      </c>
      <c r="N111" s="1340">
        <f t="shared" si="31"/>
        <v>139085.87362500004</v>
      </c>
    </row>
    <row r="112" spans="1:17" hidden="1" x14ac:dyDescent="0.2">
      <c r="A112" s="1341" t="s">
        <v>10334</v>
      </c>
      <c r="B112" s="1340">
        <v>365</v>
      </c>
    </row>
    <row r="113" spans="1:21" hidden="1" x14ac:dyDescent="0.2"/>
    <row r="114" spans="1:21" hidden="1" x14ac:dyDescent="0.2"/>
    <row r="115" spans="1:21" hidden="1" x14ac:dyDescent="0.2">
      <c r="C115" s="1340">
        <f t="shared" ref="C115:N115" si="32">+C107-C104</f>
        <v>-12202519.264402214</v>
      </c>
      <c r="D115" s="1340">
        <f t="shared" si="32"/>
        <v>4873517.6254205443</v>
      </c>
      <c r="E115" s="1340">
        <f t="shared" si="32"/>
        <v>-257160.1572416909</v>
      </c>
      <c r="F115" s="1340">
        <f t="shared" si="32"/>
        <v>-434627.82866717875</v>
      </c>
      <c r="G115" s="1340">
        <f t="shared" si="32"/>
        <v>293893.82289693132</v>
      </c>
      <c r="H115" s="1340">
        <f t="shared" si="32"/>
        <v>-38668.956635709852</v>
      </c>
      <c r="I115" s="1340">
        <f t="shared" si="32"/>
        <v>-781774.09242285043</v>
      </c>
      <c r="J115" s="1340">
        <f t="shared" si="32"/>
        <v>181639.39241508022</v>
      </c>
      <c r="K115" s="1340">
        <f t="shared" si="32"/>
        <v>990302.91958148032</v>
      </c>
      <c r="L115" s="1340">
        <f t="shared" si="32"/>
        <v>-2219927.251596991</v>
      </c>
      <c r="M115" s="1340">
        <f t="shared" si="32"/>
        <v>1093350.7434574366</v>
      </c>
      <c r="N115" s="1340">
        <f t="shared" si="32"/>
        <v>250.64930349588394</v>
      </c>
      <c r="O115" s="1424">
        <f>+SUM(C115:N115)</f>
        <v>-8501722.3978916667</v>
      </c>
      <c r="T115" s="1339">
        <f>+O115+T79</f>
        <v>-8501722.3978916667</v>
      </c>
    </row>
    <row r="116" spans="1:21" hidden="1" x14ac:dyDescent="0.2">
      <c r="A116" s="1340">
        <f>+O115</f>
        <v>-8501722.3978916667</v>
      </c>
    </row>
    <row r="117" spans="1:21" hidden="1" x14ac:dyDescent="0.2">
      <c r="B117" s="1027"/>
      <c r="C117" s="1027"/>
      <c r="D117" s="1027"/>
      <c r="E117" s="1027"/>
      <c r="F117" s="1027"/>
      <c r="G117" s="1027"/>
      <c r="H117" s="1027"/>
      <c r="I117" s="1027"/>
      <c r="J117" s="1027"/>
      <c r="K117" s="1027"/>
      <c r="L117" s="1027"/>
      <c r="M117" s="1027"/>
      <c r="N117" s="1027"/>
      <c r="O117" s="1027"/>
    </row>
    <row r="118" spans="1:21" ht="13.5" thickBot="1" x14ac:dyDescent="0.25">
      <c r="B118" s="1406"/>
      <c r="C118" s="1406"/>
      <c r="D118" s="1771">
        <v>41129863.918179497</v>
      </c>
      <c r="E118" s="1406"/>
      <c r="F118" s="1406"/>
      <c r="G118" s="1406"/>
      <c r="H118" s="1406"/>
      <c r="I118" s="1406"/>
      <c r="J118" s="1406"/>
      <c r="K118" s="1406"/>
      <c r="L118" s="1406"/>
      <c r="M118" s="1406"/>
      <c r="N118" s="1406"/>
      <c r="O118" s="1027"/>
    </row>
    <row r="119" spans="1:21" ht="13.5" thickTop="1" x14ac:dyDescent="0.2"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406"/>
      <c r="O119" s="1027"/>
    </row>
    <row r="120" spans="1:21" x14ac:dyDescent="0.2">
      <c r="B120" s="1406"/>
      <c r="C120" s="1406"/>
      <c r="D120" s="1406"/>
      <c r="E120" s="1406"/>
      <c r="F120" s="1406"/>
      <c r="G120" s="1406"/>
      <c r="H120" s="1406"/>
      <c r="I120" s="1406"/>
      <c r="J120" s="1406"/>
      <c r="K120" s="1406"/>
      <c r="L120" s="1406"/>
      <c r="M120" s="1406"/>
      <c r="N120" s="1027"/>
      <c r="O120" s="1027"/>
    </row>
    <row r="121" spans="1:21" x14ac:dyDescent="0.2">
      <c r="B121" s="1027"/>
      <c r="C121" s="1027"/>
      <c r="D121" s="1406">
        <f>D118-D83</f>
        <v>704788.63000000268</v>
      </c>
      <c r="E121" s="1027"/>
      <c r="F121" s="1027"/>
      <c r="G121" s="1027"/>
      <c r="H121" s="1027"/>
      <c r="I121" s="1027"/>
      <c r="J121" s="1027"/>
      <c r="K121" s="1027"/>
      <c r="L121" s="1027"/>
      <c r="M121" s="1027"/>
      <c r="N121" s="1027"/>
      <c r="O121" s="1027"/>
    </row>
    <row r="122" spans="1:21" s="1341" customFormat="1" x14ac:dyDescent="0.2">
      <c r="A122" s="1340"/>
      <c r="B122" s="1027"/>
      <c r="C122" s="1027"/>
      <c r="D122" s="1027"/>
      <c r="E122" s="1027"/>
      <c r="F122" s="1027"/>
      <c r="G122" s="1027"/>
      <c r="H122" s="1027"/>
      <c r="I122" s="1027"/>
      <c r="J122" s="1027"/>
      <c r="K122" s="1027"/>
      <c r="L122" s="1027"/>
      <c r="M122" s="1027"/>
      <c r="N122" s="1027"/>
      <c r="O122" s="1027"/>
      <c r="Q122" s="1340"/>
      <c r="R122" s="1340"/>
      <c r="T122" s="1339"/>
      <c r="U122" s="1340"/>
    </row>
    <row r="123" spans="1:21" s="1341" customFormat="1" x14ac:dyDescent="0.2">
      <c r="A123" s="1340"/>
      <c r="B123" s="1027"/>
      <c r="C123" s="1027"/>
      <c r="D123" s="1027"/>
      <c r="E123" s="1027"/>
      <c r="F123" s="1027"/>
      <c r="G123" s="1027"/>
      <c r="H123" s="1027"/>
      <c r="I123" s="1027"/>
      <c r="J123" s="1027"/>
      <c r="K123" s="1027"/>
      <c r="L123" s="1027"/>
      <c r="M123" s="1027"/>
      <c r="N123" s="1027"/>
      <c r="O123" s="1027"/>
      <c r="Q123" s="1340"/>
      <c r="R123" s="1340"/>
      <c r="T123" s="1339"/>
      <c r="U123" s="1340"/>
    </row>
    <row r="124" spans="1:21" s="1341" customFormat="1" hidden="1" x14ac:dyDescent="0.2">
      <c r="A124" s="1340" t="s">
        <v>10335</v>
      </c>
      <c r="B124" s="1027"/>
      <c r="C124" s="1425">
        <v>1136444.0055078717</v>
      </c>
      <c r="D124" s="1425">
        <v>674606.65791333455</v>
      </c>
      <c r="E124" s="1425">
        <v>2616170.9361020555</v>
      </c>
      <c r="F124" s="1425">
        <v>561780.48098052992</v>
      </c>
      <c r="G124" s="1425">
        <v>1628232.6784345573</v>
      </c>
      <c r="H124" s="1425">
        <v>664617.67829929851</v>
      </c>
      <c r="I124" s="1425">
        <v>2149376.8306740681</v>
      </c>
      <c r="J124" s="1425">
        <v>825281.12760987633</v>
      </c>
      <c r="K124" s="1425">
        <v>2119846.817840524</v>
      </c>
      <c r="L124" s="1425">
        <v>679177.7839400731</v>
      </c>
      <c r="M124" s="1425">
        <v>1930449.8139458289</v>
      </c>
      <c r="N124" s="1425">
        <v>740387.29094715626</v>
      </c>
      <c r="O124" s="1027"/>
      <c r="Q124" s="1340"/>
      <c r="R124" s="1340"/>
      <c r="T124" s="1339"/>
      <c r="U124" s="1340"/>
    </row>
  </sheetData>
  <printOptions horizontalCentered="1" gridLinesSet="0"/>
  <pageMargins left="0.75" right="0.75" top="0.39370078740157483" bottom="1" header="0" footer="0"/>
  <pageSetup scale="43" orientation="landscape" horizontalDpi="360" verticalDpi="300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002060"/>
  </sheetPr>
  <dimension ref="A1:P128"/>
  <sheetViews>
    <sheetView zoomScale="110" zoomScaleNormal="110" workbookViewId="0">
      <pane xSplit="1" ySplit="6" topLeftCell="C37" activePane="bottomRight" state="frozen"/>
      <selection pane="topRight" activeCell="B1" sqref="B1"/>
      <selection pane="bottomLeft" activeCell="A7" sqref="A7"/>
      <selection pane="bottomRight" activeCell="C50" sqref="C50"/>
    </sheetView>
  </sheetViews>
  <sheetFormatPr baseColWidth="10" defaultRowHeight="12.75" x14ac:dyDescent="0.2"/>
  <cols>
    <col min="1" max="1" width="38.7109375" customWidth="1"/>
    <col min="2" max="3" width="13.140625" customWidth="1"/>
    <col min="4" max="4" width="12.85546875" customWidth="1"/>
    <col min="5" max="6" width="13.5703125" customWidth="1"/>
    <col min="7" max="9" width="14.42578125" bestFit="1" customWidth="1"/>
    <col min="10" max="10" width="14.85546875" customWidth="1"/>
    <col min="11" max="11" width="14.5703125" customWidth="1"/>
    <col min="12" max="12" width="14.28515625" customWidth="1"/>
    <col min="13" max="13" width="13" customWidth="1"/>
    <col min="14" max="14" width="13.5703125" customWidth="1"/>
    <col min="15" max="15" width="13.5703125" hidden="1" customWidth="1"/>
  </cols>
  <sheetData>
    <row r="1" spans="1:15" ht="13.5" thickBot="1" x14ac:dyDescent="0.25">
      <c r="A1" s="1023" t="s">
        <v>9982</v>
      </c>
      <c r="B1" s="1023"/>
      <c r="C1" s="1023"/>
      <c r="D1" s="1023"/>
      <c r="E1" s="1023"/>
      <c r="F1" s="1023"/>
      <c r="G1" s="1023"/>
      <c r="H1" s="1023"/>
      <c r="I1" s="112"/>
      <c r="J1" s="112"/>
      <c r="K1" s="112"/>
      <c r="L1" s="112"/>
      <c r="M1" s="112"/>
      <c r="N1" s="112"/>
      <c r="O1" s="112"/>
    </row>
    <row r="2" spans="1:15" ht="13.5" thickTop="1" x14ac:dyDescent="0.2">
      <c r="A2" s="1024" t="s">
        <v>9983</v>
      </c>
      <c r="B2" s="1133"/>
      <c r="C2" s="1133"/>
      <c r="D2" s="1133"/>
      <c r="E2" s="1133"/>
      <c r="F2" s="1133"/>
      <c r="G2" s="1133"/>
      <c r="H2" s="1133"/>
      <c r="I2" s="1133"/>
      <c r="J2" s="1133"/>
      <c r="K2" s="1133"/>
      <c r="L2" s="1133"/>
      <c r="M2" s="1133"/>
      <c r="N2" s="112"/>
      <c r="O2" s="112"/>
    </row>
    <row r="3" spans="1:15" x14ac:dyDescent="0.2">
      <c r="A3" s="1024" t="str">
        <f>balance_detalle!A3</f>
        <v>PRESUPUESTO  2014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2"/>
      <c r="O3" s="112"/>
    </row>
    <row r="4" spans="1:15" ht="13.5" thickBot="1" x14ac:dyDescent="0.25">
      <c r="A4" s="1022"/>
      <c r="B4" s="1022"/>
      <c r="C4" s="1022"/>
      <c r="D4" s="1022"/>
      <c r="E4" s="1022"/>
      <c r="F4" s="1022"/>
      <c r="G4" s="1022"/>
      <c r="H4" s="1022"/>
      <c r="I4" s="112"/>
      <c r="J4" s="112"/>
      <c r="K4" s="112"/>
      <c r="L4" s="112"/>
      <c r="M4" s="112"/>
      <c r="N4" s="112"/>
      <c r="O4" s="112"/>
    </row>
    <row r="5" spans="1:15" s="248" customFormat="1" ht="13.5" thickTop="1" x14ac:dyDescent="0.2">
      <c r="A5" s="1126"/>
      <c r="B5" s="1127" t="s">
        <v>172</v>
      </c>
      <c r="C5" s="1127" t="s">
        <v>173</v>
      </c>
      <c r="D5" s="1127" t="s">
        <v>174</v>
      </c>
      <c r="E5" s="1127" t="s">
        <v>175</v>
      </c>
      <c r="F5" s="1127" t="s">
        <v>176</v>
      </c>
      <c r="G5" s="1127" t="s">
        <v>177</v>
      </c>
      <c r="H5" s="1127" t="s">
        <v>178</v>
      </c>
      <c r="I5" s="1127" t="s">
        <v>179</v>
      </c>
      <c r="J5" s="1127" t="s">
        <v>187</v>
      </c>
      <c r="K5" s="1127" t="s">
        <v>181</v>
      </c>
      <c r="L5" s="1127" t="s">
        <v>186</v>
      </c>
      <c r="M5" s="1127" t="s">
        <v>185</v>
      </c>
      <c r="N5" s="1128" t="s">
        <v>135</v>
      </c>
      <c r="O5" s="1128"/>
    </row>
    <row r="6" spans="1:15" x14ac:dyDescent="0.2">
      <c r="A6" s="121" t="s">
        <v>81</v>
      </c>
      <c r="B6" s="135" t="s">
        <v>28</v>
      </c>
      <c r="C6" s="135" t="s">
        <v>28</v>
      </c>
      <c r="D6" s="135" t="s">
        <v>28</v>
      </c>
      <c r="E6" s="135" t="s">
        <v>28</v>
      </c>
      <c r="F6" s="135" t="s">
        <v>28</v>
      </c>
      <c r="G6" s="135" t="s">
        <v>28</v>
      </c>
      <c r="H6" s="135" t="s">
        <v>28</v>
      </c>
      <c r="I6" s="135" t="s">
        <v>28</v>
      </c>
      <c r="J6" s="135" t="s">
        <v>28</v>
      </c>
      <c r="K6" s="135" t="s">
        <v>28</v>
      </c>
      <c r="L6" s="135" t="s">
        <v>28</v>
      </c>
      <c r="M6" s="135" t="s">
        <v>28</v>
      </c>
      <c r="N6" s="136" t="s">
        <v>28</v>
      </c>
      <c r="O6" s="136"/>
    </row>
    <row r="7" spans="1:15" x14ac:dyDescent="0.2">
      <c r="A7" s="128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231"/>
      <c r="O7" s="231"/>
    </row>
    <row r="8" spans="1:15" x14ac:dyDescent="0.2">
      <c r="A8" s="124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8"/>
      <c r="O8" s="138"/>
    </row>
    <row r="9" spans="1:15" x14ac:dyDescent="0.2">
      <c r="A9" s="777" t="s">
        <v>212</v>
      </c>
      <c r="B9" s="177">
        <f>+Edo.Res.detalle!D59</f>
        <v>4019916.089038033</v>
      </c>
      <c r="C9" s="177">
        <f>+Edo.Res.detalle!E59</f>
        <v>2254290.3971491503</v>
      </c>
      <c r="D9" s="177">
        <f>+Edo.Res.detalle!F59</f>
        <v>7301960.6275772797</v>
      </c>
      <c r="E9" s="177">
        <f>+Edo.Res.detalle!G59</f>
        <v>4625346.1141567575</v>
      </c>
      <c r="F9" s="177">
        <f>+Edo.Res.detalle!H59</f>
        <v>3682707.7955570482</v>
      </c>
      <c r="G9" s="177">
        <f>+Edo.Res.detalle!I59</f>
        <v>2143120.0327396183</v>
      </c>
      <c r="H9" s="177">
        <f>+Edo.Res.detalle!J59</f>
        <v>4649642.4949716926</v>
      </c>
      <c r="I9" s="177">
        <f>+Edo.Res.detalle!K59</f>
        <v>4520403.6476528011</v>
      </c>
      <c r="J9" s="177">
        <f>+Edo.Res.detalle!L59</f>
        <v>7741042.5348592633</v>
      </c>
      <c r="K9" s="177">
        <f>+Edo.Res.detalle!M59</f>
        <v>7273384.138664634</v>
      </c>
      <c r="L9" s="177">
        <f>+Edo.Res.detalle!N59</f>
        <v>4264226.8583677681</v>
      </c>
      <c r="M9" s="177">
        <f>+Edo.Res.detalle!O59</f>
        <v>4348536.2953024954</v>
      </c>
      <c r="N9" s="232">
        <f>SUM(B9:M9)</f>
        <v>56824577.026036546</v>
      </c>
      <c r="O9" s="232">
        <f>+'[11]7'!$B$8</f>
        <v>49238213.667670406</v>
      </c>
    </row>
    <row r="10" spans="1:15" hidden="1" x14ac:dyDescent="0.2">
      <c r="A10" s="1025" t="s">
        <v>213</v>
      </c>
      <c r="B10" s="227">
        <v>0</v>
      </c>
      <c r="C10" s="227">
        <v>0</v>
      </c>
      <c r="D10" s="227">
        <v>0</v>
      </c>
      <c r="E10" s="227">
        <v>0</v>
      </c>
      <c r="F10" s="227">
        <v>0</v>
      </c>
      <c r="G10" s="227">
        <v>0</v>
      </c>
      <c r="H10" s="227">
        <v>0</v>
      </c>
      <c r="I10" s="227">
        <v>0</v>
      </c>
      <c r="J10" s="227">
        <v>0</v>
      </c>
      <c r="K10" s="227">
        <v>0</v>
      </c>
      <c r="L10" s="227">
        <v>0</v>
      </c>
      <c r="M10" s="227">
        <v>0</v>
      </c>
      <c r="N10" s="229">
        <f>SUM(B10:M10)</f>
        <v>0</v>
      </c>
      <c r="O10" s="229"/>
    </row>
    <row r="11" spans="1:15" hidden="1" x14ac:dyDescent="0.2">
      <c r="A11" s="1026" t="s">
        <v>214</v>
      </c>
      <c r="B11" s="177">
        <f t="shared" ref="B11:N11" si="0">+B9-B10</f>
        <v>4019916.089038033</v>
      </c>
      <c r="C11" s="177">
        <f t="shared" si="0"/>
        <v>2254290.3971491503</v>
      </c>
      <c r="D11" s="177">
        <f t="shared" si="0"/>
        <v>7301960.6275772797</v>
      </c>
      <c r="E11" s="177">
        <f t="shared" si="0"/>
        <v>4625346.1141567575</v>
      </c>
      <c r="F11" s="177">
        <f t="shared" si="0"/>
        <v>3682707.7955570482</v>
      </c>
      <c r="G11" s="177">
        <f t="shared" si="0"/>
        <v>2143120.0327396183</v>
      </c>
      <c r="H11" s="177">
        <f t="shared" si="0"/>
        <v>4649642.4949716926</v>
      </c>
      <c r="I11" s="177">
        <f t="shared" si="0"/>
        <v>4520403.6476528011</v>
      </c>
      <c r="J11" s="177">
        <f t="shared" si="0"/>
        <v>7741042.5348592633</v>
      </c>
      <c r="K11" s="177">
        <f t="shared" si="0"/>
        <v>7273384.138664634</v>
      </c>
      <c r="L11" s="177">
        <f t="shared" si="0"/>
        <v>4264226.8583677681</v>
      </c>
      <c r="M11" s="177">
        <f t="shared" si="0"/>
        <v>4348536.2953024954</v>
      </c>
      <c r="N11" s="232">
        <f t="shared" si="0"/>
        <v>56824577.026036546</v>
      </c>
      <c r="O11" s="232"/>
    </row>
    <row r="12" spans="1:15" x14ac:dyDescent="0.2">
      <c r="A12" s="1025"/>
      <c r="B12" s="175"/>
      <c r="C12" s="175"/>
      <c r="D12" s="175"/>
      <c r="E12" s="175"/>
      <c r="F12" s="175"/>
      <c r="G12" s="175"/>
      <c r="H12" s="175"/>
      <c r="I12" s="175"/>
      <c r="J12" s="175"/>
      <c r="K12" s="175"/>
      <c r="L12" s="175"/>
      <c r="M12" s="175"/>
      <c r="N12" s="233"/>
      <c r="O12" s="233"/>
    </row>
    <row r="13" spans="1:15" x14ac:dyDescent="0.2">
      <c r="A13" s="801" t="s">
        <v>10135</v>
      </c>
      <c r="B13" s="175">
        <f>+Edo.Res.detalle!D38</f>
        <v>1812968.9799999997</v>
      </c>
      <c r="C13" s="175">
        <f>+Edo.Res.detalle!E38</f>
        <v>1831138.0808333331</v>
      </c>
      <c r="D13" s="175">
        <f>+Edo.Res.detalle!F38</f>
        <v>1992241.7858333332</v>
      </c>
      <c r="E13" s="175">
        <f>+Edo.Res.detalle!G38</f>
        <v>2199947.5025000009</v>
      </c>
      <c r="F13" s="175">
        <f>+Edo.Res.detalle!H38</f>
        <v>2318845.5741666672</v>
      </c>
      <c r="G13" s="175">
        <f>+Edo.Res.detalle!I38</f>
        <v>2542217.5325000007</v>
      </c>
      <c r="H13" s="175">
        <f>+Edo.Res.detalle!J38</f>
        <v>2494366.1608333336</v>
      </c>
      <c r="I13" s="175">
        <f>+Edo.Res.detalle!K38</f>
        <v>2530082.0025000009</v>
      </c>
      <c r="J13" s="175">
        <f>+Edo.Res.detalle!L38</f>
        <v>2548373.6691666674</v>
      </c>
      <c r="K13" s="175">
        <f>+Edo.Res.detalle!M38</f>
        <v>2543686.205833334</v>
      </c>
      <c r="L13" s="175">
        <f>+Edo.Res.detalle!N38</f>
        <v>2420676.225833335</v>
      </c>
      <c r="M13" s="175">
        <f>+Edo.Res.detalle!O38</f>
        <v>2420365.7125000018</v>
      </c>
      <c r="N13" s="232">
        <f>SUM(B13:M13)</f>
        <v>27654909.432500005</v>
      </c>
      <c r="O13" s="232">
        <f>+'[11]7'!$B$12</f>
        <v>11996058.456863793</v>
      </c>
    </row>
    <row r="14" spans="1:15" hidden="1" x14ac:dyDescent="0.2">
      <c r="A14" s="1025" t="s">
        <v>213</v>
      </c>
      <c r="B14" s="224">
        <v>0</v>
      </c>
      <c r="C14" s="224">
        <v>0</v>
      </c>
      <c r="D14" s="224">
        <v>0</v>
      </c>
      <c r="E14" s="224">
        <v>0</v>
      </c>
      <c r="F14" s="224">
        <v>0</v>
      </c>
      <c r="G14" s="224">
        <v>0</v>
      </c>
      <c r="H14" s="224">
        <v>0</v>
      </c>
      <c r="I14" s="224">
        <v>0</v>
      </c>
      <c r="J14" s="224">
        <v>0</v>
      </c>
      <c r="K14" s="224">
        <v>0</v>
      </c>
      <c r="L14" s="224">
        <v>0</v>
      </c>
      <c r="M14" s="224">
        <v>0</v>
      </c>
      <c r="N14" s="229">
        <f>SUM(B14:M14)</f>
        <v>0</v>
      </c>
      <c r="O14" s="229"/>
    </row>
    <row r="15" spans="1:15" hidden="1" x14ac:dyDescent="0.2">
      <c r="A15" s="1026" t="s">
        <v>215</v>
      </c>
      <c r="B15" s="175">
        <f t="shared" ref="B15:N15" si="1">+B13-B14</f>
        <v>1812968.9799999997</v>
      </c>
      <c r="C15" s="175">
        <f t="shared" si="1"/>
        <v>1831138.0808333331</v>
      </c>
      <c r="D15" s="175">
        <f t="shared" si="1"/>
        <v>1992241.7858333332</v>
      </c>
      <c r="E15" s="175">
        <f t="shared" si="1"/>
        <v>2199947.5025000009</v>
      </c>
      <c r="F15" s="175">
        <f t="shared" si="1"/>
        <v>2318845.5741666672</v>
      </c>
      <c r="G15" s="175">
        <f t="shared" si="1"/>
        <v>2542217.5325000007</v>
      </c>
      <c r="H15" s="175">
        <f t="shared" si="1"/>
        <v>2494366.1608333336</v>
      </c>
      <c r="I15" s="175">
        <f t="shared" si="1"/>
        <v>2530082.0025000009</v>
      </c>
      <c r="J15" s="175">
        <f t="shared" si="1"/>
        <v>2548373.6691666674</v>
      </c>
      <c r="K15" s="175">
        <f t="shared" si="1"/>
        <v>2543686.205833334</v>
      </c>
      <c r="L15" s="175">
        <f t="shared" si="1"/>
        <v>2420676.225833335</v>
      </c>
      <c r="M15" s="175">
        <f t="shared" si="1"/>
        <v>2420365.7125000018</v>
      </c>
      <c r="N15" s="233">
        <f t="shared" si="1"/>
        <v>27654909.432500005</v>
      </c>
      <c r="O15" s="233"/>
    </row>
    <row r="16" spans="1:15" x14ac:dyDescent="0.2">
      <c r="A16" s="1025"/>
      <c r="B16" s="175"/>
      <c r="C16" s="175"/>
      <c r="D16" s="175"/>
      <c r="E16" s="175"/>
      <c r="F16" s="175"/>
      <c r="G16" s="175"/>
      <c r="H16" s="175"/>
      <c r="I16" s="175"/>
      <c r="J16" s="175"/>
      <c r="K16" s="175"/>
      <c r="L16" s="175"/>
      <c r="M16" s="175"/>
      <c r="N16" s="233"/>
      <c r="O16" s="233"/>
    </row>
    <row r="17" spans="1:15" x14ac:dyDescent="0.2">
      <c r="A17" s="1026" t="s">
        <v>83</v>
      </c>
      <c r="B17" s="212">
        <f>+B11+B15</f>
        <v>5832885.0690380326</v>
      </c>
      <c r="C17" s="212">
        <f>+C11+C15</f>
        <v>4085428.4779824833</v>
      </c>
      <c r="D17" s="212">
        <f>+D11+D15</f>
        <v>9294202.4134106133</v>
      </c>
      <c r="E17" s="212">
        <f t="shared" ref="E17:M17" si="2">+E11+E15</f>
        <v>6825293.6166567579</v>
      </c>
      <c r="F17" s="212">
        <f t="shared" si="2"/>
        <v>6001553.3697237149</v>
      </c>
      <c r="G17" s="212">
        <f t="shared" si="2"/>
        <v>4685337.5652396195</v>
      </c>
      <c r="H17" s="212">
        <f t="shared" si="2"/>
        <v>7144008.6558050262</v>
      </c>
      <c r="I17" s="212">
        <f t="shared" si="2"/>
        <v>7050485.6501528025</v>
      </c>
      <c r="J17" s="212">
        <f t="shared" si="2"/>
        <v>10289416.204025932</v>
      </c>
      <c r="K17" s="212">
        <f t="shared" si="2"/>
        <v>9817070.3444979675</v>
      </c>
      <c r="L17" s="212">
        <f t="shared" si="2"/>
        <v>6684903.0842011031</v>
      </c>
      <c r="M17" s="212">
        <f t="shared" si="2"/>
        <v>6768902.0078024976</v>
      </c>
      <c r="N17" s="214">
        <f>+N11+N15</f>
        <v>84479486.45853655</v>
      </c>
      <c r="O17" s="214"/>
    </row>
    <row r="18" spans="1:15" x14ac:dyDescent="0.2">
      <c r="A18" s="1025"/>
      <c r="B18" s="175"/>
      <c r="C18" s="175"/>
      <c r="D18" s="175"/>
      <c r="E18" s="175"/>
      <c r="F18" s="175"/>
      <c r="G18" s="175"/>
      <c r="H18" s="175"/>
      <c r="I18" s="175"/>
      <c r="J18" s="175"/>
      <c r="K18" s="175"/>
      <c r="L18" s="175"/>
      <c r="M18" s="175"/>
      <c r="N18" s="233"/>
      <c r="O18" s="233"/>
    </row>
    <row r="19" spans="1:15" x14ac:dyDescent="0.2">
      <c r="A19" s="1025" t="s">
        <v>84</v>
      </c>
      <c r="B19" s="177">
        <f>balance_detalle!C12-balance_detalle!B12</f>
        <v>12501126.204935983</v>
      </c>
      <c r="C19" s="177">
        <f>'Cuentas de Balance'!F88+5990763-6000000</f>
        <v>1028641.7878787881</v>
      </c>
      <c r="D19" s="177">
        <f>'Cuentas de Balance'!G88--1400000</f>
        <v>2146212.1212121211</v>
      </c>
      <c r="E19" s="177">
        <f>'Cuentas de Balance'!H88</f>
        <v>746212.12121212122</v>
      </c>
      <c r="F19" s="177">
        <f>'Cuentas de Balance'!I88</f>
        <v>746212.12121212122</v>
      </c>
      <c r="G19" s="177">
        <f>'Cuentas de Balance'!J88</f>
        <v>746212.12121212122</v>
      </c>
      <c r="H19" s="177">
        <f>'Cuentas de Balance'!K88</f>
        <v>746212.12121212122</v>
      </c>
      <c r="I19" s="177">
        <f>'Cuentas de Balance'!L88</f>
        <v>746212.12121212122</v>
      </c>
      <c r="J19" s="177">
        <f>'Cuentas de Balance'!M88</f>
        <v>746212.12121212122</v>
      </c>
      <c r="K19" s="177">
        <f>'Cuentas de Balance'!N88</f>
        <v>746212.12121212122</v>
      </c>
      <c r="L19" s="177">
        <f>'Cuentas de Balance'!O88</f>
        <v>746212.12121212122</v>
      </c>
      <c r="M19" s="177">
        <f>'Cuentas de Balance'!P88</f>
        <v>746212.12121212122</v>
      </c>
      <c r="N19" s="232">
        <f>SUM(B19:M19)</f>
        <v>22391889.204935983</v>
      </c>
      <c r="O19" s="232"/>
    </row>
    <row r="20" spans="1:15" x14ac:dyDescent="0.2">
      <c r="A20" s="1025"/>
      <c r="B20" s="176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232"/>
      <c r="O20" s="232"/>
    </row>
    <row r="21" spans="1:15" x14ac:dyDescent="0.2">
      <c r="A21" s="1025" t="s">
        <v>85</v>
      </c>
      <c r="B21" s="177">
        <f>balance_detalle!C16-balance_detalle!B16</f>
        <v>-637000</v>
      </c>
      <c r="C21" s="177">
        <f>balance_detalle!D16-balance_detalle!C16</f>
        <v>300000</v>
      </c>
      <c r="D21" s="177">
        <f>balance_detalle!E16-balance_detalle!D16</f>
        <v>-350000</v>
      </c>
      <c r="E21" s="177">
        <f>balance_detalle!F16-balance_detalle!E16</f>
        <v>-350000</v>
      </c>
      <c r="F21" s="177">
        <f>balance_detalle!G16-balance_detalle!F16</f>
        <v>350000</v>
      </c>
      <c r="G21" s="177">
        <f>balance_detalle!H16-balance_detalle!G16</f>
        <v>-300000</v>
      </c>
      <c r="H21" s="177">
        <f>balance_detalle!I16-balance_detalle!H16</f>
        <v>300000</v>
      </c>
      <c r="I21" s="177">
        <f>balance_detalle!J16-balance_detalle!I16</f>
        <v>300000</v>
      </c>
      <c r="J21" s="177">
        <f>balance_detalle!K16-balance_detalle!J16</f>
        <v>-150000</v>
      </c>
      <c r="K21" s="177">
        <f>balance_detalle!L16-balance_detalle!K16</f>
        <v>-180000</v>
      </c>
      <c r="L21" s="177">
        <f>balance_detalle!M16-balance_detalle!L16</f>
        <v>180000</v>
      </c>
      <c r="M21" s="177">
        <f>balance_detalle!N16-balance_detalle!M16</f>
        <v>180000</v>
      </c>
      <c r="N21" s="232">
        <f>SUM(B21:M21)</f>
        <v>-357000</v>
      </c>
      <c r="O21" s="232"/>
    </row>
    <row r="22" spans="1:15" x14ac:dyDescent="0.2">
      <c r="A22" s="1025"/>
      <c r="B22" s="176"/>
      <c r="C22" s="176"/>
      <c r="D22" s="176"/>
      <c r="E22" s="176"/>
      <c r="F22" s="176"/>
      <c r="G22" s="176"/>
      <c r="H22" s="176"/>
      <c r="I22" s="176"/>
      <c r="J22" s="176"/>
      <c r="K22" s="176"/>
      <c r="L22" s="176"/>
      <c r="M22" s="176"/>
      <c r="N22" s="232"/>
      <c r="O22" s="232"/>
    </row>
    <row r="23" spans="1:15" x14ac:dyDescent="0.2">
      <c r="A23" s="1025" t="s">
        <v>86</v>
      </c>
      <c r="B23" s="177">
        <f>balance_detalle!C37-balance_detalle!B37</f>
        <v>-2514193.9866642728</v>
      </c>
      <c r="C23" s="177">
        <f>+('Cuentas de Balance'!F55-'Cuentas de Balance'!E55)-('Cuentas de Balance'!E42-'Cuentas de Balance'!F42)-C125</f>
        <v>-3300915.3646583459</v>
      </c>
      <c r="D23" s="177">
        <f>+('Cuentas de Balance'!G55-'Cuentas de Balance'!F55)-('Cuentas de Balance'!F42-'Cuentas de Balance'!G42)-D125</f>
        <v>-1047481.5393063066</v>
      </c>
      <c r="E23" s="177">
        <f>+('Cuentas de Balance'!H55-'Cuentas de Balance'!G55)-('Cuentas de Balance'!G42-'Cuentas de Balance'!H42)-E125</f>
        <v>-1194197.6886733896</v>
      </c>
      <c r="F23" s="177">
        <f>+('Cuentas de Balance'!I55-'Cuentas de Balance'!H55)-('Cuentas de Balance'!H42-'Cuentas de Balance'!I42)-F125</f>
        <v>-4765003.7182405414</v>
      </c>
      <c r="G23" s="177">
        <f>+('Cuentas de Balance'!J55-'Cuentas de Balance'!I55)-('Cuentas de Balance'!I42-'Cuentas de Balance'!J42)-G125</f>
        <v>-1207195.5917525603</v>
      </c>
      <c r="H23" s="177">
        <f>+('Cuentas de Balance'!K55-'Cuentas de Balance'!J55)-('Cuentas de Balance'!J42-'Cuentas de Balance'!K42)-H125</f>
        <v>-1123876.2319549224</v>
      </c>
      <c r="I23" s="177">
        <f>+('Cuentas de Balance'!L55-'Cuentas de Balance'!K55)-('Cuentas de Balance'!K42-'Cuentas de Balance'!L42)-I125</f>
        <v>-3240760.9961478948</v>
      </c>
      <c r="J23" s="177">
        <f>+('Cuentas de Balance'!M55-'Cuentas de Balance'!L55)-('Cuentas de Balance'!L42-'Cuentas de Balance'!M42)-J125</f>
        <v>-685080.81271907815</v>
      </c>
      <c r="K23" s="177">
        <f>+('Cuentas de Balance'!N55-'Cuentas de Balance'!M55)-('Cuentas de Balance'!M42-'Cuentas de Balance'!N42)-K125</f>
        <v>-1111714.004662422</v>
      </c>
      <c r="L23" s="177">
        <f>+('Cuentas de Balance'!O55-'Cuentas de Balance'!N55)-('Cuentas de Balance'!N42-'Cuentas de Balance'!O42)-L125</f>
        <v>-935247.46506730223</v>
      </c>
      <c r="M23" s="177">
        <f>+('Cuentas de Balance'!P55-'Cuentas de Balance'!O55)-('Cuentas de Balance'!O42-'Cuentas de Balance'!P42)-M125</f>
        <v>-6072383.4705597842</v>
      </c>
      <c r="N23" s="177">
        <f>SUM(B23:M23)</f>
        <v>-27198050.870406814</v>
      </c>
      <c r="O23" s="232"/>
    </row>
    <row r="24" spans="1:15" x14ac:dyDescent="0.2">
      <c r="A24" s="1026"/>
      <c r="B24" s="224"/>
      <c r="C24" s="175"/>
      <c r="D24" s="175"/>
      <c r="E24" s="175"/>
      <c r="F24" s="175"/>
      <c r="G24" s="175"/>
      <c r="H24" s="175"/>
      <c r="I24" s="175"/>
      <c r="J24" s="175"/>
      <c r="K24" s="175"/>
      <c r="L24" s="175"/>
      <c r="M24" s="175"/>
      <c r="N24" s="233"/>
      <c r="O24" s="233"/>
    </row>
    <row r="25" spans="1:15" x14ac:dyDescent="0.2">
      <c r="A25" s="1026" t="s">
        <v>87</v>
      </c>
      <c r="B25" s="225">
        <f>SUM(B19:B24)</f>
        <v>9349932.21827171</v>
      </c>
      <c r="C25" s="225">
        <f>SUM(C19:C24)</f>
        <v>-1972273.5767795579</v>
      </c>
      <c r="D25" s="225">
        <f>SUM(D19:D24)</f>
        <v>748730.58190581447</v>
      </c>
      <c r="E25" s="225">
        <f t="shared" ref="E25:M25" si="3">SUM(E19:E24)</f>
        <v>-797985.56746126839</v>
      </c>
      <c r="F25" s="225">
        <f t="shared" si="3"/>
        <v>-3668791.5970284203</v>
      </c>
      <c r="G25" s="225">
        <f t="shared" si="3"/>
        <v>-760983.47054043913</v>
      </c>
      <c r="H25" s="225">
        <f t="shared" si="3"/>
        <v>-77664.110742801218</v>
      </c>
      <c r="I25" s="225">
        <f t="shared" si="3"/>
        <v>-2194548.8749357737</v>
      </c>
      <c r="J25" s="225">
        <f t="shared" si="3"/>
        <v>-88868.691506956937</v>
      </c>
      <c r="K25" s="225">
        <f t="shared" si="3"/>
        <v>-545501.88345030078</v>
      </c>
      <c r="L25" s="225">
        <f t="shared" si="3"/>
        <v>-9035.3438551810104</v>
      </c>
      <c r="M25" s="225">
        <f t="shared" si="3"/>
        <v>-5146171.3493476631</v>
      </c>
      <c r="N25" s="234">
        <f>SUM(N19:N24)</f>
        <v>-5163161.6654708311</v>
      </c>
      <c r="O25" s="234"/>
    </row>
    <row r="26" spans="1:15" x14ac:dyDescent="0.2">
      <c r="A26" s="1026"/>
      <c r="B26" s="175"/>
      <c r="C26" s="175"/>
      <c r="D26" s="175" t="s">
        <v>28</v>
      </c>
      <c r="E26" s="175" t="s">
        <v>28</v>
      </c>
      <c r="F26" s="175" t="s">
        <v>28</v>
      </c>
      <c r="G26" s="175" t="s">
        <v>28</v>
      </c>
      <c r="H26" s="175" t="s">
        <v>28</v>
      </c>
      <c r="I26" s="175" t="s">
        <v>28</v>
      </c>
      <c r="J26" s="175" t="s">
        <v>28</v>
      </c>
      <c r="K26" s="175" t="s">
        <v>28</v>
      </c>
      <c r="L26" s="175" t="s">
        <v>28</v>
      </c>
      <c r="M26" s="175" t="s">
        <v>28</v>
      </c>
      <c r="N26" s="233"/>
      <c r="O26" s="233"/>
    </row>
    <row r="27" spans="1:15" x14ac:dyDescent="0.2">
      <c r="A27" s="1026" t="s">
        <v>88</v>
      </c>
      <c r="B27" s="212">
        <f>+B17+B25</f>
        <v>15182817.287309743</v>
      </c>
      <c r="C27" s="212">
        <f>+C17+C25</f>
        <v>2113154.9012029255</v>
      </c>
      <c r="D27" s="212">
        <f>+D17+D25</f>
        <v>10042932.995316427</v>
      </c>
      <c r="E27" s="212">
        <f t="shared" ref="E27:M27" si="4">+E17+E25</f>
        <v>6027308.0491954898</v>
      </c>
      <c r="F27" s="212">
        <f t="shared" si="4"/>
        <v>2332761.7726952946</v>
      </c>
      <c r="G27" s="212">
        <f t="shared" si="4"/>
        <v>3924354.0946991802</v>
      </c>
      <c r="H27" s="212">
        <f t="shared" si="4"/>
        <v>7066344.5450622253</v>
      </c>
      <c r="I27" s="212">
        <f t="shared" si="4"/>
        <v>4855936.7752170283</v>
      </c>
      <c r="J27" s="212">
        <f t="shared" si="4"/>
        <v>10200547.512518974</v>
      </c>
      <c r="K27" s="212">
        <f t="shared" si="4"/>
        <v>9271568.4610476661</v>
      </c>
      <c r="L27" s="212">
        <f t="shared" si="4"/>
        <v>6675867.7403459223</v>
      </c>
      <c r="M27" s="212">
        <f t="shared" si="4"/>
        <v>1622730.6584548345</v>
      </c>
      <c r="N27" s="214">
        <f>+N17+N25</f>
        <v>79316324.793065727</v>
      </c>
      <c r="O27" s="214">
        <f>+'[11]7'!$B$30</f>
        <v>227893261.94322252</v>
      </c>
    </row>
    <row r="28" spans="1:15" x14ac:dyDescent="0.2">
      <c r="A28" s="1026"/>
      <c r="B28" s="175"/>
      <c r="C28" s="175"/>
      <c r="D28" s="175"/>
      <c r="E28" s="175"/>
      <c r="F28" s="175"/>
      <c r="G28" s="175"/>
      <c r="H28" s="175"/>
      <c r="I28" s="175"/>
      <c r="J28" s="175"/>
      <c r="K28" s="175"/>
      <c r="L28" s="175"/>
      <c r="M28" s="175"/>
      <c r="N28" s="233"/>
      <c r="O28" s="233"/>
    </row>
    <row r="29" spans="1:15" x14ac:dyDescent="0.2">
      <c r="A29" s="777" t="s">
        <v>89</v>
      </c>
      <c r="B29" s="175">
        <f>-Edo.Res.detalle!D48</f>
        <v>110763.62</v>
      </c>
      <c r="C29" s="175">
        <f>-Edo.Res.detalle!E48</f>
        <v>110572.75</v>
      </c>
      <c r="D29" s="175">
        <f>-Edo.Res.detalle!F48</f>
        <v>99031.92</v>
      </c>
      <c r="E29" s="175">
        <f>-Edo.Res.detalle!G48</f>
        <v>86883.959999999992</v>
      </c>
      <c r="F29" s="175">
        <f>-Edo.Res.detalle!H48</f>
        <v>116113.72</v>
      </c>
      <c r="G29" s="175">
        <f>-Edo.Res.detalle!I48</f>
        <v>66401.819999999992</v>
      </c>
      <c r="H29" s="175">
        <f>-Edo.Res.detalle!J48</f>
        <v>149578.02000000002</v>
      </c>
      <c r="I29" s="175">
        <f>-Edo.Res.detalle!K48</f>
        <v>43920.149999999987</v>
      </c>
      <c r="J29" s="175">
        <f>-Edo.Res.detalle!L48</f>
        <v>63629.86</v>
      </c>
      <c r="K29" s="175">
        <f>-Edo.Res.detalle!M48</f>
        <v>320474.86</v>
      </c>
      <c r="L29" s="175">
        <f>-Edo.Res.detalle!N48</f>
        <v>-36691.87000000001</v>
      </c>
      <c r="M29" s="175">
        <f>-Edo.Res.detalle!O48</f>
        <v>103619.29</v>
      </c>
      <c r="N29" s="232">
        <f>SUM(B29:M29)</f>
        <v>1234298.0999999999</v>
      </c>
      <c r="O29" s="232"/>
    </row>
    <row r="30" spans="1:15" hidden="1" x14ac:dyDescent="0.2">
      <c r="A30" s="1025" t="s">
        <v>213</v>
      </c>
      <c r="B30" s="224">
        <v>0</v>
      </c>
      <c r="C30" s="224">
        <v>0</v>
      </c>
      <c r="D30" s="224">
        <v>0</v>
      </c>
      <c r="E30" s="224">
        <v>0</v>
      </c>
      <c r="F30" s="224">
        <v>0</v>
      </c>
      <c r="G30" s="224">
        <v>0</v>
      </c>
      <c r="H30" s="224">
        <v>0</v>
      </c>
      <c r="I30" s="224">
        <v>0</v>
      </c>
      <c r="J30" s="224">
        <v>0</v>
      </c>
      <c r="K30" s="224">
        <v>0</v>
      </c>
      <c r="L30" s="224">
        <v>0</v>
      </c>
      <c r="M30" s="224">
        <v>0</v>
      </c>
      <c r="N30" s="229">
        <f>SUM(B30:M30)</f>
        <v>0</v>
      </c>
      <c r="O30" s="229"/>
    </row>
    <row r="31" spans="1:15" hidden="1" x14ac:dyDescent="0.2">
      <c r="A31" s="1025" t="s">
        <v>216</v>
      </c>
      <c r="B31" s="175">
        <f t="shared" ref="B31:N31" si="5">+B29-B30</f>
        <v>110763.62</v>
      </c>
      <c r="C31" s="175">
        <f t="shared" si="5"/>
        <v>110572.75</v>
      </c>
      <c r="D31" s="175">
        <f t="shared" si="5"/>
        <v>99031.92</v>
      </c>
      <c r="E31" s="175">
        <f t="shared" si="5"/>
        <v>86883.959999999992</v>
      </c>
      <c r="F31" s="175">
        <f t="shared" si="5"/>
        <v>116113.72</v>
      </c>
      <c r="G31" s="175">
        <f t="shared" si="5"/>
        <v>66401.819999999992</v>
      </c>
      <c r="H31" s="175">
        <f t="shared" si="5"/>
        <v>149578.02000000002</v>
      </c>
      <c r="I31" s="175">
        <f t="shared" si="5"/>
        <v>43920.149999999987</v>
      </c>
      <c r="J31" s="175">
        <f t="shared" si="5"/>
        <v>63629.86</v>
      </c>
      <c r="K31" s="175">
        <f t="shared" si="5"/>
        <v>320474.86</v>
      </c>
      <c r="L31" s="175">
        <f t="shared" si="5"/>
        <v>-36691.87000000001</v>
      </c>
      <c r="M31" s="175">
        <f t="shared" si="5"/>
        <v>103619.29</v>
      </c>
      <c r="N31" s="233">
        <f t="shared" si="5"/>
        <v>1234298.0999999999</v>
      </c>
      <c r="O31" s="233"/>
    </row>
    <row r="32" spans="1:15" x14ac:dyDescent="0.2">
      <c r="A32" s="1025"/>
      <c r="B32" s="175"/>
      <c r="C32" s="175"/>
      <c r="D32" s="175"/>
      <c r="E32" s="175"/>
      <c r="F32" s="175"/>
      <c r="G32" s="175"/>
      <c r="H32" s="175"/>
      <c r="I32" s="175"/>
      <c r="J32" s="175"/>
      <c r="K32" s="175"/>
      <c r="L32" s="175"/>
      <c r="M32" s="175"/>
      <c r="N32" s="232"/>
      <c r="O32" s="232"/>
    </row>
    <row r="33" spans="1:16" x14ac:dyDescent="0.2">
      <c r="A33" s="777" t="s">
        <v>90</v>
      </c>
      <c r="B33" s="177">
        <f>-Edo.Res.detalle!D49</f>
        <v>-545651.12</v>
      </c>
      <c r="C33" s="177">
        <f>-Edo.Res.detalle!E49</f>
        <v>-541460.76</v>
      </c>
      <c r="D33" s="177">
        <f>-Edo.Res.detalle!F49</f>
        <v>-537244.57999999996</v>
      </c>
      <c r="E33" s="177">
        <f>-Edo.Res.detalle!G49</f>
        <v>-533001.56999999995</v>
      </c>
      <c r="F33" s="177">
        <f>-Edo.Res.detalle!H49</f>
        <v>-528732.71</v>
      </c>
      <c r="G33" s="177">
        <f>-Edo.Res.detalle!I49</f>
        <v>-524435.01</v>
      </c>
      <c r="H33" s="177">
        <f>-Edo.Res.detalle!J49</f>
        <v>-520113.43</v>
      </c>
      <c r="I33" s="177">
        <f>-Edo.Res.detalle!K49</f>
        <v>-515761.98</v>
      </c>
      <c r="J33" s="177">
        <f>-Edo.Res.detalle!L49</f>
        <v>-511385.65</v>
      </c>
      <c r="K33" s="177">
        <f>-Edo.Res.detalle!M49</f>
        <v>-506979.41</v>
      </c>
      <c r="L33" s="177">
        <f>-Edo.Res.detalle!N49</f>
        <v>-502548.26</v>
      </c>
      <c r="M33" s="177">
        <f>-Edo.Res.detalle!O49</f>
        <v>-498088.19</v>
      </c>
      <c r="N33" s="232">
        <f>SUM(B33:M33)</f>
        <v>-6265402.6700000009</v>
      </c>
      <c r="O33" s="232"/>
    </row>
    <row r="34" spans="1:16" hidden="1" x14ac:dyDescent="0.2">
      <c r="A34" s="1025" t="s">
        <v>213</v>
      </c>
      <c r="B34" s="227">
        <v>0</v>
      </c>
      <c r="C34" s="227">
        <v>0</v>
      </c>
      <c r="D34" s="227">
        <v>0</v>
      </c>
      <c r="E34" s="227">
        <v>0</v>
      </c>
      <c r="F34" s="227">
        <v>0</v>
      </c>
      <c r="G34" s="227">
        <v>0</v>
      </c>
      <c r="H34" s="227">
        <v>0</v>
      </c>
      <c r="I34" s="227">
        <v>0</v>
      </c>
      <c r="J34" s="227">
        <v>0</v>
      </c>
      <c r="K34" s="227">
        <v>0</v>
      </c>
      <c r="L34" s="227">
        <v>0</v>
      </c>
      <c r="M34" s="227">
        <v>0</v>
      </c>
      <c r="N34" s="229">
        <f>SUM(B34:M34)</f>
        <v>0</v>
      </c>
      <c r="O34" s="229"/>
      <c r="P34" s="41"/>
    </row>
    <row r="35" spans="1:16" hidden="1" x14ac:dyDescent="0.2">
      <c r="A35" s="1025" t="s">
        <v>217</v>
      </c>
      <c r="B35" s="177">
        <f t="shared" ref="B35:N35" si="6">+B33-B34</f>
        <v>-545651.12</v>
      </c>
      <c r="C35" s="177">
        <f t="shared" si="6"/>
        <v>-541460.76</v>
      </c>
      <c r="D35" s="177">
        <f t="shared" si="6"/>
        <v>-537244.57999999996</v>
      </c>
      <c r="E35" s="177">
        <f t="shared" si="6"/>
        <v>-533001.56999999995</v>
      </c>
      <c r="F35" s="177">
        <f t="shared" si="6"/>
        <v>-528732.71</v>
      </c>
      <c r="G35" s="177">
        <f t="shared" si="6"/>
        <v>-524435.01</v>
      </c>
      <c r="H35" s="177">
        <f t="shared" si="6"/>
        <v>-520113.43</v>
      </c>
      <c r="I35" s="177">
        <f t="shared" si="6"/>
        <v>-515761.98</v>
      </c>
      <c r="J35" s="177">
        <f t="shared" si="6"/>
        <v>-511385.65</v>
      </c>
      <c r="K35" s="177">
        <f t="shared" si="6"/>
        <v>-506979.41</v>
      </c>
      <c r="L35" s="177">
        <f t="shared" si="6"/>
        <v>-502548.26</v>
      </c>
      <c r="M35" s="177">
        <f t="shared" si="6"/>
        <v>-498088.19</v>
      </c>
      <c r="N35" s="232">
        <f t="shared" si="6"/>
        <v>-6265402.6700000009</v>
      </c>
      <c r="O35" s="232"/>
    </row>
    <row r="36" spans="1:16" x14ac:dyDescent="0.2">
      <c r="A36" s="1025"/>
      <c r="B36" s="177"/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232"/>
      <c r="O36" s="232"/>
    </row>
    <row r="37" spans="1:16" x14ac:dyDescent="0.2">
      <c r="A37" s="777" t="s">
        <v>290</v>
      </c>
      <c r="B37" s="177">
        <f>'[10]ISR VALORES'!E$51</f>
        <v>0</v>
      </c>
      <c r="C37" s="177">
        <f>'[10]ISR VALORES'!F$51</f>
        <v>0</v>
      </c>
      <c r="D37" s="177">
        <f>'[10]ISR VALORES'!G$51</f>
        <v>447128.37300578924</v>
      </c>
      <c r="E37" s="177">
        <f>'[10]ISR VALORES'!H$51</f>
        <v>0</v>
      </c>
      <c r="F37" s="177">
        <f>'[10]ISR VALORES'!I$51</f>
        <v>0</v>
      </c>
      <c r="G37" s="177">
        <f>'[10]ISR VALORES'!J$51</f>
        <v>0</v>
      </c>
      <c r="H37" s="177">
        <f>'[10]ISR VALORES'!K$51</f>
        <v>0</v>
      </c>
      <c r="I37" s="177">
        <f>'[10]ISR VALORES'!L$51</f>
        <v>0</v>
      </c>
      <c r="J37" s="177">
        <f>'[10]ISR VALORES'!M$51</f>
        <v>1171216.3633835209</v>
      </c>
      <c r="K37" s="177">
        <f>'[10]ISR VALORES'!N$51</f>
        <v>644015.82252035569</v>
      </c>
      <c r="L37" s="177">
        <f>'[10]ISR VALORES'!O$51</f>
        <v>848854.33586236648</v>
      </c>
      <c r="M37" s="177">
        <f>'[10]ISR VALORES'!P$51</f>
        <v>378765.35094576702</v>
      </c>
      <c r="N37" s="232">
        <f>SUM(B37:M37)</f>
        <v>3489980.2457177993</v>
      </c>
      <c r="O37" s="232"/>
    </row>
    <row r="38" spans="1:16" hidden="1" x14ac:dyDescent="0.2">
      <c r="A38" s="1025" t="s">
        <v>213</v>
      </c>
      <c r="B38" s="227">
        <v>0</v>
      </c>
      <c r="C38" s="227">
        <v>0</v>
      </c>
      <c r="D38" s="227">
        <v>0</v>
      </c>
      <c r="E38" s="227">
        <v>0</v>
      </c>
      <c r="F38" s="227">
        <v>0</v>
      </c>
      <c r="G38" s="227">
        <v>0</v>
      </c>
      <c r="H38" s="227">
        <v>0</v>
      </c>
      <c r="I38" s="227">
        <v>0</v>
      </c>
      <c r="J38" s="227">
        <v>0</v>
      </c>
      <c r="K38" s="227">
        <v>0</v>
      </c>
      <c r="L38" s="227">
        <v>0</v>
      </c>
      <c r="M38" s="227">
        <v>0</v>
      </c>
      <c r="N38" s="229">
        <f>SUM(B38:M38)</f>
        <v>0</v>
      </c>
      <c r="O38" s="229"/>
    </row>
    <row r="39" spans="1:16" hidden="1" x14ac:dyDescent="0.2">
      <c r="A39" s="1025" t="s">
        <v>291</v>
      </c>
      <c r="B39" s="177">
        <f t="shared" ref="B39:N39" si="7">+B37-B38</f>
        <v>0</v>
      </c>
      <c r="C39" s="177">
        <f t="shared" si="7"/>
        <v>0</v>
      </c>
      <c r="D39" s="177">
        <f t="shared" si="7"/>
        <v>447128.37300578924</v>
      </c>
      <c r="E39" s="177">
        <f t="shared" si="7"/>
        <v>0</v>
      </c>
      <c r="F39" s="177">
        <f t="shared" si="7"/>
        <v>0</v>
      </c>
      <c r="G39" s="177">
        <f t="shared" si="7"/>
        <v>0</v>
      </c>
      <c r="H39" s="177">
        <f t="shared" si="7"/>
        <v>0</v>
      </c>
      <c r="I39" s="177">
        <f t="shared" si="7"/>
        <v>0</v>
      </c>
      <c r="J39" s="177">
        <f t="shared" si="7"/>
        <v>1171216.3633835209</v>
      </c>
      <c r="K39" s="177">
        <f t="shared" si="7"/>
        <v>644015.82252035569</v>
      </c>
      <c r="L39" s="177">
        <f t="shared" si="7"/>
        <v>848854.33586236648</v>
      </c>
      <c r="M39" s="177">
        <f t="shared" si="7"/>
        <v>378765.35094576702</v>
      </c>
      <c r="N39" s="232">
        <f t="shared" si="7"/>
        <v>3489980.2457177993</v>
      </c>
      <c r="O39" s="232"/>
    </row>
    <row r="40" spans="1:16" x14ac:dyDescent="0.2">
      <c r="A40" s="1025"/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232"/>
      <c r="O40" s="232"/>
    </row>
    <row r="41" spans="1:16" x14ac:dyDescent="0.2">
      <c r="A41" s="1025"/>
      <c r="B41" s="177"/>
      <c r="C41" s="177"/>
      <c r="D41" s="177"/>
      <c r="E41" s="177"/>
      <c r="F41" s="177"/>
      <c r="G41" s="177"/>
      <c r="H41" s="177"/>
      <c r="I41" s="177"/>
      <c r="J41" s="177"/>
      <c r="K41" s="177"/>
      <c r="L41" s="177"/>
      <c r="M41" s="177"/>
      <c r="N41" s="232"/>
      <c r="O41" s="232"/>
    </row>
    <row r="42" spans="1:16" x14ac:dyDescent="0.2">
      <c r="A42" s="1026" t="s">
        <v>92</v>
      </c>
      <c r="B42" s="225">
        <f>+B27+B31+B35+B39</f>
        <v>14747929.787309743</v>
      </c>
      <c r="C42" s="225">
        <f>+C27+C31+C35+C39</f>
        <v>1682266.8912029255</v>
      </c>
      <c r="D42" s="225">
        <f>+D27+D31+D35+D39</f>
        <v>10051848.708322216</v>
      </c>
      <c r="E42" s="225">
        <f t="shared" ref="E42:M42" si="8">+E27+E31+E35+E39</f>
        <v>5581190.4391954895</v>
      </c>
      <c r="F42" s="225">
        <f t="shared" si="8"/>
        <v>1920142.7826952948</v>
      </c>
      <c r="G42" s="225">
        <f t="shared" si="8"/>
        <v>3466320.9046991803</v>
      </c>
      <c r="H42" s="225">
        <f t="shared" si="8"/>
        <v>6695809.1350622252</v>
      </c>
      <c r="I42" s="225">
        <f t="shared" si="8"/>
        <v>4384094.9452170283</v>
      </c>
      <c r="J42" s="225">
        <f t="shared" si="8"/>
        <v>10924008.085902493</v>
      </c>
      <c r="K42" s="225">
        <f t="shared" si="8"/>
        <v>9729079.7335680202</v>
      </c>
      <c r="L42" s="225">
        <f t="shared" si="8"/>
        <v>6985481.9462082889</v>
      </c>
      <c r="M42" s="225">
        <f t="shared" si="8"/>
        <v>1607027.1094006016</v>
      </c>
      <c r="N42" s="1134">
        <f>+N27+N31+N35+N39</f>
        <v>77775200.468783513</v>
      </c>
      <c r="O42" s="1134"/>
    </row>
    <row r="43" spans="1:16" x14ac:dyDescent="0.2">
      <c r="A43" s="1026"/>
      <c r="B43" s="177"/>
      <c r="C43" s="177"/>
      <c r="D43" s="177"/>
      <c r="E43" s="177"/>
      <c r="F43" s="177"/>
      <c r="G43" s="177"/>
      <c r="H43" s="177"/>
      <c r="I43" s="177"/>
      <c r="J43" s="177"/>
      <c r="K43" s="177"/>
      <c r="L43" s="177"/>
      <c r="M43" s="177"/>
      <c r="N43" s="232"/>
      <c r="O43" s="232"/>
    </row>
    <row r="44" spans="1:16" x14ac:dyDescent="0.2">
      <c r="A44" s="1025" t="s">
        <v>93</v>
      </c>
      <c r="B44" s="177">
        <f>'Inversiones 2014'!L113</f>
        <v>1939750</v>
      </c>
      <c r="C44" s="177">
        <f>'Inversiones 2014'!M113</f>
        <v>560430</v>
      </c>
      <c r="D44" s="177">
        <f>'Inversiones 2014'!N113</f>
        <v>11169785</v>
      </c>
      <c r="E44" s="177">
        <f>'Inversiones 2014'!O113</f>
        <v>5668830</v>
      </c>
      <c r="F44" s="177">
        <f>'Inversiones 2014'!P113</f>
        <v>10869230</v>
      </c>
      <c r="G44" s="177">
        <f>'Inversiones 2014'!Q113</f>
        <v>4675500</v>
      </c>
      <c r="H44" s="177">
        <f>'Inversiones 2014'!R113</f>
        <v>3996500</v>
      </c>
      <c r="I44" s="177">
        <f>'Inversiones 2014'!S113</f>
        <v>1524000</v>
      </c>
      <c r="J44" s="177">
        <f>'Inversiones 2014'!T113</f>
        <v>524000</v>
      </c>
      <c r="K44" s="177">
        <f>'Inversiones 2014'!U113</f>
        <v>300000</v>
      </c>
      <c r="L44" s="177">
        <f>'Inversiones 2014'!V113</f>
        <v>200000</v>
      </c>
      <c r="M44" s="177">
        <f>'Inversiones 2014'!W113</f>
        <v>0</v>
      </c>
      <c r="N44" s="232">
        <f>SUM(B44:M44)</f>
        <v>41428025</v>
      </c>
      <c r="O44" s="232"/>
    </row>
    <row r="45" spans="1:16" x14ac:dyDescent="0.2">
      <c r="A45" s="124"/>
      <c r="B45" s="177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  <c r="N45" s="232"/>
      <c r="O45" s="232"/>
    </row>
    <row r="46" spans="1:16" x14ac:dyDescent="0.2">
      <c r="A46" s="128" t="s">
        <v>233</v>
      </c>
      <c r="B46" s="225">
        <f t="shared" ref="B46:N46" si="9">SUM(B44:B44)</f>
        <v>1939750</v>
      </c>
      <c r="C46" s="225">
        <f t="shared" si="9"/>
        <v>560430</v>
      </c>
      <c r="D46" s="225">
        <f t="shared" si="9"/>
        <v>11169785</v>
      </c>
      <c r="E46" s="225">
        <f t="shared" si="9"/>
        <v>5668830</v>
      </c>
      <c r="F46" s="225">
        <f t="shared" si="9"/>
        <v>10869230</v>
      </c>
      <c r="G46" s="225">
        <f t="shared" si="9"/>
        <v>4675500</v>
      </c>
      <c r="H46" s="225">
        <f t="shared" si="9"/>
        <v>3996500</v>
      </c>
      <c r="I46" s="225">
        <f t="shared" si="9"/>
        <v>1524000</v>
      </c>
      <c r="J46" s="225">
        <f t="shared" si="9"/>
        <v>524000</v>
      </c>
      <c r="K46" s="225">
        <f t="shared" si="9"/>
        <v>300000</v>
      </c>
      <c r="L46" s="225">
        <f t="shared" si="9"/>
        <v>200000</v>
      </c>
      <c r="M46" s="225">
        <f t="shared" si="9"/>
        <v>0</v>
      </c>
      <c r="N46" s="234">
        <f t="shared" si="9"/>
        <v>41428025</v>
      </c>
      <c r="O46" s="234"/>
    </row>
    <row r="47" spans="1:16" x14ac:dyDescent="0.2">
      <c r="A47" s="128"/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232"/>
      <c r="O47" s="232"/>
    </row>
    <row r="48" spans="1:16" x14ac:dyDescent="0.2">
      <c r="A48" s="128" t="s">
        <v>10131</v>
      </c>
      <c r="B48" s="177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>
        <v>-12000000</v>
      </c>
      <c r="N48" s="232">
        <f>SUM(B48:M48)</f>
        <v>-12000000</v>
      </c>
      <c r="O48" s="232"/>
    </row>
    <row r="49" spans="1:15" x14ac:dyDescent="0.2">
      <c r="A49" s="124"/>
      <c r="B49" s="177"/>
      <c r="C49" s="177"/>
      <c r="D49" s="177"/>
      <c r="E49" s="177"/>
      <c r="F49" s="177"/>
      <c r="G49" s="177"/>
      <c r="H49" s="177"/>
      <c r="I49" s="177"/>
      <c r="J49" s="177"/>
      <c r="K49" s="177"/>
      <c r="L49" s="177"/>
      <c r="M49" s="177"/>
      <c r="N49" s="232"/>
      <c r="O49" s="232"/>
    </row>
    <row r="50" spans="1:15" x14ac:dyDescent="0.2">
      <c r="A50" s="128" t="s">
        <v>95</v>
      </c>
      <c r="B50" s="225">
        <f>+B42-B46+B48</f>
        <v>12808179.787309743</v>
      </c>
      <c r="C50" s="225">
        <f t="shared" ref="C50:N50" si="10">+C42-C46+C48</f>
        <v>1121836.8912029255</v>
      </c>
      <c r="D50" s="225">
        <f t="shared" si="10"/>
        <v>-1117936.2916777842</v>
      </c>
      <c r="E50" s="225">
        <f t="shared" si="10"/>
        <v>-87639.560804510489</v>
      </c>
      <c r="F50" s="225">
        <f t="shared" si="10"/>
        <v>-8949087.2173047047</v>
      </c>
      <c r="G50" s="225">
        <f t="shared" si="10"/>
        <v>-1209179.0953008197</v>
      </c>
      <c r="H50" s="225">
        <f t="shared" si="10"/>
        <v>2699309.1350622252</v>
      </c>
      <c r="I50" s="225">
        <f t="shared" si="10"/>
        <v>2860094.9452170283</v>
      </c>
      <c r="J50" s="225">
        <f t="shared" si="10"/>
        <v>10400008.085902493</v>
      </c>
      <c r="K50" s="225">
        <f t="shared" si="10"/>
        <v>9429079.7335680202</v>
      </c>
      <c r="L50" s="225">
        <f t="shared" si="10"/>
        <v>6785481.9462082889</v>
      </c>
      <c r="M50" s="225">
        <f t="shared" si="10"/>
        <v>-10392972.890599398</v>
      </c>
      <c r="N50" s="225">
        <f t="shared" si="10"/>
        <v>24347175.468783513</v>
      </c>
      <c r="O50" s="234"/>
    </row>
    <row r="51" spans="1:15" x14ac:dyDescent="0.2">
      <c r="A51" s="1263">
        <v>36432650.909999996</v>
      </c>
      <c r="B51" s="175"/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233"/>
      <c r="O51" s="233"/>
    </row>
    <row r="52" spans="1:15" ht="13.5" thickBot="1" x14ac:dyDescent="0.25">
      <c r="A52" s="131"/>
      <c r="B52" s="226"/>
      <c r="C52" s="226"/>
      <c r="D52" s="226"/>
      <c r="E52" s="226"/>
      <c r="F52" s="226"/>
      <c r="G52" s="226"/>
      <c r="H52" s="226"/>
      <c r="I52" s="226"/>
      <c r="J52" s="226"/>
      <c r="K52" s="226"/>
      <c r="L52" s="226"/>
      <c r="M52" s="226"/>
      <c r="N52" s="235"/>
      <c r="O52" s="235"/>
    </row>
    <row r="53" spans="1:15" ht="13.5" thickTop="1" x14ac:dyDescent="0.2">
      <c r="A53" s="112"/>
      <c r="B53" s="503"/>
      <c r="C53" s="503"/>
      <c r="D53" s="503"/>
      <c r="E53" s="503"/>
      <c r="F53" s="503"/>
      <c r="G53" s="503"/>
      <c r="H53" s="503"/>
      <c r="I53" s="503"/>
      <c r="J53" s="503"/>
      <c r="K53" s="503"/>
      <c r="L53" s="503"/>
      <c r="M53" s="503"/>
      <c r="N53" s="112"/>
      <c r="O53" s="112"/>
    </row>
    <row r="54" spans="1:15" hidden="1" x14ac:dyDescent="0.2">
      <c r="A54" s="112" t="s">
        <v>0</v>
      </c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503"/>
      <c r="O54" s="112"/>
    </row>
    <row r="55" spans="1:15" ht="13.5" hidden="1" thickBot="1" x14ac:dyDescent="0.25">
      <c r="A55" s="112" t="s">
        <v>9823</v>
      </c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</row>
    <row r="56" spans="1:15" ht="13.5" hidden="1" thickTop="1" x14ac:dyDescent="0.2">
      <c r="A56" s="132"/>
      <c r="B56" s="133" t="s">
        <v>219</v>
      </c>
      <c r="C56" s="133" t="s">
        <v>196</v>
      </c>
      <c r="D56" s="133" t="s">
        <v>220</v>
      </c>
      <c r="E56" s="133" t="s">
        <v>192</v>
      </c>
      <c r="F56" s="134" t="s">
        <v>135</v>
      </c>
      <c r="G56" s="112"/>
      <c r="H56" s="112"/>
      <c r="I56" s="112"/>
      <c r="J56" s="112"/>
      <c r="K56" s="112"/>
      <c r="L56" s="776">
        <f>+L54*L55</f>
        <v>0</v>
      </c>
      <c r="M56" s="112"/>
      <c r="N56" s="112"/>
      <c r="O56" s="112"/>
    </row>
    <row r="57" spans="1:15" hidden="1" x14ac:dyDescent="0.2">
      <c r="A57" s="121" t="s">
        <v>81</v>
      </c>
      <c r="B57" s="135" t="s">
        <v>28</v>
      </c>
      <c r="C57" s="135" t="s">
        <v>28</v>
      </c>
      <c r="D57" s="135" t="s">
        <v>28</v>
      </c>
      <c r="E57" s="135" t="s">
        <v>28</v>
      </c>
      <c r="F57" s="136" t="s">
        <v>28</v>
      </c>
      <c r="G57" s="112"/>
      <c r="H57" s="112"/>
      <c r="I57" s="112"/>
      <c r="J57" s="112"/>
      <c r="K57" s="112"/>
      <c r="L57" s="112"/>
      <c r="M57" s="112"/>
      <c r="N57" s="112"/>
      <c r="O57" s="112"/>
    </row>
    <row r="58" spans="1:15" hidden="1" x14ac:dyDescent="0.2">
      <c r="A58" s="128"/>
      <c r="B58" s="137"/>
      <c r="C58" s="137"/>
      <c r="D58" s="137"/>
      <c r="E58" s="137"/>
      <c r="F58" s="138"/>
      <c r="G58" s="112"/>
      <c r="H58" s="112"/>
      <c r="I58" s="112"/>
      <c r="J58" s="112"/>
      <c r="K58" s="112"/>
      <c r="L58" s="112"/>
      <c r="M58" s="112"/>
      <c r="N58" s="112"/>
      <c r="O58" s="112"/>
    </row>
    <row r="59" spans="1:15" hidden="1" x14ac:dyDescent="0.2">
      <c r="A59" s="124"/>
      <c r="B59" s="137"/>
      <c r="C59" s="137"/>
      <c r="D59" s="137"/>
      <c r="E59" s="137"/>
      <c r="F59" s="138"/>
      <c r="G59" s="112"/>
      <c r="H59" s="112"/>
      <c r="I59" s="112"/>
      <c r="J59" s="112"/>
      <c r="K59" s="112"/>
      <c r="L59" s="112"/>
      <c r="M59" s="112"/>
      <c r="N59" s="112"/>
      <c r="O59" s="112"/>
    </row>
    <row r="60" spans="1:15" hidden="1" x14ac:dyDescent="0.2">
      <c r="A60" s="124" t="s">
        <v>212</v>
      </c>
      <c r="B60" s="177">
        <f>SUM(B9:D9)</f>
        <v>13576167.113764463</v>
      </c>
      <c r="C60" s="177">
        <f>SUM(E9:G9)</f>
        <v>10451173.942453424</v>
      </c>
      <c r="D60" s="177">
        <f>SUM(H9:J9)</f>
        <v>16911088.677483756</v>
      </c>
      <c r="E60" s="177">
        <f>SUM(K9:M9)</f>
        <v>15886147.292334897</v>
      </c>
      <c r="F60" s="232">
        <f>SUM(B60:E60)</f>
        <v>56824577.026036546</v>
      </c>
      <c r="G60" s="503"/>
      <c r="H60" s="112"/>
      <c r="I60" s="112"/>
      <c r="J60" s="112"/>
      <c r="K60" s="112"/>
      <c r="L60" s="112"/>
      <c r="M60" s="112"/>
      <c r="N60" s="112"/>
      <c r="O60" s="112"/>
    </row>
    <row r="61" spans="1:15" hidden="1" x14ac:dyDescent="0.2">
      <c r="A61" s="124" t="s">
        <v>213</v>
      </c>
      <c r="B61" s="227">
        <f>SUM(B10:D10)</f>
        <v>0</v>
      </c>
      <c r="C61" s="227">
        <f>SUM(E10:G10)</f>
        <v>0</v>
      </c>
      <c r="D61" s="227">
        <f>SUM(H10:J10)</f>
        <v>0</v>
      </c>
      <c r="E61" s="227">
        <f>SUM(K10:M10)</f>
        <v>0</v>
      </c>
      <c r="F61" s="229">
        <f>SUM(B61:E61)</f>
        <v>0</v>
      </c>
      <c r="G61" s="503"/>
      <c r="H61" s="112"/>
      <c r="I61" s="112"/>
      <c r="J61" s="112"/>
      <c r="K61" s="112"/>
      <c r="L61" s="112"/>
      <c r="M61" s="112"/>
      <c r="N61" s="112"/>
      <c r="O61" s="112"/>
    </row>
    <row r="62" spans="1:15" hidden="1" x14ac:dyDescent="0.2">
      <c r="A62" s="128" t="s">
        <v>214</v>
      </c>
      <c r="B62" s="177">
        <f>+B60-B61</f>
        <v>13576167.113764463</v>
      </c>
      <c r="C62" s="177">
        <f>+C60-C61</f>
        <v>10451173.942453424</v>
      </c>
      <c r="D62" s="177">
        <f>+D60-D61</f>
        <v>16911088.677483756</v>
      </c>
      <c r="E62" s="177">
        <f>+E60-E61</f>
        <v>15886147.292334897</v>
      </c>
      <c r="F62" s="232">
        <f>+F60-F61</f>
        <v>56824577.026036546</v>
      </c>
      <c r="G62" s="503"/>
      <c r="H62" s="112"/>
      <c r="I62" s="112"/>
      <c r="J62" s="112"/>
      <c r="K62" s="112"/>
      <c r="L62" s="112"/>
      <c r="M62" s="112"/>
      <c r="N62" s="112"/>
      <c r="O62" s="112"/>
    </row>
    <row r="63" spans="1:15" hidden="1" x14ac:dyDescent="0.2">
      <c r="A63" s="124"/>
      <c r="B63" s="175"/>
      <c r="C63" s="175"/>
      <c r="D63" s="175"/>
      <c r="E63" s="175"/>
      <c r="F63" s="233"/>
      <c r="G63" s="503"/>
      <c r="H63" s="112"/>
      <c r="I63" s="112"/>
      <c r="J63" s="112"/>
      <c r="K63" s="112"/>
      <c r="L63" s="112"/>
      <c r="M63" s="112"/>
      <c r="N63" s="112"/>
      <c r="O63" s="112"/>
    </row>
    <row r="64" spans="1:15" hidden="1" x14ac:dyDescent="0.2">
      <c r="A64" s="124" t="s">
        <v>41</v>
      </c>
      <c r="B64" s="177">
        <f>SUM(B13:D13)</f>
        <v>5636348.8466666657</v>
      </c>
      <c r="C64" s="177">
        <f>SUM(E13:G13)</f>
        <v>7061010.6091666687</v>
      </c>
      <c r="D64" s="177">
        <f>SUM(H13:J13)</f>
        <v>7572821.8325000014</v>
      </c>
      <c r="E64" s="177">
        <f>SUM(K13:M13)</f>
        <v>7384728.1441666707</v>
      </c>
      <c r="F64" s="233">
        <f>SUM(B64:E64)</f>
        <v>27654909.432500005</v>
      </c>
      <c r="G64" s="503"/>
      <c r="H64" s="112"/>
      <c r="I64" s="112"/>
      <c r="J64" s="112"/>
      <c r="K64" s="112"/>
      <c r="L64" s="112"/>
      <c r="M64" s="112"/>
      <c r="N64" s="112"/>
      <c r="O64" s="112"/>
    </row>
    <row r="65" spans="1:15" hidden="1" x14ac:dyDescent="0.2">
      <c r="A65" s="124" t="s">
        <v>213</v>
      </c>
      <c r="B65" s="227">
        <f>SUM(B14:D14)</f>
        <v>0</v>
      </c>
      <c r="C65" s="227">
        <f>SUM(E14:G14)</f>
        <v>0</v>
      </c>
      <c r="D65" s="227">
        <f>SUM(H14:J14)</f>
        <v>0</v>
      </c>
      <c r="E65" s="227">
        <f>SUM(K14:M14)</f>
        <v>0</v>
      </c>
      <c r="F65" s="230">
        <f>SUM(B65:E65)</f>
        <v>0</v>
      </c>
      <c r="G65" s="503"/>
      <c r="H65" s="112"/>
      <c r="I65" s="112"/>
      <c r="J65" s="112"/>
      <c r="K65" s="112"/>
      <c r="L65" s="112"/>
      <c r="M65" s="112"/>
      <c r="N65" s="112"/>
      <c r="O65" s="112"/>
    </row>
    <row r="66" spans="1:15" hidden="1" x14ac:dyDescent="0.2">
      <c r="A66" s="128" t="s">
        <v>215</v>
      </c>
      <c r="B66" s="175">
        <f>+B64-B65</f>
        <v>5636348.8466666657</v>
      </c>
      <c r="C66" s="175">
        <f>+C64-C65</f>
        <v>7061010.6091666687</v>
      </c>
      <c r="D66" s="175">
        <f>+D64-D65</f>
        <v>7572821.8325000014</v>
      </c>
      <c r="E66" s="175">
        <f>+E64-E65</f>
        <v>7384728.1441666707</v>
      </c>
      <c r="F66" s="233">
        <f>+F64-F65</f>
        <v>27654909.432500005</v>
      </c>
      <c r="G66" s="503"/>
    </row>
    <row r="67" spans="1:15" hidden="1" x14ac:dyDescent="0.2">
      <c r="A67" s="124"/>
      <c r="B67" s="175"/>
      <c r="C67" s="175"/>
      <c r="D67" s="175"/>
      <c r="E67" s="175"/>
      <c r="F67" s="233"/>
      <c r="G67" s="503"/>
    </row>
    <row r="68" spans="1:15" hidden="1" x14ac:dyDescent="0.2">
      <c r="A68" s="128" t="s">
        <v>83</v>
      </c>
      <c r="B68" s="212">
        <f>+B62+B66</f>
        <v>19212515.960431129</v>
      </c>
      <c r="C68" s="212">
        <f>+C62+C66</f>
        <v>17512184.551620092</v>
      </c>
      <c r="D68" s="212">
        <f>+D62+D66</f>
        <v>24483910.509983756</v>
      </c>
      <c r="E68" s="212">
        <f>+E62+E66</f>
        <v>23270875.43650157</v>
      </c>
      <c r="F68" s="214">
        <f>+F62+F66</f>
        <v>84479486.45853655</v>
      </c>
      <c r="G68" s="503"/>
    </row>
    <row r="69" spans="1:15" hidden="1" x14ac:dyDescent="0.2">
      <c r="A69" s="124"/>
      <c r="B69" s="175"/>
      <c r="C69" s="175"/>
      <c r="D69" s="175"/>
      <c r="E69" s="175"/>
      <c r="F69" s="233"/>
      <c r="G69" s="503"/>
    </row>
    <row r="70" spans="1:15" hidden="1" x14ac:dyDescent="0.2">
      <c r="A70" s="124" t="s">
        <v>84</v>
      </c>
      <c r="B70" s="177">
        <f>SUM(B19:D19)</f>
        <v>15675980.114026893</v>
      </c>
      <c r="C70" s="177">
        <f>SUM(E19:G19)</f>
        <v>2238636.3636363638</v>
      </c>
      <c r="D70" s="177">
        <f>SUM(H19:J19)</f>
        <v>2238636.3636363638</v>
      </c>
      <c r="E70" s="177">
        <f>SUM(K19:M19)</f>
        <v>2238636.3636363638</v>
      </c>
      <c r="F70" s="232">
        <f>SUM(B70:E70)</f>
        <v>22391889.204935983</v>
      </c>
      <c r="G70" s="503"/>
    </row>
    <row r="71" spans="1:15" hidden="1" x14ac:dyDescent="0.2">
      <c r="A71" s="124"/>
      <c r="B71" s="176"/>
      <c r="C71" s="176"/>
      <c r="D71" s="176"/>
      <c r="E71" s="176"/>
      <c r="F71" s="232"/>
      <c r="G71" s="503"/>
    </row>
    <row r="72" spans="1:15" hidden="1" x14ac:dyDescent="0.2">
      <c r="A72" s="124" t="s">
        <v>85</v>
      </c>
      <c r="B72" s="177">
        <f>SUM(B21:D21)</f>
        <v>-687000</v>
      </c>
      <c r="C72" s="177">
        <f>SUM(E21:G21)</f>
        <v>-300000</v>
      </c>
      <c r="D72" s="177">
        <f>SUM(H21:J21)</f>
        <v>450000</v>
      </c>
      <c r="E72" s="177">
        <f>SUM(K21:M21)</f>
        <v>180000</v>
      </c>
      <c r="F72" s="232">
        <f>SUM(B72:E72)</f>
        <v>-357000</v>
      </c>
      <c r="G72" s="503"/>
    </row>
    <row r="73" spans="1:15" hidden="1" x14ac:dyDescent="0.2">
      <c r="A73" s="124"/>
      <c r="B73" s="176"/>
      <c r="C73" s="176"/>
      <c r="D73" s="176"/>
      <c r="E73" s="176"/>
      <c r="F73" s="232"/>
      <c r="G73" s="503"/>
    </row>
    <row r="74" spans="1:15" hidden="1" x14ac:dyDescent="0.2">
      <c r="A74" s="124" t="s">
        <v>86</v>
      </c>
      <c r="B74" s="177">
        <f>SUM(B23:D23)</f>
        <v>-6862590.8906289255</v>
      </c>
      <c r="C74" s="177">
        <f>SUM(E23:G23)</f>
        <v>-7166396.9986664914</v>
      </c>
      <c r="D74" s="177">
        <f>SUM(H23:J23)</f>
        <v>-5049718.040821895</v>
      </c>
      <c r="E74" s="177">
        <f>SUM(K23:M23)</f>
        <v>-8119344.9402895086</v>
      </c>
      <c r="F74" s="232">
        <f>SUM(B74:E74)</f>
        <v>-27198050.870406821</v>
      </c>
      <c r="G74" s="503"/>
    </row>
    <row r="75" spans="1:15" hidden="1" x14ac:dyDescent="0.2">
      <c r="A75" s="128"/>
      <c r="B75" s="224"/>
      <c r="C75" s="175"/>
      <c r="D75" s="175"/>
      <c r="E75" s="175"/>
      <c r="F75" s="233"/>
      <c r="G75" s="503"/>
    </row>
    <row r="76" spans="1:15" hidden="1" x14ac:dyDescent="0.2">
      <c r="A76" s="128" t="s">
        <v>87</v>
      </c>
      <c r="B76" s="225">
        <f>SUM(B70:B75)</f>
        <v>8126389.2233979674</v>
      </c>
      <c r="C76" s="225">
        <f>SUM(C70:C75)</f>
        <v>-5227760.6350301281</v>
      </c>
      <c r="D76" s="225">
        <f>SUM(D70:D75)</f>
        <v>-2361081.6771855312</v>
      </c>
      <c r="E76" s="225">
        <f>SUM(E70:E75)</f>
        <v>-5700708.5766531453</v>
      </c>
      <c r="F76" s="234">
        <f>SUM(F70:F75)</f>
        <v>-5163161.6654708385</v>
      </c>
      <c r="G76" s="503"/>
    </row>
    <row r="77" spans="1:15" hidden="1" x14ac:dyDescent="0.2">
      <c r="A77" s="128"/>
      <c r="B77" s="175"/>
      <c r="C77" s="175"/>
      <c r="D77" s="175" t="s">
        <v>28</v>
      </c>
      <c r="E77" s="175" t="s">
        <v>28</v>
      </c>
      <c r="F77" s="233" t="s">
        <v>28</v>
      </c>
      <c r="G77" s="503"/>
    </row>
    <row r="78" spans="1:15" hidden="1" x14ac:dyDescent="0.2">
      <c r="A78" s="128" t="s">
        <v>88</v>
      </c>
      <c r="B78" s="212">
        <f>+B68+B76</f>
        <v>27338905.183829095</v>
      </c>
      <c r="C78" s="212">
        <f>+C68+C76</f>
        <v>12284423.916589964</v>
      </c>
      <c r="D78" s="212">
        <f>+D68+D76</f>
        <v>22122828.832798224</v>
      </c>
      <c r="E78" s="212">
        <f>+E68+E76</f>
        <v>17570166.859848425</v>
      </c>
      <c r="F78" s="214">
        <f>+F68+F76</f>
        <v>79316324.793065712</v>
      </c>
      <c r="G78" s="503"/>
    </row>
    <row r="79" spans="1:15" hidden="1" x14ac:dyDescent="0.2">
      <c r="A79" s="128"/>
      <c r="B79" s="175"/>
      <c r="C79" s="175"/>
      <c r="D79" s="175"/>
      <c r="E79" s="175"/>
      <c r="F79" s="233"/>
      <c r="G79" s="503"/>
    </row>
    <row r="80" spans="1:15" hidden="1" x14ac:dyDescent="0.2">
      <c r="A80" s="124" t="s">
        <v>89</v>
      </c>
      <c r="B80" s="177">
        <f>SUM(B29:D29)</f>
        <v>320368.28999999998</v>
      </c>
      <c r="C80" s="177">
        <f>SUM(E29:G29)</f>
        <v>269399.5</v>
      </c>
      <c r="D80" s="177">
        <f>SUM(H29:J29)</f>
        <v>257128.03000000003</v>
      </c>
      <c r="E80" s="177">
        <f>SUM(K29:M29)</f>
        <v>387402.27999999997</v>
      </c>
      <c r="F80" s="233">
        <f>SUM(B80:E80)</f>
        <v>1234298.1000000001</v>
      </c>
      <c r="G80" s="503"/>
    </row>
    <row r="81" spans="1:7" hidden="1" x14ac:dyDescent="0.2">
      <c r="A81" s="124" t="s">
        <v>213</v>
      </c>
      <c r="B81" s="227">
        <f>SUM(B30:D30)</f>
        <v>0</v>
      </c>
      <c r="C81" s="228">
        <f>SUM(E30:G30)</f>
        <v>0</v>
      </c>
      <c r="D81" s="228">
        <f>SUM(H30:J30)</f>
        <v>0</v>
      </c>
      <c r="E81" s="228">
        <f>SUM(K30:M30)</f>
        <v>0</v>
      </c>
      <c r="F81" s="230">
        <f>SUM(B81:E81)</f>
        <v>0</v>
      </c>
      <c r="G81" s="503"/>
    </row>
    <row r="82" spans="1:7" hidden="1" x14ac:dyDescent="0.2">
      <c r="A82" s="124" t="s">
        <v>216</v>
      </c>
      <c r="B82" s="175">
        <f>+B80-B81</f>
        <v>320368.28999999998</v>
      </c>
      <c r="C82" s="175">
        <f>+C80-C81</f>
        <v>269399.5</v>
      </c>
      <c r="D82" s="175">
        <f>+D80-D81</f>
        <v>257128.03000000003</v>
      </c>
      <c r="E82" s="175">
        <f>+E80-E81</f>
        <v>387402.27999999997</v>
      </c>
      <c r="F82" s="233">
        <f>+F80-F81</f>
        <v>1234298.1000000001</v>
      </c>
      <c r="G82" s="503"/>
    </row>
    <row r="83" spans="1:7" hidden="1" x14ac:dyDescent="0.2">
      <c r="A83" s="124"/>
      <c r="B83" s="175"/>
      <c r="C83" s="175"/>
      <c r="D83" s="175"/>
      <c r="E83" s="175"/>
      <c r="F83" s="233"/>
      <c r="G83" s="503"/>
    </row>
    <row r="84" spans="1:7" hidden="1" x14ac:dyDescent="0.2">
      <c r="A84" s="124" t="s">
        <v>90</v>
      </c>
      <c r="B84" s="177">
        <f>SUM(B33:D33)</f>
        <v>-1624356.46</v>
      </c>
      <c r="C84" s="177">
        <f>SUM(E33:G33)</f>
        <v>-1586169.2899999998</v>
      </c>
      <c r="D84" s="177">
        <f>SUM(H33:J33)</f>
        <v>-1547261.06</v>
      </c>
      <c r="E84" s="177">
        <f>SUM(K33:M33)</f>
        <v>-1507615.8599999999</v>
      </c>
      <c r="F84" s="232">
        <f>SUM(B84:E84)</f>
        <v>-6265402.6699999999</v>
      </c>
      <c r="G84" s="503"/>
    </row>
    <row r="85" spans="1:7" hidden="1" x14ac:dyDescent="0.2">
      <c r="A85" s="124" t="s">
        <v>213</v>
      </c>
      <c r="B85" s="227">
        <f>SUM(B34:D34)</f>
        <v>0</v>
      </c>
      <c r="C85" s="228">
        <f>SUM(E34:G34)</f>
        <v>0</v>
      </c>
      <c r="D85" s="228">
        <f>SUM(H34:J34)</f>
        <v>0</v>
      </c>
      <c r="E85" s="228">
        <f>SUM(K34:M34)</f>
        <v>0</v>
      </c>
      <c r="F85" s="229">
        <f>SUM(B85:E85)</f>
        <v>0</v>
      </c>
      <c r="G85" s="503"/>
    </row>
    <row r="86" spans="1:7" hidden="1" x14ac:dyDescent="0.2">
      <c r="A86" s="124" t="s">
        <v>217</v>
      </c>
      <c r="B86" s="177">
        <f>+B84-B85</f>
        <v>-1624356.46</v>
      </c>
      <c r="C86" s="177">
        <f>+C84-C85</f>
        <v>-1586169.2899999998</v>
      </c>
      <c r="D86" s="177">
        <f>+D84-D85</f>
        <v>-1547261.06</v>
      </c>
      <c r="E86" s="177">
        <f>+E84-E85</f>
        <v>-1507615.8599999999</v>
      </c>
      <c r="F86" s="232">
        <f>+F84-F85</f>
        <v>-6265402.6699999999</v>
      </c>
      <c r="G86" s="503"/>
    </row>
    <row r="87" spans="1:7" hidden="1" x14ac:dyDescent="0.2">
      <c r="A87" s="124"/>
      <c r="B87" s="177"/>
      <c r="C87" s="177"/>
      <c r="D87" s="177"/>
      <c r="E87" s="177"/>
      <c r="F87" s="232"/>
      <c r="G87" s="503"/>
    </row>
    <row r="88" spans="1:7" hidden="1" x14ac:dyDescent="0.2">
      <c r="A88" s="124" t="s">
        <v>91</v>
      </c>
      <c r="B88" s="177">
        <f>SUM(B37:D37)</f>
        <v>447128.37300578924</v>
      </c>
      <c r="C88" s="177">
        <f>SUM(E37:G37)</f>
        <v>0</v>
      </c>
      <c r="D88" s="177">
        <f>SUM(H37:J37)</f>
        <v>1171216.3633835209</v>
      </c>
      <c r="E88" s="177">
        <f>SUM(K37:M37)</f>
        <v>1871635.5093284892</v>
      </c>
      <c r="F88" s="232">
        <f>SUM(B88:E88)</f>
        <v>3489980.2457177993</v>
      </c>
      <c r="G88" s="503"/>
    </row>
    <row r="89" spans="1:7" hidden="1" x14ac:dyDescent="0.2">
      <c r="A89" s="124" t="s">
        <v>213</v>
      </c>
      <c r="B89" s="227">
        <f>SUM(B38:D38)</f>
        <v>0</v>
      </c>
      <c r="C89" s="228">
        <f>SUM(E38:G38)</f>
        <v>0</v>
      </c>
      <c r="D89" s="228">
        <f>SUM(H38:J38)</f>
        <v>0</v>
      </c>
      <c r="E89" s="228">
        <f>SUM(K38:M38)</f>
        <v>0</v>
      </c>
      <c r="F89" s="229">
        <f>SUM(B89:E89)</f>
        <v>0</v>
      </c>
      <c r="G89" s="503"/>
    </row>
    <row r="90" spans="1:7" hidden="1" x14ac:dyDescent="0.2">
      <c r="A90" s="124" t="s">
        <v>218</v>
      </c>
      <c r="B90" s="177">
        <f>+B88-B89</f>
        <v>447128.37300578924</v>
      </c>
      <c r="C90" s="177">
        <f>+C88-C89</f>
        <v>0</v>
      </c>
      <c r="D90" s="177">
        <f>+D88-D89</f>
        <v>1171216.3633835209</v>
      </c>
      <c r="E90" s="177">
        <f>+E88-E89</f>
        <v>1871635.5093284892</v>
      </c>
      <c r="F90" s="232">
        <f>+F88-F89</f>
        <v>3489980.2457177993</v>
      </c>
      <c r="G90" s="503"/>
    </row>
    <row r="91" spans="1:7" hidden="1" x14ac:dyDescent="0.2">
      <c r="A91" s="124"/>
      <c r="B91" s="177"/>
      <c r="C91" s="177"/>
      <c r="D91" s="177"/>
      <c r="E91" s="177"/>
      <c r="F91" s="232"/>
      <c r="G91" s="503"/>
    </row>
    <row r="92" spans="1:7" hidden="1" x14ac:dyDescent="0.2">
      <c r="A92" s="124"/>
      <c r="B92" s="177"/>
      <c r="C92" s="177"/>
      <c r="D92" s="177"/>
      <c r="E92" s="177"/>
      <c r="F92" s="232"/>
      <c r="G92" s="503"/>
    </row>
    <row r="93" spans="1:7" hidden="1" x14ac:dyDescent="0.2">
      <c r="A93" s="128" t="s">
        <v>92</v>
      </c>
      <c r="B93" s="225">
        <f>+B78+B82+B86+B90</f>
        <v>26482045.386834882</v>
      </c>
      <c r="C93" s="225">
        <f>+C78+C82+C86+C90</f>
        <v>10967654.126589965</v>
      </c>
      <c r="D93" s="225">
        <f>+D78+D82+D86+D90</f>
        <v>22003912.166181747</v>
      </c>
      <c r="E93" s="225">
        <f>+E78+E82+E86+E90</f>
        <v>18321588.789176915</v>
      </c>
      <c r="F93" s="234">
        <f>+F78+F82+F86+F90</f>
        <v>77775200.468783498</v>
      </c>
      <c r="G93" s="503"/>
    </row>
    <row r="94" spans="1:7" hidden="1" x14ac:dyDescent="0.2">
      <c r="A94" s="128"/>
      <c r="B94" s="177"/>
      <c r="C94" s="177"/>
      <c r="D94" s="177"/>
      <c r="E94" s="177"/>
      <c r="F94" s="232"/>
      <c r="G94" s="503"/>
    </row>
    <row r="95" spans="1:7" hidden="1" x14ac:dyDescent="0.2">
      <c r="A95" s="124" t="s">
        <v>93</v>
      </c>
      <c r="B95" s="177">
        <f>SUM(B44:D44)</f>
        <v>13669965</v>
      </c>
      <c r="C95" s="177">
        <f>SUM(E44:G44)</f>
        <v>21213560</v>
      </c>
      <c r="D95" s="177">
        <f>SUM(H44:J44)</f>
        <v>6044500</v>
      </c>
      <c r="E95" s="177">
        <f>SUM(K44:M44)</f>
        <v>500000</v>
      </c>
      <c r="F95" s="232">
        <f>SUM(B95:E95)</f>
        <v>41428025</v>
      </c>
      <c r="G95" s="503"/>
    </row>
    <row r="96" spans="1:7" hidden="1" x14ac:dyDescent="0.2">
      <c r="A96" s="124"/>
      <c r="B96" s="177"/>
      <c r="C96" s="177"/>
      <c r="D96" s="177"/>
      <c r="E96" s="177"/>
      <c r="F96" s="232"/>
      <c r="G96" s="503"/>
    </row>
    <row r="97" spans="1:15" hidden="1" x14ac:dyDescent="0.2">
      <c r="A97" s="128" t="s">
        <v>94</v>
      </c>
      <c r="B97" s="225">
        <f>SUM(B95:B95)</f>
        <v>13669965</v>
      </c>
      <c r="C97" s="225">
        <f>SUM(C95:C95)</f>
        <v>21213560</v>
      </c>
      <c r="D97" s="225">
        <f>SUM(D95:D95)</f>
        <v>6044500</v>
      </c>
      <c r="E97" s="225">
        <f>SUM(E95:E95)</f>
        <v>500000</v>
      </c>
      <c r="F97" s="234">
        <f>SUM(F95:F95)</f>
        <v>41428025</v>
      </c>
      <c r="G97" s="503"/>
    </row>
    <row r="98" spans="1:15" hidden="1" x14ac:dyDescent="0.2">
      <c r="A98" s="124"/>
      <c r="B98" s="177"/>
      <c r="C98" s="177"/>
      <c r="D98" s="177"/>
      <c r="E98" s="177"/>
      <c r="F98" s="232"/>
      <c r="G98" s="503"/>
    </row>
    <row r="99" spans="1:15" hidden="1" x14ac:dyDescent="0.2">
      <c r="A99" s="1124" t="s">
        <v>10052</v>
      </c>
      <c r="B99" s="177"/>
      <c r="C99" s="177"/>
      <c r="D99" s="177"/>
      <c r="E99" s="177"/>
      <c r="F99" s="232">
        <f>+N48</f>
        <v>-12000000</v>
      </c>
      <c r="G99" s="503"/>
    </row>
    <row r="100" spans="1:15" hidden="1" x14ac:dyDescent="0.2">
      <c r="A100" s="124"/>
      <c r="B100" s="177"/>
      <c r="C100" s="177"/>
      <c r="D100" s="177"/>
      <c r="E100" s="177"/>
      <c r="F100" s="232"/>
      <c r="G100" s="503"/>
    </row>
    <row r="101" spans="1:15" hidden="1" x14ac:dyDescent="0.2">
      <c r="A101" s="128" t="s">
        <v>95</v>
      </c>
      <c r="B101" s="225">
        <f>+B93-B97</f>
        <v>12812080.386834882</v>
      </c>
      <c r="C101" s="225">
        <f>+C93-C97</f>
        <v>-10245905.873410035</v>
      </c>
      <c r="D101" s="225">
        <f>+D93-D97</f>
        <v>15959412.166181747</v>
      </c>
      <c r="E101" s="225">
        <f>+E93-E97</f>
        <v>17821588.789176915</v>
      </c>
      <c r="F101" s="234">
        <f>+F93-F97+F99</f>
        <v>24347175.468783498</v>
      </c>
      <c r="G101" s="503"/>
    </row>
    <row r="102" spans="1:15" hidden="1" x14ac:dyDescent="0.2">
      <c r="A102" s="124"/>
      <c r="B102" s="175"/>
      <c r="C102" s="175"/>
      <c r="D102" s="175"/>
      <c r="E102" s="175"/>
      <c r="F102" s="233"/>
      <c r="G102" s="503"/>
    </row>
    <row r="103" spans="1:15" ht="13.5" hidden="1" thickBot="1" x14ac:dyDescent="0.25">
      <c r="A103" s="131"/>
      <c r="B103" s="226"/>
      <c r="C103" s="226"/>
      <c r="D103" s="226"/>
      <c r="E103" s="226"/>
      <c r="F103" s="235"/>
      <c r="G103" s="503"/>
    </row>
    <row r="104" spans="1:15" ht="13.5" hidden="1" thickTop="1" x14ac:dyDescent="0.2"/>
    <row r="105" spans="1:15" ht="25.5" hidden="1" x14ac:dyDescent="0.2">
      <c r="A105" s="1125" t="s">
        <v>10045</v>
      </c>
      <c r="B105" s="41"/>
      <c r="C105" s="41"/>
      <c r="E105" s="742">
        <v>24530000</v>
      </c>
      <c r="F105" s="742">
        <f>24530000-8830805</f>
        <v>15699195</v>
      </c>
      <c r="G105" s="742">
        <f>F105</f>
        <v>15699195</v>
      </c>
      <c r="H105" s="742">
        <f t="shared" ref="H105:M105" si="11">G105</f>
        <v>15699195</v>
      </c>
      <c r="I105" s="742">
        <f t="shared" si="11"/>
        <v>15699195</v>
      </c>
      <c r="J105" s="742">
        <f t="shared" si="11"/>
        <v>15699195</v>
      </c>
      <c r="K105" s="742">
        <f t="shared" si="11"/>
        <v>15699195</v>
      </c>
      <c r="L105" s="742">
        <f t="shared" si="11"/>
        <v>15699195</v>
      </c>
      <c r="M105" s="742">
        <f t="shared" si="11"/>
        <v>15699195</v>
      </c>
      <c r="N105" s="742"/>
      <c r="O105" s="742"/>
    </row>
    <row r="106" spans="1:15" hidden="1" x14ac:dyDescent="0.2">
      <c r="A106" s="734"/>
      <c r="B106" s="41"/>
      <c r="C106" s="41"/>
      <c r="E106" s="742"/>
      <c r="F106" s="742"/>
      <c r="G106" s="742"/>
      <c r="H106" s="742"/>
      <c r="I106" s="742"/>
      <c r="J106" s="742"/>
      <c r="K106" s="742"/>
      <c r="L106" s="742"/>
      <c r="M106" s="742"/>
      <c r="N106" s="742"/>
      <c r="O106" s="742"/>
    </row>
    <row r="107" spans="1:15" s="248" customFormat="1" hidden="1" x14ac:dyDescent="0.2">
      <c r="A107" s="248" t="s">
        <v>10046</v>
      </c>
      <c r="E107" s="1121">
        <f>E53-E105-E106</f>
        <v>-24530000</v>
      </c>
      <c r="F107" s="1121">
        <f t="shared" ref="F107:M107" si="12">F53-F105-F106</f>
        <v>-15699195</v>
      </c>
      <c r="G107" s="1121">
        <f t="shared" si="12"/>
        <v>-15699195</v>
      </c>
      <c r="H107" s="1121">
        <f t="shared" si="12"/>
        <v>-15699195</v>
      </c>
      <c r="I107" s="1121">
        <f t="shared" si="12"/>
        <v>-15699195</v>
      </c>
      <c r="J107" s="1121">
        <f t="shared" si="12"/>
        <v>-15699195</v>
      </c>
      <c r="K107" s="1121">
        <f t="shared" si="12"/>
        <v>-15699195</v>
      </c>
      <c r="L107" s="1121">
        <f t="shared" si="12"/>
        <v>-15699195</v>
      </c>
      <c r="M107" s="1121">
        <f t="shared" si="12"/>
        <v>-15699195</v>
      </c>
      <c r="N107" s="1121"/>
      <c r="O107" s="1121"/>
    </row>
    <row r="108" spans="1:15" hidden="1" x14ac:dyDescent="0.2"/>
    <row r="109" spans="1:15" hidden="1" x14ac:dyDescent="0.2"/>
    <row r="110" spans="1:15" hidden="1" x14ac:dyDescent="0.2">
      <c r="A110" t="s">
        <v>10048</v>
      </c>
      <c r="B110" s="737">
        <f>B122</f>
        <v>206567.66</v>
      </c>
      <c r="C110" s="737">
        <f>B110</f>
        <v>206567.66</v>
      </c>
      <c r="D110" s="737">
        <f t="shared" ref="D110:M112" si="13">C110</f>
        <v>206567.66</v>
      </c>
      <c r="E110" s="737">
        <f t="shared" si="13"/>
        <v>206567.66</v>
      </c>
      <c r="F110" s="737">
        <f t="shared" si="13"/>
        <v>206567.66</v>
      </c>
      <c r="G110" s="737">
        <f t="shared" si="13"/>
        <v>206567.66</v>
      </c>
      <c r="H110" s="737">
        <f t="shared" si="13"/>
        <v>206567.66</v>
      </c>
      <c r="I110" s="737">
        <f t="shared" si="13"/>
        <v>206567.66</v>
      </c>
      <c r="J110" s="737">
        <f t="shared" si="13"/>
        <v>206567.66</v>
      </c>
      <c r="K110" s="737">
        <f t="shared" si="13"/>
        <v>206567.66</v>
      </c>
      <c r="L110" s="737">
        <f t="shared" si="13"/>
        <v>206567.66</v>
      </c>
      <c r="M110" s="737">
        <f t="shared" si="13"/>
        <v>206567.66</v>
      </c>
    </row>
    <row r="111" spans="1:15" hidden="1" x14ac:dyDescent="0.2">
      <c r="A111" t="s">
        <v>10049</v>
      </c>
      <c r="B111" s="737">
        <f>D122</f>
        <v>123940.52666666667</v>
      </c>
      <c r="C111" s="737">
        <f>B111</f>
        <v>123940.52666666667</v>
      </c>
      <c r="D111" s="737">
        <f t="shared" si="13"/>
        <v>123940.52666666667</v>
      </c>
      <c r="E111" s="737">
        <f t="shared" si="13"/>
        <v>123940.52666666667</v>
      </c>
      <c r="F111" s="737">
        <f t="shared" si="13"/>
        <v>123940.52666666667</v>
      </c>
      <c r="G111" s="737">
        <f t="shared" si="13"/>
        <v>123940.52666666667</v>
      </c>
      <c r="H111" s="737">
        <f t="shared" si="13"/>
        <v>123940.52666666667</v>
      </c>
      <c r="I111" s="737">
        <f t="shared" si="13"/>
        <v>123940.52666666667</v>
      </c>
      <c r="J111" s="737">
        <f t="shared" si="13"/>
        <v>123940.52666666667</v>
      </c>
      <c r="K111" s="737">
        <f t="shared" si="13"/>
        <v>123940.52666666667</v>
      </c>
      <c r="L111" s="737">
        <f t="shared" si="13"/>
        <v>123940.52666666667</v>
      </c>
      <c r="M111" s="737">
        <f t="shared" si="13"/>
        <v>123940.52666666667</v>
      </c>
    </row>
    <row r="112" spans="1:15" hidden="1" x14ac:dyDescent="0.2">
      <c r="A112" t="s">
        <v>10050</v>
      </c>
      <c r="B112" s="1119">
        <f>C122</f>
        <v>82627.046666666676</v>
      </c>
      <c r="C112" s="1119">
        <f>B112</f>
        <v>82627.046666666676</v>
      </c>
      <c r="D112" s="1119">
        <f t="shared" si="13"/>
        <v>82627.046666666676</v>
      </c>
      <c r="E112" s="1119">
        <f t="shared" si="13"/>
        <v>82627.046666666676</v>
      </c>
      <c r="F112" s="1119">
        <f t="shared" si="13"/>
        <v>82627.046666666676</v>
      </c>
      <c r="G112" s="1119">
        <f t="shared" si="13"/>
        <v>82627.046666666676</v>
      </c>
      <c r="H112" s="1119">
        <f t="shared" si="13"/>
        <v>82627.046666666676</v>
      </c>
      <c r="I112" s="1119">
        <f t="shared" si="13"/>
        <v>82627.046666666676</v>
      </c>
      <c r="J112" s="1119">
        <f t="shared" si="13"/>
        <v>82627.046666666676</v>
      </c>
      <c r="K112" s="1119">
        <f t="shared" si="13"/>
        <v>82627.046666666676</v>
      </c>
      <c r="L112" s="1119">
        <f t="shared" si="13"/>
        <v>82627.046666666676</v>
      </c>
      <c r="M112" s="1119">
        <f t="shared" si="13"/>
        <v>82627.046666666676</v>
      </c>
    </row>
    <row r="113" spans="1:15" hidden="1" x14ac:dyDescent="0.2">
      <c r="B113" s="1120">
        <f>SUM(B110:B112)</f>
        <v>413135.23333333334</v>
      </c>
      <c r="C113" s="1120">
        <f t="shared" ref="C113:M113" si="14">SUM(C110:C112)</f>
        <v>413135.23333333334</v>
      </c>
      <c r="D113" s="1120">
        <f t="shared" si="14"/>
        <v>413135.23333333334</v>
      </c>
      <c r="E113" s="1120">
        <f t="shared" si="14"/>
        <v>413135.23333333334</v>
      </c>
      <c r="F113" s="1120">
        <f t="shared" si="14"/>
        <v>413135.23333333334</v>
      </c>
      <c r="G113" s="1120">
        <f t="shared" si="14"/>
        <v>413135.23333333334</v>
      </c>
      <c r="H113" s="1120">
        <f t="shared" si="14"/>
        <v>413135.23333333334</v>
      </c>
      <c r="I113" s="1120">
        <f t="shared" si="14"/>
        <v>413135.23333333334</v>
      </c>
      <c r="J113" s="1120">
        <f t="shared" si="14"/>
        <v>413135.23333333334</v>
      </c>
      <c r="K113" s="1120">
        <f t="shared" si="14"/>
        <v>413135.23333333334</v>
      </c>
      <c r="L113" s="1120">
        <f t="shared" si="14"/>
        <v>413135.23333333334</v>
      </c>
      <c r="M113" s="1120">
        <f t="shared" si="14"/>
        <v>413135.23333333334</v>
      </c>
      <c r="N113" s="1131">
        <f>SUM(B113:M113)</f>
        <v>4957622.8</v>
      </c>
      <c r="O113" s="1131"/>
    </row>
    <row r="114" spans="1:15" hidden="1" x14ac:dyDescent="0.2"/>
    <row r="115" spans="1:15" hidden="1" x14ac:dyDescent="0.2"/>
    <row r="116" spans="1:15" hidden="1" x14ac:dyDescent="0.2">
      <c r="B116">
        <v>807922</v>
      </c>
      <c r="C116">
        <v>323169</v>
      </c>
      <c r="D116">
        <v>484753</v>
      </c>
    </row>
    <row r="117" spans="1:15" hidden="1" x14ac:dyDescent="0.2">
      <c r="B117">
        <v>760585</v>
      </c>
      <c r="C117">
        <v>304234</v>
      </c>
      <c r="D117">
        <v>456351</v>
      </c>
    </row>
    <row r="118" spans="1:15" hidden="1" x14ac:dyDescent="0.2">
      <c r="B118">
        <v>611154</v>
      </c>
      <c r="C118">
        <v>244461</v>
      </c>
      <c r="D118">
        <v>366692</v>
      </c>
    </row>
    <row r="119" spans="1:15" hidden="1" x14ac:dyDescent="0.2">
      <c r="B119">
        <v>203812</v>
      </c>
      <c r="C119">
        <v>81525</v>
      </c>
      <c r="D119">
        <v>122287</v>
      </c>
    </row>
    <row r="120" spans="1:15" hidden="1" x14ac:dyDescent="0.2">
      <c r="B120">
        <f>SUM(B116:B119)</f>
        <v>2383473</v>
      </c>
      <c r="C120">
        <f>SUM(C116:C119)</f>
        <v>953389</v>
      </c>
      <c r="D120">
        <f>SUM(D116:D119)</f>
        <v>1430083</v>
      </c>
    </row>
    <row r="121" spans="1:15" hidden="1" x14ac:dyDescent="0.2">
      <c r="B121">
        <f>B120*1.04</f>
        <v>2478811.92</v>
      </c>
      <c r="C121">
        <f>C120*1.04</f>
        <v>991524.56</v>
      </c>
      <c r="D121">
        <f>D120*1.04</f>
        <v>1487286.32</v>
      </c>
    </row>
    <row r="122" spans="1:15" hidden="1" x14ac:dyDescent="0.2">
      <c r="B122">
        <f>B121/12</f>
        <v>206567.66</v>
      </c>
      <c r="C122">
        <f>C121/12</f>
        <v>82627.046666666676</v>
      </c>
      <c r="D122">
        <f>D121/12</f>
        <v>123940.52666666667</v>
      </c>
    </row>
    <row r="123" spans="1:15" hidden="1" x14ac:dyDescent="0.2"/>
    <row r="124" spans="1:15" hidden="1" x14ac:dyDescent="0.2"/>
    <row r="125" spans="1:15" hidden="1" x14ac:dyDescent="0.2">
      <c r="A125" s="734" t="s">
        <v>10136</v>
      </c>
      <c r="B125">
        <v>665391.08333333337</v>
      </c>
      <c r="C125">
        <v>665391.08333333337</v>
      </c>
      <c r="D125">
        <v>665391.08333333337</v>
      </c>
      <c r="E125">
        <v>665391.08333333337</v>
      </c>
      <c r="F125">
        <v>665391.08333333337</v>
      </c>
      <c r="G125">
        <v>665391.08333333337</v>
      </c>
      <c r="H125">
        <v>665391.08333333337</v>
      </c>
      <c r="I125">
        <v>665391.08333333337</v>
      </c>
      <c r="J125">
        <v>665391.08333333337</v>
      </c>
      <c r="K125">
        <v>665391.08333333337</v>
      </c>
      <c r="L125">
        <v>665391.08333333337</v>
      </c>
      <c r="M125">
        <v>665391.08333333337</v>
      </c>
      <c r="N125">
        <f>SUM(B125:M125)</f>
        <v>7984692.9999999991</v>
      </c>
    </row>
    <row r="126" spans="1:15" hidden="1" x14ac:dyDescent="0.2"/>
    <row r="127" spans="1:15" x14ac:dyDescent="0.2">
      <c r="B127" s="1152">
        <v>2746065.9167520097</v>
      </c>
      <c r="C127" s="1152">
        <v>1839852.4522993756</v>
      </c>
      <c r="D127" s="1152">
        <v>7192610.55090243</v>
      </c>
      <c r="E127" s="1152">
        <v>5321879.8979264926</v>
      </c>
      <c r="F127" s="1152">
        <v>5526031.2929182183</v>
      </c>
      <c r="G127" s="1152">
        <v>3961186.4557195283</v>
      </c>
      <c r="H127" s="1152">
        <v>5703811.1731732311</v>
      </c>
      <c r="I127" s="1152">
        <v>5368045.4618877536</v>
      </c>
      <c r="J127" s="1152">
        <v>6362947.9733914938</v>
      </c>
      <c r="K127" s="1152">
        <v>7447498.1917982344</v>
      </c>
      <c r="L127" s="1152">
        <v>4418611.8095418494</v>
      </c>
      <c r="M127" s="1152">
        <v>5103061.759386139</v>
      </c>
    </row>
    <row r="128" spans="1:15" x14ac:dyDescent="0.2">
      <c r="B128" s="1152">
        <f>B50-B127</f>
        <v>10062113.870557733</v>
      </c>
      <c r="C128" s="1152">
        <f t="shared" ref="C128:M128" si="15">C50-C127</f>
        <v>-718015.56109645008</v>
      </c>
      <c r="D128" s="1152">
        <f t="shared" si="15"/>
        <v>-8310546.8425802141</v>
      </c>
      <c r="E128" s="1152">
        <f t="shared" si="15"/>
        <v>-5409519.4587310031</v>
      </c>
      <c r="F128" s="1152">
        <f t="shared" si="15"/>
        <v>-14475118.510222923</v>
      </c>
      <c r="G128" s="1152">
        <f t="shared" si="15"/>
        <v>-5170365.5510203484</v>
      </c>
      <c r="H128" s="1152">
        <f t="shared" si="15"/>
        <v>-3004502.0381110059</v>
      </c>
      <c r="I128" s="1152">
        <f t="shared" si="15"/>
        <v>-2507950.5166707253</v>
      </c>
      <c r="J128" s="1152">
        <f t="shared" si="15"/>
        <v>4037060.1125109997</v>
      </c>
      <c r="K128" s="1152">
        <f t="shared" si="15"/>
        <v>1981581.5417697858</v>
      </c>
      <c r="L128" s="1152">
        <f t="shared" si="15"/>
        <v>2366870.1366664395</v>
      </c>
      <c r="M128" s="1152">
        <f t="shared" si="15"/>
        <v>-15496034.649985537</v>
      </c>
    </row>
  </sheetData>
  <phoneticPr fontId="0" type="noConversion"/>
  <printOptions horizontalCentered="1" verticalCentered="1"/>
  <pageMargins left="0" right="0" top="0.19685039370078741" bottom="0.98425196850393704" header="0" footer="0"/>
  <pageSetup scale="60" orientation="landscape" r:id="rId1"/>
  <headerFooter alignWithMargins="0"/>
  <rowBreaks count="1" manualBreakCount="1">
    <brk id="53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>
    <tabColor rgb="FFFFC000"/>
  </sheetPr>
  <dimension ref="B1:P97"/>
  <sheetViews>
    <sheetView topLeftCell="A80" zoomScaleNormal="100" workbookViewId="0">
      <selection activeCell="I98" sqref="I98"/>
    </sheetView>
  </sheetViews>
  <sheetFormatPr baseColWidth="10" defaultRowHeight="12.75" x14ac:dyDescent="0.2"/>
  <cols>
    <col min="1" max="1" width="3.140625" customWidth="1"/>
    <col min="2" max="2" width="22.5703125" customWidth="1"/>
    <col min="3" max="3" width="14" customWidth="1"/>
  </cols>
  <sheetData>
    <row r="1" spans="2:3" x14ac:dyDescent="0.2">
      <c r="B1" s="248" t="s">
        <v>7459</v>
      </c>
    </row>
    <row r="3" spans="2:3" x14ac:dyDescent="0.2">
      <c r="B3" s="248" t="s">
        <v>9790</v>
      </c>
    </row>
    <row r="4" spans="2:3" x14ac:dyDescent="0.2">
      <c r="B4" s="248"/>
    </row>
    <row r="5" spans="2:3" x14ac:dyDescent="0.2">
      <c r="B5" s="734" t="s">
        <v>10069</v>
      </c>
      <c r="C5" s="702">
        <v>0.04</v>
      </c>
    </row>
    <row r="6" spans="2:3" x14ac:dyDescent="0.2">
      <c r="B6" s="734" t="s">
        <v>10088</v>
      </c>
      <c r="C6" s="702">
        <f>C5/12</f>
        <v>3.3333333333333335E-3</v>
      </c>
    </row>
    <row r="7" spans="2:3" ht="25.5" x14ac:dyDescent="0.2">
      <c r="B7" s="1125" t="s">
        <v>10101</v>
      </c>
      <c r="C7" s="774">
        <v>13</v>
      </c>
    </row>
    <row r="8" spans="2:3" x14ac:dyDescent="0.2">
      <c r="B8" s="734" t="s">
        <v>10086</v>
      </c>
      <c r="C8" s="702">
        <v>3.5700000000000003E-2</v>
      </c>
    </row>
    <row r="9" spans="2:3" ht="25.5" x14ac:dyDescent="0.2">
      <c r="B9" s="1125" t="s">
        <v>10063</v>
      </c>
      <c r="C9" s="1145">
        <v>0.1065</v>
      </c>
    </row>
    <row r="10" spans="2:3" ht="38.25" x14ac:dyDescent="0.2">
      <c r="B10" s="1125" t="s">
        <v>10064</v>
      </c>
      <c r="C10" s="1145">
        <f>C8*80%</f>
        <v>2.8560000000000002E-2</v>
      </c>
    </row>
    <row r="11" spans="2:3" ht="25.5" x14ac:dyDescent="0.2">
      <c r="B11" s="1125" t="s">
        <v>10070</v>
      </c>
      <c r="C11" s="1146">
        <f>C9*20%</f>
        <v>2.1299999999999999E-2</v>
      </c>
    </row>
    <row r="12" spans="2:3" ht="25.5" x14ac:dyDescent="0.2">
      <c r="B12" s="1162" t="s">
        <v>10111</v>
      </c>
      <c r="C12" s="1163">
        <v>4.99E-2</v>
      </c>
    </row>
    <row r="13" spans="2:3" ht="25.5" x14ac:dyDescent="0.2">
      <c r="B13" s="1125" t="s">
        <v>10075</v>
      </c>
      <c r="C13" s="774">
        <v>1300000</v>
      </c>
    </row>
    <row r="14" spans="2:3" ht="25.5" x14ac:dyDescent="0.2">
      <c r="B14" s="1125" t="s">
        <v>10076</v>
      </c>
      <c r="C14" s="774">
        <f>C13/P47</f>
        <v>4290.4290429042903</v>
      </c>
    </row>
    <row r="15" spans="2:3" ht="25.5" x14ac:dyDescent="0.2">
      <c r="B15" s="1125" t="s">
        <v>10080</v>
      </c>
      <c r="C15" s="739">
        <v>0.04</v>
      </c>
    </row>
    <row r="16" spans="2:3" x14ac:dyDescent="0.2">
      <c r="B16" s="1125" t="s">
        <v>10087</v>
      </c>
      <c r="C16" s="739">
        <v>0.04</v>
      </c>
    </row>
    <row r="17" spans="2:3" x14ac:dyDescent="0.2">
      <c r="B17" s="1125"/>
      <c r="C17" s="774"/>
    </row>
    <row r="18" spans="2:3" ht="38.25" x14ac:dyDescent="0.2">
      <c r="B18" s="1125" t="s">
        <v>10081</v>
      </c>
      <c r="C18" s="1161">
        <v>764604.89</v>
      </c>
    </row>
    <row r="19" spans="2:3" ht="16.5" customHeight="1" x14ac:dyDescent="0.2">
      <c r="B19" s="1125" t="s">
        <v>10084</v>
      </c>
      <c r="C19" s="774"/>
    </row>
    <row r="20" spans="2:3" ht="25.5" x14ac:dyDescent="0.2">
      <c r="B20" s="1125" t="s">
        <v>10085</v>
      </c>
      <c r="C20" s="774">
        <f>350000*(1+C5)</f>
        <v>364000</v>
      </c>
    </row>
    <row r="21" spans="2:3" x14ac:dyDescent="0.2">
      <c r="B21" s="774" t="s">
        <v>10096</v>
      </c>
      <c r="C21" s="774">
        <v>1135976.5</v>
      </c>
    </row>
    <row r="23" spans="2:3" x14ac:dyDescent="0.2">
      <c r="B23" s="1125"/>
      <c r="C23" s="774"/>
    </row>
    <row r="24" spans="2:3" ht="25.5" x14ac:dyDescent="0.2">
      <c r="B24" s="1125" t="s">
        <v>10082</v>
      </c>
      <c r="C24" s="774">
        <f>5563336.86+64200</f>
        <v>5627536.8600000003</v>
      </c>
    </row>
    <row r="25" spans="2:3" x14ac:dyDescent="0.2">
      <c r="B25" s="1125" t="s">
        <v>10083</v>
      </c>
      <c r="C25" s="774">
        <v>246554.99999999997</v>
      </c>
    </row>
    <row r="26" spans="2:3" x14ac:dyDescent="0.2">
      <c r="B26" s="1125" t="s">
        <v>10097</v>
      </c>
      <c r="C26" s="774">
        <f>216324.3*(1+C5)</f>
        <v>224977.272</v>
      </c>
    </row>
    <row r="27" spans="2:3" x14ac:dyDescent="0.2">
      <c r="B27" s="1125" t="s">
        <v>10098</v>
      </c>
      <c r="C27" s="1219">
        <f>904631.69/(1+C5)</f>
        <v>869838.16346153838</v>
      </c>
    </row>
    <row r="28" spans="2:3" ht="25.5" x14ac:dyDescent="0.2">
      <c r="B28" s="1125" t="s">
        <v>10099</v>
      </c>
      <c r="C28" s="774">
        <v>20000</v>
      </c>
    </row>
    <row r="29" spans="2:3" ht="25.5" x14ac:dyDescent="0.2">
      <c r="B29" s="1125" t="s">
        <v>10100</v>
      </c>
      <c r="C29" s="774">
        <f>3500</f>
        <v>3500</v>
      </c>
    </row>
    <row r="30" spans="2:3" x14ac:dyDescent="0.2">
      <c r="B30" s="1125" t="s">
        <v>10102</v>
      </c>
      <c r="C30" s="1219">
        <f>1135088.59*(1+C5)</f>
        <v>1180492.1336000001</v>
      </c>
    </row>
    <row r="31" spans="2:3" x14ac:dyDescent="0.2">
      <c r="B31" s="1125" t="s">
        <v>10103</v>
      </c>
      <c r="C31" s="1219">
        <v>1874688.23</v>
      </c>
    </row>
    <row r="32" spans="2:3" x14ac:dyDescent="0.2">
      <c r="B32" s="1125"/>
      <c r="C32" s="774"/>
    </row>
    <row r="33" spans="2:16" ht="25.5" x14ac:dyDescent="0.2">
      <c r="B33" s="1125" t="s">
        <v>10104</v>
      </c>
      <c r="C33" s="1221">
        <v>0</v>
      </c>
    </row>
    <row r="34" spans="2:16" x14ac:dyDescent="0.2">
      <c r="B34" s="734" t="s">
        <v>10105</v>
      </c>
      <c r="C34" t="e">
        <f>#REF!*(1-'Premisas Presupuesto 2014'!C33)</f>
        <v>#REF!</v>
      </c>
    </row>
    <row r="35" spans="2:16" x14ac:dyDescent="0.2">
      <c r="B35" s="734" t="s">
        <v>10106</v>
      </c>
      <c r="C35" t="e">
        <f>#REF!*(1-'Premisas Presupuesto 2014'!C33)</f>
        <v>#REF!</v>
      </c>
    </row>
    <row r="36" spans="2:16" x14ac:dyDescent="0.2">
      <c r="B36" s="1125" t="s">
        <v>10107</v>
      </c>
      <c r="C36" s="1220">
        <v>1278112.9500000002</v>
      </c>
    </row>
    <row r="37" spans="2:16" ht="25.5" x14ac:dyDescent="0.2">
      <c r="B37" s="1125" t="s">
        <v>10108</v>
      </c>
      <c r="C37" s="1220">
        <f>4281147.97*(1+C5)</f>
        <v>4452393.8887999998</v>
      </c>
    </row>
    <row r="38" spans="2:16" ht="38.25" x14ac:dyDescent="0.2">
      <c r="B38" s="1125" t="s">
        <v>10109</v>
      </c>
      <c r="C38" s="1220">
        <f>3160000*(1+C5)</f>
        <v>3286400</v>
      </c>
    </row>
    <row r="39" spans="2:16" x14ac:dyDescent="0.2">
      <c r="B39" s="1125"/>
      <c r="C39" s="1220"/>
    </row>
    <row r="40" spans="2:16" x14ac:dyDescent="0.2">
      <c r="B40" s="1125"/>
      <c r="C40" s="1220"/>
    </row>
    <row r="41" spans="2:16" x14ac:dyDescent="0.2">
      <c r="B41" s="1125"/>
      <c r="C41" s="774"/>
    </row>
    <row r="42" spans="2:16" x14ac:dyDescent="0.2">
      <c r="B42" s="1125"/>
      <c r="C42" s="774"/>
    </row>
    <row r="43" spans="2:16" x14ac:dyDescent="0.2">
      <c r="B43" s="1125"/>
      <c r="C43" s="774"/>
    </row>
    <row r="44" spans="2:16" x14ac:dyDescent="0.2">
      <c r="B44" s="1125"/>
      <c r="C44" s="1146"/>
      <c r="D44" s="725"/>
    </row>
    <row r="45" spans="2:16" x14ac:dyDescent="0.2">
      <c r="B45" s="1125"/>
      <c r="C45" s="1146"/>
    </row>
    <row r="46" spans="2:16" x14ac:dyDescent="0.2">
      <c r="B46" s="1125"/>
      <c r="C46" s="1125"/>
      <c r="D46" s="1148" t="s">
        <v>8</v>
      </c>
      <c r="E46" s="1148" t="s">
        <v>9</v>
      </c>
      <c r="F46" s="1148" t="s">
        <v>10</v>
      </c>
      <c r="G46" s="1148" t="s">
        <v>11</v>
      </c>
      <c r="H46" s="1148" t="s">
        <v>12</v>
      </c>
      <c r="I46" s="1148" t="s">
        <v>13</v>
      </c>
      <c r="J46" s="1148" t="s">
        <v>14</v>
      </c>
      <c r="K46" s="1148" t="s">
        <v>15</v>
      </c>
      <c r="L46" s="1148" t="s">
        <v>16</v>
      </c>
      <c r="M46" s="1148" t="s">
        <v>17</v>
      </c>
      <c r="N46" s="1148" t="s">
        <v>18</v>
      </c>
      <c r="O46" s="1148" t="s">
        <v>19</v>
      </c>
      <c r="P46" s="1148" t="s">
        <v>135</v>
      </c>
    </row>
    <row r="47" spans="2:16" x14ac:dyDescent="0.2">
      <c r="B47" s="1150" t="s">
        <v>10071</v>
      </c>
      <c r="C47" s="1125"/>
      <c r="D47" s="738">
        <v>26</v>
      </c>
      <c r="E47">
        <v>24</v>
      </c>
      <c r="F47">
        <v>23</v>
      </c>
      <c r="G47">
        <v>26</v>
      </c>
      <c r="H47">
        <v>26</v>
      </c>
      <c r="I47">
        <v>25</v>
      </c>
      <c r="J47">
        <v>27</v>
      </c>
      <c r="K47">
        <v>27</v>
      </c>
      <c r="L47">
        <v>24</v>
      </c>
      <c r="M47">
        <v>27</v>
      </c>
      <c r="N47">
        <v>24</v>
      </c>
      <c r="O47">
        <v>24</v>
      </c>
      <c r="P47" s="1147">
        <f>SUM(D47:O47)</f>
        <v>303</v>
      </c>
    </row>
    <row r="48" spans="2:16" x14ac:dyDescent="0.2">
      <c r="B48" s="1150" t="s">
        <v>10072</v>
      </c>
      <c r="C48" s="1125"/>
      <c r="D48" s="738" t="e">
        <f>$C$13*D49</f>
        <v>#REF!</v>
      </c>
      <c r="E48" s="738" t="e">
        <f t="shared" ref="E48:O48" si="0">$C$13*E49</f>
        <v>#REF!</v>
      </c>
      <c r="F48" s="738" t="e">
        <f t="shared" si="0"/>
        <v>#REF!</v>
      </c>
      <c r="G48" s="738" t="e">
        <f t="shared" si="0"/>
        <v>#REF!</v>
      </c>
      <c r="H48" s="738" t="e">
        <f t="shared" si="0"/>
        <v>#REF!</v>
      </c>
      <c r="I48" s="738" t="e">
        <f t="shared" si="0"/>
        <v>#REF!</v>
      </c>
      <c r="J48" s="738" t="e">
        <f t="shared" si="0"/>
        <v>#REF!</v>
      </c>
      <c r="K48" s="738" t="e">
        <f t="shared" si="0"/>
        <v>#REF!</v>
      </c>
      <c r="L48" s="738" t="e">
        <f t="shared" si="0"/>
        <v>#REF!</v>
      </c>
      <c r="M48" s="738" t="e">
        <f t="shared" si="0"/>
        <v>#REF!</v>
      </c>
      <c r="N48" s="738" t="e">
        <f t="shared" si="0"/>
        <v>#REF!</v>
      </c>
      <c r="O48" s="738" t="e">
        <f t="shared" si="0"/>
        <v>#REF!</v>
      </c>
      <c r="P48" s="1147" t="e">
        <f>SUM(D48:O48)</f>
        <v>#REF!</v>
      </c>
    </row>
    <row r="49" spans="2:16" ht="38.25" customHeight="1" x14ac:dyDescent="0.2">
      <c r="B49" s="1150" t="s">
        <v>10077</v>
      </c>
      <c r="C49" s="1125"/>
      <c r="D49" s="739" t="e">
        <f>#REF!</f>
        <v>#REF!</v>
      </c>
      <c r="E49" s="739" t="e">
        <f>#REF!</f>
        <v>#REF!</v>
      </c>
      <c r="F49" s="739" t="e">
        <f>#REF!</f>
        <v>#REF!</v>
      </c>
      <c r="G49" s="739" t="e">
        <f>#REF!</f>
        <v>#REF!</v>
      </c>
      <c r="H49" s="739" t="e">
        <f>#REF!</f>
        <v>#REF!</v>
      </c>
      <c r="I49" s="739" t="e">
        <f>#REF!</f>
        <v>#REF!</v>
      </c>
      <c r="J49" s="739" t="e">
        <f>#REF!</f>
        <v>#REF!</v>
      </c>
      <c r="K49" s="739" t="e">
        <f>#REF!</f>
        <v>#REF!</v>
      </c>
      <c r="L49" s="739" t="e">
        <f>#REF!</f>
        <v>#REF!</v>
      </c>
      <c r="M49" s="739" t="e">
        <f>#REF!</f>
        <v>#REF!</v>
      </c>
      <c r="N49" s="739" t="e">
        <f>#REF!</f>
        <v>#REF!</v>
      </c>
      <c r="O49" s="739" t="e">
        <f>#REF!</f>
        <v>#REF!</v>
      </c>
      <c r="P49" s="739" t="e">
        <f>#REF!</f>
        <v>#REF!</v>
      </c>
    </row>
    <row r="50" spans="2:16" ht="38.25" x14ac:dyDescent="0.2">
      <c r="B50" s="1150" t="s">
        <v>10073</v>
      </c>
      <c r="C50" s="1125" t="s">
        <v>10074</v>
      </c>
      <c r="D50" s="738"/>
      <c r="E50" s="738"/>
      <c r="F50" s="738"/>
      <c r="G50" s="738"/>
      <c r="H50" s="738"/>
      <c r="I50" s="738"/>
      <c r="J50" s="738"/>
      <c r="K50" s="738"/>
      <c r="L50" s="738"/>
      <c r="M50" s="738"/>
      <c r="N50" s="738"/>
      <c r="O50" s="738"/>
      <c r="P50" s="1147"/>
    </row>
    <row r="51" spans="2:16" x14ac:dyDescent="0.2">
      <c r="B51" s="1151" t="s">
        <v>10065</v>
      </c>
      <c r="C51" s="1149" t="e">
        <f>#REF!</f>
        <v>#REF!</v>
      </c>
      <c r="D51" s="738" t="e">
        <f>D$48*$C51</f>
        <v>#REF!</v>
      </c>
      <c r="E51" s="738" t="e">
        <f t="shared" ref="E51:O51" si="1">E$48*$C51</f>
        <v>#REF!</v>
      </c>
      <c r="F51" s="738" t="e">
        <f t="shared" si="1"/>
        <v>#REF!</v>
      </c>
      <c r="G51" s="738" t="e">
        <f t="shared" si="1"/>
        <v>#REF!</v>
      </c>
      <c r="H51" s="738" t="e">
        <f t="shared" si="1"/>
        <v>#REF!</v>
      </c>
      <c r="I51" s="738" t="e">
        <f t="shared" si="1"/>
        <v>#REF!</v>
      </c>
      <c r="J51" s="738" t="e">
        <f t="shared" si="1"/>
        <v>#REF!</v>
      </c>
      <c r="K51" s="738" t="e">
        <f t="shared" si="1"/>
        <v>#REF!</v>
      </c>
      <c r="L51" s="738" t="e">
        <f t="shared" si="1"/>
        <v>#REF!</v>
      </c>
      <c r="M51" s="738" t="e">
        <f t="shared" si="1"/>
        <v>#REF!</v>
      </c>
      <c r="N51" s="738" t="e">
        <f t="shared" si="1"/>
        <v>#REF!</v>
      </c>
      <c r="O51" s="738" t="e">
        <f t="shared" si="1"/>
        <v>#REF!</v>
      </c>
      <c r="P51" s="1147" t="e">
        <f>SUM(D51:O51)</f>
        <v>#REF!</v>
      </c>
    </row>
    <row r="52" spans="2:16" x14ac:dyDescent="0.2">
      <c r="B52" s="1151" t="s">
        <v>3450</v>
      </c>
      <c r="C52" s="1149" t="e">
        <f>#REF!</f>
        <v>#REF!</v>
      </c>
      <c r="D52" s="738" t="e">
        <f t="shared" ref="D52:O63" si="2">D$48*$C52</f>
        <v>#REF!</v>
      </c>
      <c r="E52" s="738" t="e">
        <f t="shared" si="2"/>
        <v>#REF!</v>
      </c>
      <c r="F52" s="738" t="e">
        <f t="shared" si="2"/>
        <v>#REF!</v>
      </c>
      <c r="G52" s="738" t="e">
        <f t="shared" si="2"/>
        <v>#REF!</v>
      </c>
      <c r="H52" s="738" t="e">
        <f t="shared" si="2"/>
        <v>#REF!</v>
      </c>
      <c r="I52" s="738" t="e">
        <f t="shared" si="2"/>
        <v>#REF!</v>
      </c>
      <c r="J52" s="738" t="e">
        <f t="shared" si="2"/>
        <v>#REF!</v>
      </c>
      <c r="K52" s="738" t="e">
        <f t="shared" si="2"/>
        <v>#REF!</v>
      </c>
      <c r="L52" s="738" t="e">
        <f t="shared" si="2"/>
        <v>#REF!</v>
      </c>
      <c r="M52" s="738" t="e">
        <f t="shared" si="2"/>
        <v>#REF!</v>
      </c>
      <c r="N52" s="738" t="e">
        <f t="shared" si="2"/>
        <v>#REF!</v>
      </c>
      <c r="O52" s="738" t="e">
        <f t="shared" si="2"/>
        <v>#REF!</v>
      </c>
      <c r="P52" s="1147" t="e">
        <f t="shared" ref="P52:P63" si="3">SUM(D52:O52)</f>
        <v>#REF!</v>
      </c>
    </row>
    <row r="53" spans="2:16" x14ac:dyDescent="0.2">
      <c r="B53" s="1151" t="s">
        <v>2084</v>
      </c>
      <c r="C53" s="1149" t="e">
        <f>#REF!</f>
        <v>#REF!</v>
      </c>
      <c r="D53" s="738" t="e">
        <f t="shared" si="2"/>
        <v>#REF!</v>
      </c>
      <c r="E53" s="738" t="e">
        <f t="shared" si="2"/>
        <v>#REF!</v>
      </c>
      <c r="F53" s="738" t="e">
        <f t="shared" si="2"/>
        <v>#REF!</v>
      </c>
      <c r="G53" s="738" t="e">
        <f t="shared" si="2"/>
        <v>#REF!</v>
      </c>
      <c r="H53" s="738" t="e">
        <f t="shared" si="2"/>
        <v>#REF!</v>
      </c>
      <c r="I53" s="738" t="e">
        <f t="shared" si="2"/>
        <v>#REF!</v>
      </c>
      <c r="J53" s="738" t="e">
        <f t="shared" si="2"/>
        <v>#REF!</v>
      </c>
      <c r="K53" s="738" t="e">
        <f t="shared" si="2"/>
        <v>#REF!</v>
      </c>
      <c r="L53" s="738" t="e">
        <f t="shared" si="2"/>
        <v>#REF!</v>
      </c>
      <c r="M53" s="738" t="e">
        <f t="shared" si="2"/>
        <v>#REF!</v>
      </c>
      <c r="N53" s="738" t="e">
        <f t="shared" si="2"/>
        <v>#REF!</v>
      </c>
      <c r="O53" s="738" t="e">
        <f t="shared" si="2"/>
        <v>#REF!</v>
      </c>
      <c r="P53" s="1147" t="e">
        <f t="shared" si="3"/>
        <v>#REF!</v>
      </c>
    </row>
    <row r="54" spans="2:16" x14ac:dyDescent="0.2">
      <c r="B54" s="1151" t="s">
        <v>2099</v>
      </c>
      <c r="C54" s="1149" t="e">
        <f>#REF!</f>
        <v>#REF!</v>
      </c>
      <c r="D54" s="738" t="e">
        <f t="shared" si="2"/>
        <v>#REF!</v>
      </c>
      <c r="E54" s="738" t="e">
        <f t="shared" si="2"/>
        <v>#REF!</v>
      </c>
      <c r="F54" s="738" t="e">
        <f t="shared" si="2"/>
        <v>#REF!</v>
      </c>
      <c r="G54" s="738" t="e">
        <f t="shared" si="2"/>
        <v>#REF!</v>
      </c>
      <c r="H54" s="738" t="e">
        <f t="shared" si="2"/>
        <v>#REF!</v>
      </c>
      <c r="I54" s="738" t="e">
        <f t="shared" si="2"/>
        <v>#REF!</v>
      </c>
      <c r="J54" s="738" t="e">
        <f t="shared" si="2"/>
        <v>#REF!</v>
      </c>
      <c r="K54" s="738" t="e">
        <f t="shared" si="2"/>
        <v>#REF!</v>
      </c>
      <c r="L54" s="738" t="e">
        <f t="shared" si="2"/>
        <v>#REF!</v>
      </c>
      <c r="M54" s="738" t="e">
        <f t="shared" si="2"/>
        <v>#REF!</v>
      </c>
      <c r="N54" s="738" t="e">
        <f t="shared" si="2"/>
        <v>#REF!</v>
      </c>
      <c r="O54" s="738" t="e">
        <f t="shared" si="2"/>
        <v>#REF!</v>
      </c>
      <c r="P54" s="1147" t="e">
        <f t="shared" si="3"/>
        <v>#REF!</v>
      </c>
    </row>
    <row r="55" spans="2:16" x14ac:dyDescent="0.2">
      <c r="B55" s="1151" t="s">
        <v>10066</v>
      </c>
      <c r="C55" s="1149" t="e">
        <f>#REF!</f>
        <v>#REF!</v>
      </c>
      <c r="D55" s="738" t="e">
        <f t="shared" si="2"/>
        <v>#REF!</v>
      </c>
      <c r="E55" s="738" t="e">
        <f t="shared" si="2"/>
        <v>#REF!</v>
      </c>
      <c r="F55" s="738" t="e">
        <f t="shared" si="2"/>
        <v>#REF!</v>
      </c>
      <c r="G55" s="738" t="e">
        <f t="shared" si="2"/>
        <v>#REF!</v>
      </c>
      <c r="H55" s="738" t="e">
        <f t="shared" si="2"/>
        <v>#REF!</v>
      </c>
      <c r="I55" s="738" t="e">
        <f t="shared" si="2"/>
        <v>#REF!</v>
      </c>
      <c r="J55" s="738" t="e">
        <f t="shared" si="2"/>
        <v>#REF!</v>
      </c>
      <c r="K55" s="738" t="e">
        <f t="shared" si="2"/>
        <v>#REF!</v>
      </c>
      <c r="L55" s="738" t="e">
        <f t="shared" si="2"/>
        <v>#REF!</v>
      </c>
      <c r="M55" s="738" t="e">
        <f t="shared" si="2"/>
        <v>#REF!</v>
      </c>
      <c r="N55" s="738" t="e">
        <f t="shared" si="2"/>
        <v>#REF!</v>
      </c>
      <c r="O55" s="738" t="e">
        <f t="shared" si="2"/>
        <v>#REF!</v>
      </c>
      <c r="P55" s="1147" t="e">
        <f t="shared" si="3"/>
        <v>#REF!</v>
      </c>
    </row>
    <row r="56" spans="2:16" x14ac:dyDescent="0.2">
      <c r="B56" s="1151" t="s">
        <v>2065</v>
      </c>
      <c r="C56" s="1149" t="e">
        <f>#REF!</f>
        <v>#REF!</v>
      </c>
      <c r="D56" s="738" t="e">
        <f t="shared" si="2"/>
        <v>#REF!</v>
      </c>
      <c r="E56" s="738" t="e">
        <f t="shared" si="2"/>
        <v>#REF!</v>
      </c>
      <c r="F56" s="738" t="e">
        <f t="shared" si="2"/>
        <v>#REF!</v>
      </c>
      <c r="G56" s="738" t="e">
        <f t="shared" si="2"/>
        <v>#REF!</v>
      </c>
      <c r="H56" s="738" t="e">
        <f t="shared" si="2"/>
        <v>#REF!</v>
      </c>
      <c r="I56" s="738" t="e">
        <f t="shared" si="2"/>
        <v>#REF!</v>
      </c>
      <c r="J56" s="738" t="e">
        <f t="shared" si="2"/>
        <v>#REF!</v>
      </c>
      <c r="K56" s="738" t="e">
        <f t="shared" si="2"/>
        <v>#REF!</v>
      </c>
      <c r="L56" s="738" t="e">
        <f t="shared" si="2"/>
        <v>#REF!</v>
      </c>
      <c r="M56" s="738" t="e">
        <f t="shared" si="2"/>
        <v>#REF!</v>
      </c>
      <c r="N56" s="738" t="e">
        <f t="shared" si="2"/>
        <v>#REF!</v>
      </c>
      <c r="O56" s="738" t="e">
        <f t="shared" si="2"/>
        <v>#REF!</v>
      </c>
      <c r="P56" s="1147" t="e">
        <f t="shared" si="3"/>
        <v>#REF!</v>
      </c>
    </row>
    <row r="57" spans="2:16" x14ac:dyDescent="0.2">
      <c r="B57" s="1151" t="s">
        <v>3787</v>
      </c>
      <c r="C57" s="1149" t="e">
        <f>#REF!</f>
        <v>#REF!</v>
      </c>
      <c r="D57" s="738" t="e">
        <f t="shared" si="2"/>
        <v>#REF!</v>
      </c>
      <c r="E57" s="738" t="e">
        <f t="shared" si="2"/>
        <v>#REF!</v>
      </c>
      <c r="F57" s="738" t="e">
        <f t="shared" si="2"/>
        <v>#REF!</v>
      </c>
      <c r="G57" s="738" t="e">
        <f t="shared" si="2"/>
        <v>#REF!</v>
      </c>
      <c r="H57" s="738" t="e">
        <f t="shared" si="2"/>
        <v>#REF!</v>
      </c>
      <c r="I57" s="738" t="e">
        <f t="shared" si="2"/>
        <v>#REF!</v>
      </c>
      <c r="J57" s="738" t="e">
        <f t="shared" si="2"/>
        <v>#REF!</v>
      </c>
      <c r="K57" s="738" t="e">
        <f t="shared" si="2"/>
        <v>#REF!</v>
      </c>
      <c r="L57" s="738" t="e">
        <f t="shared" si="2"/>
        <v>#REF!</v>
      </c>
      <c r="M57" s="738" t="e">
        <f t="shared" si="2"/>
        <v>#REF!</v>
      </c>
      <c r="N57" s="738" t="e">
        <f t="shared" si="2"/>
        <v>#REF!</v>
      </c>
      <c r="O57" s="738" t="e">
        <f t="shared" si="2"/>
        <v>#REF!</v>
      </c>
      <c r="P57" s="1147" t="e">
        <f t="shared" si="3"/>
        <v>#REF!</v>
      </c>
    </row>
    <row r="58" spans="2:16" x14ac:dyDescent="0.2">
      <c r="B58" s="1151" t="s">
        <v>3358</v>
      </c>
      <c r="C58" s="1149" t="e">
        <f>#REF!</f>
        <v>#REF!</v>
      </c>
      <c r="D58" s="738" t="e">
        <f t="shared" si="2"/>
        <v>#REF!</v>
      </c>
      <c r="E58" s="738" t="e">
        <f t="shared" si="2"/>
        <v>#REF!</v>
      </c>
      <c r="F58" s="738" t="e">
        <f t="shared" si="2"/>
        <v>#REF!</v>
      </c>
      <c r="G58" s="738" t="e">
        <f t="shared" si="2"/>
        <v>#REF!</v>
      </c>
      <c r="H58" s="738" t="e">
        <f t="shared" si="2"/>
        <v>#REF!</v>
      </c>
      <c r="I58" s="738" t="e">
        <f t="shared" si="2"/>
        <v>#REF!</v>
      </c>
      <c r="J58" s="738" t="e">
        <f t="shared" si="2"/>
        <v>#REF!</v>
      </c>
      <c r="K58" s="738" t="e">
        <f t="shared" si="2"/>
        <v>#REF!</v>
      </c>
      <c r="L58" s="738" t="e">
        <f t="shared" si="2"/>
        <v>#REF!</v>
      </c>
      <c r="M58" s="738" t="e">
        <f t="shared" si="2"/>
        <v>#REF!</v>
      </c>
      <c r="N58" s="738" t="e">
        <f t="shared" si="2"/>
        <v>#REF!</v>
      </c>
      <c r="O58" s="738" t="e">
        <f t="shared" si="2"/>
        <v>#REF!</v>
      </c>
      <c r="P58" s="1147" t="e">
        <f t="shared" si="3"/>
        <v>#REF!</v>
      </c>
    </row>
    <row r="59" spans="2:16" x14ac:dyDescent="0.2">
      <c r="B59" s="1151" t="s">
        <v>4128</v>
      </c>
      <c r="C59" s="1149" t="e">
        <f>#REF!</f>
        <v>#REF!</v>
      </c>
      <c r="D59" s="738" t="e">
        <f t="shared" si="2"/>
        <v>#REF!</v>
      </c>
      <c r="E59" s="738" t="e">
        <f t="shared" si="2"/>
        <v>#REF!</v>
      </c>
      <c r="F59" s="738" t="e">
        <f t="shared" si="2"/>
        <v>#REF!</v>
      </c>
      <c r="G59" s="738" t="e">
        <f t="shared" si="2"/>
        <v>#REF!</v>
      </c>
      <c r="H59" s="738" t="e">
        <f t="shared" si="2"/>
        <v>#REF!</v>
      </c>
      <c r="I59" s="738" t="e">
        <f t="shared" si="2"/>
        <v>#REF!</v>
      </c>
      <c r="J59" s="738" t="e">
        <f t="shared" si="2"/>
        <v>#REF!</v>
      </c>
      <c r="K59" s="738" t="e">
        <f t="shared" si="2"/>
        <v>#REF!</v>
      </c>
      <c r="L59" s="738" t="e">
        <f t="shared" si="2"/>
        <v>#REF!</v>
      </c>
      <c r="M59" s="738" t="e">
        <f t="shared" si="2"/>
        <v>#REF!</v>
      </c>
      <c r="N59" s="738" t="e">
        <f t="shared" si="2"/>
        <v>#REF!</v>
      </c>
      <c r="O59" s="738" t="e">
        <f t="shared" si="2"/>
        <v>#REF!</v>
      </c>
      <c r="P59" s="1147" t="e">
        <f t="shared" si="3"/>
        <v>#REF!</v>
      </c>
    </row>
    <row r="60" spans="2:16" x14ac:dyDescent="0.2">
      <c r="B60" s="1151" t="s">
        <v>2622</v>
      </c>
      <c r="C60" s="1149" t="e">
        <f>#REF!</f>
        <v>#REF!</v>
      </c>
      <c r="D60" s="738" t="e">
        <f t="shared" si="2"/>
        <v>#REF!</v>
      </c>
      <c r="E60" s="738" t="e">
        <f t="shared" si="2"/>
        <v>#REF!</v>
      </c>
      <c r="F60" s="738" t="e">
        <f t="shared" si="2"/>
        <v>#REF!</v>
      </c>
      <c r="G60" s="738" t="e">
        <f t="shared" si="2"/>
        <v>#REF!</v>
      </c>
      <c r="H60" s="738" t="e">
        <f t="shared" si="2"/>
        <v>#REF!</v>
      </c>
      <c r="I60" s="738" t="e">
        <f t="shared" si="2"/>
        <v>#REF!</v>
      </c>
      <c r="J60" s="738" t="e">
        <f t="shared" si="2"/>
        <v>#REF!</v>
      </c>
      <c r="K60" s="738" t="e">
        <f t="shared" si="2"/>
        <v>#REF!</v>
      </c>
      <c r="L60" s="738" t="e">
        <f t="shared" si="2"/>
        <v>#REF!</v>
      </c>
      <c r="M60" s="738" t="e">
        <f t="shared" si="2"/>
        <v>#REF!</v>
      </c>
      <c r="N60" s="738" t="e">
        <f t="shared" si="2"/>
        <v>#REF!</v>
      </c>
      <c r="O60" s="738" t="e">
        <f t="shared" si="2"/>
        <v>#REF!</v>
      </c>
      <c r="P60" s="1147" t="e">
        <f t="shared" si="3"/>
        <v>#REF!</v>
      </c>
    </row>
    <row r="61" spans="2:16" x14ac:dyDescent="0.2">
      <c r="B61" s="1151" t="s">
        <v>10068</v>
      </c>
      <c r="C61" s="1149" t="e">
        <f>#REF!</f>
        <v>#REF!</v>
      </c>
      <c r="D61" s="738" t="e">
        <f t="shared" si="2"/>
        <v>#REF!</v>
      </c>
      <c r="E61" s="738" t="e">
        <f t="shared" si="2"/>
        <v>#REF!</v>
      </c>
      <c r="F61" s="738" t="e">
        <f t="shared" si="2"/>
        <v>#REF!</v>
      </c>
      <c r="G61" s="738" t="e">
        <f t="shared" si="2"/>
        <v>#REF!</v>
      </c>
      <c r="H61" s="738" t="e">
        <f t="shared" si="2"/>
        <v>#REF!</v>
      </c>
      <c r="I61" s="738" t="e">
        <f t="shared" si="2"/>
        <v>#REF!</v>
      </c>
      <c r="J61" s="738" t="e">
        <f t="shared" si="2"/>
        <v>#REF!</v>
      </c>
      <c r="K61" s="738" t="e">
        <f t="shared" si="2"/>
        <v>#REF!</v>
      </c>
      <c r="L61" s="738" t="e">
        <f t="shared" si="2"/>
        <v>#REF!</v>
      </c>
      <c r="M61" s="738" t="e">
        <f t="shared" si="2"/>
        <v>#REF!</v>
      </c>
      <c r="N61" s="738" t="e">
        <f t="shared" si="2"/>
        <v>#REF!</v>
      </c>
      <c r="O61" s="738" t="e">
        <f t="shared" si="2"/>
        <v>#REF!</v>
      </c>
      <c r="P61" s="1147" t="e">
        <f t="shared" si="3"/>
        <v>#REF!</v>
      </c>
    </row>
    <row r="62" spans="2:16" x14ac:dyDescent="0.2">
      <c r="B62" s="1151" t="s">
        <v>10067</v>
      </c>
      <c r="C62" s="1149" t="e">
        <f>#REF!</f>
        <v>#REF!</v>
      </c>
      <c r="D62" s="738" t="e">
        <f t="shared" si="2"/>
        <v>#REF!</v>
      </c>
      <c r="E62" s="738" t="e">
        <f t="shared" si="2"/>
        <v>#REF!</v>
      </c>
      <c r="F62" s="738" t="e">
        <f t="shared" si="2"/>
        <v>#REF!</v>
      </c>
      <c r="G62" s="738" t="e">
        <f t="shared" si="2"/>
        <v>#REF!</v>
      </c>
      <c r="H62" s="738" t="e">
        <f t="shared" si="2"/>
        <v>#REF!</v>
      </c>
      <c r="I62" s="738" t="e">
        <f t="shared" si="2"/>
        <v>#REF!</v>
      </c>
      <c r="J62" s="738" t="e">
        <f t="shared" si="2"/>
        <v>#REF!</v>
      </c>
      <c r="K62" s="738" t="e">
        <f t="shared" si="2"/>
        <v>#REF!</v>
      </c>
      <c r="L62" s="738" t="e">
        <f t="shared" si="2"/>
        <v>#REF!</v>
      </c>
      <c r="M62" s="738" t="e">
        <f t="shared" si="2"/>
        <v>#REF!</v>
      </c>
      <c r="N62" s="738" t="e">
        <f t="shared" si="2"/>
        <v>#REF!</v>
      </c>
      <c r="O62" s="738" t="e">
        <f t="shared" si="2"/>
        <v>#REF!</v>
      </c>
      <c r="P62" s="1147" t="e">
        <f t="shared" si="3"/>
        <v>#REF!</v>
      </c>
    </row>
    <row r="63" spans="2:16" x14ac:dyDescent="0.2">
      <c r="B63" s="1151" t="s">
        <v>2054</v>
      </c>
      <c r="C63" s="1149" t="e">
        <f>#REF!</f>
        <v>#REF!</v>
      </c>
      <c r="D63" s="738" t="e">
        <f t="shared" si="2"/>
        <v>#REF!</v>
      </c>
      <c r="E63" s="738" t="e">
        <f t="shared" si="2"/>
        <v>#REF!</v>
      </c>
      <c r="F63" s="738" t="e">
        <f t="shared" si="2"/>
        <v>#REF!</v>
      </c>
      <c r="G63" s="738" t="e">
        <f t="shared" si="2"/>
        <v>#REF!</v>
      </c>
      <c r="H63" s="738" t="e">
        <f t="shared" si="2"/>
        <v>#REF!</v>
      </c>
      <c r="I63" s="738" t="e">
        <f t="shared" si="2"/>
        <v>#REF!</v>
      </c>
      <c r="J63" s="738" t="e">
        <f t="shared" si="2"/>
        <v>#REF!</v>
      </c>
      <c r="K63" s="738" t="e">
        <f t="shared" si="2"/>
        <v>#REF!</v>
      </c>
      <c r="L63" s="738" t="e">
        <f t="shared" si="2"/>
        <v>#REF!</v>
      </c>
      <c r="M63" s="738" t="e">
        <f t="shared" si="2"/>
        <v>#REF!</v>
      </c>
      <c r="N63" s="738" t="e">
        <f t="shared" si="2"/>
        <v>#REF!</v>
      </c>
      <c r="O63" s="738" t="e">
        <f t="shared" si="2"/>
        <v>#REF!</v>
      </c>
      <c r="P63" s="1147" t="e">
        <f t="shared" si="3"/>
        <v>#REF!</v>
      </c>
    </row>
    <row r="64" spans="2:16" x14ac:dyDescent="0.2">
      <c r="B64" s="1151"/>
      <c r="C64" s="1149"/>
      <c r="D64" s="738"/>
      <c r="E64" s="738"/>
      <c r="F64" s="738"/>
      <c r="G64" s="738"/>
      <c r="H64" s="738"/>
      <c r="I64" s="738"/>
      <c r="J64" s="738"/>
      <c r="K64" s="738"/>
      <c r="L64" s="738"/>
      <c r="M64" s="738"/>
      <c r="N64" s="738"/>
      <c r="O64" s="738"/>
      <c r="P64" s="1147"/>
    </row>
    <row r="65" spans="2:16" x14ac:dyDescent="0.2">
      <c r="B65" s="1125"/>
      <c r="C65" s="1145"/>
      <c r="D65" s="739" t="e">
        <f>SUM(D51:D63)/SUM($P$51:$P$63)</f>
        <v>#REF!</v>
      </c>
      <c r="E65" s="739" t="e">
        <f t="shared" ref="E65:O65" si="4">SUM(E51:E63)/SUM($P$51:$P$63)</f>
        <v>#REF!</v>
      </c>
      <c r="F65" s="739" t="e">
        <f t="shared" si="4"/>
        <v>#REF!</v>
      </c>
      <c r="G65" s="739" t="e">
        <f t="shared" si="4"/>
        <v>#REF!</v>
      </c>
      <c r="H65" s="739" t="e">
        <f t="shared" si="4"/>
        <v>#REF!</v>
      </c>
      <c r="I65" s="739" t="e">
        <f t="shared" si="4"/>
        <v>#REF!</v>
      </c>
      <c r="J65" s="739" t="e">
        <f t="shared" si="4"/>
        <v>#REF!</v>
      </c>
      <c r="K65" s="739" t="e">
        <f t="shared" si="4"/>
        <v>#REF!</v>
      </c>
      <c r="L65" s="739" t="e">
        <f t="shared" si="4"/>
        <v>#REF!</v>
      </c>
      <c r="M65" s="739" t="e">
        <f t="shared" si="4"/>
        <v>#REF!</v>
      </c>
      <c r="N65" s="739" t="e">
        <f t="shared" si="4"/>
        <v>#REF!</v>
      </c>
      <c r="O65" s="739" t="e">
        <f t="shared" si="4"/>
        <v>#REF!</v>
      </c>
    </row>
    <row r="66" spans="2:16" x14ac:dyDescent="0.2">
      <c r="B66" s="1125"/>
      <c r="C66" s="1145"/>
      <c r="D66" s="739"/>
      <c r="E66" s="739"/>
      <c r="F66" s="739"/>
      <c r="G66" s="739"/>
      <c r="H66" s="739"/>
      <c r="I66" s="739"/>
      <c r="J66" s="739"/>
      <c r="K66" s="739"/>
      <c r="L66" s="739"/>
      <c r="M66" s="739"/>
      <c r="N66" s="739"/>
      <c r="O66" s="739"/>
    </row>
    <row r="68" spans="2:16" x14ac:dyDescent="0.2">
      <c r="D68" t="s">
        <v>8</v>
      </c>
      <c r="E68" t="s">
        <v>9</v>
      </c>
      <c r="F68" t="s">
        <v>10</v>
      </c>
      <c r="G68" t="s">
        <v>11</v>
      </c>
      <c r="H68" t="s">
        <v>12</v>
      </c>
      <c r="I68" t="s">
        <v>13</v>
      </c>
      <c r="J68" t="s">
        <v>14</v>
      </c>
      <c r="K68" t="s">
        <v>15</v>
      </c>
      <c r="L68" t="s">
        <v>16</v>
      </c>
      <c r="M68" t="s">
        <v>17</v>
      </c>
      <c r="N68" t="s">
        <v>18</v>
      </c>
      <c r="O68" t="s">
        <v>19</v>
      </c>
    </row>
    <row r="69" spans="2:16" x14ac:dyDescent="0.2">
      <c r="B69" s="248" t="s">
        <v>10078</v>
      </c>
      <c r="D69">
        <v>9.4665520000000001</v>
      </c>
      <c r="E69">
        <f t="shared" ref="E69:O69" si="5">D69+$C$90</f>
        <v>9.561452000000001</v>
      </c>
      <c r="F69">
        <f t="shared" si="5"/>
        <v>9.6563520000000018</v>
      </c>
      <c r="G69">
        <f t="shared" si="5"/>
        <v>9.7512520000000027</v>
      </c>
      <c r="H69">
        <f t="shared" si="5"/>
        <v>9.8461520000000036</v>
      </c>
      <c r="I69">
        <f t="shared" si="5"/>
        <v>9.9410520000000044</v>
      </c>
      <c r="J69">
        <f t="shared" si="5"/>
        <v>10.035952000000005</v>
      </c>
      <c r="K69">
        <f t="shared" si="5"/>
        <v>10.130852000000006</v>
      </c>
      <c r="L69">
        <f t="shared" si="5"/>
        <v>10.225752000000007</v>
      </c>
      <c r="M69">
        <f t="shared" si="5"/>
        <v>10.320652000000008</v>
      </c>
      <c r="N69">
        <f t="shared" si="5"/>
        <v>10.415552000000009</v>
      </c>
      <c r="O69">
        <f t="shared" si="5"/>
        <v>10.51045200000001</v>
      </c>
    </row>
    <row r="70" spans="2:16" x14ac:dyDescent="0.2">
      <c r="B70" s="248" t="s">
        <v>10079</v>
      </c>
      <c r="D70">
        <v>0.29880000000000001</v>
      </c>
      <c r="E70">
        <v>0.29880000000000001</v>
      </c>
      <c r="F70">
        <v>0.29880000000000001</v>
      </c>
      <c r="G70">
        <v>0.29880000000000001</v>
      </c>
      <c r="H70">
        <v>0.29880000000000001</v>
      </c>
      <c r="I70">
        <v>0.29880000000000001</v>
      </c>
      <c r="J70">
        <v>0.29880000000000001</v>
      </c>
      <c r="K70">
        <v>0.29880000000000001</v>
      </c>
      <c r="L70">
        <v>0.29880000000000001</v>
      </c>
      <c r="M70">
        <v>0.29880000000000001</v>
      </c>
      <c r="N70">
        <v>0.29880000000000001</v>
      </c>
      <c r="O70">
        <v>0.29880000000000001</v>
      </c>
    </row>
    <row r="72" spans="2:16" x14ac:dyDescent="0.2">
      <c r="B72" s="734" t="s">
        <v>10137</v>
      </c>
      <c r="D72" s="725" t="e">
        <f>#REF!/Edo.Res.detalle!D7</f>
        <v>#REF!</v>
      </c>
      <c r="E72" s="725" t="e">
        <f>#REF!/Edo.Res.detalle!E7</f>
        <v>#REF!</v>
      </c>
      <c r="F72" s="725" t="e">
        <f>#REF!/Edo.Res.detalle!F7</f>
        <v>#REF!</v>
      </c>
      <c r="G72" s="725" t="e">
        <f>#REF!/Edo.Res.detalle!G7</f>
        <v>#REF!</v>
      </c>
      <c r="H72" s="725" t="e">
        <f>#REF!/Edo.Res.detalle!H7</f>
        <v>#REF!</v>
      </c>
      <c r="I72" s="725" t="e">
        <f>#REF!/Edo.Res.detalle!I7</f>
        <v>#REF!</v>
      </c>
      <c r="J72" s="725" t="e">
        <f>#REF!/Edo.Res.detalle!J7</f>
        <v>#REF!</v>
      </c>
      <c r="K72" s="725" t="e">
        <f>#REF!/Edo.Res.detalle!K7</f>
        <v>#REF!</v>
      </c>
      <c r="L72" s="725" t="e">
        <f>#REF!/Edo.Res.detalle!L7</f>
        <v>#REF!</v>
      </c>
      <c r="M72" s="725" t="e">
        <f>#REF!/Edo.Res.detalle!M7</f>
        <v>#REF!</v>
      </c>
      <c r="N72" s="725" t="e">
        <f>#REF!/Edo.Res.detalle!N7</f>
        <v>#REF!</v>
      </c>
      <c r="O72" s="725" t="e">
        <f>#REF!/Edo.Res.detalle!O7</f>
        <v>#REF!</v>
      </c>
      <c r="P72" s="1218" t="e">
        <f ca="1">AVERAGE(D72:OFFSET(D72,0,[0]!MESACUMULADO-1))</f>
        <v>#REF!</v>
      </c>
    </row>
    <row r="81" spans="2:14" x14ac:dyDescent="0.2">
      <c r="B81" s="248" t="s">
        <v>9791</v>
      </c>
    </row>
    <row r="82" spans="2:14" x14ac:dyDescent="0.2">
      <c r="B82" s="734" t="s">
        <v>9792</v>
      </c>
      <c r="C82" s="736">
        <v>0.04</v>
      </c>
    </row>
    <row r="83" spans="2:14" x14ac:dyDescent="0.2">
      <c r="B83" s="734" t="s">
        <v>9793</v>
      </c>
      <c r="C83" s="734" t="s">
        <v>10</v>
      </c>
    </row>
    <row r="85" spans="2:14" x14ac:dyDescent="0.2">
      <c r="B85" s="248" t="s">
        <v>9820</v>
      </c>
    </row>
    <row r="86" spans="2:14" x14ac:dyDescent="0.2">
      <c r="B86" s="734" t="s">
        <v>9792</v>
      </c>
      <c r="C86" s="736">
        <v>0.04</v>
      </c>
    </row>
    <row r="87" spans="2:14" x14ac:dyDescent="0.2">
      <c r="B87" s="734" t="s">
        <v>9793</v>
      </c>
      <c r="C87" s="734" t="s">
        <v>10</v>
      </c>
    </row>
    <row r="88" spans="2:14" x14ac:dyDescent="0.2">
      <c r="B88" s="734" t="s">
        <v>9795</v>
      </c>
      <c r="C88">
        <v>0.29880000000000001</v>
      </c>
    </row>
    <row r="89" spans="2:14" x14ac:dyDescent="0.2">
      <c r="B89" s="734" t="s">
        <v>9796</v>
      </c>
      <c r="C89">
        <v>10.18</v>
      </c>
    </row>
    <row r="90" spans="2:14" x14ac:dyDescent="0.2">
      <c r="B90" s="734" t="s">
        <v>9797</v>
      </c>
      <c r="C90">
        <v>9.4899999999999998E-2</v>
      </c>
    </row>
    <row r="92" spans="2:14" x14ac:dyDescent="0.2">
      <c r="B92" s="248" t="s">
        <v>9819</v>
      </c>
      <c r="D92" s="773">
        <v>0.03</v>
      </c>
    </row>
    <row r="95" spans="2:14" x14ac:dyDescent="0.2">
      <c r="C95" t="s">
        <v>303</v>
      </c>
      <c r="D95" t="s">
        <v>304</v>
      </c>
      <c r="E95" t="s">
        <v>305</v>
      </c>
      <c r="F95" t="s">
        <v>306</v>
      </c>
      <c r="G95" t="s">
        <v>307</v>
      </c>
      <c r="H95" t="s">
        <v>308</v>
      </c>
      <c r="I95" t="s">
        <v>309</v>
      </c>
      <c r="J95" t="s">
        <v>310</v>
      </c>
      <c r="K95" t="s">
        <v>311</v>
      </c>
      <c r="L95" t="s">
        <v>312</v>
      </c>
      <c r="M95" t="s">
        <v>313</v>
      </c>
      <c r="N95" t="s">
        <v>314</v>
      </c>
    </row>
    <row r="96" spans="2:14" x14ac:dyDescent="0.2">
      <c r="B96" s="734" t="s">
        <v>10692</v>
      </c>
      <c r="C96">
        <v>10.974137931034477</v>
      </c>
      <c r="D96">
        <v>11.068965517241374</v>
      </c>
      <c r="E96">
        <v>11.16379310344827</v>
      </c>
      <c r="F96">
        <v>11.258620689655165</v>
      </c>
      <c r="G96">
        <v>11.353448275862062</v>
      </c>
      <c r="H96">
        <v>11.448275862068957</v>
      </c>
      <c r="I96">
        <v>11.543103448275854</v>
      </c>
      <c r="J96">
        <v>11.637931034482751</v>
      </c>
      <c r="K96">
        <v>11.732758620689646</v>
      </c>
      <c r="L96">
        <v>11.827586206896543</v>
      </c>
      <c r="M96">
        <v>11.922413793103438</v>
      </c>
      <c r="N96">
        <v>12.017241379310335</v>
      </c>
    </row>
    <row r="97" spans="2:14" x14ac:dyDescent="0.2">
      <c r="B97" t="s">
        <v>9794</v>
      </c>
      <c r="C97" s="702"/>
      <c r="D97" s="702"/>
      <c r="E97" s="702"/>
      <c r="F97" s="702"/>
      <c r="G97" s="702"/>
      <c r="H97" s="702"/>
      <c r="I97" s="702"/>
      <c r="J97" s="702"/>
      <c r="K97" s="702"/>
      <c r="L97" s="702"/>
      <c r="M97" s="702"/>
      <c r="N97" s="702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>
    <tabColor rgb="FFFFFF00"/>
  </sheetPr>
  <dimension ref="A1:S100"/>
  <sheetViews>
    <sheetView zoomScale="140" zoomScaleNormal="140" workbookViewId="0">
      <pane xSplit="5" ySplit="5" topLeftCell="M48" activePane="bottomRight" state="frozen"/>
      <selection pane="topRight" activeCell="E1" sqref="E1"/>
      <selection pane="bottomLeft" activeCell="A6" sqref="A6"/>
      <selection pane="bottomRight" activeCell="D56" sqref="D56"/>
    </sheetView>
  </sheetViews>
  <sheetFormatPr baseColWidth="10" defaultRowHeight="15" x14ac:dyDescent="0.2"/>
  <cols>
    <col min="1" max="1" width="15.140625" style="441" bestFit="1" customWidth="1"/>
    <col min="2" max="2" width="11.42578125" style="441"/>
    <col min="3" max="4" width="17" style="441" customWidth="1"/>
    <col min="5" max="5" width="17.7109375" style="442" customWidth="1"/>
    <col min="6" max="6" width="17" style="443" customWidth="1"/>
    <col min="7" max="7" width="18.42578125" style="441" customWidth="1"/>
    <col min="8" max="8" width="17.140625" style="441" customWidth="1"/>
    <col min="9" max="9" width="18.140625" style="441" customWidth="1"/>
    <col min="10" max="10" width="16.28515625" style="441" customWidth="1"/>
    <col min="11" max="11" width="15.85546875" style="441" customWidth="1"/>
    <col min="12" max="12" width="16" style="441" bestFit="1" customWidth="1"/>
    <col min="13" max="13" width="17.42578125" style="441" bestFit="1" customWidth="1"/>
    <col min="14" max="15" width="16" style="441" bestFit="1" customWidth="1"/>
    <col min="16" max="16" width="15.5703125" style="441" bestFit="1" customWidth="1"/>
    <col min="17" max="17" width="14.42578125" style="441" bestFit="1" customWidth="1"/>
    <col min="18" max="18" width="15.85546875" style="441" customWidth="1"/>
    <col min="19" max="16384" width="11.42578125" style="441"/>
  </cols>
  <sheetData>
    <row r="1" spans="1:18" ht="15.75" x14ac:dyDescent="0.25">
      <c r="A1" s="27" t="s">
        <v>102</v>
      </c>
      <c r="B1" s="27"/>
      <c r="K1" s="442">
        <f>SUM(J22:K22)</f>
        <v>1396372</v>
      </c>
      <c r="L1" s="441">
        <f>+K1/1.16</f>
        <v>1203768.9655172415</v>
      </c>
      <c r="O1" s="468" t="s">
        <v>28</v>
      </c>
    </row>
    <row r="2" spans="1:18" ht="16.5" thickBot="1" x14ac:dyDescent="0.3">
      <c r="A2" s="27" t="s">
        <v>9824</v>
      </c>
      <c r="B2" s="27"/>
      <c r="H2" s="278" t="s">
        <v>28</v>
      </c>
    </row>
    <row r="3" spans="1:18" ht="16.5" thickTop="1" x14ac:dyDescent="0.25">
      <c r="E3" s="102" t="s">
        <v>6</v>
      </c>
      <c r="F3" s="46" t="s">
        <v>28</v>
      </c>
      <c r="G3" s="47" t="s">
        <v>28</v>
      </c>
      <c r="H3" s="47" t="s">
        <v>28</v>
      </c>
      <c r="I3" s="47" t="s">
        <v>28</v>
      </c>
      <c r="J3" s="47" t="s">
        <v>28</v>
      </c>
      <c r="K3" s="47" t="s">
        <v>28</v>
      </c>
      <c r="L3" s="47" t="s">
        <v>28</v>
      </c>
      <c r="M3" s="47" t="s">
        <v>184</v>
      </c>
      <c r="N3" s="47" t="s">
        <v>28</v>
      </c>
      <c r="O3" s="47" t="s">
        <v>28</v>
      </c>
      <c r="P3" s="47" t="s">
        <v>28</v>
      </c>
      <c r="Q3" s="94" t="s">
        <v>28</v>
      </c>
    </row>
    <row r="4" spans="1:18" ht="15.75" x14ac:dyDescent="0.25">
      <c r="E4" s="103" t="s">
        <v>52</v>
      </c>
      <c r="F4" s="48" t="s">
        <v>172</v>
      </c>
      <c r="G4" s="43" t="s">
        <v>173</v>
      </c>
      <c r="H4" s="43" t="s">
        <v>174</v>
      </c>
      <c r="I4" s="43" t="s">
        <v>175</v>
      </c>
      <c r="J4" s="43" t="s">
        <v>176</v>
      </c>
      <c r="K4" s="43" t="s">
        <v>177</v>
      </c>
      <c r="L4" s="43" t="s">
        <v>178</v>
      </c>
      <c r="M4" s="43" t="s">
        <v>179</v>
      </c>
      <c r="N4" s="43" t="s">
        <v>187</v>
      </c>
      <c r="O4" s="43" t="s">
        <v>188</v>
      </c>
      <c r="P4" s="43" t="s">
        <v>186</v>
      </c>
      <c r="Q4" s="95" t="s">
        <v>185</v>
      </c>
    </row>
    <row r="5" spans="1:18" ht="15.75" x14ac:dyDescent="0.25">
      <c r="E5" s="104" t="s">
        <v>135</v>
      </c>
      <c r="F5" s="49" t="s">
        <v>28</v>
      </c>
      <c r="G5" s="50" t="s">
        <v>28</v>
      </c>
      <c r="H5" s="50" t="s">
        <v>28</v>
      </c>
      <c r="I5" s="50" t="s">
        <v>28</v>
      </c>
      <c r="J5" s="50" t="s">
        <v>28</v>
      </c>
      <c r="K5" s="50" t="s">
        <v>28</v>
      </c>
      <c r="L5" s="50" t="s">
        <v>28</v>
      </c>
      <c r="M5" s="50" t="s">
        <v>28</v>
      </c>
      <c r="N5" s="50" t="s">
        <v>28</v>
      </c>
      <c r="O5" s="50" t="s">
        <v>28</v>
      </c>
      <c r="P5" s="50" t="s">
        <v>28</v>
      </c>
      <c r="Q5" s="96" t="s">
        <v>28</v>
      </c>
    </row>
    <row r="6" spans="1:18" x14ac:dyDescent="0.2">
      <c r="E6" s="439"/>
      <c r="F6" s="444"/>
      <c r="G6" s="445"/>
      <c r="H6" s="445"/>
      <c r="I6" s="445"/>
      <c r="J6" s="445"/>
      <c r="K6" s="445"/>
      <c r="L6" s="445"/>
      <c r="M6" s="445"/>
      <c r="N6" s="445"/>
      <c r="O6" s="445"/>
      <c r="P6" s="445"/>
      <c r="Q6" s="446"/>
    </row>
    <row r="7" spans="1:18" ht="15.75" x14ac:dyDescent="0.25">
      <c r="A7" s="27" t="s">
        <v>103</v>
      </c>
      <c r="B7" s="27"/>
      <c r="E7" s="437"/>
      <c r="F7" s="444"/>
      <c r="G7" s="445"/>
      <c r="H7" s="445"/>
      <c r="I7" s="445"/>
      <c r="J7" s="445"/>
      <c r="K7" s="445"/>
      <c r="L7" s="445"/>
      <c r="M7" s="445"/>
      <c r="N7" s="445"/>
      <c r="O7" s="445"/>
      <c r="P7" s="445"/>
      <c r="Q7" s="446"/>
    </row>
    <row r="8" spans="1:18" ht="15.75" x14ac:dyDescent="0.25">
      <c r="A8" s="45"/>
      <c r="B8" s="45"/>
      <c r="D8" s="1123"/>
      <c r="E8" s="437"/>
      <c r="F8" s="444"/>
      <c r="G8" s="445"/>
      <c r="H8" s="445"/>
      <c r="I8" s="445"/>
      <c r="J8" s="445"/>
      <c r="K8" s="445"/>
      <c r="L8" s="445"/>
      <c r="M8" s="445"/>
      <c r="N8" s="445"/>
      <c r="O8" s="445"/>
      <c r="P8" s="445"/>
      <c r="Q8" s="446"/>
    </row>
    <row r="9" spans="1:18" ht="15.75" x14ac:dyDescent="0.25">
      <c r="A9" s="45" t="s">
        <v>104</v>
      </c>
      <c r="B9" s="45"/>
      <c r="D9" s="1123"/>
      <c r="E9" s="437">
        <f t="shared" ref="E9:E31" si="0">SUM(F9:Q9)</f>
        <v>63889921</v>
      </c>
      <c r="F9" s="447">
        <v>63889921</v>
      </c>
      <c r="G9" s="448"/>
      <c r="H9" s="449"/>
      <c r="I9" s="449"/>
      <c r="J9" s="449"/>
      <c r="K9" s="449"/>
      <c r="L9" s="449"/>
      <c r="M9" s="449"/>
      <c r="N9" s="449"/>
      <c r="O9" s="449"/>
      <c r="P9" s="449"/>
      <c r="Q9" s="450"/>
    </row>
    <row r="10" spans="1:18" ht="15.75" x14ac:dyDescent="0.25">
      <c r="A10" s="45" t="s">
        <v>105</v>
      </c>
      <c r="B10" s="45"/>
      <c r="D10" s="1123"/>
      <c r="E10" s="437">
        <f t="shared" si="0"/>
        <v>31072310</v>
      </c>
      <c r="F10" s="447">
        <v>31072310</v>
      </c>
      <c r="G10" s="448"/>
      <c r="H10" s="448"/>
      <c r="I10" s="448"/>
      <c r="J10" s="449"/>
      <c r="K10" s="449"/>
      <c r="L10" s="449"/>
      <c r="M10" s="449"/>
      <c r="N10" s="449"/>
      <c r="O10" s="449"/>
      <c r="P10" s="449"/>
      <c r="Q10" s="450"/>
      <c r="R10" s="442" t="s">
        <v>28</v>
      </c>
    </row>
    <row r="11" spans="1:18" ht="15.75" x14ac:dyDescent="0.25">
      <c r="A11" s="1110" t="s">
        <v>10038</v>
      </c>
      <c r="B11" s="45"/>
      <c r="D11" s="1123">
        <f t="shared" ref="D11:D18" si="1">+E11/1.16</f>
        <v>43103.448275862072</v>
      </c>
      <c r="E11" s="437">
        <f t="shared" si="0"/>
        <v>50000</v>
      </c>
      <c r="F11" s="447"/>
      <c r="G11" s="454"/>
      <c r="H11" s="454"/>
      <c r="I11" s="454"/>
      <c r="J11" s="449">
        <v>50000</v>
      </c>
      <c r="K11" s="449"/>
      <c r="L11" s="449"/>
      <c r="M11" s="449"/>
      <c r="N11" s="449"/>
      <c r="O11" s="449"/>
      <c r="P11" s="449"/>
      <c r="Q11" s="1114"/>
      <c r="R11" s="442"/>
    </row>
    <row r="12" spans="1:18" ht="15.75" x14ac:dyDescent="0.25">
      <c r="A12" s="1110" t="s">
        <v>10047</v>
      </c>
      <c r="B12" s="45"/>
      <c r="D12" s="1123">
        <f t="shared" si="1"/>
        <v>468103.44827586209</v>
      </c>
      <c r="E12" s="437">
        <f t="shared" si="0"/>
        <v>543000</v>
      </c>
      <c r="F12" s="447"/>
      <c r="G12" s="454"/>
      <c r="H12" s="454"/>
      <c r="I12" s="454"/>
      <c r="J12" s="449"/>
      <c r="K12" s="449"/>
      <c r="L12" s="449"/>
      <c r="M12" s="449"/>
      <c r="N12" s="449">
        <f>543000/2</f>
        <v>271500</v>
      </c>
      <c r="O12" s="449">
        <f>N12</f>
        <v>271500</v>
      </c>
      <c r="P12" s="449"/>
      <c r="Q12" s="1114"/>
      <c r="R12" s="442"/>
    </row>
    <row r="13" spans="1:18" ht="15.75" x14ac:dyDescent="0.25">
      <c r="A13" s="34" t="s">
        <v>10041</v>
      </c>
      <c r="B13" s="45"/>
      <c r="D13" s="1123">
        <f t="shared" si="1"/>
        <v>0</v>
      </c>
      <c r="E13" s="437"/>
      <c r="F13" s="447"/>
      <c r="G13" s="454"/>
      <c r="H13" s="454"/>
      <c r="I13" s="454"/>
      <c r="J13" s="445"/>
      <c r="K13" s="454"/>
      <c r="L13" s="454"/>
      <c r="M13" s="454"/>
      <c r="N13" s="454"/>
      <c r="O13" s="448"/>
      <c r="P13" s="448"/>
      <c r="Q13" s="450"/>
      <c r="R13" s="442">
        <v>12968800</v>
      </c>
    </row>
    <row r="14" spans="1:18" ht="15.75" x14ac:dyDescent="0.25">
      <c r="A14" s="34" t="s">
        <v>10032</v>
      </c>
      <c r="B14" s="45"/>
      <c r="D14" s="1123">
        <f t="shared" si="1"/>
        <v>450000</v>
      </c>
      <c r="E14" s="437">
        <f>SUM(F14:Q14)</f>
        <v>521999.99999999994</v>
      </c>
      <c r="F14" s="444"/>
      <c r="G14" s="655"/>
      <c r="H14" s="655"/>
      <c r="I14" s="655"/>
      <c r="J14" s="454">
        <f>450000*1.16</f>
        <v>521999.99999999994</v>
      </c>
      <c r="K14" s="655"/>
      <c r="L14" s="445"/>
      <c r="M14" s="445"/>
      <c r="N14" s="445"/>
      <c r="O14" s="445"/>
      <c r="P14" s="445"/>
      <c r="Q14" s="1115"/>
      <c r="R14" s="442">
        <f>SUM(F14:Q14)</f>
        <v>521999.99999999994</v>
      </c>
    </row>
    <row r="15" spans="1:18" ht="15.75" x14ac:dyDescent="0.25">
      <c r="A15" s="1110" t="s">
        <v>10060</v>
      </c>
      <c r="B15" s="45"/>
      <c r="D15" s="1123">
        <f t="shared" si="1"/>
        <v>5327586.2068965519</v>
      </c>
      <c r="E15" s="437">
        <f>SUM(F15:Q15)</f>
        <v>6180000</v>
      </c>
      <c r="F15" s="444"/>
      <c r="G15" s="655"/>
      <c r="H15" s="655"/>
      <c r="I15" s="655"/>
      <c r="J15" s="448"/>
      <c r="K15" s="655"/>
      <c r="L15" s="445"/>
      <c r="M15" s="445">
        <v>6180000</v>
      </c>
      <c r="N15" s="445"/>
      <c r="O15" s="445"/>
      <c r="P15" s="445"/>
      <c r="Q15" s="1115"/>
      <c r="R15" s="442"/>
    </row>
    <row r="16" spans="1:18" ht="15.75" x14ac:dyDescent="0.25">
      <c r="A16" s="1110" t="s">
        <v>10057</v>
      </c>
      <c r="B16" s="45"/>
      <c r="D16" s="1123">
        <f t="shared" si="1"/>
        <v>193965.51724137933</v>
      </c>
      <c r="E16" s="437">
        <f t="shared" si="0"/>
        <v>225000</v>
      </c>
      <c r="F16" s="447"/>
      <c r="G16" s="454"/>
      <c r="H16" s="454"/>
      <c r="I16" s="454"/>
      <c r="J16" s="445"/>
      <c r="K16" s="454"/>
      <c r="L16" s="448"/>
      <c r="M16" s="448"/>
      <c r="N16" s="445">
        <v>225000</v>
      </c>
      <c r="O16" s="448"/>
      <c r="P16" s="448"/>
      <c r="Q16" s="1114"/>
      <c r="R16" s="442"/>
    </row>
    <row r="17" spans="1:19" ht="15.75" x14ac:dyDescent="0.25">
      <c r="A17" s="1110" t="s">
        <v>10058</v>
      </c>
      <c r="B17" s="45"/>
      <c r="D17" s="1123">
        <f t="shared" si="1"/>
        <v>301724.13793103449</v>
      </c>
      <c r="E17" s="437">
        <f>SUM(F17:Q17)</f>
        <v>350000</v>
      </c>
      <c r="F17" s="447"/>
      <c r="G17" s="454"/>
      <c r="H17" s="454"/>
      <c r="I17" s="454"/>
      <c r="J17" s="445"/>
      <c r="K17" s="445"/>
      <c r="L17" s="448"/>
      <c r="M17" s="448"/>
      <c r="N17" s="448"/>
      <c r="O17" s="445">
        <v>350000</v>
      </c>
      <c r="P17" s="448"/>
      <c r="Q17" s="1114"/>
      <c r="R17" s="442"/>
    </row>
    <row r="18" spans="1:19" ht="15.75" x14ac:dyDescent="0.25">
      <c r="A18" s="1110" t="s">
        <v>10059</v>
      </c>
      <c r="B18" s="45"/>
      <c r="D18" s="1123">
        <f t="shared" si="1"/>
        <v>287252.58620689658</v>
      </c>
      <c r="E18" s="437">
        <f>SUM(F18:Q18)</f>
        <v>333213</v>
      </c>
      <c r="F18" s="447"/>
      <c r="G18" s="454"/>
      <c r="H18" s="454"/>
      <c r="I18" s="454"/>
      <c r="J18" s="445"/>
      <c r="K18" s="445"/>
      <c r="L18" s="448"/>
      <c r="M18" s="448"/>
      <c r="N18" s="448"/>
      <c r="O18" s="445">
        <v>333213</v>
      </c>
      <c r="P18" s="448"/>
      <c r="Q18" s="1114"/>
      <c r="R18" s="442"/>
    </row>
    <row r="19" spans="1:19" ht="15.75" x14ac:dyDescent="0.25">
      <c r="B19" s="27"/>
      <c r="D19" s="1123">
        <f>SUM(D9:D18)</f>
        <v>7071735.3448275868</v>
      </c>
      <c r="E19" s="437"/>
      <c r="F19" s="444"/>
      <c r="G19" s="445"/>
      <c r="H19" s="445"/>
      <c r="I19" s="445"/>
      <c r="J19" s="445"/>
      <c r="K19" s="445"/>
      <c r="L19" s="445"/>
      <c r="M19" s="445"/>
      <c r="N19" s="445"/>
      <c r="O19" s="445"/>
      <c r="P19" s="445"/>
      <c r="Q19" s="462"/>
    </row>
    <row r="20" spans="1:19" ht="15.75" x14ac:dyDescent="0.25">
      <c r="A20" s="27" t="s">
        <v>106</v>
      </c>
      <c r="B20" s="27"/>
      <c r="E20" s="437"/>
      <c r="F20" s="444"/>
      <c r="G20" s="445"/>
      <c r="H20" s="445"/>
      <c r="I20" s="445"/>
      <c r="J20" s="445"/>
      <c r="K20" s="445"/>
      <c r="L20" s="445"/>
      <c r="M20" s="445"/>
      <c r="N20" s="445"/>
      <c r="O20" s="445"/>
      <c r="P20" s="445"/>
      <c r="Q20" s="463"/>
    </row>
    <row r="21" spans="1:19" ht="15.75" x14ac:dyDescent="0.25">
      <c r="A21" s="45"/>
      <c r="B21" s="45"/>
      <c r="C21" s="441" t="s">
        <v>28</v>
      </c>
      <c r="E21" s="437"/>
      <c r="F21" s="444"/>
      <c r="G21" s="445"/>
      <c r="H21" s="445"/>
      <c r="I21" s="445"/>
      <c r="J21" s="445"/>
      <c r="K21" s="445"/>
      <c r="L21" s="445"/>
      <c r="M21" s="445"/>
      <c r="N21" s="445"/>
      <c r="O21" s="445"/>
      <c r="P21" s="445"/>
      <c r="Q21" s="463"/>
    </row>
    <row r="22" spans="1:19" ht="15.75" x14ac:dyDescent="0.25">
      <c r="A22" s="45" t="s">
        <v>149</v>
      </c>
      <c r="B22" s="45"/>
      <c r="C22" s="52" t="s">
        <v>28</v>
      </c>
      <c r="D22" s="52"/>
      <c r="E22" s="437">
        <f t="shared" si="0"/>
        <v>23269912</v>
      </c>
      <c r="F22" s="444"/>
      <c r="G22" s="445"/>
      <c r="H22" s="445">
        <v>0</v>
      </c>
      <c r="I22" s="445">
        <v>0</v>
      </c>
      <c r="J22" s="445">
        <v>678368</v>
      </c>
      <c r="K22" s="445">
        <v>718004</v>
      </c>
      <c r="L22" s="1109"/>
      <c r="M22" s="1109">
        <v>14582360</v>
      </c>
      <c r="N22" s="445">
        <v>7291180</v>
      </c>
      <c r="O22" s="445">
        <v>0</v>
      </c>
      <c r="P22" s="445">
        <v>0</v>
      </c>
      <c r="Q22" s="463"/>
      <c r="R22" s="291">
        <f>SUM(F22:Q22)</f>
        <v>23269912</v>
      </c>
      <c r="S22" s="441">
        <f>+R22/1.16</f>
        <v>20060268.965517242</v>
      </c>
    </row>
    <row r="23" spans="1:19" ht="15.75" x14ac:dyDescent="0.25">
      <c r="A23" s="45" t="s">
        <v>235</v>
      </c>
      <c r="B23" s="45"/>
      <c r="C23" s="52" t="s">
        <v>28</v>
      </c>
      <c r="D23" s="52"/>
      <c r="E23" s="437">
        <f t="shared" si="0"/>
        <v>0</v>
      </c>
      <c r="F23" s="444"/>
      <c r="G23" s="445"/>
      <c r="H23" s="445"/>
      <c r="I23" s="445"/>
      <c r="J23" s="445"/>
      <c r="K23" s="445"/>
      <c r="L23" s="445"/>
      <c r="M23" s="445"/>
      <c r="N23" s="445"/>
      <c r="O23" s="445"/>
      <c r="P23" s="445"/>
      <c r="Q23" s="463"/>
      <c r="R23" s="291">
        <f>SUM(F23:Q23)</f>
        <v>0</v>
      </c>
    </row>
    <row r="24" spans="1:19" ht="15.75" x14ac:dyDescent="0.25">
      <c r="A24" s="45" t="s">
        <v>239</v>
      </c>
      <c r="B24" s="45"/>
      <c r="C24" s="52"/>
      <c r="D24" s="52"/>
      <c r="E24" s="437">
        <f t="shared" si="0"/>
        <v>0</v>
      </c>
      <c r="F24" s="444"/>
      <c r="G24" s="445"/>
      <c r="H24" s="445"/>
      <c r="I24" s="445"/>
      <c r="J24" s="445"/>
      <c r="K24" s="445"/>
      <c r="L24" s="445"/>
      <c r="M24" s="445"/>
      <c r="N24" s="445"/>
      <c r="O24" s="445"/>
      <c r="P24" s="445"/>
      <c r="Q24" s="463"/>
      <c r="R24" s="291">
        <f>SUM(F24:Q24)</f>
        <v>0</v>
      </c>
    </row>
    <row r="25" spans="1:19" ht="15.75" x14ac:dyDescent="0.25">
      <c r="A25" s="45" t="s">
        <v>240</v>
      </c>
      <c r="B25" s="45"/>
      <c r="C25" s="52"/>
      <c r="D25" s="52"/>
      <c r="E25" s="437">
        <f t="shared" si="0"/>
        <v>1530000</v>
      </c>
      <c r="F25" s="444"/>
      <c r="G25" s="445"/>
      <c r="H25" s="445">
        <f>10*90000</f>
        <v>900000</v>
      </c>
      <c r="I25" s="445"/>
      <c r="J25" s="1109">
        <f>90000*7</f>
        <v>630000</v>
      </c>
      <c r="K25" s="445"/>
      <c r="L25" s="445"/>
      <c r="M25" s="445"/>
      <c r="N25" s="445"/>
      <c r="O25" s="445"/>
      <c r="P25" s="445"/>
      <c r="Q25" s="463"/>
      <c r="R25" s="291">
        <f>SUM(F25:Q25)</f>
        <v>1530000</v>
      </c>
    </row>
    <row r="26" spans="1:19" ht="15.75" x14ac:dyDescent="0.25">
      <c r="A26" s="45" t="s">
        <v>107</v>
      </c>
      <c r="B26" s="45"/>
      <c r="E26" s="437">
        <f t="shared" si="0"/>
        <v>1117400</v>
      </c>
      <c r="F26" s="444">
        <v>0</v>
      </c>
      <c r="G26" s="445">
        <v>0</v>
      </c>
      <c r="H26" s="445"/>
      <c r="I26" s="445"/>
      <c r="J26" s="445"/>
      <c r="K26" s="445"/>
      <c r="L26" s="454"/>
      <c r="M26" s="454"/>
      <c r="N26" s="454" t="s">
        <v>28</v>
      </c>
      <c r="O26" s="454">
        <f>330000*2+228700*2</f>
        <v>1117400</v>
      </c>
      <c r="P26" s="454" t="s">
        <v>28</v>
      </c>
      <c r="Q26" s="463"/>
      <c r="R26" s="291">
        <f>SUM(F26:Q26)</f>
        <v>1117400</v>
      </c>
    </row>
    <row r="27" spans="1:19" ht="15.75" x14ac:dyDescent="0.25">
      <c r="A27" s="45"/>
      <c r="B27" s="45"/>
      <c r="E27" s="437"/>
      <c r="F27" s="451"/>
      <c r="G27" s="493"/>
      <c r="H27" s="452"/>
      <c r="I27" s="452"/>
      <c r="J27" s="452"/>
      <c r="K27" s="452"/>
      <c r="L27" s="452"/>
      <c r="M27" s="452"/>
      <c r="N27" s="452"/>
      <c r="O27" s="452"/>
      <c r="P27" s="452"/>
      <c r="Q27" s="466"/>
      <c r="R27" s="107"/>
    </row>
    <row r="28" spans="1:19" ht="15.75" x14ac:dyDescent="0.25">
      <c r="A28" s="27" t="s">
        <v>108</v>
      </c>
      <c r="B28" s="27"/>
      <c r="E28" s="437"/>
      <c r="F28" s="444"/>
      <c r="G28" s="445"/>
      <c r="H28" s="445"/>
      <c r="I28" s="445"/>
      <c r="J28" s="445"/>
      <c r="K28" s="445"/>
      <c r="L28" s="445"/>
      <c r="M28" s="445"/>
      <c r="N28" s="445"/>
      <c r="O28" s="445"/>
      <c r="P28" s="445"/>
      <c r="Q28" s="463"/>
      <c r="R28" s="107"/>
    </row>
    <row r="29" spans="1:19" ht="15.75" x14ac:dyDescent="0.25">
      <c r="A29" s="45"/>
      <c r="B29" s="45"/>
      <c r="E29" s="437"/>
      <c r="F29" s="444"/>
      <c r="G29" s="655"/>
      <c r="H29" s="445"/>
      <c r="I29" s="445"/>
      <c r="J29" s="445"/>
      <c r="K29" s="445"/>
      <c r="L29" s="445"/>
      <c r="M29" s="445"/>
      <c r="N29" s="445"/>
      <c r="O29" s="445"/>
      <c r="P29" s="445"/>
      <c r="Q29" s="463"/>
      <c r="R29" s="107"/>
    </row>
    <row r="30" spans="1:19" ht="15.75" x14ac:dyDescent="0.25">
      <c r="A30" s="45" t="s">
        <v>241</v>
      </c>
      <c r="B30" s="45"/>
      <c r="E30" s="437">
        <f t="shared" si="0"/>
        <v>464915</v>
      </c>
      <c r="F30" s="460"/>
      <c r="G30" s="686">
        <v>49765</v>
      </c>
      <c r="H30" s="686"/>
      <c r="I30" s="686">
        <v>10000</v>
      </c>
      <c r="J30" s="686">
        <v>320000</v>
      </c>
      <c r="K30" s="686">
        <v>85150</v>
      </c>
      <c r="L30" s="686" t="s">
        <v>28</v>
      </c>
      <c r="M30" s="686" t="s">
        <v>28</v>
      </c>
      <c r="N30" s="686" t="s">
        <v>28</v>
      </c>
      <c r="O30" s="686" t="s">
        <v>28</v>
      </c>
      <c r="P30" s="454" t="s">
        <v>28</v>
      </c>
      <c r="Q30" s="464" t="s">
        <v>28</v>
      </c>
      <c r="R30" s="291"/>
    </row>
    <row r="31" spans="1:19" ht="15.75" x14ac:dyDescent="0.25">
      <c r="A31" s="45" t="s">
        <v>237</v>
      </c>
      <c r="B31" s="45"/>
      <c r="E31" s="437">
        <f t="shared" si="0"/>
        <v>557075</v>
      </c>
      <c r="F31" s="687"/>
      <c r="G31" s="686">
        <v>557075</v>
      </c>
      <c r="H31" s="686"/>
      <c r="I31" s="686"/>
      <c r="J31" s="686"/>
      <c r="K31" s="686"/>
      <c r="L31" s="686"/>
      <c r="M31" s="686"/>
      <c r="N31" s="686"/>
      <c r="O31" s="686"/>
      <c r="P31" s="460"/>
      <c r="Q31" s="464"/>
      <c r="R31" s="291"/>
    </row>
    <row r="32" spans="1:19" ht="15.75" x14ac:dyDescent="0.25">
      <c r="A32" s="45"/>
      <c r="B32" s="45"/>
      <c r="E32" s="437"/>
      <c r="F32" s="461"/>
      <c r="G32" s="686"/>
      <c r="H32" s="686"/>
      <c r="I32" s="686"/>
      <c r="J32" s="686"/>
      <c r="K32" s="686"/>
      <c r="L32" s="686"/>
      <c r="M32" s="686"/>
      <c r="N32" s="686"/>
      <c r="O32" s="686"/>
      <c r="P32" s="460"/>
      <c r="Q32" s="464"/>
      <c r="R32" s="291"/>
    </row>
    <row r="33" spans="1:18" ht="15.75" x14ac:dyDescent="0.25">
      <c r="A33" s="27" t="s">
        <v>10061</v>
      </c>
      <c r="B33" s="45"/>
      <c r="E33" s="437"/>
      <c r="F33" s="461"/>
      <c r="G33" s="686"/>
      <c r="H33" s="686"/>
      <c r="I33" s="686"/>
      <c r="J33" s="686"/>
      <c r="K33" s="686"/>
      <c r="L33" s="686"/>
      <c r="M33" s="686"/>
      <c r="N33" s="686"/>
      <c r="O33" s="686"/>
      <c r="P33" s="460"/>
      <c r="Q33" s="464"/>
      <c r="R33" s="291"/>
    </row>
    <row r="34" spans="1:18" ht="15.75" x14ac:dyDescent="0.25">
      <c r="A34" s="27"/>
      <c r="B34" s="45"/>
      <c r="E34" s="437"/>
      <c r="F34" s="461"/>
      <c r="G34" s="686"/>
      <c r="H34" s="686"/>
      <c r="I34" s="686"/>
      <c r="J34" s="686"/>
      <c r="K34" s="686"/>
      <c r="L34" s="686"/>
      <c r="M34" s="686"/>
      <c r="N34" s="686"/>
      <c r="O34" s="686"/>
      <c r="P34" s="460"/>
      <c r="Q34" s="464"/>
      <c r="R34" s="291"/>
    </row>
    <row r="35" spans="1:18" ht="15.75" x14ac:dyDescent="0.25">
      <c r="A35" s="45" t="s">
        <v>238</v>
      </c>
      <c r="B35" s="45"/>
      <c r="E35" s="437">
        <f>SUM(F35:Q35)</f>
        <v>475608</v>
      </c>
      <c r="F35" s="460"/>
      <c r="G35" s="686">
        <v>50008</v>
      </c>
      <c r="H35" s="686"/>
      <c r="I35" s="686">
        <v>91000</v>
      </c>
      <c r="J35" s="686">
        <v>69600</v>
      </c>
      <c r="K35" s="686"/>
      <c r="L35" s="686"/>
      <c r="M35" s="686"/>
      <c r="N35" s="686">
        <v>75000</v>
      </c>
      <c r="O35" s="686">
        <v>190000</v>
      </c>
      <c r="P35" s="454"/>
      <c r="Q35" s="464"/>
      <c r="R35" s="291"/>
    </row>
    <row r="36" spans="1:18" ht="15.75" x14ac:dyDescent="0.25">
      <c r="A36" s="1110" t="s">
        <v>10056</v>
      </c>
      <c r="B36" s="45"/>
      <c r="E36" s="437">
        <f>SUM(F36:Q36)</f>
        <v>5800000</v>
      </c>
      <c r="F36" s="447"/>
      <c r="G36" s="454"/>
      <c r="H36" s="454"/>
      <c r="I36" s="454"/>
      <c r="J36" s="445">
        <v>1450000</v>
      </c>
      <c r="K36" s="454">
        <f>+J36*2</f>
        <v>2900000</v>
      </c>
      <c r="L36" s="448">
        <f>+J36</f>
        <v>1450000</v>
      </c>
      <c r="M36" s="448"/>
      <c r="N36" s="448"/>
      <c r="O36" s="448"/>
      <c r="P36" s="448"/>
      <c r="Q36" s="1114"/>
      <c r="R36" s="442">
        <f>+R13-E36</f>
        <v>7168800</v>
      </c>
    </row>
    <row r="37" spans="1:18" ht="15.75" x14ac:dyDescent="0.25">
      <c r="A37" s="45"/>
      <c r="B37" s="45"/>
      <c r="E37" s="437"/>
      <c r="F37" s="460"/>
      <c r="G37" s="686"/>
      <c r="H37" s="686"/>
      <c r="I37" s="686"/>
      <c r="J37" s="1111"/>
      <c r="K37" s="1111"/>
      <c r="L37" s="1111"/>
      <c r="M37" s="1111"/>
      <c r="N37" s="1111"/>
      <c r="O37" s="1111"/>
      <c r="P37" s="448"/>
      <c r="Q37" s="464"/>
      <c r="R37" s="291"/>
    </row>
    <row r="38" spans="1:18" ht="15.75" x14ac:dyDescent="0.25">
      <c r="A38" s="27" t="s">
        <v>10034</v>
      </c>
      <c r="B38" s="45"/>
      <c r="E38" s="437"/>
      <c r="F38" s="460"/>
      <c r="G38" s="686"/>
      <c r="H38" s="686"/>
      <c r="I38" s="686"/>
      <c r="J38" s="1111"/>
      <c r="K38" s="1111"/>
      <c r="L38" s="1111"/>
      <c r="M38" s="1111"/>
      <c r="N38" s="1111"/>
      <c r="O38" s="1111"/>
      <c r="P38" s="448"/>
      <c r="Q38" s="464"/>
      <c r="R38" s="291"/>
    </row>
    <row r="39" spans="1:18" ht="15.75" x14ac:dyDescent="0.25">
      <c r="A39" s="1118" t="s">
        <v>10033</v>
      </c>
      <c r="B39" s="45"/>
      <c r="E39" s="437">
        <f>SUM(F39:Q39)</f>
        <v>416664</v>
      </c>
      <c r="G39" s="655"/>
      <c r="H39" s="655"/>
      <c r="I39" s="655">
        <f>80000+58888</f>
        <v>138888</v>
      </c>
      <c r="J39" s="655">
        <f t="shared" ref="J39:K39" si="2">80000+58888</f>
        <v>138888</v>
      </c>
      <c r="K39" s="655">
        <f t="shared" si="2"/>
        <v>138888</v>
      </c>
      <c r="L39" s="445"/>
      <c r="M39" s="445"/>
      <c r="N39" s="445"/>
      <c r="O39" s="445"/>
      <c r="P39" s="445"/>
      <c r="Q39" s="464"/>
      <c r="R39" s="107"/>
    </row>
    <row r="40" spans="1:18" ht="15.75" x14ac:dyDescent="0.25">
      <c r="A40" s="1118" t="s">
        <v>10035</v>
      </c>
      <c r="B40" s="45"/>
      <c r="E40" s="437">
        <f>SUM(F40:Q40)</f>
        <v>450000</v>
      </c>
      <c r="G40" s="655"/>
      <c r="H40" s="655"/>
      <c r="I40" s="655">
        <v>150000</v>
      </c>
      <c r="J40" s="655">
        <v>150000</v>
      </c>
      <c r="K40" s="655">
        <v>150000</v>
      </c>
      <c r="L40" s="445"/>
      <c r="M40" s="445"/>
      <c r="N40" s="445"/>
      <c r="O40" s="445"/>
      <c r="P40" s="445"/>
      <c r="Q40" s="464"/>
      <c r="R40" s="107"/>
    </row>
    <row r="41" spans="1:18" ht="15.75" x14ac:dyDescent="0.25">
      <c r="A41" s="1117" t="s">
        <v>10036</v>
      </c>
      <c r="B41" s="45"/>
      <c r="E41" s="437">
        <f t="shared" ref="E41:E44" si="3">SUM(F41:Q41)</f>
        <v>100000</v>
      </c>
      <c r="G41" s="655"/>
      <c r="H41" s="655"/>
      <c r="I41" s="655">
        <v>100000</v>
      </c>
      <c r="J41" s="445"/>
      <c r="K41" s="445"/>
      <c r="L41" s="445"/>
      <c r="M41" s="445"/>
      <c r="N41" s="445"/>
      <c r="O41" s="445"/>
      <c r="P41" s="445"/>
      <c r="Q41" s="464"/>
      <c r="R41" s="107"/>
    </row>
    <row r="42" spans="1:18" ht="15.75" x14ac:dyDescent="0.25">
      <c r="A42" s="1117" t="s">
        <v>10037</v>
      </c>
      <c r="B42" s="45"/>
      <c r="E42" s="437">
        <f t="shared" si="3"/>
        <v>260000</v>
      </c>
      <c r="G42" s="655"/>
      <c r="H42" s="655"/>
      <c r="I42" s="655">
        <v>260000</v>
      </c>
      <c r="J42" s="445"/>
      <c r="K42" s="445"/>
      <c r="L42" s="445"/>
      <c r="M42" s="445"/>
      <c r="N42" s="445"/>
      <c r="O42" s="445"/>
      <c r="P42" s="445"/>
      <c r="Q42" s="463"/>
      <c r="R42" s="107"/>
    </row>
    <row r="43" spans="1:18" ht="15.75" x14ac:dyDescent="0.25">
      <c r="A43" s="1117" t="s">
        <v>10039</v>
      </c>
      <c r="B43" s="45"/>
      <c r="E43" s="437">
        <f t="shared" si="3"/>
        <v>150000</v>
      </c>
      <c r="G43" s="655"/>
      <c r="H43" s="655"/>
      <c r="I43" s="655">
        <v>150000</v>
      </c>
      <c r="J43" s="445"/>
      <c r="K43" s="445"/>
      <c r="L43" s="445"/>
      <c r="M43" s="445"/>
      <c r="N43" s="445"/>
      <c r="O43" s="445"/>
      <c r="P43" s="445"/>
      <c r="Q43" s="463"/>
      <c r="R43" s="107"/>
    </row>
    <row r="44" spans="1:18" ht="15.75" x14ac:dyDescent="0.25">
      <c r="A44" s="1117" t="s">
        <v>10040</v>
      </c>
      <c r="B44" s="45"/>
      <c r="E44" s="437">
        <f t="shared" si="3"/>
        <v>300000</v>
      </c>
      <c r="G44" s="655"/>
      <c r="H44" s="655"/>
      <c r="I44" s="655"/>
      <c r="J44" s="445">
        <v>120000</v>
      </c>
      <c r="K44" s="445"/>
      <c r="L44" s="445">
        <v>180000</v>
      </c>
      <c r="M44" s="445"/>
      <c r="N44" s="445"/>
      <c r="O44" s="445"/>
      <c r="P44" s="445"/>
      <c r="Q44" s="463"/>
      <c r="R44" s="107"/>
    </row>
    <row r="45" spans="1:18" ht="15.75" x14ac:dyDescent="0.25">
      <c r="A45" s="45"/>
      <c r="B45" s="45"/>
      <c r="E45" s="438"/>
      <c r="G45" s="655"/>
      <c r="H45" s="655"/>
      <c r="I45" s="655"/>
      <c r="J45" s="452"/>
      <c r="K45" s="452"/>
      <c r="L45" s="452"/>
      <c r="M45" s="452"/>
      <c r="N45" s="452"/>
      <c r="O45" s="452"/>
      <c r="P45" s="452"/>
      <c r="Q45" s="466"/>
      <c r="R45" s="291">
        <f>SUM(R13:R39)</f>
        <v>46576912</v>
      </c>
    </row>
    <row r="46" spans="1:18" ht="16.5" thickBot="1" x14ac:dyDescent="0.3">
      <c r="A46" s="27" t="s">
        <v>109</v>
      </c>
      <c r="B46" s="27"/>
      <c r="E46" s="440">
        <f t="shared" ref="E46:Q46" si="4">SUM(E7:E45)</f>
        <v>138057018</v>
      </c>
      <c r="F46" s="456">
        <f t="shared" si="4"/>
        <v>94962231</v>
      </c>
      <c r="G46" s="457">
        <f t="shared" si="4"/>
        <v>656848</v>
      </c>
      <c r="H46" s="458">
        <f t="shared" si="4"/>
        <v>900000</v>
      </c>
      <c r="I46" s="1112">
        <f t="shared" si="4"/>
        <v>899888</v>
      </c>
      <c r="J46" s="458">
        <f t="shared" si="4"/>
        <v>4128856</v>
      </c>
      <c r="K46" s="458">
        <f t="shared" si="4"/>
        <v>3992042</v>
      </c>
      <c r="L46" s="458">
        <f t="shared" si="4"/>
        <v>1630000</v>
      </c>
      <c r="M46" s="458">
        <f t="shared" si="4"/>
        <v>20762360</v>
      </c>
      <c r="N46" s="458">
        <f t="shared" si="4"/>
        <v>7862680</v>
      </c>
      <c r="O46" s="458">
        <f t="shared" si="4"/>
        <v>2262113</v>
      </c>
      <c r="P46" s="459">
        <f t="shared" si="4"/>
        <v>0</v>
      </c>
      <c r="Q46" s="465">
        <f t="shared" si="4"/>
        <v>0</v>
      </c>
      <c r="R46" s="291">
        <f>SUM(F46:Q46)</f>
        <v>138057018</v>
      </c>
    </row>
    <row r="47" spans="1:18" ht="16.5" thickTop="1" x14ac:dyDescent="0.25">
      <c r="E47" s="1113">
        <f>SUM(E11:E45)</f>
        <v>43094787</v>
      </c>
      <c r="G47" s="1123">
        <f>+G46/1.16</f>
        <v>566248.27586206899</v>
      </c>
      <c r="H47" s="1123">
        <f t="shared" ref="H47:Q47" si="5">+H46/1.16</f>
        <v>775862.06896551733</v>
      </c>
      <c r="I47" s="1123">
        <f t="shared" si="5"/>
        <v>775765.51724137936</v>
      </c>
      <c r="J47" s="1123">
        <f t="shared" si="5"/>
        <v>3559358.6206896552</v>
      </c>
      <c r="K47" s="1123">
        <f t="shared" si="5"/>
        <v>3441415.5172413797</v>
      </c>
      <c r="L47" s="1123">
        <f t="shared" si="5"/>
        <v>1405172.4137931035</v>
      </c>
      <c r="M47" s="1123">
        <f>(+M46-M15)/1.16+M15</f>
        <v>18751000</v>
      </c>
      <c r="N47" s="1123">
        <f t="shared" si="5"/>
        <v>6778172.4137931038</v>
      </c>
      <c r="O47" s="1123">
        <f t="shared" si="5"/>
        <v>1950097.4137931035</v>
      </c>
      <c r="P47" s="1123">
        <f t="shared" si="5"/>
        <v>0</v>
      </c>
      <c r="Q47" s="1123">
        <f t="shared" si="5"/>
        <v>0</v>
      </c>
    </row>
    <row r="48" spans="1:18" ht="16.5" thickBot="1" x14ac:dyDescent="0.3">
      <c r="B48" s="107" t="s">
        <v>10051</v>
      </c>
      <c r="E48" s="456">
        <f>SUM(G48:Q48)</f>
        <v>5091694.7586206896</v>
      </c>
      <c r="F48" s="441"/>
      <c r="G48" s="1123">
        <f>+G47*0.16</f>
        <v>90599.724137931044</v>
      </c>
      <c r="H48" s="1123">
        <f t="shared" ref="H48:Q48" si="6">+H47*0.16</f>
        <v>124137.93103448278</v>
      </c>
      <c r="I48" s="1123">
        <f t="shared" si="6"/>
        <v>124122.4827586207</v>
      </c>
      <c r="J48" s="1123">
        <f t="shared" si="6"/>
        <v>569497.37931034481</v>
      </c>
      <c r="K48" s="1123">
        <f t="shared" si="6"/>
        <v>550626.48275862075</v>
      </c>
      <c r="L48" s="1123">
        <f t="shared" si="6"/>
        <v>224827.58620689658</v>
      </c>
      <c r="M48" s="1123">
        <v>2011360</v>
      </c>
      <c r="N48" s="1123">
        <f t="shared" si="6"/>
        <v>1084507.5862068967</v>
      </c>
      <c r="O48" s="1123">
        <f t="shared" si="6"/>
        <v>312015.58620689658</v>
      </c>
      <c r="P48" s="1123">
        <f t="shared" si="6"/>
        <v>0</v>
      </c>
      <c r="Q48" s="1123">
        <f t="shared" si="6"/>
        <v>0</v>
      </c>
    </row>
    <row r="49" spans="1:18" ht="16.5" thickTop="1" x14ac:dyDescent="0.25">
      <c r="E49" s="1113"/>
      <c r="G49" s="1123"/>
      <c r="H49" s="1123">
        <f>+H48-G48</f>
        <v>33538.206896551739</v>
      </c>
      <c r="I49" s="1123">
        <f t="shared" ref="I49:Q49" si="7">+I48-H48</f>
        <v>-15.44827586208703</v>
      </c>
      <c r="J49" s="1123">
        <f t="shared" si="7"/>
        <v>445374.89655172412</v>
      </c>
      <c r="K49" s="1123">
        <f t="shared" si="7"/>
        <v>-18870.896551724058</v>
      </c>
      <c r="L49" s="1123">
        <f t="shared" si="7"/>
        <v>-325798.89655172417</v>
      </c>
      <c r="M49" s="1123">
        <f t="shared" si="7"/>
        <v>1786532.4137931033</v>
      </c>
      <c r="N49" s="1123">
        <f t="shared" si="7"/>
        <v>-926852.4137931033</v>
      </c>
      <c r="O49" s="1123">
        <f t="shared" si="7"/>
        <v>-772492.00000000012</v>
      </c>
      <c r="P49" s="1123">
        <f t="shared" si="7"/>
        <v>-312015.58620689658</v>
      </c>
      <c r="Q49" s="1123">
        <f t="shared" si="7"/>
        <v>0</v>
      </c>
    </row>
    <row r="50" spans="1:18" ht="15.75" x14ac:dyDescent="0.25">
      <c r="E50" s="1113">
        <f>+E47-E48</f>
        <v>38003092.241379313</v>
      </c>
      <c r="G50" s="1123"/>
      <c r="H50" s="1123"/>
      <c r="I50" s="1123"/>
      <c r="J50" s="1123"/>
      <c r="K50" s="1123"/>
      <c r="L50" s="1123"/>
      <c r="M50" s="1123"/>
      <c r="N50" s="1123"/>
      <c r="O50" s="1123"/>
      <c r="P50" s="1123"/>
      <c r="Q50" s="1123"/>
    </row>
    <row r="51" spans="1:18" x14ac:dyDescent="0.2">
      <c r="F51" s="441" t="s">
        <v>28</v>
      </c>
      <c r="G51" s="441" t="s">
        <v>28</v>
      </c>
      <c r="J51" s="107" t="s">
        <v>10027</v>
      </c>
      <c r="K51" s="107" t="s">
        <v>10027</v>
      </c>
      <c r="M51" s="107" t="s">
        <v>10030</v>
      </c>
      <c r="N51" s="107" t="s">
        <v>10031</v>
      </c>
      <c r="R51" s="107" t="s">
        <v>10028</v>
      </c>
    </row>
    <row r="52" spans="1:18" x14ac:dyDescent="0.2">
      <c r="E52" s="442">
        <f>SUM('[12]10'!$F$14:$F$40)</f>
        <v>38003092.241379313</v>
      </c>
      <c r="F52" s="441"/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107" t="s">
        <v>10029</v>
      </c>
    </row>
    <row r="53" spans="1:18" x14ac:dyDescent="0.2">
      <c r="E53" s="442">
        <f>+E47-E52</f>
        <v>5091694.7586206868</v>
      </c>
      <c r="F53" s="441"/>
      <c r="L53" s="443" t="s">
        <v>28</v>
      </c>
      <c r="M53" s="443" t="s">
        <v>28</v>
      </c>
      <c r="N53" s="443" t="s">
        <v>28</v>
      </c>
      <c r="O53" s="443" t="s">
        <v>28</v>
      </c>
      <c r="P53" s="443" t="s">
        <v>28</v>
      </c>
      <c r="Q53" s="460" t="s">
        <v>28</v>
      </c>
    </row>
    <row r="54" spans="1:18" x14ac:dyDescent="0.2">
      <c r="F54" s="441"/>
      <c r="I54" s="441">
        <v>1</v>
      </c>
      <c r="J54" s="441">
        <v>1</v>
      </c>
      <c r="K54" s="441">
        <f>+J54</f>
        <v>1</v>
      </c>
      <c r="L54" s="441">
        <f t="shared" ref="L54:Q54" si="8">+K54</f>
        <v>1</v>
      </c>
      <c r="M54" s="441">
        <f t="shared" si="8"/>
        <v>1</v>
      </c>
      <c r="N54" s="441">
        <f t="shared" si="8"/>
        <v>1</v>
      </c>
      <c r="O54" s="441">
        <f t="shared" si="8"/>
        <v>1</v>
      </c>
      <c r="P54" s="441">
        <f t="shared" si="8"/>
        <v>1</v>
      </c>
      <c r="Q54" s="441">
        <f t="shared" si="8"/>
        <v>1</v>
      </c>
    </row>
    <row r="55" spans="1:18" x14ac:dyDescent="0.2">
      <c r="E55" s="442" t="s">
        <v>28</v>
      </c>
      <c r="F55" s="441"/>
      <c r="I55" s="441">
        <f>(+$H$25*0.25)/12*I54</f>
        <v>18750</v>
      </c>
      <c r="J55" s="441">
        <f t="shared" ref="J55:Q55" si="9">(+$H$25*0.25)/12*J54</f>
        <v>18750</v>
      </c>
      <c r="K55" s="441">
        <f t="shared" si="9"/>
        <v>18750</v>
      </c>
      <c r="L55" s="441">
        <f t="shared" si="9"/>
        <v>18750</v>
      </c>
      <c r="M55" s="441">
        <f t="shared" si="9"/>
        <v>18750</v>
      </c>
      <c r="N55" s="441">
        <f t="shared" si="9"/>
        <v>18750</v>
      </c>
      <c r="O55" s="441">
        <f t="shared" si="9"/>
        <v>18750</v>
      </c>
      <c r="P55" s="441">
        <f t="shared" si="9"/>
        <v>18750</v>
      </c>
      <c r="Q55" s="441">
        <f t="shared" si="9"/>
        <v>18750</v>
      </c>
    </row>
    <row r="56" spans="1:18" x14ac:dyDescent="0.2">
      <c r="B56" s="1780" t="s">
        <v>28</v>
      </c>
      <c r="C56" s="1780"/>
      <c r="D56" s="1129"/>
      <c r="E56" s="460" t="s">
        <v>28</v>
      </c>
      <c r="H56" s="461" t="s">
        <v>28</v>
      </c>
      <c r="I56" s="461" t="s">
        <v>28</v>
      </c>
      <c r="J56" s="461" t="s">
        <v>28</v>
      </c>
      <c r="K56" s="461" t="s">
        <v>28</v>
      </c>
      <c r="L56" s="461" t="s">
        <v>28</v>
      </c>
      <c r="M56" s="461" t="s">
        <v>28</v>
      </c>
      <c r="N56" s="461" t="s">
        <v>28</v>
      </c>
      <c r="O56" s="461" t="s">
        <v>28</v>
      </c>
      <c r="P56" s="461" t="s">
        <v>28</v>
      </c>
      <c r="Q56" s="461" t="s">
        <v>28</v>
      </c>
      <c r="R56" s="460" t="s">
        <v>28</v>
      </c>
    </row>
    <row r="57" spans="1:18" x14ac:dyDescent="0.2">
      <c r="J57" s="443"/>
      <c r="N57" s="443"/>
    </row>
    <row r="58" spans="1:18" x14ac:dyDescent="0.2">
      <c r="J58" s="443"/>
      <c r="N58" s="443"/>
    </row>
    <row r="59" spans="1:18" ht="16.5" thickBot="1" x14ac:dyDescent="0.3">
      <c r="A59" s="27" t="s">
        <v>10053</v>
      </c>
      <c r="B59" s="27"/>
    </row>
    <row r="60" spans="1:18" ht="16.5" thickTop="1" x14ac:dyDescent="0.25">
      <c r="E60" s="102" t="s">
        <v>6</v>
      </c>
      <c r="F60" s="46" t="s">
        <v>222</v>
      </c>
      <c r="G60" s="47" t="s">
        <v>222</v>
      </c>
      <c r="H60" s="47" t="s">
        <v>222</v>
      </c>
      <c r="I60" s="94" t="s">
        <v>222</v>
      </c>
    </row>
    <row r="61" spans="1:18" ht="15.75" x14ac:dyDescent="0.25">
      <c r="E61" s="103" t="s">
        <v>52</v>
      </c>
      <c r="F61" s="48" t="s">
        <v>146</v>
      </c>
      <c r="G61" s="43" t="s">
        <v>196</v>
      </c>
      <c r="H61" s="43" t="s">
        <v>147</v>
      </c>
      <c r="I61" s="95" t="s">
        <v>197</v>
      </c>
    </row>
    <row r="62" spans="1:18" ht="15.75" x14ac:dyDescent="0.25">
      <c r="E62" s="104" t="s">
        <v>135</v>
      </c>
      <c r="F62" s="220">
        <v>2012</v>
      </c>
      <c r="G62" s="221">
        <v>2012</v>
      </c>
      <c r="H62" s="221">
        <v>2012</v>
      </c>
      <c r="I62" s="246">
        <v>2012</v>
      </c>
    </row>
    <row r="63" spans="1:18" x14ac:dyDescent="0.2">
      <c r="E63" s="439"/>
      <c r="F63" s="444"/>
      <c r="G63" s="445"/>
      <c r="H63" s="445"/>
      <c r="I63" s="446"/>
    </row>
    <row r="64" spans="1:18" ht="15.75" x14ac:dyDescent="0.25">
      <c r="A64" s="27" t="s">
        <v>103</v>
      </c>
      <c r="B64" s="27"/>
      <c r="E64" s="439"/>
      <c r="F64" s="444"/>
      <c r="G64" s="445"/>
      <c r="H64" s="445"/>
      <c r="I64" s="446"/>
    </row>
    <row r="65" spans="1:11" ht="15.75" x14ac:dyDescent="0.25">
      <c r="A65" s="45"/>
      <c r="B65" s="45"/>
      <c r="E65" s="439"/>
      <c r="F65" s="444"/>
      <c r="G65" s="445"/>
      <c r="H65" s="445"/>
      <c r="I65" s="446"/>
    </row>
    <row r="66" spans="1:11" ht="15.75" x14ac:dyDescent="0.25">
      <c r="A66" s="45" t="s">
        <v>104</v>
      </c>
      <c r="B66" s="45"/>
      <c r="E66" s="437">
        <f>+E9</f>
        <v>63889921</v>
      </c>
      <c r="F66" s="447">
        <f>+F9+G9+H9</f>
        <v>63889921</v>
      </c>
      <c r="G66" s="454">
        <f>SUM(F9:K9)</f>
        <v>63889921</v>
      </c>
      <c r="H66" s="454">
        <f>SUM(F9:N9)</f>
        <v>63889921</v>
      </c>
      <c r="I66" s="455">
        <f>SUM(F9:Q9)</f>
        <v>63889921</v>
      </c>
      <c r="J66" s="442"/>
      <c r="K66" s="442"/>
    </row>
    <row r="67" spans="1:11" ht="15.75" x14ac:dyDescent="0.25">
      <c r="A67" s="45" t="s">
        <v>105</v>
      </c>
      <c r="B67" s="45"/>
      <c r="E67" s="437">
        <f>+E10</f>
        <v>31072310</v>
      </c>
      <c r="F67" s="447">
        <f>+F10+G10+H10</f>
        <v>31072310</v>
      </c>
      <c r="G67" s="454">
        <f>SUM(F10:K10)</f>
        <v>31072310</v>
      </c>
      <c r="H67" s="454">
        <f>SUM(F10:N10)</f>
        <v>31072310</v>
      </c>
      <c r="I67" s="455">
        <f>SUM(F10:Q10)</f>
        <v>31072310</v>
      </c>
      <c r="J67" s="442"/>
      <c r="K67" s="442"/>
    </row>
    <row r="68" spans="1:11" ht="15.75" x14ac:dyDescent="0.25">
      <c r="A68" s="1110" t="s">
        <v>10038</v>
      </c>
      <c r="B68" s="45"/>
      <c r="E68" s="437">
        <f>+E11</f>
        <v>50000</v>
      </c>
      <c r="F68" s="447">
        <f>+F11+G11+H11</f>
        <v>0</v>
      </c>
      <c r="G68" s="454">
        <f>SUM(F11:K11)</f>
        <v>50000</v>
      </c>
      <c r="H68" s="454">
        <f>SUM(F11:N11)</f>
        <v>50000</v>
      </c>
      <c r="I68" s="455">
        <f>SUM(F11:Q11)</f>
        <v>50000</v>
      </c>
      <c r="J68" s="442"/>
      <c r="K68" s="442"/>
    </row>
    <row r="69" spans="1:11" ht="15.75" x14ac:dyDescent="0.25">
      <c r="A69" s="1110" t="s">
        <v>10047</v>
      </c>
      <c r="B69" s="45"/>
      <c r="E69" s="437">
        <f>+E12</f>
        <v>543000</v>
      </c>
      <c r="F69" s="447">
        <f>+F12+G12+H12</f>
        <v>0</v>
      </c>
      <c r="G69" s="454">
        <f>SUM(F12:K12)</f>
        <v>0</v>
      </c>
      <c r="H69" s="454">
        <f>SUM(F12:N12)</f>
        <v>271500</v>
      </c>
      <c r="I69" s="455">
        <f>SUM(F12:Q12)</f>
        <v>543000</v>
      </c>
      <c r="J69" s="442"/>
      <c r="K69" s="442"/>
    </row>
    <row r="70" spans="1:11" ht="15.75" x14ac:dyDescent="0.25">
      <c r="A70" s="34" t="s">
        <v>10041</v>
      </c>
      <c r="B70" s="45"/>
      <c r="E70" s="437">
        <f>+E13</f>
        <v>0</v>
      </c>
      <c r="F70" s="447">
        <f>+F13+G13+H13</f>
        <v>0</v>
      </c>
      <c r="G70" s="454">
        <f>SUM(F13:K13)</f>
        <v>0</v>
      </c>
      <c r="H70" s="454">
        <f>SUM(F13:N13)</f>
        <v>0</v>
      </c>
      <c r="I70" s="455">
        <f>SUM(F13:Q13)</f>
        <v>0</v>
      </c>
      <c r="J70" s="442"/>
      <c r="K70" s="442"/>
    </row>
    <row r="71" spans="1:11" ht="15.75" x14ac:dyDescent="0.25">
      <c r="A71" s="1110" t="s">
        <v>10042</v>
      </c>
      <c r="B71" s="45"/>
      <c r="E71" s="437">
        <f>+E16</f>
        <v>225000</v>
      </c>
      <c r="F71" s="447">
        <f>+F16+G16+H16</f>
        <v>0</v>
      </c>
      <c r="G71" s="454">
        <f>SUM(F16:K16)</f>
        <v>0</v>
      </c>
      <c r="H71" s="454">
        <f>SUM(F16:N16)</f>
        <v>225000</v>
      </c>
      <c r="I71" s="455">
        <f>SUM(F16:Q16)</f>
        <v>225000</v>
      </c>
      <c r="J71" s="442"/>
      <c r="K71" s="442"/>
    </row>
    <row r="72" spans="1:11" ht="15.75" x14ac:dyDescent="0.25">
      <c r="A72" s="34" t="s">
        <v>10032</v>
      </c>
      <c r="B72" s="45"/>
      <c r="E72" s="437">
        <f>+E14</f>
        <v>521999.99999999994</v>
      </c>
      <c r="F72" s="447">
        <f>+F14+G14+H14</f>
        <v>0</v>
      </c>
      <c r="G72" s="454">
        <f>SUM(F14:K14)</f>
        <v>521999.99999999994</v>
      </c>
      <c r="H72" s="454">
        <f>SUM(F14:N14)</f>
        <v>521999.99999999994</v>
      </c>
      <c r="I72" s="455">
        <f>SUM(F14:Q14)</f>
        <v>521999.99999999994</v>
      </c>
      <c r="J72" s="442"/>
      <c r="K72" s="442"/>
    </row>
    <row r="73" spans="1:11" ht="15.75" x14ac:dyDescent="0.25">
      <c r="A73" s="1110" t="s">
        <v>10043</v>
      </c>
      <c r="B73" s="45"/>
      <c r="E73" s="437">
        <f>+E17</f>
        <v>350000</v>
      </c>
      <c r="F73" s="447">
        <f>+F17+G17+H17</f>
        <v>0</v>
      </c>
      <c r="G73" s="454">
        <f>SUM(F17:K17)</f>
        <v>0</v>
      </c>
      <c r="H73" s="454">
        <f>SUM(F17:N17)</f>
        <v>0</v>
      </c>
      <c r="I73" s="455">
        <f>SUM(F17:Q17)</f>
        <v>350000</v>
      </c>
      <c r="J73" s="442"/>
      <c r="K73" s="442"/>
    </row>
    <row r="74" spans="1:11" ht="15.75" x14ac:dyDescent="0.25">
      <c r="A74" s="1110" t="s">
        <v>10044</v>
      </c>
      <c r="B74" s="45"/>
      <c r="E74" s="437">
        <f>+E18</f>
        <v>333213</v>
      </c>
      <c r="F74" s="447">
        <f>+F18+G18+H18</f>
        <v>0</v>
      </c>
      <c r="G74" s="454">
        <f>SUM(F18:K18)</f>
        <v>0</v>
      </c>
      <c r="H74" s="454">
        <f>SUM(F18:N18)</f>
        <v>0</v>
      </c>
      <c r="I74" s="455">
        <f>SUM(F18:Q18)</f>
        <v>333213</v>
      </c>
      <c r="J74" s="442"/>
      <c r="K74" s="442"/>
    </row>
    <row r="75" spans="1:11" ht="15.75" x14ac:dyDescent="0.25">
      <c r="A75" s="45"/>
      <c r="B75" s="45"/>
      <c r="E75" s="438"/>
      <c r="F75" s="451"/>
      <c r="G75" s="452"/>
      <c r="H75" s="452"/>
      <c r="I75" s="453"/>
      <c r="J75" s="442"/>
      <c r="K75" s="442"/>
    </row>
    <row r="76" spans="1:11" ht="15.75" x14ac:dyDescent="0.25">
      <c r="A76" s="27" t="s">
        <v>106</v>
      </c>
      <c r="B76" s="27"/>
      <c r="E76" s="439"/>
      <c r="F76" s="444"/>
      <c r="G76" s="445"/>
      <c r="H76" s="445"/>
      <c r="I76" s="446"/>
      <c r="J76" s="442"/>
    </row>
    <row r="77" spans="1:11" ht="15.75" x14ac:dyDescent="0.25">
      <c r="A77" s="45"/>
      <c r="B77" s="45"/>
      <c r="C77" s="441" t="s">
        <v>28</v>
      </c>
      <c r="E77" s="439"/>
      <c r="F77" s="444"/>
      <c r="G77" s="445"/>
      <c r="H77" s="445"/>
      <c r="I77" s="446"/>
      <c r="J77" s="442"/>
    </row>
    <row r="78" spans="1:11" ht="15.75" x14ac:dyDescent="0.25">
      <c r="A78" s="45" t="s">
        <v>149</v>
      </c>
      <c r="B78" s="45"/>
      <c r="C78" s="52" t="s">
        <v>28</v>
      </c>
      <c r="D78" s="52"/>
      <c r="E78" s="437">
        <f>+E22</f>
        <v>23269912</v>
      </c>
      <c r="F78" s="447">
        <f>SUM(F22:H22)</f>
        <v>0</v>
      </c>
      <c r="G78" s="454">
        <f>SUM(F22:K22)</f>
        <v>1396372</v>
      </c>
      <c r="H78" s="454">
        <f>SUM(F22:N22)</f>
        <v>23269912</v>
      </c>
      <c r="I78" s="455">
        <f>SUM(F22:Q22)</f>
        <v>23269912</v>
      </c>
      <c r="J78" s="442"/>
    </row>
    <row r="79" spans="1:11" ht="15.75" x14ac:dyDescent="0.25">
      <c r="A79" s="45" t="s">
        <v>235</v>
      </c>
      <c r="B79" s="45"/>
      <c r="C79" s="52"/>
      <c r="D79" s="52"/>
      <c r="E79" s="437">
        <f>+E23</f>
        <v>0</v>
      </c>
      <c r="F79" s="447">
        <f>+F23+G23+H23</f>
        <v>0</v>
      </c>
      <c r="G79" s="454">
        <f>SUM(F23:K23)</f>
        <v>0</v>
      </c>
      <c r="H79" s="454">
        <f>SUM(F23:N23)</f>
        <v>0</v>
      </c>
      <c r="I79" s="455">
        <f>SUM(F23:Q23)</f>
        <v>0</v>
      </c>
      <c r="J79" s="442"/>
    </row>
    <row r="80" spans="1:11" ht="15.75" x14ac:dyDescent="0.25">
      <c r="A80" s="45" t="s">
        <v>239</v>
      </c>
      <c r="B80" s="45"/>
      <c r="C80" s="52"/>
      <c r="D80" s="52"/>
      <c r="E80" s="437">
        <f>+E24</f>
        <v>0</v>
      </c>
      <c r="F80" s="447">
        <f>+F24+G24+H24</f>
        <v>0</v>
      </c>
      <c r="G80" s="454">
        <f>SUM(F24:K24)</f>
        <v>0</v>
      </c>
      <c r="H80" s="454">
        <f>SUM(F24:N24)</f>
        <v>0</v>
      </c>
      <c r="I80" s="455">
        <f>SUM(F24:Q24)</f>
        <v>0</v>
      </c>
      <c r="J80" s="442"/>
    </row>
    <row r="81" spans="1:10" ht="15.75" x14ac:dyDescent="0.25">
      <c r="A81" s="45" t="s">
        <v>107</v>
      </c>
      <c r="B81" s="45"/>
      <c r="E81" s="437">
        <f>+E26</f>
        <v>1117400</v>
      </c>
      <c r="F81" s="447">
        <f>+F26+G26+H26</f>
        <v>0</v>
      </c>
      <c r="G81" s="454">
        <f>SUM(F26:K26)</f>
        <v>0</v>
      </c>
      <c r="H81" s="454">
        <f>SUM(F26:N26)</f>
        <v>0</v>
      </c>
      <c r="I81" s="455">
        <f>SUM(F26:Q26)</f>
        <v>1117400</v>
      </c>
      <c r="J81" s="442"/>
    </row>
    <row r="82" spans="1:10" ht="15.75" x14ac:dyDescent="0.25">
      <c r="A82" s="45" t="s">
        <v>261</v>
      </c>
      <c r="B82" s="45"/>
      <c r="E82" s="437">
        <f>+E25</f>
        <v>1530000</v>
      </c>
      <c r="F82" s="447">
        <f>+F25+G25+H25</f>
        <v>900000</v>
      </c>
      <c r="G82" s="454">
        <f>SUM(F25:K25)</f>
        <v>1530000</v>
      </c>
      <c r="H82" s="454">
        <f>SUM(F25:N25)</f>
        <v>1530000</v>
      </c>
      <c r="I82" s="455">
        <f>SUM(F25:Q25)</f>
        <v>1530000</v>
      </c>
      <c r="J82" s="442"/>
    </row>
    <row r="83" spans="1:10" ht="15.75" x14ac:dyDescent="0.25">
      <c r="A83" s="45"/>
      <c r="B83" s="45"/>
      <c r="E83" s="438"/>
      <c r="F83" s="451"/>
      <c r="G83" s="452"/>
      <c r="H83" s="452"/>
      <c r="I83" s="453"/>
      <c r="J83" s="442"/>
    </row>
    <row r="84" spans="1:10" ht="15.75" x14ac:dyDescent="0.25">
      <c r="A84" s="27" t="s">
        <v>108</v>
      </c>
      <c r="B84" s="27"/>
      <c r="E84" s="439"/>
      <c r="F84" s="444"/>
      <c r="G84" s="445"/>
      <c r="H84" s="445"/>
      <c r="I84" s="446"/>
      <c r="J84" s="442"/>
    </row>
    <row r="85" spans="1:10" ht="15.75" x14ac:dyDescent="0.25">
      <c r="A85" s="45"/>
      <c r="B85" s="45"/>
      <c r="E85" s="439"/>
      <c r="F85" s="444"/>
      <c r="G85" s="445"/>
      <c r="H85" s="445"/>
      <c r="I85" s="446"/>
      <c r="J85" s="442"/>
    </row>
    <row r="86" spans="1:10" ht="15.75" x14ac:dyDescent="0.25">
      <c r="A86" s="45" t="s">
        <v>241</v>
      </c>
      <c r="B86" s="45"/>
      <c r="E86" s="437">
        <f>+E30</f>
        <v>464915</v>
      </c>
      <c r="F86" s="447">
        <f>+F30+G30+H30</f>
        <v>49765</v>
      </c>
      <c r="G86" s="454">
        <f>SUM(F30:K30)</f>
        <v>464915</v>
      </c>
      <c r="H86" s="454">
        <f>SUM(F30:N30)</f>
        <v>464915</v>
      </c>
      <c r="I86" s="455">
        <f>SUM(F30:Q30)</f>
        <v>464915</v>
      </c>
      <c r="J86" s="442"/>
    </row>
    <row r="87" spans="1:10" ht="15.75" x14ac:dyDescent="0.25">
      <c r="A87" s="45" t="s">
        <v>237</v>
      </c>
      <c r="B87" s="45"/>
      <c r="E87" s="437">
        <f>+E31</f>
        <v>557075</v>
      </c>
      <c r="F87" s="447">
        <f>+F31+G31+H31</f>
        <v>557075</v>
      </c>
      <c r="G87" s="454">
        <f>SUM(F31:K31)</f>
        <v>557075</v>
      </c>
      <c r="H87" s="454">
        <f>SUM(F31:N31)</f>
        <v>557075</v>
      </c>
      <c r="I87" s="455">
        <f>SUM(F31:Q31)</f>
        <v>557075</v>
      </c>
      <c r="J87" s="442"/>
    </row>
    <row r="88" spans="1:10" ht="15.75" x14ac:dyDescent="0.25">
      <c r="A88" s="45" t="s">
        <v>238</v>
      </c>
      <c r="B88" s="45"/>
      <c r="E88" s="437">
        <f>+E35</f>
        <v>475608</v>
      </c>
      <c r="F88" s="447">
        <f>+F35+G35+H35</f>
        <v>50008</v>
      </c>
      <c r="G88" s="454">
        <f>SUM(F35:K35)</f>
        <v>210608</v>
      </c>
      <c r="H88" s="454">
        <f>SUM(F35:N35)</f>
        <v>285608</v>
      </c>
      <c r="I88" s="455">
        <f>SUM(F35:Q35)</f>
        <v>475608</v>
      </c>
      <c r="J88" s="442"/>
    </row>
    <row r="89" spans="1:10" ht="15.75" x14ac:dyDescent="0.25">
      <c r="A89" s="45"/>
      <c r="B89" s="45"/>
      <c r="E89" s="437"/>
      <c r="F89" s="447"/>
      <c r="G89" s="448"/>
      <c r="H89" s="448"/>
      <c r="I89" s="1116"/>
      <c r="J89" s="442"/>
    </row>
    <row r="90" spans="1:10" ht="15.75" x14ac:dyDescent="0.25">
      <c r="A90" s="27" t="s">
        <v>10034</v>
      </c>
      <c r="B90" s="45"/>
      <c r="E90" s="437"/>
      <c r="F90" s="447"/>
      <c r="G90" s="448"/>
      <c r="H90" s="448"/>
      <c r="I90" s="1116"/>
      <c r="J90" s="442"/>
    </row>
    <row r="91" spans="1:10" ht="15.75" x14ac:dyDescent="0.25">
      <c r="A91" s="1110" t="s">
        <v>10033</v>
      </c>
      <c r="B91" s="45"/>
      <c r="E91" s="437">
        <f>+E39</f>
        <v>416664</v>
      </c>
      <c r="F91" s="447">
        <f>+F39+G39+H39</f>
        <v>0</v>
      </c>
      <c r="G91" s="454">
        <f>SUM(F39:K39)</f>
        <v>416664</v>
      </c>
      <c r="H91" s="454">
        <f>SUM(F39:N39)</f>
        <v>416664</v>
      </c>
      <c r="I91" s="455">
        <f>SUM(F39:Q39)</f>
        <v>416664</v>
      </c>
      <c r="J91" s="442"/>
    </row>
    <row r="92" spans="1:10" ht="15.75" x14ac:dyDescent="0.25">
      <c r="A92" s="1110" t="s">
        <v>10035</v>
      </c>
      <c r="B92" s="45"/>
      <c r="E92" s="437">
        <f t="shared" ref="E92:E96" si="10">+E40</f>
        <v>450000</v>
      </c>
      <c r="F92" s="447">
        <f t="shared" ref="F92:F96" si="11">+F40+G40+H40</f>
        <v>0</v>
      </c>
      <c r="G92" s="454">
        <f t="shared" ref="G92:G96" si="12">SUM(F40:K40)</f>
        <v>450000</v>
      </c>
      <c r="H92" s="454">
        <f t="shared" ref="H92:H96" si="13">SUM(F40:N40)</f>
        <v>450000</v>
      </c>
      <c r="I92" s="455">
        <f t="shared" ref="I92:I96" si="14">SUM(F40:Q40)</f>
        <v>450000</v>
      </c>
      <c r="J92" s="442"/>
    </row>
    <row r="93" spans="1:10" ht="15.75" x14ac:dyDescent="0.25">
      <c r="A93" s="1110" t="s">
        <v>10036</v>
      </c>
      <c r="B93" s="45"/>
      <c r="E93" s="437">
        <f t="shared" si="10"/>
        <v>100000</v>
      </c>
      <c r="F93" s="447">
        <f t="shared" si="11"/>
        <v>0</v>
      </c>
      <c r="G93" s="454">
        <f t="shared" si="12"/>
        <v>100000</v>
      </c>
      <c r="H93" s="454">
        <f t="shared" si="13"/>
        <v>100000</v>
      </c>
      <c r="I93" s="455">
        <f t="shared" si="14"/>
        <v>100000</v>
      </c>
      <c r="J93" s="442"/>
    </row>
    <row r="94" spans="1:10" ht="15.75" x14ac:dyDescent="0.25">
      <c r="A94" s="1110" t="s">
        <v>10037</v>
      </c>
      <c r="B94" s="45"/>
      <c r="E94" s="437">
        <f t="shared" si="10"/>
        <v>260000</v>
      </c>
      <c r="F94" s="447">
        <f t="shared" si="11"/>
        <v>0</v>
      </c>
      <c r="G94" s="454">
        <f t="shared" si="12"/>
        <v>260000</v>
      </c>
      <c r="H94" s="454">
        <f t="shared" si="13"/>
        <v>260000</v>
      </c>
      <c r="I94" s="455">
        <f t="shared" si="14"/>
        <v>260000</v>
      </c>
      <c r="J94" s="442"/>
    </row>
    <row r="95" spans="1:10" ht="15.75" x14ac:dyDescent="0.25">
      <c r="A95" s="1110" t="s">
        <v>10039</v>
      </c>
      <c r="B95" s="45"/>
      <c r="E95" s="437">
        <f t="shared" si="10"/>
        <v>150000</v>
      </c>
      <c r="F95" s="447">
        <f t="shared" si="11"/>
        <v>0</v>
      </c>
      <c r="G95" s="454">
        <f t="shared" si="12"/>
        <v>150000</v>
      </c>
      <c r="H95" s="454">
        <f t="shared" si="13"/>
        <v>150000</v>
      </c>
      <c r="I95" s="455">
        <f t="shared" si="14"/>
        <v>150000</v>
      </c>
      <c r="J95" s="442"/>
    </row>
    <row r="96" spans="1:10" ht="15.75" x14ac:dyDescent="0.25">
      <c r="A96" s="1110" t="s">
        <v>10040</v>
      </c>
      <c r="B96" s="45"/>
      <c r="E96" s="437">
        <f t="shared" si="10"/>
        <v>300000</v>
      </c>
      <c r="F96" s="447">
        <f t="shared" si="11"/>
        <v>0</v>
      </c>
      <c r="G96" s="454">
        <f t="shared" si="12"/>
        <v>120000</v>
      </c>
      <c r="H96" s="454">
        <f t="shared" si="13"/>
        <v>300000</v>
      </c>
      <c r="I96" s="455">
        <f t="shared" si="14"/>
        <v>300000</v>
      </c>
      <c r="J96" s="442"/>
    </row>
    <row r="97" spans="1:10" ht="15.75" x14ac:dyDescent="0.25">
      <c r="A97" s="45"/>
      <c r="B97" s="45"/>
      <c r="E97" s="439"/>
      <c r="F97" s="444"/>
      <c r="G97" s="445"/>
      <c r="H97" s="445"/>
      <c r="I97" s="446"/>
      <c r="J97" s="442"/>
    </row>
    <row r="98" spans="1:10" ht="15.75" x14ac:dyDescent="0.25">
      <c r="A98" s="45"/>
      <c r="B98" s="45"/>
      <c r="E98" s="438"/>
      <c r="F98" s="451"/>
      <c r="G98" s="452"/>
      <c r="H98" s="452"/>
      <c r="I98" s="453"/>
    </row>
    <row r="99" spans="1:10" ht="16.5" thickBot="1" x14ac:dyDescent="0.3">
      <c r="B99" s="107" t="s">
        <v>195</v>
      </c>
      <c r="C99" s="107"/>
      <c r="D99" s="107"/>
      <c r="E99" s="440">
        <f>SUM(E62:E98)</f>
        <v>126077018</v>
      </c>
      <c r="F99" s="440">
        <f>SUM(F66:F98)</f>
        <v>96519079</v>
      </c>
      <c r="G99" s="440">
        <f>SUM(G66:G98)</f>
        <v>101189865</v>
      </c>
      <c r="H99" s="440">
        <f>SUM(H66:H98)</f>
        <v>123814905</v>
      </c>
      <c r="I99" s="440">
        <f>SUM(I66:I98)</f>
        <v>126077018</v>
      </c>
      <c r="J99" s="442"/>
    </row>
    <row r="100" spans="1:10" ht="15.75" thickTop="1" x14ac:dyDescent="0.2"/>
  </sheetData>
  <mergeCells count="1">
    <mergeCell ref="B56:C56"/>
  </mergeCells>
  <phoneticPr fontId="0" type="noConversion"/>
  <printOptions horizontalCentered="1" verticalCentered="1"/>
  <pageMargins left="0.75" right="0.75" top="1" bottom="1" header="0.11811023622047245" footer="0.11811023622047245"/>
  <pageSetup scale="55" orientation="landscape" r:id="rId1"/>
  <headerFooter alignWithMargins="0">
    <oddHeader>&amp;R&amp;D</oddHeader>
    <oddFooter>Página &amp;P&amp;R&amp;F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B050"/>
  </sheetPr>
  <dimension ref="A1:H61"/>
  <sheetViews>
    <sheetView topLeftCell="A4" zoomScale="120" zoomScaleNormal="120" workbookViewId="0">
      <selection activeCell="A27" sqref="A27"/>
    </sheetView>
  </sheetViews>
  <sheetFormatPr baseColWidth="10" defaultColWidth="0" defaultRowHeight="12.75" zeroHeight="1" x14ac:dyDescent="0.2"/>
  <cols>
    <col min="1" max="1" width="45.42578125" style="407" customWidth="1"/>
    <col min="2" max="2" width="16.85546875" style="295" customWidth="1"/>
    <col min="3" max="3" width="18" style="295" customWidth="1"/>
    <col min="4" max="4" width="16.85546875" style="295" customWidth="1"/>
    <col min="5" max="5" width="6.140625" style="252" customWidth="1"/>
    <col min="6" max="6" width="6.28515625" style="252" customWidth="1"/>
    <col min="7" max="8" width="6.28515625" style="252" hidden="1" customWidth="1"/>
    <col min="9" max="16384" width="11.5703125" style="252" hidden="1"/>
  </cols>
  <sheetData>
    <row r="1" spans="1:7" ht="15.75" x14ac:dyDescent="0.25">
      <c r="A1" s="1781" t="s">
        <v>127</v>
      </c>
      <c r="B1" s="1781"/>
      <c r="C1" s="1781"/>
      <c r="D1" s="1781"/>
    </row>
    <row r="2" spans="1:7" x14ac:dyDescent="0.2">
      <c r="A2" s="276"/>
      <c r="B2" s="383"/>
      <c r="C2" s="383"/>
      <c r="D2" s="252" t="s">
        <v>28</v>
      </c>
    </row>
    <row r="3" spans="1:7" ht="16.5" thickBot="1" x14ac:dyDescent="0.3">
      <c r="A3" s="1782" t="s">
        <v>9822</v>
      </c>
      <c r="B3" s="1783"/>
      <c r="C3" s="1783"/>
      <c r="D3" s="1783"/>
    </row>
    <row r="4" spans="1:7" ht="13.5" thickTop="1" x14ac:dyDescent="0.2">
      <c r="A4" s="69"/>
      <c r="B4" s="384" t="s">
        <v>443</v>
      </c>
      <c r="C4" s="384" t="s">
        <v>52</v>
      </c>
      <c r="D4" s="385" t="s">
        <v>125</v>
      </c>
    </row>
    <row r="5" spans="1:7" x14ac:dyDescent="0.2">
      <c r="A5" s="386" t="s">
        <v>5</v>
      </c>
      <c r="B5" s="387">
        <v>2013</v>
      </c>
      <c r="C5" s="387">
        <v>2014</v>
      </c>
      <c r="D5" s="388" t="s">
        <v>126</v>
      </c>
    </row>
    <row r="6" spans="1:7" x14ac:dyDescent="0.2">
      <c r="A6" s="389"/>
      <c r="B6" s="390"/>
      <c r="C6" s="390"/>
      <c r="D6" s="391"/>
    </row>
    <row r="7" spans="1:7" x14ac:dyDescent="0.2">
      <c r="A7" s="389" t="s">
        <v>55</v>
      </c>
      <c r="B7" s="390"/>
      <c r="C7" s="390"/>
      <c r="D7" s="391"/>
    </row>
    <row r="8" spans="1:7" x14ac:dyDescent="0.2">
      <c r="A8" s="389"/>
      <c r="B8" s="390"/>
      <c r="C8" s="390"/>
      <c r="D8" s="391"/>
    </row>
    <row r="9" spans="1:7" x14ac:dyDescent="0.2">
      <c r="A9" s="389" t="s">
        <v>56</v>
      </c>
      <c r="B9" s="390"/>
      <c r="C9" s="390"/>
      <c r="D9" s="391"/>
    </row>
    <row r="10" spans="1:7" x14ac:dyDescent="0.2">
      <c r="A10" s="1753" t="s">
        <v>57</v>
      </c>
      <c r="B10" s="1122">
        <f>20200000+2117926+332647+16682212.44</f>
        <v>39332785.439999998</v>
      </c>
      <c r="C10" s="392">
        <f>+balance_detalle!N11</f>
        <v>45059649.320373081</v>
      </c>
      <c r="D10" s="393">
        <f>C10-B10</f>
        <v>5726863.8803730831</v>
      </c>
    </row>
    <row r="11" spans="1:7" x14ac:dyDescent="0.2">
      <c r="A11" s="1753" t="s">
        <v>58</v>
      </c>
      <c r="B11" s="1122">
        <f>53944354-28337035+(21877553.71*1.12)+8335017.6+724188-4520362.15460002-16682212.44</f>
        <v>37966810.160599992</v>
      </c>
      <c r="C11" s="392">
        <f>+balance_detalle!N12</f>
        <v>33412153.104220219</v>
      </c>
      <c r="D11" s="393">
        <f>C11-B11</f>
        <v>-4554657.0563797727</v>
      </c>
      <c r="G11" s="1122"/>
    </row>
    <row r="12" spans="1:7" x14ac:dyDescent="0.2">
      <c r="A12" s="389"/>
      <c r="B12" s="1122"/>
      <c r="C12" s="392"/>
      <c r="D12" s="393"/>
    </row>
    <row r="13" spans="1:7" x14ac:dyDescent="0.2">
      <c r="A13" s="389" t="s">
        <v>59</v>
      </c>
      <c r="B13" s="1122"/>
      <c r="C13" s="392"/>
      <c r="D13" s="393"/>
    </row>
    <row r="14" spans="1:7" x14ac:dyDescent="0.2">
      <c r="A14" s="1440" t="s">
        <v>60</v>
      </c>
      <c r="B14" s="1122">
        <v>8807291</v>
      </c>
      <c r="C14" s="392">
        <f>+balance_detalle!N16</f>
        <v>8450291</v>
      </c>
      <c r="D14" s="393">
        <f>C14-B14</f>
        <v>-357000</v>
      </c>
    </row>
    <row r="15" spans="1:7" x14ac:dyDescent="0.2">
      <c r="A15" s="389"/>
      <c r="B15" s="1122"/>
      <c r="C15" s="392"/>
      <c r="D15" s="393"/>
    </row>
    <row r="16" spans="1:7" x14ac:dyDescent="0.2">
      <c r="A16" s="389" t="s">
        <v>61</v>
      </c>
      <c r="B16" s="1122">
        <f>SUM(B10+B11+B14)</f>
        <v>86106886.600599989</v>
      </c>
      <c r="C16" s="392">
        <f>SUM(C10+C11+C14)</f>
        <v>86922093.4245933</v>
      </c>
      <c r="D16" s="393">
        <f>SUM(D10+D11+D14)</f>
        <v>815206.82399331033</v>
      </c>
    </row>
    <row r="17" spans="1:8" x14ac:dyDescent="0.2">
      <c r="A17" s="389"/>
      <c r="B17" s="1122"/>
      <c r="C17" s="392"/>
      <c r="D17" s="393"/>
    </row>
    <row r="18" spans="1:8" x14ac:dyDescent="0.2">
      <c r="A18" s="389" t="s">
        <v>62</v>
      </c>
      <c r="B18" s="1122"/>
      <c r="C18" s="392"/>
      <c r="D18" s="393"/>
    </row>
    <row r="19" spans="1:8" x14ac:dyDescent="0.2">
      <c r="A19" s="1440" t="s">
        <v>63</v>
      </c>
      <c r="B19" s="1122">
        <f>65796380+4526175-1793647+96678037</f>
        <v>165206945</v>
      </c>
      <c r="C19" s="392">
        <f>+balance_detalle!N22</f>
        <v>198962143.1650641</v>
      </c>
      <c r="D19" s="393">
        <f>C19-B19</f>
        <v>33755198.165064096</v>
      </c>
    </row>
    <row r="20" spans="1:8" x14ac:dyDescent="0.2">
      <c r="A20" s="389"/>
      <c r="B20" s="1122"/>
      <c r="C20" s="392"/>
      <c r="D20" s="393"/>
    </row>
    <row r="21" spans="1:8" x14ac:dyDescent="0.2">
      <c r="A21" s="389" t="s">
        <v>64</v>
      </c>
      <c r="B21" s="1122"/>
      <c r="C21" s="392"/>
      <c r="D21" s="393"/>
    </row>
    <row r="22" spans="1:8" ht="15" x14ac:dyDescent="0.25">
      <c r="A22" s="389" t="s">
        <v>202</v>
      </c>
      <c r="B22" s="1122">
        <f>37756242-455307.29</f>
        <v>37300934.710000001</v>
      </c>
      <c r="C22" s="392">
        <f>+balance_detalle!N25</f>
        <v>30326312</v>
      </c>
      <c r="D22" s="393">
        <f>C22-B22</f>
        <v>-6974622.7100000009</v>
      </c>
      <c r="F22" s="89"/>
      <c r="H22" s="1441"/>
    </row>
    <row r="23" spans="1:8" x14ac:dyDescent="0.2">
      <c r="A23" s="389" t="s">
        <v>229</v>
      </c>
      <c r="B23" s="392">
        <v>0</v>
      </c>
      <c r="C23" s="392">
        <f>+balance_detalle!N26</f>
        <v>0</v>
      </c>
      <c r="D23" s="393">
        <f>C23-B23</f>
        <v>0</v>
      </c>
    </row>
    <row r="24" spans="1:8" x14ac:dyDescent="0.2">
      <c r="A24" s="389"/>
      <c r="B24" s="392"/>
      <c r="C24" s="392"/>
      <c r="D24" s="393"/>
      <c r="H24" s="1442"/>
    </row>
    <row r="25" spans="1:8" x14ac:dyDescent="0.2">
      <c r="A25" s="389" t="s">
        <v>65</v>
      </c>
      <c r="B25" s="394">
        <f>SUM(B16+B19+B22+B23)</f>
        <v>288614766.31059998</v>
      </c>
      <c r="C25" s="394">
        <f>SUM(C16+C19+C22+C23)</f>
        <v>316210548.58965743</v>
      </c>
      <c r="D25" s="395">
        <f>SUM(D16+D19+D22+D23)</f>
        <v>27595782.279057406</v>
      </c>
    </row>
    <row r="26" spans="1:8" x14ac:dyDescent="0.2">
      <c r="A26" s="389"/>
      <c r="B26" s="392"/>
      <c r="C26" s="392"/>
      <c r="D26" s="393"/>
      <c r="H26" s="1442"/>
    </row>
    <row r="27" spans="1:8" x14ac:dyDescent="0.2">
      <c r="A27" s="389"/>
      <c r="B27" s="392"/>
      <c r="C27" s="392"/>
      <c r="D27" s="393"/>
      <c r="H27" s="1442"/>
    </row>
    <row r="28" spans="1:8" x14ac:dyDescent="0.2">
      <c r="A28" s="389" t="s">
        <v>66</v>
      </c>
      <c r="B28" s="392"/>
      <c r="C28" s="392"/>
      <c r="D28" s="393"/>
      <c r="H28" s="1442"/>
    </row>
    <row r="29" spans="1:8" x14ac:dyDescent="0.2">
      <c r="A29" s="389"/>
      <c r="B29" s="392"/>
      <c r="C29" s="392"/>
      <c r="D29" s="393"/>
    </row>
    <row r="30" spans="1:8" x14ac:dyDescent="0.2">
      <c r="A30" s="389" t="s">
        <v>67</v>
      </c>
      <c r="B30" s="392"/>
      <c r="C30" s="392"/>
      <c r="D30" s="393"/>
    </row>
    <row r="31" spans="1:8" x14ac:dyDescent="0.2">
      <c r="A31" s="389" t="s">
        <v>68</v>
      </c>
      <c r="B31" s="1122">
        <v>9109968</v>
      </c>
      <c r="C31" s="392">
        <f>+balance_detalle!N33</f>
        <v>11155230</v>
      </c>
      <c r="D31" s="393">
        <f>C31-B31</f>
        <v>2045262</v>
      </c>
    </row>
    <row r="32" spans="1:8" x14ac:dyDescent="0.2">
      <c r="A32" s="389" t="s">
        <v>69</v>
      </c>
      <c r="B32" s="1122">
        <f>31554439+3435116+13857202</f>
        <v>48846757</v>
      </c>
      <c r="C32" s="392">
        <f>+balance_detalle!N34</f>
        <v>35052721.222926483</v>
      </c>
      <c r="D32" s="393">
        <f>C32-B32</f>
        <v>-13794035.777073517</v>
      </c>
    </row>
    <row r="33" spans="1:7" x14ac:dyDescent="0.2">
      <c r="A33" s="389" t="s">
        <v>70</v>
      </c>
      <c r="B33" s="1122">
        <v>7700000</v>
      </c>
      <c r="C33" s="392">
        <f>+balance_detalle!N35</f>
        <v>7434222</v>
      </c>
      <c r="D33" s="393">
        <f>C33-B33</f>
        <v>-265778</v>
      </c>
    </row>
    <row r="34" spans="1:7" x14ac:dyDescent="0.2">
      <c r="A34" s="389"/>
      <c r="B34" s="1122"/>
      <c r="C34" s="392"/>
      <c r="D34" s="393"/>
    </row>
    <row r="35" spans="1:7" x14ac:dyDescent="0.2">
      <c r="A35" s="389" t="s">
        <v>71</v>
      </c>
      <c r="B35" s="1122">
        <f>SUM(B31:B34)</f>
        <v>65656725</v>
      </c>
      <c r="C35" s="392">
        <f>SUM(C31:C34)</f>
        <v>53642173.222926483</v>
      </c>
      <c r="D35" s="393">
        <f>SUM(D31:D34)</f>
        <v>-12014551.777073517</v>
      </c>
    </row>
    <row r="36" spans="1:7" x14ac:dyDescent="0.2">
      <c r="A36" s="389"/>
      <c r="B36" s="1122" t="s">
        <v>28</v>
      </c>
      <c r="C36" s="392" t="s">
        <v>28</v>
      </c>
      <c r="D36" s="393"/>
    </row>
    <row r="37" spans="1:7" x14ac:dyDescent="0.2">
      <c r="A37" s="389" t="s">
        <v>72</v>
      </c>
      <c r="B37" s="1122"/>
      <c r="C37" s="392"/>
      <c r="D37" s="393"/>
    </row>
    <row r="38" spans="1:7" x14ac:dyDescent="0.2">
      <c r="A38" s="389" t="s">
        <v>251</v>
      </c>
      <c r="B38" s="1122">
        <v>56614962</v>
      </c>
      <c r="C38" s="392">
        <f>+balance_detalle!N40</f>
        <v>56541119.000000015</v>
      </c>
      <c r="D38" s="393">
        <f>C38-B38</f>
        <v>-73842.999999985099</v>
      </c>
    </row>
    <row r="39" spans="1:7" x14ac:dyDescent="0.2">
      <c r="A39" s="807" t="s">
        <v>9836</v>
      </c>
      <c r="B39" s="1122">
        <v>95968399</v>
      </c>
      <c r="C39" s="392">
        <f>balance_detalle!N41</f>
        <v>95968399</v>
      </c>
      <c r="D39" s="393"/>
    </row>
    <row r="40" spans="1:7" x14ac:dyDescent="0.2">
      <c r="A40" s="389" t="s">
        <v>73</v>
      </c>
      <c r="B40" s="394">
        <f>SUM(B35+B38+B39)</f>
        <v>218240086</v>
      </c>
      <c r="C40" s="394">
        <f>SUM(C35+C38+C39)</f>
        <v>206151691.2229265</v>
      </c>
      <c r="D40" s="395">
        <f>SUM(D35+D38)</f>
        <v>-12088394.777073503</v>
      </c>
    </row>
    <row r="41" spans="1:7" x14ac:dyDescent="0.2">
      <c r="A41" s="389"/>
      <c r="B41" s="392"/>
      <c r="C41" s="392"/>
      <c r="D41" s="393"/>
    </row>
    <row r="42" spans="1:7" x14ac:dyDescent="0.2">
      <c r="A42" s="389" t="s">
        <v>74</v>
      </c>
      <c r="B42" s="392"/>
      <c r="C42" s="392"/>
      <c r="D42" s="393"/>
    </row>
    <row r="43" spans="1:7" x14ac:dyDescent="0.2">
      <c r="A43" s="389" t="s">
        <v>75</v>
      </c>
      <c r="B43" s="1122">
        <v>13036741</v>
      </c>
      <c r="C43" s="392">
        <f>+balance_detalle!N45</f>
        <v>13036741</v>
      </c>
      <c r="D43" s="393">
        <f>C43-B43</f>
        <v>0</v>
      </c>
    </row>
    <row r="44" spans="1:7" x14ac:dyDescent="0.2">
      <c r="A44" s="807" t="s">
        <v>10359</v>
      </c>
      <c r="B44" s="1122">
        <v>4548715</v>
      </c>
      <c r="C44" s="1122">
        <v>4548715</v>
      </c>
      <c r="D44" s="393">
        <f>C44-B44</f>
        <v>0</v>
      </c>
    </row>
    <row r="45" spans="1:7" x14ac:dyDescent="0.2">
      <c r="A45" s="389" t="s">
        <v>76</v>
      </c>
      <c r="B45" s="1122">
        <f>18522868-6501528.58</f>
        <v>12021339.42</v>
      </c>
      <c r="C45" s="392">
        <f>+balance_detalle!N47</f>
        <v>53054029.310599998</v>
      </c>
      <c r="D45" s="393">
        <f>C45-B45</f>
        <v>41032689.890599996</v>
      </c>
      <c r="G45" s="1443"/>
    </row>
    <row r="46" spans="1:7" x14ac:dyDescent="0.2">
      <c r="A46" s="389" t="s">
        <v>77</v>
      </c>
      <c r="B46" s="1122">
        <f>[5]Hoja1!$O$62</f>
        <v>41032689.890599996</v>
      </c>
      <c r="C46" s="392">
        <f>+balance_detalle!N48</f>
        <v>39684177.320419796</v>
      </c>
      <c r="D46" s="393">
        <f>C46-B46</f>
        <v>-1348512.5701802</v>
      </c>
    </row>
    <row r="47" spans="1:7" x14ac:dyDescent="0.2">
      <c r="A47" s="389" t="s">
        <v>211</v>
      </c>
      <c r="B47" s="1122">
        <f>-264805</f>
        <v>-264805</v>
      </c>
      <c r="C47" s="392">
        <f>+balance_detalle!N49</f>
        <v>-264805</v>
      </c>
      <c r="D47" s="396">
        <f>C47-B47</f>
        <v>0</v>
      </c>
    </row>
    <row r="48" spans="1:7" x14ac:dyDescent="0.2">
      <c r="A48" s="389"/>
      <c r="B48" s="397"/>
      <c r="C48" s="397"/>
      <c r="D48" s="396"/>
    </row>
    <row r="49" spans="1:4" x14ac:dyDescent="0.2">
      <c r="A49" s="389" t="s">
        <v>78</v>
      </c>
      <c r="B49" s="398">
        <f>SUM(B43:B48)</f>
        <v>70374680.310599998</v>
      </c>
      <c r="C49" s="398">
        <f>SUM(C43:C48)</f>
        <v>110058857.6310198</v>
      </c>
      <c r="D49" s="399">
        <f>SUM(D43:D47)</f>
        <v>39684177.320419796</v>
      </c>
    </row>
    <row r="50" spans="1:4" x14ac:dyDescent="0.2">
      <c r="A50" s="389"/>
      <c r="B50" s="397"/>
      <c r="C50" s="397"/>
      <c r="D50" s="396"/>
    </row>
    <row r="51" spans="1:4" x14ac:dyDescent="0.2">
      <c r="A51" s="389"/>
      <c r="B51" s="400"/>
      <c r="C51" s="400"/>
      <c r="D51" s="401"/>
    </row>
    <row r="52" spans="1:4" ht="13.5" thickBot="1" x14ac:dyDescent="0.25">
      <c r="A52" s="402" t="s">
        <v>79</v>
      </c>
      <c r="B52" s="403">
        <f>B40+B49</f>
        <v>288614766.31059998</v>
      </c>
      <c r="C52" s="403">
        <f>C40+C49</f>
        <v>316210548.85394633</v>
      </c>
      <c r="D52" s="404">
        <f>SUM(D40+D49)</f>
        <v>27595782.543346293</v>
      </c>
    </row>
    <row r="53" spans="1:4" ht="13.5" thickTop="1" x14ac:dyDescent="0.2">
      <c r="A53" s="405"/>
      <c r="B53" s="406"/>
      <c r="C53" s="406"/>
      <c r="D53" s="406"/>
    </row>
    <row r="54" spans="1:4" x14ac:dyDescent="0.2">
      <c r="A54" s="405"/>
      <c r="B54" s="406"/>
      <c r="C54" s="406">
        <f>C52-C25</f>
        <v>0.26428890228271484</v>
      </c>
      <c r="D54" s="406"/>
    </row>
    <row r="55" spans="1:4" x14ac:dyDescent="0.2">
      <c r="A55" s="405"/>
      <c r="B55" s="406"/>
      <c r="C55" s="406"/>
      <c r="D55" s="406"/>
    </row>
    <row r="56" spans="1:4" x14ac:dyDescent="0.2">
      <c r="A56" s="405"/>
      <c r="B56" s="406"/>
      <c r="C56" s="406"/>
      <c r="D56" s="406"/>
    </row>
    <row r="57" spans="1:4" x14ac:dyDescent="0.2">
      <c r="A57" s="405"/>
      <c r="B57" s="406"/>
      <c r="C57" s="406"/>
      <c r="D57" s="406"/>
    </row>
    <row r="58" spans="1:4" x14ac:dyDescent="0.2">
      <c r="A58" s="1784" t="s">
        <v>471</v>
      </c>
      <c r="B58" s="1784"/>
      <c r="C58" s="1784"/>
      <c r="D58" s="1784"/>
    </row>
    <row r="59" spans="1:4" x14ac:dyDescent="0.2">
      <c r="A59" s="405"/>
      <c r="B59" s="406"/>
      <c r="C59" s="406"/>
      <c r="D59" s="406"/>
    </row>
    <row r="60" spans="1:4" hidden="1" x14ac:dyDescent="0.2">
      <c r="A60" s="405"/>
      <c r="B60" s="406"/>
      <c r="C60" s="406"/>
      <c r="D60" s="406"/>
    </row>
    <row r="61" spans="1:4" s="407" customFormat="1" hidden="1" x14ac:dyDescent="0.2">
      <c r="A61" s="147"/>
      <c r="B61" s="298"/>
      <c r="C61" s="298"/>
      <c r="D61" s="298"/>
    </row>
  </sheetData>
  <mergeCells count="3">
    <mergeCell ref="A1:D1"/>
    <mergeCell ref="A3:D3"/>
    <mergeCell ref="A58:D58"/>
  </mergeCells>
  <phoneticPr fontId="0" type="noConversion"/>
  <printOptions verticalCentered="1"/>
  <pageMargins left="0.98425196850393704" right="0.39370078740157483" top="0.59055118110236227" bottom="1" header="0.51181102362204722" footer="0.51181102362204722"/>
  <pageSetup scale="90" firstPageNumber="7" orientation="portrait" useFirstPageNumber="1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D88"/>
  <sheetViews>
    <sheetView zoomScale="110" zoomScaleNormal="110" workbookViewId="0">
      <pane xSplit="4" ySplit="24" topLeftCell="E55" activePane="bottomRight" state="frozen"/>
      <selection pane="topRight" activeCell="E1" sqref="E1"/>
      <selection pane="bottomLeft" activeCell="A25" sqref="A25"/>
      <selection pane="bottomRight" activeCell="F54" sqref="F54"/>
    </sheetView>
  </sheetViews>
  <sheetFormatPr baseColWidth="10" defaultRowHeight="15" x14ac:dyDescent="0.25"/>
  <cols>
    <col min="1" max="1" width="36.42578125" style="781" customWidth="1"/>
    <col min="2" max="2" width="15.28515625" style="778" customWidth="1"/>
    <col min="3" max="3" width="9.5703125" style="778" bestFit="1" customWidth="1"/>
    <col min="4" max="4" width="12.5703125" style="778" bestFit="1" customWidth="1"/>
    <col min="5" max="5" width="13.5703125" style="779" bestFit="1" customWidth="1"/>
    <col min="6" max="6" width="13.85546875" style="779" bestFit="1" customWidth="1"/>
    <col min="7" max="12" width="13.5703125" style="779" bestFit="1" customWidth="1"/>
    <col min="13" max="13" width="18.42578125" style="779" bestFit="1" customWidth="1"/>
    <col min="14" max="14" width="14.28515625" style="779" bestFit="1" customWidth="1"/>
    <col min="15" max="15" width="18.42578125" style="779" bestFit="1" customWidth="1"/>
    <col min="16" max="16" width="16.7109375" style="779" bestFit="1" customWidth="1"/>
    <col min="17" max="30" width="11.42578125" style="780"/>
    <col min="31" max="16384" width="11.42578125" style="781"/>
  </cols>
  <sheetData>
    <row r="1" spans="1:30" ht="21.75" thickBot="1" x14ac:dyDescent="0.4">
      <c r="A1" s="740" t="s">
        <v>9798</v>
      </c>
      <c r="B1" s="741"/>
    </row>
    <row r="2" spans="1:30" ht="22.5" thickTop="1" thickBot="1" x14ac:dyDescent="0.4">
      <c r="A2" s="740" t="s">
        <v>9799</v>
      </c>
      <c r="B2" s="741"/>
    </row>
    <row r="3" spans="1:30" ht="15.75" thickTop="1" x14ac:dyDescent="0.25"/>
    <row r="4" spans="1:30" s="783" customFormat="1" ht="12" hidden="1" x14ac:dyDescent="0.2">
      <c r="A4" s="743"/>
      <c r="B4" s="744" t="s">
        <v>9800</v>
      </c>
      <c r="C4" s="744" t="s">
        <v>9801</v>
      </c>
      <c r="D4" s="744" t="s">
        <v>9802</v>
      </c>
      <c r="E4" s="744" t="s">
        <v>303</v>
      </c>
      <c r="F4" s="744" t="s">
        <v>304</v>
      </c>
      <c r="G4" s="744" t="s">
        <v>305</v>
      </c>
      <c r="H4" s="744" t="s">
        <v>306</v>
      </c>
      <c r="I4" s="744" t="s">
        <v>307</v>
      </c>
      <c r="J4" s="744" t="s">
        <v>308</v>
      </c>
      <c r="K4" s="744" t="s">
        <v>309</v>
      </c>
      <c r="L4" s="744" t="s">
        <v>310</v>
      </c>
      <c r="M4" s="744" t="s">
        <v>311</v>
      </c>
      <c r="N4" s="744" t="s">
        <v>312</v>
      </c>
      <c r="O4" s="744" t="s">
        <v>313</v>
      </c>
      <c r="P4" s="744" t="s">
        <v>314</v>
      </c>
      <c r="Q4" s="782"/>
      <c r="R4" s="782"/>
      <c r="S4" s="782"/>
      <c r="T4" s="782"/>
      <c r="U4" s="782"/>
      <c r="V4" s="782"/>
      <c r="W4" s="782"/>
      <c r="X4" s="782"/>
      <c r="Y4" s="782"/>
      <c r="Z4" s="782"/>
      <c r="AA4" s="782"/>
      <c r="AB4" s="782"/>
      <c r="AC4" s="782"/>
      <c r="AD4" s="782"/>
    </row>
    <row r="5" spans="1:30" s="785" customFormat="1" ht="12" hidden="1" x14ac:dyDescent="0.2">
      <c r="A5" s="747" t="s">
        <v>9803</v>
      </c>
      <c r="B5" s="748"/>
      <c r="C5" s="748"/>
      <c r="D5" s="748"/>
      <c r="E5" s="749"/>
      <c r="F5" s="749"/>
      <c r="G5" s="748"/>
      <c r="H5" s="748"/>
      <c r="I5" s="748"/>
      <c r="J5" s="748"/>
      <c r="K5" s="748"/>
      <c r="L5" s="748"/>
      <c r="M5" s="748"/>
      <c r="N5" s="748"/>
      <c r="O5" s="748"/>
      <c r="P5" s="748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</row>
    <row r="6" spans="1:30" s="785" customFormat="1" ht="12" hidden="1" x14ac:dyDescent="0.2">
      <c r="A6" s="752" t="s">
        <v>9804</v>
      </c>
      <c r="B6" s="748">
        <v>18842413</v>
      </c>
      <c r="C6" s="748"/>
      <c r="D6" s="748"/>
      <c r="E6" s="748"/>
      <c r="F6" s="748">
        <f>210492+21112</f>
        <v>231604</v>
      </c>
      <c r="G6" s="748">
        <f>209311+20994</f>
        <v>230305</v>
      </c>
      <c r="H6" s="748">
        <f>208123+20874</f>
        <v>228997</v>
      </c>
      <c r="I6" s="748">
        <f>206928+20755</f>
        <v>227683</v>
      </c>
      <c r="J6" s="748">
        <f>205725+20634</f>
        <v>226359</v>
      </c>
      <c r="K6" s="748">
        <f>204515+20513</f>
        <v>225028</v>
      </c>
      <c r="L6" s="748">
        <f>203297+20390</f>
        <v>223687</v>
      </c>
      <c r="M6" s="748">
        <f>202072+20267</f>
        <v>222339</v>
      </c>
      <c r="N6" s="748">
        <f>200838+20144</f>
        <v>220982</v>
      </c>
      <c r="O6" s="748">
        <f>199597+20019</f>
        <v>219616</v>
      </c>
      <c r="P6" s="748">
        <f>198348+19894</f>
        <v>218242</v>
      </c>
      <c r="Q6" s="786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</row>
    <row r="7" spans="1:30" s="785" customFormat="1" ht="12" hidden="1" x14ac:dyDescent="0.2">
      <c r="A7" s="752" t="s">
        <v>4524</v>
      </c>
      <c r="B7" s="748">
        <v>17032995</v>
      </c>
      <c r="C7" s="748"/>
      <c r="D7" s="748"/>
      <c r="E7" s="748"/>
      <c r="F7" s="748">
        <f>290090+6305</f>
        <v>296395</v>
      </c>
      <c r="G7" s="748">
        <f>288463+6270</f>
        <v>294733</v>
      </c>
      <c r="H7" s="748">
        <f>286826+6234</f>
        <v>293060</v>
      </c>
      <c r="I7" s="748">
        <f>285179+6198</f>
        <v>291377</v>
      </c>
      <c r="J7" s="748">
        <f>283521+6162</f>
        <v>289683</v>
      </c>
      <c r="K7" s="748">
        <f>281853+6126</f>
        <v>287979</v>
      </c>
      <c r="L7" s="748">
        <f>280175+6089</f>
        <v>286264</v>
      </c>
      <c r="M7" s="748">
        <f>278486+6053</f>
        <v>284539</v>
      </c>
      <c r="N7" s="748">
        <f>276786+6016</f>
        <v>282802</v>
      </c>
      <c r="O7" s="748">
        <f>275076+5979</f>
        <v>281055</v>
      </c>
      <c r="P7" s="748">
        <f>273355+5941</f>
        <v>279296</v>
      </c>
      <c r="Q7" s="786"/>
      <c r="R7" s="784"/>
      <c r="S7" s="784"/>
      <c r="T7" s="784"/>
      <c r="U7" s="784"/>
      <c r="V7" s="784"/>
      <c r="W7" s="784"/>
      <c r="X7" s="784"/>
      <c r="Y7" s="784"/>
      <c r="Z7" s="784"/>
      <c r="AA7" s="784"/>
      <c r="AB7" s="784"/>
      <c r="AC7" s="784"/>
      <c r="AD7" s="784"/>
    </row>
    <row r="8" spans="1:30" s="785" customFormat="1" ht="12" hidden="1" x14ac:dyDescent="0.2">
      <c r="A8" s="752" t="s">
        <v>9805</v>
      </c>
      <c r="B8" s="748">
        <v>6788830</v>
      </c>
      <c r="C8" s="748"/>
      <c r="D8" s="748"/>
      <c r="E8" s="748"/>
      <c r="F8" s="748">
        <f>96094+3821</f>
        <v>99915</v>
      </c>
      <c r="G8" s="748">
        <f>95555+3800</f>
        <v>99355</v>
      </c>
      <c r="H8" s="748">
        <f>95013+3778</f>
        <v>98791</v>
      </c>
      <c r="I8" s="748">
        <f>94467+3756</f>
        <v>98223</v>
      </c>
      <c r="J8" s="748">
        <f>93918+3735</f>
        <v>97653</v>
      </c>
      <c r="K8" s="748">
        <f>93365+3713</f>
        <v>97078</v>
      </c>
      <c r="L8" s="748">
        <f>92809+3691</f>
        <v>96500</v>
      </c>
      <c r="M8" s="748">
        <f>92250+3668</f>
        <v>95918</v>
      </c>
      <c r="N8" s="748">
        <f>91687+3646</f>
        <v>95333</v>
      </c>
      <c r="O8" s="748">
        <f>91120+3623</f>
        <v>94743</v>
      </c>
      <c r="P8" s="748">
        <f>90550+3601</f>
        <v>94151</v>
      </c>
      <c r="Q8" s="786"/>
      <c r="R8" s="784"/>
      <c r="S8" s="784"/>
      <c r="T8" s="784"/>
      <c r="U8" s="784"/>
      <c r="V8" s="784"/>
      <c r="W8" s="784"/>
      <c r="X8" s="784"/>
      <c r="Y8" s="784"/>
      <c r="Z8" s="784"/>
      <c r="AA8" s="784"/>
      <c r="AB8" s="784"/>
      <c r="AC8" s="784"/>
      <c r="AD8" s="784"/>
    </row>
    <row r="9" spans="1:30" s="758" customFormat="1" ht="12.75" hidden="1" thickBot="1" x14ac:dyDescent="0.25">
      <c r="A9" s="754"/>
      <c r="B9" s="755">
        <f>SUM(B6:B8)</f>
        <v>42664238</v>
      </c>
      <c r="C9" s="755"/>
      <c r="D9" s="755"/>
      <c r="E9" s="755"/>
      <c r="F9" s="755">
        <f t="shared" ref="F9:P9" si="0">SUM(F6:F8)</f>
        <v>627914</v>
      </c>
      <c r="G9" s="755">
        <f t="shared" si="0"/>
        <v>624393</v>
      </c>
      <c r="H9" s="755">
        <f t="shared" si="0"/>
        <v>620848</v>
      </c>
      <c r="I9" s="755">
        <f t="shared" si="0"/>
        <v>617283</v>
      </c>
      <c r="J9" s="755">
        <f t="shared" si="0"/>
        <v>613695</v>
      </c>
      <c r="K9" s="755">
        <f t="shared" si="0"/>
        <v>610085</v>
      </c>
      <c r="L9" s="755">
        <f t="shared" si="0"/>
        <v>606451</v>
      </c>
      <c r="M9" s="755">
        <f t="shared" si="0"/>
        <v>602796</v>
      </c>
      <c r="N9" s="755">
        <f t="shared" si="0"/>
        <v>599117</v>
      </c>
      <c r="O9" s="755">
        <f t="shared" si="0"/>
        <v>595414</v>
      </c>
      <c r="P9" s="755">
        <f t="shared" si="0"/>
        <v>591689</v>
      </c>
      <c r="Q9" s="756"/>
      <c r="R9" s="757"/>
      <c r="S9" s="757"/>
      <c r="T9" s="757"/>
      <c r="U9" s="757"/>
      <c r="V9" s="757"/>
      <c r="W9" s="757"/>
      <c r="X9" s="757"/>
      <c r="Y9" s="757"/>
      <c r="Z9" s="757"/>
      <c r="AA9" s="757"/>
      <c r="AB9" s="757"/>
      <c r="AC9" s="757"/>
      <c r="AD9" s="757"/>
    </row>
    <row r="10" spans="1:30" s="785" customFormat="1" ht="12" hidden="1" x14ac:dyDescent="0.2">
      <c r="A10" s="752"/>
      <c r="B10" s="748"/>
      <c r="C10" s="748"/>
      <c r="D10" s="748"/>
      <c r="E10" s="748"/>
      <c r="F10" s="748"/>
      <c r="G10" s="748"/>
      <c r="H10" s="748"/>
      <c r="I10" s="748"/>
      <c r="J10" s="748"/>
      <c r="K10" s="748"/>
      <c r="L10" s="748"/>
      <c r="M10" s="748"/>
      <c r="N10" s="748"/>
      <c r="O10" s="748"/>
      <c r="P10" s="748"/>
      <c r="Q10" s="786"/>
      <c r="R10" s="784"/>
      <c r="S10" s="784"/>
      <c r="T10" s="784"/>
      <c r="U10" s="784"/>
      <c r="V10" s="784"/>
      <c r="W10" s="784"/>
      <c r="X10" s="784"/>
      <c r="Y10" s="784"/>
      <c r="Z10" s="784"/>
      <c r="AA10" s="784"/>
      <c r="AB10" s="784"/>
      <c r="AC10" s="784"/>
      <c r="AD10" s="784"/>
    </row>
    <row r="11" spans="1:30" s="785" customFormat="1" ht="12" hidden="1" x14ac:dyDescent="0.2">
      <c r="A11" s="747" t="s">
        <v>9806</v>
      </c>
      <c r="B11" s="748"/>
      <c r="C11" s="748"/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84"/>
      <c r="R11" s="784"/>
      <c r="S11" s="784"/>
      <c r="T11" s="784"/>
      <c r="U11" s="784"/>
      <c r="V11" s="784"/>
      <c r="W11" s="784"/>
      <c r="X11" s="784"/>
      <c r="Y11" s="784"/>
      <c r="Z11" s="784"/>
      <c r="AA11" s="784"/>
      <c r="AB11" s="784"/>
      <c r="AC11" s="784"/>
      <c r="AD11" s="784"/>
    </row>
    <row r="12" spans="1:30" s="785" customFormat="1" ht="12" hidden="1" x14ac:dyDescent="0.2">
      <c r="A12" s="752" t="s">
        <v>9804</v>
      </c>
      <c r="B12" s="748"/>
      <c r="C12" s="748"/>
      <c r="D12" s="748"/>
      <c r="E12" s="748"/>
      <c r="F12" s="748">
        <v>187859</v>
      </c>
      <c r="G12" s="748">
        <v>189039</v>
      </c>
      <c r="H12" s="748">
        <v>190227</v>
      </c>
      <c r="I12" s="748">
        <v>191422</v>
      </c>
      <c r="J12" s="748">
        <v>192625</v>
      </c>
      <c r="K12" s="748">
        <v>193836</v>
      </c>
      <c r="L12" s="748">
        <v>195053</v>
      </c>
      <c r="M12" s="748">
        <v>196279</v>
      </c>
      <c r="N12" s="748">
        <v>197512</v>
      </c>
      <c r="O12" s="748">
        <v>198753</v>
      </c>
      <c r="P12" s="748">
        <v>200002</v>
      </c>
      <c r="Q12" s="786"/>
      <c r="R12" s="784"/>
      <c r="S12" s="784"/>
      <c r="T12" s="784"/>
      <c r="U12" s="784"/>
      <c r="V12" s="784"/>
      <c r="W12" s="784"/>
      <c r="X12" s="784"/>
      <c r="Y12" s="784"/>
      <c r="Z12" s="784"/>
      <c r="AA12" s="784"/>
      <c r="AB12" s="784"/>
      <c r="AC12" s="784"/>
      <c r="AD12" s="784"/>
    </row>
    <row r="13" spans="1:30" s="785" customFormat="1" ht="12" hidden="1" x14ac:dyDescent="0.2">
      <c r="A13" s="752" t="s">
        <v>4524</v>
      </c>
      <c r="B13" s="748"/>
      <c r="C13" s="748"/>
      <c r="D13" s="748"/>
      <c r="E13" s="748"/>
      <c r="F13" s="748">
        <v>258899</v>
      </c>
      <c r="G13" s="748">
        <v>260525</v>
      </c>
      <c r="H13" s="748">
        <v>262162</v>
      </c>
      <c r="I13" s="748">
        <v>263809</v>
      </c>
      <c r="J13" s="748">
        <v>265467</v>
      </c>
      <c r="K13" s="748">
        <v>267135</v>
      </c>
      <c r="L13" s="748">
        <v>268814</v>
      </c>
      <c r="M13" s="748">
        <v>270503</v>
      </c>
      <c r="N13" s="748">
        <v>272202</v>
      </c>
      <c r="O13" s="748">
        <v>273913</v>
      </c>
      <c r="P13" s="748">
        <v>275634</v>
      </c>
      <c r="Q13" s="786"/>
      <c r="R13" s="784"/>
      <c r="S13" s="784"/>
      <c r="T13" s="784"/>
      <c r="U13" s="784"/>
      <c r="V13" s="784"/>
      <c r="W13" s="784"/>
      <c r="X13" s="784"/>
      <c r="Y13" s="784"/>
      <c r="Z13" s="784"/>
      <c r="AA13" s="784"/>
      <c r="AB13" s="784"/>
      <c r="AC13" s="784"/>
      <c r="AD13" s="784"/>
    </row>
    <row r="14" spans="1:30" s="785" customFormat="1" ht="12" hidden="1" x14ac:dyDescent="0.2">
      <c r="A14" s="752" t="s">
        <v>9805</v>
      </c>
      <c r="B14" s="748"/>
      <c r="C14" s="748"/>
      <c r="D14" s="748"/>
      <c r="E14" s="748"/>
      <c r="F14" s="748">
        <v>85762</v>
      </c>
      <c r="G14" s="748">
        <v>86300</v>
      </c>
      <c r="H14" s="748">
        <v>86843</v>
      </c>
      <c r="I14" s="748">
        <v>87388</v>
      </c>
      <c r="J14" s="748">
        <v>87937</v>
      </c>
      <c r="K14" s="748">
        <v>88490</v>
      </c>
      <c r="L14" s="748">
        <v>89046</v>
      </c>
      <c r="M14" s="748">
        <v>89606</v>
      </c>
      <c r="N14" s="748">
        <v>90169</v>
      </c>
      <c r="O14" s="748">
        <v>90735</v>
      </c>
      <c r="P14" s="748">
        <v>91305</v>
      </c>
      <c r="Q14" s="786"/>
      <c r="R14" s="784"/>
      <c r="S14" s="784"/>
      <c r="T14" s="784"/>
      <c r="U14" s="784"/>
      <c r="V14" s="784"/>
      <c r="W14" s="784"/>
      <c r="X14" s="784"/>
      <c r="Y14" s="784"/>
      <c r="Z14" s="784"/>
      <c r="AA14" s="784"/>
      <c r="AB14" s="784"/>
      <c r="AC14" s="784"/>
      <c r="AD14" s="784"/>
    </row>
    <row r="15" spans="1:30" s="785" customFormat="1" ht="12" hidden="1" x14ac:dyDescent="0.2">
      <c r="A15" s="752"/>
      <c r="B15" s="748"/>
      <c r="C15" s="748"/>
      <c r="D15" s="748"/>
      <c r="E15" s="748"/>
      <c r="F15" s="748"/>
      <c r="G15" s="748"/>
      <c r="H15" s="748"/>
      <c r="I15" s="748"/>
      <c r="J15" s="748"/>
      <c r="K15" s="748"/>
      <c r="L15" s="748"/>
      <c r="M15" s="748"/>
      <c r="N15" s="748"/>
      <c r="O15" s="748"/>
      <c r="P15" s="748"/>
      <c r="Q15" s="784"/>
      <c r="R15" s="784"/>
      <c r="S15" s="784"/>
      <c r="T15" s="784"/>
      <c r="U15" s="784"/>
      <c r="V15" s="784"/>
      <c r="W15" s="784"/>
      <c r="X15" s="784"/>
      <c r="Y15" s="784"/>
      <c r="Z15" s="784"/>
      <c r="AA15" s="784"/>
      <c r="AB15" s="784"/>
      <c r="AC15" s="784"/>
      <c r="AD15" s="784"/>
    </row>
    <row r="16" spans="1:30" s="785" customFormat="1" ht="12" hidden="1" x14ac:dyDescent="0.2">
      <c r="A16" s="752"/>
      <c r="B16" s="749"/>
      <c r="C16" s="749"/>
      <c r="D16" s="749"/>
      <c r="E16" s="748"/>
      <c r="F16" s="748"/>
      <c r="G16" s="748"/>
      <c r="H16" s="748"/>
      <c r="I16" s="748"/>
      <c r="J16" s="748"/>
      <c r="K16" s="748"/>
      <c r="L16" s="748"/>
      <c r="M16" s="748"/>
      <c r="N16" s="748"/>
      <c r="O16" s="748"/>
      <c r="P16" s="748"/>
      <c r="Q16" s="784"/>
      <c r="R16" s="784"/>
      <c r="S16" s="784"/>
      <c r="T16" s="784"/>
      <c r="U16" s="784"/>
      <c r="V16" s="784"/>
      <c r="W16" s="784"/>
      <c r="X16" s="784"/>
      <c r="Y16" s="784"/>
      <c r="Z16" s="784"/>
      <c r="AA16" s="784"/>
      <c r="AB16" s="784"/>
      <c r="AC16" s="784"/>
      <c r="AD16" s="784"/>
    </row>
    <row r="17" spans="1:30" s="785" customFormat="1" ht="12" hidden="1" x14ac:dyDescent="0.2">
      <c r="A17" s="747" t="s">
        <v>433</v>
      </c>
      <c r="B17" s="748"/>
      <c r="C17" s="748"/>
      <c r="D17" s="748"/>
      <c r="E17" s="748"/>
      <c r="F17" s="748"/>
      <c r="G17" s="748"/>
      <c r="H17" s="748"/>
      <c r="I17" s="748"/>
      <c r="J17" s="748"/>
      <c r="K17" s="748"/>
      <c r="L17" s="748"/>
      <c r="M17" s="748"/>
      <c r="N17" s="748"/>
      <c r="O17" s="748"/>
      <c r="P17" s="748"/>
      <c r="Q17" s="784"/>
      <c r="R17" s="784"/>
      <c r="S17" s="784"/>
      <c r="T17" s="784"/>
      <c r="U17" s="784"/>
      <c r="V17" s="784"/>
      <c r="W17" s="784"/>
      <c r="X17" s="784"/>
      <c r="Y17" s="784"/>
      <c r="Z17" s="784"/>
      <c r="AA17" s="784"/>
      <c r="AB17" s="784"/>
      <c r="AC17" s="784"/>
      <c r="AD17" s="784"/>
    </row>
    <row r="18" spans="1:30" s="785" customFormat="1" ht="12" hidden="1" x14ac:dyDescent="0.2">
      <c r="A18" s="752" t="s">
        <v>9804</v>
      </c>
      <c r="B18" s="748">
        <v>49236555</v>
      </c>
      <c r="C18" s="748">
        <f>+B18-D18</f>
        <v>44629102</v>
      </c>
      <c r="D18" s="748">
        <v>4607453</v>
      </c>
      <c r="E18" s="748"/>
      <c r="F18" s="748">
        <f t="shared" ref="F18:P20" si="1">+F6+F12</f>
        <v>419463</v>
      </c>
      <c r="G18" s="748">
        <f t="shared" si="1"/>
        <v>419344</v>
      </c>
      <c r="H18" s="748">
        <f t="shared" si="1"/>
        <v>419224</v>
      </c>
      <c r="I18" s="748">
        <f t="shared" si="1"/>
        <v>419105</v>
      </c>
      <c r="J18" s="748">
        <f t="shared" si="1"/>
        <v>418984</v>
      </c>
      <c r="K18" s="748">
        <f t="shared" si="1"/>
        <v>418864</v>
      </c>
      <c r="L18" s="748">
        <f t="shared" si="1"/>
        <v>418740</v>
      </c>
      <c r="M18" s="748">
        <f t="shared" si="1"/>
        <v>418618</v>
      </c>
      <c r="N18" s="748">
        <f t="shared" si="1"/>
        <v>418494</v>
      </c>
      <c r="O18" s="748">
        <f t="shared" si="1"/>
        <v>418369</v>
      </c>
      <c r="P18" s="748">
        <f t="shared" si="1"/>
        <v>418244</v>
      </c>
      <c r="Q18" s="784"/>
      <c r="R18" s="784"/>
      <c r="S18" s="784"/>
      <c r="T18" s="784"/>
      <c r="U18" s="784"/>
      <c r="V18" s="784"/>
      <c r="W18" s="784"/>
      <c r="X18" s="784"/>
      <c r="Y18" s="784"/>
      <c r="Z18" s="784"/>
      <c r="AA18" s="784"/>
      <c r="AB18" s="784"/>
      <c r="AC18" s="784"/>
      <c r="AD18" s="784"/>
    </row>
    <row r="19" spans="1:30" s="785" customFormat="1" ht="12" hidden="1" x14ac:dyDescent="0.2">
      <c r="A19" s="752" t="s">
        <v>4524</v>
      </c>
      <c r="B19" s="748">
        <v>66306995</v>
      </c>
      <c r="C19" s="748">
        <f>+B19-D19</f>
        <v>60200751</v>
      </c>
      <c r="D19" s="748">
        <v>6106244</v>
      </c>
      <c r="E19" s="748"/>
      <c r="F19" s="748">
        <f t="shared" si="1"/>
        <v>555294</v>
      </c>
      <c r="G19" s="748">
        <f t="shared" si="1"/>
        <v>555258</v>
      </c>
      <c r="H19" s="748">
        <f t="shared" si="1"/>
        <v>555222</v>
      </c>
      <c r="I19" s="748">
        <f t="shared" si="1"/>
        <v>555186</v>
      </c>
      <c r="J19" s="748">
        <f t="shared" si="1"/>
        <v>555150</v>
      </c>
      <c r="K19" s="748">
        <f t="shared" si="1"/>
        <v>555114</v>
      </c>
      <c r="L19" s="748">
        <f t="shared" si="1"/>
        <v>555078</v>
      </c>
      <c r="M19" s="748">
        <f t="shared" si="1"/>
        <v>555042</v>
      </c>
      <c r="N19" s="748">
        <f t="shared" si="1"/>
        <v>555004</v>
      </c>
      <c r="O19" s="748">
        <f t="shared" si="1"/>
        <v>554968</v>
      </c>
      <c r="P19" s="748">
        <f t="shared" si="1"/>
        <v>554930</v>
      </c>
      <c r="Q19" s="784"/>
      <c r="R19" s="784"/>
      <c r="S19" s="784"/>
      <c r="T19" s="784"/>
      <c r="U19" s="784"/>
      <c r="V19" s="784"/>
      <c r="W19" s="784"/>
      <c r="X19" s="784"/>
      <c r="Y19" s="784"/>
      <c r="Z19" s="784"/>
      <c r="AA19" s="784"/>
      <c r="AB19" s="784"/>
      <c r="AC19" s="784"/>
      <c r="AD19" s="784"/>
    </row>
    <row r="20" spans="1:30" s="785" customFormat="1" ht="12" hidden="1" x14ac:dyDescent="0.2">
      <c r="A20" s="752" t="s">
        <v>9805</v>
      </c>
      <c r="B20" s="748">
        <v>22082289</v>
      </c>
      <c r="C20" s="748">
        <f>+B20-D20</f>
        <v>20041047</v>
      </c>
      <c r="D20" s="748">
        <v>2041242</v>
      </c>
      <c r="E20" s="748"/>
      <c r="F20" s="748">
        <f t="shared" si="1"/>
        <v>185677</v>
      </c>
      <c r="G20" s="748">
        <f t="shared" si="1"/>
        <v>185655</v>
      </c>
      <c r="H20" s="748">
        <f t="shared" si="1"/>
        <v>185634</v>
      </c>
      <c r="I20" s="748">
        <f t="shared" si="1"/>
        <v>185611</v>
      </c>
      <c r="J20" s="748">
        <f t="shared" si="1"/>
        <v>185590</v>
      </c>
      <c r="K20" s="748">
        <f t="shared" si="1"/>
        <v>185568</v>
      </c>
      <c r="L20" s="748">
        <f t="shared" si="1"/>
        <v>185546</v>
      </c>
      <c r="M20" s="748">
        <f t="shared" si="1"/>
        <v>185524</v>
      </c>
      <c r="N20" s="748">
        <f t="shared" si="1"/>
        <v>185502</v>
      </c>
      <c r="O20" s="748">
        <f t="shared" si="1"/>
        <v>185478</v>
      </c>
      <c r="P20" s="748">
        <f t="shared" si="1"/>
        <v>185456</v>
      </c>
      <c r="Q20" s="784"/>
      <c r="R20" s="784"/>
      <c r="S20" s="784"/>
      <c r="T20" s="784"/>
      <c r="U20" s="784"/>
      <c r="V20" s="784"/>
      <c r="W20" s="784"/>
      <c r="X20" s="784"/>
      <c r="Y20" s="784"/>
      <c r="Z20" s="784"/>
      <c r="AA20" s="784"/>
      <c r="AB20" s="784"/>
      <c r="AC20" s="784"/>
      <c r="AD20" s="784"/>
    </row>
    <row r="21" spans="1:30" s="791" customFormat="1" ht="12.75" hidden="1" thickBot="1" x14ac:dyDescent="0.25">
      <c r="A21" s="787"/>
      <c r="B21" s="788">
        <f>SUM(B18:B20)</f>
        <v>137625839</v>
      </c>
      <c r="C21" s="788">
        <f>SUM(C18:C20)</f>
        <v>124870900</v>
      </c>
      <c r="D21" s="788">
        <f t="shared" ref="D21" si="2">SUM(D18:D20)</f>
        <v>12754939</v>
      </c>
      <c r="E21" s="789"/>
      <c r="F21" s="788">
        <f t="shared" ref="F21:P21" si="3">SUM(F18:F20)</f>
        <v>1160434</v>
      </c>
      <c r="G21" s="788">
        <f t="shared" si="3"/>
        <v>1160257</v>
      </c>
      <c r="H21" s="788">
        <f t="shared" si="3"/>
        <v>1160080</v>
      </c>
      <c r="I21" s="788">
        <f t="shared" si="3"/>
        <v>1159902</v>
      </c>
      <c r="J21" s="788">
        <f t="shared" si="3"/>
        <v>1159724</v>
      </c>
      <c r="K21" s="788">
        <f t="shared" si="3"/>
        <v>1159546</v>
      </c>
      <c r="L21" s="788">
        <f t="shared" si="3"/>
        <v>1159364</v>
      </c>
      <c r="M21" s="788">
        <f t="shared" si="3"/>
        <v>1159184</v>
      </c>
      <c r="N21" s="788">
        <f t="shared" si="3"/>
        <v>1159000</v>
      </c>
      <c r="O21" s="788">
        <f t="shared" si="3"/>
        <v>1158815</v>
      </c>
      <c r="P21" s="788">
        <f t="shared" si="3"/>
        <v>1158630</v>
      </c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</row>
    <row r="22" spans="1:30" x14ac:dyDescent="0.25">
      <c r="A22" s="759"/>
      <c r="B22" s="760"/>
      <c r="C22" s="760"/>
      <c r="D22" s="760"/>
      <c r="E22" s="760"/>
      <c r="F22" s="760"/>
      <c r="G22" s="760"/>
      <c r="H22" s="760"/>
      <c r="I22" s="760"/>
      <c r="J22" s="760"/>
      <c r="K22" s="760"/>
      <c r="L22" s="760"/>
      <c r="M22" s="760"/>
      <c r="N22" s="760"/>
      <c r="O22" s="760"/>
      <c r="P22" s="760"/>
    </row>
    <row r="23" spans="1:30" s="793" customFormat="1" ht="18.75" x14ac:dyDescent="0.3">
      <c r="A23" s="761" t="s">
        <v>9807</v>
      </c>
      <c r="B23" s="762" t="s">
        <v>9800</v>
      </c>
      <c r="C23" s="762" t="s">
        <v>9808</v>
      </c>
      <c r="D23" s="762" t="s">
        <v>9809</v>
      </c>
      <c r="E23" s="762" t="s">
        <v>303</v>
      </c>
      <c r="F23" s="762" t="s">
        <v>304</v>
      </c>
      <c r="G23" s="762" t="s">
        <v>305</v>
      </c>
      <c r="H23" s="762" t="s">
        <v>306</v>
      </c>
      <c r="I23" s="762" t="s">
        <v>307</v>
      </c>
      <c r="J23" s="762" t="s">
        <v>308</v>
      </c>
      <c r="K23" s="762" t="s">
        <v>309</v>
      </c>
      <c r="L23" s="762" t="s">
        <v>310</v>
      </c>
      <c r="M23" s="762" t="s">
        <v>311</v>
      </c>
      <c r="N23" s="762" t="s">
        <v>312</v>
      </c>
      <c r="O23" s="762" t="s">
        <v>313</v>
      </c>
      <c r="P23" s="762" t="s">
        <v>314</v>
      </c>
      <c r="Q23" s="792"/>
      <c r="R23" s="792"/>
      <c r="S23" s="792"/>
      <c r="T23" s="792"/>
      <c r="U23" s="792"/>
      <c r="V23" s="792"/>
      <c r="W23" s="792"/>
      <c r="X23" s="792"/>
      <c r="Y23" s="792"/>
      <c r="Z23" s="792"/>
      <c r="AA23" s="792"/>
      <c r="AB23" s="792"/>
      <c r="AC23" s="792"/>
      <c r="AD23" s="792"/>
    </row>
    <row r="24" spans="1:30" s="795" customFormat="1" ht="22.5" x14ac:dyDescent="0.35">
      <c r="A24" s="763"/>
      <c r="B24" s="764"/>
      <c r="C24" s="765" t="s">
        <v>9810</v>
      </c>
      <c r="D24" s="765" t="s">
        <v>9810</v>
      </c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94"/>
      <c r="R24" s="794"/>
      <c r="S24" s="794"/>
      <c r="T24" s="794"/>
      <c r="U24" s="794"/>
      <c r="V24" s="794"/>
      <c r="W24" s="794"/>
      <c r="X24" s="794"/>
      <c r="Y24" s="794"/>
      <c r="Z24" s="794"/>
      <c r="AA24" s="794"/>
      <c r="AB24" s="794"/>
      <c r="AC24" s="794"/>
      <c r="AD24" s="794"/>
    </row>
    <row r="25" spans="1:30" ht="19.5" x14ac:dyDescent="0.3">
      <c r="A25" s="767" t="s">
        <v>9811</v>
      </c>
      <c r="B25" s="760"/>
      <c r="C25" s="760"/>
      <c r="D25" s="760"/>
      <c r="E25" s="760"/>
      <c r="F25" s="760"/>
      <c r="G25" s="760"/>
      <c r="H25" s="760"/>
      <c r="I25" s="760"/>
      <c r="J25" s="760"/>
      <c r="K25" s="760"/>
      <c r="L25" s="760"/>
      <c r="M25" s="760"/>
      <c r="N25" s="760"/>
      <c r="O25" s="760"/>
      <c r="P25" s="760"/>
    </row>
    <row r="26" spans="1:30" x14ac:dyDescent="0.25">
      <c r="A26" s="759"/>
      <c r="B26" s="760"/>
      <c r="C26" s="760"/>
      <c r="D26" s="760"/>
      <c r="E26" s="760"/>
      <c r="F26" s="760"/>
      <c r="G26" s="760"/>
      <c r="H26" s="760"/>
      <c r="I26" s="760"/>
      <c r="J26" s="760"/>
      <c r="K26" s="760"/>
      <c r="L26" s="760"/>
      <c r="M26" s="760"/>
      <c r="N26" s="760"/>
      <c r="O26" s="760"/>
      <c r="P26" s="760"/>
    </row>
    <row r="27" spans="1:30" x14ac:dyDescent="0.25">
      <c r="A27" s="759" t="s">
        <v>9804</v>
      </c>
      <c r="B27" s="760">
        <v>13261709</v>
      </c>
      <c r="C27" s="760"/>
      <c r="D27" s="760"/>
      <c r="E27" s="760">
        <v>13261709</v>
      </c>
      <c r="F27" s="760">
        <v>13065145</v>
      </c>
      <c r="G27" s="760">
        <v>12870100</v>
      </c>
      <c r="H27" s="760">
        <v>12676583</v>
      </c>
      <c r="I27" s="760">
        <v>12484604</v>
      </c>
      <c r="J27" s="760">
        <v>12294173</v>
      </c>
      <c r="K27" s="760">
        <v>12105299</v>
      </c>
      <c r="L27" s="760">
        <v>11917993</v>
      </c>
      <c r="M27" s="760">
        <v>11732264</v>
      </c>
      <c r="N27" s="760">
        <v>11548122</v>
      </c>
      <c r="O27" s="760">
        <v>11365577</v>
      </c>
      <c r="P27" s="760">
        <v>11184638</v>
      </c>
    </row>
    <row r="28" spans="1:30" x14ac:dyDescent="0.25">
      <c r="A28" s="759" t="s">
        <v>4524</v>
      </c>
      <c r="B28" s="760">
        <v>16974691</v>
      </c>
      <c r="C28" s="760"/>
      <c r="D28" s="760"/>
      <c r="E28" s="760">
        <v>16974691</v>
      </c>
      <c r="F28" s="760">
        <v>16723138</v>
      </c>
      <c r="G28" s="760">
        <v>16473528</v>
      </c>
      <c r="H28" s="760">
        <v>16225876</v>
      </c>
      <c r="I28" s="760">
        <v>15980191</v>
      </c>
      <c r="J28" s="760">
        <v>15736488</v>
      </c>
      <c r="K28" s="760">
        <v>15494777</v>
      </c>
      <c r="L28" s="760">
        <v>15255072</v>
      </c>
      <c r="M28" s="760">
        <v>15017386</v>
      </c>
      <c r="N28" s="760">
        <v>14781731</v>
      </c>
      <c r="O28" s="760">
        <v>14548119</v>
      </c>
      <c r="P28" s="760">
        <v>14316564</v>
      </c>
    </row>
    <row r="29" spans="1:30" x14ac:dyDescent="0.25">
      <c r="A29" s="759" t="s">
        <v>9805</v>
      </c>
      <c r="B29" s="760">
        <v>5721169</v>
      </c>
      <c r="C29" s="760"/>
      <c r="D29" s="760"/>
      <c r="E29" s="760">
        <v>5721169</v>
      </c>
      <c r="F29" s="760">
        <v>5636370</v>
      </c>
      <c r="G29" s="760">
        <v>5552227</v>
      </c>
      <c r="H29" s="760">
        <v>5468742</v>
      </c>
      <c r="I29" s="760">
        <v>5385922</v>
      </c>
      <c r="J29" s="760">
        <v>5303769</v>
      </c>
      <c r="K29" s="760">
        <v>5222288</v>
      </c>
      <c r="L29" s="760">
        <v>5141484</v>
      </c>
      <c r="M29" s="760">
        <v>5061359</v>
      </c>
      <c r="N29" s="760">
        <v>4981919</v>
      </c>
      <c r="O29" s="760">
        <v>4903168</v>
      </c>
      <c r="P29" s="760">
        <v>4825110</v>
      </c>
    </row>
    <row r="30" spans="1:30" s="800" customFormat="1" ht="18" thickBot="1" x14ac:dyDescent="0.35">
      <c r="A30" s="796" t="s">
        <v>9803</v>
      </c>
      <c r="B30" s="797">
        <f>SUM(B27:B29)</f>
        <v>35957569</v>
      </c>
      <c r="C30" s="798"/>
      <c r="D30" s="798">
        <f>B30-P30</f>
        <v>5631257</v>
      </c>
      <c r="E30" s="797">
        <f>SUM(E27:E29)</f>
        <v>35957569</v>
      </c>
      <c r="F30" s="797">
        <f t="shared" ref="F30:P30" si="4">SUM(F27:F29)</f>
        <v>35424653</v>
      </c>
      <c r="G30" s="797">
        <f t="shared" si="4"/>
        <v>34895855</v>
      </c>
      <c r="H30" s="797">
        <f t="shared" si="4"/>
        <v>34371201</v>
      </c>
      <c r="I30" s="797">
        <f t="shared" si="4"/>
        <v>33850717</v>
      </c>
      <c r="J30" s="797">
        <f t="shared" si="4"/>
        <v>33334430</v>
      </c>
      <c r="K30" s="797">
        <f t="shared" si="4"/>
        <v>32822364</v>
      </c>
      <c r="L30" s="797">
        <f t="shared" si="4"/>
        <v>32314549</v>
      </c>
      <c r="M30" s="797">
        <f t="shared" si="4"/>
        <v>31811009</v>
      </c>
      <c r="N30" s="797">
        <f t="shared" si="4"/>
        <v>31311772</v>
      </c>
      <c r="O30" s="797">
        <f t="shared" si="4"/>
        <v>30816864</v>
      </c>
      <c r="P30" s="797">
        <f t="shared" si="4"/>
        <v>30326312</v>
      </c>
      <c r="Q30" s="799"/>
      <c r="R30" s="799"/>
      <c r="S30" s="799"/>
      <c r="T30" s="799"/>
      <c r="U30" s="799"/>
      <c r="V30" s="799"/>
      <c r="W30" s="799"/>
      <c r="X30" s="799"/>
      <c r="Y30" s="799"/>
      <c r="Z30" s="799"/>
      <c r="AA30" s="799"/>
      <c r="AB30" s="799"/>
      <c r="AC30" s="799"/>
      <c r="AD30" s="799"/>
    </row>
    <row r="31" spans="1:30" x14ac:dyDescent="0.25">
      <c r="A31" s="759"/>
      <c r="B31" s="760"/>
      <c r="C31" s="760"/>
      <c r="D31" s="760"/>
      <c r="E31" s="760"/>
      <c r="F31" s="760"/>
      <c r="G31" s="760"/>
      <c r="H31" s="760"/>
      <c r="I31" s="760"/>
      <c r="J31" s="760"/>
      <c r="K31" s="760"/>
      <c r="L31" s="760"/>
      <c r="M31" s="760"/>
      <c r="N31" s="760"/>
      <c r="O31" s="760"/>
      <c r="P31" s="760"/>
    </row>
    <row r="32" spans="1:30" x14ac:dyDescent="0.25">
      <c r="A32" s="759"/>
      <c r="B32" s="760"/>
      <c r="C32" s="760"/>
      <c r="D32" s="760"/>
      <c r="E32" s="760"/>
      <c r="F32" s="760"/>
      <c r="G32" s="760"/>
      <c r="H32" s="760"/>
      <c r="I32" s="760"/>
      <c r="J32" s="760"/>
      <c r="K32" s="760"/>
      <c r="L32" s="760"/>
      <c r="M32" s="760"/>
      <c r="N32" s="760"/>
      <c r="O32" s="760"/>
      <c r="P32" s="760"/>
    </row>
    <row r="33" spans="1:30" x14ac:dyDescent="0.25">
      <c r="A33" s="759"/>
      <c r="B33" s="760"/>
      <c r="C33" s="760"/>
      <c r="D33" s="760"/>
      <c r="E33" s="760"/>
      <c r="F33" s="760"/>
      <c r="G33" s="760"/>
      <c r="H33" s="760"/>
      <c r="I33" s="760"/>
      <c r="J33" s="760"/>
      <c r="K33" s="760"/>
      <c r="L33" s="760"/>
      <c r="M33" s="760"/>
      <c r="N33" s="760"/>
      <c r="O33" s="760"/>
      <c r="P33" s="760"/>
    </row>
    <row r="34" spans="1:30" x14ac:dyDescent="0.25">
      <c r="A34" s="759" t="s">
        <v>9828</v>
      </c>
      <c r="B34" s="760">
        <f>B52</f>
        <v>4082834</v>
      </c>
      <c r="C34" s="760">
        <f>B34/12</f>
        <v>340236.16666666669</v>
      </c>
      <c r="D34" s="760"/>
      <c r="E34" s="760">
        <f>B34-C34</f>
        <v>3742597.8333333335</v>
      </c>
      <c r="F34" s="760">
        <f>+E34-C34</f>
        <v>3402361.666666667</v>
      </c>
      <c r="G34" s="760">
        <f t="shared" ref="G34:P34" si="5">+F34-$C$34</f>
        <v>3062125.5000000005</v>
      </c>
      <c r="H34" s="760">
        <f t="shared" si="5"/>
        <v>2721889.333333334</v>
      </c>
      <c r="I34" s="760">
        <f t="shared" si="5"/>
        <v>2381653.1666666674</v>
      </c>
      <c r="J34" s="760">
        <f t="shared" si="5"/>
        <v>2041417.0000000007</v>
      </c>
      <c r="K34" s="760">
        <f t="shared" si="5"/>
        <v>1701180.833333334</v>
      </c>
      <c r="L34" s="760">
        <f t="shared" si="5"/>
        <v>1360944.6666666672</v>
      </c>
      <c r="M34" s="760">
        <f t="shared" si="5"/>
        <v>1020708.5000000005</v>
      </c>
      <c r="N34" s="760">
        <f t="shared" si="5"/>
        <v>680472.33333333372</v>
      </c>
      <c r="O34" s="760">
        <f t="shared" si="5"/>
        <v>340236.16666666704</v>
      </c>
      <c r="P34" s="760">
        <f t="shared" si="5"/>
        <v>0</v>
      </c>
    </row>
    <row r="35" spans="1:30" x14ac:dyDescent="0.25">
      <c r="A35" s="759"/>
      <c r="B35" s="760"/>
      <c r="C35" s="760"/>
      <c r="D35" s="760"/>
      <c r="E35" s="760"/>
      <c r="F35" s="760"/>
      <c r="G35" s="760"/>
      <c r="H35" s="760"/>
      <c r="I35" s="760"/>
      <c r="J35" s="760"/>
      <c r="K35" s="760"/>
      <c r="L35" s="760"/>
      <c r="M35" s="760"/>
      <c r="N35" s="760"/>
      <c r="O35" s="760"/>
      <c r="P35" s="760"/>
    </row>
    <row r="36" spans="1:30" s="800" customFormat="1" ht="18" thickBot="1" x14ac:dyDescent="0.35">
      <c r="A36" s="796" t="s">
        <v>9829</v>
      </c>
      <c r="B36" s="797">
        <f>+B30+B34</f>
        <v>40040403</v>
      </c>
      <c r="C36" s="798"/>
      <c r="D36" s="798"/>
      <c r="E36" s="797">
        <f>+E30+E34</f>
        <v>39700166.833333336</v>
      </c>
      <c r="F36" s="797">
        <f t="shared" ref="F36:P36" si="6">+F30+F34</f>
        <v>38827014.666666664</v>
      </c>
      <c r="G36" s="797">
        <f t="shared" si="6"/>
        <v>37957980.5</v>
      </c>
      <c r="H36" s="797">
        <f t="shared" si="6"/>
        <v>37093090.333333336</v>
      </c>
      <c r="I36" s="797">
        <f t="shared" si="6"/>
        <v>36232370.166666664</v>
      </c>
      <c r="J36" s="797">
        <f t="shared" si="6"/>
        <v>35375847</v>
      </c>
      <c r="K36" s="797">
        <f t="shared" si="6"/>
        <v>34523544.833333336</v>
      </c>
      <c r="L36" s="797">
        <f t="shared" si="6"/>
        <v>33675493.666666664</v>
      </c>
      <c r="M36" s="797">
        <f t="shared" si="6"/>
        <v>32831717.5</v>
      </c>
      <c r="N36" s="797">
        <f t="shared" si="6"/>
        <v>31992244.333333332</v>
      </c>
      <c r="O36" s="797">
        <f t="shared" si="6"/>
        <v>31157100.166666668</v>
      </c>
      <c r="P36" s="797">
        <f t="shared" si="6"/>
        <v>30326312</v>
      </c>
      <c r="Q36" s="799"/>
      <c r="R36" s="799"/>
      <c r="S36" s="799"/>
      <c r="T36" s="799"/>
      <c r="U36" s="799"/>
      <c r="V36" s="799"/>
      <c r="W36" s="799"/>
      <c r="X36" s="799"/>
      <c r="Y36" s="799"/>
      <c r="Z36" s="799"/>
      <c r="AA36" s="799"/>
      <c r="AB36" s="799"/>
      <c r="AC36" s="799"/>
      <c r="AD36" s="799"/>
    </row>
    <row r="37" spans="1:30" x14ac:dyDescent="0.25">
      <c r="A37" s="759"/>
      <c r="B37" s="760"/>
      <c r="C37" s="760"/>
      <c r="D37" s="760"/>
      <c r="E37" s="760"/>
      <c r="F37" s="760"/>
      <c r="G37" s="760"/>
      <c r="H37" s="760"/>
      <c r="I37" s="760"/>
      <c r="J37" s="760"/>
      <c r="K37" s="760"/>
      <c r="L37" s="760"/>
      <c r="M37" s="760"/>
      <c r="N37" s="760"/>
      <c r="O37" s="760"/>
      <c r="P37" s="760"/>
    </row>
    <row r="38" spans="1:30" x14ac:dyDescent="0.25">
      <c r="A38" s="759"/>
      <c r="B38" s="760"/>
      <c r="C38" s="760"/>
      <c r="D38" s="760"/>
      <c r="E38" s="760"/>
      <c r="F38" s="760"/>
      <c r="G38" s="760"/>
      <c r="H38" s="760"/>
      <c r="I38" s="760"/>
      <c r="J38" s="760"/>
      <c r="K38" s="760"/>
      <c r="L38" s="760"/>
      <c r="M38" s="760"/>
      <c r="N38" s="760"/>
      <c r="O38" s="760"/>
      <c r="P38" s="760"/>
    </row>
    <row r="39" spans="1:30" x14ac:dyDescent="0.25">
      <c r="A39" s="759" t="s">
        <v>9804</v>
      </c>
      <c r="B39" s="760">
        <v>4987600</v>
      </c>
      <c r="C39" s="760"/>
      <c r="D39" s="760"/>
      <c r="E39" s="760">
        <v>4987600</v>
      </c>
      <c r="F39" s="760">
        <v>4571332</v>
      </c>
      <c r="G39" s="760">
        <v>4155202</v>
      </c>
      <c r="H39" s="760">
        <v>3739211</v>
      </c>
      <c r="I39" s="760">
        <v>3323360</v>
      </c>
      <c r="J39" s="760">
        <v>2907651</v>
      </c>
      <c r="K39" s="760">
        <v>2492083</v>
      </c>
      <c r="L39" s="760">
        <v>2076658</v>
      </c>
      <c r="M39" s="760">
        <v>1661377</v>
      </c>
      <c r="N39" s="760">
        <v>1246241</v>
      </c>
      <c r="O39" s="760">
        <v>831251</v>
      </c>
      <c r="P39" s="760">
        <v>416406</v>
      </c>
    </row>
    <row r="40" spans="1:30" x14ac:dyDescent="0.25">
      <c r="A40" s="759" t="s">
        <v>4524</v>
      </c>
      <c r="B40" s="760">
        <v>6649797</v>
      </c>
      <c r="C40" s="760"/>
      <c r="D40" s="760"/>
      <c r="E40" s="760">
        <v>6649797</v>
      </c>
      <c r="F40" s="760">
        <v>6095458</v>
      </c>
      <c r="G40" s="760">
        <v>5541159</v>
      </c>
      <c r="H40" s="760">
        <v>4986903</v>
      </c>
      <c r="I40" s="760">
        <v>4432688</v>
      </c>
      <c r="J40" s="760">
        <v>3878516</v>
      </c>
      <c r="K40" s="760">
        <v>3324386</v>
      </c>
      <c r="L40" s="760">
        <v>2770298</v>
      </c>
      <c r="M40" s="760">
        <v>2216254</v>
      </c>
      <c r="N40" s="760">
        <v>1662253</v>
      </c>
      <c r="O40" s="760">
        <v>1108295</v>
      </c>
      <c r="P40" s="760">
        <v>554381</v>
      </c>
    </row>
    <row r="41" spans="1:30" x14ac:dyDescent="0.25">
      <c r="A41" s="759" t="s">
        <v>9805</v>
      </c>
      <c r="B41" s="760">
        <v>2219805</v>
      </c>
      <c r="C41" s="760"/>
      <c r="D41" s="760"/>
      <c r="E41" s="760">
        <v>2219805</v>
      </c>
      <c r="F41" s="760">
        <v>2034706</v>
      </c>
      <c r="G41" s="760">
        <v>1849633</v>
      </c>
      <c r="H41" s="760">
        <v>1664584</v>
      </c>
      <c r="I41" s="760">
        <v>1479562</v>
      </c>
      <c r="J41" s="760">
        <v>1294564</v>
      </c>
      <c r="K41" s="760">
        <v>1109593</v>
      </c>
      <c r="L41" s="760">
        <v>924648</v>
      </c>
      <c r="M41" s="760">
        <v>739728</v>
      </c>
      <c r="N41" s="760">
        <v>554834</v>
      </c>
      <c r="O41" s="760">
        <v>369966</v>
      </c>
      <c r="P41" s="760">
        <v>185124</v>
      </c>
    </row>
    <row r="42" spans="1:30" s="800" customFormat="1" ht="18" thickBot="1" x14ac:dyDescent="0.35">
      <c r="A42" s="796" t="s">
        <v>9812</v>
      </c>
      <c r="B42" s="797">
        <f>SUM(B39:B41)</f>
        <v>13857202</v>
      </c>
      <c r="C42" s="798"/>
      <c r="D42" s="798">
        <f>E42+(E42-F42)</f>
        <v>15012908</v>
      </c>
      <c r="E42" s="797">
        <f t="shared" ref="E42:P42" si="7">SUM(E39:E41)</f>
        <v>13857202</v>
      </c>
      <c r="F42" s="797">
        <f t="shared" si="7"/>
        <v>12701496</v>
      </c>
      <c r="G42" s="797">
        <f t="shared" si="7"/>
        <v>11545994</v>
      </c>
      <c r="H42" s="797">
        <f t="shared" si="7"/>
        <v>10390698</v>
      </c>
      <c r="I42" s="797">
        <f t="shared" si="7"/>
        <v>9235610</v>
      </c>
      <c r="J42" s="797">
        <f t="shared" si="7"/>
        <v>8080731</v>
      </c>
      <c r="K42" s="797">
        <f t="shared" si="7"/>
        <v>6926062</v>
      </c>
      <c r="L42" s="797">
        <f t="shared" si="7"/>
        <v>5771604</v>
      </c>
      <c r="M42" s="797">
        <f t="shared" si="7"/>
        <v>4617359</v>
      </c>
      <c r="N42" s="797">
        <f t="shared" si="7"/>
        <v>3463328</v>
      </c>
      <c r="O42" s="797">
        <f t="shared" si="7"/>
        <v>2309512</v>
      </c>
      <c r="P42" s="797">
        <f t="shared" si="7"/>
        <v>1155911</v>
      </c>
      <c r="Q42" s="799"/>
      <c r="R42" s="799"/>
      <c r="S42" s="799"/>
      <c r="T42" s="799"/>
      <c r="U42" s="799"/>
      <c r="V42" s="799"/>
      <c r="W42" s="799"/>
      <c r="X42" s="799"/>
      <c r="Y42" s="799"/>
      <c r="Z42" s="799"/>
      <c r="AA42" s="799"/>
      <c r="AB42" s="799"/>
      <c r="AC42" s="799"/>
      <c r="AD42" s="799"/>
    </row>
    <row r="43" spans="1:30" ht="15.75" thickBot="1" x14ac:dyDescent="0.3">
      <c r="A43" s="1264">
        <f>B42-B43</f>
        <v>7953219</v>
      </c>
      <c r="B43" s="768">
        <v>5903983</v>
      </c>
      <c r="C43" s="760"/>
      <c r="D43" s="760">
        <v>6277983</v>
      </c>
      <c r="E43" s="760">
        <f>E42-D42</f>
        <v>-1155706</v>
      </c>
      <c r="F43" s="760">
        <f t="shared" ref="F43:P43" si="8">F42-E42</f>
        <v>-1155706</v>
      </c>
      <c r="G43" s="760">
        <f t="shared" si="8"/>
        <v>-1155502</v>
      </c>
      <c r="H43" s="760">
        <f t="shared" si="8"/>
        <v>-1155296</v>
      </c>
      <c r="I43" s="760">
        <f t="shared" si="8"/>
        <v>-1155088</v>
      </c>
      <c r="J43" s="760">
        <f t="shared" si="8"/>
        <v>-1154879</v>
      </c>
      <c r="K43" s="760">
        <f t="shared" si="8"/>
        <v>-1154669</v>
      </c>
      <c r="L43" s="760">
        <f t="shared" si="8"/>
        <v>-1154458</v>
      </c>
      <c r="M43" s="760">
        <f t="shared" si="8"/>
        <v>-1154245</v>
      </c>
      <c r="N43" s="760">
        <f t="shared" si="8"/>
        <v>-1154031</v>
      </c>
      <c r="O43" s="760">
        <f t="shared" si="8"/>
        <v>-1153816</v>
      </c>
      <c r="P43" s="760">
        <f t="shared" si="8"/>
        <v>-1153601</v>
      </c>
    </row>
    <row r="44" spans="1:30" x14ac:dyDescent="0.25">
      <c r="A44" s="1265">
        <f>A43/12</f>
        <v>662768.25</v>
      </c>
      <c r="B44" s="760">
        <f>D44/12</f>
        <v>727910.41666666663</v>
      </c>
      <c r="C44" s="760"/>
      <c r="D44" s="760">
        <f>D42-D43</f>
        <v>8734925</v>
      </c>
      <c r="E44" s="760"/>
      <c r="F44" s="760"/>
      <c r="G44" s="760"/>
      <c r="H44" s="760"/>
      <c r="I44" s="760"/>
      <c r="J44" s="760"/>
      <c r="K44" s="760"/>
      <c r="L44" s="760"/>
      <c r="M44" s="760"/>
      <c r="N44" s="760"/>
      <c r="O44" s="760"/>
      <c r="P44" s="760"/>
    </row>
    <row r="45" spans="1:30" x14ac:dyDescent="0.25">
      <c r="A45" s="759" t="s">
        <v>9804</v>
      </c>
      <c r="B45" s="760">
        <v>33035727</v>
      </c>
      <c r="C45" s="760"/>
      <c r="D45" s="760"/>
      <c r="E45" s="760">
        <v>33035727</v>
      </c>
      <c r="F45" s="760">
        <v>33035727</v>
      </c>
      <c r="G45" s="760">
        <v>33035727</v>
      </c>
      <c r="H45" s="760">
        <v>33035727</v>
      </c>
      <c r="I45" s="760">
        <v>33035727</v>
      </c>
      <c r="J45" s="760">
        <v>33035727</v>
      </c>
      <c r="K45" s="760">
        <v>33035727</v>
      </c>
      <c r="L45" s="760">
        <v>33035727</v>
      </c>
      <c r="M45" s="760">
        <v>33035727</v>
      </c>
      <c r="N45" s="760">
        <v>33035727</v>
      </c>
      <c r="O45" s="760">
        <v>33035727</v>
      </c>
      <c r="P45" s="760">
        <v>33035727</v>
      </c>
    </row>
    <row r="46" spans="1:30" x14ac:dyDescent="0.25">
      <c r="A46" s="759" t="s">
        <v>4524</v>
      </c>
      <c r="B46" s="760">
        <v>45741887</v>
      </c>
      <c r="C46" s="760"/>
      <c r="D46" s="760"/>
      <c r="E46" s="760">
        <v>45741887</v>
      </c>
      <c r="F46" s="760">
        <v>45741887</v>
      </c>
      <c r="G46" s="760">
        <v>45741887</v>
      </c>
      <c r="H46" s="760">
        <v>45741887</v>
      </c>
      <c r="I46" s="760">
        <v>45741887</v>
      </c>
      <c r="J46" s="760">
        <v>45741887</v>
      </c>
      <c r="K46" s="760">
        <v>45741887</v>
      </c>
      <c r="L46" s="760">
        <v>45741887</v>
      </c>
      <c r="M46" s="760">
        <v>45741887</v>
      </c>
      <c r="N46" s="760">
        <v>45741887</v>
      </c>
      <c r="O46" s="760">
        <v>45741887</v>
      </c>
      <c r="P46" s="760">
        <v>45741887</v>
      </c>
    </row>
    <row r="47" spans="1:30" x14ac:dyDescent="0.25">
      <c r="A47" s="759" t="s">
        <v>9805</v>
      </c>
      <c r="B47" s="760">
        <v>14663422</v>
      </c>
      <c r="C47" s="760"/>
      <c r="D47" s="760"/>
      <c r="E47" s="760">
        <v>14663422</v>
      </c>
      <c r="F47" s="760">
        <v>14663422</v>
      </c>
      <c r="G47" s="760">
        <v>14663422</v>
      </c>
      <c r="H47" s="760">
        <v>14663422</v>
      </c>
      <c r="I47" s="760">
        <v>14663422</v>
      </c>
      <c r="J47" s="760">
        <v>14663422</v>
      </c>
      <c r="K47" s="760">
        <v>14663422</v>
      </c>
      <c r="L47" s="760">
        <v>14663422</v>
      </c>
      <c r="M47" s="760">
        <v>14663422</v>
      </c>
      <c r="N47" s="760">
        <v>14663422</v>
      </c>
      <c r="O47" s="760">
        <v>14663422</v>
      </c>
      <c r="P47" s="760">
        <v>14663422</v>
      </c>
    </row>
    <row r="48" spans="1:30" s="800" customFormat="1" ht="18" thickBot="1" x14ac:dyDescent="0.35">
      <c r="A48" s="796" t="s">
        <v>9813</v>
      </c>
      <c r="B48" s="797">
        <v>93441036</v>
      </c>
      <c r="C48" s="798"/>
      <c r="D48" s="798"/>
      <c r="E48" s="797">
        <v>93441036</v>
      </c>
      <c r="F48" s="797">
        <v>93441036</v>
      </c>
      <c r="G48" s="797">
        <v>93441036</v>
      </c>
      <c r="H48" s="797">
        <v>93441036</v>
      </c>
      <c r="I48" s="797">
        <v>93441036</v>
      </c>
      <c r="J48" s="797">
        <v>93441036</v>
      </c>
      <c r="K48" s="797">
        <v>93441036</v>
      </c>
      <c r="L48" s="797">
        <v>93441036</v>
      </c>
      <c r="M48" s="797">
        <v>93441036</v>
      </c>
      <c r="N48" s="797">
        <v>93441036</v>
      </c>
      <c r="O48" s="797">
        <v>93441036</v>
      </c>
      <c r="P48" s="797">
        <v>93441036</v>
      </c>
      <c r="Q48" s="799"/>
      <c r="R48" s="799"/>
      <c r="S48" s="799"/>
      <c r="T48" s="799"/>
      <c r="U48" s="799"/>
      <c r="V48" s="799"/>
      <c r="W48" s="799"/>
      <c r="X48" s="799"/>
      <c r="Y48" s="799"/>
      <c r="Z48" s="799"/>
      <c r="AA48" s="799"/>
      <c r="AB48" s="799"/>
      <c r="AC48" s="799"/>
      <c r="AD48" s="799"/>
    </row>
    <row r="49" spans="1:30" x14ac:dyDescent="0.25">
      <c r="A49" s="759"/>
      <c r="B49" s="760"/>
      <c r="C49" s="760"/>
      <c r="D49" s="760"/>
      <c r="E49" s="760"/>
      <c r="F49" s="760"/>
      <c r="G49" s="760"/>
      <c r="H49" s="760"/>
      <c r="I49" s="760"/>
      <c r="J49" s="760"/>
      <c r="K49" s="760"/>
      <c r="L49" s="760"/>
      <c r="M49" s="760"/>
      <c r="N49" s="760"/>
      <c r="O49" s="760"/>
      <c r="P49" s="760"/>
    </row>
    <row r="50" spans="1:30" x14ac:dyDescent="0.25">
      <c r="A50" s="759"/>
      <c r="B50" s="760"/>
      <c r="C50" s="760"/>
      <c r="D50" s="760"/>
      <c r="E50" s="760"/>
      <c r="F50" s="760"/>
      <c r="G50" s="760"/>
      <c r="H50" s="760"/>
      <c r="I50" s="760"/>
      <c r="J50" s="760"/>
      <c r="K50" s="760"/>
      <c r="L50" s="760"/>
      <c r="M50" s="760"/>
      <c r="N50" s="760"/>
      <c r="O50" s="760"/>
      <c r="P50" s="760"/>
    </row>
    <row r="51" spans="1:30" x14ac:dyDescent="0.25">
      <c r="A51" s="759" t="s">
        <v>9830</v>
      </c>
      <c r="B51" s="760"/>
      <c r="C51" s="760"/>
      <c r="D51" s="760"/>
      <c r="E51" s="760">
        <f>3525965+'[10]ISR VALORES'!E$54</f>
        <v>3525965</v>
      </c>
      <c r="F51" s="760">
        <f>E51+'[10]ISR VALORES'!F$54</f>
        <v>4160121.5086749876</v>
      </c>
      <c r="G51" s="760">
        <f>F51+'[10]ISR VALORES'!G$54</f>
        <v>4866787.5693686809</v>
      </c>
      <c r="H51" s="760">
        <f>G51+'[10]ISR VALORES'!H$54</f>
        <v>5086295.3140286217</v>
      </c>
      <c r="I51" s="760">
        <f>H51+'[10]ISR VALORES'!I$54-3525965</f>
        <v>1734789.029121411</v>
      </c>
      <c r="J51" s="760">
        <f>I51+'[10]ISR VALORES'!J$54</f>
        <v>1940881.8707021861</v>
      </c>
      <c r="K51" s="760">
        <f>J51+'[10]ISR VALORES'!K$54</f>
        <v>2230084.0720805936</v>
      </c>
      <c r="L51" s="760">
        <f>K51+'[10]ISR VALORES'!L$54</f>
        <v>2582910.9025993641</v>
      </c>
      <c r="M51" s="760">
        <f>L51+'[10]ISR VALORES'!M$54</f>
        <v>3310484.523213617</v>
      </c>
      <c r="N51" s="760">
        <f>M51+'[10]ISR VALORES'!N$54</f>
        <v>3611210.9518845314</v>
      </c>
      <c r="O51" s="760">
        <f>N51+'[10]ISR VALORES'!O$54</f>
        <v>4088188.9201505575</v>
      </c>
      <c r="P51" s="760">
        <f>O51+'[10]ISR VALORES'!P$54</f>
        <v>4385438.6829241067</v>
      </c>
    </row>
    <row r="52" spans="1:30" x14ac:dyDescent="0.25">
      <c r="A52" s="759" t="s">
        <v>9831</v>
      </c>
      <c r="B52" s="1445">
        <v>4082834</v>
      </c>
      <c r="C52" s="760"/>
      <c r="D52" s="760"/>
      <c r="E52" s="760">
        <f>5041913</f>
        <v>5041913</v>
      </c>
      <c r="F52" s="760">
        <f>E52-2520956.44</f>
        <v>2520956.56</v>
      </c>
      <c r="G52" s="760">
        <f>F52-$B$59</f>
        <v>2180720.3933333335</v>
      </c>
      <c r="H52" s="760">
        <f>G52</f>
        <v>2180720.3933333335</v>
      </c>
      <c r="I52" s="760">
        <f t="shared" ref="I52:P52" si="9">H52</f>
        <v>2180720.3933333335</v>
      </c>
      <c r="J52" s="760">
        <f t="shared" si="9"/>
        <v>2180720.3933333335</v>
      </c>
      <c r="K52" s="760">
        <f t="shared" si="9"/>
        <v>2180720.3933333335</v>
      </c>
      <c r="L52" s="760">
        <v>0</v>
      </c>
      <c r="M52" s="760">
        <f t="shared" si="9"/>
        <v>0</v>
      </c>
      <c r="N52" s="760">
        <f t="shared" si="9"/>
        <v>0</v>
      </c>
      <c r="O52" s="760">
        <f t="shared" si="9"/>
        <v>0</v>
      </c>
      <c r="P52" s="760">
        <f t="shared" si="9"/>
        <v>0</v>
      </c>
    </row>
    <row r="53" spans="1:30" x14ac:dyDescent="0.25">
      <c r="A53" s="759" t="s">
        <v>9832</v>
      </c>
      <c r="B53" s="760">
        <v>18425586</v>
      </c>
      <c r="C53" s="760"/>
      <c r="D53" s="760"/>
      <c r="E53" s="760">
        <f>B53-$B$60</f>
        <v>18419432.416666668</v>
      </c>
      <c r="F53" s="760">
        <f>E53-$B$60</f>
        <v>18413278.833333336</v>
      </c>
      <c r="G53" s="760">
        <f t="shared" ref="G53:P53" si="10">F53-$B$60</f>
        <v>18407125.250000004</v>
      </c>
      <c r="H53" s="760">
        <f t="shared" si="10"/>
        <v>18400971.666666672</v>
      </c>
      <c r="I53" s="760">
        <f t="shared" si="10"/>
        <v>18394818.08333334</v>
      </c>
      <c r="J53" s="760">
        <f t="shared" si="10"/>
        <v>18388664.500000007</v>
      </c>
      <c r="K53" s="760">
        <f t="shared" si="10"/>
        <v>18382510.916666675</v>
      </c>
      <c r="L53" s="760">
        <f t="shared" si="10"/>
        <v>18376357.333333343</v>
      </c>
      <c r="M53" s="760">
        <f t="shared" si="10"/>
        <v>18370203.750000011</v>
      </c>
      <c r="N53" s="760">
        <f t="shared" si="10"/>
        <v>18364050.166666679</v>
      </c>
      <c r="O53" s="760">
        <f t="shared" si="10"/>
        <v>18357896.583333347</v>
      </c>
      <c r="P53" s="760">
        <f t="shared" si="10"/>
        <v>18351743.000000015</v>
      </c>
    </row>
    <row r="54" spans="1:30" x14ac:dyDescent="0.25">
      <c r="A54" s="759" t="s">
        <v>9833</v>
      </c>
      <c r="B54" s="760"/>
      <c r="C54" s="760"/>
      <c r="D54" s="760"/>
      <c r="E54" s="760">
        <f>D54+MovFondos!$B$113</f>
        <v>413135.23333333334</v>
      </c>
      <c r="F54" s="760">
        <f>E54+MovFondos!$B$113</f>
        <v>826270.46666666667</v>
      </c>
      <c r="G54" s="760">
        <f>F54+MovFondos!$B$113</f>
        <v>1239405.7</v>
      </c>
      <c r="H54" s="760">
        <f>G54+MovFondos!$B$113</f>
        <v>1652540.9333333333</v>
      </c>
      <c r="I54" s="760">
        <f>H54+MovFondos!$B$113</f>
        <v>2065676.1666666667</v>
      </c>
      <c r="J54" s="760">
        <f>I54+MovFondos!$B$113</f>
        <v>2478811.4</v>
      </c>
      <c r="K54" s="760">
        <f>J54+MovFondos!$B$113</f>
        <v>2891946.6333333333</v>
      </c>
      <c r="L54" s="760">
        <f>K54+MovFondos!$B$113</f>
        <v>3305081.8666666667</v>
      </c>
      <c r="M54" s="760">
        <f>L54+MovFondos!$B$113</f>
        <v>3718217.1</v>
      </c>
      <c r="N54" s="760">
        <f>M54+MovFondos!$B$113</f>
        <v>4131352.3333333335</v>
      </c>
      <c r="O54" s="760">
        <f>N54+MovFondos!$B$113</f>
        <v>4544487.5666666664</v>
      </c>
      <c r="P54" s="760">
        <v>0</v>
      </c>
      <c r="Q54" s="1259"/>
    </row>
    <row r="55" spans="1:30" s="800" customFormat="1" ht="18" thickBot="1" x14ac:dyDescent="0.35">
      <c r="A55" s="796" t="s">
        <v>9834</v>
      </c>
      <c r="B55" s="797">
        <f>SUM(B51:B54)</f>
        <v>22508420</v>
      </c>
      <c r="C55" s="798"/>
      <c r="D55" s="798"/>
      <c r="E55" s="797">
        <f>SUM(E51:E54)</f>
        <v>27400445.650000002</v>
      </c>
      <c r="F55" s="797">
        <f t="shared" ref="F55:P55" si="11">SUM(F51:F54)</f>
        <v>25920627.36867499</v>
      </c>
      <c r="G55" s="797">
        <f t="shared" si="11"/>
        <v>26694038.912702017</v>
      </c>
      <c r="H55" s="797">
        <f t="shared" si="11"/>
        <v>27320528.30736196</v>
      </c>
      <c r="I55" s="797">
        <f t="shared" si="11"/>
        <v>24376003.672454752</v>
      </c>
      <c r="J55" s="797">
        <f t="shared" si="11"/>
        <v>24989078.164035525</v>
      </c>
      <c r="K55" s="797">
        <f t="shared" si="11"/>
        <v>25685262.015413936</v>
      </c>
      <c r="L55" s="797">
        <f t="shared" si="11"/>
        <v>24264350.102599375</v>
      </c>
      <c r="M55" s="797">
        <f t="shared" si="11"/>
        <v>25398905.37321363</v>
      </c>
      <c r="N55" s="797">
        <f t="shared" si="11"/>
        <v>26106613.451884542</v>
      </c>
      <c r="O55" s="797">
        <f t="shared" si="11"/>
        <v>26990573.070150573</v>
      </c>
      <c r="P55" s="797">
        <f t="shared" si="11"/>
        <v>22737181.682924122</v>
      </c>
      <c r="Q55" s="799"/>
      <c r="R55" s="799"/>
      <c r="S55" s="799"/>
      <c r="T55" s="799"/>
      <c r="U55" s="799"/>
      <c r="V55" s="799"/>
      <c r="W55" s="799"/>
      <c r="X55" s="799"/>
      <c r="Y55" s="799"/>
      <c r="Z55" s="799"/>
      <c r="AA55" s="799"/>
      <c r="AB55" s="799"/>
      <c r="AC55" s="799"/>
      <c r="AD55" s="799"/>
    </row>
    <row r="56" spans="1:30" x14ac:dyDescent="0.25">
      <c r="A56" s="759"/>
      <c r="B56" s="760"/>
      <c r="C56" s="760"/>
      <c r="D56" s="760"/>
      <c r="E56" s="760"/>
      <c r="F56" s="760"/>
      <c r="G56" s="760"/>
      <c r="H56" s="760"/>
      <c r="I56" s="760"/>
      <c r="J56" s="760"/>
      <c r="K56" s="760"/>
      <c r="L56" s="760"/>
      <c r="M56" s="760"/>
      <c r="N56" s="760"/>
      <c r="O56" s="760"/>
      <c r="P56" s="760"/>
    </row>
    <row r="57" spans="1:30" x14ac:dyDescent="0.25">
      <c r="A57" s="759"/>
      <c r="B57" s="760"/>
      <c r="C57" s="760"/>
      <c r="D57" s="760"/>
      <c r="E57" s="760"/>
      <c r="F57" s="760"/>
      <c r="G57" s="760"/>
      <c r="H57" s="760"/>
      <c r="I57" s="760"/>
      <c r="J57" s="760"/>
      <c r="K57" s="760"/>
      <c r="L57" s="760"/>
      <c r="M57" s="760"/>
      <c r="N57" s="760"/>
      <c r="O57" s="760"/>
      <c r="P57" s="760"/>
    </row>
    <row r="58" spans="1:30" x14ac:dyDescent="0.25">
      <c r="A58" s="759"/>
      <c r="B58" s="760"/>
      <c r="C58" s="760"/>
      <c r="D58" s="760"/>
      <c r="E58" s="760">
        <f>E55-D55</f>
        <v>27400445.650000002</v>
      </c>
      <c r="F58" s="760">
        <f>F55-E55</f>
        <v>-1479818.2813250124</v>
      </c>
      <c r="G58" s="760">
        <f t="shared" ref="G58:J58" si="12">G55-F55</f>
        <v>773411.54402702674</v>
      </c>
      <c r="H58" s="760">
        <f t="shared" si="12"/>
        <v>626489.39465994388</v>
      </c>
      <c r="I58" s="760">
        <f t="shared" si="12"/>
        <v>-2944524.6349072084</v>
      </c>
      <c r="J58" s="760">
        <f t="shared" si="12"/>
        <v>613074.49158077314</v>
      </c>
      <c r="K58" s="760"/>
      <c r="L58" s="760"/>
      <c r="M58" s="760"/>
      <c r="N58" s="760"/>
      <c r="O58" s="760"/>
      <c r="P58" s="760"/>
    </row>
    <row r="59" spans="1:30" x14ac:dyDescent="0.25">
      <c r="A59" s="759" t="s">
        <v>10132</v>
      </c>
      <c r="B59" s="760">
        <f>B52/12</f>
        <v>340236.16666666669</v>
      </c>
      <c r="C59" s="760"/>
      <c r="D59" s="760"/>
      <c r="E59" s="760"/>
      <c r="F59" s="760"/>
      <c r="G59" s="760"/>
      <c r="H59" s="760"/>
      <c r="I59" s="760"/>
      <c r="J59" s="760"/>
      <c r="K59" s="760"/>
      <c r="L59" s="760"/>
      <c r="M59" s="760"/>
      <c r="N59" s="760"/>
      <c r="O59" s="760"/>
      <c r="P59" s="760"/>
    </row>
    <row r="60" spans="1:30" x14ac:dyDescent="0.25">
      <c r="A60" s="759" t="s">
        <v>10133</v>
      </c>
      <c r="B60" s="760">
        <f>73843/12</f>
        <v>6153.583333333333</v>
      </c>
      <c r="C60" s="760"/>
      <c r="D60" s="760"/>
      <c r="E60" s="760"/>
      <c r="F60" s="760"/>
      <c r="G60" s="760"/>
      <c r="H60" s="760"/>
      <c r="I60" s="760"/>
      <c r="J60" s="760"/>
      <c r="K60" s="760"/>
      <c r="L60" s="760"/>
      <c r="M60" s="760"/>
      <c r="N60" s="760"/>
      <c r="O60" s="760"/>
      <c r="P60" s="760"/>
    </row>
    <row r="61" spans="1:30" x14ac:dyDescent="0.25">
      <c r="A61" s="759"/>
      <c r="B61" s="760"/>
      <c r="C61" s="760"/>
      <c r="D61" s="760"/>
      <c r="E61" s="760"/>
      <c r="F61" s="760"/>
      <c r="G61" s="760"/>
      <c r="H61" s="760"/>
      <c r="I61" s="760"/>
      <c r="J61" s="760"/>
      <c r="K61" s="760"/>
      <c r="L61" s="760"/>
      <c r="M61" s="760"/>
      <c r="N61" s="760"/>
      <c r="O61" s="760"/>
      <c r="P61" s="760"/>
    </row>
    <row r="62" spans="1:30" x14ac:dyDescent="0.25">
      <c r="A62" s="759"/>
      <c r="B62" s="760"/>
      <c r="C62" s="760"/>
      <c r="D62" s="760"/>
      <c r="E62" s="760"/>
      <c r="F62" s="760"/>
      <c r="G62" s="760"/>
      <c r="H62" s="760"/>
      <c r="I62" s="760"/>
      <c r="J62" s="760"/>
      <c r="K62" s="760"/>
      <c r="L62" s="760"/>
      <c r="M62" s="760"/>
      <c r="N62" s="760"/>
      <c r="O62" s="760"/>
      <c r="P62" s="760"/>
    </row>
    <row r="63" spans="1:30" x14ac:dyDescent="0.25">
      <c r="A63" s="759"/>
      <c r="B63" s="760"/>
      <c r="C63" s="760"/>
      <c r="D63" s="760"/>
      <c r="E63" s="760"/>
      <c r="F63" s="760"/>
      <c r="G63" s="760"/>
      <c r="H63" s="760"/>
      <c r="I63" s="760"/>
      <c r="J63" s="760"/>
      <c r="K63" s="760"/>
      <c r="L63" s="760"/>
      <c r="M63" s="760"/>
      <c r="N63" s="760"/>
      <c r="O63" s="760"/>
      <c r="P63" s="760"/>
    </row>
    <row r="64" spans="1:30" x14ac:dyDescent="0.25">
      <c r="A64" s="759"/>
      <c r="B64" s="760"/>
      <c r="C64" s="760"/>
      <c r="D64" s="760"/>
      <c r="E64" s="760"/>
      <c r="F64" s="760"/>
      <c r="G64" s="760"/>
      <c r="H64" s="760"/>
      <c r="I64" s="760"/>
      <c r="J64" s="760"/>
      <c r="K64" s="760"/>
      <c r="L64" s="760"/>
      <c r="M64" s="760"/>
      <c r="N64" s="760"/>
      <c r="O64" s="760"/>
      <c r="P64" s="760"/>
    </row>
    <row r="65" spans="1:30" x14ac:dyDescent="0.25">
      <c r="A65" s="759"/>
      <c r="B65" s="760"/>
      <c r="C65" s="760"/>
      <c r="D65" s="760"/>
      <c r="E65" s="760"/>
      <c r="F65" s="760"/>
      <c r="G65" s="760"/>
      <c r="H65" s="760"/>
      <c r="I65" s="760"/>
      <c r="J65" s="760"/>
      <c r="K65" s="760"/>
      <c r="L65" s="760"/>
      <c r="M65" s="760"/>
      <c r="N65" s="760"/>
      <c r="O65" s="760"/>
      <c r="P65" s="760"/>
    </row>
    <row r="66" spans="1:30" x14ac:dyDescent="0.25">
      <c r="A66" s="759"/>
      <c r="B66" s="760"/>
      <c r="C66" s="760"/>
      <c r="D66" s="760"/>
      <c r="E66" s="760"/>
      <c r="F66" s="760"/>
      <c r="G66" s="760"/>
      <c r="H66" s="760"/>
      <c r="I66" s="760"/>
      <c r="J66" s="760"/>
      <c r="K66" s="760"/>
      <c r="L66" s="760"/>
      <c r="M66" s="760"/>
      <c r="N66" s="760"/>
      <c r="O66" s="760"/>
      <c r="P66" s="760"/>
    </row>
    <row r="67" spans="1:30" x14ac:dyDescent="0.25">
      <c r="A67" s="759"/>
      <c r="B67" s="760"/>
      <c r="C67" s="760"/>
      <c r="D67" s="760"/>
      <c r="E67" s="760"/>
      <c r="F67" s="760"/>
      <c r="G67" s="760"/>
      <c r="H67" s="760"/>
      <c r="I67" s="760"/>
      <c r="J67" s="760"/>
      <c r="K67" s="760"/>
      <c r="L67" s="760"/>
      <c r="M67" s="760"/>
      <c r="N67" s="760"/>
      <c r="O67" s="760"/>
      <c r="P67" s="760"/>
    </row>
    <row r="68" spans="1:30" ht="19.5" x14ac:dyDescent="0.3">
      <c r="A68" s="767" t="s">
        <v>9814</v>
      </c>
      <c r="B68" s="760"/>
      <c r="C68" s="760"/>
      <c r="D68" s="760"/>
      <c r="E68" s="760"/>
      <c r="F68" s="760"/>
      <c r="G68" s="760"/>
      <c r="H68" s="760"/>
      <c r="I68" s="760"/>
      <c r="J68" s="760"/>
      <c r="K68" s="760"/>
      <c r="L68" s="760"/>
      <c r="M68" s="760"/>
      <c r="N68" s="760"/>
      <c r="O68" s="760"/>
      <c r="P68" s="760"/>
    </row>
    <row r="69" spans="1:30" x14ac:dyDescent="0.25">
      <c r="A69" s="759"/>
      <c r="B69" s="760"/>
      <c r="C69" s="760"/>
      <c r="D69" s="760"/>
      <c r="E69" s="760"/>
      <c r="F69" s="760"/>
      <c r="G69" s="760"/>
      <c r="H69" s="760"/>
      <c r="I69" s="760"/>
      <c r="J69" s="760"/>
      <c r="K69" s="760"/>
      <c r="L69" s="760"/>
      <c r="M69" s="760"/>
      <c r="N69" s="760"/>
      <c r="O69" s="760"/>
      <c r="P69" s="760"/>
    </row>
    <row r="70" spans="1:30" hidden="1" x14ac:dyDescent="0.25">
      <c r="A70" s="759" t="s">
        <v>9804</v>
      </c>
      <c r="B70" s="760">
        <f>SUM(F70:P70)</f>
        <v>2249246</v>
      </c>
      <c r="C70" s="760"/>
      <c r="D70" s="760"/>
      <c r="E70" s="760"/>
      <c r="F70" s="760">
        <f>210492</f>
        <v>210492</v>
      </c>
      <c r="G70" s="760">
        <f>209311</f>
        <v>209311</v>
      </c>
      <c r="H70" s="760">
        <f>208123</f>
        <v>208123</v>
      </c>
      <c r="I70" s="760">
        <f>206928</f>
        <v>206928</v>
      </c>
      <c r="J70" s="760">
        <f>205725</f>
        <v>205725</v>
      </c>
      <c r="K70" s="760">
        <f>204515</f>
        <v>204515</v>
      </c>
      <c r="L70" s="760">
        <f>203297</f>
        <v>203297</v>
      </c>
      <c r="M70" s="760">
        <f>202072</f>
        <v>202072</v>
      </c>
      <c r="N70" s="760">
        <f>200838</f>
        <v>200838</v>
      </c>
      <c r="O70" s="760">
        <f>199597</f>
        <v>199597</v>
      </c>
      <c r="P70" s="760">
        <f>198348</f>
        <v>198348</v>
      </c>
    </row>
    <row r="71" spans="1:30" hidden="1" x14ac:dyDescent="0.25">
      <c r="A71" s="759" t="s">
        <v>4524</v>
      </c>
      <c r="B71" s="760">
        <f t="shared" ref="B71:B72" si="13">SUM(F71:P71)</f>
        <v>3099810</v>
      </c>
      <c r="C71" s="760"/>
      <c r="D71" s="760"/>
      <c r="E71" s="760"/>
      <c r="F71" s="760">
        <f>290090</f>
        <v>290090</v>
      </c>
      <c r="G71" s="760">
        <f>288463</f>
        <v>288463</v>
      </c>
      <c r="H71" s="760">
        <f>286826</f>
        <v>286826</v>
      </c>
      <c r="I71" s="760">
        <f>285179</f>
        <v>285179</v>
      </c>
      <c r="J71" s="760">
        <f>283521</f>
        <v>283521</v>
      </c>
      <c r="K71" s="760">
        <f>281853</f>
        <v>281853</v>
      </c>
      <c r="L71" s="760">
        <f>280175</f>
        <v>280175</v>
      </c>
      <c r="M71" s="760">
        <f>278486</f>
        <v>278486</v>
      </c>
      <c r="N71" s="760">
        <f>276786</f>
        <v>276786</v>
      </c>
      <c r="O71" s="760">
        <f>275076</f>
        <v>275076</v>
      </c>
      <c r="P71" s="760">
        <f>273355</f>
        <v>273355</v>
      </c>
    </row>
    <row r="72" spans="1:30" hidden="1" x14ac:dyDescent="0.25">
      <c r="A72" s="759" t="s">
        <v>9805</v>
      </c>
      <c r="B72" s="760">
        <f t="shared" si="13"/>
        <v>1026828</v>
      </c>
      <c r="C72" s="760"/>
      <c r="D72" s="760"/>
      <c r="E72" s="760"/>
      <c r="F72" s="760">
        <f>96094</f>
        <v>96094</v>
      </c>
      <c r="G72" s="760">
        <f>95555</f>
        <v>95555</v>
      </c>
      <c r="H72" s="760">
        <f>95013</f>
        <v>95013</v>
      </c>
      <c r="I72" s="760">
        <f>94467</f>
        <v>94467</v>
      </c>
      <c r="J72" s="760">
        <f>93918</f>
        <v>93918</v>
      </c>
      <c r="K72" s="760">
        <f>93365</f>
        <v>93365</v>
      </c>
      <c r="L72" s="760">
        <f>92809</f>
        <v>92809</v>
      </c>
      <c r="M72" s="760">
        <f>92250</f>
        <v>92250</v>
      </c>
      <c r="N72" s="760">
        <f>91687</f>
        <v>91687</v>
      </c>
      <c r="O72" s="760">
        <f>91120</f>
        <v>91120</v>
      </c>
      <c r="P72" s="760">
        <f>90550</f>
        <v>90550</v>
      </c>
    </row>
    <row r="73" spans="1:30" s="800" customFormat="1" ht="18" hidden="1" thickBot="1" x14ac:dyDescent="0.35">
      <c r="A73" s="796" t="s">
        <v>9815</v>
      </c>
      <c r="B73" s="797">
        <f t="shared" ref="B73" si="14">SUM(B70:B72)</f>
        <v>6375884</v>
      </c>
      <c r="C73" s="798"/>
      <c r="D73" s="798"/>
      <c r="E73" s="797"/>
      <c r="F73" s="797">
        <f t="shared" ref="F73:P73" si="15">SUM(F70:F72)</f>
        <v>596676</v>
      </c>
      <c r="G73" s="797">
        <f t="shared" si="15"/>
        <v>593329</v>
      </c>
      <c r="H73" s="797">
        <f t="shared" si="15"/>
        <v>589962</v>
      </c>
      <c r="I73" s="797">
        <f t="shared" si="15"/>
        <v>586574</v>
      </c>
      <c r="J73" s="797">
        <f t="shared" si="15"/>
        <v>583164</v>
      </c>
      <c r="K73" s="797">
        <f t="shared" si="15"/>
        <v>579733</v>
      </c>
      <c r="L73" s="797">
        <f t="shared" si="15"/>
        <v>576281</v>
      </c>
      <c r="M73" s="797">
        <f t="shared" si="15"/>
        <v>572808</v>
      </c>
      <c r="N73" s="797">
        <f t="shared" si="15"/>
        <v>569311</v>
      </c>
      <c r="O73" s="797">
        <f t="shared" si="15"/>
        <v>565793</v>
      </c>
      <c r="P73" s="797">
        <f t="shared" si="15"/>
        <v>562253</v>
      </c>
      <c r="Q73" s="799"/>
      <c r="R73" s="799"/>
      <c r="S73" s="799"/>
      <c r="T73" s="799"/>
      <c r="U73" s="799"/>
      <c r="V73" s="799"/>
      <c r="W73" s="799"/>
      <c r="X73" s="799"/>
      <c r="Y73" s="799"/>
      <c r="Z73" s="799"/>
      <c r="AA73" s="799"/>
      <c r="AB73" s="799"/>
      <c r="AC73" s="799"/>
      <c r="AD73" s="799"/>
    </row>
    <row r="74" spans="1:30" s="800" customFormat="1" ht="17.25" hidden="1" x14ac:dyDescent="0.3">
      <c r="A74" s="796"/>
      <c r="B74" s="798"/>
      <c r="C74" s="798"/>
      <c r="D74" s="798"/>
      <c r="E74" s="798"/>
      <c r="F74" s="798"/>
      <c r="G74" s="798"/>
      <c r="H74" s="798"/>
      <c r="I74" s="798"/>
      <c r="J74" s="798"/>
      <c r="K74" s="798"/>
      <c r="L74" s="798"/>
      <c r="M74" s="798"/>
      <c r="N74" s="798"/>
      <c r="O74" s="798"/>
      <c r="P74" s="798"/>
      <c r="Q74" s="799"/>
      <c r="R74" s="799"/>
      <c r="S74" s="799"/>
      <c r="T74" s="799"/>
      <c r="U74" s="799"/>
      <c r="V74" s="799"/>
      <c r="W74" s="799"/>
      <c r="X74" s="799"/>
      <c r="Y74" s="799"/>
      <c r="Z74" s="799"/>
      <c r="AA74" s="799"/>
      <c r="AB74" s="799"/>
      <c r="AC74" s="799"/>
      <c r="AD74" s="799"/>
    </row>
    <row r="75" spans="1:30" hidden="1" x14ac:dyDescent="0.25">
      <c r="A75" s="759" t="s">
        <v>9804</v>
      </c>
      <c r="B75" s="760">
        <f>SUM(F75:P75)</f>
        <v>352000</v>
      </c>
      <c r="C75" s="760"/>
      <c r="D75" s="760"/>
      <c r="E75" s="760">
        <v>32000</v>
      </c>
      <c r="F75" s="760">
        <v>32000</v>
      </c>
      <c r="G75" s="760">
        <v>32000</v>
      </c>
      <c r="H75" s="760">
        <v>32000</v>
      </c>
      <c r="I75" s="760">
        <v>32000</v>
      </c>
      <c r="J75" s="760">
        <v>32000</v>
      </c>
      <c r="K75" s="760">
        <v>32000</v>
      </c>
      <c r="L75" s="760">
        <v>32000</v>
      </c>
      <c r="M75" s="760">
        <v>32000</v>
      </c>
      <c r="N75" s="760">
        <v>32000</v>
      </c>
      <c r="O75" s="760">
        <v>32000</v>
      </c>
      <c r="P75" s="760">
        <v>32000</v>
      </c>
    </row>
    <row r="76" spans="1:30" hidden="1" x14ac:dyDescent="0.25">
      <c r="A76" s="759" t="s">
        <v>4524</v>
      </c>
      <c r="B76" s="760">
        <f t="shared" ref="B76:B77" si="16">SUM(F76:P76)</f>
        <v>11000</v>
      </c>
      <c r="C76" s="760"/>
      <c r="D76" s="760"/>
      <c r="E76" s="760">
        <v>1000</v>
      </c>
      <c r="F76" s="760">
        <v>1000</v>
      </c>
      <c r="G76" s="760">
        <v>1000</v>
      </c>
      <c r="H76" s="760">
        <v>1000</v>
      </c>
      <c r="I76" s="760">
        <v>1000</v>
      </c>
      <c r="J76" s="760">
        <v>1000</v>
      </c>
      <c r="K76" s="760">
        <v>1000</v>
      </c>
      <c r="L76" s="760">
        <v>1000</v>
      </c>
      <c r="M76" s="760">
        <v>1000</v>
      </c>
      <c r="N76" s="760">
        <v>1000</v>
      </c>
      <c r="O76" s="760">
        <v>1000</v>
      </c>
      <c r="P76" s="760">
        <v>1000</v>
      </c>
    </row>
    <row r="77" spans="1:30" hidden="1" x14ac:dyDescent="0.25">
      <c r="A77" s="759" t="s">
        <v>9805</v>
      </c>
      <c r="B77" s="760">
        <f t="shared" si="16"/>
        <v>11000</v>
      </c>
      <c r="C77" s="760"/>
      <c r="D77" s="760"/>
      <c r="E77" s="760">
        <v>1000</v>
      </c>
      <c r="F77" s="760">
        <v>1000</v>
      </c>
      <c r="G77" s="760">
        <v>1000</v>
      </c>
      <c r="H77" s="760">
        <v>1000</v>
      </c>
      <c r="I77" s="760">
        <v>1000</v>
      </c>
      <c r="J77" s="760">
        <v>1000</v>
      </c>
      <c r="K77" s="760">
        <v>1000</v>
      </c>
      <c r="L77" s="760">
        <v>1000</v>
      </c>
      <c r="M77" s="760">
        <v>1000</v>
      </c>
      <c r="N77" s="760">
        <v>1000</v>
      </c>
      <c r="O77" s="760">
        <v>1000</v>
      </c>
      <c r="P77" s="760">
        <v>1000</v>
      </c>
    </row>
    <row r="78" spans="1:30" s="800" customFormat="1" ht="18" hidden="1" thickBot="1" x14ac:dyDescent="0.35">
      <c r="A78" s="796" t="s">
        <v>9816</v>
      </c>
      <c r="B78" s="797">
        <f t="shared" ref="B78" si="17">SUM(B75:B77)</f>
        <v>374000</v>
      </c>
      <c r="C78" s="798"/>
      <c r="D78" s="798"/>
      <c r="E78" s="797">
        <f>SUM(E75:E77)</f>
        <v>34000</v>
      </c>
      <c r="F78" s="797">
        <f t="shared" ref="F78:P78" si="18">SUM(F75:F77)</f>
        <v>34000</v>
      </c>
      <c r="G78" s="797">
        <f t="shared" si="18"/>
        <v>34000</v>
      </c>
      <c r="H78" s="797">
        <f t="shared" si="18"/>
        <v>34000</v>
      </c>
      <c r="I78" s="797">
        <f t="shared" si="18"/>
        <v>34000</v>
      </c>
      <c r="J78" s="797">
        <f t="shared" si="18"/>
        <v>34000</v>
      </c>
      <c r="K78" s="797">
        <f t="shared" si="18"/>
        <v>34000</v>
      </c>
      <c r="L78" s="797">
        <f t="shared" si="18"/>
        <v>34000</v>
      </c>
      <c r="M78" s="797">
        <f t="shared" si="18"/>
        <v>34000</v>
      </c>
      <c r="N78" s="797">
        <f t="shared" si="18"/>
        <v>34000</v>
      </c>
      <c r="O78" s="797">
        <f t="shared" si="18"/>
        <v>34000</v>
      </c>
      <c r="P78" s="797">
        <f t="shared" si="18"/>
        <v>34000</v>
      </c>
      <c r="Q78" s="799"/>
      <c r="R78" s="799"/>
      <c r="S78" s="799"/>
      <c r="T78" s="799"/>
      <c r="U78" s="799"/>
      <c r="V78" s="799"/>
      <c r="W78" s="799"/>
      <c r="X78" s="799"/>
      <c r="Y78" s="799"/>
      <c r="Z78" s="799"/>
      <c r="AA78" s="799"/>
      <c r="AB78" s="799"/>
      <c r="AC78" s="799"/>
      <c r="AD78" s="799"/>
    </row>
    <row r="79" spans="1:30" ht="17.25" x14ac:dyDescent="0.3">
      <c r="A79" s="796"/>
      <c r="B79" s="772"/>
      <c r="C79" s="760"/>
      <c r="D79" s="760"/>
      <c r="E79" s="760"/>
      <c r="F79" s="760"/>
      <c r="G79" s="760"/>
      <c r="H79" s="760"/>
      <c r="I79" s="760"/>
      <c r="J79" s="760"/>
      <c r="K79" s="760"/>
      <c r="L79" s="760"/>
      <c r="M79" s="760"/>
      <c r="N79" s="760"/>
      <c r="O79" s="760"/>
      <c r="P79" s="760"/>
    </row>
    <row r="80" spans="1:30" x14ac:dyDescent="0.25">
      <c r="A80" s="759" t="s">
        <v>9804</v>
      </c>
      <c r="B80" s="760">
        <f>SUM(F80:P80)</f>
        <v>2601246</v>
      </c>
      <c r="C80" s="760"/>
      <c r="D80" s="760"/>
      <c r="E80" s="760">
        <f>+E70+E75</f>
        <v>32000</v>
      </c>
      <c r="F80" s="760">
        <f t="shared" ref="F80:P80" si="19">+F70+F75</f>
        <v>242492</v>
      </c>
      <c r="G80" s="760">
        <f t="shared" si="19"/>
        <v>241311</v>
      </c>
      <c r="H80" s="760">
        <f t="shared" si="19"/>
        <v>240123</v>
      </c>
      <c r="I80" s="760">
        <f t="shared" si="19"/>
        <v>238928</v>
      </c>
      <c r="J80" s="760">
        <f t="shared" si="19"/>
        <v>237725</v>
      </c>
      <c r="K80" s="760">
        <f t="shared" si="19"/>
        <v>236515</v>
      </c>
      <c r="L80" s="760">
        <f t="shared" si="19"/>
        <v>235297</v>
      </c>
      <c r="M80" s="760">
        <f t="shared" si="19"/>
        <v>234072</v>
      </c>
      <c r="N80" s="760">
        <f t="shared" si="19"/>
        <v>232838</v>
      </c>
      <c r="O80" s="760">
        <f t="shared" si="19"/>
        <v>231597</v>
      </c>
      <c r="P80" s="760">
        <f t="shared" si="19"/>
        <v>230348</v>
      </c>
    </row>
    <row r="81" spans="1:16" x14ac:dyDescent="0.25">
      <c r="A81" s="759" t="s">
        <v>4524</v>
      </c>
      <c r="B81" s="760">
        <f t="shared" ref="B81:B82" si="20">SUM(F81:P81)</f>
        <v>3110810</v>
      </c>
      <c r="C81" s="760"/>
      <c r="D81" s="760"/>
      <c r="E81" s="760">
        <f t="shared" ref="E81:P82" si="21">+E71+E76</f>
        <v>1000</v>
      </c>
      <c r="F81" s="760">
        <f t="shared" si="21"/>
        <v>291090</v>
      </c>
      <c r="G81" s="760">
        <f t="shared" si="21"/>
        <v>289463</v>
      </c>
      <c r="H81" s="760">
        <f t="shared" si="21"/>
        <v>287826</v>
      </c>
      <c r="I81" s="760">
        <f t="shared" si="21"/>
        <v>286179</v>
      </c>
      <c r="J81" s="760">
        <f t="shared" si="21"/>
        <v>284521</v>
      </c>
      <c r="K81" s="760">
        <f t="shared" si="21"/>
        <v>282853</v>
      </c>
      <c r="L81" s="760">
        <f t="shared" si="21"/>
        <v>281175</v>
      </c>
      <c r="M81" s="760">
        <f t="shared" si="21"/>
        <v>279486</v>
      </c>
      <c r="N81" s="760">
        <f t="shared" si="21"/>
        <v>277786</v>
      </c>
      <c r="O81" s="760">
        <f t="shared" si="21"/>
        <v>276076</v>
      </c>
      <c r="P81" s="760">
        <f t="shared" si="21"/>
        <v>274355</v>
      </c>
    </row>
    <row r="82" spans="1:16" x14ac:dyDescent="0.25">
      <c r="A82" s="759" t="s">
        <v>9805</v>
      </c>
      <c r="B82" s="760">
        <f t="shared" si="20"/>
        <v>1037828</v>
      </c>
      <c r="C82" s="760"/>
      <c r="D82" s="760"/>
      <c r="E82" s="760">
        <f t="shared" si="21"/>
        <v>1000</v>
      </c>
      <c r="F82" s="760">
        <f t="shared" si="21"/>
        <v>97094</v>
      </c>
      <c r="G82" s="760">
        <f t="shared" si="21"/>
        <v>96555</v>
      </c>
      <c r="H82" s="760">
        <f t="shared" si="21"/>
        <v>96013</v>
      </c>
      <c r="I82" s="760">
        <f t="shared" si="21"/>
        <v>95467</v>
      </c>
      <c r="J82" s="760">
        <f t="shared" si="21"/>
        <v>94918</v>
      </c>
      <c r="K82" s="760">
        <f t="shared" si="21"/>
        <v>94365</v>
      </c>
      <c r="L82" s="760">
        <f t="shared" si="21"/>
        <v>93809</v>
      </c>
      <c r="M82" s="760">
        <f t="shared" si="21"/>
        <v>93250</v>
      </c>
      <c r="N82" s="760">
        <f t="shared" si="21"/>
        <v>92687</v>
      </c>
      <c r="O82" s="760">
        <f t="shared" si="21"/>
        <v>92120</v>
      </c>
      <c r="P82" s="760">
        <f t="shared" si="21"/>
        <v>91550</v>
      </c>
    </row>
    <row r="83" spans="1:16" ht="18" thickBot="1" x14ac:dyDescent="0.35">
      <c r="A83" s="796" t="s">
        <v>9817</v>
      </c>
      <c r="B83" s="797">
        <f t="shared" ref="B83" si="22">SUM(B80:B82)</f>
        <v>6749884</v>
      </c>
      <c r="C83" s="798"/>
      <c r="D83" s="798"/>
      <c r="E83" s="797">
        <f>SUM(E80:E82)</f>
        <v>34000</v>
      </c>
      <c r="F83" s="797">
        <f t="shared" ref="F83:P83" si="23">SUM(F80:F82)</f>
        <v>630676</v>
      </c>
      <c r="G83" s="797">
        <f t="shared" si="23"/>
        <v>627329</v>
      </c>
      <c r="H83" s="797">
        <f t="shared" si="23"/>
        <v>623962</v>
      </c>
      <c r="I83" s="797">
        <f t="shared" si="23"/>
        <v>620574</v>
      </c>
      <c r="J83" s="797">
        <f t="shared" si="23"/>
        <v>617164</v>
      </c>
      <c r="K83" s="797">
        <f t="shared" si="23"/>
        <v>613733</v>
      </c>
      <c r="L83" s="797">
        <f t="shared" si="23"/>
        <v>610281</v>
      </c>
      <c r="M83" s="797">
        <f t="shared" si="23"/>
        <v>606808</v>
      </c>
      <c r="N83" s="797">
        <f t="shared" si="23"/>
        <v>603311</v>
      </c>
      <c r="O83" s="797">
        <f t="shared" si="23"/>
        <v>599793</v>
      </c>
      <c r="P83" s="797">
        <f t="shared" si="23"/>
        <v>596253</v>
      </c>
    </row>
    <row r="84" spans="1:16" x14ac:dyDescent="0.25">
      <c r="A84" s="759"/>
      <c r="B84" s="772"/>
      <c r="C84" s="760"/>
      <c r="D84" s="760"/>
      <c r="E84" s="760"/>
      <c r="F84" s="760"/>
      <c r="G84" s="760"/>
      <c r="H84" s="760"/>
      <c r="I84" s="760"/>
      <c r="J84" s="760"/>
      <c r="K84" s="760"/>
      <c r="L84" s="760"/>
      <c r="M84" s="760"/>
      <c r="N84" s="760"/>
      <c r="O84" s="760"/>
      <c r="P84" s="760"/>
    </row>
    <row r="85" spans="1:16" x14ac:dyDescent="0.25">
      <c r="A85" s="759"/>
      <c r="B85" s="760"/>
      <c r="C85" s="760"/>
      <c r="D85" s="760"/>
      <c r="E85" s="760"/>
      <c r="F85" s="760"/>
      <c r="G85" s="760"/>
      <c r="H85" s="760"/>
      <c r="I85" s="760"/>
      <c r="J85" s="760"/>
      <c r="K85" s="760"/>
      <c r="L85" s="760"/>
      <c r="M85" s="760"/>
      <c r="N85" s="760"/>
      <c r="O85" s="760"/>
      <c r="P85" s="760"/>
    </row>
    <row r="88" spans="1:16" x14ac:dyDescent="0.25">
      <c r="A88" s="1260" t="s">
        <v>10134</v>
      </c>
      <c r="B88" s="1261"/>
      <c r="C88" s="1261"/>
      <c r="D88" s="1261"/>
      <c r="E88" s="1262"/>
      <c r="F88" s="1262">
        <v>1037878.7878787878</v>
      </c>
      <c r="G88" s="1262">
        <v>746212.12121212122</v>
      </c>
      <c r="H88" s="1262">
        <v>746212.12121212122</v>
      </c>
      <c r="I88" s="1262">
        <v>746212.12121212122</v>
      </c>
      <c r="J88" s="1262">
        <v>746212.12121212122</v>
      </c>
      <c r="K88" s="1262">
        <v>746212.12121212122</v>
      </c>
      <c r="L88" s="1262">
        <v>746212.12121212122</v>
      </c>
      <c r="M88" s="1262">
        <v>746212.12121212122</v>
      </c>
      <c r="N88" s="1262">
        <v>746212.12121212122</v>
      </c>
      <c r="O88" s="1262">
        <v>746212.12121212122</v>
      </c>
      <c r="P88" s="1262">
        <v>746212.12121212122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E59"/>
  <sheetViews>
    <sheetView zoomScale="60" workbookViewId="0">
      <selection activeCell="B10" sqref="B10"/>
    </sheetView>
  </sheetViews>
  <sheetFormatPr baseColWidth="10" defaultRowHeight="12.75" x14ac:dyDescent="0.2"/>
  <cols>
    <col min="1" max="1" width="64.7109375" customWidth="1"/>
    <col min="2" max="3" width="20.5703125" customWidth="1"/>
    <col min="4" max="4" width="19.140625" customWidth="1"/>
  </cols>
  <sheetData>
    <row r="1" spans="1:5" ht="15.75" x14ac:dyDescent="0.25">
      <c r="A1" s="1781" t="s">
        <v>204</v>
      </c>
      <c r="B1" s="1781"/>
      <c r="C1" s="1781"/>
      <c r="D1" s="1781"/>
      <c r="E1" s="107"/>
    </row>
    <row r="2" spans="1:5" ht="15" x14ac:dyDescent="0.2">
      <c r="A2" s="107"/>
      <c r="B2" s="107"/>
      <c r="C2" s="107"/>
      <c r="D2" s="107"/>
      <c r="E2" s="107"/>
    </row>
    <row r="3" spans="1:5" ht="15.75" x14ac:dyDescent="0.25">
      <c r="A3" s="1781" t="s">
        <v>446</v>
      </c>
      <c r="B3" s="1781"/>
      <c r="C3" s="1781"/>
      <c r="D3" s="1781"/>
      <c r="E3" s="107"/>
    </row>
    <row r="4" spans="1:5" ht="15.75" thickBot="1" x14ac:dyDescent="0.25">
      <c r="A4" s="107"/>
      <c r="B4" s="107"/>
      <c r="C4" s="107"/>
      <c r="D4" s="107"/>
      <c r="E4" s="107"/>
    </row>
    <row r="5" spans="1:5" ht="15.75" thickTop="1" x14ac:dyDescent="0.2">
      <c r="A5" s="292"/>
      <c r="B5" s="301" t="s">
        <v>421</v>
      </c>
      <c r="C5" s="301" t="s">
        <v>128</v>
      </c>
      <c r="D5" s="302" t="s">
        <v>129</v>
      </c>
      <c r="E5" s="107"/>
    </row>
    <row r="6" spans="1:5" ht="15" x14ac:dyDescent="0.2">
      <c r="A6" s="293" t="s">
        <v>5</v>
      </c>
      <c r="B6" s="303">
        <v>2010</v>
      </c>
      <c r="C6" s="303">
        <v>2011</v>
      </c>
      <c r="D6" s="304" t="s">
        <v>165</v>
      </c>
      <c r="E6" s="107"/>
    </row>
    <row r="7" spans="1:5" ht="15" x14ac:dyDescent="0.2">
      <c r="A7" s="279"/>
      <c r="B7" s="280"/>
      <c r="C7" s="280"/>
      <c r="D7" s="281"/>
      <c r="E7" s="107"/>
    </row>
    <row r="8" spans="1:5" ht="15" x14ac:dyDescent="0.2">
      <c r="A8" s="279"/>
      <c r="B8" s="280"/>
      <c r="C8" s="280"/>
      <c r="D8" s="281"/>
      <c r="E8" s="107"/>
    </row>
    <row r="9" spans="1:5" ht="15" x14ac:dyDescent="0.2">
      <c r="A9" s="279" t="s">
        <v>28</v>
      </c>
      <c r="B9" s="280"/>
      <c r="C9" s="280"/>
      <c r="D9" s="281"/>
      <c r="E9" s="107"/>
    </row>
    <row r="10" spans="1:5" ht="15" x14ac:dyDescent="0.2">
      <c r="A10" s="279" t="s">
        <v>225</v>
      </c>
      <c r="B10" s="412" t="e">
        <f>+#REF!</f>
        <v>#REF!</v>
      </c>
      <c r="C10" s="413">
        <f>+MovFondos!N9</f>
        <v>56824577.026036546</v>
      </c>
      <c r="D10" s="414" t="e">
        <f>+C10-B10</f>
        <v>#REF!</v>
      </c>
      <c r="E10" s="107"/>
    </row>
    <row r="11" spans="1:5" ht="15" x14ac:dyDescent="0.2">
      <c r="A11" s="279" t="s">
        <v>223</v>
      </c>
      <c r="B11" s="415" t="e">
        <f>+#REF!</f>
        <v>#REF!</v>
      </c>
      <c r="C11" s="416">
        <f>+MovFondos!N10</f>
        <v>0</v>
      </c>
      <c r="D11" s="417" t="e">
        <f>+C11-B11</f>
        <v>#REF!</v>
      </c>
      <c r="E11" s="107"/>
    </row>
    <row r="12" spans="1:5" ht="15" x14ac:dyDescent="0.2">
      <c r="A12" s="279" t="s">
        <v>224</v>
      </c>
      <c r="B12" s="412" t="e">
        <f>+B10-B11</f>
        <v>#REF!</v>
      </c>
      <c r="C12" s="413">
        <f>+C10-C11</f>
        <v>56824577.026036546</v>
      </c>
      <c r="D12" s="418" t="e">
        <f>+C12-B12</f>
        <v>#REF!</v>
      </c>
      <c r="E12" s="107"/>
    </row>
    <row r="13" spans="1:5" ht="15" x14ac:dyDescent="0.2">
      <c r="A13" s="279"/>
      <c r="B13" s="413"/>
      <c r="C13" s="413"/>
      <c r="D13" s="414"/>
      <c r="E13" s="107"/>
    </row>
    <row r="14" spans="1:5" ht="15" x14ac:dyDescent="0.2">
      <c r="A14" s="279" t="s">
        <v>226</v>
      </c>
      <c r="B14" s="413" t="e">
        <f>+#REF!</f>
        <v>#REF!</v>
      </c>
      <c r="C14" s="413">
        <f>+MovFondos!N13</f>
        <v>27654909.432500005</v>
      </c>
      <c r="D14" s="414" t="e">
        <f>+C14-B14</f>
        <v>#REF!</v>
      </c>
      <c r="E14" s="107"/>
    </row>
    <row r="15" spans="1:5" ht="15" x14ac:dyDescent="0.2">
      <c r="A15" s="279" t="s">
        <v>223</v>
      </c>
      <c r="B15" s="419" t="e">
        <f>+#REF!</f>
        <v>#REF!</v>
      </c>
      <c r="C15" s="416">
        <f>+MovFondos!N14</f>
        <v>0</v>
      </c>
      <c r="D15" s="417" t="e">
        <f>+C15-B15</f>
        <v>#REF!</v>
      </c>
      <c r="E15" s="107"/>
    </row>
    <row r="16" spans="1:5" ht="15" x14ac:dyDescent="0.2">
      <c r="A16" s="279" t="s">
        <v>227</v>
      </c>
      <c r="B16" s="413" t="e">
        <f>+B14-B15</f>
        <v>#REF!</v>
      </c>
      <c r="C16" s="413">
        <f>+C14-C15</f>
        <v>27654909.432500005</v>
      </c>
      <c r="D16" s="418" t="e">
        <f>+C16-B16</f>
        <v>#REF!</v>
      </c>
      <c r="E16" s="107"/>
    </row>
    <row r="17" spans="1:5" ht="15" x14ac:dyDescent="0.2">
      <c r="A17" s="279"/>
      <c r="B17" s="413"/>
      <c r="C17" s="413"/>
      <c r="D17" s="414"/>
      <c r="E17" s="107"/>
    </row>
    <row r="18" spans="1:5" ht="15" x14ac:dyDescent="0.2">
      <c r="A18" s="279" t="s">
        <v>83</v>
      </c>
      <c r="B18" s="420" t="e">
        <f>SUM(B12+B16)</f>
        <v>#REF!</v>
      </c>
      <c r="C18" s="420">
        <f>SUM(C12+C16)</f>
        <v>84479486.45853655</v>
      </c>
      <c r="D18" s="421" t="e">
        <f>+C18-B18</f>
        <v>#REF!</v>
      </c>
      <c r="E18" s="107"/>
    </row>
    <row r="19" spans="1:5" ht="15" x14ac:dyDescent="0.2">
      <c r="A19" s="279"/>
      <c r="B19" s="413"/>
      <c r="C19" s="413"/>
      <c r="D19" s="414"/>
      <c r="E19" s="107"/>
    </row>
    <row r="20" spans="1:5" ht="15" x14ac:dyDescent="0.2">
      <c r="A20" s="279"/>
      <c r="B20" s="413"/>
      <c r="C20" s="413"/>
      <c r="D20" s="414"/>
      <c r="E20" s="107"/>
    </row>
    <row r="21" spans="1:5" ht="15" x14ac:dyDescent="0.2">
      <c r="A21" s="279" t="s">
        <v>84</v>
      </c>
      <c r="B21" s="286" t="e">
        <f>+#REF!</f>
        <v>#REF!</v>
      </c>
      <c r="C21" s="286">
        <f>+MovFondos!N19</f>
        <v>22391889.204935983</v>
      </c>
      <c r="D21" s="414" t="e">
        <f>+C21-B21</f>
        <v>#REF!</v>
      </c>
      <c r="E21" s="107"/>
    </row>
    <row r="22" spans="1:5" ht="15" x14ac:dyDescent="0.2">
      <c r="A22" s="279" t="s">
        <v>85</v>
      </c>
      <c r="B22" s="286" t="e">
        <f>+#REF!</f>
        <v>#REF!</v>
      </c>
      <c r="C22" s="286">
        <f>+MovFondos!N21</f>
        <v>-357000</v>
      </c>
      <c r="D22" s="414" t="e">
        <f>+C22-B22</f>
        <v>#REF!</v>
      </c>
      <c r="E22" s="107"/>
    </row>
    <row r="23" spans="1:5" ht="15" x14ac:dyDescent="0.2">
      <c r="A23" s="279" t="s">
        <v>86</v>
      </c>
      <c r="B23" s="286" t="e">
        <f>+#REF!</f>
        <v>#REF!</v>
      </c>
      <c r="C23" s="286">
        <f>+MovFondos!N23</f>
        <v>-27198050.870406814</v>
      </c>
      <c r="D23" s="414" t="e">
        <f>+C23-B23</f>
        <v>#REF!</v>
      </c>
      <c r="E23" s="107"/>
    </row>
    <row r="24" spans="1:5" ht="15" x14ac:dyDescent="0.2">
      <c r="A24" s="279"/>
      <c r="B24" s="413"/>
      <c r="C24" s="413"/>
      <c r="D24" s="414"/>
      <c r="E24" s="107"/>
    </row>
    <row r="25" spans="1:5" ht="15" x14ac:dyDescent="0.2">
      <c r="A25" s="279" t="s">
        <v>87</v>
      </c>
      <c r="B25" s="420" t="e">
        <f>SUM(B21:B24)</f>
        <v>#REF!</v>
      </c>
      <c r="C25" s="420">
        <f>SUM(C21:C24)</f>
        <v>-5163161.6654708311</v>
      </c>
      <c r="D25" s="421" t="e">
        <f>+C25-B25</f>
        <v>#REF!</v>
      </c>
      <c r="E25" s="107"/>
    </row>
    <row r="26" spans="1:5" ht="15" x14ac:dyDescent="0.2">
      <c r="A26" s="279"/>
      <c r="B26" s="413"/>
      <c r="C26" s="413"/>
      <c r="D26" s="414"/>
      <c r="E26" s="107"/>
    </row>
    <row r="27" spans="1:5" ht="15" x14ac:dyDescent="0.2">
      <c r="A27" s="279" t="s">
        <v>88</v>
      </c>
      <c r="B27" s="420" t="e">
        <f>SUM(B18+B25)</f>
        <v>#REF!</v>
      </c>
      <c r="C27" s="420">
        <f>SUM(C18+C25)</f>
        <v>79316324.793065727</v>
      </c>
      <c r="D27" s="421" t="e">
        <f>+C27-B27</f>
        <v>#REF!</v>
      </c>
      <c r="E27" s="107"/>
    </row>
    <row r="28" spans="1:5" ht="15" x14ac:dyDescent="0.2">
      <c r="A28" s="279"/>
      <c r="B28" s="413"/>
      <c r="C28" s="413"/>
      <c r="D28" s="414"/>
      <c r="E28" s="107"/>
    </row>
    <row r="29" spans="1:5" ht="15" x14ac:dyDescent="0.2">
      <c r="A29" s="279" t="s">
        <v>89</v>
      </c>
      <c r="B29" s="286" t="e">
        <f>+#REF!</f>
        <v>#REF!</v>
      </c>
      <c r="C29" s="413">
        <f>+MovFondos!N29</f>
        <v>1234298.0999999999</v>
      </c>
      <c r="D29" s="414" t="e">
        <f>+C29-B29</f>
        <v>#REF!</v>
      </c>
      <c r="E29" s="107"/>
    </row>
    <row r="30" spans="1:5" ht="15" x14ac:dyDescent="0.2">
      <c r="A30" s="279" t="s">
        <v>223</v>
      </c>
      <c r="B30" s="422" t="e">
        <f>+#REF!</f>
        <v>#REF!</v>
      </c>
      <c r="C30" s="416">
        <f>+MovFondos!N30</f>
        <v>0</v>
      </c>
      <c r="D30" s="417" t="e">
        <f>+C30-B30</f>
        <v>#REF!</v>
      </c>
      <c r="E30" s="107"/>
    </row>
    <row r="31" spans="1:5" ht="15" x14ac:dyDescent="0.2">
      <c r="A31" s="279" t="s">
        <v>216</v>
      </c>
      <c r="B31" s="286" t="e">
        <f>+B29-B30</f>
        <v>#REF!</v>
      </c>
      <c r="C31" s="286">
        <f>+C29-C30</f>
        <v>1234298.0999999999</v>
      </c>
      <c r="D31" s="414" t="e">
        <f>+C31-B31</f>
        <v>#REF!</v>
      </c>
      <c r="E31" s="107"/>
    </row>
    <row r="32" spans="1:5" ht="15" x14ac:dyDescent="0.2">
      <c r="A32" s="279"/>
      <c r="B32" s="286"/>
      <c r="C32" s="413"/>
      <c r="D32" s="414"/>
      <c r="E32" s="107"/>
    </row>
    <row r="33" spans="1:5" ht="15" x14ac:dyDescent="0.2">
      <c r="A33" s="279" t="s">
        <v>90</v>
      </c>
      <c r="B33" s="286" t="e">
        <f>+#REF!</f>
        <v>#REF!</v>
      </c>
      <c r="C33" s="413">
        <f>+MovFondos!N33</f>
        <v>-6265402.6700000009</v>
      </c>
      <c r="D33" s="414" t="e">
        <f>+C33-B33</f>
        <v>#REF!</v>
      </c>
      <c r="E33" s="107"/>
    </row>
    <row r="34" spans="1:5" ht="15" x14ac:dyDescent="0.2">
      <c r="A34" s="279" t="s">
        <v>223</v>
      </c>
      <c r="B34" s="422" t="e">
        <f>+#REF!</f>
        <v>#REF!</v>
      </c>
      <c r="C34" s="416">
        <f>+MovFondos!N34</f>
        <v>0</v>
      </c>
      <c r="D34" s="417" t="e">
        <f>+C34-B34</f>
        <v>#REF!</v>
      </c>
      <c r="E34" s="107"/>
    </row>
    <row r="35" spans="1:5" ht="15" x14ac:dyDescent="0.2">
      <c r="A35" s="279" t="s">
        <v>217</v>
      </c>
      <c r="B35" s="286" t="e">
        <f>+B33-B34</f>
        <v>#REF!</v>
      </c>
      <c r="C35" s="286">
        <f>+C33-C34</f>
        <v>-6265402.6700000009</v>
      </c>
      <c r="D35" s="414" t="e">
        <f>+C35-B35</f>
        <v>#REF!</v>
      </c>
      <c r="E35" s="107"/>
    </row>
    <row r="36" spans="1:5" ht="15" x14ac:dyDescent="0.2">
      <c r="A36" s="279"/>
      <c r="B36" s="286"/>
      <c r="C36" s="413"/>
      <c r="D36" s="414"/>
      <c r="E36" s="107"/>
    </row>
    <row r="37" spans="1:5" ht="15" x14ac:dyDescent="0.2">
      <c r="A37" s="279" t="s">
        <v>292</v>
      </c>
      <c r="B37" s="286" t="e">
        <f>+#REF!</f>
        <v>#REF!</v>
      </c>
      <c r="C37" s="413">
        <f>+MovFondos!N37</f>
        <v>3489980.2457177993</v>
      </c>
      <c r="D37" s="414" t="e">
        <f>+C37-B37</f>
        <v>#REF!</v>
      </c>
      <c r="E37" s="107"/>
    </row>
    <row r="38" spans="1:5" ht="15" x14ac:dyDescent="0.2">
      <c r="A38" s="279" t="s">
        <v>223</v>
      </c>
      <c r="B38" s="422" t="e">
        <f>+#REF!</f>
        <v>#REF!</v>
      </c>
      <c r="C38" s="416">
        <f>+MovFondos!N38</f>
        <v>0</v>
      </c>
      <c r="D38" s="417" t="e">
        <f>+C38-B38</f>
        <v>#REF!</v>
      </c>
      <c r="E38" s="107"/>
    </row>
    <row r="39" spans="1:5" ht="15" x14ac:dyDescent="0.2">
      <c r="A39" s="279" t="s">
        <v>293</v>
      </c>
      <c r="B39" s="286" t="e">
        <f>+B37-B38</f>
        <v>#REF!</v>
      </c>
      <c r="C39" s="286">
        <f>+C37-C38</f>
        <v>3489980.2457177993</v>
      </c>
      <c r="D39" s="414" t="e">
        <f>+C39-B39</f>
        <v>#REF!</v>
      </c>
      <c r="E39" s="107"/>
    </row>
    <row r="40" spans="1:5" ht="15" x14ac:dyDescent="0.2">
      <c r="A40" s="279"/>
      <c r="B40" s="286"/>
      <c r="C40" s="413"/>
      <c r="D40" s="414"/>
      <c r="E40" s="107"/>
    </row>
    <row r="41" spans="1:5" ht="15" x14ac:dyDescent="0.2">
      <c r="A41" s="279"/>
      <c r="B41" s="413"/>
      <c r="C41" s="413"/>
      <c r="D41" s="414"/>
      <c r="E41" s="107"/>
    </row>
    <row r="42" spans="1:5" ht="15" x14ac:dyDescent="0.2">
      <c r="A42" s="279" t="s">
        <v>92</v>
      </c>
      <c r="B42" s="420" t="e">
        <f>B27+SUM(B31+B35+B39)</f>
        <v>#REF!</v>
      </c>
      <c r="C42" s="420">
        <f>C27+SUM(C31+C35+C39)</f>
        <v>77775200.468783528</v>
      </c>
      <c r="D42" s="421" t="e">
        <f>+C42-B42</f>
        <v>#REF!</v>
      </c>
      <c r="E42" s="107"/>
    </row>
    <row r="43" spans="1:5" ht="15" x14ac:dyDescent="0.2">
      <c r="A43" s="279"/>
      <c r="B43" s="413"/>
      <c r="C43" s="413"/>
      <c r="D43" s="414"/>
      <c r="E43" s="107"/>
    </row>
    <row r="44" spans="1:5" ht="15" x14ac:dyDescent="0.2">
      <c r="A44" s="279" t="s">
        <v>93</v>
      </c>
      <c r="B44" s="286" t="e">
        <f>+#REF!</f>
        <v>#REF!</v>
      </c>
      <c r="C44" s="413">
        <f>+MovFondos!N44</f>
        <v>41428025</v>
      </c>
      <c r="D44" s="414" t="e">
        <f>+C44-B44</f>
        <v>#REF!</v>
      </c>
      <c r="E44" s="107"/>
    </row>
    <row r="45" spans="1:5" ht="15" x14ac:dyDescent="0.2">
      <c r="A45" s="279"/>
      <c r="B45" s="413"/>
      <c r="C45" s="413"/>
      <c r="D45" s="414"/>
      <c r="E45" s="107"/>
    </row>
    <row r="46" spans="1:5" ht="15" x14ac:dyDescent="0.2">
      <c r="A46" s="279" t="s">
        <v>233</v>
      </c>
      <c r="B46" s="420" t="e">
        <f>+B44</f>
        <v>#REF!</v>
      </c>
      <c r="C46" s="420">
        <f>SUM(C44:C45)</f>
        <v>41428025</v>
      </c>
      <c r="D46" s="421" t="e">
        <f>+C46-B46</f>
        <v>#REF!</v>
      </c>
      <c r="E46" s="107"/>
    </row>
    <row r="47" spans="1:5" ht="15" x14ac:dyDescent="0.2">
      <c r="A47" s="279"/>
      <c r="B47" s="413"/>
      <c r="C47" s="413"/>
      <c r="D47" s="414"/>
      <c r="E47" s="107"/>
    </row>
    <row r="48" spans="1:5" ht="15" x14ac:dyDescent="0.2">
      <c r="A48" s="279" t="s">
        <v>95</v>
      </c>
      <c r="B48" s="420" t="e">
        <f>B42-B46</f>
        <v>#REF!</v>
      </c>
      <c r="C48" s="420">
        <f>C42-C46</f>
        <v>36347175.468783528</v>
      </c>
      <c r="D48" s="423" t="e">
        <f>D42-D46</f>
        <v>#REF!</v>
      </c>
      <c r="E48" s="107"/>
    </row>
    <row r="49" spans="1:5" ht="15" x14ac:dyDescent="0.2">
      <c r="A49" s="279"/>
      <c r="B49" s="424" t="s">
        <v>28</v>
      </c>
      <c r="C49" s="413"/>
      <c r="D49" s="414"/>
      <c r="E49" s="107"/>
    </row>
    <row r="50" spans="1:5" ht="15.75" thickBot="1" x14ac:dyDescent="0.25">
      <c r="A50" s="287"/>
      <c r="B50" s="467" t="s">
        <v>28</v>
      </c>
      <c r="C50" s="299"/>
      <c r="D50" s="300"/>
      <c r="E50" s="107"/>
    </row>
    <row r="51" spans="1:5" ht="15.75" thickTop="1" x14ac:dyDescent="0.2">
      <c r="A51" s="107"/>
      <c r="B51" s="107"/>
      <c r="C51" s="107"/>
      <c r="D51" s="107"/>
      <c r="E51" s="107"/>
    </row>
    <row r="52" spans="1:5" ht="15" x14ac:dyDescent="0.2">
      <c r="A52" s="107"/>
      <c r="B52" s="107"/>
      <c r="C52" s="107"/>
      <c r="D52" s="107"/>
      <c r="E52" s="107"/>
    </row>
    <row r="53" spans="1:5" ht="15" x14ac:dyDescent="0.2">
      <c r="A53" s="1785" t="s">
        <v>472</v>
      </c>
      <c r="B53" s="1785"/>
      <c r="C53" s="1785"/>
      <c r="D53" s="1785"/>
      <c r="E53" s="1785"/>
    </row>
    <row r="54" spans="1:5" ht="15" x14ac:dyDescent="0.2">
      <c r="A54" s="107"/>
      <c r="B54" s="107"/>
      <c r="C54" s="107"/>
      <c r="D54" s="107"/>
      <c r="E54" s="107"/>
    </row>
    <row r="55" spans="1:5" ht="15" x14ac:dyDescent="0.2">
      <c r="A55" s="107"/>
      <c r="B55" s="107"/>
      <c r="C55" s="107"/>
      <c r="D55" s="107"/>
      <c r="E55" s="107"/>
    </row>
    <row r="56" spans="1:5" ht="15" x14ac:dyDescent="0.2">
      <c r="A56" s="107"/>
      <c r="B56" s="107"/>
      <c r="C56" s="107"/>
      <c r="D56" s="107"/>
      <c r="E56" s="107"/>
    </row>
    <row r="57" spans="1:5" ht="15" x14ac:dyDescent="0.2">
      <c r="A57" s="107"/>
      <c r="B57" s="107"/>
      <c r="C57" s="107"/>
      <c r="D57" s="107"/>
      <c r="E57" s="107"/>
    </row>
    <row r="58" spans="1:5" x14ac:dyDescent="0.2">
      <c r="A58" s="276"/>
      <c r="B58" s="276"/>
      <c r="C58" s="276"/>
      <c r="D58" s="276"/>
      <c r="E58" s="276"/>
    </row>
    <row r="59" spans="1:5" x14ac:dyDescent="0.2">
      <c r="A59" s="276"/>
      <c r="B59" s="276"/>
      <c r="C59" s="276"/>
      <c r="D59" s="276"/>
      <c r="E59" s="276"/>
    </row>
  </sheetData>
  <mergeCells count="3">
    <mergeCell ref="A1:D1"/>
    <mergeCell ref="A3:D3"/>
    <mergeCell ref="A53:E53"/>
  </mergeCells>
  <phoneticPr fontId="0" type="noConversion"/>
  <printOptions horizontalCentered="1" verticalCentered="1"/>
  <pageMargins left="0.78740157480314965" right="0.19685039370078741" top="0.78740157480314965" bottom="0.59055118110236227" header="0.19685039370078741" footer="0.19685039370078741"/>
  <pageSetup scale="70" firstPageNumber="8" orientation="portrait" useFirstPageNumber="1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P49"/>
  <sheetViews>
    <sheetView zoomScale="70" workbookViewId="0">
      <selection activeCell="M41" sqref="M41"/>
    </sheetView>
  </sheetViews>
  <sheetFormatPr baseColWidth="10" defaultRowHeight="12.75" x14ac:dyDescent="0.2"/>
  <cols>
    <col min="1" max="1" width="66.7109375" customWidth="1"/>
    <col min="2" max="2" width="12.7109375" customWidth="1"/>
    <col min="3" max="3" width="12.7109375" hidden="1" customWidth="1"/>
    <col min="4" max="4" width="13.7109375" hidden="1" customWidth="1"/>
    <col min="5" max="8" width="10.5703125" customWidth="1"/>
    <col min="9" max="9" width="10.28515625" customWidth="1"/>
    <col min="10" max="16" width="10.5703125" customWidth="1"/>
  </cols>
  <sheetData>
    <row r="1" spans="1:16" ht="18.75" x14ac:dyDescent="0.3">
      <c r="A1" s="178" t="s">
        <v>97</v>
      </c>
      <c r="B1" s="179"/>
      <c r="C1" s="179"/>
      <c r="D1" s="179"/>
      <c r="E1" s="179"/>
      <c r="F1" s="179"/>
      <c r="G1" s="179"/>
      <c r="H1" s="179"/>
      <c r="I1" s="112"/>
      <c r="J1" s="112"/>
      <c r="K1" s="112"/>
      <c r="L1" s="112"/>
      <c r="M1" s="112"/>
      <c r="N1" s="112"/>
      <c r="O1" s="112"/>
      <c r="P1" s="112"/>
    </row>
    <row r="2" spans="1:16" ht="15.75" x14ac:dyDescent="0.25">
      <c r="A2" s="179"/>
      <c r="B2" s="179"/>
      <c r="C2" s="179"/>
      <c r="D2" s="179"/>
      <c r="E2" s="179"/>
      <c r="F2" s="179"/>
      <c r="G2" s="179"/>
      <c r="H2" s="179"/>
      <c r="I2" s="112"/>
      <c r="J2" s="112"/>
      <c r="K2" s="112"/>
      <c r="L2" s="112"/>
      <c r="M2" s="112"/>
      <c r="N2" s="112"/>
      <c r="O2" s="112"/>
      <c r="P2" s="112"/>
    </row>
    <row r="3" spans="1:16" ht="16.5" thickBot="1" x14ac:dyDescent="0.3">
      <c r="A3" s="179" t="s">
        <v>9825</v>
      </c>
      <c r="B3" s="179"/>
      <c r="C3" s="179"/>
      <c r="D3" s="179"/>
      <c r="E3" s="179"/>
      <c r="F3" s="179"/>
      <c r="G3" s="179"/>
      <c r="H3" s="179"/>
      <c r="I3" s="112"/>
      <c r="J3" s="112"/>
      <c r="K3" s="112"/>
      <c r="L3" s="112"/>
      <c r="M3" s="112"/>
      <c r="N3" s="112"/>
      <c r="O3" s="112"/>
      <c r="P3" s="112"/>
    </row>
    <row r="4" spans="1:16" ht="16.5" thickTop="1" x14ac:dyDescent="0.25">
      <c r="A4" s="180"/>
      <c r="B4" s="181" t="s">
        <v>9826</v>
      </c>
      <c r="C4" s="182"/>
      <c r="D4" s="182"/>
      <c r="E4" s="182" t="s">
        <v>172</v>
      </c>
      <c r="F4" s="182" t="s">
        <v>173</v>
      </c>
      <c r="G4" s="182" t="s">
        <v>174</v>
      </c>
      <c r="H4" s="182" t="s">
        <v>175</v>
      </c>
      <c r="I4" s="182" t="s">
        <v>176</v>
      </c>
      <c r="J4" s="182" t="s">
        <v>177</v>
      </c>
      <c r="K4" s="182" t="s">
        <v>178</v>
      </c>
      <c r="L4" s="182" t="s">
        <v>179</v>
      </c>
      <c r="M4" s="182" t="s">
        <v>187</v>
      </c>
      <c r="N4" s="182" t="s">
        <v>181</v>
      </c>
      <c r="O4" s="182" t="s">
        <v>186</v>
      </c>
      <c r="P4" s="183" t="s">
        <v>185</v>
      </c>
    </row>
    <row r="5" spans="1:16" ht="15.75" x14ac:dyDescent="0.25">
      <c r="A5" s="184"/>
      <c r="B5" s="185" t="s">
        <v>135</v>
      </c>
      <c r="C5" s="186"/>
      <c r="D5" s="186"/>
      <c r="E5" s="186" t="s">
        <v>28</v>
      </c>
      <c r="F5" s="186" t="s">
        <v>28</v>
      </c>
      <c r="G5" s="186" t="s">
        <v>28</v>
      </c>
      <c r="H5" s="186" t="s">
        <v>28</v>
      </c>
      <c r="I5" s="186" t="s">
        <v>28</v>
      </c>
      <c r="J5" s="186" t="s">
        <v>28</v>
      </c>
      <c r="K5" s="186" t="s">
        <v>28</v>
      </c>
      <c r="L5" s="186" t="s">
        <v>28</v>
      </c>
      <c r="M5" s="186" t="s">
        <v>28</v>
      </c>
      <c r="N5" s="186" t="s">
        <v>28</v>
      </c>
      <c r="O5" s="186" t="s">
        <v>28</v>
      </c>
      <c r="P5" s="187" t="s">
        <v>28</v>
      </c>
    </row>
    <row r="6" spans="1:16" ht="15.75" x14ac:dyDescent="0.25">
      <c r="A6" s="184"/>
      <c r="B6" s="188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90"/>
    </row>
    <row r="7" spans="1:16" ht="15.75" x14ac:dyDescent="0.25">
      <c r="A7" s="184" t="s">
        <v>98</v>
      </c>
      <c r="B7" s="191">
        <f>Edo.Res.detalle!B71/Edo.Res.detalle!B20</f>
        <v>0.18127597135044968</v>
      </c>
      <c r="C7" s="192"/>
      <c r="D7" s="192"/>
      <c r="E7" s="192">
        <f>Edo.Res.detalle!D71/Edo.Res.detalle!D20</f>
        <v>0.31271944613152192</v>
      </c>
      <c r="F7" s="192">
        <f>Edo.Res.detalle!E71/Edo.Res.detalle!E20</f>
        <v>5.541393117571318E-2</v>
      </c>
      <c r="G7" s="192">
        <f>Edo.Res.detalle!F71/Edo.Res.detalle!F20</f>
        <v>0.22567189717953665</v>
      </c>
      <c r="H7" s="192">
        <f>Edo.Res.detalle!G71/Edo.Res.detalle!G20</f>
        <v>0.17795477548819399</v>
      </c>
      <c r="I7" s="192">
        <f>Edo.Res.detalle!H71/Edo.Res.detalle!H20</f>
        <v>0.19411214121485471</v>
      </c>
      <c r="J7" s="192">
        <f>Edo.Res.detalle!I71/Edo.Res.detalle!I20</f>
        <v>0.12645928426723135</v>
      </c>
      <c r="K7" s="192">
        <f>Edo.Res.detalle!J71/Edo.Res.detalle!J20</f>
        <v>0.17303178564922705</v>
      </c>
      <c r="L7" s="192">
        <f>Edo.Res.detalle!K71/Edo.Res.detalle!K20</f>
        <v>0.16230507785362963</v>
      </c>
      <c r="M7" s="192">
        <f>Edo.Res.detalle!L71/Edo.Res.detalle!L20</f>
        <v>0.23752066097264452</v>
      </c>
      <c r="N7" s="192">
        <f>Edo.Res.detalle!M71/Edo.Res.detalle!M20</f>
        <v>0.22155007491489481</v>
      </c>
      <c r="O7" s="192">
        <f>Edo.Res.detalle!N71/Edo.Res.detalle!N20</f>
        <v>0.13825149324726138</v>
      </c>
      <c r="P7" s="193">
        <f>Edo.Res.detalle!O71/Edo.Res.detalle!O20</f>
        <v>0.16072212420853416</v>
      </c>
    </row>
    <row r="8" spans="1:16" ht="15.75" x14ac:dyDescent="0.25">
      <c r="A8" s="184"/>
      <c r="B8" s="191"/>
      <c r="C8" s="192"/>
      <c r="D8" s="192"/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3"/>
    </row>
    <row r="9" spans="1:16" ht="15.75" x14ac:dyDescent="0.25">
      <c r="A9" s="184" t="s">
        <v>99</v>
      </c>
      <c r="B9" s="191">
        <f>Edo.Res.detalle!B69/Edo.Res.detalle!B20</f>
        <v>0.10682930431471382</v>
      </c>
      <c r="C9" s="194"/>
      <c r="D9" s="194"/>
      <c r="E9" s="192">
        <f>Edo.Res.detalle!D69/Edo.Res.detalle!D20</f>
        <v>0.24359292975516142</v>
      </c>
      <c r="F9" s="192">
        <f>Edo.Res.detalle!E69/Edo.Res.detalle!E20</f>
        <v>-1.0921977951743825E-2</v>
      </c>
      <c r="G9" s="192">
        <f>Edo.Res.detalle!F69/Edo.Res.detalle!F20</f>
        <v>0.15595570582613355</v>
      </c>
      <c r="H9" s="192">
        <f>Edo.Res.detalle!G69/Edo.Res.detalle!G20</f>
        <v>0.10572431659024055</v>
      </c>
      <c r="I9" s="192">
        <f>Edo.Res.detalle!H69/Edo.Res.detalle!H20</f>
        <v>0.11796308984479299</v>
      </c>
      <c r="J9" s="192">
        <f>Edo.Res.detalle!I69/Edo.Res.detalle!I20</f>
        <v>4.3028098034771117E-2</v>
      </c>
      <c r="K9" s="192">
        <f>Edo.Res.detalle!J69/Edo.Res.detalle!J20</f>
        <v>9.811618837128086E-2</v>
      </c>
      <c r="L9" s="192">
        <f>Edo.Res.detalle!K69/Edo.Res.detalle!K20</f>
        <v>8.4649345803127093E-2</v>
      </c>
      <c r="M9" s="192">
        <f>Edo.Res.detalle!L69/Edo.Res.detalle!L20</f>
        <v>0.15015864165963283</v>
      </c>
      <c r="N9" s="192">
        <f>Edo.Res.detalle!M69/Edo.Res.detalle!M20</f>
        <v>0.15240744044594448</v>
      </c>
      <c r="O9" s="192">
        <f>Edo.Res.detalle!N69/Edo.Res.detalle!N20</f>
        <v>6.4486493443834059E-2</v>
      </c>
      <c r="P9" s="193">
        <f>Edo.Res.detalle!O69/Edo.Res.detalle!O20</f>
        <v>8.7453552601654272E-2</v>
      </c>
    </row>
    <row r="10" spans="1:16" ht="15.75" x14ac:dyDescent="0.25">
      <c r="A10" s="184"/>
      <c r="B10" s="191"/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3"/>
    </row>
    <row r="11" spans="1:16" ht="15.75" x14ac:dyDescent="0.25">
      <c r="A11" s="184" t="s">
        <v>100</v>
      </c>
      <c r="B11" s="195">
        <f>balance_detalle!N19/balance_detalle!N37</f>
        <v>1.620405889660024</v>
      </c>
      <c r="C11" s="196"/>
      <c r="D11" s="196"/>
      <c r="E11" s="196">
        <f>balance_detalle!C19/balance_detalle!C37</f>
        <v>1.3562368263564162</v>
      </c>
      <c r="F11" s="196">
        <f>balance_detalle!D19/balance_detalle!D37</f>
        <v>1.3317677577664113</v>
      </c>
      <c r="G11" s="196">
        <f>balance_detalle!E19/balance_detalle!E37</f>
        <v>1.2339695242465232</v>
      </c>
      <c r="H11" s="196">
        <f>balance_detalle!F19/balance_detalle!F37</f>
        <v>1.2153813823151054</v>
      </c>
      <c r="I11" s="196">
        <f>balance_detalle!G19/balance_detalle!G37</f>
        <v>1.1466392921000339</v>
      </c>
      <c r="J11" s="196">
        <f>balance_detalle!H19/balance_detalle!H37</f>
        <v>1.1249546878381171</v>
      </c>
      <c r="K11" s="196">
        <f>balance_detalle!I19/balance_detalle!I37</f>
        <v>1.1624649000327174</v>
      </c>
      <c r="L11" s="196">
        <f>balance_detalle!J19/balance_detalle!J37</f>
        <v>1.2241591989052538</v>
      </c>
      <c r="M11" s="196">
        <f>balance_detalle!K19/balance_detalle!K37</f>
        <v>1.3177497835037733</v>
      </c>
      <c r="N11" s="196">
        <f>balance_detalle!L19/balance_detalle!L37</f>
        <v>1.4555974653122208</v>
      </c>
      <c r="O11" s="196">
        <f>balance_detalle!M19/balance_detalle!M37</f>
        <v>1.5328846317641063</v>
      </c>
      <c r="P11" s="197">
        <f>balance_detalle!N19/balance_detalle!N37</f>
        <v>1.620405889660024</v>
      </c>
    </row>
    <row r="12" spans="1:16" ht="15.75" x14ac:dyDescent="0.25">
      <c r="A12" s="184"/>
      <c r="B12" s="191"/>
      <c r="C12" s="192"/>
      <c r="D12" s="192"/>
      <c r="E12" s="192"/>
      <c r="F12" s="192"/>
      <c r="G12" s="192"/>
      <c r="H12" s="192" t="s">
        <v>28</v>
      </c>
      <c r="I12" s="192"/>
      <c r="J12" s="192"/>
      <c r="K12" s="192"/>
      <c r="L12" s="192" t="s">
        <v>28</v>
      </c>
      <c r="M12" s="192"/>
      <c r="N12" s="192"/>
      <c r="O12" s="192"/>
      <c r="P12" s="193" t="s">
        <v>28</v>
      </c>
    </row>
    <row r="13" spans="1:16" ht="15.75" x14ac:dyDescent="0.25">
      <c r="A13" s="184" t="s">
        <v>101</v>
      </c>
      <c r="B13" s="191" t="s">
        <v>28</v>
      </c>
      <c r="C13" s="198">
        <v>4.99E-2</v>
      </c>
      <c r="D13" s="198">
        <v>4.99E-2</v>
      </c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656"/>
    </row>
    <row r="14" spans="1:16" ht="16.5" thickBot="1" x14ac:dyDescent="0.3">
      <c r="A14" s="199"/>
      <c r="B14" s="200"/>
      <c r="C14" s="201"/>
      <c r="D14" s="201"/>
      <c r="E14" s="201"/>
      <c r="F14" s="201"/>
      <c r="G14" s="201"/>
      <c r="H14" s="201" t="s">
        <v>28</v>
      </c>
      <c r="I14" s="201"/>
      <c r="J14" s="201"/>
      <c r="K14" s="201"/>
      <c r="L14" s="201" t="s">
        <v>28</v>
      </c>
      <c r="M14" s="201"/>
      <c r="N14" s="201"/>
      <c r="O14" s="201"/>
      <c r="P14" s="202" t="s">
        <v>28</v>
      </c>
    </row>
    <row r="15" spans="1:16" ht="13.5" thickTop="1" x14ac:dyDescent="0.2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</row>
    <row r="16" spans="1:16" ht="13.5" thickBot="1" x14ac:dyDescent="0.25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</row>
    <row r="17" spans="1:16" ht="16.5" thickTop="1" x14ac:dyDescent="0.25">
      <c r="A17" s="180"/>
      <c r="B17" s="203" t="s">
        <v>189</v>
      </c>
      <c r="C17" s="182"/>
      <c r="D17" s="182"/>
      <c r="E17" s="182" t="s">
        <v>193</v>
      </c>
      <c r="F17" s="182" t="s">
        <v>191</v>
      </c>
      <c r="G17" s="183" t="s">
        <v>194</v>
      </c>
      <c r="H17" s="112"/>
      <c r="I17" s="112"/>
      <c r="J17" s="112"/>
      <c r="K17" s="112"/>
      <c r="L17" s="112"/>
      <c r="M17" s="112"/>
      <c r="N17" s="112"/>
      <c r="O17" s="112"/>
      <c r="P17" s="112"/>
    </row>
    <row r="18" spans="1:16" ht="15.75" x14ac:dyDescent="0.25">
      <c r="A18" s="184"/>
      <c r="B18" s="204">
        <v>2011</v>
      </c>
      <c r="C18" s="186"/>
      <c r="D18" s="186"/>
      <c r="E18" s="186">
        <v>2011</v>
      </c>
      <c r="F18" s="186">
        <v>2011</v>
      </c>
      <c r="G18" s="187">
        <v>2011</v>
      </c>
      <c r="H18" s="112"/>
      <c r="I18" s="112"/>
      <c r="J18" s="112"/>
      <c r="K18" s="112"/>
      <c r="L18" s="112"/>
      <c r="M18" s="112"/>
      <c r="N18" s="112"/>
      <c r="O18" s="112"/>
      <c r="P18" s="112"/>
    </row>
    <row r="19" spans="1:16" ht="15.75" x14ac:dyDescent="0.25">
      <c r="A19" s="184"/>
      <c r="B19" s="205"/>
      <c r="C19" s="189"/>
      <c r="D19" s="189"/>
      <c r="E19" s="189"/>
      <c r="F19" s="189"/>
      <c r="G19" s="206"/>
      <c r="H19" s="112"/>
      <c r="I19" s="112"/>
      <c r="J19" s="112"/>
      <c r="K19" s="112"/>
      <c r="L19" s="112"/>
      <c r="M19" s="112"/>
      <c r="N19" s="112"/>
      <c r="O19" s="112"/>
      <c r="P19" s="112"/>
    </row>
    <row r="20" spans="1:16" ht="15.75" x14ac:dyDescent="0.25">
      <c r="A20" s="184" t="s">
        <v>98</v>
      </c>
      <c r="B20" s="207">
        <f>Edo.Res.detalle!Q71/Edo.Res.detalle!Q20</f>
        <v>0.19634410485247078</v>
      </c>
      <c r="C20" s="192"/>
      <c r="D20" s="192"/>
      <c r="E20" s="192">
        <f>Edo.Res.detalle!S71/Edo.Res.detalle!S20</f>
        <v>0.16616772215109926</v>
      </c>
      <c r="F20" s="192">
        <f>Edo.Res.detalle!W71/Edo.Res.detalle!W20</f>
        <v>0.18914674405256632</v>
      </c>
      <c r="G20" s="193">
        <f>Edo.Res.detalle!AA71/Edo.Res.detalle!AA20</f>
        <v>0.17534032445379338</v>
      </c>
      <c r="H20" s="112"/>
      <c r="I20" s="112"/>
      <c r="J20" s="112"/>
      <c r="K20" s="112"/>
      <c r="L20" s="112"/>
      <c r="M20" s="112"/>
      <c r="N20" s="112"/>
      <c r="O20" s="112"/>
      <c r="P20" s="112"/>
    </row>
    <row r="21" spans="1:16" ht="15.75" x14ac:dyDescent="0.25">
      <c r="A21" s="184"/>
      <c r="B21" s="207"/>
      <c r="C21" s="192"/>
      <c r="D21" s="192"/>
      <c r="E21" s="192"/>
      <c r="F21" s="192"/>
      <c r="G21" s="193"/>
      <c r="H21" s="112"/>
      <c r="I21" s="112"/>
      <c r="J21" s="112"/>
      <c r="K21" s="112"/>
      <c r="L21" s="112"/>
      <c r="M21" s="112"/>
      <c r="N21" s="112"/>
      <c r="O21" s="112"/>
      <c r="P21" s="112"/>
    </row>
    <row r="22" spans="1:16" ht="15.75" x14ac:dyDescent="0.25">
      <c r="A22" s="184" t="s">
        <v>99</v>
      </c>
      <c r="B22" s="207">
        <f>Edo.Res.detalle!Q69/Edo.Res.detalle!Q20</f>
        <v>0.12794787772295774</v>
      </c>
      <c r="C22" s="194"/>
      <c r="D22" s="194"/>
      <c r="E22" s="192">
        <f>Edo.Res.detalle!S69/Edo.Res.detalle!S20</f>
        <v>8.8896507501923044E-2</v>
      </c>
      <c r="F22" s="192">
        <f>Edo.Res.detalle!W69/Edo.Res.detalle!W20</f>
        <v>0.10947200091013426</v>
      </c>
      <c r="G22" s="193">
        <f>Edo.Res.detalle!AA69/Edo.Res.detalle!AA20</f>
        <v>0.1033918934953406</v>
      </c>
      <c r="H22" s="112"/>
      <c r="I22" s="112"/>
      <c r="J22" s="112"/>
      <c r="K22" s="112"/>
      <c r="L22" s="112"/>
      <c r="M22" s="112"/>
      <c r="N22" s="112"/>
      <c r="O22" s="112"/>
      <c r="P22" s="112"/>
    </row>
    <row r="23" spans="1:16" ht="15.75" x14ac:dyDescent="0.25">
      <c r="A23" s="184"/>
      <c r="B23" s="207"/>
      <c r="C23" s="192"/>
      <c r="D23" s="192"/>
      <c r="E23" s="192"/>
      <c r="F23" s="192"/>
      <c r="G23" s="193"/>
      <c r="H23" s="112"/>
      <c r="I23" s="112"/>
      <c r="J23" s="112"/>
      <c r="K23" s="112"/>
      <c r="L23" s="112"/>
      <c r="M23" s="112"/>
      <c r="N23" s="112"/>
      <c r="O23" s="112"/>
      <c r="P23" s="112"/>
    </row>
    <row r="24" spans="1:16" ht="15.75" x14ac:dyDescent="0.25">
      <c r="A24" s="184" t="s">
        <v>100</v>
      </c>
      <c r="B24" s="208">
        <f>balance_detalle!E19/balance_detalle!E37</f>
        <v>1.2339695242465232</v>
      </c>
      <c r="C24" s="196"/>
      <c r="D24" s="196"/>
      <c r="E24" s="196">
        <f>balance_detalle!H19/balance_detalle!H37</f>
        <v>1.1249546878381171</v>
      </c>
      <c r="F24" s="196">
        <f>balance_detalle!K19/balance_detalle!K37</f>
        <v>1.3177497835037733</v>
      </c>
      <c r="G24" s="197">
        <f>balance_detalle!N19/balance_detalle!N37</f>
        <v>1.620405889660024</v>
      </c>
      <c r="H24" s="112"/>
      <c r="I24" s="112"/>
      <c r="J24" s="112"/>
      <c r="K24" s="112"/>
      <c r="L24" s="112"/>
      <c r="M24" s="112"/>
      <c r="N24" s="112"/>
      <c r="O24" s="112"/>
      <c r="P24" s="112"/>
    </row>
    <row r="25" spans="1:16" ht="15.75" x14ac:dyDescent="0.25">
      <c r="A25" s="184"/>
      <c r="B25" s="207"/>
      <c r="C25" s="192"/>
      <c r="D25" s="192"/>
      <c r="E25" s="192"/>
      <c r="F25" s="192"/>
      <c r="G25" s="193"/>
      <c r="H25" s="112"/>
      <c r="I25" s="112"/>
      <c r="J25" s="112"/>
      <c r="K25" s="112"/>
      <c r="L25" s="112"/>
      <c r="M25" s="112"/>
      <c r="N25" s="112"/>
      <c r="O25" s="112"/>
      <c r="P25" s="112"/>
    </row>
    <row r="26" spans="1:16" ht="15.75" x14ac:dyDescent="0.25">
      <c r="A26" s="184" t="s">
        <v>101</v>
      </c>
      <c r="B26" s="508" t="e">
        <f>+'ronoa(pres2011)'!N127</f>
        <v>#REF!</v>
      </c>
      <c r="C26" s="509">
        <v>4.99E-2</v>
      </c>
      <c r="D26" s="509">
        <v>4.99E-2</v>
      </c>
      <c r="E26" s="510" t="e">
        <f>+'ronoa(pres2011)'!O127</f>
        <v>#REF!</v>
      </c>
      <c r="F26" s="509" t="e">
        <f>+'ronoa(pres2011)'!P127</f>
        <v>#REF!</v>
      </c>
      <c r="G26" s="651" t="e">
        <f>+'ronoa(pres2011)'!Q127</f>
        <v>#REF!</v>
      </c>
      <c r="H26" s="112"/>
      <c r="I26" s="112"/>
      <c r="J26" s="112"/>
      <c r="K26" s="112"/>
      <c r="L26" s="112"/>
      <c r="M26" s="112"/>
      <c r="N26" s="112"/>
      <c r="O26" s="112"/>
      <c r="P26" s="112"/>
    </row>
    <row r="27" spans="1:16" ht="16.5" thickBot="1" x14ac:dyDescent="0.3">
      <c r="A27" s="199"/>
      <c r="B27" s="209"/>
      <c r="C27" s="201"/>
      <c r="D27" s="201"/>
      <c r="E27" s="201"/>
      <c r="F27" s="201"/>
      <c r="G27" s="202"/>
      <c r="H27" s="112"/>
      <c r="I27" s="112"/>
      <c r="J27" s="112"/>
      <c r="K27" s="112"/>
      <c r="L27" s="112"/>
      <c r="M27" s="112"/>
      <c r="N27" s="112"/>
      <c r="O27" s="112"/>
      <c r="P27" s="112"/>
    </row>
    <row r="28" spans="1:16" ht="13.5" thickTop="1" x14ac:dyDescent="0.2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</row>
    <row r="29" spans="1:16" x14ac:dyDescent="0.2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</row>
    <row r="30" spans="1:16" x14ac:dyDescent="0.2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</row>
    <row r="31" spans="1:16" x14ac:dyDescent="0.2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</row>
    <row r="32" spans="1:16" x14ac:dyDescent="0.2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</row>
    <row r="33" spans="1:16" x14ac:dyDescent="0.2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</row>
    <row r="34" spans="1:16" x14ac:dyDescent="0.2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</row>
    <row r="35" spans="1:16" x14ac:dyDescent="0.2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</row>
    <row r="36" spans="1:16" x14ac:dyDescent="0.2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</row>
    <row r="37" spans="1:16" x14ac:dyDescent="0.2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</row>
    <row r="38" spans="1:16" x14ac:dyDescent="0.2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</row>
    <row r="39" spans="1:16" x14ac:dyDescent="0.2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</row>
    <row r="40" spans="1:16" x14ac:dyDescent="0.2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</row>
    <row r="41" spans="1:16" x14ac:dyDescent="0.2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</row>
    <row r="42" spans="1:16" x14ac:dyDescent="0.2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</row>
    <row r="43" spans="1:16" x14ac:dyDescent="0.2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</row>
    <row r="44" spans="1:16" x14ac:dyDescent="0.2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</row>
    <row r="45" spans="1:16" x14ac:dyDescent="0.2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</row>
    <row r="46" spans="1:16" x14ac:dyDescent="0.2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</row>
    <row r="47" spans="1:16" x14ac:dyDescent="0.2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</row>
    <row r="48" spans="1:16" x14ac:dyDescent="0.2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</row>
    <row r="49" spans="1:16" x14ac:dyDescent="0.2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</row>
  </sheetData>
  <phoneticPr fontId="0" type="noConversion"/>
  <printOptions horizontalCentered="1" verticalCentered="1" gridLines="1" gridLinesSet="0"/>
  <pageMargins left="0.19685039370078741" right="0.19685039370078741" top="0.39370078740157483" bottom="0.39370078740157483" header="0.11811023622047245" footer="0.11811023622047245"/>
  <pageSetup scale="65" orientation="landscape" r:id="rId1"/>
  <headerFooter alignWithMargins="0">
    <oddHeader>&amp;A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/>
  <dimension ref="A1:E52"/>
  <sheetViews>
    <sheetView topLeftCell="A4" zoomScale="75" workbookViewId="0">
      <selection activeCell="B8" sqref="B8"/>
    </sheetView>
  </sheetViews>
  <sheetFormatPr baseColWidth="10" defaultRowHeight="12.75" x14ac:dyDescent="0.2"/>
  <cols>
    <col min="1" max="1" width="66.7109375" customWidth="1"/>
    <col min="2" max="2" width="14.7109375" customWidth="1"/>
    <col min="3" max="3" width="12.7109375" hidden="1" customWidth="1"/>
    <col min="4" max="4" width="13.7109375" hidden="1" customWidth="1"/>
    <col min="5" max="5" width="14.7109375" customWidth="1"/>
    <col min="6" max="6" width="66.7109375" customWidth="1"/>
  </cols>
  <sheetData>
    <row r="1" spans="1:5" ht="15.75" x14ac:dyDescent="0.25">
      <c r="A1" s="1786" t="s">
        <v>0</v>
      </c>
      <c r="B1" s="1786"/>
      <c r="C1" s="1786"/>
      <c r="D1" s="1786"/>
      <c r="E1" s="1786"/>
    </row>
    <row r="2" spans="1:5" ht="15" x14ac:dyDescent="0.2">
      <c r="A2" s="305"/>
      <c r="B2" s="305"/>
      <c r="C2" s="305"/>
      <c r="D2" s="305"/>
      <c r="E2" s="305"/>
    </row>
    <row r="3" spans="1:5" ht="21" customHeight="1" x14ac:dyDescent="0.25">
      <c r="A3" s="1786" t="s">
        <v>448</v>
      </c>
      <c r="B3" s="1786"/>
      <c r="C3" s="1786"/>
      <c r="D3" s="1786"/>
      <c r="E3" s="1786"/>
    </row>
    <row r="4" spans="1:5" ht="21" customHeight="1" x14ac:dyDescent="0.25">
      <c r="A4" s="306"/>
      <c r="B4" s="305"/>
      <c r="C4" s="305"/>
      <c r="D4" s="305"/>
      <c r="E4" s="305"/>
    </row>
    <row r="5" spans="1:5" ht="11.25" customHeight="1" thickBot="1" x14ac:dyDescent="0.25">
      <c r="A5" s="305"/>
      <c r="B5" s="305"/>
      <c r="C5" s="305"/>
      <c r="D5" s="305"/>
      <c r="E5" s="305"/>
    </row>
    <row r="6" spans="1:5" ht="15.75" thickTop="1" x14ac:dyDescent="0.2">
      <c r="A6" s="307"/>
      <c r="B6" s="308" t="s">
        <v>443</v>
      </c>
      <c r="C6" s="309"/>
      <c r="D6" s="309"/>
      <c r="E6" s="310" t="s">
        <v>52</v>
      </c>
    </row>
    <row r="7" spans="1:5" ht="15" x14ac:dyDescent="0.2">
      <c r="A7" s="311"/>
      <c r="B7" s="285" t="s">
        <v>28</v>
      </c>
      <c r="C7" s="297"/>
      <c r="D7" s="297"/>
      <c r="E7" s="312" t="s">
        <v>28</v>
      </c>
    </row>
    <row r="8" spans="1:5" ht="15" x14ac:dyDescent="0.2">
      <c r="A8" s="311"/>
      <c r="B8" s="303">
        <v>2010</v>
      </c>
      <c r="C8" s="314"/>
      <c r="D8" s="314"/>
      <c r="E8" s="315">
        <v>2011</v>
      </c>
    </row>
    <row r="9" spans="1:5" ht="15" x14ac:dyDescent="0.2">
      <c r="A9" s="311"/>
      <c r="B9" s="285"/>
      <c r="C9" s="297"/>
      <c r="D9" s="297"/>
      <c r="E9" s="312"/>
    </row>
    <row r="10" spans="1:5" ht="15" x14ac:dyDescent="0.2">
      <c r="A10" s="311"/>
      <c r="B10" s="285"/>
      <c r="C10" s="297"/>
      <c r="D10" s="297"/>
      <c r="E10" s="312"/>
    </row>
    <row r="11" spans="1:5" ht="15" x14ac:dyDescent="0.2">
      <c r="A11" s="311" t="s">
        <v>98</v>
      </c>
      <c r="B11" s="316" t="e">
        <f>#REF!/#REF!</f>
        <v>#REF!</v>
      </c>
      <c r="C11" s="317"/>
      <c r="D11" s="317"/>
      <c r="E11" s="318" t="e">
        <f>#REF!/#REF!</f>
        <v>#REF!</v>
      </c>
    </row>
    <row r="12" spans="1:5" ht="15" x14ac:dyDescent="0.2">
      <c r="A12" s="311"/>
      <c r="B12" s="316"/>
      <c r="C12" s="317"/>
      <c r="D12" s="317"/>
      <c r="E12" s="318"/>
    </row>
    <row r="13" spans="1:5" ht="15" x14ac:dyDescent="0.2">
      <c r="A13" s="311"/>
      <c r="B13" s="316"/>
      <c r="C13" s="317"/>
      <c r="D13" s="317"/>
      <c r="E13" s="318"/>
    </row>
    <row r="14" spans="1:5" ht="15" x14ac:dyDescent="0.2">
      <c r="A14" s="311"/>
      <c r="B14" s="316"/>
      <c r="C14" s="317"/>
      <c r="D14" s="317"/>
      <c r="E14" s="318"/>
    </row>
    <row r="15" spans="1:5" ht="15" x14ac:dyDescent="0.2">
      <c r="A15" s="311" t="s">
        <v>99</v>
      </c>
      <c r="B15" s="316" t="e">
        <f>#REF!/#REF!</f>
        <v>#REF!</v>
      </c>
      <c r="C15" s="317"/>
      <c r="D15" s="317"/>
      <c r="E15" s="318" t="e">
        <f>#REF!/#REF!</f>
        <v>#REF!</v>
      </c>
    </row>
    <row r="16" spans="1:5" ht="15" x14ac:dyDescent="0.2">
      <c r="A16" s="311"/>
      <c r="B16" s="319"/>
      <c r="C16" s="317"/>
      <c r="D16" s="317"/>
      <c r="E16" s="320"/>
    </row>
    <row r="17" spans="1:5" ht="15" x14ac:dyDescent="0.2">
      <c r="A17" s="311"/>
      <c r="B17" s="319"/>
      <c r="C17" s="317"/>
      <c r="D17" s="317"/>
      <c r="E17" s="320"/>
    </row>
    <row r="18" spans="1:5" ht="15" x14ac:dyDescent="0.2">
      <c r="A18" s="311"/>
      <c r="B18" s="316"/>
      <c r="C18" s="317"/>
      <c r="D18" s="317"/>
      <c r="E18" s="318"/>
    </row>
    <row r="19" spans="1:5" ht="15" x14ac:dyDescent="0.2">
      <c r="A19" s="311" t="s">
        <v>100</v>
      </c>
      <c r="B19" s="321">
        <f>Balance2013!B16/Balance2013!B35</f>
        <v>1.3114709361546739</v>
      </c>
      <c r="C19" s="290"/>
      <c r="D19" s="290"/>
      <c r="E19" s="322">
        <f>Balance2013!C16/Balance2013!C35</f>
        <v>1.620405889660024</v>
      </c>
    </row>
    <row r="20" spans="1:5" ht="15" x14ac:dyDescent="0.2">
      <c r="A20" s="311"/>
      <c r="B20" s="323"/>
      <c r="C20" s="290"/>
      <c r="D20" s="290"/>
      <c r="E20" s="324"/>
    </row>
    <row r="21" spans="1:5" ht="15" x14ac:dyDescent="0.2">
      <c r="A21" s="311"/>
      <c r="B21" s="316"/>
      <c r="C21" s="317"/>
      <c r="D21" s="317"/>
      <c r="E21" s="318"/>
    </row>
    <row r="22" spans="1:5" ht="15" x14ac:dyDescent="0.2">
      <c r="A22" s="311"/>
      <c r="B22" s="316"/>
      <c r="C22" s="317"/>
      <c r="D22" s="317"/>
      <c r="E22" s="318"/>
    </row>
    <row r="23" spans="1:5" ht="15" x14ac:dyDescent="0.2">
      <c r="A23" s="311" t="s">
        <v>250</v>
      </c>
      <c r="B23" s="652">
        <f>+'ronoa(2010)'!R109</f>
        <v>9.8996315090714386</v>
      </c>
      <c r="C23" s="653">
        <v>4.99E-2</v>
      </c>
      <c r="D23" s="653">
        <v>4.99E-2</v>
      </c>
      <c r="E23" s="654" t="e">
        <f>+'ronoa(pres2011)'!R127</f>
        <v>#REF!</v>
      </c>
    </row>
    <row r="24" spans="1:5" ht="15" x14ac:dyDescent="0.2">
      <c r="A24" s="311"/>
      <c r="B24" s="319"/>
      <c r="C24" s="325"/>
      <c r="D24" s="325"/>
      <c r="E24" s="320"/>
    </row>
    <row r="25" spans="1:5" ht="15.75" thickBot="1" x14ac:dyDescent="0.25">
      <c r="A25" s="326"/>
      <c r="B25" s="327"/>
      <c r="C25" s="328"/>
      <c r="D25" s="328"/>
      <c r="E25" s="329"/>
    </row>
    <row r="26" spans="1:5" ht="15.75" thickTop="1" x14ac:dyDescent="0.2">
      <c r="A26" s="107"/>
      <c r="B26" s="107"/>
      <c r="C26" s="107"/>
      <c r="D26" s="107"/>
      <c r="E26" s="107"/>
    </row>
    <row r="27" spans="1:5" ht="15" x14ac:dyDescent="0.2">
      <c r="A27" s="107"/>
      <c r="B27" s="107"/>
      <c r="C27" s="107"/>
      <c r="D27" s="107"/>
      <c r="E27" s="107"/>
    </row>
    <row r="28" spans="1:5" ht="15" x14ac:dyDescent="0.2">
      <c r="A28" s="107"/>
      <c r="B28" s="107"/>
      <c r="C28" s="107"/>
      <c r="D28" s="107"/>
      <c r="E28" s="107"/>
    </row>
    <row r="29" spans="1:5" ht="15" x14ac:dyDescent="0.2">
      <c r="A29" s="107"/>
      <c r="B29" s="107"/>
      <c r="C29" s="107"/>
      <c r="D29" s="107"/>
      <c r="E29" s="107"/>
    </row>
    <row r="30" spans="1:5" ht="15" x14ac:dyDescent="0.2">
      <c r="A30" s="107"/>
      <c r="B30" s="107"/>
      <c r="C30" s="107"/>
      <c r="D30" s="107"/>
      <c r="E30" s="107"/>
    </row>
    <row r="31" spans="1:5" ht="15" x14ac:dyDescent="0.2">
      <c r="A31" s="107"/>
      <c r="B31" s="107"/>
      <c r="C31" s="107"/>
      <c r="D31" s="107"/>
      <c r="E31" s="107"/>
    </row>
    <row r="32" spans="1:5" ht="15" x14ac:dyDescent="0.2">
      <c r="A32" s="107"/>
      <c r="B32" s="107"/>
      <c r="C32" s="107"/>
      <c r="D32" s="107"/>
      <c r="E32" s="107"/>
    </row>
    <row r="33" spans="1:5" ht="15" x14ac:dyDescent="0.2">
      <c r="A33" s="107"/>
      <c r="B33" s="107"/>
      <c r="C33" s="107"/>
      <c r="D33" s="107"/>
      <c r="E33" s="107"/>
    </row>
    <row r="34" spans="1:5" ht="15" x14ac:dyDescent="0.2">
      <c r="A34" s="107"/>
      <c r="B34" s="107"/>
      <c r="C34" s="107"/>
      <c r="D34" s="107"/>
      <c r="E34" s="107"/>
    </row>
    <row r="35" spans="1:5" ht="15" x14ac:dyDescent="0.2">
      <c r="A35" s="107"/>
      <c r="B35" s="107"/>
      <c r="C35" s="107"/>
      <c r="D35" s="107"/>
      <c r="E35" s="107"/>
    </row>
    <row r="36" spans="1:5" ht="15" x14ac:dyDescent="0.2">
      <c r="A36" s="107"/>
      <c r="B36" s="107"/>
      <c r="C36" s="107"/>
      <c r="D36" s="107"/>
      <c r="E36" s="107"/>
    </row>
    <row r="37" spans="1:5" ht="15" x14ac:dyDescent="0.2">
      <c r="A37" s="107"/>
      <c r="B37" s="107"/>
      <c r="C37" s="107"/>
      <c r="D37" s="107"/>
      <c r="E37" s="107"/>
    </row>
    <row r="38" spans="1:5" ht="15" x14ac:dyDescent="0.2">
      <c r="A38" s="107"/>
      <c r="B38" s="107"/>
      <c r="C38" s="107"/>
      <c r="D38" s="107"/>
      <c r="E38" s="107"/>
    </row>
    <row r="39" spans="1:5" ht="15" x14ac:dyDescent="0.2">
      <c r="A39" s="107"/>
      <c r="B39" s="107"/>
      <c r="C39" s="107"/>
      <c r="D39" s="107"/>
      <c r="E39" s="107"/>
    </row>
    <row r="40" spans="1:5" ht="15" x14ac:dyDescent="0.2">
      <c r="A40" s="107"/>
      <c r="B40" s="107"/>
      <c r="C40" s="107"/>
      <c r="D40" s="107"/>
      <c r="E40" s="107"/>
    </row>
    <row r="41" spans="1:5" ht="15" x14ac:dyDescent="0.2">
      <c r="A41" s="107"/>
      <c r="B41" s="107"/>
      <c r="C41" s="107"/>
      <c r="D41" s="107"/>
      <c r="E41" s="107"/>
    </row>
    <row r="42" spans="1:5" ht="15" x14ac:dyDescent="0.2">
      <c r="A42" s="107"/>
      <c r="B42" s="107"/>
      <c r="C42" s="107"/>
      <c r="D42" s="107"/>
      <c r="E42" s="107"/>
    </row>
    <row r="43" spans="1:5" ht="15" x14ac:dyDescent="0.2">
      <c r="A43" s="107"/>
      <c r="B43" s="107"/>
      <c r="C43" s="107"/>
      <c r="D43" s="107"/>
      <c r="E43" s="107"/>
    </row>
    <row r="44" spans="1:5" ht="15" x14ac:dyDescent="0.2">
      <c r="A44" s="107"/>
      <c r="B44" s="107"/>
      <c r="C44" s="107"/>
      <c r="D44" s="107"/>
      <c r="E44" s="107"/>
    </row>
    <row r="45" spans="1:5" ht="15" x14ac:dyDescent="0.2">
      <c r="A45" s="107"/>
      <c r="B45" s="107"/>
      <c r="C45" s="107"/>
      <c r="D45" s="107"/>
      <c r="E45" s="107"/>
    </row>
    <row r="46" spans="1:5" ht="15" x14ac:dyDescent="0.2">
      <c r="A46" s="1785" t="s">
        <v>473</v>
      </c>
      <c r="B46" s="1785"/>
      <c r="C46" s="1785"/>
      <c r="D46" s="1785"/>
      <c r="E46" s="1785"/>
    </row>
    <row r="47" spans="1:5" ht="15" x14ac:dyDescent="0.2">
      <c r="A47" s="107"/>
      <c r="B47" s="107"/>
      <c r="C47" s="107"/>
      <c r="D47" s="107"/>
      <c r="E47" s="107"/>
    </row>
    <row r="48" spans="1:5" ht="15" x14ac:dyDescent="0.2">
      <c r="A48" s="107"/>
      <c r="B48" s="107"/>
      <c r="C48" s="107"/>
      <c r="D48" s="107"/>
      <c r="E48" s="107"/>
    </row>
    <row r="49" spans="1:5" x14ac:dyDescent="0.2">
      <c r="A49" s="276"/>
      <c r="B49" s="276"/>
      <c r="C49" s="276"/>
      <c r="D49" s="276"/>
      <c r="E49" s="276"/>
    </row>
    <row r="50" spans="1:5" x14ac:dyDescent="0.2">
      <c r="A50" s="276"/>
      <c r="B50" s="276"/>
      <c r="C50" s="276"/>
      <c r="D50" s="276"/>
      <c r="E50" s="276"/>
    </row>
    <row r="51" spans="1:5" x14ac:dyDescent="0.2">
      <c r="A51" s="276"/>
      <c r="B51" s="276"/>
      <c r="C51" s="276"/>
      <c r="D51" s="276"/>
      <c r="E51" s="276"/>
    </row>
    <row r="52" spans="1:5" x14ac:dyDescent="0.2">
      <c r="A52" s="276"/>
      <c r="B52" s="276"/>
      <c r="C52" s="276"/>
      <c r="D52" s="276"/>
      <c r="E52" s="276"/>
    </row>
  </sheetData>
  <mergeCells count="3">
    <mergeCell ref="A3:E3"/>
    <mergeCell ref="A1:E1"/>
    <mergeCell ref="A46:E46"/>
  </mergeCells>
  <phoneticPr fontId="0" type="noConversion"/>
  <printOptions horizontalCentered="1" verticalCentered="1"/>
  <pageMargins left="0.78740157480314965" right="0.78740157480314965" top="0.98425196850393704" bottom="0.98425196850393704" header="0.51181102362204722" footer="0.51181102362204722"/>
  <pageSetup scale="90" firstPageNumber="9" orientation="portrait" useFirstPageNumber="1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pageSetUpPr fitToPage="1"/>
  </sheetPr>
  <dimension ref="A1:P83"/>
  <sheetViews>
    <sheetView zoomScale="70" workbookViewId="0">
      <selection activeCell="C5" sqref="C5"/>
    </sheetView>
  </sheetViews>
  <sheetFormatPr baseColWidth="10" defaultRowHeight="12.75" x14ac:dyDescent="0.2"/>
  <cols>
    <col min="1" max="1" width="37.28515625" style="112" customWidth="1"/>
    <col min="2" max="2" width="11.42578125" style="112"/>
    <col min="3" max="3" width="13.140625" style="112" customWidth="1"/>
    <col min="4" max="4" width="13.28515625" style="112" customWidth="1"/>
    <col min="5" max="16384" width="11.42578125" style="112"/>
  </cols>
  <sheetData>
    <row r="1" spans="1:15" ht="13.5" thickBot="1" x14ac:dyDescent="0.25">
      <c r="A1" s="140" t="s">
        <v>9827</v>
      </c>
      <c r="B1" s="140"/>
    </row>
    <row r="2" spans="1:15" ht="13.5" thickTop="1" x14ac:dyDescent="0.2">
      <c r="A2" s="141"/>
      <c r="B2" s="142"/>
      <c r="C2" s="143" t="s">
        <v>52</v>
      </c>
      <c r="D2" s="144" t="s">
        <v>172</v>
      </c>
      <c r="E2" s="133" t="s">
        <v>173</v>
      </c>
      <c r="F2" s="133" t="s">
        <v>174</v>
      </c>
      <c r="G2" s="144" t="s">
        <v>175</v>
      </c>
      <c r="H2" s="133" t="s">
        <v>176</v>
      </c>
      <c r="I2" s="133" t="s">
        <v>177</v>
      </c>
      <c r="J2" s="133" t="s">
        <v>178</v>
      </c>
      <c r="K2" s="144" t="s">
        <v>179</v>
      </c>
      <c r="L2" s="133" t="s">
        <v>187</v>
      </c>
      <c r="M2" s="133" t="s">
        <v>188</v>
      </c>
      <c r="N2" s="133" t="s">
        <v>186</v>
      </c>
      <c r="O2" s="145" t="s">
        <v>185</v>
      </c>
    </row>
    <row r="3" spans="1:15" x14ac:dyDescent="0.2">
      <c r="A3" s="146"/>
      <c r="B3" s="147"/>
      <c r="C3" s="148">
        <v>2012</v>
      </c>
      <c r="D3" s="149" t="s">
        <v>28</v>
      </c>
      <c r="E3" s="149" t="s">
        <v>28</v>
      </c>
      <c r="F3" s="149" t="s">
        <v>28</v>
      </c>
      <c r="G3" s="149" t="s">
        <v>28</v>
      </c>
      <c r="H3" s="149" t="s">
        <v>28</v>
      </c>
      <c r="I3" s="149" t="s">
        <v>28</v>
      </c>
      <c r="J3" s="149" t="s">
        <v>28</v>
      </c>
      <c r="K3" s="149" t="s">
        <v>28</v>
      </c>
      <c r="L3" s="149" t="s">
        <v>28</v>
      </c>
      <c r="M3" s="149" t="s">
        <v>28</v>
      </c>
      <c r="N3" s="149" t="s">
        <v>28</v>
      </c>
      <c r="O3" s="244" t="s">
        <v>28</v>
      </c>
    </row>
    <row r="4" spans="1:15" x14ac:dyDescent="0.2">
      <c r="A4" s="146"/>
      <c r="B4" s="147"/>
      <c r="C4" s="150" t="s">
        <v>28</v>
      </c>
      <c r="D4" s="151"/>
      <c r="E4" s="152" t="s">
        <v>28</v>
      </c>
      <c r="F4" s="152"/>
      <c r="G4" s="151"/>
      <c r="H4" s="152"/>
      <c r="I4" s="152" t="s">
        <v>28</v>
      </c>
      <c r="J4" s="152"/>
      <c r="K4" s="151"/>
      <c r="L4" s="152"/>
      <c r="M4" s="152" t="s">
        <v>28</v>
      </c>
      <c r="N4" s="152"/>
      <c r="O4" s="153"/>
    </row>
    <row r="5" spans="1:15" ht="15.75" x14ac:dyDescent="0.25">
      <c r="A5" s="154" t="s">
        <v>111</v>
      </c>
      <c r="B5" s="155"/>
      <c r="C5" s="211">
        <f>SUM(D5:O5)</f>
        <v>13017464.711902676</v>
      </c>
      <c r="D5" s="157">
        <f>+Edo.Res.detalle!D7</f>
        <v>1020986.6939006819</v>
      </c>
      <c r="E5" s="157">
        <f>+Edo.Res.detalle!E7</f>
        <v>996883.34041970607</v>
      </c>
      <c r="F5" s="157">
        <f>+Edo.Res.detalle!F7</f>
        <v>1030730.7247940875</v>
      </c>
      <c r="G5" s="157">
        <f>+Edo.Res.detalle!G7</f>
        <v>1087935.9750019161</v>
      </c>
      <c r="H5" s="157">
        <f>+Edo.Res.detalle!H7</f>
        <v>1049254.3221196637</v>
      </c>
      <c r="I5" s="157">
        <f>+Edo.Res.detalle!I7</f>
        <v>1054343.2489207881</v>
      </c>
      <c r="J5" s="157">
        <f>+Edo.Res.detalle!J7</f>
        <v>1138111.0763286571</v>
      </c>
      <c r="K5" s="157">
        <f>+Edo.Res.detalle!K7</f>
        <v>1114598.7125952805</v>
      </c>
      <c r="L5" s="157">
        <f>+Edo.Res.detalle!L7</f>
        <v>986410.97257109336</v>
      </c>
      <c r="M5" s="157">
        <f>+Edo.Res.detalle!M7</f>
        <v>1273766.0226313123</v>
      </c>
      <c r="N5" s="157">
        <f>+Edo.Res.detalle!N7</f>
        <v>1132239.0129527182</v>
      </c>
      <c r="O5" s="158">
        <f>+Edo.Res.detalle!O7</f>
        <v>1132204.609666772</v>
      </c>
    </row>
    <row r="6" spans="1:15" ht="15.75" x14ac:dyDescent="0.25">
      <c r="A6" s="154"/>
      <c r="B6" s="155"/>
      <c r="C6" s="159"/>
      <c r="D6" s="160"/>
      <c r="E6" s="137"/>
      <c r="F6" s="137"/>
      <c r="G6" s="161" t="s">
        <v>28</v>
      </c>
      <c r="H6" s="137"/>
      <c r="I6" s="137"/>
      <c r="J6" s="137"/>
      <c r="K6" s="161" t="s">
        <v>28</v>
      </c>
      <c r="L6" s="137"/>
      <c r="M6" s="137"/>
      <c r="N6" s="137"/>
      <c r="O6" s="162" t="s">
        <v>28</v>
      </c>
    </row>
    <row r="7" spans="1:15" ht="15.75" x14ac:dyDescent="0.25">
      <c r="A7" s="154" t="s">
        <v>112</v>
      </c>
      <c r="B7" s="155"/>
      <c r="C7" s="211">
        <f>SUM(D7:O7)/12</f>
        <v>175.72</v>
      </c>
      <c r="D7" s="695">
        <f>D9*0.92</f>
        <v>172.04000000000002</v>
      </c>
      <c r="E7" s="695">
        <f t="shared" ref="E7:N7" si="0">E9*0.92</f>
        <v>172.04000000000002</v>
      </c>
      <c r="F7" s="695">
        <f t="shared" si="0"/>
        <v>172.04000000000002</v>
      </c>
      <c r="G7" s="695">
        <f t="shared" si="0"/>
        <v>173.88</v>
      </c>
      <c r="H7" s="695">
        <f t="shared" si="0"/>
        <v>175.72</v>
      </c>
      <c r="I7" s="695">
        <f t="shared" si="0"/>
        <v>177.56</v>
      </c>
      <c r="J7" s="695">
        <f t="shared" si="0"/>
        <v>177.56</v>
      </c>
      <c r="K7" s="695">
        <f t="shared" si="0"/>
        <v>177.56</v>
      </c>
      <c r="L7" s="695">
        <f t="shared" si="0"/>
        <v>177.56</v>
      </c>
      <c r="M7" s="695">
        <f t="shared" si="0"/>
        <v>177.56</v>
      </c>
      <c r="N7" s="695">
        <f t="shared" si="0"/>
        <v>177.56</v>
      </c>
      <c r="O7" s="696">
        <f>O9*0.92</f>
        <v>177.56</v>
      </c>
    </row>
    <row r="8" spans="1:15" ht="15.75" x14ac:dyDescent="0.25">
      <c r="A8" s="154"/>
      <c r="B8" s="155"/>
      <c r="C8" s="159"/>
      <c r="D8" s="160"/>
      <c r="E8" s="137"/>
      <c r="F8" s="137"/>
      <c r="G8" s="161" t="s">
        <v>28</v>
      </c>
      <c r="H8" s="137"/>
      <c r="I8" s="137"/>
      <c r="J8" s="137"/>
      <c r="K8" s="161" t="s">
        <v>28</v>
      </c>
      <c r="L8" s="137"/>
      <c r="M8" s="137"/>
      <c r="N8" s="137"/>
      <c r="O8" s="162" t="s">
        <v>28</v>
      </c>
    </row>
    <row r="9" spans="1:15" ht="15.75" x14ac:dyDescent="0.25">
      <c r="A9" s="154" t="s">
        <v>113</v>
      </c>
      <c r="B9" s="155"/>
      <c r="C9" s="159">
        <f>+'activo-detalle'!D26</f>
        <v>193</v>
      </c>
      <c r="D9" s="159">
        <f>+'activo-detalle'!E26</f>
        <v>187</v>
      </c>
      <c r="E9" s="159">
        <f>+'activo-detalle'!F26</f>
        <v>187</v>
      </c>
      <c r="F9" s="159">
        <f>+'activo-detalle'!G26</f>
        <v>187</v>
      </c>
      <c r="G9" s="160">
        <f>+'activo-detalle'!H26</f>
        <v>189</v>
      </c>
      <c r="H9" s="147">
        <f>+'activo-detalle'!I26</f>
        <v>191</v>
      </c>
      <c r="I9" s="159">
        <f>+'activo-detalle'!J26</f>
        <v>193</v>
      </c>
      <c r="J9" s="159">
        <f>+'activo-detalle'!K26</f>
        <v>193</v>
      </c>
      <c r="K9" s="160">
        <f>+'activo-detalle'!L26</f>
        <v>193</v>
      </c>
      <c r="L9" s="147">
        <f>+'activo-detalle'!M26</f>
        <v>193</v>
      </c>
      <c r="M9" s="159">
        <f>+'activo-detalle'!N26</f>
        <v>193</v>
      </c>
      <c r="N9" s="159">
        <f>+'activo-detalle'!O26</f>
        <v>193</v>
      </c>
      <c r="O9" s="138">
        <f>+'activo-detalle'!P26</f>
        <v>193</v>
      </c>
    </row>
    <row r="10" spans="1:15" ht="15.75" x14ac:dyDescent="0.25">
      <c r="A10" s="154"/>
      <c r="B10" s="155"/>
      <c r="C10" s="159"/>
      <c r="D10" s="160"/>
      <c r="E10" s="137"/>
      <c r="F10" s="137"/>
      <c r="G10" s="161" t="s">
        <v>28</v>
      </c>
      <c r="H10" s="137"/>
      <c r="I10" s="137"/>
      <c r="J10" s="137"/>
      <c r="K10" s="161" t="s">
        <v>28</v>
      </c>
      <c r="L10" s="137"/>
      <c r="M10" s="137"/>
      <c r="N10" s="137"/>
      <c r="O10" s="162" t="s">
        <v>28</v>
      </c>
    </row>
    <row r="11" spans="1:15" ht="15.75" x14ac:dyDescent="0.25">
      <c r="A11" s="154" t="s">
        <v>234</v>
      </c>
      <c r="B11" s="155"/>
      <c r="C11" s="430">
        <f>(C5/C7)/1000</f>
        <v>74.08072337754767</v>
      </c>
      <c r="D11" s="430">
        <f>(D5/D7)/1000</f>
        <v>5.9345890136054518</v>
      </c>
      <c r="E11" s="430">
        <f t="shared" ref="E11:O11" si="1">(E5/E7)/1000</f>
        <v>5.7944858196913858</v>
      </c>
      <c r="F11" s="430">
        <f t="shared" si="1"/>
        <v>5.9912271843413585</v>
      </c>
      <c r="G11" s="430">
        <f t="shared" si="1"/>
        <v>6.2568206521849321</v>
      </c>
      <c r="H11" s="430">
        <f t="shared" si="1"/>
        <v>5.9711718763923498</v>
      </c>
      <c r="I11" s="430">
        <f t="shared" si="1"/>
        <v>5.9379547697724036</v>
      </c>
      <c r="J11" s="430">
        <f t="shared" si="1"/>
        <v>6.4097267195801813</v>
      </c>
      <c r="K11" s="430">
        <f t="shared" si="1"/>
        <v>6.277307459986937</v>
      </c>
      <c r="L11" s="430">
        <f t="shared" si="1"/>
        <v>5.5553670453429449</v>
      </c>
      <c r="M11" s="430">
        <f t="shared" si="1"/>
        <v>7.1737216863669309</v>
      </c>
      <c r="N11" s="430">
        <f t="shared" si="1"/>
        <v>6.3766558512768539</v>
      </c>
      <c r="O11" s="430">
        <f t="shared" si="1"/>
        <v>6.3764620954425091</v>
      </c>
    </row>
    <row r="12" spans="1:15" ht="15.75" x14ac:dyDescent="0.25">
      <c r="A12" s="154"/>
      <c r="B12" s="155"/>
      <c r="C12" s="159"/>
      <c r="D12" s="160"/>
      <c r="E12" s="137"/>
      <c r="F12" s="137"/>
      <c r="G12" s="161"/>
      <c r="H12" s="137"/>
      <c r="I12" s="137"/>
      <c r="J12" s="137"/>
      <c r="K12" s="161"/>
      <c r="L12" s="137"/>
      <c r="M12" s="137"/>
      <c r="N12" s="137"/>
      <c r="O12" s="162"/>
    </row>
    <row r="13" spans="1:15" ht="15.75" x14ac:dyDescent="0.25">
      <c r="A13" s="154" t="s">
        <v>114</v>
      </c>
      <c r="B13" s="155"/>
      <c r="C13" s="163">
        <f>SUM(D13:O13)</f>
        <v>39783.690866018791</v>
      </c>
      <c r="D13" s="157">
        <f>+Edo.Res.detalle!D9</f>
        <v>3120.3155518644166</v>
      </c>
      <c r="E13" s="157">
        <f>+Edo.Res.detalle!E9</f>
        <v>3046.6525641229427</v>
      </c>
      <c r="F13" s="157">
        <f>+Edo.Res.detalle!F9</f>
        <v>3150.0947695131053</v>
      </c>
      <c r="G13" s="157">
        <f>+Edo.Res.detalle!G9</f>
        <v>3324.9247366542872</v>
      </c>
      <c r="H13" s="157">
        <f>+Edo.Res.detalle!H9</f>
        <v>3206.7038907274259</v>
      </c>
      <c r="I13" s="157">
        <f>+Edo.Res.detalle!I9</f>
        <v>3222.2612715089431</v>
      </c>
      <c r="J13" s="157">
        <f>+Edo.Res.detalle!J9</f>
        <v>3478.2700248796141</v>
      </c>
      <c r="K13" s="157">
        <f>+Edo.Res.detalle!K9</f>
        <v>3406.4142726098403</v>
      </c>
      <c r="L13" s="157">
        <f>+Edo.Res.detalle!L9</f>
        <v>3014.6461058391214</v>
      </c>
      <c r="M13" s="157">
        <f>+Edo.Res.detalle!M9</f>
        <v>3892.8549226845448</v>
      </c>
      <c r="N13" s="157">
        <f>+Edo.Res.detalle!N9</f>
        <v>3460.3222883999988</v>
      </c>
      <c r="O13" s="139">
        <f>+Edo.Res.detalle!O9</f>
        <v>3460.2304672145542</v>
      </c>
    </row>
    <row r="14" spans="1:15" ht="15.75" x14ac:dyDescent="0.25">
      <c r="A14" s="154"/>
      <c r="B14" s="155"/>
      <c r="C14" s="159"/>
      <c r="D14" s="160"/>
      <c r="E14" s="137"/>
      <c r="F14" s="137"/>
      <c r="G14" s="161" t="s">
        <v>28</v>
      </c>
      <c r="H14" s="137"/>
      <c r="I14" s="137"/>
      <c r="J14" s="137"/>
      <c r="K14" s="161" t="s">
        <v>28</v>
      </c>
      <c r="L14" s="137"/>
      <c r="M14" s="137"/>
      <c r="N14" s="137"/>
      <c r="O14" s="164" t="s">
        <v>28</v>
      </c>
    </row>
    <row r="15" spans="1:15" ht="15.75" x14ac:dyDescent="0.25">
      <c r="A15" s="154" t="s">
        <v>244</v>
      </c>
      <c r="B15" s="155"/>
      <c r="C15" s="163">
        <f>SUM(D15:O15)</f>
        <v>226.32676779067978</v>
      </c>
      <c r="D15" s="157">
        <f>+Edo.Res.detalle!D9/D7</f>
        <v>18.137151545363963</v>
      </c>
      <c r="E15" s="157">
        <f>+Edo.Res.detalle!E9/E7</f>
        <v>17.708977936078483</v>
      </c>
      <c r="F15" s="157">
        <f>+Edo.Res.detalle!F9/F7</f>
        <v>18.31024627710477</v>
      </c>
      <c r="G15" s="157">
        <f>+Edo.Res.detalle!G9/G7</f>
        <v>19.121950406339355</v>
      </c>
      <c r="H15" s="157">
        <f>+Edo.Res.detalle!H9/H7</f>
        <v>18.248940875981255</v>
      </c>
      <c r="I15" s="157">
        <f>+Edo.Res.detalle!I9/I7</f>
        <v>18.147450278829371</v>
      </c>
      <c r="J15" s="157">
        <f>+Edo.Res.detalle!J9/J7</f>
        <v>19.589265740479917</v>
      </c>
      <c r="K15" s="157">
        <f>+Edo.Res.detalle!K9/K7</f>
        <v>19.184581395640009</v>
      </c>
      <c r="L15" s="157">
        <f>+Edo.Res.detalle!L9/L7</f>
        <v>16.978182619053399</v>
      </c>
      <c r="M15" s="157">
        <f>+Edo.Res.detalle!M9/M7</f>
        <v>21.924166043503856</v>
      </c>
      <c r="N15" s="157">
        <f>+Edo.Res.detalle!N9/N7</f>
        <v>19.488185899977466</v>
      </c>
      <c r="O15" s="157">
        <f>+Edo.Res.detalle!O9/O7</f>
        <v>19.487668772327968</v>
      </c>
    </row>
    <row r="16" spans="1:15" ht="15.75" x14ac:dyDescent="0.25">
      <c r="A16" s="154"/>
      <c r="B16" s="155"/>
      <c r="C16" s="159"/>
      <c r="D16" s="160"/>
      <c r="E16" s="137"/>
      <c r="F16" s="137"/>
      <c r="G16" s="161"/>
      <c r="H16" s="137"/>
      <c r="I16" s="137"/>
      <c r="J16" s="137"/>
      <c r="K16" s="161"/>
      <c r="L16" s="137"/>
      <c r="M16" s="137"/>
      <c r="N16" s="137"/>
      <c r="O16" s="164"/>
    </row>
    <row r="17" spans="1:16" ht="15.75" x14ac:dyDescent="0.25">
      <c r="A17" s="154" t="s">
        <v>243</v>
      </c>
      <c r="B17" s="155"/>
      <c r="C17" s="165">
        <f>Edo.Res.detalle!B31/Edo.Res.detalle!B7</f>
        <v>20.121692711416046</v>
      </c>
      <c r="D17" s="165">
        <f>Edo.Res.detalle!D31/Edo.Res.detalle!D7</f>
        <v>18.391875723186466</v>
      </c>
      <c r="E17" s="165">
        <f>Edo.Res.detalle!E31/Edo.Res.detalle!E7</f>
        <v>19.72715512525718</v>
      </c>
      <c r="F17" s="165">
        <f>Edo.Res.detalle!F31/Edo.Res.detalle!F7</f>
        <v>19.594842783717375</v>
      </c>
      <c r="G17" s="165">
        <f>Edo.Res.detalle!G31/Edo.Res.detalle!G7</f>
        <v>19.744172320496833</v>
      </c>
      <c r="H17" s="165">
        <f>Edo.Res.detalle!H31/Edo.Res.detalle!H7</f>
        <v>20.801394760631563</v>
      </c>
      <c r="I17" s="165">
        <f>Edo.Res.detalle!I31/Edo.Res.detalle!I7</f>
        <v>20.720511118266387</v>
      </c>
      <c r="J17" s="165">
        <f>Edo.Res.detalle!J31/Edo.Res.detalle!J7</f>
        <v>20.217737211841545</v>
      </c>
      <c r="K17" s="165">
        <f>Edo.Res.detalle!K31/Edo.Res.detalle!K7</f>
        <v>20.505500258186437</v>
      </c>
      <c r="L17" s="165">
        <f>Edo.Res.detalle!L31/Edo.Res.detalle!L7</f>
        <v>21.503784894001928</v>
      </c>
      <c r="M17" s="165">
        <f>Edo.Res.detalle!M31/Edo.Res.detalle!M7</f>
        <v>19.509424556298885</v>
      </c>
      <c r="N17" s="165">
        <f>Edo.Res.detalle!N31/Edo.Res.detalle!N7</f>
        <v>20.240076504553045</v>
      </c>
      <c r="O17" s="166">
        <f>Edo.Res.detalle!O31/Edo.Res.detalle!O7</f>
        <v>20.575746738024392</v>
      </c>
      <c r="P17" s="112" t="s">
        <v>263</v>
      </c>
    </row>
    <row r="18" spans="1:16" ht="15.75" x14ac:dyDescent="0.25">
      <c r="A18" s="154"/>
      <c r="B18" s="155"/>
      <c r="C18" s="159"/>
      <c r="D18" s="160"/>
      <c r="E18" s="137"/>
      <c r="F18" s="137"/>
      <c r="G18" s="161" t="s">
        <v>28</v>
      </c>
      <c r="H18" s="137"/>
      <c r="I18" s="137"/>
      <c r="J18" s="137"/>
      <c r="K18" s="161" t="s">
        <v>28</v>
      </c>
      <c r="L18" s="137"/>
      <c r="M18" s="137"/>
      <c r="N18" s="137"/>
      <c r="O18" s="164" t="s">
        <v>28</v>
      </c>
    </row>
    <row r="19" spans="1:16" ht="15.75" x14ac:dyDescent="0.25">
      <c r="A19" s="154" t="s">
        <v>242</v>
      </c>
      <c r="B19" s="155"/>
      <c r="C19" s="165">
        <f>Edo.Res.detalle!B20/Edo.Res.detalle!B7</f>
        <v>28.536491220743549</v>
      </c>
      <c r="D19" s="165">
        <f>Edo.Res.detalle!D20/Edo.Res.detalle!D7</f>
        <v>25.68772362555163</v>
      </c>
      <c r="E19" s="165">
        <f>Edo.Res.detalle!E20/Edo.Res.detalle!E7</f>
        <v>27.690326122428988</v>
      </c>
      <c r="F19" s="165">
        <f>Edo.Res.detalle!F20/Edo.Res.detalle!F7</f>
        <v>27.72446469936957</v>
      </c>
      <c r="G19" s="165">
        <f>Edo.Res.detalle!G20/Edo.Res.detalle!G7</f>
        <v>27.995524301825068</v>
      </c>
      <c r="H19" s="165">
        <f>Edo.Res.detalle!H20/Edo.Res.detalle!H7</f>
        <v>29.021948226521175</v>
      </c>
      <c r="I19" s="165">
        <f>Edo.Res.detalle!I20/Edo.Res.detalle!I7</f>
        <v>28.900294578614098</v>
      </c>
      <c r="J19" s="165">
        <f>Edo.Res.detalle!J20/Edo.Res.detalle!J7</f>
        <v>29.255216053507333</v>
      </c>
      <c r="K19" s="165">
        <f>Edo.Res.detalle!K20/Edo.Res.detalle!K7</f>
        <v>29.230923889453386</v>
      </c>
      <c r="L19" s="165">
        <f>Edo.Res.detalle!L20/Edo.Res.detalle!L7</f>
        <v>29.572126182699233</v>
      </c>
      <c r="M19" s="165">
        <f>Edo.Res.detalle!M20/Edo.Res.detalle!M7</f>
        <v>28.882045767627222</v>
      </c>
      <c r="N19" s="165">
        <f>Edo.Res.detalle!N20/Edo.Res.detalle!N7</f>
        <v>28.983327500858707</v>
      </c>
      <c r="O19" s="166">
        <f>Edo.Res.detalle!O20/Edo.Res.detalle!O7</f>
        <v>29.176846349701034</v>
      </c>
      <c r="P19" s="112" t="s">
        <v>263</v>
      </c>
    </row>
    <row r="20" spans="1:16" ht="15.75" x14ac:dyDescent="0.25">
      <c r="A20" s="154"/>
      <c r="B20" s="155"/>
      <c r="C20" s="159"/>
      <c r="D20" s="160"/>
      <c r="E20" s="137"/>
      <c r="F20" s="137"/>
      <c r="G20" s="161" t="s">
        <v>28</v>
      </c>
      <c r="H20" s="137"/>
      <c r="I20" s="137"/>
      <c r="J20" s="137"/>
      <c r="K20" s="161" t="s">
        <v>28</v>
      </c>
      <c r="L20" s="137"/>
      <c r="M20" s="137"/>
      <c r="N20" s="137"/>
      <c r="O20" s="162" t="s">
        <v>28</v>
      </c>
    </row>
    <row r="21" spans="1:16" ht="15.75" x14ac:dyDescent="0.25">
      <c r="A21" s="154" t="s">
        <v>117</v>
      </c>
      <c r="B21" s="155"/>
      <c r="C21" s="160">
        <f>+C23+C25+C27+C29</f>
        <v>321</v>
      </c>
      <c r="D21" s="160">
        <f t="shared" ref="D21:N21" si="2">+D23+D25+D27+D29</f>
        <v>321</v>
      </c>
      <c r="E21" s="160">
        <f t="shared" si="2"/>
        <v>321</v>
      </c>
      <c r="F21" s="160">
        <f t="shared" si="2"/>
        <v>321</v>
      </c>
      <c r="G21" s="160">
        <f t="shared" si="2"/>
        <v>321</v>
      </c>
      <c r="H21" s="160">
        <f t="shared" si="2"/>
        <v>321</v>
      </c>
      <c r="I21" s="160">
        <f t="shared" si="2"/>
        <v>321</v>
      </c>
      <c r="J21" s="160">
        <f t="shared" si="2"/>
        <v>321</v>
      </c>
      <c r="K21" s="160">
        <f t="shared" si="2"/>
        <v>321</v>
      </c>
      <c r="L21" s="160">
        <f t="shared" si="2"/>
        <v>321</v>
      </c>
      <c r="M21" s="160">
        <f t="shared" si="2"/>
        <v>321</v>
      </c>
      <c r="N21" s="160">
        <f t="shared" si="2"/>
        <v>321</v>
      </c>
      <c r="O21" s="160">
        <f>+O23+O25+O27+O29</f>
        <v>321</v>
      </c>
    </row>
    <row r="22" spans="1:16" ht="15.75" x14ac:dyDescent="0.25">
      <c r="A22" s="154"/>
      <c r="B22" s="155"/>
      <c r="C22" s="159"/>
      <c r="D22" s="160"/>
      <c r="E22" s="137"/>
      <c r="F22" s="137"/>
      <c r="G22" s="161" t="s">
        <v>28</v>
      </c>
      <c r="H22" s="137"/>
      <c r="I22" s="137"/>
      <c r="J22" s="137"/>
      <c r="K22" s="161" t="s">
        <v>28</v>
      </c>
      <c r="L22" s="137"/>
      <c r="M22" s="137"/>
      <c r="N22" s="137"/>
      <c r="O22" s="162" t="s">
        <v>28</v>
      </c>
    </row>
    <row r="23" spans="1:16" ht="15.75" x14ac:dyDescent="0.25">
      <c r="A23" s="154" t="s">
        <v>118</v>
      </c>
      <c r="B23" s="155"/>
      <c r="C23" s="159">
        <v>80</v>
      </c>
      <c r="D23" s="160">
        <f>+C23</f>
        <v>80</v>
      </c>
      <c r="E23" s="160">
        <f>+D23</f>
        <v>80</v>
      </c>
      <c r="F23" s="160">
        <f>+E23</f>
        <v>80</v>
      </c>
      <c r="G23" s="160">
        <f t="shared" ref="G23:O23" si="3">+F23</f>
        <v>80</v>
      </c>
      <c r="H23" s="137">
        <f t="shared" si="3"/>
        <v>80</v>
      </c>
      <c r="I23" s="160">
        <f t="shared" si="3"/>
        <v>80</v>
      </c>
      <c r="J23" s="160">
        <f t="shared" si="3"/>
        <v>80</v>
      </c>
      <c r="K23" s="160">
        <f t="shared" si="3"/>
        <v>80</v>
      </c>
      <c r="L23" s="137">
        <f t="shared" si="3"/>
        <v>80</v>
      </c>
      <c r="M23" s="160">
        <f t="shared" si="3"/>
        <v>80</v>
      </c>
      <c r="N23" s="160">
        <f t="shared" si="3"/>
        <v>80</v>
      </c>
      <c r="O23" s="138">
        <f t="shared" si="3"/>
        <v>80</v>
      </c>
    </row>
    <row r="24" spans="1:16" ht="15.75" x14ac:dyDescent="0.25">
      <c r="A24" s="154"/>
      <c r="B24" s="155"/>
      <c r="C24" s="159"/>
      <c r="D24" s="160"/>
      <c r="E24" s="137"/>
      <c r="F24" s="137"/>
      <c r="G24" s="161" t="s">
        <v>28</v>
      </c>
      <c r="H24" s="137"/>
      <c r="I24" s="137"/>
      <c r="J24" s="137"/>
      <c r="K24" s="161" t="s">
        <v>28</v>
      </c>
      <c r="L24" s="137"/>
      <c r="M24" s="137"/>
      <c r="N24" s="137"/>
      <c r="O24" s="162" t="s">
        <v>28</v>
      </c>
    </row>
    <row r="25" spans="1:16" ht="15.75" x14ac:dyDescent="0.25">
      <c r="A25" s="210" t="s">
        <v>253</v>
      </c>
      <c r="B25" s="155"/>
      <c r="C25" s="159">
        <v>30</v>
      </c>
      <c r="D25" s="160">
        <f>+C25</f>
        <v>30</v>
      </c>
      <c r="E25" s="160">
        <f>+D25</f>
        <v>30</v>
      </c>
      <c r="F25" s="160">
        <f>+E25</f>
        <v>30</v>
      </c>
      <c r="G25" s="160">
        <f t="shared" ref="G25:O25" si="4">+F25</f>
        <v>30</v>
      </c>
      <c r="H25" s="137">
        <f t="shared" si="4"/>
        <v>30</v>
      </c>
      <c r="I25" s="160">
        <f t="shared" si="4"/>
        <v>30</v>
      </c>
      <c r="J25" s="160">
        <f t="shared" si="4"/>
        <v>30</v>
      </c>
      <c r="K25" s="160">
        <f t="shared" si="4"/>
        <v>30</v>
      </c>
      <c r="L25" s="137">
        <f t="shared" si="4"/>
        <v>30</v>
      </c>
      <c r="M25" s="160">
        <f t="shared" si="4"/>
        <v>30</v>
      </c>
      <c r="N25" s="160">
        <f t="shared" si="4"/>
        <v>30</v>
      </c>
      <c r="O25" s="138">
        <f t="shared" si="4"/>
        <v>30</v>
      </c>
    </row>
    <row r="26" spans="1:16" ht="15.75" x14ac:dyDescent="0.25">
      <c r="A26" s="154"/>
      <c r="B26" s="155"/>
      <c r="C26" s="159"/>
      <c r="D26" s="160"/>
      <c r="E26" s="137"/>
      <c r="F26" s="137"/>
      <c r="G26" s="160"/>
      <c r="H26" s="137"/>
      <c r="I26" s="137"/>
      <c r="J26" s="137"/>
      <c r="K26" s="160"/>
      <c r="L26" s="137"/>
      <c r="M26" s="137"/>
      <c r="N26" s="137"/>
      <c r="O26" s="167"/>
    </row>
    <row r="27" spans="1:16" ht="15.75" x14ac:dyDescent="0.25">
      <c r="A27" s="210" t="s">
        <v>254</v>
      </c>
      <c r="B27" s="155"/>
      <c r="C27" s="159">
        <v>16</v>
      </c>
      <c r="D27" s="160">
        <f>+C27</f>
        <v>16</v>
      </c>
      <c r="E27" s="160">
        <f t="shared" ref="E27:O27" si="5">+D27</f>
        <v>16</v>
      </c>
      <c r="F27" s="160">
        <f t="shared" si="5"/>
        <v>16</v>
      </c>
      <c r="G27" s="160">
        <f t="shared" si="5"/>
        <v>16</v>
      </c>
      <c r="H27" s="160">
        <f t="shared" si="5"/>
        <v>16</v>
      </c>
      <c r="I27" s="160">
        <f t="shared" si="5"/>
        <v>16</v>
      </c>
      <c r="J27" s="160">
        <f t="shared" si="5"/>
        <v>16</v>
      </c>
      <c r="K27" s="160">
        <f t="shared" si="5"/>
        <v>16</v>
      </c>
      <c r="L27" s="160">
        <f t="shared" si="5"/>
        <v>16</v>
      </c>
      <c r="M27" s="160">
        <f t="shared" si="5"/>
        <v>16</v>
      </c>
      <c r="N27" s="160">
        <f t="shared" si="5"/>
        <v>16</v>
      </c>
      <c r="O27" s="160">
        <f t="shared" si="5"/>
        <v>16</v>
      </c>
    </row>
    <row r="28" spans="1:16" ht="15.75" x14ac:dyDescent="0.25">
      <c r="A28" s="154"/>
      <c r="B28" s="155"/>
      <c r="C28" s="159"/>
      <c r="D28" s="160"/>
      <c r="E28" s="137"/>
      <c r="F28" s="137"/>
      <c r="G28" s="161" t="s">
        <v>28</v>
      </c>
      <c r="H28" s="137"/>
      <c r="I28" s="137"/>
      <c r="J28" s="137"/>
      <c r="K28" s="161" t="s">
        <v>28</v>
      </c>
      <c r="L28" s="137"/>
      <c r="M28" s="137"/>
      <c r="N28" s="137"/>
      <c r="O28" s="162" t="s">
        <v>28</v>
      </c>
    </row>
    <row r="29" spans="1:16" ht="15.75" x14ac:dyDescent="0.25">
      <c r="A29" s="154" t="s">
        <v>119</v>
      </c>
      <c r="B29" s="155"/>
      <c r="C29" s="159">
        <v>195</v>
      </c>
      <c r="D29" s="160">
        <f>+C29</f>
        <v>195</v>
      </c>
      <c r="E29" s="160">
        <f>+D29</f>
        <v>195</v>
      </c>
      <c r="F29" s="160">
        <f>+E29</f>
        <v>195</v>
      </c>
      <c r="G29" s="160">
        <f t="shared" ref="G29:O29" si="6">+F29</f>
        <v>195</v>
      </c>
      <c r="H29" s="137">
        <f t="shared" si="6"/>
        <v>195</v>
      </c>
      <c r="I29" s="160">
        <f t="shared" si="6"/>
        <v>195</v>
      </c>
      <c r="J29" s="160">
        <f t="shared" si="6"/>
        <v>195</v>
      </c>
      <c r="K29" s="160">
        <f t="shared" si="6"/>
        <v>195</v>
      </c>
      <c r="L29" s="137">
        <f t="shared" si="6"/>
        <v>195</v>
      </c>
      <c r="M29" s="160">
        <f t="shared" si="6"/>
        <v>195</v>
      </c>
      <c r="N29" s="160">
        <f t="shared" si="6"/>
        <v>195</v>
      </c>
      <c r="O29" s="138">
        <f t="shared" si="6"/>
        <v>195</v>
      </c>
    </row>
    <row r="30" spans="1:16" ht="15.75" x14ac:dyDescent="0.25">
      <c r="A30" s="154"/>
      <c r="B30" s="155"/>
      <c r="C30" s="159"/>
      <c r="D30" s="160"/>
      <c r="E30" s="137"/>
      <c r="F30" s="137"/>
      <c r="G30" s="161" t="s">
        <v>28</v>
      </c>
      <c r="H30" s="137"/>
      <c r="I30" s="137"/>
      <c r="J30" s="137"/>
      <c r="K30" s="161" t="s">
        <v>28</v>
      </c>
      <c r="L30" s="137"/>
      <c r="M30" s="137"/>
      <c r="N30" s="137"/>
      <c r="O30" s="162" t="s">
        <v>28</v>
      </c>
    </row>
    <row r="31" spans="1:16" ht="15.75" x14ac:dyDescent="0.25">
      <c r="A31" s="154" t="s">
        <v>120</v>
      </c>
      <c r="B31" s="155"/>
      <c r="C31" s="168">
        <f t="shared" ref="C31:O31" si="7">C21/C7</f>
        <v>1.826769861142727</v>
      </c>
      <c r="D31" s="168">
        <f t="shared" si="7"/>
        <v>1.8658451522901649</v>
      </c>
      <c r="E31" s="168">
        <f t="shared" si="7"/>
        <v>1.8658451522901649</v>
      </c>
      <c r="F31" s="168">
        <f t="shared" si="7"/>
        <v>1.8658451522901649</v>
      </c>
      <c r="G31" s="168">
        <f t="shared" si="7"/>
        <v>1.8461007591442375</v>
      </c>
      <c r="H31" s="169">
        <f t="shared" si="7"/>
        <v>1.826769861142727</v>
      </c>
      <c r="I31" s="168">
        <f t="shared" si="7"/>
        <v>1.8078396035143049</v>
      </c>
      <c r="J31" s="168">
        <f t="shared" si="7"/>
        <v>1.8078396035143049</v>
      </c>
      <c r="K31" s="168">
        <f t="shared" si="7"/>
        <v>1.8078396035143049</v>
      </c>
      <c r="L31" s="169">
        <f t="shared" si="7"/>
        <v>1.8078396035143049</v>
      </c>
      <c r="M31" s="168">
        <f t="shared" si="7"/>
        <v>1.8078396035143049</v>
      </c>
      <c r="N31" s="168">
        <f t="shared" si="7"/>
        <v>1.8078396035143049</v>
      </c>
      <c r="O31" s="170">
        <f t="shared" si="7"/>
        <v>1.8078396035143049</v>
      </c>
    </row>
    <row r="32" spans="1:16" ht="15.75" x14ac:dyDescent="0.25">
      <c r="A32" s="154"/>
      <c r="B32" s="155"/>
      <c r="C32" s="160"/>
      <c r="D32" s="160"/>
      <c r="E32" s="160"/>
      <c r="F32" s="160"/>
      <c r="G32" s="160"/>
      <c r="H32" s="137"/>
      <c r="I32" s="160"/>
      <c r="J32" s="160"/>
      <c r="K32" s="160"/>
      <c r="L32" s="137"/>
      <c r="M32" s="160"/>
      <c r="N32" s="160"/>
      <c r="O32" s="138"/>
    </row>
    <row r="33" spans="1:15" ht="15.75" x14ac:dyDescent="0.25">
      <c r="A33" s="154" t="s">
        <v>121</v>
      </c>
      <c r="B33" s="155"/>
      <c r="C33" s="168">
        <f t="shared" ref="C33:O33" si="8">C23/C7</f>
        <v>0.45526974732529024</v>
      </c>
      <c r="D33" s="168">
        <f t="shared" si="8"/>
        <v>0.46500813764240867</v>
      </c>
      <c r="E33" s="168">
        <f t="shared" si="8"/>
        <v>0.46500813764240867</v>
      </c>
      <c r="F33" s="168">
        <f t="shared" si="8"/>
        <v>0.46500813764240867</v>
      </c>
      <c r="G33" s="168">
        <f t="shared" si="8"/>
        <v>0.46008741660915575</v>
      </c>
      <c r="H33" s="169">
        <f t="shared" si="8"/>
        <v>0.45526974732529024</v>
      </c>
      <c r="I33" s="168">
        <f t="shared" si="8"/>
        <v>0.45055192610948414</v>
      </c>
      <c r="J33" s="168">
        <f t="shared" si="8"/>
        <v>0.45055192610948414</v>
      </c>
      <c r="K33" s="168">
        <f t="shared" si="8"/>
        <v>0.45055192610948414</v>
      </c>
      <c r="L33" s="169">
        <f t="shared" si="8"/>
        <v>0.45055192610948414</v>
      </c>
      <c r="M33" s="168">
        <f t="shared" si="8"/>
        <v>0.45055192610948414</v>
      </c>
      <c r="N33" s="168">
        <f t="shared" si="8"/>
        <v>0.45055192610948414</v>
      </c>
      <c r="O33" s="170">
        <f t="shared" si="8"/>
        <v>0.45055192610948414</v>
      </c>
    </row>
    <row r="34" spans="1:15" ht="15.75" x14ac:dyDescent="0.25">
      <c r="A34" s="154"/>
      <c r="B34" s="155"/>
      <c r="C34" s="160"/>
      <c r="D34" s="160"/>
      <c r="E34" s="160"/>
      <c r="F34" s="160"/>
      <c r="G34" s="160"/>
      <c r="H34" s="137"/>
      <c r="I34" s="160"/>
      <c r="J34" s="160"/>
      <c r="K34" s="160"/>
      <c r="L34" s="137"/>
      <c r="M34" s="160"/>
      <c r="N34" s="160"/>
      <c r="O34" s="138"/>
    </row>
    <row r="35" spans="1:15" ht="15.75" x14ac:dyDescent="0.25">
      <c r="A35" s="210" t="s">
        <v>255</v>
      </c>
      <c r="B35" s="155"/>
      <c r="C35" s="168">
        <f t="shared" ref="C35:O35" si="9">C25/C7</f>
        <v>0.17072615524698384</v>
      </c>
      <c r="D35" s="168">
        <f t="shared" si="9"/>
        <v>0.17437805161590325</v>
      </c>
      <c r="E35" s="168">
        <f t="shared" si="9"/>
        <v>0.17437805161590325</v>
      </c>
      <c r="F35" s="168">
        <f t="shared" si="9"/>
        <v>0.17437805161590325</v>
      </c>
      <c r="G35" s="168">
        <f t="shared" si="9"/>
        <v>0.17253278122843341</v>
      </c>
      <c r="H35" s="169">
        <f t="shared" si="9"/>
        <v>0.17072615524698384</v>
      </c>
      <c r="I35" s="168">
        <f t="shared" si="9"/>
        <v>0.16895697229105655</v>
      </c>
      <c r="J35" s="168">
        <f t="shared" si="9"/>
        <v>0.16895697229105655</v>
      </c>
      <c r="K35" s="168">
        <f t="shared" si="9"/>
        <v>0.16895697229105655</v>
      </c>
      <c r="L35" s="169">
        <f t="shared" si="9"/>
        <v>0.16895697229105655</v>
      </c>
      <c r="M35" s="168">
        <f t="shared" si="9"/>
        <v>0.16895697229105655</v>
      </c>
      <c r="N35" s="168">
        <f t="shared" si="9"/>
        <v>0.16895697229105655</v>
      </c>
      <c r="O35" s="170">
        <f t="shared" si="9"/>
        <v>0.16895697229105655</v>
      </c>
    </row>
    <row r="36" spans="1:15" ht="15.75" x14ac:dyDescent="0.25">
      <c r="A36" s="154"/>
      <c r="B36" s="155"/>
      <c r="C36" s="168"/>
      <c r="D36" s="168"/>
      <c r="E36" s="168"/>
      <c r="F36" s="168"/>
      <c r="G36" s="168"/>
      <c r="H36" s="169"/>
      <c r="I36" s="168"/>
      <c r="J36" s="168"/>
      <c r="K36" s="168"/>
      <c r="L36" s="169"/>
      <c r="M36" s="168"/>
      <c r="N36" s="168"/>
      <c r="O36" s="170"/>
    </row>
    <row r="37" spans="1:15" ht="15.75" x14ac:dyDescent="0.25">
      <c r="A37" s="210" t="s">
        <v>256</v>
      </c>
      <c r="B37" s="155"/>
      <c r="C37" s="168">
        <f>C27/C7</f>
        <v>9.1053949465058043E-2</v>
      </c>
      <c r="D37" s="168">
        <f t="shared" ref="D37:O37" si="10">D27/D7</f>
        <v>9.3001627528481734E-2</v>
      </c>
      <c r="E37" s="168">
        <f t="shared" si="10"/>
        <v>9.3001627528481734E-2</v>
      </c>
      <c r="F37" s="168">
        <f t="shared" si="10"/>
        <v>9.3001627528481734E-2</v>
      </c>
      <c r="G37" s="168">
        <f t="shared" si="10"/>
        <v>9.2017483321831156E-2</v>
      </c>
      <c r="H37" s="168">
        <f t="shared" si="10"/>
        <v>9.1053949465058043E-2</v>
      </c>
      <c r="I37" s="168">
        <f t="shared" si="10"/>
        <v>9.0110385221896822E-2</v>
      </c>
      <c r="J37" s="168">
        <f t="shared" si="10"/>
        <v>9.0110385221896822E-2</v>
      </c>
      <c r="K37" s="168">
        <f t="shared" si="10"/>
        <v>9.0110385221896822E-2</v>
      </c>
      <c r="L37" s="168">
        <f t="shared" si="10"/>
        <v>9.0110385221896822E-2</v>
      </c>
      <c r="M37" s="168">
        <f t="shared" si="10"/>
        <v>9.0110385221896822E-2</v>
      </c>
      <c r="N37" s="168">
        <f t="shared" si="10"/>
        <v>9.0110385221896822E-2</v>
      </c>
      <c r="O37" s="168">
        <f t="shared" si="10"/>
        <v>9.0110385221896822E-2</v>
      </c>
    </row>
    <row r="38" spans="1:15" ht="15.75" x14ac:dyDescent="0.25">
      <c r="A38" s="154"/>
      <c r="B38" s="155"/>
      <c r="C38" s="160"/>
      <c r="D38" s="160"/>
      <c r="E38" s="160"/>
      <c r="F38" s="160"/>
      <c r="G38" s="160"/>
      <c r="H38" s="137"/>
      <c r="I38" s="160"/>
      <c r="J38" s="160"/>
      <c r="K38" s="160"/>
      <c r="L38" s="137"/>
      <c r="M38" s="160"/>
      <c r="N38" s="160"/>
      <c r="O38" s="138"/>
    </row>
    <row r="39" spans="1:15" ht="15.75" x14ac:dyDescent="0.25">
      <c r="A39" s="154" t="s">
        <v>122</v>
      </c>
      <c r="B39" s="155"/>
      <c r="C39" s="168">
        <f>SUM(C23:C27)/C29</f>
        <v>0.64615384615384619</v>
      </c>
      <c r="D39" s="168">
        <f t="shared" ref="D39:O39" si="11">SUM(D23:D27)/D29</f>
        <v>0.64615384615384619</v>
      </c>
      <c r="E39" s="168">
        <f t="shared" si="11"/>
        <v>0.64615384615384619</v>
      </c>
      <c r="F39" s="168">
        <f t="shared" si="11"/>
        <v>0.64615384615384619</v>
      </c>
      <c r="G39" s="168">
        <f t="shared" si="11"/>
        <v>0.64615384615384619</v>
      </c>
      <c r="H39" s="168">
        <f t="shared" si="11"/>
        <v>0.64615384615384619</v>
      </c>
      <c r="I39" s="168">
        <f t="shared" si="11"/>
        <v>0.64615384615384619</v>
      </c>
      <c r="J39" s="168">
        <f t="shared" si="11"/>
        <v>0.64615384615384619</v>
      </c>
      <c r="K39" s="168">
        <f t="shared" si="11"/>
        <v>0.64615384615384619</v>
      </c>
      <c r="L39" s="168">
        <f t="shared" si="11"/>
        <v>0.64615384615384619</v>
      </c>
      <c r="M39" s="168">
        <f t="shared" si="11"/>
        <v>0.64615384615384619</v>
      </c>
      <c r="N39" s="168">
        <f t="shared" si="11"/>
        <v>0.64615384615384619</v>
      </c>
      <c r="O39" s="168">
        <f t="shared" si="11"/>
        <v>0.64615384615384619</v>
      </c>
    </row>
    <row r="40" spans="1:15" ht="15.75" x14ac:dyDescent="0.25">
      <c r="A40" s="154"/>
      <c r="B40" s="155"/>
      <c r="C40" s="160"/>
      <c r="D40" s="160"/>
      <c r="E40" s="160"/>
      <c r="F40" s="160"/>
      <c r="G40" s="160"/>
      <c r="H40" s="137"/>
      <c r="I40" s="160"/>
      <c r="J40" s="160"/>
      <c r="K40" s="160"/>
      <c r="L40" s="137"/>
      <c r="M40" s="160"/>
      <c r="N40" s="160"/>
      <c r="O40" s="138"/>
    </row>
    <row r="41" spans="1:15" ht="16.5" thickBot="1" x14ac:dyDescent="0.3">
      <c r="A41" s="171" t="s">
        <v>123</v>
      </c>
      <c r="B41" s="172"/>
      <c r="C41" s="173">
        <f t="shared" ref="C41:O41" si="12">C13/C21</f>
        <v>123.93673166984047</v>
      </c>
      <c r="D41" s="173">
        <f t="shared" si="12"/>
        <v>9.7206091958393035</v>
      </c>
      <c r="E41" s="173">
        <f t="shared" si="12"/>
        <v>9.4911294832490434</v>
      </c>
      <c r="F41" s="173">
        <f t="shared" si="12"/>
        <v>9.8133793442775872</v>
      </c>
      <c r="G41" s="173">
        <f t="shared" si="12"/>
        <v>10.358020986461954</v>
      </c>
      <c r="H41" s="173">
        <f t="shared" si="12"/>
        <v>9.9897317468144102</v>
      </c>
      <c r="I41" s="173">
        <f t="shared" si="12"/>
        <v>10.038197107504496</v>
      </c>
      <c r="J41" s="173">
        <f t="shared" si="12"/>
        <v>10.835732164734001</v>
      </c>
      <c r="K41" s="173">
        <f t="shared" si="12"/>
        <v>10.611882469189533</v>
      </c>
      <c r="L41" s="173">
        <f t="shared" si="12"/>
        <v>9.391420890464552</v>
      </c>
      <c r="M41" s="173">
        <f t="shared" si="12"/>
        <v>12.127273902444065</v>
      </c>
      <c r="N41" s="173">
        <f t="shared" si="12"/>
        <v>10.779820213084108</v>
      </c>
      <c r="O41" s="174">
        <f t="shared" si="12"/>
        <v>10.779534165777427</v>
      </c>
    </row>
    <row r="42" spans="1:15" ht="14.25" thickTop="1" thickBot="1" x14ac:dyDescent="0.25"/>
    <row r="43" spans="1:15" ht="13.5" thickTop="1" x14ac:dyDescent="0.2">
      <c r="A43" s="141"/>
      <c r="B43" s="142"/>
      <c r="C43" s="1790" t="s">
        <v>295</v>
      </c>
      <c r="D43" s="1788"/>
      <c r="E43" s="1788"/>
      <c r="F43" s="1789"/>
      <c r="H43" s="1787" t="s">
        <v>294</v>
      </c>
      <c r="I43" s="1788"/>
      <c r="J43" s="1788"/>
      <c r="K43" s="1789"/>
    </row>
    <row r="44" spans="1:15" x14ac:dyDescent="0.2">
      <c r="A44" s="146"/>
      <c r="B44" s="147"/>
      <c r="C44" s="148" t="s">
        <v>189</v>
      </c>
      <c r="D44" s="149" t="s">
        <v>190</v>
      </c>
      <c r="E44" s="490" t="s">
        <v>191</v>
      </c>
      <c r="F44" s="244" t="s">
        <v>192</v>
      </c>
      <c r="H44" s="475" t="s">
        <v>189</v>
      </c>
      <c r="I44" s="472" t="s">
        <v>190</v>
      </c>
      <c r="J44" s="473" t="s">
        <v>191</v>
      </c>
      <c r="K44" s="474" t="s">
        <v>192</v>
      </c>
    </row>
    <row r="45" spans="1:15" x14ac:dyDescent="0.2">
      <c r="A45" s="146"/>
      <c r="B45" s="147"/>
      <c r="C45" s="150">
        <v>2011</v>
      </c>
      <c r="D45" s="489">
        <v>2011</v>
      </c>
      <c r="E45" s="489">
        <v>2011</v>
      </c>
      <c r="F45" s="244">
        <v>2011</v>
      </c>
      <c r="H45" s="476" t="s">
        <v>28</v>
      </c>
      <c r="I45" s="151" t="s">
        <v>28</v>
      </c>
      <c r="J45" s="152" t="s">
        <v>28</v>
      </c>
      <c r="K45" s="245" t="s">
        <v>28</v>
      </c>
    </row>
    <row r="46" spans="1:15" ht="15.75" x14ac:dyDescent="0.25">
      <c r="A46" s="154" t="s">
        <v>111</v>
      </c>
      <c r="B46" s="155"/>
      <c r="C46" s="156">
        <f>+D5+E5+F5</f>
        <v>3048600.7591144755</v>
      </c>
      <c r="D46" s="156">
        <f>+G5+H5+I5</f>
        <v>3191533.5460423678</v>
      </c>
      <c r="E46" s="156">
        <f>+J5+K5+L5</f>
        <v>3239120.7614950314</v>
      </c>
      <c r="F46" s="158">
        <f>+M5+N5+O5</f>
        <v>3538209.6452508029</v>
      </c>
      <c r="H46" s="481">
        <f>SUM(D5:F5)</f>
        <v>3048600.7591144755</v>
      </c>
      <c r="I46" s="482">
        <f>SUM(D5:I5)</f>
        <v>6240134.3051568428</v>
      </c>
      <c r="J46" s="482">
        <f>SUM(D5:L5)</f>
        <v>9479255.0666518733</v>
      </c>
      <c r="K46" s="477">
        <f>SUM(D5:O5)</f>
        <v>13017464.711902676</v>
      </c>
    </row>
    <row r="47" spans="1:15" ht="15.75" x14ac:dyDescent="0.25">
      <c r="A47" s="154"/>
      <c r="B47" s="155"/>
      <c r="C47" s="159"/>
      <c r="D47" s="160"/>
      <c r="E47" s="137"/>
      <c r="F47" s="138"/>
      <c r="H47" s="124"/>
      <c r="I47" s="160"/>
      <c r="J47" s="160"/>
      <c r="K47" s="167"/>
    </row>
    <row r="48" spans="1:15" ht="15.75" x14ac:dyDescent="0.25">
      <c r="A48" s="154" t="s">
        <v>112</v>
      </c>
      <c r="B48" s="155"/>
      <c r="C48" s="159">
        <f>+F7</f>
        <v>172.04000000000002</v>
      </c>
      <c r="D48" s="160">
        <f>+I7</f>
        <v>177.56</v>
      </c>
      <c r="E48" s="137">
        <f>+L7</f>
        <v>177.56</v>
      </c>
      <c r="F48" s="139">
        <f>+O7</f>
        <v>177.56</v>
      </c>
      <c r="H48" s="483">
        <f>SUM(D7:F7)/3</f>
        <v>172.04000000000005</v>
      </c>
      <c r="I48" s="157">
        <f>SUM(D7:I7)/6</f>
        <v>173.88000000000002</v>
      </c>
      <c r="J48" s="157">
        <f>SUM(D7:L7)/9</f>
        <v>175.10666666666668</v>
      </c>
      <c r="K48" s="477">
        <f>SUM(D7:O7)/12</f>
        <v>175.72</v>
      </c>
    </row>
    <row r="49" spans="1:11" ht="15.75" x14ac:dyDescent="0.25">
      <c r="A49" s="154"/>
      <c r="B49" s="155"/>
      <c r="C49" s="159"/>
      <c r="D49" s="160"/>
      <c r="E49" s="137"/>
      <c r="F49" s="138"/>
      <c r="H49" s="124"/>
      <c r="I49" s="160"/>
      <c r="J49" s="160"/>
      <c r="K49" s="167"/>
    </row>
    <row r="50" spans="1:11" ht="15.75" x14ac:dyDescent="0.25">
      <c r="A50" s="154" t="s">
        <v>113</v>
      </c>
      <c r="B50" s="155"/>
      <c r="C50" s="159">
        <f>+F9</f>
        <v>187</v>
      </c>
      <c r="D50" s="160">
        <f>+I9</f>
        <v>193</v>
      </c>
      <c r="E50" s="137">
        <f>+L9</f>
        <v>193</v>
      </c>
      <c r="F50" s="139">
        <f>+O9</f>
        <v>193</v>
      </c>
      <c r="H50" s="483">
        <f>SUM(D9:F9)/3</f>
        <v>187</v>
      </c>
      <c r="I50" s="157">
        <f>SUM(D9:I9)/6</f>
        <v>189</v>
      </c>
      <c r="J50" s="157">
        <f>SUM(D9:L9)/9</f>
        <v>190.33333333333334</v>
      </c>
      <c r="K50" s="477">
        <f>SUM(D9:O9)/12</f>
        <v>191</v>
      </c>
    </row>
    <row r="51" spans="1:11" ht="15.75" x14ac:dyDescent="0.25">
      <c r="A51" s="154"/>
      <c r="B51" s="155"/>
      <c r="C51" s="159"/>
      <c r="D51" s="160"/>
      <c r="E51" s="137"/>
      <c r="F51" s="138"/>
      <c r="H51" s="124"/>
      <c r="I51" s="160"/>
      <c r="J51" s="160"/>
      <c r="K51" s="167"/>
    </row>
    <row r="52" spans="1:11" ht="15.75" x14ac:dyDescent="0.25">
      <c r="A52" s="154" t="s">
        <v>234</v>
      </c>
      <c r="B52" s="155"/>
      <c r="C52" s="254">
        <f>(D11+E11+F11)</f>
        <v>17.720302017638197</v>
      </c>
      <c r="D52" s="254">
        <f>(G11+H11+I11)</f>
        <v>18.165947298349685</v>
      </c>
      <c r="E52" s="254">
        <f>(J11+K11+L11)</f>
        <v>18.242401224910061</v>
      </c>
      <c r="F52" s="255">
        <f>(M11+N11+O11)</f>
        <v>19.926839633086296</v>
      </c>
      <c r="H52" s="484">
        <f>(H46/H48)/1000</f>
        <v>17.72030201763819</v>
      </c>
      <c r="I52" s="485">
        <f>(I46/I48)/1000</f>
        <v>35.887590896922255</v>
      </c>
      <c r="J52" s="485">
        <f>(J46/J48)/1000</f>
        <v>54.134175740416538</v>
      </c>
      <c r="K52" s="478">
        <f>(K46/K48)/1000</f>
        <v>74.08072337754767</v>
      </c>
    </row>
    <row r="53" spans="1:11" ht="15.75" x14ac:dyDescent="0.25">
      <c r="A53" s="154"/>
      <c r="B53" s="155"/>
      <c r="C53" s="159"/>
      <c r="D53" s="160"/>
      <c r="E53" s="147"/>
      <c r="F53" s="138"/>
      <c r="H53" s="124"/>
      <c r="I53" s="160"/>
      <c r="J53" s="160"/>
      <c r="K53" s="167"/>
    </row>
    <row r="54" spans="1:11" ht="15.75" x14ac:dyDescent="0.25">
      <c r="A54" s="154" t="s">
        <v>114</v>
      </c>
      <c r="B54" s="155"/>
      <c r="C54" s="156">
        <f>+D13+E13+F13</f>
        <v>9317.0628855004652</v>
      </c>
      <c r="D54" s="156">
        <f>+G13+H13+I13</f>
        <v>9753.8898988906567</v>
      </c>
      <c r="E54" s="156">
        <f>+J13+K13+L13</f>
        <v>9899.3304033285749</v>
      </c>
      <c r="F54" s="139">
        <f>+M13+N13+O13</f>
        <v>10813.407678299098</v>
      </c>
      <c r="H54" s="483">
        <f>SUM(D13:F13)</f>
        <v>9317.0628855004652</v>
      </c>
      <c r="I54" s="157">
        <f>SUM(D13:I13)</f>
        <v>19070.95278439112</v>
      </c>
      <c r="J54" s="157">
        <f>SUM(D13:L13)</f>
        <v>28970.283187719695</v>
      </c>
      <c r="K54" s="477">
        <f>SUM(D13:O13)</f>
        <v>39783.690866018791</v>
      </c>
    </row>
    <row r="55" spans="1:11" ht="15.75" x14ac:dyDescent="0.25">
      <c r="A55" s="154"/>
      <c r="B55" s="155"/>
      <c r="C55" s="156"/>
      <c r="D55" s="160"/>
      <c r="E55" s="256"/>
      <c r="F55" s="139"/>
      <c r="H55" s="124"/>
      <c r="I55" s="160"/>
      <c r="J55" s="160"/>
      <c r="K55" s="167"/>
    </row>
    <row r="56" spans="1:11" ht="15.75" x14ac:dyDescent="0.25">
      <c r="A56" s="154" t="s">
        <v>244</v>
      </c>
      <c r="B56" s="155"/>
      <c r="C56" s="156">
        <f>+D15+E15+F15</f>
        <v>54.156375758547213</v>
      </c>
      <c r="D56" s="156">
        <f>+G15+H15+I15</f>
        <v>55.518341561149981</v>
      </c>
      <c r="E56" s="156">
        <f>+J15+K15+L15</f>
        <v>55.752029755173325</v>
      </c>
      <c r="F56" s="139">
        <f>+M15+N15+O15</f>
        <v>60.900020715809291</v>
      </c>
      <c r="H56" s="483">
        <f>H54/H48</f>
        <v>54.156375758547213</v>
      </c>
      <c r="I56" s="157">
        <f>I54/I48</f>
        <v>109.67881748557119</v>
      </c>
      <c r="J56" s="157">
        <f>J54/J48</f>
        <v>165.44363352463085</v>
      </c>
      <c r="K56" s="477">
        <f>K54/K48</f>
        <v>226.40388610299789</v>
      </c>
    </row>
    <row r="57" spans="1:11" ht="15.75" x14ac:dyDescent="0.25">
      <c r="A57" s="154"/>
      <c r="B57" s="155"/>
      <c r="C57" s="159"/>
      <c r="D57" s="160"/>
      <c r="E57" s="137"/>
      <c r="F57" s="138"/>
      <c r="H57" s="124"/>
      <c r="I57" s="160"/>
      <c r="J57" s="160"/>
      <c r="K57" s="167"/>
    </row>
    <row r="58" spans="1:11" ht="15.75" x14ac:dyDescent="0.25">
      <c r="A58" s="154" t="s">
        <v>115</v>
      </c>
      <c r="B58" s="155"/>
      <c r="C58" s="165">
        <f>Edo.Res.detalle!Q31/Edo.Res.detalle!Q7</f>
        <v>19.235230791326362</v>
      </c>
      <c r="D58" s="165">
        <f>Edo.Res.detalle!S31/Edo.Res.detalle!S7</f>
        <v>20.414286359402393</v>
      </c>
      <c r="E58" s="165">
        <f>Edo.Res.detalle!W31/Edo.Res.detalle!W7</f>
        <v>20.708398716288688</v>
      </c>
      <c r="F58" s="166">
        <f>Edo.Res.detalle!AA31/Edo.Res.detalle!AA7</f>
        <v>20.084451966835093</v>
      </c>
      <c r="H58" s="484">
        <f>SUM(D17:F17)/3</f>
        <v>19.237957877387007</v>
      </c>
      <c r="I58" s="485">
        <f>SUM(D17:I17)/6</f>
        <v>19.829991971925967</v>
      </c>
      <c r="J58" s="485">
        <f>SUM(D17:L17)/9</f>
        <v>20.134108243953971</v>
      </c>
      <c r="K58" s="478">
        <f>SUM(D17:O17)/12</f>
        <v>20.127685166205172</v>
      </c>
    </row>
    <row r="59" spans="1:11" ht="15.75" x14ac:dyDescent="0.25">
      <c r="A59" s="154"/>
      <c r="B59" s="155"/>
      <c r="C59" s="159"/>
      <c r="D59" s="160"/>
      <c r="E59" s="137"/>
      <c r="F59" s="138"/>
      <c r="H59" s="124"/>
      <c r="I59" s="160"/>
      <c r="J59" s="160"/>
      <c r="K59" s="167"/>
    </row>
    <row r="60" spans="1:11" ht="15.75" x14ac:dyDescent="0.25">
      <c r="A60" s="154" t="s">
        <v>116</v>
      </c>
      <c r="B60" s="155"/>
      <c r="C60" s="165">
        <f>Edo.Res.detalle!Q20/Edo.Res.detalle!Q7</f>
        <v>27.031190019965269</v>
      </c>
      <c r="D60" s="165">
        <f>Edo.Res.detalle!S20/Edo.Res.detalle!S7</f>
        <v>28.631869852693409</v>
      </c>
      <c r="E60" s="165">
        <f>Edo.Res.detalle!W20/Edo.Res.detalle!W7</f>
        <v>29.343365781472809</v>
      </c>
      <c r="F60" s="166">
        <f>Edo.Res.detalle!AA20/Edo.Res.detalle!AA7</f>
        <v>29.008790577173059</v>
      </c>
      <c r="H60" s="484">
        <f>SUM(D19:F19)/3</f>
        <v>27.034171482450063</v>
      </c>
      <c r="I60" s="485">
        <f>SUM(D19:I19)/6</f>
        <v>27.836713592385092</v>
      </c>
      <c r="J60" s="485">
        <f>SUM(D19:L19)/9</f>
        <v>28.342060853330054</v>
      </c>
      <c r="K60" s="478">
        <f>SUM(D19:O19)/12</f>
        <v>28.510063941513121</v>
      </c>
    </row>
    <row r="61" spans="1:11" ht="15.75" x14ac:dyDescent="0.25">
      <c r="A61" s="154"/>
      <c r="B61" s="155"/>
      <c r="C61" s="159"/>
      <c r="D61" s="160"/>
      <c r="E61" s="137"/>
      <c r="F61" s="138"/>
      <c r="H61" s="124"/>
      <c r="I61" s="160"/>
      <c r="J61" s="160"/>
      <c r="K61" s="167"/>
    </row>
    <row r="62" spans="1:11" ht="15.75" x14ac:dyDescent="0.25">
      <c r="A62" s="154" t="s">
        <v>117</v>
      </c>
      <c r="B62" s="155"/>
      <c r="C62" s="160">
        <f>+C64+C66+C68+C70</f>
        <v>321</v>
      </c>
      <c r="D62" s="160">
        <f>+D64+D66+D68+D70</f>
        <v>321</v>
      </c>
      <c r="E62" s="160">
        <f>+E64+E66+E68+E70</f>
        <v>321</v>
      </c>
      <c r="F62" s="138">
        <f>+F64+F66+F68+F70</f>
        <v>321</v>
      </c>
      <c r="H62" s="483">
        <f>SUM(D21:F21)/3</f>
        <v>321</v>
      </c>
      <c r="I62" s="157">
        <f>SUM(D21:I21)/6</f>
        <v>321</v>
      </c>
      <c r="J62" s="157">
        <f>SUM(D21:L21)/9</f>
        <v>321</v>
      </c>
      <c r="K62" s="477">
        <f>SUM(D21:O21)/12</f>
        <v>321</v>
      </c>
    </row>
    <row r="63" spans="1:11" ht="15.75" x14ac:dyDescent="0.25">
      <c r="A63" s="154"/>
      <c r="B63" s="155"/>
      <c r="C63" s="159"/>
      <c r="D63" s="160"/>
      <c r="E63" s="137"/>
      <c r="F63" s="138"/>
      <c r="H63" s="124"/>
      <c r="I63" s="160"/>
      <c r="J63" s="160"/>
      <c r="K63" s="167"/>
    </row>
    <row r="64" spans="1:11" ht="15.75" x14ac:dyDescent="0.25">
      <c r="A64" s="154" t="s">
        <v>118</v>
      </c>
      <c r="B64" s="155"/>
      <c r="C64" s="159">
        <f>+F23</f>
        <v>80</v>
      </c>
      <c r="D64" s="159">
        <f>+I23</f>
        <v>80</v>
      </c>
      <c r="E64" s="159">
        <f>+L23</f>
        <v>80</v>
      </c>
      <c r="F64" s="138">
        <f>+O23</f>
        <v>80</v>
      </c>
      <c r="H64" s="483">
        <f>SUM(D23:F23)/3</f>
        <v>80</v>
      </c>
      <c r="I64" s="157">
        <f>SUM(E23:G23)/3</f>
        <v>80</v>
      </c>
      <c r="J64" s="157">
        <f>SUM(F23:H23)/3</f>
        <v>80</v>
      </c>
      <c r="K64" s="477">
        <f>SUM(G23:I23)/3</f>
        <v>80</v>
      </c>
    </row>
    <row r="65" spans="1:11" ht="15.75" x14ac:dyDescent="0.25">
      <c r="A65" s="154"/>
      <c r="B65" s="155"/>
      <c r="C65" s="159"/>
      <c r="D65" s="160"/>
      <c r="E65" s="137"/>
      <c r="F65" s="138"/>
      <c r="H65" s="124"/>
      <c r="I65" s="160"/>
      <c r="J65" s="160"/>
      <c r="K65" s="167"/>
    </row>
    <row r="66" spans="1:11" ht="15.75" x14ac:dyDescent="0.25">
      <c r="A66" s="210" t="s">
        <v>253</v>
      </c>
      <c r="B66" s="155"/>
      <c r="C66" s="159">
        <f>+F25</f>
        <v>30</v>
      </c>
      <c r="D66" s="159">
        <f>+I25</f>
        <v>30</v>
      </c>
      <c r="E66" s="159">
        <f>+L25</f>
        <v>30</v>
      </c>
      <c r="F66" s="138">
        <f>+O25</f>
        <v>30</v>
      </c>
      <c r="H66" s="483">
        <f>SUM(D25:F25)/3</f>
        <v>30</v>
      </c>
      <c r="I66" s="157">
        <f>SUM(E25:G25)/3</f>
        <v>30</v>
      </c>
      <c r="J66" s="157">
        <f>SUM(F25:H25)/3</f>
        <v>30</v>
      </c>
      <c r="K66" s="477">
        <f>SUM(G25:I25)/3</f>
        <v>30</v>
      </c>
    </row>
    <row r="67" spans="1:11" ht="15.75" x14ac:dyDescent="0.25">
      <c r="A67" s="154"/>
      <c r="B67" s="155"/>
      <c r="C67" s="159"/>
      <c r="D67" s="159"/>
      <c r="E67" s="159"/>
      <c r="F67" s="138"/>
      <c r="H67" s="124"/>
      <c r="I67" s="160"/>
      <c r="J67" s="160"/>
      <c r="K67" s="167"/>
    </row>
    <row r="68" spans="1:11" ht="15.75" x14ac:dyDescent="0.25">
      <c r="A68" s="210" t="s">
        <v>254</v>
      </c>
      <c r="B68" s="155"/>
      <c r="C68" s="159">
        <f>+F27</f>
        <v>16</v>
      </c>
      <c r="D68" s="159">
        <f>+I27</f>
        <v>16</v>
      </c>
      <c r="E68" s="159">
        <f>+J27</f>
        <v>16</v>
      </c>
      <c r="F68" s="138">
        <f>+O27</f>
        <v>16</v>
      </c>
      <c r="H68" s="483">
        <f>SUM(D27:F27)/3</f>
        <v>16</v>
      </c>
      <c r="I68" s="157">
        <f>SUM(E27:G27)/3</f>
        <v>16</v>
      </c>
      <c r="J68" s="157">
        <f>SUM(F27:H27)/3</f>
        <v>16</v>
      </c>
      <c r="K68" s="477">
        <f>SUM(G27:I27)/3</f>
        <v>16</v>
      </c>
    </row>
    <row r="69" spans="1:11" ht="15.75" x14ac:dyDescent="0.25">
      <c r="A69" s="154"/>
      <c r="B69" s="155"/>
      <c r="C69" s="159"/>
      <c r="D69" s="159"/>
      <c r="E69" s="159"/>
      <c r="F69" s="138"/>
      <c r="H69" s="124"/>
      <c r="I69" s="160"/>
      <c r="J69" s="160"/>
      <c r="K69" s="167"/>
    </row>
    <row r="70" spans="1:11" ht="15.75" x14ac:dyDescent="0.25">
      <c r="A70" s="154" t="s">
        <v>119</v>
      </c>
      <c r="B70" s="155"/>
      <c r="C70" s="159">
        <f>+F29</f>
        <v>195</v>
      </c>
      <c r="D70" s="159">
        <f>+I29</f>
        <v>195</v>
      </c>
      <c r="E70" s="159">
        <f>+L29</f>
        <v>195</v>
      </c>
      <c r="F70" s="138">
        <f>+O29</f>
        <v>195</v>
      </c>
      <c r="H70" s="483">
        <f>SUM(D29:F29)/3</f>
        <v>195</v>
      </c>
      <c r="I70" s="157">
        <f>SUM(E29:G29)/3</f>
        <v>195</v>
      </c>
      <c r="J70" s="157">
        <f>SUM(F29:H29)/3</f>
        <v>195</v>
      </c>
      <c r="K70" s="477">
        <f>SUM(G29:I29)/3</f>
        <v>195</v>
      </c>
    </row>
    <row r="71" spans="1:11" ht="15.75" x14ac:dyDescent="0.25">
      <c r="A71" s="154"/>
      <c r="B71" s="155"/>
      <c r="C71" s="159"/>
      <c r="D71" s="160"/>
      <c r="E71" s="137"/>
      <c r="F71" s="138"/>
      <c r="H71" s="124"/>
      <c r="I71" s="160"/>
      <c r="J71" s="160"/>
      <c r="K71" s="167"/>
    </row>
    <row r="72" spans="1:11" ht="15.75" x14ac:dyDescent="0.25">
      <c r="A72" s="154" t="s">
        <v>120</v>
      </c>
      <c r="B72" s="155"/>
      <c r="C72" s="168">
        <f>C62/C48</f>
        <v>1.8658451522901649</v>
      </c>
      <c r="D72" s="168">
        <f>D62/D48</f>
        <v>1.8078396035143049</v>
      </c>
      <c r="E72" s="168">
        <f>E62/E48</f>
        <v>1.8078396035143049</v>
      </c>
      <c r="F72" s="170">
        <f>F62/F48</f>
        <v>1.8078396035143049</v>
      </c>
      <c r="H72" s="486">
        <f>SUM(D31:F31)/3</f>
        <v>1.8658451522901649</v>
      </c>
      <c r="I72" s="487">
        <f>SUM(E31:G31)/3</f>
        <v>1.8592636879081892</v>
      </c>
      <c r="J72" s="487">
        <f>SUM(F31:H31)/3</f>
        <v>1.8462385908590431</v>
      </c>
      <c r="K72" s="479">
        <f>SUM(G31:I31)/3</f>
        <v>1.8269034079337565</v>
      </c>
    </row>
    <row r="73" spans="1:11" ht="15.75" x14ac:dyDescent="0.25">
      <c r="A73" s="154"/>
      <c r="B73" s="155"/>
      <c r="C73" s="160"/>
      <c r="D73" s="160"/>
      <c r="E73" s="160"/>
      <c r="F73" s="138"/>
      <c r="H73" s="124"/>
      <c r="I73" s="160"/>
      <c r="J73" s="160"/>
      <c r="K73" s="167"/>
    </row>
    <row r="74" spans="1:11" ht="15.75" x14ac:dyDescent="0.25">
      <c r="A74" s="154" t="s">
        <v>121</v>
      </c>
      <c r="B74" s="155"/>
      <c r="C74" s="491">
        <f>C64/C48</f>
        <v>0.46500813764240867</v>
      </c>
      <c r="D74" s="491">
        <f>D64/D48</f>
        <v>0.45055192610948414</v>
      </c>
      <c r="E74" s="491">
        <f>E64/E48</f>
        <v>0.45055192610948414</v>
      </c>
      <c r="F74" s="492">
        <f>F64/F48</f>
        <v>0.45055192610948414</v>
      </c>
      <c r="H74" s="486">
        <f>SUM(D33:F33)/3</f>
        <v>0.46500813764240867</v>
      </c>
      <c r="I74" s="487">
        <f>SUM(E33:G33)/3</f>
        <v>0.46336789729799105</v>
      </c>
      <c r="J74" s="487">
        <f>SUM(F33:H33)/3</f>
        <v>0.46012176719228487</v>
      </c>
      <c r="K74" s="479">
        <f>SUM(G33:I33)/3</f>
        <v>0.4553030300146434</v>
      </c>
    </row>
    <row r="75" spans="1:11" ht="15.75" x14ac:dyDescent="0.25">
      <c r="A75" s="154"/>
      <c r="B75" s="155"/>
      <c r="C75" s="491"/>
      <c r="D75" s="491"/>
      <c r="E75" s="491"/>
      <c r="F75" s="492"/>
      <c r="H75" s="124"/>
      <c r="I75" s="160"/>
      <c r="J75" s="160"/>
      <c r="K75" s="167"/>
    </row>
    <row r="76" spans="1:11" ht="15.75" x14ac:dyDescent="0.25">
      <c r="A76" s="210" t="s">
        <v>255</v>
      </c>
      <c r="B76" s="155"/>
      <c r="C76" s="491">
        <f>C66/C48</f>
        <v>0.17437805161590325</v>
      </c>
      <c r="D76" s="491">
        <f>D66/D48</f>
        <v>0.16895697229105655</v>
      </c>
      <c r="E76" s="491">
        <f>E66/E48</f>
        <v>0.16895697229105655</v>
      </c>
      <c r="F76" s="492">
        <f>F66/F48</f>
        <v>0.16895697229105655</v>
      </c>
      <c r="H76" s="486">
        <f>SUM(D35:F35)/3</f>
        <v>0.17437805161590325</v>
      </c>
      <c r="I76" s="487">
        <f>SUM(E35:G35)/3</f>
        <v>0.17376296148674664</v>
      </c>
      <c r="J76" s="487">
        <f>SUM(F35:H35)/3</f>
        <v>0.17254566269710683</v>
      </c>
      <c r="K76" s="479">
        <f>SUM(G35:I35)/3</f>
        <v>0.17073863625549127</v>
      </c>
    </row>
    <row r="77" spans="1:11" ht="15.75" x14ac:dyDescent="0.25">
      <c r="A77" s="154"/>
      <c r="B77" s="155"/>
      <c r="C77" s="491"/>
      <c r="D77" s="491"/>
      <c r="E77" s="491"/>
      <c r="F77" s="492"/>
      <c r="H77" s="124"/>
      <c r="I77" s="160"/>
      <c r="J77" s="160"/>
      <c r="K77" s="167"/>
    </row>
    <row r="78" spans="1:11" ht="15.75" x14ac:dyDescent="0.25">
      <c r="A78" s="210" t="s">
        <v>256</v>
      </c>
      <c r="B78" s="155"/>
      <c r="C78" s="491">
        <f>C68/C48</f>
        <v>9.3001627528481734E-2</v>
      </c>
      <c r="D78" s="491">
        <f>D68/D48</f>
        <v>9.0110385221896822E-2</v>
      </c>
      <c r="E78" s="491">
        <f>E68/E48</f>
        <v>9.0110385221896822E-2</v>
      </c>
      <c r="F78" s="492">
        <f>F68/F48</f>
        <v>9.0110385221896822E-2</v>
      </c>
      <c r="H78" s="486">
        <f>SUM(D37:F37)/3</f>
        <v>9.3001627528481734E-2</v>
      </c>
      <c r="I78" s="487">
        <f>SUM(E37:G37)/3</f>
        <v>9.2673579459598199E-2</v>
      </c>
      <c r="J78" s="487">
        <f>SUM(F37:H37)/3</f>
        <v>9.2024353438456982E-2</v>
      </c>
      <c r="K78" s="479">
        <f>SUM(G37:I37)/3</f>
        <v>9.1060606002928687E-2</v>
      </c>
    </row>
    <row r="79" spans="1:11" ht="15.75" x14ac:dyDescent="0.25">
      <c r="A79" s="154"/>
      <c r="B79" s="155"/>
      <c r="C79" s="491"/>
      <c r="D79" s="491"/>
      <c r="E79" s="491"/>
      <c r="F79" s="492"/>
      <c r="H79" s="124"/>
      <c r="I79" s="160"/>
      <c r="J79" s="160"/>
      <c r="K79" s="167"/>
    </row>
    <row r="80" spans="1:11" ht="15.75" x14ac:dyDescent="0.25">
      <c r="A80" s="154" t="s">
        <v>122</v>
      </c>
      <c r="B80" s="155"/>
      <c r="C80" s="491">
        <f>SUM(C64:C68)/C70</f>
        <v>0.64615384615384619</v>
      </c>
      <c r="D80" s="491">
        <f>SUM(D64:D68)/D70</f>
        <v>0.64615384615384619</v>
      </c>
      <c r="E80" s="491">
        <f>SUM(E64:E68)/E70</f>
        <v>0.64615384615384619</v>
      </c>
      <c r="F80" s="492">
        <f>SUM(F64:F68)/F70</f>
        <v>0.64615384615384619</v>
      </c>
      <c r="H80" s="486">
        <f>SUM(D39:F39)/3</f>
        <v>0.64615384615384619</v>
      </c>
      <c r="I80" s="487">
        <f>SUM(E39:G39)/3</f>
        <v>0.64615384615384619</v>
      </c>
      <c r="J80" s="487">
        <f>SUM(F39:H39)/3</f>
        <v>0.64615384615384619</v>
      </c>
      <c r="K80" s="479">
        <f>SUM(G39:I39)/3</f>
        <v>0.64615384615384619</v>
      </c>
    </row>
    <row r="81" spans="1:11" ht="15.75" x14ac:dyDescent="0.25">
      <c r="A81" s="154"/>
      <c r="B81" s="155"/>
      <c r="C81" s="160"/>
      <c r="D81" s="160"/>
      <c r="E81" s="160"/>
      <c r="F81" s="138"/>
      <c r="H81" s="124"/>
      <c r="I81" s="160"/>
      <c r="J81" s="160"/>
      <c r="K81" s="167"/>
    </row>
    <row r="82" spans="1:11" ht="16.5" thickBot="1" x14ac:dyDescent="0.3">
      <c r="A82" s="171" t="s">
        <v>123</v>
      </c>
      <c r="B82" s="172"/>
      <c r="C82" s="173">
        <f>C54/C62</f>
        <v>29.025118023365934</v>
      </c>
      <c r="D82" s="173">
        <f>D54/D62</f>
        <v>30.385949840780864</v>
      </c>
      <c r="E82" s="173">
        <f>E54/E62</f>
        <v>30.839035524388084</v>
      </c>
      <c r="F82" s="174">
        <f>F54/F62</f>
        <v>33.686628281305602</v>
      </c>
      <c r="H82" s="488">
        <f>H54/H62</f>
        <v>29.025118023365934</v>
      </c>
      <c r="I82" s="173">
        <f>I54/I62</f>
        <v>59.411067864146794</v>
      </c>
      <c r="J82" s="173">
        <f>J54/J62</f>
        <v>90.250103388534882</v>
      </c>
      <c r="K82" s="480">
        <f>K54/K62</f>
        <v>123.93673166984047</v>
      </c>
    </row>
    <row r="83" spans="1:11" ht="13.5" thickTop="1" x14ac:dyDescent="0.2"/>
  </sheetData>
  <mergeCells count="2">
    <mergeCell ref="H43:K43"/>
    <mergeCell ref="C43:F43"/>
  </mergeCells>
  <phoneticPr fontId="0" type="noConversion"/>
  <printOptions horizontalCentered="1" verticalCentered="1"/>
  <pageMargins left="0.75" right="0.75" top="0.19685039370078741" bottom="1" header="0.51181102362204722" footer="0"/>
  <pageSetup scale="47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J50"/>
  <sheetViews>
    <sheetView zoomScale="75" workbookViewId="0">
      <selection activeCell="G14" sqref="G14"/>
    </sheetView>
  </sheetViews>
  <sheetFormatPr baseColWidth="10" defaultRowHeight="12.75" x14ac:dyDescent="0.2"/>
  <cols>
    <col min="1" max="1" width="33.28515625" style="31" customWidth="1"/>
    <col min="2" max="2" width="17.140625" style="31" customWidth="1"/>
    <col min="3" max="3" width="13.140625" style="31" bestFit="1" customWidth="1"/>
    <col min="4" max="4" width="12.7109375" style="31" customWidth="1"/>
    <col min="5" max="6" width="11.42578125" style="31"/>
    <col min="7" max="7" width="34.7109375" style="31" customWidth="1"/>
    <col min="8" max="8" width="14.7109375" style="31" customWidth="1"/>
    <col min="9" max="16384" width="11.42578125" style="31"/>
  </cols>
  <sheetData>
    <row r="1" spans="1:10" ht="15.75" x14ac:dyDescent="0.25">
      <c r="A1" s="1791" t="s">
        <v>110</v>
      </c>
      <c r="B1" s="1791"/>
      <c r="C1" s="1791"/>
      <c r="D1" s="1791"/>
      <c r="E1" s="1791"/>
    </row>
    <row r="2" spans="1:10" ht="15.75" x14ac:dyDescent="0.25">
      <c r="A2" s="330"/>
      <c r="B2" s="330"/>
      <c r="C2" s="330"/>
      <c r="D2" s="330"/>
      <c r="E2" s="330"/>
    </row>
    <row r="3" spans="1:10" ht="15.75" x14ac:dyDescent="0.25">
      <c r="A3" s="330" t="s">
        <v>28</v>
      </c>
      <c r="B3" s="330"/>
      <c r="C3" s="330"/>
      <c r="D3" s="330"/>
      <c r="E3" s="330"/>
    </row>
    <row r="4" spans="1:10" ht="15.75" x14ac:dyDescent="0.25">
      <c r="A4" s="1791" t="s">
        <v>449</v>
      </c>
      <c r="B4" s="1791"/>
      <c r="C4" s="1791"/>
      <c r="D4" s="1791"/>
      <c r="E4" s="1791"/>
    </row>
    <row r="5" spans="1:10" ht="15.75" x14ac:dyDescent="0.25">
      <c r="A5" s="278"/>
      <c r="B5" s="330"/>
      <c r="C5" s="330"/>
      <c r="D5" s="330"/>
      <c r="E5" s="330"/>
    </row>
    <row r="6" spans="1:10" ht="16.5" thickBot="1" x14ac:dyDescent="0.3">
      <c r="A6" s="330"/>
      <c r="B6" s="330"/>
      <c r="C6" s="330"/>
      <c r="D6" s="330"/>
      <c r="E6" s="330"/>
    </row>
    <row r="7" spans="1:10" ht="15.75" thickTop="1" x14ac:dyDescent="0.2">
      <c r="A7" s="377"/>
      <c r="B7" s="313"/>
      <c r="C7" s="313"/>
      <c r="D7" s="296"/>
      <c r="E7" s="294"/>
      <c r="G7" s="675" t="s">
        <v>450</v>
      </c>
      <c r="I7" s="378" t="s">
        <v>28</v>
      </c>
      <c r="J7" s="31" t="s">
        <v>28</v>
      </c>
    </row>
    <row r="8" spans="1:10" ht="15" x14ac:dyDescent="0.2">
      <c r="A8" s="335"/>
      <c r="B8" s="336"/>
      <c r="C8" s="337" t="s">
        <v>443</v>
      </c>
      <c r="D8" s="471" t="s">
        <v>52</v>
      </c>
      <c r="E8" s="338" t="s">
        <v>53</v>
      </c>
      <c r="G8" s="31" t="s">
        <v>268</v>
      </c>
      <c r="H8" s="100" t="e">
        <f>+#REF!</f>
        <v>#REF!</v>
      </c>
      <c r="I8" s="379" t="s">
        <v>28</v>
      </c>
      <c r="J8" s="379" t="s">
        <v>28</v>
      </c>
    </row>
    <row r="9" spans="1:10" ht="15" x14ac:dyDescent="0.2">
      <c r="A9" s="331"/>
      <c r="B9" s="332"/>
      <c r="C9" s="339">
        <v>2010</v>
      </c>
      <c r="D9" s="339">
        <v>2011</v>
      </c>
      <c r="E9" s="340" t="s">
        <v>7</v>
      </c>
      <c r="G9" s="31" t="s">
        <v>269</v>
      </c>
      <c r="H9" s="100">
        <f>+D11</f>
        <v>13017464.711902676</v>
      </c>
      <c r="I9" s="379" t="s">
        <v>28</v>
      </c>
      <c r="J9" s="379" t="s">
        <v>28</v>
      </c>
    </row>
    <row r="10" spans="1:10" ht="15" x14ac:dyDescent="0.2">
      <c r="A10" s="331"/>
      <c r="B10" s="332"/>
      <c r="C10" s="341"/>
      <c r="D10" s="342"/>
      <c r="E10" s="343"/>
    </row>
    <row r="11" spans="1:10" ht="15" x14ac:dyDescent="0.2">
      <c r="A11" s="331" t="s">
        <v>148</v>
      </c>
      <c r="B11" s="332"/>
      <c r="C11" s="344" t="e">
        <f>+#REF!</f>
        <v>#REF!</v>
      </c>
      <c r="D11" s="345">
        <f>(+'ind.oper.-detalle'!C5)</f>
        <v>13017464.711902676</v>
      </c>
      <c r="E11" s="425" t="e">
        <f>(SUM(D11-C11)/C11)*100</f>
        <v>#REF!</v>
      </c>
      <c r="I11" s="427" t="s">
        <v>274</v>
      </c>
      <c r="J11" s="428"/>
    </row>
    <row r="12" spans="1:10" ht="15" x14ac:dyDescent="0.2">
      <c r="A12" s="331"/>
      <c r="B12" s="332"/>
      <c r="C12" s="339"/>
      <c r="D12" s="347"/>
      <c r="E12" s="346" t="s">
        <v>28</v>
      </c>
      <c r="G12" s="31" t="s">
        <v>280</v>
      </c>
      <c r="I12" s="378" t="s">
        <v>272</v>
      </c>
      <c r="J12" s="31" t="s">
        <v>273</v>
      </c>
    </row>
    <row r="13" spans="1:10" ht="15" x14ac:dyDescent="0.2">
      <c r="A13" s="331" t="s">
        <v>112</v>
      </c>
      <c r="B13" s="332"/>
      <c r="C13" s="339">
        <v>172</v>
      </c>
      <c r="D13" s="345">
        <f>+'ind.oper.-detalle'!C7</f>
        <v>175.72</v>
      </c>
      <c r="E13" s="346">
        <f>(SUM(D13-C13)/C13)*100</f>
        <v>2.162790697674418</v>
      </c>
      <c r="G13" s="31" t="s">
        <v>429</v>
      </c>
      <c r="H13" s="100" t="e">
        <f>+#REF!</f>
        <v>#REF!</v>
      </c>
      <c r="I13" s="410" t="e">
        <f>H13/H8</f>
        <v>#REF!</v>
      </c>
      <c r="J13" s="410" t="e">
        <f>H13/H9</f>
        <v>#REF!</v>
      </c>
    </row>
    <row r="14" spans="1:10" ht="15" x14ac:dyDescent="0.2">
      <c r="A14" s="331"/>
      <c r="B14" s="332"/>
      <c r="C14" s="339"/>
      <c r="D14" s="347"/>
      <c r="E14" s="346" t="s">
        <v>28</v>
      </c>
      <c r="G14" s="31" t="s">
        <v>430</v>
      </c>
      <c r="H14" s="100" t="e">
        <f>+#REF!</f>
        <v>#REF!</v>
      </c>
      <c r="I14" s="410" t="e">
        <f>H14/H8</f>
        <v>#REF!</v>
      </c>
      <c r="J14" s="410" t="e">
        <f>H14/H9</f>
        <v>#REF!</v>
      </c>
    </row>
    <row r="15" spans="1:10" ht="15" x14ac:dyDescent="0.2">
      <c r="A15" s="331" t="s">
        <v>221</v>
      </c>
      <c r="B15" s="332"/>
      <c r="C15" s="339">
        <v>187</v>
      </c>
      <c r="D15" s="345">
        <f>+'ind.oper.-detalle'!C9</f>
        <v>193</v>
      </c>
      <c r="E15" s="346">
        <f>(SUM(D15-C15)/C15)*100</f>
        <v>3.2085561497326207</v>
      </c>
      <c r="G15" s="408" t="s">
        <v>28</v>
      </c>
      <c r="H15" s="409" t="s">
        <v>28</v>
      </c>
      <c r="I15" s="410" t="s">
        <v>28</v>
      </c>
      <c r="J15" s="410" t="s">
        <v>28</v>
      </c>
    </row>
    <row r="16" spans="1:10" ht="15" x14ac:dyDescent="0.2">
      <c r="A16" s="331"/>
      <c r="B16" s="332"/>
      <c r="C16" s="339"/>
      <c r="D16" s="347"/>
      <c r="E16" s="346" t="s">
        <v>28</v>
      </c>
      <c r="G16" s="381"/>
      <c r="H16" s="53"/>
    </row>
    <row r="17" spans="1:10" ht="15" x14ac:dyDescent="0.2">
      <c r="A17" s="331" t="s">
        <v>234</v>
      </c>
      <c r="B17" s="332"/>
      <c r="C17" s="429" t="e">
        <f>C11/C13/1000</f>
        <v>#REF!</v>
      </c>
      <c r="D17" s="431">
        <f>+'ind.oper.-detalle'!C11</f>
        <v>74.08072337754767</v>
      </c>
      <c r="E17" s="673" t="e">
        <f>(SUM(D17-C17)/C17)*100</f>
        <v>#REF!</v>
      </c>
      <c r="G17"/>
      <c r="H17"/>
    </row>
    <row r="18" spans="1:10" ht="15" x14ac:dyDescent="0.2">
      <c r="A18" s="331"/>
      <c r="B18" s="332"/>
      <c r="C18" s="339"/>
      <c r="D18" s="347"/>
      <c r="E18" s="673"/>
      <c r="I18" s="427" t="s">
        <v>274</v>
      </c>
      <c r="J18" s="428"/>
    </row>
    <row r="19" spans="1:10" ht="15" x14ac:dyDescent="0.2">
      <c r="A19" s="331" t="s">
        <v>114</v>
      </c>
      <c r="B19" s="332"/>
      <c r="C19" s="349" t="e">
        <f>+#REF!</f>
        <v>#REF!</v>
      </c>
      <c r="D19" s="350">
        <f>+'ind.oper.-detalle'!C13</f>
        <v>39783.690866018791</v>
      </c>
      <c r="E19" s="673" t="e">
        <f>(SUM(D19-C19)/C19)*100</f>
        <v>#REF!</v>
      </c>
      <c r="G19" s="31" t="s">
        <v>279</v>
      </c>
      <c r="I19" s="378" t="s">
        <v>272</v>
      </c>
      <c r="J19" s="31" t="s">
        <v>273</v>
      </c>
    </row>
    <row r="20" spans="1:10" ht="15" x14ac:dyDescent="0.2">
      <c r="A20" s="331"/>
      <c r="B20" s="332"/>
      <c r="C20" s="339"/>
      <c r="D20" s="347"/>
      <c r="E20" s="673" t="s">
        <v>28</v>
      </c>
      <c r="G20" t="s">
        <v>276</v>
      </c>
      <c r="H20" s="409">
        <v>0</v>
      </c>
    </row>
    <row r="21" spans="1:10" ht="15" x14ac:dyDescent="0.2">
      <c r="A21" s="331" t="s">
        <v>252</v>
      </c>
      <c r="B21" s="332"/>
      <c r="C21" s="349" t="e">
        <f>+#REF!/C13</f>
        <v>#REF!</v>
      </c>
      <c r="D21" s="350">
        <f>+'ind.oper.-detalle'!C15</f>
        <v>226.32676779067978</v>
      </c>
      <c r="E21" s="673" t="e">
        <f>(SUM(D21-C21)/C21)*100</f>
        <v>#REF!</v>
      </c>
      <c r="G21" s="408" t="s">
        <v>277</v>
      </c>
      <c r="H21" s="411">
        <v>0</v>
      </c>
    </row>
    <row r="22" spans="1:10" ht="15" x14ac:dyDescent="0.2">
      <c r="A22" s="331"/>
      <c r="B22" s="332"/>
      <c r="C22" s="339"/>
      <c r="D22" s="347"/>
      <c r="E22" s="673"/>
      <c r="G22" s="381"/>
      <c r="H22" s="409">
        <v>0</v>
      </c>
      <c r="I22" s="379" t="e">
        <f>H22/H8</f>
        <v>#REF!</v>
      </c>
      <c r="J22" s="379">
        <f>H22/H9</f>
        <v>0</v>
      </c>
    </row>
    <row r="23" spans="1:10" ht="15" x14ac:dyDescent="0.2">
      <c r="A23" s="331" t="s">
        <v>264</v>
      </c>
      <c r="B23" s="332" t="s">
        <v>28</v>
      </c>
      <c r="C23" s="469" t="e">
        <f>+J48</f>
        <v>#REF!</v>
      </c>
      <c r="D23" s="469" t="e">
        <f>+J26</f>
        <v>#REF!</v>
      </c>
      <c r="E23" s="346">
        <v>0</v>
      </c>
    </row>
    <row r="24" spans="1:10" ht="15" x14ac:dyDescent="0.2">
      <c r="A24" s="331"/>
      <c r="B24" s="332"/>
      <c r="C24" s="339"/>
      <c r="D24" s="347"/>
      <c r="E24" s="346" t="s">
        <v>28</v>
      </c>
      <c r="G24" t="s">
        <v>275</v>
      </c>
      <c r="H24" s="409" t="e">
        <f>+#REF!</f>
        <v>#REF!</v>
      </c>
    </row>
    <row r="25" spans="1:10" ht="15" x14ac:dyDescent="0.2">
      <c r="A25" s="331" t="s">
        <v>265</v>
      </c>
      <c r="B25" s="332" t="s">
        <v>28</v>
      </c>
      <c r="C25" s="469" t="e">
        <f>#REF!/#REF!</f>
        <v>#REF!</v>
      </c>
      <c r="D25" s="347">
        <f>+'ind.oper.-detalle'!C19</f>
        <v>28.536491220743549</v>
      </c>
      <c r="E25" s="346" t="e">
        <f>(SUM(D25-C25)/C25)*100</f>
        <v>#REF!</v>
      </c>
      <c r="G25" s="408" t="s">
        <v>278</v>
      </c>
      <c r="H25" s="409" t="e">
        <f>+#REF!</f>
        <v>#REF!</v>
      </c>
    </row>
    <row r="26" spans="1:10" ht="15" x14ac:dyDescent="0.2">
      <c r="A26" s="331"/>
      <c r="B26" s="332"/>
      <c r="C26" s="339"/>
      <c r="D26" s="347"/>
      <c r="E26" s="346" t="s">
        <v>28</v>
      </c>
      <c r="G26"/>
      <c r="H26" s="409" t="e">
        <f>SUM(H24:H25)</f>
        <v>#REF!</v>
      </c>
      <c r="I26" s="379" t="e">
        <f>H26/H8</f>
        <v>#REF!</v>
      </c>
      <c r="J26" s="379" t="e">
        <f>H26/H9</f>
        <v>#REF!</v>
      </c>
    </row>
    <row r="27" spans="1:10" ht="15" x14ac:dyDescent="0.2">
      <c r="A27" s="331" t="s">
        <v>117</v>
      </c>
      <c r="B27" s="332"/>
      <c r="C27" s="339">
        <f>+C29+C31+C33+C35</f>
        <v>321</v>
      </c>
      <c r="D27" s="345">
        <f>+'ind.oper.-detalle'!C21</f>
        <v>321</v>
      </c>
      <c r="E27" s="346">
        <f>(SUM(D27-C27)/C27)*100</f>
        <v>0</v>
      </c>
      <c r="G27"/>
      <c r="H27" s="409"/>
    </row>
    <row r="28" spans="1:10" ht="15" x14ac:dyDescent="0.2">
      <c r="A28" s="331"/>
      <c r="B28" s="332"/>
      <c r="C28" s="339"/>
      <c r="D28" s="347"/>
      <c r="E28" s="346" t="s">
        <v>28</v>
      </c>
      <c r="G28" s="380"/>
      <c r="H28" s="409"/>
    </row>
    <row r="29" spans="1:10" ht="15" x14ac:dyDescent="0.2">
      <c r="A29" s="331" t="s">
        <v>118</v>
      </c>
      <c r="B29" s="332"/>
      <c r="C29" s="339">
        <v>80</v>
      </c>
      <c r="D29" s="345">
        <f>+'ind.oper.-detalle'!C23</f>
        <v>80</v>
      </c>
      <c r="E29" s="346">
        <f>(SUM(D29-C29)/C29)*100</f>
        <v>0</v>
      </c>
      <c r="G29" s="675" t="s">
        <v>451</v>
      </c>
      <c r="I29" s="378" t="s">
        <v>28</v>
      </c>
      <c r="J29" s="31" t="s">
        <v>28</v>
      </c>
    </row>
    <row r="30" spans="1:10" ht="15" x14ac:dyDescent="0.2">
      <c r="A30" s="331"/>
      <c r="B30" s="332"/>
      <c r="C30" s="339"/>
      <c r="D30" s="347"/>
      <c r="E30" s="346" t="s">
        <v>28</v>
      </c>
      <c r="G30" s="31" t="s">
        <v>268</v>
      </c>
      <c r="H30" s="100" t="e">
        <f>+#REF!</f>
        <v>#REF!</v>
      </c>
      <c r="I30" s="379" t="s">
        <v>28</v>
      </c>
      <c r="J30" s="379" t="s">
        <v>28</v>
      </c>
    </row>
    <row r="31" spans="1:10" ht="15" x14ac:dyDescent="0.2">
      <c r="A31" s="331" t="s">
        <v>253</v>
      </c>
      <c r="B31" s="332"/>
      <c r="C31" s="339">
        <v>30</v>
      </c>
      <c r="D31" s="345">
        <f>+'ind.oper.-detalle'!C25</f>
        <v>30</v>
      </c>
      <c r="E31" s="346">
        <f>(SUM(D31-C31)/C31)*100</f>
        <v>0</v>
      </c>
      <c r="G31" s="31" t="s">
        <v>269</v>
      </c>
      <c r="H31" s="100" t="e">
        <f>+C11</f>
        <v>#REF!</v>
      </c>
      <c r="I31" s="379" t="s">
        <v>28</v>
      </c>
      <c r="J31" s="379" t="s">
        <v>28</v>
      </c>
    </row>
    <row r="32" spans="1:10" ht="15" x14ac:dyDescent="0.2">
      <c r="A32" s="331"/>
      <c r="B32" s="332"/>
      <c r="C32" s="339"/>
      <c r="D32" s="345"/>
      <c r="E32" s="346"/>
    </row>
    <row r="33" spans="1:10" ht="15" x14ac:dyDescent="0.2">
      <c r="A33" s="331" t="s">
        <v>254</v>
      </c>
      <c r="B33" s="332"/>
      <c r="C33" s="339">
        <v>16</v>
      </c>
      <c r="D33" s="345">
        <f>+'ind.oper.-detalle'!C27</f>
        <v>16</v>
      </c>
      <c r="E33" s="346">
        <f>(SUM(D33-C33)/C33)*100</f>
        <v>0</v>
      </c>
      <c r="I33" s="427" t="s">
        <v>274</v>
      </c>
      <c r="J33" s="428"/>
    </row>
    <row r="34" spans="1:10" ht="15" x14ac:dyDescent="0.2">
      <c r="A34" s="331"/>
      <c r="B34" s="332"/>
      <c r="C34" s="339"/>
      <c r="D34" s="347"/>
      <c r="E34" s="346" t="s">
        <v>28</v>
      </c>
      <c r="G34" s="31" t="s">
        <v>280</v>
      </c>
      <c r="I34" s="378" t="s">
        <v>272</v>
      </c>
      <c r="J34" s="31" t="s">
        <v>273</v>
      </c>
    </row>
    <row r="35" spans="1:10" ht="15" x14ac:dyDescent="0.2">
      <c r="A35" s="331" t="s">
        <v>119</v>
      </c>
      <c r="B35" s="332"/>
      <c r="C35" s="339">
        <v>195</v>
      </c>
      <c r="D35" s="345">
        <f>+'ind.oper.-detalle'!C29</f>
        <v>195</v>
      </c>
      <c r="E35" s="346">
        <f>(SUM(D35-C35)/C35)*100</f>
        <v>0</v>
      </c>
      <c r="G35" s="31" t="s">
        <v>431</v>
      </c>
      <c r="H35" s="100" t="e">
        <f>+#REF!</f>
        <v>#REF!</v>
      </c>
      <c r="I35" s="410" t="e">
        <f>H35/H30</f>
        <v>#REF!</v>
      </c>
      <c r="J35" s="410" t="e">
        <f>H35/H31</f>
        <v>#REF!</v>
      </c>
    </row>
    <row r="36" spans="1:10" ht="15" x14ac:dyDescent="0.2">
      <c r="A36" s="331"/>
      <c r="B36" s="332"/>
      <c r="C36" s="339"/>
      <c r="D36" s="347"/>
      <c r="E36" s="346" t="s">
        <v>28</v>
      </c>
      <c r="G36" s="31" t="s">
        <v>270</v>
      </c>
      <c r="H36" s="100">
        <v>0</v>
      </c>
      <c r="I36" s="410" t="e">
        <f>H36/H30</f>
        <v>#REF!</v>
      </c>
      <c r="J36" s="410" t="e">
        <f>H36/H31</f>
        <v>#REF!</v>
      </c>
    </row>
    <row r="37" spans="1:10" ht="15" x14ac:dyDescent="0.2">
      <c r="A37" s="331" t="s">
        <v>120</v>
      </c>
      <c r="B37" s="332"/>
      <c r="C37" s="348">
        <f>C27/C13</f>
        <v>1.8662790697674418</v>
      </c>
      <c r="D37" s="348">
        <f>+'ind.oper.-detalle'!C31</f>
        <v>1.826769861142727</v>
      </c>
      <c r="E37" s="346">
        <f>(SUM(D37-C37)/C37)*100</f>
        <v>-2.1170043250626027</v>
      </c>
      <c r="G37" s="408" t="s">
        <v>271</v>
      </c>
      <c r="H37" s="409">
        <v>0</v>
      </c>
      <c r="I37" s="410" t="e">
        <f>H37/H30</f>
        <v>#REF!</v>
      </c>
      <c r="J37" s="410" t="e">
        <f>H37/H31</f>
        <v>#REF!</v>
      </c>
    </row>
    <row r="38" spans="1:10" ht="15" x14ac:dyDescent="0.2">
      <c r="A38" s="331"/>
      <c r="B38" s="332"/>
      <c r="C38" s="339"/>
      <c r="D38" s="339"/>
      <c r="E38" s="346" t="s">
        <v>28</v>
      </c>
      <c r="G38" s="381"/>
      <c r="H38" s="53"/>
    </row>
    <row r="39" spans="1:10" ht="15" x14ac:dyDescent="0.2">
      <c r="A39" s="331" t="s">
        <v>121</v>
      </c>
      <c r="B39" s="332"/>
      <c r="C39" s="348">
        <f>C29/C13</f>
        <v>0.46511627906976744</v>
      </c>
      <c r="D39" s="348">
        <f>+'ind.oper.-detalle'!C33</f>
        <v>0.45526974732529024</v>
      </c>
      <c r="E39" s="346">
        <v>0</v>
      </c>
      <c r="G39"/>
      <c r="H39"/>
    </row>
    <row r="40" spans="1:10" ht="15" x14ac:dyDescent="0.2">
      <c r="A40" s="331"/>
      <c r="B40" s="332"/>
      <c r="C40" s="339"/>
      <c r="D40" s="339"/>
      <c r="E40" s="346" t="s">
        <v>28</v>
      </c>
      <c r="I40" s="427" t="s">
        <v>274</v>
      </c>
      <c r="J40" s="428"/>
    </row>
    <row r="41" spans="1:10" ht="15" x14ac:dyDescent="0.2">
      <c r="A41" s="331" t="s">
        <v>255</v>
      </c>
      <c r="B41" s="332"/>
      <c r="C41" s="348">
        <f>C31/C13</f>
        <v>0.1744186046511628</v>
      </c>
      <c r="D41" s="348">
        <f>+'ind.oper.-detalle'!C35</f>
        <v>0.17072615524698384</v>
      </c>
      <c r="E41" s="346">
        <v>0</v>
      </c>
      <c r="G41" s="31" t="s">
        <v>279</v>
      </c>
      <c r="I41" s="378" t="s">
        <v>272</v>
      </c>
      <c r="J41" s="31" t="s">
        <v>273</v>
      </c>
    </row>
    <row r="42" spans="1:10" ht="15" x14ac:dyDescent="0.2">
      <c r="A42" s="331"/>
      <c r="B42" s="332"/>
      <c r="C42" s="348"/>
      <c r="D42" s="348"/>
      <c r="E42" s="346"/>
      <c r="G42" t="s">
        <v>276</v>
      </c>
      <c r="H42" s="409">
        <v>0</v>
      </c>
    </row>
    <row r="43" spans="1:10" ht="15" x14ac:dyDescent="0.2">
      <c r="A43" s="331" t="s">
        <v>256</v>
      </c>
      <c r="B43" s="332"/>
      <c r="C43" s="348">
        <f>C33/C13</f>
        <v>9.3023255813953487E-2</v>
      </c>
      <c r="D43" s="348">
        <f>+'ind.oper.-detalle'!C37</f>
        <v>9.1053949465058043E-2</v>
      </c>
      <c r="E43" s="346">
        <v>0</v>
      </c>
      <c r="G43" s="408" t="s">
        <v>277</v>
      </c>
      <c r="H43" s="411">
        <v>0</v>
      </c>
    </row>
    <row r="44" spans="1:10" ht="15" x14ac:dyDescent="0.2">
      <c r="A44" s="331"/>
      <c r="B44" s="332"/>
      <c r="C44" s="339"/>
      <c r="D44" s="339"/>
      <c r="E44" s="346" t="s">
        <v>28</v>
      </c>
      <c r="G44" s="381"/>
      <c r="H44" s="409">
        <f>SUM(H42:H43)</f>
        <v>0</v>
      </c>
      <c r="I44" s="379" t="e">
        <f>H44/H30</f>
        <v>#REF!</v>
      </c>
      <c r="J44" s="379" t="e">
        <f>H44/H31</f>
        <v>#REF!</v>
      </c>
    </row>
    <row r="45" spans="1:10" ht="15" x14ac:dyDescent="0.2">
      <c r="A45" s="331" t="s">
        <v>122</v>
      </c>
      <c r="B45" s="332"/>
      <c r="C45" s="348">
        <f>SUM(C29:C33)/C35</f>
        <v>0.64615384615384619</v>
      </c>
      <c r="D45" s="348">
        <f>+'ind.oper.-detalle'!C39</f>
        <v>0.64615384615384619</v>
      </c>
      <c r="E45" s="346">
        <f>(SUM(D45-C45)/C45)*100</f>
        <v>0</v>
      </c>
    </row>
    <row r="46" spans="1:10" ht="15" x14ac:dyDescent="0.2">
      <c r="A46" s="331"/>
      <c r="B46" s="332"/>
      <c r="C46" s="339"/>
      <c r="D46" s="339"/>
      <c r="E46" s="346" t="s">
        <v>28</v>
      </c>
      <c r="G46" t="s">
        <v>275</v>
      </c>
      <c r="H46" s="409" t="e">
        <f>+#REF!</f>
        <v>#REF!</v>
      </c>
    </row>
    <row r="47" spans="1:10" ht="15.75" thickBot="1" x14ac:dyDescent="0.25">
      <c r="A47" s="333" t="s">
        <v>123</v>
      </c>
      <c r="B47" s="334"/>
      <c r="C47" s="351" t="e">
        <f>C19/C27</f>
        <v>#REF!</v>
      </c>
      <c r="D47" s="351">
        <f>+'ind.oper.-detalle'!C41</f>
        <v>123.93673166984047</v>
      </c>
      <c r="E47" s="674" t="e">
        <f>(SUM(D47-C47)/C47)*100</f>
        <v>#REF!</v>
      </c>
      <c r="G47" s="408" t="s">
        <v>278</v>
      </c>
      <c r="H47" s="409" t="e">
        <f>+#REF!</f>
        <v>#REF!</v>
      </c>
    </row>
    <row r="48" spans="1:10" ht="15.75" thickTop="1" x14ac:dyDescent="0.2">
      <c r="A48" s="284"/>
      <c r="B48" s="284"/>
      <c r="C48" s="284"/>
      <c r="D48" s="284"/>
      <c r="E48" s="284"/>
      <c r="G48"/>
      <c r="H48" s="409" t="e">
        <f>SUM(H46:H47)</f>
        <v>#REF!</v>
      </c>
      <c r="I48" s="379" t="e">
        <f>H48/H30</f>
        <v>#REF!</v>
      </c>
      <c r="J48" s="379" t="e">
        <f>H48/H31</f>
        <v>#REF!</v>
      </c>
    </row>
    <row r="49" spans="1:5" ht="15" x14ac:dyDescent="0.2">
      <c r="A49" s="107"/>
      <c r="B49" s="107"/>
      <c r="C49" s="107"/>
      <c r="D49" s="107"/>
      <c r="E49" s="107"/>
    </row>
    <row r="50" spans="1:5" ht="15" x14ac:dyDescent="0.2">
      <c r="A50" s="1785" t="s">
        <v>228</v>
      </c>
      <c r="B50" s="1785"/>
      <c r="C50" s="1785"/>
      <c r="D50" s="1785"/>
      <c r="E50" s="1785"/>
    </row>
  </sheetData>
  <mergeCells count="3">
    <mergeCell ref="A50:E50"/>
    <mergeCell ref="A4:E4"/>
    <mergeCell ref="A1:E1"/>
  </mergeCells>
  <phoneticPr fontId="0" type="noConversion"/>
  <printOptions horizontalCentered="1" verticalCentered="1"/>
  <pageMargins left="0.98425196850393704" right="0.19685039370078741" top="0.39370078740157483" bottom="0.39370078740157483" header="0.59055118110236227" footer="0.59055118110236227"/>
  <pageSetup firstPageNumber="10" orientation="portrait" useFirstPageNumber="1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B2:Q49"/>
  <sheetViews>
    <sheetView topLeftCell="D1" zoomScale="75" workbookViewId="0">
      <selection activeCell="C10" sqref="C10"/>
    </sheetView>
  </sheetViews>
  <sheetFormatPr baseColWidth="10" defaultRowHeight="12.75" x14ac:dyDescent="0.2"/>
  <cols>
    <col min="2" max="2" width="42.28515625" customWidth="1"/>
    <col min="3" max="3" width="14.42578125" customWidth="1"/>
    <col min="4" max="4" width="16.7109375" customWidth="1"/>
    <col min="8" max="8" width="12.85546875" customWidth="1"/>
    <col min="12" max="12" width="8" customWidth="1"/>
    <col min="14" max="14" width="11.28515625" customWidth="1"/>
    <col min="15" max="15" width="7" customWidth="1"/>
  </cols>
  <sheetData>
    <row r="2" spans="2:17" ht="15.75" x14ac:dyDescent="0.25">
      <c r="B2" s="33" t="s">
        <v>452</v>
      </c>
      <c r="C2" s="34"/>
      <c r="D2" s="34"/>
    </row>
    <row r="3" spans="2:17" ht="15.75" x14ac:dyDescent="0.25">
      <c r="B3" s="34"/>
      <c r="C3" s="34"/>
      <c r="D3" s="34"/>
      <c r="H3" t="s">
        <v>286</v>
      </c>
      <c r="P3" s="470" t="s">
        <v>28</v>
      </c>
    </row>
    <row r="4" spans="2:17" ht="15.75" x14ac:dyDescent="0.25">
      <c r="B4" s="35" t="s">
        <v>96</v>
      </c>
      <c r="C4" s="35" t="s">
        <v>28</v>
      </c>
      <c r="D4" s="35" t="s">
        <v>166</v>
      </c>
      <c r="H4" t="s">
        <v>281</v>
      </c>
    </row>
    <row r="5" spans="2:17" ht="15.75" x14ac:dyDescent="0.25">
      <c r="B5" s="34"/>
      <c r="C5" s="34"/>
      <c r="D5" s="35" t="s">
        <v>426</v>
      </c>
      <c r="H5" t="s">
        <v>453</v>
      </c>
    </row>
    <row r="6" spans="2:17" ht="15.75" x14ac:dyDescent="0.25">
      <c r="B6" s="34" t="s">
        <v>470</v>
      </c>
      <c r="C6" s="216">
        <f>D6/16</f>
        <v>1206085.8</v>
      </c>
      <c r="D6" s="36">
        <f>94000*12.8307*16</f>
        <v>19297372.800000001</v>
      </c>
      <c r="M6" s="1793" t="s">
        <v>287</v>
      </c>
      <c r="N6" s="1793"/>
    </row>
    <row r="7" spans="2:17" ht="15.75" x14ac:dyDescent="0.25">
      <c r="B7" s="34"/>
      <c r="C7" s="34"/>
      <c r="D7" s="34"/>
      <c r="J7" s="1792" t="s">
        <v>283</v>
      </c>
      <c r="K7" s="1792"/>
      <c r="L7" t="s">
        <v>427</v>
      </c>
      <c r="M7" s="1792" t="s">
        <v>440</v>
      </c>
      <c r="N7" s="1792"/>
      <c r="P7" s="1792" t="s">
        <v>285</v>
      </c>
      <c r="Q7" s="1792"/>
    </row>
    <row r="8" spans="2:17" ht="15.75" x14ac:dyDescent="0.25">
      <c r="B8" s="92" t="s">
        <v>136</v>
      </c>
      <c r="C8" s="34"/>
      <c r="D8" s="36">
        <v>0</v>
      </c>
      <c r="J8" t="s">
        <v>282</v>
      </c>
      <c r="K8" t="s">
        <v>284</v>
      </c>
      <c r="M8" t="s">
        <v>282</v>
      </c>
      <c r="N8" t="s">
        <v>284</v>
      </c>
      <c r="P8" t="s">
        <v>282</v>
      </c>
      <c r="Q8" t="s">
        <v>284</v>
      </c>
    </row>
    <row r="9" spans="2:17" ht="15.75" x14ac:dyDescent="0.25">
      <c r="B9" s="92"/>
      <c r="C9" s="34"/>
      <c r="D9" s="36"/>
    </row>
    <row r="10" spans="2:17" ht="15.75" x14ac:dyDescent="0.25">
      <c r="B10" s="92" t="s">
        <v>469</v>
      </c>
      <c r="C10" s="216">
        <v>90000</v>
      </c>
      <c r="D10" s="36">
        <f>10*90000</f>
        <v>900000</v>
      </c>
      <c r="H10" t="s">
        <v>245</v>
      </c>
      <c r="I10" t="s">
        <v>288</v>
      </c>
      <c r="J10" s="51">
        <v>54</v>
      </c>
      <c r="K10" s="51">
        <v>60</v>
      </c>
      <c r="L10" s="51">
        <v>14</v>
      </c>
      <c r="M10" s="51">
        <v>69</v>
      </c>
      <c r="N10" s="51">
        <v>92</v>
      </c>
      <c r="P10" s="51">
        <f>+M10-J10</f>
        <v>15</v>
      </c>
      <c r="Q10" s="51">
        <f>+N10-K10</f>
        <v>32</v>
      </c>
    </row>
    <row r="11" spans="2:17" ht="15.75" x14ac:dyDescent="0.25">
      <c r="B11" s="34"/>
      <c r="C11" s="34"/>
      <c r="D11" s="34"/>
      <c r="J11" s="51"/>
      <c r="K11" s="51"/>
      <c r="L11" s="51"/>
      <c r="M11" s="51"/>
      <c r="N11" s="51"/>
      <c r="P11" s="51"/>
      <c r="Q11" s="51"/>
    </row>
    <row r="12" spans="2:17" ht="15.75" x14ac:dyDescent="0.25">
      <c r="B12" s="34" t="s">
        <v>138</v>
      </c>
      <c r="D12" s="36">
        <v>0</v>
      </c>
      <c r="H12" t="s">
        <v>247</v>
      </c>
      <c r="I12" t="s">
        <v>289</v>
      </c>
      <c r="J12" s="51">
        <v>55</v>
      </c>
      <c r="K12" s="51">
        <v>100</v>
      </c>
      <c r="L12" s="51">
        <v>1</v>
      </c>
      <c r="M12" s="51">
        <v>57</v>
      </c>
      <c r="N12" s="51">
        <v>94</v>
      </c>
      <c r="P12" s="51">
        <f>+M12-J12</f>
        <v>2</v>
      </c>
      <c r="Q12" s="51">
        <f>+N12-K12</f>
        <v>-6</v>
      </c>
    </row>
    <row r="13" spans="2:17" ht="15.75" x14ac:dyDescent="0.25">
      <c r="B13" s="34"/>
      <c r="J13" s="51"/>
      <c r="K13" s="51"/>
      <c r="L13" s="51"/>
      <c r="M13" s="51"/>
      <c r="N13" s="51"/>
      <c r="P13" s="51"/>
      <c r="Q13" s="51"/>
    </row>
    <row r="14" spans="2:17" ht="15.75" x14ac:dyDescent="0.25">
      <c r="B14" s="34" t="s">
        <v>267</v>
      </c>
      <c r="C14" s="34"/>
      <c r="D14" s="37">
        <v>880000</v>
      </c>
      <c r="H14" t="s">
        <v>246</v>
      </c>
      <c r="I14" t="s">
        <v>288</v>
      </c>
      <c r="J14" s="51">
        <v>87</v>
      </c>
      <c r="K14" s="51">
        <v>132</v>
      </c>
      <c r="L14" s="51">
        <v>13</v>
      </c>
      <c r="M14" s="51">
        <v>93</v>
      </c>
      <c r="N14" s="51">
        <v>117</v>
      </c>
      <c r="P14" s="51">
        <f>+M14-J14</f>
        <v>6</v>
      </c>
      <c r="Q14" s="51">
        <f>+N14-K14</f>
        <v>-15</v>
      </c>
    </row>
    <row r="15" spans="2:17" ht="15.75" x14ac:dyDescent="0.25">
      <c r="B15" s="34" t="s">
        <v>28</v>
      </c>
      <c r="J15" s="51"/>
      <c r="K15" s="51"/>
      <c r="L15" s="51"/>
      <c r="M15" s="51"/>
      <c r="N15" s="51"/>
      <c r="P15" s="51"/>
      <c r="Q15" s="51"/>
    </row>
    <row r="16" spans="2:17" ht="15.75" x14ac:dyDescent="0.25">
      <c r="B16" s="34" t="s">
        <v>167</v>
      </c>
      <c r="C16" t="s">
        <v>28</v>
      </c>
      <c r="D16" s="37">
        <v>50000</v>
      </c>
      <c r="H16" t="s">
        <v>82</v>
      </c>
      <c r="J16" s="426">
        <f>SUM(J10:J14)</f>
        <v>196</v>
      </c>
      <c r="K16" s="426">
        <f>SUM(K10:K14)</f>
        <v>292</v>
      </c>
      <c r="M16" s="426">
        <f>SUM(M10:M14)</f>
        <v>219</v>
      </c>
      <c r="N16" s="426">
        <f>SUM(N10:N14)</f>
        <v>303</v>
      </c>
      <c r="P16" s="426">
        <f>SUM(P10:P14)</f>
        <v>23</v>
      </c>
      <c r="Q16" s="426">
        <f>SUM(Q10:Q14)</f>
        <v>11</v>
      </c>
    </row>
    <row r="17" spans="2:17" ht="15.75" x14ac:dyDescent="0.25">
      <c r="B17" s="34"/>
      <c r="D17" s="37"/>
      <c r="I17" t="s">
        <v>28</v>
      </c>
    </row>
    <row r="18" spans="2:17" ht="15.75" x14ac:dyDescent="0.25">
      <c r="B18" s="34" t="s">
        <v>257</v>
      </c>
      <c r="D18" s="37">
        <v>0</v>
      </c>
    </row>
    <row r="19" spans="2:17" ht="15.75" x14ac:dyDescent="0.25">
      <c r="B19" s="34"/>
      <c r="D19" s="37"/>
    </row>
    <row r="20" spans="2:17" ht="15.75" x14ac:dyDescent="0.25">
      <c r="B20" s="34" t="s">
        <v>232</v>
      </c>
      <c r="D20" s="37">
        <v>200000</v>
      </c>
    </row>
    <row r="21" spans="2:17" ht="15.75" x14ac:dyDescent="0.25">
      <c r="B21" s="34"/>
      <c r="D21" s="37"/>
    </row>
    <row r="22" spans="2:17" ht="15.75" x14ac:dyDescent="0.25">
      <c r="B22" s="34"/>
      <c r="C22" s="34" t="s">
        <v>3</v>
      </c>
      <c r="D22" s="38">
        <f>SUM(D6:D21)</f>
        <v>21327372.800000001</v>
      </c>
    </row>
    <row r="23" spans="2:17" ht="15.75" x14ac:dyDescent="0.25">
      <c r="B23" s="34"/>
      <c r="C23" s="34"/>
      <c r="D23" s="38"/>
    </row>
    <row r="24" spans="2:17" ht="15.75" x14ac:dyDescent="0.25">
      <c r="B24" s="34"/>
      <c r="C24" s="34"/>
      <c r="D24" s="38"/>
    </row>
    <row r="25" spans="2:17" ht="15.75" x14ac:dyDescent="0.25">
      <c r="B25" s="34"/>
      <c r="C25" s="34"/>
      <c r="D25" s="38"/>
    </row>
    <row r="26" spans="2:17" ht="15.75" x14ac:dyDescent="0.25">
      <c r="B26" s="249" t="s">
        <v>28</v>
      </c>
      <c r="C26" s="34"/>
      <c r="D26" s="38"/>
    </row>
    <row r="27" spans="2:17" ht="15.75" x14ac:dyDescent="0.25">
      <c r="B27" s="34" t="s">
        <v>28</v>
      </c>
      <c r="C27" s="215" t="s">
        <v>171</v>
      </c>
      <c r="D27" s="106" t="s">
        <v>28</v>
      </c>
    </row>
    <row r="28" spans="2:17" x14ac:dyDescent="0.2">
      <c r="B28" t="s">
        <v>198</v>
      </c>
      <c r="C28" s="89">
        <f>+'inversion-detalle'!F46+'inversion-detalle'!G46+'inversion-detalle'!H46</f>
        <v>96519079</v>
      </c>
      <c r="D28" s="89" t="s">
        <v>28</v>
      </c>
    </row>
    <row r="29" spans="2:17" x14ac:dyDescent="0.2">
      <c r="B29" t="s">
        <v>199</v>
      </c>
      <c r="C29" s="89">
        <f>+'inversion-detalle'!I46+'inversion-detalle'!J46+'inversion-detalle'!K46</f>
        <v>9020786</v>
      </c>
      <c r="D29" s="89" t="s">
        <v>28</v>
      </c>
    </row>
    <row r="30" spans="2:17" x14ac:dyDescent="0.2">
      <c r="B30" t="s">
        <v>200</v>
      </c>
      <c r="C30" s="97">
        <f>+'inversion-detalle'!L46+'inversion-detalle'!M46+'inversion-detalle'!N46</f>
        <v>30255040</v>
      </c>
      <c r="D30" s="89" t="s">
        <v>28</v>
      </c>
    </row>
    <row r="31" spans="2:17" x14ac:dyDescent="0.2">
      <c r="B31" t="s">
        <v>201</v>
      </c>
      <c r="C31" s="90">
        <f>+'inversion-detalle'!O46+'inversion-detalle'!P46+'inversion-detalle'!Q46</f>
        <v>2262113</v>
      </c>
      <c r="D31" s="97" t="s">
        <v>28</v>
      </c>
      <c r="P31" s="51"/>
      <c r="Q31" s="51"/>
    </row>
    <row r="32" spans="2:17" x14ac:dyDescent="0.2">
      <c r="B32" s="51" t="s">
        <v>164</v>
      </c>
      <c r="C32" s="89">
        <f>SUM(C28:C31)</f>
        <v>138057018</v>
      </c>
      <c r="D32" s="89" t="s">
        <v>28</v>
      </c>
    </row>
    <row r="33" spans="2:4" ht="15.75" x14ac:dyDescent="0.25">
      <c r="B33" s="34"/>
      <c r="C33" s="34"/>
      <c r="D33" s="34"/>
    </row>
    <row r="34" spans="2:4" ht="15.75" x14ac:dyDescent="0.25">
      <c r="B34" t="s">
        <v>28</v>
      </c>
      <c r="C34" s="100" t="s">
        <v>28</v>
      </c>
      <c r="D34" s="34"/>
    </row>
    <row r="49" spans="3:4" x14ac:dyDescent="0.2">
      <c r="C49" s="89"/>
      <c r="D49" s="89"/>
    </row>
  </sheetData>
  <mergeCells count="4">
    <mergeCell ref="J7:K7"/>
    <mergeCell ref="M7:N7"/>
    <mergeCell ref="P7:Q7"/>
    <mergeCell ref="M6:N6"/>
  </mergeCells>
  <phoneticPr fontId="0" type="noConversion"/>
  <pageMargins left="0.78740157480314965" right="0.75" top="0.78740157480314965" bottom="0.19685039370078741" header="0.11811023622047245" footer="0.11811023622047245"/>
  <pageSetup scale="90" orientation="portrait" r:id="rId1"/>
  <headerFooter alignWithMargins="0">
    <oddHeader>&amp;R&amp;D</oddHeader>
    <oddFooter>Página &amp;P&amp;R&amp;F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G45"/>
  <sheetViews>
    <sheetView zoomScale="70" workbookViewId="0">
      <selection activeCell="E13" sqref="E13"/>
    </sheetView>
  </sheetViews>
  <sheetFormatPr baseColWidth="10" defaultRowHeight="12.75" x14ac:dyDescent="0.2"/>
  <cols>
    <col min="3" max="3" width="12.7109375" customWidth="1"/>
    <col min="4" max="4" width="4.7109375" hidden="1" customWidth="1"/>
    <col min="5" max="5" width="22.28515625" customWidth="1"/>
    <col min="6" max="6" width="25.140625" style="41" customWidth="1"/>
  </cols>
  <sheetData>
    <row r="1" spans="1:7" ht="15.75" x14ac:dyDescent="0.25">
      <c r="A1" s="1781" t="s">
        <v>0</v>
      </c>
      <c r="B1" s="1781"/>
      <c r="C1" s="1781"/>
      <c r="D1" s="1781"/>
      <c r="E1" s="1781"/>
      <c r="F1" s="1781"/>
    </row>
    <row r="2" spans="1:7" ht="15.75" x14ac:dyDescent="0.25">
      <c r="A2" s="278" t="s">
        <v>28</v>
      </c>
      <c r="B2" s="278"/>
      <c r="C2" s="107"/>
      <c r="D2" s="107"/>
      <c r="E2" s="107"/>
      <c r="F2" s="291"/>
    </row>
    <row r="3" spans="1:7" ht="15" x14ac:dyDescent="0.2">
      <c r="A3" s="107"/>
      <c r="B3" s="107"/>
      <c r="C3" s="107"/>
      <c r="D3" s="107"/>
      <c r="E3" s="107"/>
      <c r="F3" s="291"/>
    </row>
    <row r="4" spans="1:7" ht="15.75" x14ac:dyDescent="0.25">
      <c r="A4" s="1794" t="s">
        <v>10363</v>
      </c>
      <c r="B4" s="1781"/>
      <c r="C4" s="1781"/>
      <c r="D4" s="1781"/>
      <c r="E4" s="1781"/>
      <c r="F4" s="1781"/>
    </row>
    <row r="5" spans="1:7" ht="15" x14ac:dyDescent="0.2">
      <c r="A5" s="107"/>
      <c r="B5" s="107"/>
      <c r="C5" s="107"/>
      <c r="D5" s="107"/>
      <c r="E5" s="107"/>
      <c r="F5" s="291"/>
    </row>
    <row r="6" spans="1:7" ht="15.75" thickBot="1" x14ac:dyDescent="0.25">
      <c r="A6" s="107"/>
      <c r="B6" s="107"/>
      <c r="C6" s="107"/>
      <c r="D6" s="107"/>
      <c r="E6" s="107"/>
      <c r="F6" s="291"/>
    </row>
    <row r="7" spans="1:7" ht="15.75" thickTop="1" x14ac:dyDescent="0.2">
      <c r="A7" s="107"/>
      <c r="B7" s="107"/>
      <c r="C7" s="107"/>
      <c r="D7" s="107"/>
      <c r="E7" s="353" t="s">
        <v>6</v>
      </c>
      <c r="F7" s="354" t="s">
        <v>6</v>
      </c>
      <c r="G7" s="276"/>
    </row>
    <row r="8" spans="1:7" ht="15" x14ac:dyDescent="0.2">
      <c r="A8" s="107"/>
      <c r="B8" s="107"/>
      <c r="C8" s="107"/>
      <c r="D8" s="107"/>
      <c r="E8" s="355" t="s">
        <v>443</v>
      </c>
      <c r="F8" s="356" t="s">
        <v>52</v>
      </c>
      <c r="G8" s="276"/>
    </row>
    <row r="9" spans="1:7" ht="15" x14ac:dyDescent="0.2">
      <c r="A9" s="107"/>
      <c r="B9" s="107"/>
      <c r="C9" s="107"/>
      <c r="D9" s="107"/>
      <c r="E9" s="293">
        <v>2013</v>
      </c>
      <c r="F9" s="357">
        <v>2014</v>
      </c>
      <c r="G9" s="276"/>
    </row>
    <row r="10" spans="1:7" ht="15" x14ac:dyDescent="0.2">
      <c r="A10" s="107"/>
      <c r="B10" s="107"/>
      <c r="C10" s="107"/>
      <c r="D10" s="107"/>
      <c r="E10" s="355"/>
      <c r="F10" s="358"/>
      <c r="G10" s="276"/>
    </row>
    <row r="11" spans="1:7" ht="15" x14ac:dyDescent="0.2">
      <c r="A11" s="107" t="s">
        <v>103</v>
      </c>
      <c r="B11" s="107"/>
      <c r="C11" s="107"/>
      <c r="D11" s="107"/>
      <c r="E11" s="355"/>
      <c r="F11" s="358"/>
      <c r="G11" s="276"/>
    </row>
    <row r="12" spans="1:7" ht="15" x14ac:dyDescent="0.2">
      <c r="A12" s="107"/>
      <c r="B12" s="107"/>
      <c r="C12" s="107"/>
      <c r="D12" s="107"/>
      <c r="E12" s="355"/>
      <c r="F12" s="358"/>
      <c r="G12" s="276"/>
    </row>
    <row r="13" spans="1:7" ht="15" x14ac:dyDescent="0.2">
      <c r="A13" s="107" t="s">
        <v>231</v>
      </c>
      <c r="B13" s="107"/>
      <c r="C13" s="107"/>
      <c r="D13" s="107"/>
      <c r="E13" s="356">
        <f>+'inversion-detalle'!D9</f>
        <v>0</v>
      </c>
      <c r="F13" s="356">
        <f>+'inversion-detalle'!E9</f>
        <v>63889921</v>
      </c>
      <c r="G13" s="276"/>
    </row>
    <row r="14" spans="1:7" ht="15" x14ac:dyDescent="0.2">
      <c r="A14" s="107" t="s">
        <v>105</v>
      </c>
      <c r="B14" s="107"/>
      <c r="C14" s="360" t="s">
        <v>28</v>
      </c>
      <c r="D14" s="107"/>
      <c r="E14" s="356">
        <f>+'inversion-detalle'!D10</f>
        <v>0</v>
      </c>
      <c r="F14" s="356">
        <f>+'inversion-detalle'!E10</f>
        <v>31072310</v>
      </c>
      <c r="G14" s="276"/>
    </row>
    <row r="15" spans="1:7" ht="15" x14ac:dyDescent="0.2">
      <c r="A15" s="107" t="s">
        <v>444</v>
      </c>
      <c r="B15" s="107"/>
      <c r="C15" s="107"/>
      <c r="D15" s="107"/>
      <c r="E15" s="359">
        <v>0</v>
      </c>
      <c r="F15" s="356">
        <f>+'inversion-detalle'!E13</f>
        <v>0</v>
      </c>
      <c r="G15" s="276"/>
    </row>
    <row r="16" spans="1:7" ht="15" x14ac:dyDescent="0.2">
      <c r="A16" s="107"/>
      <c r="B16" s="107"/>
      <c r="C16" s="107"/>
      <c r="D16" s="107"/>
      <c r="E16" s="293"/>
      <c r="F16" s="361"/>
      <c r="G16" s="276"/>
    </row>
    <row r="17" spans="1:7" ht="15" x14ac:dyDescent="0.2">
      <c r="A17" s="107" t="s">
        <v>106</v>
      </c>
      <c r="B17" s="107"/>
      <c r="C17" s="107"/>
      <c r="D17" s="107"/>
      <c r="E17" s="355"/>
      <c r="F17" s="356"/>
      <c r="G17" s="276"/>
    </row>
    <row r="18" spans="1:7" ht="15" x14ac:dyDescent="0.2">
      <c r="A18" s="107"/>
      <c r="B18" s="107"/>
      <c r="C18" s="107"/>
      <c r="D18" s="107"/>
      <c r="E18" s="355"/>
      <c r="F18" s="356"/>
      <c r="G18" s="276"/>
    </row>
    <row r="19" spans="1:7" ht="15" x14ac:dyDescent="0.2">
      <c r="A19" s="107" t="s">
        <v>149</v>
      </c>
      <c r="B19" s="107"/>
      <c r="C19" s="352" t="s">
        <v>28</v>
      </c>
      <c r="D19" s="352"/>
      <c r="E19" s="362">
        <f>11078035-514400</f>
        <v>10563635</v>
      </c>
      <c r="F19" s="356">
        <f>+'inversion-detalle'!E22</f>
        <v>23269912</v>
      </c>
      <c r="G19" s="276"/>
    </row>
    <row r="20" spans="1:7" ht="15" x14ac:dyDescent="0.2">
      <c r="A20" s="107" t="s">
        <v>258</v>
      </c>
      <c r="B20" s="107"/>
      <c r="C20" s="352" t="s">
        <v>28</v>
      </c>
      <c r="D20" s="352"/>
      <c r="E20" s="362">
        <v>0</v>
      </c>
      <c r="F20" s="356">
        <f>+'inversion-detalle'!E23</f>
        <v>0</v>
      </c>
      <c r="G20" s="276"/>
    </row>
    <row r="21" spans="1:7" ht="15" x14ac:dyDescent="0.2">
      <c r="A21" s="107" t="s">
        <v>236</v>
      </c>
      <c r="B21" s="107"/>
      <c r="C21" s="352" t="s">
        <v>28</v>
      </c>
      <c r="D21" s="352"/>
      <c r="E21" s="362">
        <v>0</v>
      </c>
      <c r="F21" s="356">
        <f>+'inversion-detalle'!E24</f>
        <v>0</v>
      </c>
      <c r="G21" s="276"/>
    </row>
    <row r="22" spans="1:7" ht="15" x14ac:dyDescent="0.2">
      <c r="A22" s="107" t="s">
        <v>107</v>
      </c>
      <c r="B22" s="107"/>
      <c r="C22" s="107"/>
      <c r="D22" s="107"/>
      <c r="E22" s="362">
        <f>1177935+513362</f>
        <v>1691297</v>
      </c>
      <c r="F22" s="356">
        <f>+'inversion-detalle'!E26</f>
        <v>1117400</v>
      </c>
      <c r="G22" s="276"/>
    </row>
    <row r="23" spans="1:7" ht="15" x14ac:dyDescent="0.2">
      <c r="A23" s="107" t="s">
        <v>428</v>
      </c>
      <c r="B23" s="107"/>
      <c r="C23" s="352" t="s">
        <v>28</v>
      </c>
      <c r="D23" s="352"/>
      <c r="E23" s="362">
        <v>514400</v>
      </c>
      <c r="F23" s="356">
        <f>+'inversion-detalle'!E25</f>
        <v>1530000</v>
      </c>
      <c r="G23" s="276"/>
    </row>
    <row r="24" spans="1:7" ht="15" x14ac:dyDescent="0.2">
      <c r="A24" s="107"/>
      <c r="B24" s="107"/>
      <c r="C24" s="107"/>
      <c r="D24" s="107"/>
      <c r="E24" s="293"/>
      <c r="F24" s="361"/>
      <c r="G24" s="276"/>
    </row>
    <row r="25" spans="1:7" ht="15" x14ac:dyDescent="0.2">
      <c r="A25" s="107" t="s">
        <v>108</v>
      </c>
      <c r="B25" s="107"/>
      <c r="C25" s="107"/>
      <c r="D25" s="107"/>
      <c r="E25" s="355"/>
      <c r="F25" s="356"/>
      <c r="G25" s="276"/>
    </row>
    <row r="26" spans="1:7" ht="15" x14ac:dyDescent="0.2">
      <c r="A26" s="107"/>
      <c r="B26" s="107"/>
      <c r="C26" s="107"/>
      <c r="D26" s="107"/>
      <c r="E26" s="355"/>
      <c r="F26" s="356"/>
      <c r="G26" s="276"/>
    </row>
    <row r="27" spans="1:7" ht="15" x14ac:dyDescent="0.2">
      <c r="A27" s="107" t="s">
        <v>259</v>
      </c>
      <c r="B27" s="107"/>
      <c r="C27" s="107"/>
      <c r="D27" s="107"/>
      <c r="E27" s="359">
        <v>321416</v>
      </c>
      <c r="F27" s="356">
        <f>+'inversion-detalle'!E30</f>
        <v>464915</v>
      </c>
      <c r="G27" s="276"/>
    </row>
    <row r="28" spans="1:7" ht="15" x14ac:dyDescent="0.2">
      <c r="A28" s="107" t="s">
        <v>237</v>
      </c>
      <c r="B28" s="107"/>
      <c r="C28" s="107"/>
      <c r="D28" s="107"/>
      <c r="E28" s="359">
        <f>619864+456738</f>
        <v>1076602</v>
      </c>
      <c r="F28" s="356">
        <f>+'inversion-detalle'!E31</f>
        <v>557075</v>
      </c>
      <c r="G28" s="276"/>
    </row>
    <row r="29" spans="1:7" ht="15" x14ac:dyDescent="0.2">
      <c r="A29" s="107" t="s">
        <v>260</v>
      </c>
      <c r="B29" s="107"/>
      <c r="C29" s="107"/>
      <c r="D29" s="107"/>
      <c r="E29" s="359">
        <v>191443</v>
      </c>
      <c r="F29" s="356">
        <f>+'inversion-detalle'!E35</f>
        <v>475608</v>
      </c>
      <c r="G29" s="276"/>
    </row>
    <row r="30" spans="1:7" ht="15" x14ac:dyDescent="0.2">
      <c r="A30" s="107"/>
      <c r="B30" s="107"/>
      <c r="C30" s="107"/>
      <c r="D30" s="107"/>
      <c r="E30" s="355"/>
      <c r="F30" s="356"/>
      <c r="G30" s="276"/>
    </row>
    <row r="31" spans="1:7" ht="15" x14ac:dyDescent="0.2">
      <c r="A31" s="107"/>
      <c r="B31" s="107"/>
      <c r="C31" s="107"/>
      <c r="D31" s="107"/>
      <c r="E31" s="293"/>
      <c r="F31" s="361"/>
      <c r="G31" s="276"/>
    </row>
    <row r="32" spans="1:7" ht="15.75" thickBot="1" x14ac:dyDescent="0.25">
      <c r="A32" s="107" t="s">
        <v>109</v>
      </c>
      <c r="B32" s="107"/>
      <c r="C32" s="360" t="s">
        <v>28</v>
      </c>
      <c r="D32" s="107"/>
      <c r="E32" s="363">
        <f>SUM(E13:E31)</f>
        <v>14358793</v>
      </c>
      <c r="F32" s="364">
        <f>SUM(F11:F31)</f>
        <v>122377141</v>
      </c>
      <c r="G32" s="276"/>
    </row>
    <row r="33" spans="1:7" ht="15.75" thickTop="1" x14ac:dyDescent="0.2">
      <c r="A33" s="107"/>
      <c r="B33" s="107"/>
      <c r="C33" s="107"/>
      <c r="D33" s="107"/>
      <c r="E33" s="107"/>
      <c r="F33" s="291"/>
      <c r="G33" s="276"/>
    </row>
    <row r="34" spans="1:7" ht="15" x14ac:dyDescent="0.2">
      <c r="A34" s="107" t="s">
        <v>28</v>
      </c>
      <c r="B34" s="107"/>
      <c r="C34" s="107"/>
      <c r="D34" s="107"/>
      <c r="E34" s="107"/>
      <c r="F34" s="291"/>
      <c r="G34" s="276"/>
    </row>
    <row r="35" spans="1:7" ht="15" x14ac:dyDescent="0.2">
      <c r="A35" s="107" t="s">
        <v>28</v>
      </c>
      <c r="B35" s="107"/>
      <c r="C35" s="107"/>
      <c r="D35" s="107"/>
      <c r="E35" s="107"/>
      <c r="F35" s="291"/>
      <c r="G35" s="276"/>
    </row>
    <row r="36" spans="1:7" ht="15" x14ac:dyDescent="0.2">
      <c r="A36" s="107" t="s">
        <v>28</v>
      </c>
      <c r="B36" s="107"/>
      <c r="C36" s="107"/>
      <c r="D36" s="107"/>
      <c r="E36" s="107"/>
      <c r="F36" s="291"/>
      <c r="G36" s="276"/>
    </row>
    <row r="37" spans="1:7" ht="15" x14ac:dyDescent="0.2">
      <c r="A37" s="107" t="s">
        <v>28</v>
      </c>
      <c r="B37" s="107"/>
      <c r="C37" s="107"/>
      <c r="D37" s="107"/>
      <c r="E37" s="107"/>
      <c r="F37" s="291"/>
      <c r="G37" s="276"/>
    </row>
    <row r="38" spans="1:7" ht="15" x14ac:dyDescent="0.2">
      <c r="A38" s="107"/>
      <c r="B38" s="107"/>
      <c r="C38" s="107"/>
      <c r="D38" s="107"/>
      <c r="E38" s="107"/>
      <c r="F38" s="291"/>
      <c r="G38" s="276"/>
    </row>
    <row r="39" spans="1:7" ht="15" x14ac:dyDescent="0.2">
      <c r="A39" s="107"/>
      <c r="B39" s="107"/>
      <c r="C39" s="107"/>
      <c r="D39" s="107"/>
      <c r="E39" s="107"/>
      <c r="F39" s="291"/>
      <c r="G39" s="276"/>
    </row>
    <row r="40" spans="1:7" ht="15" x14ac:dyDescent="0.2">
      <c r="A40" s="107"/>
      <c r="B40" s="107"/>
      <c r="C40" s="107"/>
      <c r="D40" s="107"/>
      <c r="E40" s="107"/>
      <c r="F40" s="291"/>
      <c r="G40" s="276"/>
    </row>
    <row r="41" spans="1:7" ht="15" x14ac:dyDescent="0.2">
      <c r="A41" s="107"/>
      <c r="B41" s="107"/>
      <c r="C41" s="107"/>
      <c r="D41" s="107"/>
      <c r="E41" s="107"/>
      <c r="F41" s="291"/>
      <c r="G41" s="276"/>
    </row>
    <row r="42" spans="1:7" ht="15" x14ac:dyDescent="0.2">
      <c r="A42" s="107"/>
      <c r="B42" s="107"/>
      <c r="C42" s="107"/>
      <c r="D42" s="107"/>
      <c r="E42" s="107"/>
      <c r="F42" s="291"/>
      <c r="G42" s="276"/>
    </row>
    <row r="43" spans="1:7" ht="15" x14ac:dyDescent="0.2">
      <c r="A43" s="107"/>
      <c r="B43" s="107"/>
      <c r="C43" s="107"/>
      <c r="D43" s="107"/>
      <c r="E43" s="107"/>
      <c r="F43" s="291"/>
      <c r="G43" s="276"/>
    </row>
    <row r="44" spans="1:7" ht="15" x14ac:dyDescent="0.2">
      <c r="A44" s="1785" t="s">
        <v>474</v>
      </c>
      <c r="B44" s="1785"/>
      <c r="C44" s="1785"/>
      <c r="D44" s="1785"/>
      <c r="E44" s="1785"/>
      <c r="F44" s="1785"/>
      <c r="G44" s="276"/>
    </row>
    <row r="45" spans="1:7" ht="15" x14ac:dyDescent="0.2">
      <c r="A45" s="107"/>
      <c r="B45" s="107"/>
      <c r="C45" s="107"/>
      <c r="D45" s="107"/>
      <c r="E45" s="107"/>
      <c r="F45" s="291"/>
      <c r="G45" s="276"/>
    </row>
  </sheetData>
  <mergeCells count="3">
    <mergeCell ref="A4:F4"/>
    <mergeCell ref="A1:F1"/>
    <mergeCell ref="A44:F44"/>
  </mergeCells>
  <phoneticPr fontId="0" type="noConversion"/>
  <printOptions horizontalCentered="1" verticalCentered="1"/>
  <pageMargins left="0.98425196850393704" right="0.78740157480314965" top="0.98425196850393704" bottom="0.98425196850393704" header="0.51181102362204722" footer="0.51181102362204722"/>
  <pageSetup firstPageNumber="11" orientation="portrait" useFirstPageNumber="1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J449"/>
  <sheetViews>
    <sheetView zoomScale="65" workbookViewId="0">
      <selection activeCell="A45" sqref="A45"/>
    </sheetView>
  </sheetViews>
  <sheetFormatPr baseColWidth="10" defaultRowHeight="12.75" x14ac:dyDescent="0.2"/>
  <cols>
    <col min="1" max="1" width="45.28515625" style="671" customWidth="1"/>
    <col min="2" max="2" width="15.28515625" style="672" customWidth="1"/>
    <col min="3" max="3" width="17.28515625" style="672" customWidth="1"/>
    <col min="4" max="10" width="15.28515625" style="672" customWidth="1"/>
    <col min="11" max="11" width="15.42578125" style="672" customWidth="1"/>
    <col min="12" max="14" width="15.28515625" style="672" customWidth="1"/>
    <col min="15" max="15" width="16.140625" bestFit="1" customWidth="1"/>
    <col min="16" max="16" width="16.42578125" bestFit="1" customWidth="1"/>
    <col min="17" max="17" width="17" bestFit="1" customWidth="1"/>
    <col min="18" max="18" width="15.42578125" customWidth="1"/>
    <col min="20" max="20" width="40.5703125" customWidth="1"/>
    <col min="21" max="23" width="13.28515625" customWidth="1"/>
    <col min="24" max="26" width="13.140625" customWidth="1"/>
    <col min="27" max="28" width="13.28515625" bestFit="1" customWidth="1"/>
    <col min="29" max="29" width="13.140625" bestFit="1" customWidth="1"/>
    <col min="30" max="32" width="13.140625" customWidth="1"/>
    <col min="33" max="33" width="14.42578125" bestFit="1" customWidth="1"/>
  </cols>
  <sheetData>
    <row r="1" spans="1:35" x14ac:dyDescent="0.2">
      <c r="A1" s="511" t="s">
        <v>0</v>
      </c>
      <c r="B1" s="512"/>
      <c r="C1" s="512"/>
      <c r="D1" s="512"/>
      <c r="E1" s="512"/>
      <c r="F1" s="512"/>
      <c r="G1" s="512"/>
      <c r="H1" s="512"/>
      <c r="I1" s="512"/>
      <c r="J1" s="512"/>
      <c r="K1" s="512"/>
      <c r="L1" s="512"/>
      <c r="M1" s="512"/>
      <c r="N1" s="512"/>
      <c r="O1" s="513"/>
      <c r="P1" s="513"/>
      <c r="Q1" s="513"/>
      <c r="R1" s="513"/>
      <c r="S1" s="513"/>
      <c r="T1" s="518" t="s">
        <v>0</v>
      </c>
      <c r="U1" s="514"/>
      <c r="V1" s="514"/>
      <c r="W1" s="514"/>
      <c r="X1" s="514"/>
      <c r="Y1" s="514"/>
      <c r="Z1" s="514"/>
      <c r="AA1" s="514"/>
      <c r="AB1" s="514"/>
      <c r="AC1" s="514"/>
      <c r="AD1" s="514"/>
      <c r="AE1" s="514"/>
      <c r="AF1" s="514"/>
      <c r="AG1" s="515"/>
      <c r="AH1" s="516"/>
      <c r="AI1" s="663"/>
    </row>
    <row r="2" spans="1:35" x14ac:dyDescent="0.2">
      <c r="A2" s="511"/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3"/>
      <c r="P2" s="513"/>
      <c r="Q2" s="513"/>
      <c r="R2" s="513"/>
      <c r="S2" s="513"/>
      <c r="T2" s="518" t="s">
        <v>456</v>
      </c>
      <c r="U2" s="514"/>
      <c r="V2" s="514"/>
      <c r="W2" s="514"/>
      <c r="X2" s="514"/>
      <c r="Y2" s="514"/>
      <c r="Z2" s="514"/>
      <c r="AA2" s="514"/>
      <c r="AB2" s="514"/>
      <c r="AC2" s="514"/>
      <c r="AD2" s="514"/>
      <c r="AE2" s="514"/>
      <c r="AF2" s="514"/>
      <c r="AG2" s="515"/>
      <c r="AH2" s="516"/>
      <c r="AI2" s="663"/>
    </row>
    <row r="3" spans="1:35" ht="13.5" thickBot="1" x14ac:dyDescent="0.25">
      <c r="A3" s="511" t="s">
        <v>454</v>
      </c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1798" t="s">
        <v>467</v>
      </c>
      <c r="N3" s="1799"/>
      <c r="O3" s="513"/>
      <c r="P3" s="513"/>
      <c r="Q3" s="513"/>
      <c r="R3" s="513"/>
      <c r="S3" s="513"/>
      <c r="T3" s="520"/>
      <c r="U3" s="520"/>
      <c r="V3" s="520"/>
      <c r="W3" s="520"/>
      <c r="X3" s="520"/>
      <c r="Y3" s="520"/>
      <c r="Z3" s="520"/>
      <c r="AA3" s="520"/>
      <c r="AB3" s="520"/>
      <c r="AC3" s="520"/>
      <c r="AD3" s="520"/>
      <c r="AE3" s="521" t="s">
        <v>443</v>
      </c>
      <c r="AF3" s="521" t="s">
        <v>443</v>
      </c>
      <c r="AG3" s="522"/>
      <c r="AH3" s="523"/>
      <c r="AI3" s="664"/>
    </row>
    <row r="4" spans="1:35" ht="14.25" thickTop="1" thickBot="1" x14ac:dyDescent="0.25">
      <c r="A4" s="525"/>
      <c r="B4" s="526"/>
      <c r="C4" s="526"/>
      <c r="D4" s="526"/>
      <c r="E4" s="526"/>
      <c r="F4" s="526"/>
      <c r="G4" s="526"/>
      <c r="H4" s="526"/>
      <c r="I4" s="526"/>
      <c r="J4" s="526"/>
      <c r="K4" s="526"/>
      <c r="L4" s="683" t="s">
        <v>28</v>
      </c>
      <c r="M4" s="683" t="s">
        <v>28</v>
      </c>
      <c r="N4" s="683" t="s">
        <v>28</v>
      </c>
      <c r="O4" s="513"/>
      <c r="P4" s="513"/>
      <c r="Q4" s="513"/>
      <c r="R4" s="513"/>
      <c r="S4" s="513"/>
      <c r="T4" s="527"/>
      <c r="U4" s="528"/>
      <c r="V4" s="528"/>
      <c r="W4" s="528"/>
      <c r="X4" s="528"/>
      <c r="Y4" s="528"/>
      <c r="Z4" s="528"/>
      <c r="AA4" s="528"/>
      <c r="AB4" s="528"/>
      <c r="AC4" s="528"/>
      <c r="AD4" s="528"/>
      <c r="AE4" s="528"/>
      <c r="AF4" s="528"/>
      <c r="AG4" s="529"/>
      <c r="AH4" s="530"/>
    </row>
    <row r="5" spans="1:35" ht="13.5" thickTop="1" x14ac:dyDescent="0.2">
      <c r="A5" s="531"/>
      <c r="B5" s="532" t="s">
        <v>302</v>
      </c>
      <c r="C5" s="533" t="s">
        <v>303</v>
      </c>
      <c r="D5" s="533" t="s">
        <v>304</v>
      </c>
      <c r="E5" s="533" t="s">
        <v>305</v>
      </c>
      <c r="F5" s="533" t="s">
        <v>306</v>
      </c>
      <c r="G5" s="533" t="s">
        <v>307</v>
      </c>
      <c r="H5" s="685" t="s">
        <v>308</v>
      </c>
      <c r="I5" s="533" t="s">
        <v>309</v>
      </c>
      <c r="J5" s="533" t="s">
        <v>310</v>
      </c>
      <c r="K5" s="533" t="s">
        <v>311</v>
      </c>
      <c r="L5" s="533" t="s">
        <v>312</v>
      </c>
      <c r="M5" s="533" t="s">
        <v>313</v>
      </c>
      <c r="N5" s="534" t="s">
        <v>314</v>
      </c>
      <c r="O5" s="513"/>
      <c r="P5" s="513"/>
      <c r="Q5" s="513"/>
      <c r="R5" s="513"/>
      <c r="S5" s="513"/>
      <c r="T5" s="535" t="s">
        <v>5</v>
      </c>
      <c r="U5" s="536" t="s">
        <v>8</v>
      </c>
      <c r="V5" s="536" t="s">
        <v>9</v>
      </c>
      <c r="W5" s="536" t="s">
        <v>10</v>
      </c>
      <c r="X5" s="536" t="s">
        <v>11</v>
      </c>
      <c r="Y5" s="536" t="s">
        <v>12</v>
      </c>
      <c r="Z5" s="536" t="s">
        <v>13</v>
      </c>
      <c r="AA5" s="536" t="s">
        <v>14</v>
      </c>
      <c r="AB5" s="536" t="s">
        <v>15</v>
      </c>
      <c r="AC5" s="536" t="s">
        <v>16</v>
      </c>
      <c r="AD5" s="536" t="s">
        <v>17</v>
      </c>
      <c r="AE5" s="536" t="s">
        <v>18</v>
      </c>
      <c r="AF5" s="536" t="s">
        <v>19</v>
      </c>
      <c r="AG5" s="537" t="s">
        <v>6</v>
      </c>
      <c r="AH5" s="538" t="s">
        <v>7</v>
      </c>
    </row>
    <row r="6" spans="1:35" x14ac:dyDescent="0.2">
      <c r="A6" s="539" t="s">
        <v>5</v>
      </c>
      <c r="B6" s="540" t="s">
        <v>455</v>
      </c>
      <c r="C6" s="540">
        <v>2010</v>
      </c>
      <c r="D6" s="540">
        <v>2010</v>
      </c>
      <c r="E6" s="540">
        <v>2010</v>
      </c>
      <c r="F6" s="540">
        <v>2010</v>
      </c>
      <c r="G6" s="540">
        <v>2010</v>
      </c>
      <c r="H6" s="540">
        <v>2010</v>
      </c>
      <c r="I6" s="540">
        <v>2010</v>
      </c>
      <c r="J6" s="540">
        <v>2010</v>
      </c>
      <c r="K6" s="540">
        <v>2010</v>
      </c>
      <c r="L6" s="540">
        <v>2010</v>
      </c>
      <c r="M6" s="540">
        <v>2010</v>
      </c>
      <c r="N6" s="540">
        <v>2010</v>
      </c>
      <c r="O6" s="513"/>
      <c r="P6" s="513"/>
      <c r="Q6" s="513"/>
      <c r="R6" s="513"/>
      <c r="S6" s="513"/>
      <c r="T6" s="541"/>
      <c r="U6" s="542"/>
      <c r="V6" s="542"/>
      <c r="W6" s="542"/>
      <c r="X6" s="542"/>
      <c r="Y6" s="542"/>
      <c r="Z6" s="542"/>
      <c r="AA6" s="542"/>
      <c r="AB6" s="542"/>
      <c r="AC6" s="542"/>
      <c r="AD6" s="542"/>
      <c r="AE6" s="542"/>
      <c r="AF6" s="542"/>
      <c r="AG6" s="543"/>
      <c r="AH6" s="544"/>
    </row>
    <row r="7" spans="1:35" x14ac:dyDescent="0.2">
      <c r="A7" s="545"/>
      <c r="B7" s="546"/>
      <c r="C7" s="546"/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13"/>
      <c r="P7" s="513"/>
      <c r="Q7" s="513"/>
      <c r="R7" s="513"/>
      <c r="S7" s="513"/>
      <c r="T7" s="541" t="s">
        <v>315</v>
      </c>
      <c r="U7" s="549">
        <v>1425467</v>
      </c>
      <c r="V7" s="549">
        <v>1313540</v>
      </c>
      <c r="W7" s="549">
        <v>1566225</v>
      </c>
      <c r="X7" s="549">
        <v>1339028</v>
      </c>
      <c r="Y7" s="549">
        <v>1438769</v>
      </c>
      <c r="Z7" s="549">
        <v>1554246</v>
      </c>
      <c r="AA7" s="549">
        <v>1741292</v>
      </c>
      <c r="AB7" s="549">
        <v>1670231</v>
      </c>
      <c r="AC7" s="549">
        <v>1642693</v>
      </c>
      <c r="AD7" s="549">
        <v>1894900</v>
      </c>
      <c r="AE7" s="549">
        <v>1979178</v>
      </c>
      <c r="AF7" s="549">
        <v>1828042</v>
      </c>
      <c r="AG7" s="550">
        <f>SUM(U7:AF7)</f>
        <v>19393611</v>
      </c>
      <c r="AH7" s="551"/>
    </row>
    <row r="8" spans="1:35" x14ac:dyDescent="0.2">
      <c r="A8" s="552" t="s">
        <v>316</v>
      </c>
      <c r="B8" s="546"/>
      <c r="C8" s="546"/>
      <c r="D8" s="546"/>
      <c r="E8" s="546"/>
      <c r="F8" s="546"/>
      <c r="G8" s="546"/>
      <c r="H8" s="546"/>
      <c r="I8" s="546"/>
      <c r="J8" s="546"/>
      <c r="K8" s="546"/>
      <c r="L8" s="546"/>
      <c r="M8" s="546"/>
      <c r="N8" s="546"/>
      <c r="O8" s="513"/>
      <c r="P8" s="513"/>
      <c r="Q8" s="513"/>
      <c r="R8" s="513"/>
      <c r="S8" s="513"/>
      <c r="T8" s="541" t="s">
        <v>317</v>
      </c>
      <c r="U8" s="549">
        <v>114424</v>
      </c>
      <c r="V8" s="549">
        <v>113000</v>
      </c>
      <c r="W8" s="549">
        <v>149441</v>
      </c>
      <c r="X8" s="549">
        <v>130014</v>
      </c>
      <c r="Y8" s="549">
        <v>137451</v>
      </c>
      <c r="Z8" s="549">
        <v>142793</v>
      </c>
      <c r="AA8" s="549">
        <v>154153</v>
      </c>
      <c r="AB8" s="549">
        <v>141825</v>
      </c>
      <c r="AC8" s="549">
        <v>132272</v>
      </c>
      <c r="AD8" s="549">
        <v>147223</v>
      </c>
      <c r="AE8" s="549">
        <v>151900</v>
      </c>
      <c r="AF8" s="549">
        <v>119265</v>
      </c>
      <c r="AG8" s="550">
        <f>SUM(U8:AF8)</f>
        <v>1633761</v>
      </c>
      <c r="AH8" s="551"/>
    </row>
    <row r="9" spans="1:35" x14ac:dyDescent="0.2">
      <c r="A9" s="545"/>
      <c r="B9" s="546"/>
      <c r="C9" s="546"/>
      <c r="D9" s="546"/>
      <c r="E9" s="546"/>
      <c r="F9" s="546"/>
      <c r="G9" s="546"/>
      <c r="H9" s="546"/>
      <c r="I9" s="546"/>
      <c r="J9" s="546"/>
      <c r="K9" s="546"/>
      <c r="L9" s="546"/>
      <c r="M9" s="546"/>
      <c r="N9" s="546"/>
      <c r="O9" s="513"/>
      <c r="P9" s="513"/>
      <c r="Q9" s="513"/>
      <c r="R9" s="513"/>
      <c r="S9" s="513"/>
      <c r="T9" s="541"/>
      <c r="U9" s="553"/>
      <c r="V9" s="553"/>
      <c r="W9" s="553"/>
      <c r="X9" s="553"/>
      <c r="Y9" s="553"/>
      <c r="Z9" s="553"/>
      <c r="AA9" s="553"/>
      <c r="AB9" s="553"/>
      <c r="AC9" s="553"/>
      <c r="AD9" s="553"/>
      <c r="AE9" s="553"/>
      <c r="AF9" s="553"/>
      <c r="AG9" s="554"/>
      <c r="AH9" s="551"/>
    </row>
    <row r="10" spans="1:35" x14ac:dyDescent="0.2">
      <c r="A10" s="552" t="s">
        <v>318</v>
      </c>
      <c r="B10" s="546"/>
      <c r="C10" s="546"/>
      <c r="D10" s="546"/>
      <c r="E10" s="546"/>
      <c r="F10" s="546"/>
      <c r="G10" s="546"/>
      <c r="H10" s="546"/>
      <c r="I10" s="546"/>
      <c r="J10" s="546"/>
      <c r="K10" s="546"/>
      <c r="L10" s="546"/>
      <c r="M10" s="546"/>
      <c r="N10" s="546"/>
      <c r="O10" s="513"/>
      <c r="P10" s="513"/>
      <c r="Q10" s="513"/>
      <c r="R10" s="513"/>
      <c r="S10" s="513"/>
      <c r="T10" s="555" t="s">
        <v>319</v>
      </c>
      <c r="U10" s="553"/>
      <c r="V10" s="553"/>
      <c r="W10" s="553"/>
      <c r="X10" s="553"/>
      <c r="Y10" s="553"/>
      <c r="Z10" s="553"/>
      <c r="AA10" s="553"/>
      <c r="AB10" s="553"/>
      <c r="AC10" s="553"/>
      <c r="AD10" s="553"/>
      <c r="AE10" s="553"/>
      <c r="AF10" s="553"/>
      <c r="AG10" s="554"/>
      <c r="AH10" s="551"/>
    </row>
    <row r="11" spans="1:35" x14ac:dyDescent="0.2">
      <c r="A11" s="545" t="s">
        <v>320</v>
      </c>
      <c r="B11" s="546">
        <v>4860725</v>
      </c>
      <c r="C11" s="546">
        <v>1316029</v>
      </c>
      <c r="D11" s="546">
        <v>4120142</v>
      </c>
      <c r="E11" s="546">
        <v>3979138</v>
      </c>
      <c r="F11" s="546">
        <v>5495086</v>
      </c>
      <c r="G11" s="546">
        <v>4790969</v>
      </c>
      <c r="H11" s="546">
        <v>6338779</v>
      </c>
      <c r="I11" s="546">
        <v>2239227</v>
      </c>
      <c r="J11" s="546">
        <v>9923177</v>
      </c>
      <c r="K11" s="546">
        <v>3831055</v>
      </c>
      <c r="L11" s="546">
        <v>2074662</v>
      </c>
      <c r="M11" s="546">
        <v>1207973</v>
      </c>
      <c r="N11" s="546">
        <v>1219878</v>
      </c>
      <c r="O11" s="557"/>
      <c r="P11" s="513"/>
      <c r="Q11" s="513"/>
      <c r="R11" s="513"/>
      <c r="S11" s="513"/>
      <c r="T11" s="541" t="s">
        <v>321</v>
      </c>
      <c r="U11" s="549">
        <v>23965544</v>
      </c>
      <c r="V11" s="549">
        <v>23015932</v>
      </c>
      <c r="W11" s="549">
        <v>28610382</v>
      </c>
      <c r="X11" s="549">
        <v>25104002</v>
      </c>
      <c r="Y11" s="549">
        <v>25763743</v>
      </c>
      <c r="Z11" s="549">
        <v>26229136</v>
      </c>
      <c r="AA11" s="549">
        <v>26395683</v>
      </c>
      <c r="AB11" s="549">
        <v>27681933</v>
      </c>
      <c r="AC11" s="549">
        <v>25893689</v>
      </c>
      <c r="AD11" s="549">
        <v>28124751</v>
      </c>
      <c r="AE11" s="549">
        <v>27845398</v>
      </c>
      <c r="AF11" s="549">
        <v>25684005</v>
      </c>
      <c r="AG11" s="550">
        <f t="shared" ref="AG11:AG18" si="0">SUM(U11:AF11)</f>
        <v>314314198</v>
      </c>
      <c r="AH11" s="551">
        <f t="shared" ref="AH11:AH18" si="1">(AG11/$AG$20)*100</f>
        <v>85.999522938991745</v>
      </c>
    </row>
    <row r="12" spans="1:35" x14ac:dyDescent="0.2">
      <c r="A12" s="545" t="s">
        <v>434</v>
      </c>
      <c r="B12" s="546">
        <v>17629472</v>
      </c>
      <c r="C12" s="665">
        <v>21374782</v>
      </c>
      <c r="D12" s="665">
        <v>20842558</v>
      </c>
      <c r="E12" s="665">
        <v>19106761</v>
      </c>
      <c r="F12" s="665">
        <v>21258137</v>
      </c>
      <c r="G12" s="665">
        <v>22448907</v>
      </c>
      <c r="H12" s="665">
        <v>16303999</v>
      </c>
      <c r="I12" s="665">
        <v>21595822</v>
      </c>
      <c r="J12" s="665">
        <v>15383534</v>
      </c>
      <c r="K12" s="665">
        <v>17490700</v>
      </c>
      <c r="L12" s="665">
        <v>22690559</v>
      </c>
      <c r="M12" s="665">
        <v>20900469</v>
      </c>
      <c r="N12" s="665">
        <v>18251190</v>
      </c>
      <c r="O12" s="557"/>
      <c r="P12" s="513"/>
      <c r="Q12" s="513"/>
      <c r="R12" s="513"/>
      <c r="S12" s="513"/>
      <c r="T12" s="541" t="s">
        <v>322</v>
      </c>
      <c r="U12" s="549">
        <v>3999275</v>
      </c>
      <c r="V12" s="549">
        <v>3475651</v>
      </c>
      <c r="W12" s="549">
        <v>4441655</v>
      </c>
      <c r="X12" s="549">
        <v>3739379</v>
      </c>
      <c r="Y12" s="549">
        <v>4134132</v>
      </c>
      <c r="Z12" s="549">
        <v>5494763</v>
      </c>
      <c r="AA12" s="549">
        <v>5095672</v>
      </c>
      <c r="AB12" s="549">
        <v>4386508</v>
      </c>
      <c r="AC12" s="549">
        <v>3705694</v>
      </c>
      <c r="AD12" s="549">
        <v>4029968</v>
      </c>
      <c r="AE12" s="549">
        <v>4309169</v>
      </c>
      <c r="AF12" s="549">
        <v>4318012</v>
      </c>
      <c r="AG12" s="550">
        <f t="shared" si="0"/>
        <v>51129878</v>
      </c>
      <c r="AH12" s="551">
        <f t="shared" si="1"/>
        <v>13.989648396121289</v>
      </c>
    </row>
    <row r="13" spans="1:35" x14ac:dyDescent="0.2">
      <c r="A13" s="545" t="s">
        <v>415</v>
      </c>
      <c r="B13" s="546">
        <v>2680777</v>
      </c>
      <c r="C13" s="665">
        <v>4359502</v>
      </c>
      <c r="D13" s="665">
        <v>5430912</v>
      </c>
      <c r="E13" s="665">
        <v>4768064</v>
      </c>
      <c r="F13" s="665">
        <v>4859673</v>
      </c>
      <c r="G13" s="665">
        <v>5078836</v>
      </c>
      <c r="H13" s="665">
        <v>4389447</v>
      </c>
      <c r="I13" s="665">
        <v>4523435</v>
      </c>
      <c r="J13" s="665">
        <v>4274057</v>
      </c>
      <c r="K13" s="665">
        <v>5368107</v>
      </c>
      <c r="L13" s="665">
        <v>2651847</v>
      </c>
      <c r="M13" s="665">
        <v>4827586</v>
      </c>
      <c r="N13" s="665">
        <v>2499321</v>
      </c>
      <c r="O13" s="557"/>
      <c r="P13" s="513"/>
      <c r="Q13" s="513"/>
      <c r="R13" s="513"/>
      <c r="S13" s="513"/>
      <c r="T13" s="541" t="s">
        <v>323</v>
      </c>
      <c r="U13" s="549">
        <v>0</v>
      </c>
      <c r="V13" s="549">
        <v>0</v>
      </c>
      <c r="W13" s="549">
        <v>0</v>
      </c>
      <c r="X13" s="549">
        <v>0</v>
      </c>
      <c r="Y13" s="549">
        <v>0</v>
      </c>
      <c r="Z13" s="549">
        <v>0</v>
      </c>
      <c r="AA13" s="549">
        <v>0</v>
      </c>
      <c r="AB13" s="549">
        <v>0</v>
      </c>
      <c r="AC13" s="549">
        <v>0</v>
      </c>
      <c r="AD13" s="549">
        <v>0</v>
      </c>
      <c r="AE13" s="549">
        <v>0</v>
      </c>
      <c r="AF13" s="549">
        <v>0</v>
      </c>
      <c r="AG13" s="550">
        <f t="shared" si="0"/>
        <v>0</v>
      </c>
      <c r="AH13" s="551">
        <f t="shared" si="1"/>
        <v>0</v>
      </c>
    </row>
    <row r="14" spans="1:35" x14ac:dyDescent="0.2">
      <c r="A14" s="545" t="s">
        <v>435</v>
      </c>
      <c r="B14" s="546">
        <v>3272727</v>
      </c>
      <c r="C14" s="665">
        <v>2971715</v>
      </c>
      <c r="D14" s="665">
        <v>4060659</v>
      </c>
      <c r="E14" s="665">
        <v>3251855</v>
      </c>
      <c r="F14" s="665">
        <v>3070813</v>
      </c>
      <c r="G14" s="665">
        <v>3388862</v>
      </c>
      <c r="H14" s="665">
        <v>3552704</v>
      </c>
      <c r="I14" s="665">
        <v>3103302</v>
      </c>
      <c r="J14" s="665">
        <v>3338716</v>
      </c>
      <c r="K14" s="665">
        <v>3032368</v>
      </c>
      <c r="L14" s="665">
        <v>3263243</v>
      </c>
      <c r="M14" s="665">
        <v>3302369</v>
      </c>
      <c r="N14" s="665">
        <v>3004567</v>
      </c>
      <c r="O14" s="557"/>
      <c r="P14" s="513"/>
      <c r="Q14" s="513"/>
      <c r="R14" s="513"/>
      <c r="S14" s="513"/>
      <c r="T14" s="541" t="s">
        <v>436</v>
      </c>
      <c r="U14" s="549">
        <v>0</v>
      </c>
      <c r="V14" s="549">
        <v>0</v>
      </c>
      <c r="W14" s="549">
        <v>0</v>
      </c>
      <c r="X14" s="549">
        <v>0</v>
      </c>
      <c r="Y14" s="549">
        <v>0</v>
      </c>
      <c r="Z14" s="549">
        <v>0</v>
      </c>
      <c r="AA14" s="549">
        <v>0</v>
      </c>
      <c r="AB14" s="549">
        <v>0</v>
      </c>
      <c r="AC14" s="549">
        <v>0</v>
      </c>
      <c r="AD14" s="549">
        <v>0</v>
      </c>
      <c r="AE14" s="549">
        <v>0</v>
      </c>
      <c r="AF14" s="549">
        <v>0</v>
      </c>
      <c r="AG14" s="550">
        <f t="shared" si="0"/>
        <v>0</v>
      </c>
      <c r="AH14" s="551">
        <f t="shared" si="1"/>
        <v>0</v>
      </c>
    </row>
    <row r="15" spans="1:35" x14ac:dyDescent="0.2">
      <c r="A15" s="545"/>
      <c r="B15" s="546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557"/>
      <c r="P15" s="513"/>
      <c r="Q15" s="513"/>
      <c r="R15" s="513"/>
      <c r="S15" s="513"/>
      <c r="T15" s="541" t="s">
        <v>326</v>
      </c>
      <c r="U15" s="549">
        <v>0</v>
      </c>
      <c r="V15" s="549">
        <v>0</v>
      </c>
      <c r="W15" s="549">
        <v>0</v>
      </c>
      <c r="X15" s="549">
        <v>0</v>
      </c>
      <c r="Y15" s="549">
        <v>0</v>
      </c>
      <c r="Z15" s="549">
        <v>0</v>
      </c>
      <c r="AA15" s="549">
        <v>0</v>
      </c>
      <c r="AB15" s="549">
        <v>0</v>
      </c>
      <c r="AC15" s="549">
        <v>0</v>
      </c>
      <c r="AD15" s="549">
        <v>0</v>
      </c>
      <c r="AE15" s="549">
        <v>0</v>
      </c>
      <c r="AF15" s="549">
        <v>0</v>
      </c>
      <c r="AG15" s="550">
        <f t="shared" si="0"/>
        <v>0</v>
      </c>
      <c r="AH15" s="551">
        <f t="shared" si="1"/>
        <v>0</v>
      </c>
    </row>
    <row r="16" spans="1:35" x14ac:dyDescent="0.2">
      <c r="A16" s="545"/>
      <c r="B16" s="546"/>
      <c r="C16" s="546"/>
      <c r="D16" s="546"/>
      <c r="E16" s="546"/>
      <c r="F16" s="546"/>
      <c r="G16" s="546"/>
      <c r="H16" s="546"/>
      <c r="I16" s="546"/>
      <c r="J16" s="546"/>
      <c r="K16" s="546"/>
      <c r="L16" s="546"/>
      <c r="M16" s="546"/>
      <c r="N16" s="546"/>
      <c r="O16" s="557"/>
      <c r="P16" s="513"/>
      <c r="Q16" s="513"/>
      <c r="R16" s="513"/>
      <c r="S16" s="513"/>
      <c r="T16" s="541" t="s">
        <v>327</v>
      </c>
      <c r="U16" s="549">
        <v>0</v>
      </c>
      <c r="V16" s="549">
        <v>0</v>
      </c>
      <c r="W16" s="549">
        <v>0</v>
      </c>
      <c r="X16" s="549">
        <v>0</v>
      </c>
      <c r="Y16" s="549">
        <v>0</v>
      </c>
      <c r="Z16" s="549">
        <v>0</v>
      </c>
      <c r="AA16" s="549">
        <v>0</v>
      </c>
      <c r="AB16" s="549">
        <v>0</v>
      </c>
      <c r="AC16" s="549">
        <v>0</v>
      </c>
      <c r="AD16" s="549">
        <v>0</v>
      </c>
      <c r="AE16" s="549">
        <v>0</v>
      </c>
      <c r="AF16" s="549">
        <v>0</v>
      </c>
      <c r="AG16" s="550">
        <f t="shared" si="0"/>
        <v>0</v>
      </c>
      <c r="AH16" s="551">
        <f t="shared" si="1"/>
        <v>0</v>
      </c>
    </row>
    <row r="17" spans="1:35" x14ac:dyDescent="0.2">
      <c r="A17" s="552" t="s">
        <v>324</v>
      </c>
      <c r="B17" s="546"/>
      <c r="C17" s="546"/>
      <c r="D17" s="546"/>
      <c r="E17" s="546"/>
      <c r="F17" s="546"/>
      <c r="G17" s="546"/>
      <c r="H17" s="546"/>
      <c r="I17" s="546"/>
      <c r="J17" s="546"/>
      <c r="K17" s="546"/>
      <c r="L17" s="546"/>
      <c r="M17" s="546"/>
      <c r="N17" s="546"/>
      <c r="O17" s="557"/>
      <c r="P17" s="513"/>
      <c r="Q17" s="513"/>
      <c r="R17" s="513"/>
      <c r="S17" s="513"/>
      <c r="T17" s="541" t="s">
        <v>328</v>
      </c>
      <c r="U17" s="549">
        <v>0</v>
      </c>
      <c r="V17" s="549">
        <v>0</v>
      </c>
      <c r="W17" s="549">
        <v>0</v>
      </c>
      <c r="X17" s="549">
        <v>0</v>
      </c>
      <c r="Y17" s="549">
        <v>0</v>
      </c>
      <c r="Z17" s="549">
        <v>0</v>
      </c>
      <c r="AA17" s="549">
        <v>0</v>
      </c>
      <c r="AB17" s="549">
        <v>0</v>
      </c>
      <c r="AC17" s="549">
        <v>0</v>
      </c>
      <c r="AD17" s="549">
        <v>0</v>
      </c>
      <c r="AE17" s="549">
        <v>0</v>
      </c>
      <c r="AF17" s="549">
        <v>0</v>
      </c>
      <c r="AG17" s="550">
        <f t="shared" si="0"/>
        <v>0</v>
      </c>
      <c r="AH17" s="551">
        <f t="shared" si="1"/>
        <v>0</v>
      </c>
    </row>
    <row r="18" spans="1:35" x14ac:dyDescent="0.2">
      <c r="A18" s="545" t="s">
        <v>325</v>
      </c>
      <c r="B18" s="546">
        <v>2984178</v>
      </c>
      <c r="C18" s="546">
        <v>3270045</v>
      </c>
      <c r="D18" s="546">
        <v>3588333</v>
      </c>
      <c r="E18" s="546">
        <v>3238193</v>
      </c>
      <c r="F18" s="546">
        <v>3564135</v>
      </c>
      <c r="G18" s="546">
        <v>3750092</v>
      </c>
      <c r="H18" s="546">
        <v>3759723</v>
      </c>
      <c r="I18" s="546">
        <v>3933988</v>
      </c>
      <c r="J18" s="546">
        <v>3704428</v>
      </c>
      <c r="K18" s="546">
        <v>3366531</v>
      </c>
      <c r="L18" s="546">
        <v>3443944</v>
      </c>
      <c r="M18" s="546">
        <v>3526897</v>
      </c>
      <c r="N18" s="546">
        <v>3325621</v>
      </c>
      <c r="O18" s="557"/>
      <c r="P18" s="513"/>
      <c r="Q18" s="513"/>
      <c r="R18" s="513"/>
      <c r="S18" s="513"/>
      <c r="T18" s="541" t="s">
        <v>329</v>
      </c>
      <c r="U18" s="549">
        <v>0</v>
      </c>
      <c r="V18" s="549">
        <v>0</v>
      </c>
      <c r="W18" s="549">
        <v>12425</v>
      </c>
      <c r="X18" s="549">
        <v>0</v>
      </c>
      <c r="Y18" s="549">
        <v>23652</v>
      </c>
      <c r="Z18" s="549">
        <v>0</v>
      </c>
      <c r="AA18" s="549">
        <v>3500</v>
      </c>
      <c r="AB18" s="549">
        <v>0</v>
      </c>
      <c r="AC18" s="549">
        <v>0</v>
      </c>
      <c r="AD18" s="549">
        <v>0</v>
      </c>
      <c r="AE18" s="549">
        <v>0</v>
      </c>
      <c r="AF18" s="549">
        <v>0</v>
      </c>
      <c r="AG18" s="550">
        <f t="shared" si="0"/>
        <v>39577</v>
      </c>
      <c r="AH18" s="551">
        <f t="shared" si="1"/>
        <v>1.082866488696281E-2</v>
      </c>
    </row>
    <row r="19" spans="1:35" x14ac:dyDescent="0.2">
      <c r="A19" s="545"/>
      <c r="B19" s="546"/>
      <c r="C19" s="546"/>
      <c r="D19" s="546"/>
      <c r="E19" s="546"/>
      <c r="F19" s="546"/>
      <c r="G19" s="546"/>
      <c r="H19" s="546"/>
      <c r="I19" s="546"/>
      <c r="J19" s="546"/>
      <c r="K19" s="546"/>
      <c r="L19" s="546"/>
      <c r="M19" s="546"/>
      <c r="N19" s="546"/>
      <c r="O19" s="557"/>
      <c r="P19" s="513"/>
      <c r="Q19" s="513"/>
      <c r="R19" s="513"/>
      <c r="S19" s="513"/>
      <c r="T19" s="555"/>
      <c r="U19" s="553"/>
      <c r="V19" s="553"/>
      <c r="W19" s="553"/>
      <c r="X19" s="553"/>
      <c r="Y19" s="553"/>
      <c r="Z19" s="553"/>
      <c r="AA19" s="553"/>
      <c r="AB19" s="553"/>
      <c r="AC19" s="553"/>
      <c r="AD19" s="553"/>
      <c r="AE19" s="553"/>
      <c r="AF19" s="553"/>
      <c r="AG19" s="554"/>
      <c r="AH19" s="551"/>
    </row>
    <row r="20" spans="1:35" x14ac:dyDescent="0.2">
      <c r="A20" s="552" t="s">
        <v>61</v>
      </c>
      <c r="B20" s="558">
        <f>SUM(B11:B19)</f>
        <v>31427879</v>
      </c>
      <c r="C20" s="558">
        <f>SUM(C11:C19)</f>
        <v>33292073</v>
      </c>
      <c r="D20" s="558">
        <f t="shared" ref="D20:N20" si="2">SUM(D11:D19)</f>
        <v>38042604</v>
      </c>
      <c r="E20" s="558">
        <f t="shared" si="2"/>
        <v>34344011</v>
      </c>
      <c r="F20" s="558">
        <f t="shared" si="2"/>
        <v>38247844</v>
      </c>
      <c r="G20" s="558">
        <f t="shared" si="2"/>
        <v>39457666</v>
      </c>
      <c r="H20" s="558">
        <f t="shared" si="2"/>
        <v>34344652</v>
      </c>
      <c r="I20" s="558">
        <f t="shared" si="2"/>
        <v>35395774</v>
      </c>
      <c r="J20" s="558">
        <f t="shared" si="2"/>
        <v>36623912</v>
      </c>
      <c r="K20" s="558">
        <f t="shared" si="2"/>
        <v>33088761</v>
      </c>
      <c r="L20" s="558">
        <f t="shared" si="2"/>
        <v>34124255</v>
      </c>
      <c r="M20" s="558">
        <f t="shared" si="2"/>
        <v>33765294</v>
      </c>
      <c r="N20" s="558">
        <f t="shared" si="2"/>
        <v>28300577</v>
      </c>
      <c r="O20" s="557"/>
      <c r="P20" s="513"/>
      <c r="Q20" s="513"/>
      <c r="R20" s="513"/>
      <c r="S20" s="513"/>
      <c r="T20" s="555" t="s">
        <v>332</v>
      </c>
      <c r="U20" s="560">
        <f t="shared" ref="U20:AG20" si="3">SUM(U11:U19)</f>
        <v>27964819</v>
      </c>
      <c r="V20" s="560">
        <f t="shared" si="3"/>
        <v>26491583</v>
      </c>
      <c r="W20" s="560">
        <f t="shared" si="3"/>
        <v>33064462</v>
      </c>
      <c r="X20" s="560">
        <f t="shared" si="3"/>
        <v>28843381</v>
      </c>
      <c r="Y20" s="560">
        <f t="shared" si="3"/>
        <v>29921527</v>
      </c>
      <c r="Z20" s="560">
        <f t="shared" si="3"/>
        <v>31723899</v>
      </c>
      <c r="AA20" s="560">
        <f t="shared" si="3"/>
        <v>31494855</v>
      </c>
      <c r="AB20" s="560">
        <f t="shared" si="3"/>
        <v>32068441</v>
      </c>
      <c r="AC20" s="560">
        <f t="shared" si="3"/>
        <v>29599383</v>
      </c>
      <c r="AD20" s="560">
        <f t="shared" si="3"/>
        <v>32154719</v>
      </c>
      <c r="AE20" s="560">
        <f t="shared" si="3"/>
        <v>32154567</v>
      </c>
      <c r="AF20" s="560">
        <f t="shared" si="3"/>
        <v>30002017</v>
      </c>
      <c r="AG20" s="560">
        <f t="shared" si="3"/>
        <v>365483653</v>
      </c>
      <c r="AH20" s="561">
        <v>100</v>
      </c>
    </row>
    <row r="21" spans="1:35" x14ac:dyDescent="0.2">
      <c r="A21" s="545"/>
      <c r="B21" s="546"/>
      <c r="C21" s="546"/>
      <c r="D21" s="546"/>
      <c r="E21" s="546"/>
      <c r="F21" s="546"/>
      <c r="G21" s="546"/>
      <c r="H21" s="546"/>
      <c r="I21" s="546"/>
      <c r="J21" s="546"/>
      <c r="K21" s="546"/>
      <c r="L21" s="546"/>
      <c r="M21" s="546"/>
      <c r="N21" s="546"/>
      <c r="O21" s="557"/>
      <c r="P21" s="513"/>
      <c r="Q21" s="513"/>
      <c r="R21" s="513"/>
      <c r="S21" s="513"/>
      <c r="T21" s="541"/>
      <c r="U21" s="553"/>
      <c r="V21" s="553"/>
      <c r="W21" s="553"/>
      <c r="X21" s="553"/>
      <c r="Y21" s="553"/>
      <c r="Z21" s="553"/>
      <c r="AA21" s="553"/>
      <c r="AB21" s="553"/>
      <c r="AC21" s="553"/>
      <c r="AD21" s="553"/>
      <c r="AE21" s="553"/>
      <c r="AF21" s="553"/>
      <c r="AG21" s="554"/>
      <c r="AH21" s="551"/>
    </row>
    <row r="22" spans="1:35" x14ac:dyDescent="0.2">
      <c r="A22" s="552" t="s">
        <v>330</v>
      </c>
      <c r="B22" s="546"/>
      <c r="C22" s="546"/>
      <c r="D22" s="546"/>
      <c r="E22" s="546"/>
      <c r="F22" s="546"/>
      <c r="G22" s="546"/>
      <c r="H22" s="546"/>
      <c r="I22" s="546"/>
      <c r="J22" s="546"/>
      <c r="K22" s="546"/>
      <c r="L22" s="546"/>
      <c r="M22" s="546"/>
      <c r="N22" s="546"/>
      <c r="O22" s="557"/>
      <c r="P22" s="513"/>
      <c r="Q22" s="513"/>
      <c r="R22" s="513"/>
      <c r="S22" s="513"/>
      <c r="T22" s="555" t="s">
        <v>334</v>
      </c>
      <c r="U22" s="553"/>
      <c r="V22" s="553"/>
      <c r="W22" s="553"/>
      <c r="X22" s="553"/>
      <c r="Y22" s="553"/>
      <c r="Z22" s="553"/>
      <c r="AA22" s="553"/>
      <c r="AB22" s="553"/>
      <c r="AC22" s="553"/>
      <c r="AD22" s="553"/>
      <c r="AE22" s="553"/>
      <c r="AF22" s="553"/>
      <c r="AG22" s="554"/>
      <c r="AH22" s="551"/>
    </row>
    <row r="23" spans="1:35" x14ac:dyDescent="0.2">
      <c r="A23" s="545" t="s">
        <v>331</v>
      </c>
      <c r="B23" s="546">
        <v>150143979</v>
      </c>
      <c r="C23" s="546">
        <v>148301875</v>
      </c>
      <c r="D23" s="546">
        <v>146723941</v>
      </c>
      <c r="E23" s="546">
        <v>144620739</v>
      </c>
      <c r="F23" s="546">
        <v>142212688</v>
      </c>
      <c r="G23" s="546">
        <v>141162084</v>
      </c>
      <c r="H23" s="546">
        <v>144612156</v>
      </c>
      <c r="I23" s="546">
        <v>142653846</v>
      </c>
      <c r="J23" s="546">
        <v>141244339</v>
      </c>
      <c r="K23" s="546">
        <v>145326301</v>
      </c>
      <c r="L23" s="546">
        <v>143872761</v>
      </c>
      <c r="M23" s="546">
        <f>143872761-2073244</f>
        <v>141799517</v>
      </c>
      <c r="N23" s="546">
        <f>141817998-2073244</f>
        <v>139744754</v>
      </c>
      <c r="O23" s="557"/>
      <c r="P23" s="513"/>
      <c r="Q23" s="513"/>
      <c r="R23" s="513"/>
      <c r="S23" s="513"/>
      <c r="T23" s="555"/>
      <c r="U23" s="553"/>
      <c r="V23" s="553"/>
      <c r="W23" s="553"/>
      <c r="X23" s="553"/>
      <c r="Y23" s="553"/>
      <c r="Z23" s="553"/>
      <c r="AA23" s="553"/>
      <c r="AB23" s="553"/>
      <c r="AC23" s="553"/>
      <c r="AD23" s="553"/>
      <c r="AE23" s="553"/>
      <c r="AF23" s="553"/>
      <c r="AG23" s="554"/>
      <c r="AH23" s="551"/>
      <c r="AI23" s="666"/>
    </row>
    <row r="24" spans="1:35" x14ac:dyDescent="0.2">
      <c r="A24" s="545"/>
      <c r="B24" s="546"/>
      <c r="C24" s="546"/>
      <c r="D24" s="546"/>
      <c r="E24" s="546"/>
      <c r="F24" s="546"/>
      <c r="G24" s="546"/>
      <c r="H24" s="546"/>
      <c r="I24" s="546"/>
      <c r="J24" s="546"/>
      <c r="K24" s="546"/>
      <c r="L24" s="546"/>
      <c r="M24" s="546"/>
      <c r="N24" s="546"/>
      <c r="O24" s="557"/>
      <c r="P24" s="513"/>
      <c r="Q24" s="513"/>
      <c r="R24" s="513"/>
      <c r="S24" s="513"/>
      <c r="T24" s="555" t="s">
        <v>335</v>
      </c>
      <c r="U24" s="563">
        <f t="shared" ref="U24:AG24" si="4">SUM(U25:U26)</f>
        <v>4695508</v>
      </c>
      <c r="V24" s="563">
        <f t="shared" si="4"/>
        <v>4357368</v>
      </c>
      <c r="W24" s="563">
        <f t="shared" si="4"/>
        <v>4627898</v>
      </c>
      <c r="X24" s="563">
        <f t="shared" si="4"/>
        <v>4427502</v>
      </c>
      <c r="Y24" s="563">
        <f t="shared" si="4"/>
        <v>4036049</v>
      </c>
      <c r="Z24" s="563">
        <f t="shared" si="4"/>
        <v>4427334</v>
      </c>
      <c r="AA24" s="563">
        <f t="shared" si="4"/>
        <v>5020002</v>
      </c>
      <c r="AB24" s="563">
        <f t="shared" si="4"/>
        <v>5014658</v>
      </c>
      <c r="AC24" s="563">
        <f t="shared" si="4"/>
        <v>5274596</v>
      </c>
      <c r="AD24" s="563">
        <f t="shared" si="4"/>
        <v>5344016</v>
      </c>
      <c r="AE24" s="563">
        <f t="shared" si="4"/>
        <v>5118880</v>
      </c>
      <c r="AF24" s="563">
        <f t="shared" si="4"/>
        <v>5118880</v>
      </c>
      <c r="AG24" s="563">
        <f t="shared" si="4"/>
        <v>57462691</v>
      </c>
      <c r="AH24" s="564">
        <f t="shared" ref="AH24:AH31" si="5">(AG24/$AG$20)*100</f>
        <v>15.722369667789218</v>
      </c>
    </row>
    <row r="25" spans="1:35" x14ac:dyDescent="0.2">
      <c r="A25" s="552" t="s">
        <v>333</v>
      </c>
      <c r="B25" s="546"/>
      <c r="C25" s="546"/>
      <c r="D25" s="546"/>
      <c r="E25" s="546"/>
      <c r="F25" s="546"/>
      <c r="G25" s="546"/>
      <c r="H25" s="546"/>
      <c r="I25" s="546"/>
      <c r="J25" s="546"/>
      <c r="K25" s="546"/>
      <c r="L25" s="546"/>
      <c r="M25" s="546"/>
      <c r="N25" s="546"/>
      <c r="O25" s="557"/>
      <c r="P25" s="513"/>
      <c r="Q25" s="513"/>
      <c r="R25" s="513"/>
      <c r="S25" s="513"/>
      <c r="T25" s="565" t="s">
        <v>336</v>
      </c>
      <c r="U25" s="566">
        <v>938164</v>
      </c>
      <c r="V25" s="566">
        <v>832558</v>
      </c>
      <c r="W25" s="566">
        <v>876763</v>
      </c>
      <c r="X25" s="566">
        <v>831257</v>
      </c>
      <c r="Y25" s="566">
        <v>722937</v>
      </c>
      <c r="Z25" s="566">
        <v>779245</v>
      </c>
      <c r="AA25" s="566">
        <v>905636</v>
      </c>
      <c r="AB25" s="566">
        <v>974249</v>
      </c>
      <c r="AC25" s="566">
        <v>919935</v>
      </c>
      <c r="AD25" s="566">
        <v>816391</v>
      </c>
      <c r="AE25" s="566">
        <v>909564</v>
      </c>
      <c r="AF25" s="566">
        <v>909564</v>
      </c>
      <c r="AG25" s="566">
        <f>SUM(U25:AF25)</f>
        <v>10416263</v>
      </c>
      <c r="AH25" s="551">
        <f t="shared" si="5"/>
        <v>2.8499942239550724</v>
      </c>
    </row>
    <row r="26" spans="1:35" x14ac:dyDescent="0.2">
      <c r="A26" s="545" t="s">
        <v>420</v>
      </c>
      <c r="B26" s="546">
        <v>1019289</v>
      </c>
      <c r="C26" s="546">
        <v>1019289</v>
      </c>
      <c r="D26" s="546">
        <v>1019289</v>
      </c>
      <c r="E26" s="546">
        <v>535792</v>
      </c>
      <c r="F26" s="546">
        <v>535792</v>
      </c>
      <c r="G26" s="546">
        <v>535792</v>
      </c>
      <c r="H26" s="546">
        <v>535792</v>
      </c>
      <c r="I26" s="546">
        <v>536963</v>
      </c>
      <c r="J26" s="546">
        <v>537467</v>
      </c>
      <c r="K26" s="546">
        <v>168796</v>
      </c>
      <c r="L26" s="546">
        <v>168796</v>
      </c>
      <c r="M26" s="546">
        <v>168796</v>
      </c>
      <c r="N26" s="546">
        <v>168796</v>
      </c>
      <c r="O26" s="557"/>
      <c r="P26" s="513"/>
      <c r="Q26" s="513"/>
      <c r="R26" s="513"/>
      <c r="S26" s="513"/>
      <c r="T26" s="565" t="s">
        <v>338</v>
      </c>
      <c r="U26" s="566">
        <v>3757344</v>
      </c>
      <c r="V26" s="566">
        <v>3524810</v>
      </c>
      <c r="W26" s="566">
        <v>3751135</v>
      </c>
      <c r="X26" s="566">
        <v>3596245</v>
      </c>
      <c r="Y26" s="566">
        <v>3313112</v>
      </c>
      <c r="Z26" s="566">
        <v>3648089</v>
      </c>
      <c r="AA26" s="566">
        <v>4114366</v>
      </c>
      <c r="AB26" s="566">
        <v>4040409</v>
      </c>
      <c r="AC26" s="566">
        <v>4354661</v>
      </c>
      <c r="AD26" s="566">
        <v>4527625</v>
      </c>
      <c r="AE26" s="566">
        <v>4209316</v>
      </c>
      <c r="AF26" s="566">
        <v>4209316</v>
      </c>
      <c r="AG26" s="566">
        <f>SUM(U26:AF26)</f>
        <v>47046428</v>
      </c>
      <c r="AH26" s="551">
        <f t="shared" si="5"/>
        <v>12.872375443834146</v>
      </c>
    </row>
    <row r="27" spans="1:35" x14ac:dyDescent="0.2">
      <c r="A27" s="545" t="s">
        <v>417</v>
      </c>
      <c r="B27" s="546">
        <v>0</v>
      </c>
      <c r="C27" s="546">
        <v>28824</v>
      </c>
      <c r="D27" s="546">
        <v>198351</v>
      </c>
      <c r="E27" s="546">
        <v>439117</v>
      </c>
      <c r="F27" s="546">
        <v>390682</v>
      </c>
      <c r="G27" s="546">
        <v>342246</v>
      </c>
      <c r="H27" s="546">
        <v>293810</v>
      </c>
      <c r="I27" s="546">
        <v>251056</v>
      </c>
      <c r="J27" s="546">
        <v>201484</v>
      </c>
      <c r="K27" s="546">
        <v>151912</v>
      </c>
      <c r="L27" s="546">
        <v>106441</v>
      </c>
      <c r="M27" s="546">
        <f>106441-49572</f>
        <v>56869</v>
      </c>
      <c r="N27" s="546">
        <f>56869-45471</f>
        <v>11398</v>
      </c>
      <c r="O27" s="557"/>
      <c r="P27" s="513"/>
      <c r="Q27" s="513"/>
      <c r="R27" s="513"/>
      <c r="S27" s="513"/>
      <c r="T27" s="555" t="s">
        <v>339</v>
      </c>
      <c r="U27" s="563">
        <f t="shared" ref="U27:AG27" si="6">SUM(U28:U29)</f>
        <v>18234134</v>
      </c>
      <c r="V27" s="563">
        <f t="shared" si="6"/>
        <v>18115303</v>
      </c>
      <c r="W27" s="563">
        <f t="shared" si="6"/>
        <v>23399683</v>
      </c>
      <c r="X27" s="563">
        <f t="shared" si="6"/>
        <v>19502834</v>
      </c>
      <c r="Y27" s="563">
        <f t="shared" si="6"/>
        <v>21423887</v>
      </c>
      <c r="Z27" s="563">
        <f t="shared" si="6"/>
        <v>22770140</v>
      </c>
      <c r="AA27" s="563">
        <f t="shared" si="6"/>
        <v>22232245</v>
      </c>
      <c r="AB27" s="563">
        <f t="shared" si="6"/>
        <v>23225439</v>
      </c>
      <c r="AC27" s="563">
        <f t="shared" si="6"/>
        <v>18720216</v>
      </c>
      <c r="AD27" s="563">
        <f t="shared" si="6"/>
        <v>21622071</v>
      </c>
      <c r="AE27" s="563">
        <f t="shared" si="6"/>
        <v>21187369</v>
      </c>
      <c r="AF27" s="563">
        <f t="shared" si="6"/>
        <v>21241314</v>
      </c>
      <c r="AG27" s="563">
        <f t="shared" si="6"/>
        <v>251674635</v>
      </c>
      <c r="AH27" s="564">
        <f t="shared" si="5"/>
        <v>68.860709072534092</v>
      </c>
    </row>
    <row r="28" spans="1:35" x14ac:dyDescent="0.2">
      <c r="A28" s="545" t="s">
        <v>437</v>
      </c>
      <c r="B28" s="546">
        <v>3186963</v>
      </c>
      <c r="C28" s="546">
        <v>2688963</v>
      </c>
      <c r="D28" s="546">
        <v>2191518</v>
      </c>
      <c r="E28" s="546">
        <v>1728408</v>
      </c>
      <c r="F28" s="546">
        <v>1529108</v>
      </c>
      <c r="G28" s="546">
        <v>1045998</v>
      </c>
      <c r="H28" s="546">
        <v>511419</v>
      </c>
      <c r="I28" s="546">
        <v>490140</v>
      </c>
      <c r="J28" s="546">
        <v>421721</v>
      </c>
      <c r="K28" s="546">
        <v>288063</v>
      </c>
      <c r="L28" s="546">
        <v>6361260</v>
      </c>
      <c r="M28" s="546">
        <f>6361260-706514</f>
        <v>5654746</v>
      </c>
      <c r="N28" s="546">
        <f>5654746-706514</f>
        <v>4948232</v>
      </c>
      <c r="O28" s="557"/>
      <c r="P28" s="513"/>
      <c r="Q28" s="513"/>
      <c r="R28" s="513"/>
      <c r="S28" s="513"/>
      <c r="T28" s="565" t="s">
        <v>336</v>
      </c>
      <c r="U28" s="566">
        <v>7814073</v>
      </c>
      <c r="V28" s="566">
        <v>8107871</v>
      </c>
      <c r="W28" s="566">
        <v>10200927</v>
      </c>
      <c r="X28" s="566">
        <v>8324857</v>
      </c>
      <c r="Y28" s="566">
        <v>9070730</v>
      </c>
      <c r="Z28" s="566">
        <v>9749330</v>
      </c>
      <c r="AA28" s="566">
        <v>8693558</v>
      </c>
      <c r="AB28" s="566">
        <v>9845412</v>
      </c>
      <c r="AC28" s="566">
        <v>7326709</v>
      </c>
      <c r="AD28" s="566">
        <v>8824889</v>
      </c>
      <c r="AE28" s="566">
        <v>8663797</v>
      </c>
      <c r="AF28" s="566">
        <v>8717742</v>
      </c>
      <c r="AG28" s="566">
        <f>SUM(U28:AF28)</f>
        <v>105339895</v>
      </c>
      <c r="AH28" s="551">
        <f t="shared" si="5"/>
        <v>28.822053773223068</v>
      </c>
    </row>
    <row r="29" spans="1:35" x14ac:dyDescent="0.2">
      <c r="A29" s="552"/>
      <c r="B29" s="546"/>
      <c r="C29" s="546"/>
      <c r="D29" s="546"/>
      <c r="E29" s="546"/>
      <c r="F29" s="546"/>
      <c r="G29" s="546"/>
      <c r="H29" s="546"/>
      <c r="I29" s="546"/>
      <c r="J29" s="546"/>
      <c r="K29" s="546"/>
      <c r="L29" s="546"/>
      <c r="M29" s="546"/>
      <c r="N29" s="546"/>
      <c r="O29" s="557"/>
      <c r="P29" s="513"/>
      <c r="Q29" s="513"/>
      <c r="R29" s="513"/>
      <c r="S29" s="513"/>
      <c r="T29" s="565" t="s">
        <v>338</v>
      </c>
      <c r="U29" s="566">
        <v>10420061</v>
      </c>
      <c r="V29" s="566">
        <v>10007432</v>
      </c>
      <c r="W29" s="566">
        <v>13198756</v>
      </c>
      <c r="X29" s="566">
        <v>11177977</v>
      </c>
      <c r="Y29" s="566">
        <v>12353157</v>
      </c>
      <c r="Z29" s="566">
        <v>13020810</v>
      </c>
      <c r="AA29" s="566">
        <v>13538687</v>
      </c>
      <c r="AB29" s="566">
        <v>13380027</v>
      </c>
      <c r="AC29" s="566">
        <v>11393507</v>
      </c>
      <c r="AD29" s="566">
        <v>12797182</v>
      </c>
      <c r="AE29" s="566">
        <v>12523572</v>
      </c>
      <c r="AF29" s="566">
        <v>12523572</v>
      </c>
      <c r="AG29" s="566">
        <f>SUM(U29:AF29)</f>
        <v>146334740</v>
      </c>
      <c r="AH29" s="551">
        <f t="shared" si="5"/>
        <v>40.038655299311024</v>
      </c>
    </row>
    <row r="30" spans="1:35" x14ac:dyDescent="0.2">
      <c r="A30" s="552" t="s">
        <v>337</v>
      </c>
      <c r="B30" s="567">
        <f>SUM(B20:B29)</f>
        <v>185778110</v>
      </c>
      <c r="C30" s="567">
        <f t="shared" ref="C30:N30" si="7">SUM(C20:C29)</f>
        <v>185331024</v>
      </c>
      <c r="D30" s="567">
        <f t="shared" si="7"/>
        <v>188175703</v>
      </c>
      <c r="E30" s="567">
        <f t="shared" si="7"/>
        <v>181668067</v>
      </c>
      <c r="F30" s="567">
        <f t="shared" si="7"/>
        <v>182916114</v>
      </c>
      <c r="G30" s="567">
        <f t="shared" si="7"/>
        <v>182543786</v>
      </c>
      <c r="H30" s="567">
        <f t="shared" si="7"/>
        <v>180297829</v>
      </c>
      <c r="I30" s="567">
        <f t="shared" si="7"/>
        <v>179327779</v>
      </c>
      <c r="J30" s="567">
        <f t="shared" si="7"/>
        <v>179028923</v>
      </c>
      <c r="K30" s="567">
        <f t="shared" si="7"/>
        <v>179023833</v>
      </c>
      <c r="L30" s="567">
        <f t="shared" si="7"/>
        <v>184633513</v>
      </c>
      <c r="M30" s="567">
        <f t="shared" si="7"/>
        <v>181445222</v>
      </c>
      <c r="N30" s="567">
        <f t="shared" si="7"/>
        <v>173173757</v>
      </c>
      <c r="O30" s="557"/>
      <c r="P30" s="513"/>
      <c r="Q30" s="513"/>
      <c r="R30" s="513"/>
      <c r="S30" s="513"/>
      <c r="T30" s="541"/>
      <c r="U30" s="553"/>
      <c r="V30" s="553"/>
      <c r="W30" s="553"/>
      <c r="X30" s="553"/>
      <c r="Y30" s="553"/>
      <c r="Z30" s="553"/>
      <c r="AA30" s="553"/>
      <c r="AB30" s="553"/>
      <c r="AC30" s="553"/>
      <c r="AD30" s="553"/>
      <c r="AE30" s="553"/>
      <c r="AF30" s="553"/>
      <c r="AG30" s="553"/>
      <c r="AH30" s="551">
        <f t="shared" si="5"/>
        <v>0</v>
      </c>
    </row>
    <row r="31" spans="1:35" x14ac:dyDescent="0.2">
      <c r="A31" s="552"/>
      <c r="B31" s="546"/>
      <c r="C31" s="546"/>
      <c r="D31" s="546"/>
      <c r="E31" s="546"/>
      <c r="F31" s="546"/>
      <c r="G31" s="546"/>
      <c r="H31" s="546"/>
      <c r="I31" s="546"/>
      <c r="J31" s="546"/>
      <c r="K31" s="546"/>
      <c r="L31" s="546"/>
      <c r="M31" s="546"/>
      <c r="N31" s="546"/>
      <c r="O31" s="557"/>
      <c r="P31" s="513"/>
      <c r="Q31" s="513"/>
      <c r="R31" s="513"/>
      <c r="S31" s="513"/>
      <c r="T31" s="555" t="s">
        <v>342</v>
      </c>
      <c r="U31" s="560">
        <f t="shared" ref="U31:AG31" si="8">U24+U27</f>
        <v>22929642</v>
      </c>
      <c r="V31" s="560">
        <f t="shared" si="8"/>
        <v>22472671</v>
      </c>
      <c r="W31" s="560">
        <f t="shared" si="8"/>
        <v>28027581</v>
      </c>
      <c r="X31" s="560">
        <f t="shared" si="8"/>
        <v>23930336</v>
      </c>
      <c r="Y31" s="560">
        <f t="shared" si="8"/>
        <v>25459936</v>
      </c>
      <c r="Z31" s="560">
        <f t="shared" si="8"/>
        <v>27197474</v>
      </c>
      <c r="AA31" s="560">
        <f t="shared" si="8"/>
        <v>27252247</v>
      </c>
      <c r="AB31" s="560">
        <f t="shared" si="8"/>
        <v>28240097</v>
      </c>
      <c r="AC31" s="560">
        <f t="shared" si="8"/>
        <v>23994812</v>
      </c>
      <c r="AD31" s="560">
        <f t="shared" si="8"/>
        <v>26966087</v>
      </c>
      <c r="AE31" s="560">
        <f t="shared" si="8"/>
        <v>26306249</v>
      </c>
      <c r="AF31" s="560">
        <f t="shared" si="8"/>
        <v>26360194</v>
      </c>
      <c r="AG31" s="560">
        <f t="shared" si="8"/>
        <v>309137326</v>
      </c>
      <c r="AH31" s="569">
        <f t="shared" si="5"/>
        <v>84.583078740323302</v>
      </c>
    </row>
    <row r="32" spans="1:35" x14ac:dyDescent="0.2">
      <c r="A32" s="552"/>
      <c r="B32" s="546"/>
      <c r="C32" s="546"/>
      <c r="D32" s="546"/>
      <c r="E32" s="546"/>
      <c r="F32" s="546"/>
      <c r="G32" s="546"/>
      <c r="H32" s="546"/>
      <c r="I32" s="546"/>
      <c r="J32" s="546"/>
      <c r="K32" s="546"/>
      <c r="L32" s="546"/>
      <c r="M32" s="546"/>
      <c r="N32" s="546"/>
      <c r="O32" s="557"/>
      <c r="P32" s="513"/>
      <c r="Q32" s="513"/>
      <c r="R32" s="513"/>
      <c r="S32" s="513"/>
      <c r="T32" s="541"/>
      <c r="U32" s="570"/>
      <c r="V32" s="570"/>
      <c r="W32" s="570"/>
      <c r="X32" s="570"/>
      <c r="Y32" s="570"/>
      <c r="Z32" s="570"/>
      <c r="AA32" s="570"/>
      <c r="AB32" s="570"/>
      <c r="AC32" s="570"/>
      <c r="AD32" s="570"/>
      <c r="AE32" s="570"/>
      <c r="AF32" s="570"/>
      <c r="AG32" s="570"/>
      <c r="AH32" s="551"/>
    </row>
    <row r="33" spans="1:36" x14ac:dyDescent="0.2">
      <c r="A33" s="552" t="s">
        <v>340</v>
      </c>
      <c r="B33" s="546"/>
      <c r="C33" s="546"/>
      <c r="D33" s="546"/>
      <c r="E33" s="546"/>
      <c r="F33" s="546"/>
      <c r="G33" s="546"/>
      <c r="H33" s="546"/>
      <c r="I33" s="546"/>
      <c r="J33" s="546"/>
      <c r="K33" s="546"/>
      <c r="L33" s="546"/>
      <c r="M33" s="546"/>
      <c r="N33" s="546"/>
      <c r="O33" s="557"/>
      <c r="P33" s="513"/>
      <c r="Q33" s="513"/>
      <c r="R33" s="513"/>
      <c r="S33" s="513"/>
      <c r="T33" s="555" t="s">
        <v>345</v>
      </c>
      <c r="U33" s="560">
        <f t="shared" ref="U33:AG33" si="9">U20-U31</f>
        <v>5035177</v>
      </c>
      <c r="V33" s="560">
        <f t="shared" si="9"/>
        <v>4018912</v>
      </c>
      <c r="W33" s="560">
        <f t="shared" si="9"/>
        <v>5036881</v>
      </c>
      <c r="X33" s="560">
        <f t="shared" si="9"/>
        <v>4913045</v>
      </c>
      <c r="Y33" s="560">
        <f t="shared" si="9"/>
        <v>4461591</v>
      </c>
      <c r="Z33" s="560">
        <f t="shared" si="9"/>
        <v>4526425</v>
      </c>
      <c r="AA33" s="560">
        <f t="shared" si="9"/>
        <v>4242608</v>
      </c>
      <c r="AB33" s="560">
        <f t="shared" si="9"/>
        <v>3828344</v>
      </c>
      <c r="AC33" s="560">
        <f t="shared" si="9"/>
        <v>5604571</v>
      </c>
      <c r="AD33" s="560">
        <f t="shared" si="9"/>
        <v>5188632</v>
      </c>
      <c r="AE33" s="560">
        <f t="shared" si="9"/>
        <v>5848318</v>
      </c>
      <c r="AF33" s="560">
        <f t="shared" si="9"/>
        <v>3641823</v>
      </c>
      <c r="AG33" s="560">
        <f t="shared" si="9"/>
        <v>56346327</v>
      </c>
      <c r="AH33" s="561">
        <f>(AG33/$AG$20)*100</f>
        <v>15.416921259676695</v>
      </c>
    </row>
    <row r="34" spans="1:36" x14ac:dyDescent="0.2">
      <c r="A34" s="545"/>
      <c r="B34" s="546"/>
      <c r="C34" s="546"/>
      <c r="D34" s="546"/>
      <c r="E34" s="546"/>
      <c r="F34" s="546"/>
      <c r="G34" s="546"/>
      <c r="H34" s="546"/>
      <c r="I34" s="546"/>
      <c r="J34" s="546"/>
      <c r="K34" s="546"/>
      <c r="L34" s="546"/>
      <c r="M34" s="546"/>
      <c r="N34" s="546"/>
      <c r="O34" s="557"/>
      <c r="P34" s="513"/>
      <c r="Q34" s="513"/>
      <c r="R34" s="513"/>
      <c r="S34" s="513"/>
      <c r="T34" s="541"/>
      <c r="U34" s="553"/>
      <c r="V34" s="553"/>
      <c r="W34" s="553"/>
      <c r="X34" s="553"/>
      <c r="Y34" s="553"/>
      <c r="Z34" s="553"/>
      <c r="AA34" s="553"/>
      <c r="AB34" s="553"/>
      <c r="AC34" s="553"/>
      <c r="AD34" s="553"/>
      <c r="AE34" s="553"/>
      <c r="AF34" s="553"/>
      <c r="AG34" s="554"/>
      <c r="AH34" s="551"/>
    </row>
    <row r="35" spans="1:36" ht="20.25" x14ac:dyDescent="0.3">
      <c r="A35" s="552" t="s">
        <v>341</v>
      </c>
      <c r="B35" s="546"/>
      <c r="C35" s="546"/>
      <c r="D35" s="546"/>
      <c r="E35" s="546"/>
      <c r="F35" s="546"/>
      <c r="G35" s="546"/>
      <c r="H35" s="546"/>
      <c r="I35" s="546"/>
      <c r="J35" s="546"/>
      <c r="K35" s="546"/>
      <c r="L35" s="546"/>
      <c r="M35" s="546"/>
      <c r="N35" s="546"/>
      <c r="O35" s="557"/>
      <c r="P35" s="677"/>
      <c r="Q35" s="678"/>
      <c r="R35" s="513"/>
      <c r="S35" s="513"/>
      <c r="T35" s="573" t="s">
        <v>347</v>
      </c>
      <c r="U35" s="553"/>
      <c r="V35" s="553"/>
      <c r="W35" s="553"/>
      <c r="X35" s="553"/>
      <c r="Y35" s="553"/>
      <c r="Z35" s="553"/>
      <c r="AA35" s="553"/>
      <c r="AB35" s="553"/>
      <c r="AC35" s="553"/>
      <c r="AD35" s="553"/>
      <c r="AE35" s="553"/>
      <c r="AF35" s="553"/>
      <c r="AG35" s="554"/>
      <c r="AH35" s="551"/>
      <c r="AI35" s="666"/>
    </row>
    <row r="36" spans="1:36" x14ac:dyDescent="0.2">
      <c r="A36" s="545" t="s">
        <v>343</v>
      </c>
      <c r="B36" s="546">
        <v>6320951</v>
      </c>
      <c r="C36" s="546">
        <v>7829270</v>
      </c>
      <c r="D36" s="546">
        <v>8494272</v>
      </c>
      <c r="E36" s="546">
        <v>5565560</v>
      </c>
      <c r="F36" s="546">
        <v>6451263</v>
      </c>
      <c r="G36" s="546">
        <v>8547181</v>
      </c>
      <c r="H36" s="546">
        <v>7702461</v>
      </c>
      <c r="I36" s="546">
        <v>10176582</v>
      </c>
      <c r="J36" s="546">
        <v>10680926</v>
      </c>
      <c r="K36" s="546">
        <v>11306934</v>
      </c>
      <c r="L36" s="546">
        <v>12410297</v>
      </c>
      <c r="M36" s="546">
        <v>10789654</v>
      </c>
      <c r="N36" s="546">
        <v>9009877</v>
      </c>
      <c r="O36" s="557"/>
      <c r="P36" s="513"/>
      <c r="Q36" s="623"/>
      <c r="R36" s="513"/>
      <c r="S36" s="513"/>
      <c r="T36" s="555"/>
      <c r="U36" s="553"/>
      <c r="V36" s="553"/>
      <c r="W36" s="553"/>
      <c r="X36" s="553"/>
      <c r="Y36" s="553"/>
      <c r="Z36" s="553"/>
      <c r="AA36" s="553"/>
      <c r="AB36" s="553"/>
      <c r="AC36" s="553"/>
      <c r="AD36" s="553"/>
      <c r="AE36" s="553"/>
      <c r="AF36" s="553"/>
      <c r="AG36" s="554"/>
      <c r="AH36" s="551"/>
    </row>
    <row r="37" spans="1:36" x14ac:dyDescent="0.2">
      <c r="A37" s="571" t="s">
        <v>412</v>
      </c>
      <c r="B37" s="546">
        <v>3934473</v>
      </c>
      <c r="C37" s="546">
        <v>4076172</v>
      </c>
      <c r="D37" s="546">
        <v>4444341</v>
      </c>
      <c r="E37" s="546">
        <v>4038264</v>
      </c>
      <c r="F37" s="546">
        <v>3987667</v>
      </c>
      <c r="G37" s="546">
        <v>3679510</v>
      </c>
      <c r="H37" s="546">
        <v>3779758</v>
      </c>
      <c r="I37" s="546">
        <v>4057447</v>
      </c>
      <c r="J37" s="546">
        <v>4012677</v>
      </c>
      <c r="K37" s="546">
        <v>4106259</v>
      </c>
      <c r="L37" s="546">
        <v>10824127</v>
      </c>
      <c r="M37" s="546">
        <f>10824127-706514</f>
        <v>10117613</v>
      </c>
      <c r="N37" s="546">
        <v>4411096</v>
      </c>
      <c r="O37" s="557"/>
      <c r="P37" s="513"/>
      <c r="Q37" s="623"/>
      <c r="R37" s="513"/>
      <c r="S37" s="513"/>
      <c r="T37" s="574" t="s">
        <v>350</v>
      </c>
      <c r="U37" s="549">
        <v>3413999</v>
      </c>
      <c r="V37" s="549">
        <v>3594894</v>
      </c>
      <c r="W37" s="549">
        <v>3728080</v>
      </c>
      <c r="X37" s="549">
        <v>3216907</v>
      </c>
      <c r="Y37" s="549">
        <v>3732288</v>
      </c>
      <c r="Z37" s="549">
        <v>3605969</v>
      </c>
      <c r="AA37" s="549">
        <v>3565506</v>
      </c>
      <c r="AB37" s="549">
        <v>3238256</v>
      </c>
      <c r="AC37" s="549">
        <v>3458013</v>
      </c>
      <c r="AD37" s="549">
        <v>3390200</v>
      </c>
      <c r="AE37" s="549">
        <v>3371472</v>
      </c>
      <c r="AF37" s="549">
        <v>3446676</v>
      </c>
      <c r="AG37" s="550">
        <f>SUM(U37:AF37)</f>
        <v>41762260</v>
      </c>
      <c r="AH37" s="551">
        <f>(AG37/$AG$20)*100</f>
        <v>11.426573981408685</v>
      </c>
      <c r="AI37" s="667"/>
    </row>
    <row r="38" spans="1:36" x14ac:dyDescent="0.2">
      <c r="A38" s="545" t="s">
        <v>346</v>
      </c>
      <c r="B38" s="546">
        <v>779041</v>
      </c>
      <c r="C38" s="546">
        <v>914628</v>
      </c>
      <c r="D38" s="546">
        <v>1199175</v>
      </c>
      <c r="E38" s="546">
        <v>845072</v>
      </c>
      <c r="F38" s="546">
        <v>981165</v>
      </c>
      <c r="G38" s="546">
        <v>1033461</v>
      </c>
      <c r="H38" s="546">
        <v>1430765</v>
      </c>
      <c r="I38" s="546">
        <v>905551</v>
      </c>
      <c r="J38" s="546">
        <v>1415634</v>
      </c>
      <c r="K38" s="546">
        <v>5002365</v>
      </c>
      <c r="L38" s="546">
        <v>2390175</v>
      </c>
      <c r="M38" s="546">
        <v>1486711</v>
      </c>
      <c r="N38" s="546">
        <v>865324</v>
      </c>
      <c r="O38" s="557"/>
      <c r="P38" s="513"/>
      <c r="Q38" s="623"/>
      <c r="R38" s="513"/>
      <c r="S38" s="513"/>
      <c r="T38" s="541" t="s">
        <v>351</v>
      </c>
      <c r="U38" s="549">
        <v>1910181</v>
      </c>
      <c r="V38" s="549">
        <v>1910942</v>
      </c>
      <c r="W38" s="549">
        <v>1913131</v>
      </c>
      <c r="X38" s="549">
        <v>1897992</v>
      </c>
      <c r="Y38" s="549">
        <v>1881013</v>
      </c>
      <c r="Z38" s="549">
        <v>1887059</v>
      </c>
      <c r="AA38" s="549">
        <v>1998006</v>
      </c>
      <c r="AB38" s="549">
        <v>1985488</v>
      </c>
      <c r="AC38" s="549">
        <v>1928312</v>
      </c>
      <c r="AD38" s="549">
        <v>2054763</v>
      </c>
      <c r="AE38" s="549">
        <v>2073244</v>
      </c>
      <c r="AF38" s="549">
        <v>2073244</v>
      </c>
      <c r="AG38" s="550">
        <f>SUM(U38:AF38)</f>
        <v>23513375</v>
      </c>
      <c r="AH38" s="551">
        <f>(AG38/$AG$20)*100</f>
        <v>6.4334956726505075</v>
      </c>
    </row>
    <row r="39" spans="1:36" x14ac:dyDescent="0.2">
      <c r="A39" s="545" t="s">
        <v>348</v>
      </c>
      <c r="B39" s="546">
        <v>6157500</v>
      </c>
      <c r="C39" s="546">
        <v>3321898</v>
      </c>
      <c r="D39" s="546">
        <v>6843127</v>
      </c>
      <c r="E39" s="546">
        <v>5492338</v>
      </c>
      <c r="F39" s="546">
        <v>5009417</v>
      </c>
      <c r="G39" s="546">
        <v>4640366</v>
      </c>
      <c r="H39" s="546">
        <v>4900744</v>
      </c>
      <c r="I39" s="546">
        <f>3330464+9872</f>
        <v>3340336</v>
      </c>
      <c r="J39" s="546">
        <v>5438439</v>
      </c>
      <c r="K39" s="546">
        <v>1113737</v>
      </c>
      <c r="L39" s="546">
        <v>2212907</v>
      </c>
      <c r="M39" s="546">
        <v>3003564</v>
      </c>
      <c r="N39" s="546">
        <v>4756312</v>
      </c>
      <c r="O39" s="557"/>
      <c r="P39" s="513"/>
      <c r="Q39" s="623"/>
      <c r="R39" s="513"/>
      <c r="S39" s="513"/>
      <c r="T39" s="541" t="s">
        <v>353</v>
      </c>
      <c r="U39" s="549">
        <v>-1055642</v>
      </c>
      <c r="V39" s="549">
        <v>38402</v>
      </c>
      <c r="W39" s="549">
        <v>51419</v>
      </c>
      <c r="X39" s="549">
        <v>-2200258</v>
      </c>
      <c r="Y39" s="549">
        <v>196715</v>
      </c>
      <c r="Z39" s="549">
        <v>-110218</v>
      </c>
      <c r="AA39" s="549">
        <v>136057</v>
      </c>
      <c r="AB39" s="549">
        <v>50168</v>
      </c>
      <c r="AC39" s="549">
        <v>117516</v>
      </c>
      <c r="AD39" s="549">
        <v>50674</v>
      </c>
      <c r="AE39" s="549">
        <v>50000</v>
      </c>
      <c r="AF39" s="549">
        <v>50000</v>
      </c>
      <c r="AG39" s="550">
        <f>SUM(U39:AF39)</f>
        <v>-2625167</v>
      </c>
      <c r="AH39" s="551">
        <f>(AG39/$AG$20)*100</f>
        <v>-0.71827207002333426</v>
      </c>
    </row>
    <row r="40" spans="1:36" x14ac:dyDescent="0.2">
      <c r="A40" s="552" t="s">
        <v>349</v>
      </c>
      <c r="B40" s="558">
        <f t="shared" ref="B40:N40" si="10">SUM(B36:B39)</f>
        <v>17191965</v>
      </c>
      <c r="C40" s="558">
        <f t="shared" si="10"/>
        <v>16141968</v>
      </c>
      <c r="D40" s="558">
        <f t="shared" si="10"/>
        <v>20980915</v>
      </c>
      <c r="E40" s="558">
        <f t="shared" si="10"/>
        <v>15941234</v>
      </c>
      <c r="F40" s="558">
        <f t="shared" si="10"/>
        <v>16429512</v>
      </c>
      <c r="G40" s="558">
        <f t="shared" si="10"/>
        <v>17900518</v>
      </c>
      <c r="H40" s="558">
        <f t="shared" si="10"/>
        <v>17813728</v>
      </c>
      <c r="I40" s="558">
        <f t="shared" si="10"/>
        <v>18479916</v>
      </c>
      <c r="J40" s="558">
        <f t="shared" si="10"/>
        <v>21547676</v>
      </c>
      <c r="K40" s="558">
        <f t="shared" si="10"/>
        <v>21529295</v>
      </c>
      <c r="L40" s="558">
        <f t="shared" si="10"/>
        <v>27837506</v>
      </c>
      <c r="M40" s="558">
        <f t="shared" si="10"/>
        <v>25397542</v>
      </c>
      <c r="N40" s="558">
        <f t="shared" si="10"/>
        <v>19042609</v>
      </c>
      <c r="O40" s="557"/>
      <c r="P40" s="513"/>
      <c r="Q40" s="623"/>
      <c r="R40" s="513"/>
      <c r="S40" s="513"/>
      <c r="T40" s="575" t="s">
        <v>354</v>
      </c>
      <c r="U40" s="553">
        <v>-48984</v>
      </c>
      <c r="V40" s="553">
        <v>-43244</v>
      </c>
      <c r="W40" s="553">
        <v>-14020</v>
      </c>
      <c r="X40" s="553">
        <v>-49366</v>
      </c>
      <c r="Y40" s="553">
        <v>-195848</v>
      </c>
      <c r="Z40" s="553">
        <v>-47785</v>
      </c>
      <c r="AA40" s="553">
        <v>-140623</v>
      </c>
      <c r="AB40" s="553">
        <v>-106557</v>
      </c>
      <c r="AC40" s="553">
        <v>-117516</v>
      </c>
      <c r="AD40" s="553">
        <v>-53371</v>
      </c>
      <c r="AE40" s="553">
        <v>-102333</v>
      </c>
      <c r="AF40" s="553">
        <v>-55666</v>
      </c>
      <c r="AG40" s="550">
        <f>SUM(U40:AF40)</f>
        <v>-975313</v>
      </c>
      <c r="AH40" s="551">
        <f>(AG40/$AG$20)*100</f>
        <v>-0.26685543717053739</v>
      </c>
    </row>
    <row r="41" spans="1:36" x14ac:dyDescent="0.2">
      <c r="A41" s="545"/>
      <c r="B41" s="546"/>
      <c r="C41" s="546"/>
      <c r="D41" s="546"/>
      <c r="E41" s="546"/>
      <c r="F41" s="546"/>
      <c r="G41" s="546"/>
      <c r="H41" s="546"/>
      <c r="I41" s="546"/>
      <c r="J41" s="546"/>
      <c r="K41" s="546"/>
      <c r="L41" s="546"/>
      <c r="M41" s="546"/>
      <c r="N41" s="546"/>
      <c r="O41" s="557"/>
      <c r="P41" s="513"/>
      <c r="Q41" s="623"/>
      <c r="R41" s="513"/>
      <c r="S41" s="513"/>
      <c r="T41" s="573" t="s">
        <v>355</v>
      </c>
      <c r="U41" s="560">
        <f t="shared" ref="U41:AG41" si="11">SUM(U37:U40)</f>
        <v>4219554</v>
      </c>
      <c r="V41" s="560">
        <f t="shared" si="11"/>
        <v>5500994</v>
      </c>
      <c r="W41" s="560">
        <f t="shared" si="11"/>
        <v>5678610</v>
      </c>
      <c r="X41" s="560">
        <f t="shared" si="11"/>
        <v>2865275</v>
      </c>
      <c r="Y41" s="560">
        <f t="shared" si="11"/>
        <v>5614168</v>
      </c>
      <c r="Z41" s="560">
        <f t="shared" si="11"/>
        <v>5335025</v>
      </c>
      <c r="AA41" s="560">
        <f t="shared" si="11"/>
        <v>5558946</v>
      </c>
      <c r="AB41" s="560">
        <f t="shared" si="11"/>
        <v>5167355</v>
      </c>
      <c r="AC41" s="560">
        <f t="shared" si="11"/>
        <v>5386325</v>
      </c>
      <c r="AD41" s="560">
        <f>SUM(AD37:AD40)</f>
        <v>5442266</v>
      </c>
      <c r="AE41" s="560">
        <f>SUM(AE37:AE40)</f>
        <v>5392383</v>
      </c>
      <c r="AF41" s="560">
        <f>SUM(AF37:AF40)</f>
        <v>5514254</v>
      </c>
      <c r="AG41" s="560">
        <f t="shared" si="11"/>
        <v>61675155</v>
      </c>
      <c r="AH41" s="569">
        <f>(AG41/$AG$20)*100</f>
        <v>16.874942146865322</v>
      </c>
    </row>
    <row r="42" spans="1:36" x14ac:dyDescent="0.2">
      <c r="A42" s="552" t="s">
        <v>352</v>
      </c>
      <c r="B42" s="546"/>
      <c r="C42" s="546"/>
      <c r="D42" s="546"/>
      <c r="E42" s="546"/>
      <c r="F42" s="546"/>
      <c r="G42" s="546"/>
      <c r="H42" s="546"/>
      <c r="I42" s="546"/>
      <c r="J42" s="546"/>
      <c r="K42" s="546"/>
      <c r="L42" s="546"/>
      <c r="M42" s="546"/>
      <c r="N42" s="546"/>
      <c r="O42" s="557"/>
      <c r="P42" s="513"/>
      <c r="Q42" s="513"/>
      <c r="R42" s="513"/>
      <c r="S42" s="513"/>
      <c r="T42" s="555"/>
      <c r="U42" s="570"/>
      <c r="V42" s="570"/>
      <c r="W42" s="570"/>
      <c r="X42" s="570"/>
      <c r="Y42" s="570"/>
      <c r="Z42" s="570"/>
      <c r="AA42" s="570"/>
      <c r="AB42" s="570"/>
      <c r="AC42" s="570"/>
      <c r="AD42" s="570"/>
      <c r="AE42" s="570"/>
      <c r="AF42" s="570"/>
      <c r="AG42" s="570"/>
      <c r="AH42" s="551"/>
      <c r="AI42" s="41" t="s">
        <v>28</v>
      </c>
      <c r="AJ42" s="41" t="s">
        <v>28</v>
      </c>
    </row>
    <row r="43" spans="1:36" x14ac:dyDescent="0.2">
      <c r="A43" s="545" t="s">
        <v>438</v>
      </c>
      <c r="B43" s="546">
        <v>0</v>
      </c>
      <c r="C43" s="546">
        <v>0</v>
      </c>
      <c r="D43" s="546">
        <v>0</v>
      </c>
      <c r="E43" s="546">
        <v>0</v>
      </c>
      <c r="F43" s="546">
        <v>0</v>
      </c>
      <c r="G43" s="546">
        <v>0</v>
      </c>
      <c r="H43" s="546">
        <v>0</v>
      </c>
      <c r="I43" s="546">
        <v>0</v>
      </c>
      <c r="J43" s="546">
        <v>0</v>
      </c>
      <c r="K43" s="546">
        <v>0</v>
      </c>
      <c r="L43" s="546">
        <v>0</v>
      </c>
      <c r="M43" s="546">
        <v>0</v>
      </c>
      <c r="N43" s="546">
        <v>0</v>
      </c>
      <c r="O43" s="557"/>
      <c r="P43" s="513"/>
      <c r="Q43" s="513"/>
      <c r="R43" s="513"/>
      <c r="S43" s="513"/>
      <c r="T43" s="555" t="s">
        <v>357</v>
      </c>
      <c r="U43" s="560">
        <f t="shared" ref="U43:AG43" si="12">U33-U41</f>
        <v>815623</v>
      </c>
      <c r="V43" s="560">
        <f t="shared" si="12"/>
        <v>-1482082</v>
      </c>
      <c r="W43" s="560">
        <f t="shared" si="12"/>
        <v>-641729</v>
      </c>
      <c r="X43" s="560">
        <f t="shared" si="12"/>
        <v>2047770</v>
      </c>
      <c r="Y43" s="560">
        <f t="shared" si="12"/>
        <v>-1152577</v>
      </c>
      <c r="Z43" s="560">
        <f t="shared" si="12"/>
        <v>-808600</v>
      </c>
      <c r="AA43" s="560">
        <f t="shared" si="12"/>
        <v>-1316338</v>
      </c>
      <c r="AB43" s="560">
        <f t="shared" si="12"/>
        <v>-1339011</v>
      </c>
      <c r="AC43" s="560">
        <f t="shared" si="12"/>
        <v>218246</v>
      </c>
      <c r="AD43" s="560">
        <f t="shared" si="12"/>
        <v>-253634</v>
      </c>
      <c r="AE43" s="560">
        <f t="shared" si="12"/>
        <v>455935</v>
      </c>
      <c r="AF43" s="560">
        <f t="shared" si="12"/>
        <v>-1872431</v>
      </c>
      <c r="AG43" s="560">
        <f t="shared" si="12"/>
        <v>-5328828</v>
      </c>
      <c r="AH43" s="564">
        <f>(AG43/$AG$20)*100</f>
        <v>-1.4580208871886262</v>
      </c>
      <c r="AI43" s="41"/>
      <c r="AJ43" s="41"/>
    </row>
    <row r="44" spans="1:36" x14ac:dyDescent="0.2">
      <c r="A44" s="545" t="s">
        <v>439</v>
      </c>
      <c r="B44" s="546">
        <v>19850435</v>
      </c>
      <c r="C44" s="546">
        <f>19362578+1060968</f>
        <v>20423546</v>
      </c>
      <c r="D44" s="546">
        <f>19988237+1090361</f>
        <v>21078598</v>
      </c>
      <c r="E44" s="546">
        <f>20609779+1107954</f>
        <v>21717733</v>
      </c>
      <c r="F44" s="546">
        <f>20946366+1107092</f>
        <v>22053458</v>
      </c>
      <c r="G44" s="546">
        <f>21532468+1120797</f>
        <v>22653265</v>
      </c>
      <c r="H44" s="546">
        <f>22167877+1150189</f>
        <v>23318066</v>
      </c>
      <c r="I44" s="546">
        <f>22773715+1164626</f>
        <v>23938341</v>
      </c>
      <c r="J44" s="546">
        <f>23339768+1149714</f>
        <v>24489482</v>
      </c>
      <c r="K44" s="546">
        <f>23946872+1165818</f>
        <v>25112690</v>
      </c>
      <c r="L44" s="546">
        <f>24508649+1155959</f>
        <v>25664608</v>
      </c>
      <c r="M44" s="546">
        <v>26005879</v>
      </c>
      <c r="N44" s="546">
        <v>26563298</v>
      </c>
      <c r="O44" s="557"/>
      <c r="P44" s="513"/>
      <c r="Q44" s="513"/>
      <c r="R44" s="513"/>
      <c r="S44" s="513"/>
      <c r="T44" s="555"/>
      <c r="U44" s="553"/>
      <c r="V44" s="553"/>
      <c r="W44" s="553"/>
      <c r="X44" s="553"/>
      <c r="Y44" s="553"/>
      <c r="Z44" s="553"/>
      <c r="AA44" s="553"/>
      <c r="AB44" s="553"/>
      <c r="AC44" s="553"/>
      <c r="AD44" s="553"/>
      <c r="AE44" s="553"/>
      <c r="AF44" s="553"/>
      <c r="AG44" s="554"/>
      <c r="AH44" s="551"/>
      <c r="AI44" s="41"/>
      <c r="AJ44" s="41"/>
    </row>
    <row r="45" spans="1:36" x14ac:dyDescent="0.2">
      <c r="A45" s="545" t="s">
        <v>442</v>
      </c>
      <c r="B45" s="546">
        <f>6751739+2793066</f>
        <v>9544805</v>
      </c>
      <c r="C45" s="546">
        <f>6751739+2793066</f>
        <v>9544805</v>
      </c>
      <c r="D45" s="546">
        <f t="shared" ref="D45:N45" si="13">6751739+2793066</f>
        <v>9544805</v>
      </c>
      <c r="E45" s="546">
        <f t="shared" si="13"/>
        <v>9544805</v>
      </c>
      <c r="F45" s="546">
        <f t="shared" si="13"/>
        <v>9544805</v>
      </c>
      <c r="G45" s="546">
        <f t="shared" si="13"/>
        <v>9544805</v>
      </c>
      <c r="H45" s="546">
        <f t="shared" si="13"/>
        <v>9544805</v>
      </c>
      <c r="I45" s="546">
        <f t="shared" si="13"/>
        <v>9544805</v>
      </c>
      <c r="J45" s="546">
        <f t="shared" si="13"/>
        <v>9544805</v>
      </c>
      <c r="K45" s="546">
        <f t="shared" si="13"/>
        <v>9544805</v>
      </c>
      <c r="L45" s="546">
        <f t="shared" si="13"/>
        <v>9544805</v>
      </c>
      <c r="M45" s="546">
        <f t="shared" si="13"/>
        <v>9544805</v>
      </c>
      <c r="N45" s="546">
        <f t="shared" si="13"/>
        <v>9544805</v>
      </c>
      <c r="O45" s="557"/>
      <c r="P45" s="513"/>
      <c r="Q45" s="513"/>
      <c r="R45" s="513"/>
      <c r="S45" s="513"/>
      <c r="T45" s="555" t="s">
        <v>360</v>
      </c>
      <c r="U45" s="553"/>
      <c r="V45" s="553"/>
      <c r="W45" s="553"/>
      <c r="X45" s="553"/>
      <c r="Y45" s="553"/>
      <c r="Z45" s="553"/>
      <c r="AA45" s="553"/>
      <c r="AB45" s="553"/>
      <c r="AC45" s="553"/>
      <c r="AD45" s="553"/>
      <c r="AE45" s="553"/>
      <c r="AF45" s="553"/>
      <c r="AG45" s="554"/>
      <c r="AH45" s="551"/>
    </row>
    <row r="46" spans="1:36" x14ac:dyDescent="0.2">
      <c r="A46" s="545"/>
      <c r="B46" s="546"/>
      <c r="C46" s="546"/>
      <c r="D46" s="546"/>
      <c r="E46" s="546"/>
      <c r="F46" s="546"/>
      <c r="G46" s="546"/>
      <c r="H46" s="546"/>
      <c r="I46" s="546"/>
      <c r="J46" s="546"/>
      <c r="K46" s="546"/>
      <c r="L46" s="546"/>
      <c r="M46" s="546"/>
      <c r="N46" s="546"/>
      <c r="O46" s="557"/>
      <c r="P46" s="513"/>
      <c r="Q46" s="513"/>
      <c r="R46" s="513"/>
      <c r="S46" s="513"/>
      <c r="T46" s="576"/>
      <c r="U46" s="553"/>
      <c r="V46" s="553"/>
      <c r="W46" s="553"/>
      <c r="X46" s="553"/>
      <c r="Y46" s="553"/>
      <c r="Z46" s="553"/>
      <c r="AA46" s="553"/>
      <c r="AB46" s="553"/>
      <c r="AC46" s="553"/>
      <c r="AD46" s="553"/>
      <c r="AE46" s="553"/>
      <c r="AF46" s="553"/>
      <c r="AG46" s="554"/>
      <c r="AH46" s="551"/>
      <c r="AI46" s="41"/>
    </row>
    <row r="47" spans="1:36" x14ac:dyDescent="0.2">
      <c r="A47" s="552" t="s">
        <v>356</v>
      </c>
      <c r="B47" s="567">
        <f t="shared" ref="B47:N47" si="14">SUM(B40:B46)</f>
        <v>46587205</v>
      </c>
      <c r="C47" s="567">
        <f t="shared" si="14"/>
        <v>46110319</v>
      </c>
      <c r="D47" s="567">
        <f t="shared" si="14"/>
        <v>51604318</v>
      </c>
      <c r="E47" s="567">
        <f t="shared" si="14"/>
        <v>47203772</v>
      </c>
      <c r="F47" s="567">
        <f t="shared" si="14"/>
        <v>48027775</v>
      </c>
      <c r="G47" s="567">
        <f t="shared" si="14"/>
        <v>50098588</v>
      </c>
      <c r="H47" s="567">
        <f t="shared" si="14"/>
        <v>50676599</v>
      </c>
      <c r="I47" s="567">
        <f t="shared" si="14"/>
        <v>51963062</v>
      </c>
      <c r="J47" s="567">
        <f t="shared" si="14"/>
        <v>55581963</v>
      </c>
      <c r="K47" s="567">
        <f t="shared" si="14"/>
        <v>56186790</v>
      </c>
      <c r="L47" s="567">
        <f t="shared" si="14"/>
        <v>63046919</v>
      </c>
      <c r="M47" s="567">
        <f t="shared" si="14"/>
        <v>60948226</v>
      </c>
      <c r="N47" s="567">
        <f t="shared" si="14"/>
        <v>55150712</v>
      </c>
      <c r="O47" s="557"/>
      <c r="P47" s="513"/>
      <c r="Q47" s="513"/>
      <c r="R47" s="513"/>
      <c r="S47" s="513"/>
      <c r="T47" s="541" t="s">
        <v>363</v>
      </c>
      <c r="U47" s="549">
        <v>-10538</v>
      </c>
      <c r="V47" s="549">
        <v>-4485</v>
      </c>
      <c r="W47" s="549">
        <v>-14383</v>
      </c>
      <c r="X47" s="549">
        <v>-10749</v>
      </c>
      <c r="Y47" s="549">
        <v>-122832</v>
      </c>
      <c r="Z47" s="549">
        <v>-9859</v>
      </c>
      <c r="AA47" s="549">
        <v>-98473</v>
      </c>
      <c r="AB47" s="549">
        <v>-5988</v>
      </c>
      <c r="AC47" s="549">
        <v>-101769</v>
      </c>
      <c r="AD47" s="549">
        <v>-160067</v>
      </c>
      <c r="AE47" s="549">
        <v>-53914</v>
      </c>
      <c r="AF47" s="549">
        <v>-53914</v>
      </c>
      <c r="AG47" s="550">
        <f>SUM(U47:AF47)</f>
        <v>-646971</v>
      </c>
      <c r="AH47" s="551">
        <f>(AG47/$AG$20)*100</f>
        <v>-0.17701776664687108</v>
      </c>
    </row>
    <row r="48" spans="1:36" x14ac:dyDescent="0.2">
      <c r="A48" s="545"/>
      <c r="B48" s="546"/>
      <c r="C48" s="546"/>
      <c r="D48" s="546"/>
      <c r="E48" s="546"/>
      <c r="F48" s="546"/>
      <c r="G48" s="546"/>
      <c r="H48" s="546"/>
      <c r="I48" s="546"/>
      <c r="J48" s="546"/>
      <c r="K48" s="546"/>
      <c r="L48" s="546"/>
      <c r="M48" s="546"/>
      <c r="N48" s="546"/>
      <c r="O48" s="557"/>
      <c r="P48" s="513"/>
      <c r="Q48" s="513"/>
      <c r="R48" s="513"/>
      <c r="S48" s="513"/>
      <c r="T48" s="541" t="s">
        <v>365</v>
      </c>
      <c r="U48" s="549">
        <v>52297</v>
      </c>
      <c r="V48" s="549">
        <v>13819</v>
      </c>
      <c r="W48" s="549">
        <v>12780</v>
      </c>
      <c r="X48" s="549">
        <v>30661</v>
      </c>
      <c r="Y48" s="549">
        <v>10608</v>
      </c>
      <c r="Z48" s="549">
        <v>115909</v>
      </c>
      <c r="AA48" s="549">
        <v>14190</v>
      </c>
      <c r="AB48" s="549">
        <v>49566</v>
      </c>
      <c r="AC48" s="549">
        <v>63449</v>
      </c>
      <c r="AD48" s="549">
        <v>11517</v>
      </c>
      <c r="AE48" s="549">
        <v>37480</v>
      </c>
      <c r="AF48" s="549">
        <v>37480</v>
      </c>
      <c r="AG48" s="550">
        <f>SUM(U48:AF48)</f>
        <v>449756</v>
      </c>
      <c r="AH48" s="551">
        <f>(AG48/$AG$20)*100</f>
        <v>0.12305776094450932</v>
      </c>
      <c r="AI48" s="41"/>
    </row>
    <row r="49" spans="1:35" x14ac:dyDescent="0.2">
      <c r="A49" s="552" t="s">
        <v>358</v>
      </c>
      <c r="B49" s="546"/>
      <c r="C49" s="546"/>
      <c r="D49" s="546"/>
      <c r="E49" s="546"/>
      <c r="F49" s="546"/>
      <c r="G49" s="546"/>
      <c r="H49" s="546"/>
      <c r="I49" s="546"/>
      <c r="J49" s="546"/>
      <c r="K49" s="546"/>
      <c r="L49" s="546"/>
      <c r="M49" s="546"/>
      <c r="N49" s="546"/>
      <c r="O49" s="557"/>
      <c r="P49" s="513"/>
      <c r="Q49" s="513"/>
      <c r="R49" s="513"/>
      <c r="S49" s="513"/>
      <c r="T49" s="577" t="s">
        <v>367</v>
      </c>
      <c r="U49" s="553">
        <v>0</v>
      </c>
      <c r="V49" s="553">
        <v>0</v>
      </c>
      <c r="W49" s="553">
        <v>0</v>
      </c>
      <c r="X49" s="553">
        <v>0</v>
      </c>
      <c r="Y49" s="553">
        <v>0</v>
      </c>
      <c r="Z49" s="553">
        <v>0</v>
      </c>
      <c r="AA49" s="553">
        <v>0</v>
      </c>
      <c r="AB49" s="553">
        <v>0</v>
      </c>
      <c r="AC49" s="553">
        <v>0</v>
      </c>
      <c r="AD49" s="553">
        <v>0</v>
      </c>
      <c r="AE49" s="553">
        <v>0</v>
      </c>
      <c r="AF49" s="553">
        <v>0</v>
      </c>
      <c r="AG49" s="553">
        <v>0</v>
      </c>
      <c r="AH49" s="551">
        <f>(AG49/$AG$20)*100</f>
        <v>0</v>
      </c>
    </row>
    <row r="50" spans="1:35" x14ac:dyDescent="0.2">
      <c r="A50" s="545" t="s">
        <v>359</v>
      </c>
      <c r="B50" s="546">
        <v>25000000</v>
      </c>
      <c r="C50" s="546">
        <f>25000000</f>
        <v>25000000</v>
      </c>
      <c r="D50" s="546">
        <f>25000000</f>
        <v>25000000</v>
      </c>
      <c r="E50" s="546">
        <f>25000000</f>
        <v>25000000</v>
      </c>
      <c r="F50" s="546">
        <f>25000000</f>
        <v>25000000</v>
      </c>
      <c r="G50" s="546">
        <v>25000000</v>
      </c>
      <c r="H50" s="546">
        <v>25000000</v>
      </c>
      <c r="I50" s="546">
        <v>25000000</v>
      </c>
      <c r="J50" s="546">
        <v>25000000</v>
      </c>
      <c r="K50" s="546">
        <v>25000000</v>
      </c>
      <c r="L50" s="546">
        <v>25000000</v>
      </c>
      <c r="M50" s="546">
        <v>25000000</v>
      </c>
      <c r="N50" s="546">
        <v>25000000</v>
      </c>
      <c r="O50" s="557"/>
      <c r="P50" s="513"/>
      <c r="Q50" s="513"/>
      <c r="R50" s="513"/>
      <c r="S50" s="513"/>
      <c r="T50" s="555" t="s">
        <v>368</v>
      </c>
      <c r="U50" s="560">
        <f t="shared" ref="U50:AG50" si="15">U47+U48+U49</f>
        <v>41759</v>
      </c>
      <c r="V50" s="560">
        <f t="shared" si="15"/>
        <v>9334</v>
      </c>
      <c r="W50" s="560">
        <f t="shared" si="15"/>
        <v>-1603</v>
      </c>
      <c r="X50" s="560">
        <f t="shared" si="15"/>
        <v>19912</v>
      </c>
      <c r="Y50" s="560">
        <f t="shared" si="15"/>
        <v>-112224</v>
      </c>
      <c r="Z50" s="560">
        <f t="shared" si="15"/>
        <v>106050</v>
      </c>
      <c r="AA50" s="560">
        <f t="shared" si="15"/>
        <v>-84283</v>
      </c>
      <c r="AB50" s="560">
        <f t="shared" si="15"/>
        <v>43578</v>
      </c>
      <c r="AC50" s="560">
        <f t="shared" si="15"/>
        <v>-38320</v>
      </c>
      <c r="AD50" s="560">
        <f t="shared" si="15"/>
        <v>-148550</v>
      </c>
      <c r="AE50" s="560">
        <f t="shared" si="15"/>
        <v>-16434</v>
      </c>
      <c r="AF50" s="560">
        <f t="shared" si="15"/>
        <v>-16434</v>
      </c>
      <c r="AG50" s="560">
        <f t="shared" si="15"/>
        <v>-197215</v>
      </c>
      <c r="AH50" s="561">
        <f>(AG50/$AG$20)*100</f>
        <v>-5.3960005702361737E-2</v>
      </c>
    </row>
    <row r="51" spans="1:35" x14ac:dyDescent="0.2">
      <c r="A51" s="545" t="s">
        <v>361</v>
      </c>
      <c r="B51" s="546">
        <v>71413387</v>
      </c>
      <c r="C51" s="546">
        <v>67126701</v>
      </c>
      <c r="D51" s="546">
        <v>67126701</v>
      </c>
      <c r="E51" s="546">
        <v>67126701</v>
      </c>
      <c r="F51" s="546">
        <v>67126701</v>
      </c>
      <c r="G51" s="546">
        <v>67126701</v>
      </c>
      <c r="H51" s="546">
        <v>67126701</v>
      </c>
      <c r="I51" s="546">
        <v>67126701</v>
      </c>
      <c r="J51" s="546">
        <v>67126701</v>
      </c>
      <c r="K51" s="546">
        <v>67126701</v>
      </c>
      <c r="L51" s="546">
        <v>67126701</v>
      </c>
      <c r="M51" s="546">
        <v>67126701</v>
      </c>
      <c r="N51" s="546">
        <v>67126701</v>
      </c>
      <c r="O51" s="557"/>
      <c r="P51" s="513"/>
      <c r="Q51" s="513"/>
      <c r="R51" s="513"/>
      <c r="S51" s="513"/>
      <c r="T51" s="555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8"/>
      <c r="AH51" s="551"/>
    </row>
    <row r="52" spans="1:35" x14ac:dyDescent="0.2">
      <c r="A52" s="545" t="s">
        <v>362</v>
      </c>
      <c r="B52" s="546">
        <v>-4286686</v>
      </c>
      <c r="C52" s="546">
        <v>29800</v>
      </c>
      <c r="D52" s="546">
        <v>-2619520</v>
      </c>
      <c r="E52" s="546">
        <v>-4726610</v>
      </c>
      <c r="F52" s="546">
        <v>-4302566</v>
      </c>
      <c r="G52" s="546">
        <v>-6745707</v>
      </c>
      <c r="H52" s="546">
        <v>-9569675</v>
      </c>
      <c r="I52" s="546">
        <v>-11826188</v>
      </c>
      <c r="J52" s="546">
        <v>-15743945</v>
      </c>
      <c r="K52" s="546">
        <v>-16353862</v>
      </c>
      <c r="L52" s="546">
        <v>-17604311</v>
      </c>
      <c r="M52" s="546">
        <v>-18693909</v>
      </c>
      <c r="N52" s="546">
        <v>-21167860</v>
      </c>
      <c r="O52" s="557"/>
      <c r="P52" s="513"/>
      <c r="Q52" s="513"/>
      <c r="R52" s="513"/>
      <c r="S52" s="513"/>
      <c r="T52" s="555" t="s">
        <v>370</v>
      </c>
      <c r="U52" s="560">
        <f t="shared" ref="U52:AG52" si="16">U43-U50</f>
        <v>773864</v>
      </c>
      <c r="V52" s="560">
        <f t="shared" si="16"/>
        <v>-1491416</v>
      </c>
      <c r="W52" s="560">
        <f t="shared" si="16"/>
        <v>-640126</v>
      </c>
      <c r="X52" s="560">
        <f t="shared" si="16"/>
        <v>2027858</v>
      </c>
      <c r="Y52" s="560">
        <f t="shared" si="16"/>
        <v>-1040353</v>
      </c>
      <c r="Z52" s="560">
        <f t="shared" si="16"/>
        <v>-914650</v>
      </c>
      <c r="AA52" s="560">
        <f t="shared" si="16"/>
        <v>-1232055</v>
      </c>
      <c r="AB52" s="560">
        <f t="shared" si="16"/>
        <v>-1382589</v>
      </c>
      <c r="AC52" s="560">
        <f t="shared" si="16"/>
        <v>256566</v>
      </c>
      <c r="AD52" s="560">
        <f t="shared" si="16"/>
        <v>-105084</v>
      </c>
      <c r="AE52" s="560">
        <f t="shared" si="16"/>
        <v>472369</v>
      </c>
      <c r="AF52" s="560">
        <f t="shared" si="16"/>
        <v>-1855997</v>
      </c>
      <c r="AG52" s="560">
        <f t="shared" si="16"/>
        <v>-5131613</v>
      </c>
      <c r="AH52" s="564">
        <f>(AG52/$AG$20)*100</f>
        <v>-1.4040608814862643</v>
      </c>
      <c r="AI52" s="668" t="s">
        <v>28</v>
      </c>
    </row>
    <row r="53" spans="1:35" x14ac:dyDescent="0.2">
      <c r="A53" s="571" t="s">
        <v>364</v>
      </c>
      <c r="B53" s="546">
        <v>47064204</v>
      </c>
      <c r="C53" s="546">
        <f>34924550+12404459-264805</f>
        <v>47064204</v>
      </c>
      <c r="D53" s="546">
        <f t="shared" ref="D53:N53" si="17">34924550+12404459-264805</f>
        <v>47064204</v>
      </c>
      <c r="E53" s="546">
        <f t="shared" si="17"/>
        <v>47064204</v>
      </c>
      <c r="F53" s="546">
        <f t="shared" si="17"/>
        <v>47064204</v>
      </c>
      <c r="G53" s="546">
        <f t="shared" si="17"/>
        <v>47064204</v>
      </c>
      <c r="H53" s="546">
        <f t="shared" si="17"/>
        <v>47064204</v>
      </c>
      <c r="I53" s="546">
        <f t="shared" si="17"/>
        <v>47064204</v>
      </c>
      <c r="J53" s="546">
        <f t="shared" si="17"/>
        <v>47064204</v>
      </c>
      <c r="K53" s="546">
        <f t="shared" si="17"/>
        <v>47064204</v>
      </c>
      <c r="L53" s="546">
        <f t="shared" si="17"/>
        <v>47064204</v>
      </c>
      <c r="M53" s="546">
        <f t="shared" si="17"/>
        <v>47064204</v>
      </c>
      <c r="N53" s="546">
        <f t="shared" si="17"/>
        <v>47064204</v>
      </c>
      <c r="O53" s="557"/>
      <c r="P53" s="513"/>
      <c r="Q53" s="513"/>
      <c r="R53" s="513"/>
      <c r="S53" s="513"/>
      <c r="T53" s="555"/>
      <c r="U53" s="553"/>
      <c r="V53" s="553"/>
      <c r="W53" s="553"/>
      <c r="X53" s="553"/>
      <c r="Y53" s="553"/>
      <c r="Z53" s="553"/>
      <c r="AA53" s="553"/>
      <c r="AB53" s="553"/>
      <c r="AC53" s="553"/>
      <c r="AD53" s="553"/>
      <c r="AE53" s="553"/>
      <c r="AF53" s="553"/>
      <c r="AG53" s="553"/>
      <c r="AH53" s="551"/>
    </row>
    <row r="54" spans="1:35" x14ac:dyDescent="0.2">
      <c r="A54" s="552" t="s">
        <v>366</v>
      </c>
      <c r="B54" s="567">
        <f>SUM(B50:B53)</f>
        <v>139190905</v>
      </c>
      <c r="C54" s="567">
        <f>SUM(C50:C53)</f>
        <v>139220705</v>
      </c>
      <c r="D54" s="567">
        <f>SUM(D50:D53)</f>
        <v>136571385</v>
      </c>
      <c r="E54" s="567">
        <f>SUM(E50:E53)</f>
        <v>134464295</v>
      </c>
      <c r="F54" s="567">
        <f>SUM(F50:F53)</f>
        <v>134888339</v>
      </c>
      <c r="G54" s="567">
        <f t="shared" ref="G54:N54" si="18">SUM(G50:G53)</f>
        <v>132445198</v>
      </c>
      <c r="H54" s="567">
        <f t="shared" si="18"/>
        <v>129621230</v>
      </c>
      <c r="I54" s="567">
        <f t="shared" si="18"/>
        <v>127364717</v>
      </c>
      <c r="J54" s="567">
        <f t="shared" si="18"/>
        <v>123446960</v>
      </c>
      <c r="K54" s="567">
        <f t="shared" si="18"/>
        <v>122837043</v>
      </c>
      <c r="L54" s="567">
        <f t="shared" si="18"/>
        <v>121586594</v>
      </c>
      <c r="M54" s="567">
        <f t="shared" si="18"/>
        <v>120496996</v>
      </c>
      <c r="N54" s="567">
        <f t="shared" si="18"/>
        <v>118023045</v>
      </c>
      <c r="O54" s="557"/>
      <c r="P54" s="513"/>
      <c r="Q54" s="513"/>
      <c r="R54" s="513"/>
      <c r="S54" s="513"/>
      <c r="T54" s="555" t="s">
        <v>371</v>
      </c>
      <c r="U54" s="553"/>
      <c r="V54" s="553"/>
      <c r="W54" s="553"/>
      <c r="X54" s="553"/>
      <c r="Y54" s="553"/>
      <c r="Z54" s="553"/>
      <c r="AA54" s="553"/>
      <c r="AB54" s="553"/>
      <c r="AC54" s="553"/>
      <c r="AD54" s="553"/>
      <c r="AE54" s="553"/>
      <c r="AF54" s="553"/>
      <c r="AG54" s="553"/>
      <c r="AH54" s="551"/>
    </row>
    <row r="55" spans="1:35" x14ac:dyDescent="0.2">
      <c r="A55" s="552"/>
      <c r="B55" s="579"/>
      <c r="C55" s="579"/>
      <c r="D55" s="579"/>
      <c r="E55" s="579"/>
      <c r="F55" s="579"/>
      <c r="G55" s="579"/>
      <c r="H55" s="579"/>
      <c r="I55" s="579"/>
      <c r="J55" s="579"/>
      <c r="K55" s="579"/>
      <c r="L55" s="579"/>
      <c r="M55" s="579"/>
      <c r="N55" s="579"/>
      <c r="O55" s="557"/>
      <c r="P55" s="513"/>
      <c r="Q55" s="513"/>
      <c r="R55" s="513"/>
      <c r="S55" s="513"/>
      <c r="T55" s="555"/>
      <c r="U55" s="553"/>
      <c r="V55" s="553"/>
      <c r="W55" s="553"/>
      <c r="X55" s="553"/>
      <c r="Y55" s="553"/>
      <c r="Z55" s="553"/>
      <c r="AA55" s="553"/>
      <c r="AB55" s="553"/>
      <c r="AC55" s="553"/>
      <c r="AD55" s="553"/>
      <c r="AE55" s="553"/>
      <c r="AF55" s="553"/>
      <c r="AG55" s="553"/>
      <c r="AH55" s="551"/>
    </row>
    <row r="56" spans="1:35" ht="13.5" thickBot="1" x14ac:dyDescent="0.25">
      <c r="A56" s="581" t="s">
        <v>369</v>
      </c>
      <c r="B56" s="582">
        <f t="shared" ref="B56:N56" si="19">B47+B54</f>
        <v>185778110</v>
      </c>
      <c r="C56" s="582">
        <f t="shared" si="19"/>
        <v>185331024</v>
      </c>
      <c r="D56" s="582">
        <f t="shared" si="19"/>
        <v>188175703</v>
      </c>
      <c r="E56" s="582">
        <f t="shared" si="19"/>
        <v>181668067</v>
      </c>
      <c r="F56" s="582">
        <f t="shared" si="19"/>
        <v>182916114</v>
      </c>
      <c r="G56" s="582">
        <f t="shared" si="19"/>
        <v>182543786</v>
      </c>
      <c r="H56" s="582">
        <f t="shared" si="19"/>
        <v>180297829</v>
      </c>
      <c r="I56" s="582">
        <f t="shared" si="19"/>
        <v>179327779</v>
      </c>
      <c r="J56" s="582">
        <f>J47+J54</f>
        <v>179028923</v>
      </c>
      <c r="K56" s="582">
        <f t="shared" si="19"/>
        <v>179023833</v>
      </c>
      <c r="L56" s="582">
        <f t="shared" si="19"/>
        <v>184633513</v>
      </c>
      <c r="M56" s="582">
        <f t="shared" si="19"/>
        <v>181445222</v>
      </c>
      <c r="N56" s="582">
        <f t="shared" si="19"/>
        <v>173173757</v>
      </c>
      <c r="O56" s="557"/>
      <c r="P56" s="513"/>
      <c r="Q56" s="513"/>
      <c r="R56" s="513"/>
      <c r="S56" s="513"/>
      <c r="T56" s="541" t="s">
        <v>372</v>
      </c>
      <c r="U56" s="549">
        <v>744062</v>
      </c>
      <c r="V56" s="549">
        <v>1107905</v>
      </c>
      <c r="W56" s="549">
        <v>1416964</v>
      </c>
      <c r="X56" s="549">
        <v>1553812</v>
      </c>
      <c r="Y56" s="549">
        <v>1352788</v>
      </c>
      <c r="Z56" s="549">
        <v>1859315</v>
      </c>
      <c r="AA56" s="549">
        <v>974462</v>
      </c>
      <c r="AB56" s="549">
        <v>2485168</v>
      </c>
      <c r="AC56" s="549">
        <v>816482</v>
      </c>
      <c r="AD56" s="549">
        <v>1095365</v>
      </c>
      <c r="AE56" s="549">
        <v>1511967</v>
      </c>
      <c r="AF56" s="549">
        <v>567954</v>
      </c>
      <c r="AG56" s="550">
        <f>SUM(U56:AF56)</f>
        <v>15486244</v>
      </c>
      <c r="AH56" s="551">
        <f>(AG56/$AG$20)*100</f>
        <v>4.2371919709361121</v>
      </c>
    </row>
    <row r="57" spans="1:35" ht="13.5" thickTop="1" x14ac:dyDescent="0.2">
      <c r="A57" s="525"/>
      <c r="B57" s="526">
        <f t="shared" ref="B57:N57" si="20">+B30-B56</f>
        <v>0</v>
      </c>
      <c r="C57" s="526">
        <f t="shared" si="20"/>
        <v>0</v>
      </c>
      <c r="D57" s="526">
        <f t="shared" si="20"/>
        <v>0</v>
      </c>
      <c r="E57" s="526">
        <f t="shared" si="20"/>
        <v>0</v>
      </c>
      <c r="F57" s="526">
        <f t="shared" si="20"/>
        <v>0</v>
      </c>
      <c r="G57" s="526">
        <f t="shared" si="20"/>
        <v>0</v>
      </c>
      <c r="H57" s="526">
        <f t="shared" si="20"/>
        <v>0</v>
      </c>
      <c r="I57" s="526">
        <f t="shared" si="20"/>
        <v>0</v>
      </c>
      <c r="J57" s="526">
        <f t="shared" si="20"/>
        <v>0</v>
      </c>
      <c r="K57" s="526">
        <f t="shared" si="20"/>
        <v>0</v>
      </c>
      <c r="L57" s="526">
        <f t="shared" si="20"/>
        <v>0</v>
      </c>
      <c r="M57" s="526">
        <f t="shared" si="20"/>
        <v>0</v>
      </c>
      <c r="N57" s="526">
        <f t="shared" si="20"/>
        <v>0</v>
      </c>
      <c r="O57" s="513"/>
      <c r="P57" s="513"/>
      <c r="Q57" s="513"/>
      <c r="R57" s="513"/>
      <c r="S57" s="513"/>
      <c r="T57" s="541" t="s">
        <v>374</v>
      </c>
      <c r="U57" s="549">
        <v>0</v>
      </c>
      <c r="V57" s="549">
        <v>50000</v>
      </c>
      <c r="W57" s="549">
        <v>50000</v>
      </c>
      <c r="X57" s="549">
        <v>50000</v>
      </c>
      <c r="Y57" s="549">
        <v>50000</v>
      </c>
      <c r="Z57" s="549">
        <v>50000</v>
      </c>
      <c r="AA57" s="549">
        <v>50000</v>
      </c>
      <c r="AB57" s="549">
        <v>50000</v>
      </c>
      <c r="AC57" s="549">
        <v>50000</v>
      </c>
      <c r="AD57" s="549">
        <v>50000</v>
      </c>
      <c r="AE57" s="549">
        <v>50000</v>
      </c>
      <c r="AF57" s="549">
        <v>50000</v>
      </c>
      <c r="AG57" s="550">
        <f>SUM(U57:AF57)</f>
        <v>550000</v>
      </c>
      <c r="AH57" s="551">
        <f>(AG57/$AG$20)*100</f>
        <v>0.15048552663995618</v>
      </c>
    </row>
    <row r="58" spans="1:35" x14ac:dyDescent="0.2">
      <c r="A58" s="525"/>
      <c r="B58" s="526"/>
      <c r="C58" s="526"/>
      <c r="D58" s="526"/>
      <c r="E58" s="526"/>
      <c r="F58" s="526"/>
      <c r="G58" s="526"/>
      <c r="H58" s="526"/>
      <c r="I58" s="526"/>
      <c r="J58" s="526"/>
      <c r="K58" s="526"/>
      <c r="L58" s="526"/>
      <c r="M58" s="526"/>
      <c r="N58" s="526"/>
      <c r="O58" s="513"/>
      <c r="P58" s="513"/>
      <c r="Q58" s="513"/>
      <c r="R58" s="513"/>
      <c r="S58" s="513"/>
      <c r="T58" s="555"/>
      <c r="U58" s="553"/>
      <c r="V58" s="553"/>
      <c r="W58" s="553"/>
      <c r="X58" s="553"/>
      <c r="Y58" s="553"/>
      <c r="Z58" s="553"/>
      <c r="AA58" s="553"/>
      <c r="AB58" s="553"/>
      <c r="AC58" s="553"/>
      <c r="AD58" s="553"/>
      <c r="AE58" s="553"/>
      <c r="AF58" s="553"/>
      <c r="AG58" s="553"/>
      <c r="AH58" s="551"/>
    </row>
    <row r="59" spans="1:35" x14ac:dyDescent="0.2">
      <c r="A59" s="525"/>
      <c r="B59" s="526"/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6"/>
      <c r="N59" s="526"/>
      <c r="O59" s="513"/>
      <c r="P59" s="513"/>
      <c r="Q59" s="513"/>
      <c r="R59" s="513"/>
      <c r="S59" s="513"/>
      <c r="T59" s="555" t="s">
        <v>377</v>
      </c>
      <c r="U59" s="560">
        <f t="shared" ref="U59:AG59" si="21">SUM(U56:U58)</f>
        <v>744062</v>
      </c>
      <c r="V59" s="560">
        <f t="shared" si="21"/>
        <v>1157905</v>
      </c>
      <c r="W59" s="560">
        <f t="shared" si="21"/>
        <v>1466964</v>
      </c>
      <c r="X59" s="560">
        <f t="shared" si="21"/>
        <v>1603812</v>
      </c>
      <c r="Y59" s="560">
        <f t="shared" si="21"/>
        <v>1402788</v>
      </c>
      <c r="Z59" s="560">
        <f t="shared" si="21"/>
        <v>1909315</v>
      </c>
      <c r="AA59" s="560">
        <f t="shared" si="21"/>
        <v>1024462</v>
      </c>
      <c r="AB59" s="560">
        <f t="shared" si="21"/>
        <v>2535168</v>
      </c>
      <c r="AC59" s="560">
        <f t="shared" si="21"/>
        <v>866482</v>
      </c>
      <c r="AD59" s="560">
        <f t="shared" si="21"/>
        <v>1145365</v>
      </c>
      <c r="AE59" s="560">
        <f t="shared" si="21"/>
        <v>1561967</v>
      </c>
      <c r="AF59" s="560">
        <f t="shared" si="21"/>
        <v>617954</v>
      </c>
      <c r="AG59" s="560">
        <f t="shared" si="21"/>
        <v>16036244</v>
      </c>
      <c r="AH59" s="564">
        <f>(AG59/$AG$20)*100</f>
        <v>4.3876774975760684</v>
      </c>
    </row>
    <row r="60" spans="1:35" x14ac:dyDescent="0.2">
      <c r="A60" s="525"/>
      <c r="B60" s="526"/>
      <c r="C60" s="526" t="s">
        <v>28</v>
      </c>
      <c r="D60" s="526"/>
      <c r="E60" s="526"/>
      <c r="F60" s="526"/>
      <c r="G60" s="526"/>
      <c r="H60" s="526"/>
      <c r="I60" s="526"/>
      <c r="J60" s="526"/>
      <c r="K60" s="526"/>
      <c r="L60" s="526"/>
      <c r="M60" s="526"/>
      <c r="N60" s="526"/>
      <c r="O60" s="513"/>
      <c r="P60" s="513"/>
      <c r="Q60" s="513"/>
      <c r="R60" s="513"/>
      <c r="S60" s="513"/>
      <c r="T60" s="555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  <c r="AF60" s="570"/>
      <c r="AG60" s="570"/>
      <c r="AH60" s="551"/>
    </row>
    <row r="61" spans="1:35" x14ac:dyDescent="0.2">
      <c r="A61" s="525"/>
      <c r="B61" s="526"/>
      <c r="C61" s="526"/>
      <c r="D61" s="526"/>
      <c r="E61" s="526"/>
      <c r="F61" s="526"/>
      <c r="G61" s="526"/>
      <c r="H61" s="526"/>
      <c r="I61" s="526"/>
      <c r="J61" s="526"/>
      <c r="K61" s="526"/>
      <c r="L61" s="526"/>
      <c r="M61" s="526"/>
      <c r="N61" s="526"/>
      <c r="O61" s="513"/>
      <c r="P61" s="513"/>
      <c r="Q61" s="513"/>
      <c r="R61" s="513"/>
      <c r="S61" s="513"/>
      <c r="T61" s="555" t="s">
        <v>379</v>
      </c>
      <c r="U61" s="560">
        <f t="shared" ref="U61:AG61" si="22">U52-U59</f>
        <v>29802</v>
      </c>
      <c r="V61" s="560">
        <f t="shared" si="22"/>
        <v>-2649321</v>
      </c>
      <c r="W61" s="560">
        <f t="shared" si="22"/>
        <v>-2107090</v>
      </c>
      <c r="X61" s="560">
        <f t="shared" si="22"/>
        <v>424046</v>
      </c>
      <c r="Y61" s="560">
        <f t="shared" si="22"/>
        <v>-2443141</v>
      </c>
      <c r="Z61" s="560">
        <f t="shared" si="22"/>
        <v>-2823965</v>
      </c>
      <c r="AA61" s="560">
        <f t="shared" si="22"/>
        <v>-2256517</v>
      </c>
      <c r="AB61" s="560">
        <f t="shared" si="22"/>
        <v>-3917757</v>
      </c>
      <c r="AC61" s="560">
        <f t="shared" si="22"/>
        <v>-609916</v>
      </c>
      <c r="AD61" s="560">
        <f t="shared" si="22"/>
        <v>-1250449</v>
      </c>
      <c r="AE61" s="560">
        <f t="shared" si="22"/>
        <v>-1089598</v>
      </c>
      <c r="AF61" s="560">
        <f t="shared" si="22"/>
        <v>-2473951</v>
      </c>
      <c r="AG61" s="560">
        <f t="shared" si="22"/>
        <v>-21167857</v>
      </c>
      <c r="AH61" s="569">
        <f>(AG61/$AG$20)*100</f>
        <v>-5.7917383790623322</v>
      </c>
    </row>
    <row r="62" spans="1:35" x14ac:dyDescent="0.2">
      <c r="A62" s="525"/>
      <c r="B62" s="526"/>
      <c r="C62" s="526"/>
      <c r="D62" s="526"/>
      <c r="E62" s="526"/>
      <c r="F62" s="526"/>
      <c r="G62" s="526"/>
      <c r="H62" s="526"/>
      <c r="I62" s="526"/>
      <c r="J62" s="526"/>
      <c r="K62" s="526"/>
      <c r="L62" s="526"/>
      <c r="M62" s="526"/>
      <c r="N62" s="526"/>
      <c r="O62" s="513"/>
      <c r="P62" s="513"/>
      <c r="Q62" s="513"/>
      <c r="R62" s="513"/>
      <c r="S62" s="513"/>
      <c r="T62" s="555"/>
      <c r="U62" s="570"/>
      <c r="V62" s="570"/>
      <c r="W62" s="570"/>
      <c r="X62" s="570"/>
      <c r="Y62" s="570"/>
      <c r="Z62" s="570"/>
      <c r="AA62" s="570"/>
      <c r="AB62" s="570"/>
      <c r="AC62" s="570"/>
      <c r="AD62" s="570"/>
      <c r="AE62" s="570"/>
      <c r="AF62" s="570"/>
      <c r="AG62" s="570"/>
      <c r="AH62" s="551"/>
    </row>
    <row r="63" spans="1:35" x14ac:dyDescent="0.2">
      <c r="A63" s="525"/>
      <c r="B63" s="526"/>
      <c r="C63" s="526"/>
      <c r="D63" s="526"/>
      <c r="E63" s="526"/>
      <c r="F63" s="526"/>
      <c r="G63" s="526"/>
      <c r="H63" s="526"/>
      <c r="I63" s="526"/>
      <c r="J63" s="526"/>
      <c r="K63" s="526"/>
      <c r="L63" s="526"/>
      <c r="M63" s="526"/>
      <c r="N63" s="526"/>
      <c r="O63" s="513"/>
      <c r="P63" s="513"/>
      <c r="Q63" s="513"/>
      <c r="R63" s="513"/>
      <c r="S63" s="513"/>
      <c r="T63" s="555" t="s">
        <v>385</v>
      </c>
      <c r="U63" s="560">
        <f t="shared" ref="U63:AG63" si="23">U61+U38</f>
        <v>1939983</v>
      </c>
      <c r="V63" s="560">
        <f t="shared" si="23"/>
        <v>-738379</v>
      </c>
      <c r="W63" s="560">
        <f t="shared" si="23"/>
        <v>-193959</v>
      </c>
      <c r="X63" s="560">
        <f t="shared" si="23"/>
        <v>2322038</v>
      </c>
      <c r="Y63" s="560">
        <f t="shared" si="23"/>
        <v>-562128</v>
      </c>
      <c r="Z63" s="560">
        <f t="shared" si="23"/>
        <v>-936906</v>
      </c>
      <c r="AA63" s="560">
        <f t="shared" si="23"/>
        <v>-258511</v>
      </c>
      <c r="AB63" s="560">
        <f t="shared" si="23"/>
        <v>-1932269</v>
      </c>
      <c r="AC63" s="560">
        <f t="shared" si="23"/>
        <v>1318396</v>
      </c>
      <c r="AD63" s="560">
        <f t="shared" si="23"/>
        <v>804314</v>
      </c>
      <c r="AE63" s="560">
        <f t="shared" si="23"/>
        <v>983646</v>
      </c>
      <c r="AF63" s="560">
        <f t="shared" si="23"/>
        <v>-400707</v>
      </c>
      <c r="AG63" s="560">
        <f t="shared" si="23"/>
        <v>2345518</v>
      </c>
      <c r="AH63" s="569">
        <f>(AG63/$AG$20)*100</f>
        <v>0.6417572935881759</v>
      </c>
    </row>
    <row r="64" spans="1:35" ht="13.5" thickBot="1" x14ac:dyDescent="0.25">
      <c r="A64" s="525"/>
      <c r="B64" s="526"/>
      <c r="C64" s="526"/>
      <c r="D64" s="526"/>
      <c r="E64" s="526"/>
      <c r="F64" s="526"/>
      <c r="G64" s="526"/>
      <c r="H64" s="526"/>
      <c r="I64" s="526"/>
      <c r="J64" s="526"/>
      <c r="K64" s="526"/>
      <c r="L64" s="526"/>
      <c r="M64" s="526"/>
      <c r="N64" s="526"/>
      <c r="O64" s="513"/>
      <c r="P64" s="513"/>
      <c r="Q64" s="513"/>
      <c r="R64" s="513"/>
      <c r="S64" s="513"/>
      <c r="T64" s="584"/>
      <c r="U64" s="585"/>
      <c r="V64" s="585"/>
      <c r="W64" s="585"/>
      <c r="X64" s="585"/>
      <c r="Y64" s="585"/>
      <c r="Z64" s="585"/>
      <c r="AA64" s="585"/>
      <c r="AB64" s="585"/>
      <c r="AC64" s="585"/>
      <c r="AD64" s="585"/>
      <c r="AE64" s="585"/>
      <c r="AF64" s="585"/>
      <c r="AG64" s="586"/>
      <c r="AH64" s="587"/>
    </row>
    <row r="65" spans="1:35" ht="13.5" thickTop="1" x14ac:dyDescent="0.2">
      <c r="A65" s="525"/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13"/>
      <c r="P65" s="513"/>
      <c r="Q65" s="513"/>
      <c r="R65" s="513"/>
      <c r="S65" s="513"/>
      <c r="T65" s="513"/>
      <c r="U65" s="513"/>
      <c r="V65" s="513"/>
      <c r="W65" s="513"/>
      <c r="X65" s="513"/>
      <c r="Y65" s="513"/>
      <c r="Z65" s="513"/>
      <c r="AA65" s="513"/>
      <c r="AB65" s="513"/>
      <c r="AC65" s="513"/>
      <c r="AD65" s="513"/>
      <c r="AE65" s="513"/>
      <c r="AF65" s="513"/>
      <c r="AG65" s="513"/>
      <c r="AH65" s="513"/>
    </row>
    <row r="66" spans="1:35" x14ac:dyDescent="0.2">
      <c r="A66" s="525"/>
      <c r="B66" s="526"/>
      <c r="C66" s="526"/>
      <c r="D66" s="526"/>
      <c r="E66" s="526"/>
      <c r="F66" s="526"/>
      <c r="G66" s="526"/>
      <c r="H66" s="526"/>
      <c r="I66" s="526"/>
      <c r="J66" s="526"/>
      <c r="K66" s="526"/>
      <c r="L66" s="526"/>
      <c r="M66" s="526"/>
      <c r="N66" s="526"/>
      <c r="O66" s="513"/>
      <c r="P66" s="513"/>
      <c r="Q66" s="513"/>
      <c r="R66" s="513"/>
      <c r="S66" s="513"/>
      <c r="T66" s="513"/>
      <c r="U66" s="513"/>
      <c r="V66" s="513"/>
      <c r="W66" s="513"/>
      <c r="X66" s="513"/>
      <c r="Y66" s="513"/>
      <c r="Z66" s="513"/>
      <c r="AA66" s="513"/>
      <c r="AB66" s="513"/>
      <c r="AC66" s="513"/>
      <c r="AD66" s="513"/>
      <c r="AE66" s="513"/>
      <c r="AF66" s="513"/>
      <c r="AG66" s="513"/>
      <c r="AH66" s="513"/>
    </row>
    <row r="67" spans="1:35" x14ac:dyDescent="0.2">
      <c r="A67" s="525"/>
      <c r="B67" s="526"/>
      <c r="C67" s="526"/>
      <c r="D67" s="526"/>
      <c r="E67" s="526"/>
      <c r="F67" s="526"/>
      <c r="G67" s="526"/>
      <c r="H67" s="526"/>
      <c r="I67" s="526"/>
      <c r="J67" s="526"/>
      <c r="K67" s="526"/>
      <c r="L67" s="526"/>
      <c r="M67" s="526"/>
      <c r="N67" s="526"/>
      <c r="O67" s="513"/>
      <c r="P67" s="513"/>
      <c r="Q67" s="513"/>
      <c r="R67" s="513"/>
      <c r="S67" s="513"/>
      <c r="T67" s="513"/>
      <c r="U67" s="513"/>
      <c r="V67" s="513"/>
      <c r="W67" s="513"/>
      <c r="X67" s="513"/>
      <c r="Y67" s="513"/>
      <c r="Z67" s="513"/>
      <c r="AA67" s="513"/>
      <c r="AB67" s="513"/>
      <c r="AC67" s="513"/>
      <c r="AD67" s="513"/>
      <c r="AE67" s="513"/>
      <c r="AF67" s="513"/>
      <c r="AG67" s="513"/>
      <c r="AH67" s="513"/>
    </row>
    <row r="68" spans="1:35" x14ac:dyDescent="0.2">
      <c r="A68" s="525"/>
      <c r="B68" s="526"/>
      <c r="C68" s="526"/>
      <c r="D68" s="526"/>
      <c r="E68" s="526"/>
      <c r="F68" s="526"/>
      <c r="G68" s="526"/>
      <c r="H68" s="526"/>
      <c r="I68" s="526"/>
      <c r="J68" s="526"/>
      <c r="K68" s="526"/>
      <c r="L68" s="526"/>
      <c r="M68" s="526"/>
      <c r="N68" s="526"/>
      <c r="O68" s="513"/>
      <c r="P68" s="513"/>
      <c r="Q68" s="513"/>
      <c r="R68" s="513"/>
      <c r="S68" s="513"/>
      <c r="T68" s="513"/>
      <c r="U68" s="513"/>
      <c r="V68" s="513"/>
      <c r="W68" s="513"/>
      <c r="X68" s="513"/>
      <c r="Y68" s="513"/>
      <c r="Z68" s="513"/>
      <c r="AA68" s="513"/>
      <c r="AB68" s="513"/>
      <c r="AC68" s="513"/>
      <c r="AD68" s="513"/>
      <c r="AE68" s="513"/>
      <c r="AF68" s="513"/>
      <c r="AG68" s="513"/>
      <c r="AH68" s="513"/>
      <c r="AI68" s="667"/>
    </row>
    <row r="69" spans="1:35" x14ac:dyDescent="0.2">
      <c r="A69" s="525"/>
      <c r="B69" s="526"/>
      <c r="C69" s="526"/>
      <c r="D69" s="526"/>
      <c r="E69" s="526"/>
      <c r="F69" s="526"/>
      <c r="G69" s="526"/>
      <c r="H69" s="526"/>
      <c r="I69" s="526"/>
      <c r="J69" s="526"/>
      <c r="K69" s="526"/>
      <c r="L69" s="526"/>
      <c r="M69" s="526"/>
      <c r="N69" s="526"/>
      <c r="O69" s="513"/>
      <c r="P69" s="513"/>
      <c r="Q69" s="513"/>
      <c r="R69" s="513"/>
      <c r="S69" s="513"/>
      <c r="T69" s="513"/>
      <c r="U69" s="513"/>
      <c r="V69" s="513"/>
      <c r="W69" s="513"/>
      <c r="X69" s="513"/>
      <c r="Y69" s="513"/>
      <c r="Z69" s="513"/>
      <c r="AA69" s="513"/>
      <c r="AB69" s="513"/>
      <c r="AC69" s="513"/>
      <c r="AD69" s="513"/>
      <c r="AE69" s="513"/>
      <c r="AF69" s="513"/>
      <c r="AG69" s="513"/>
      <c r="AH69" s="513"/>
    </row>
    <row r="70" spans="1:35" x14ac:dyDescent="0.2">
      <c r="A70" s="525"/>
      <c r="B70" s="526"/>
      <c r="C70" s="526"/>
      <c r="D70" s="526"/>
      <c r="E70" s="526"/>
      <c r="F70" s="526"/>
      <c r="G70" s="526"/>
      <c r="H70" s="526"/>
      <c r="I70" s="526"/>
      <c r="J70" s="526"/>
      <c r="K70" s="526"/>
      <c r="L70" s="526"/>
      <c r="M70" s="526"/>
      <c r="N70" s="526"/>
      <c r="O70" s="513"/>
      <c r="P70" s="513"/>
      <c r="Q70" s="513"/>
      <c r="R70" s="513"/>
      <c r="S70" s="513"/>
      <c r="T70" s="513"/>
      <c r="U70" s="513"/>
      <c r="V70" s="513"/>
      <c r="W70" s="513"/>
      <c r="X70" s="513"/>
      <c r="Y70" s="513"/>
      <c r="Z70" s="513"/>
      <c r="AA70" s="557"/>
      <c r="AB70" s="557"/>
      <c r="AC70" s="557"/>
      <c r="AD70" s="513"/>
      <c r="AE70" s="513"/>
      <c r="AF70" s="513"/>
      <c r="AG70" s="513" t="s">
        <v>28</v>
      </c>
      <c r="AH70" s="513"/>
    </row>
    <row r="71" spans="1:35" x14ac:dyDescent="0.2">
      <c r="A71" s="525"/>
      <c r="B71" s="526"/>
      <c r="C71" s="526"/>
      <c r="D71" s="526"/>
      <c r="E71" s="526"/>
      <c r="F71" s="526"/>
      <c r="G71" s="526"/>
      <c r="H71" s="526"/>
      <c r="I71" s="526"/>
      <c r="J71" s="526"/>
      <c r="K71" s="526"/>
      <c r="L71" s="526"/>
      <c r="M71" s="526"/>
      <c r="N71" s="526"/>
      <c r="O71" s="513"/>
      <c r="P71" s="513"/>
      <c r="Q71" s="513"/>
      <c r="R71" s="513"/>
      <c r="S71" s="513"/>
      <c r="T71" s="513"/>
      <c r="U71" s="513"/>
      <c r="V71" s="513"/>
      <c r="W71" s="513"/>
      <c r="X71" s="557" t="s">
        <v>28</v>
      </c>
      <c r="Y71" s="513"/>
      <c r="Z71" s="557" t="s">
        <v>28</v>
      </c>
      <c r="AA71" s="557"/>
      <c r="AB71" s="557"/>
      <c r="AC71" s="557"/>
      <c r="AD71" s="513"/>
      <c r="AE71" s="513"/>
      <c r="AF71" s="513"/>
      <c r="AG71" s="557" t="s">
        <v>28</v>
      </c>
      <c r="AH71" s="513"/>
    </row>
    <row r="72" spans="1:35" x14ac:dyDescent="0.2">
      <c r="A72" s="525"/>
      <c r="B72" s="526"/>
      <c r="C72" s="526"/>
      <c r="D72" s="526"/>
      <c r="E72" s="526"/>
      <c r="F72" s="526"/>
      <c r="G72" s="526"/>
      <c r="H72" s="526"/>
      <c r="I72" s="526"/>
      <c r="J72" s="526"/>
      <c r="K72" s="526"/>
      <c r="L72" s="526"/>
      <c r="M72" s="526"/>
      <c r="N72" s="526"/>
      <c r="O72" s="513"/>
      <c r="P72" s="513"/>
      <c r="Q72" s="513"/>
      <c r="R72" s="513"/>
      <c r="S72" s="513"/>
      <c r="T72" s="513"/>
      <c r="U72" s="513"/>
      <c r="V72" s="513"/>
      <c r="W72" s="513"/>
      <c r="X72" s="513"/>
      <c r="Y72" s="513"/>
      <c r="Z72" s="616"/>
      <c r="AA72" s="616"/>
      <c r="AB72" s="616"/>
      <c r="AC72" s="513"/>
      <c r="AD72" s="513"/>
      <c r="AE72" s="513"/>
      <c r="AF72" s="513"/>
      <c r="AG72" s="513"/>
      <c r="AH72" s="513"/>
    </row>
    <row r="73" spans="1:35" x14ac:dyDescent="0.2">
      <c r="A73" s="525"/>
      <c r="B73" s="526"/>
      <c r="C73" s="526"/>
      <c r="D73" s="526"/>
      <c r="E73" s="526"/>
      <c r="F73" s="526"/>
      <c r="G73" s="526"/>
      <c r="H73" s="526"/>
      <c r="I73" s="526"/>
      <c r="J73" s="526"/>
      <c r="K73" s="526"/>
      <c r="L73" s="526"/>
      <c r="M73" s="526"/>
      <c r="N73" s="526"/>
      <c r="O73" s="513"/>
      <c r="P73" s="513"/>
      <c r="Q73" s="513"/>
      <c r="R73" s="513"/>
      <c r="S73" s="513"/>
      <c r="T73" s="513"/>
      <c r="U73" s="513"/>
      <c r="V73" s="513"/>
      <c r="W73" s="513"/>
      <c r="X73" s="513"/>
      <c r="Y73" s="513"/>
      <c r="Z73" s="513"/>
      <c r="AA73" s="513"/>
      <c r="AB73" s="513"/>
      <c r="AC73" s="513"/>
      <c r="AD73" s="513"/>
      <c r="AE73" s="513"/>
      <c r="AF73" s="513"/>
      <c r="AG73" s="513"/>
      <c r="AH73" s="513"/>
    </row>
    <row r="74" spans="1:35" x14ac:dyDescent="0.2">
      <c r="A74" s="525"/>
      <c r="B74" s="526"/>
      <c r="C74" s="526"/>
      <c r="D74" s="526"/>
      <c r="E74" s="526"/>
      <c r="F74" s="526"/>
      <c r="G74" s="526"/>
      <c r="H74" s="526"/>
      <c r="I74" s="526"/>
      <c r="J74" s="526"/>
      <c r="K74" s="526"/>
      <c r="L74" s="526"/>
      <c r="M74" s="526"/>
      <c r="N74" s="526"/>
      <c r="O74" s="513"/>
      <c r="P74" s="513"/>
      <c r="Q74" s="513"/>
      <c r="R74" s="513"/>
      <c r="S74" s="513"/>
      <c r="T74" s="513"/>
      <c r="U74" s="513"/>
      <c r="V74" s="513"/>
      <c r="W74" s="513"/>
      <c r="X74" s="513"/>
      <c r="Y74" s="513"/>
      <c r="Z74" s="513"/>
      <c r="AA74" s="513"/>
      <c r="AB74" s="513"/>
      <c r="AC74" s="513"/>
      <c r="AD74" s="513"/>
      <c r="AE74" s="513"/>
      <c r="AF74" s="513"/>
      <c r="AG74" s="513"/>
      <c r="AH74" s="513"/>
    </row>
    <row r="75" spans="1:35" x14ac:dyDescent="0.2">
      <c r="A75" s="525"/>
      <c r="B75" s="526"/>
      <c r="C75" s="526"/>
      <c r="D75" s="526"/>
      <c r="E75" s="526"/>
      <c r="F75" s="526"/>
      <c r="G75" s="526"/>
      <c r="H75" s="526"/>
      <c r="I75" s="526"/>
      <c r="J75" s="526"/>
      <c r="K75" s="526"/>
      <c r="L75" s="526"/>
      <c r="M75" s="526"/>
      <c r="N75" s="526"/>
      <c r="O75" s="513"/>
      <c r="P75" s="513"/>
      <c r="Q75" s="513"/>
      <c r="R75" s="513"/>
      <c r="S75" s="513"/>
      <c r="T75" s="513"/>
      <c r="U75" s="513"/>
      <c r="V75" s="513"/>
      <c r="W75" s="513"/>
      <c r="X75" s="513"/>
      <c r="Y75" s="513"/>
      <c r="Z75" s="513"/>
      <c r="AA75" s="513"/>
      <c r="AB75" s="513"/>
      <c r="AC75" s="513"/>
      <c r="AD75" s="513"/>
      <c r="AE75" s="513"/>
      <c r="AF75" s="513"/>
      <c r="AG75" s="513"/>
      <c r="AH75" s="513"/>
    </row>
    <row r="76" spans="1:35" x14ac:dyDescent="0.2">
      <c r="A76" s="525"/>
      <c r="B76" s="526"/>
      <c r="C76" s="526"/>
      <c r="D76" s="526"/>
      <c r="E76" s="526"/>
      <c r="F76" s="526"/>
      <c r="G76" s="526"/>
      <c r="H76" s="526"/>
      <c r="I76" s="526"/>
      <c r="J76" s="526"/>
      <c r="K76" s="526"/>
      <c r="L76" s="526"/>
      <c r="M76" s="526"/>
      <c r="N76" s="526"/>
      <c r="O76" s="513"/>
      <c r="P76" s="513"/>
      <c r="Q76" s="513"/>
      <c r="R76" s="513"/>
      <c r="S76" s="513"/>
      <c r="T76" s="513"/>
      <c r="U76" s="513"/>
      <c r="V76" s="513"/>
      <c r="W76" s="513"/>
      <c r="X76" s="513"/>
      <c r="Y76" s="513"/>
      <c r="Z76" s="513"/>
      <c r="AA76" s="513"/>
      <c r="AB76" s="513"/>
      <c r="AC76" s="513"/>
      <c r="AD76" s="513"/>
      <c r="AE76" s="513"/>
      <c r="AF76" s="513"/>
      <c r="AG76" s="513"/>
      <c r="AH76" s="513"/>
    </row>
    <row r="77" spans="1:35" ht="13.5" thickBot="1" x14ac:dyDescent="0.25">
      <c r="A77" s="525"/>
      <c r="B77" s="526"/>
      <c r="C77" s="526"/>
      <c r="D77" s="526"/>
      <c r="E77" s="526"/>
      <c r="F77" s="526"/>
      <c r="G77" s="526"/>
      <c r="H77" s="526"/>
      <c r="I77" s="526"/>
      <c r="J77" s="526"/>
      <c r="K77" s="526"/>
      <c r="L77" s="526"/>
      <c r="M77" s="526"/>
      <c r="N77" s="526"/>
      <c r="O77" s="513"/>
      <c r="P77" s="513"/>
      <c r="Q77" s="513"/>
      <c r="R77" s="513"/>
      <c r="S77" s="513"/>
      <c r="T77" s="513"/>
      <c r="U77" s="513"/>
      <c r="V77" s="513"/>
      <c r="W77" s="513"/>
      <c r="X77" s="513"/>
      <c r="Y77" s="513"/>
      <c r="Z77" s="513"/>
      <c r="AA77" s="513"/>
      <c r="AB77" s="513"/>
      <c r="AC77" s="513"/>
      <c r="AD77" s="513"/>
      <c r="AE77" s="513"/>
      <c r="AF77" s="513"/>
      <c r="AG77" s="513"/>
      <c r="AH77" s="513"/>
    </row>
    <row r="78" spans="1:35" ht="13.5" thickTop="1" x14ac:dyDescent="0.2">
      <c r="A78" s="588" t="s">
        <v>373</v>
      </c>
      <c r="B78" s="589"/>
      <c r="C78" s="589"/>
      <c r="D78" s="589"/>
      <c r="E78" s="589"/>
      <c r="F78" s="589"/>
      <c r="G78" s="589"/>
      <c r="H78" s="589"/>
      <c r="I78" s="589"/>
      <c r="J78" s="589"/>
      <c r="K78" s="589"/>
      <c r="L78" s="589"/>
      <c r="M78" s="589"/>
      <c r="N78" s="589"/>
      <c r="O78" s="589"/>
      <c r="P78" s="589"/>
      <c r="Q78" s="589"/>
      <c r="R78" s="590"/>
      <c r="S78" s="513"/>
      <c r="T78" s="513"/>
      <c r="U78" s="513"/>
      <c r="V78" s="513"/>
      <c r="W78" s="513"/>
      <c r="X78" s="513"/>
      <c r="Y78" s="513"/>
      <c r="Z78" s="513"/>
      <c r="AA78" s="513"/>
      <c r="AB78" s="513"/>
      <c r="AC78" s="513"/>
      <c r="AD78" s="513"/>
      <c r="AE78" s="513"/>
      <c r="AF78" s="513"/>
      <c r="AG78" s="513"/>
      <c r="AH78" s="513"/>
    </row>
    <row r="79" spans="1:35" x14ac:dyDescent="0.2">
      <c r="A79" s="591" t="s">
        <v>468</v>
      </c>
      <c r="B79" s="592" t="s">
        <v>375</v>
      </c>
      <c r="C79" s="593">
        <v>40483</v>
      </c>
      <c r="D79" s="594"/>
      <c r="E79" s="594"/>
      <c r="F79" s="594"/>
      <c r="G79" s="594"/>
      <c r="H79" s="594"/>
      <c r="I79" s="594"/>
      <c r="J79" s="594"/>
      <c r="K79" s="594"/>
      <c r="L79" s="594"/>
      <c r="M79" s="594"/>
      <c r="N79" s="594"/>
      <c r="O79" s="594"/>
      <c r="P79" s="594"/>
      <c r="Q79" s="594"/>
      <c r="R79" s="595"/>
      <c r="S79" s="513"/>
      <c r="T79" s="513"/>
      <c r="U79" s="513"/>
      <c r="V79" s="513"/>
      <c r="W79" s="513"/>
      <c r="X79" s="513"/>
      <c r="Y79" s="513"/>
      <c r="Z79" s="513"/>
      <c r="AA79" s="513"/>
      <c r="AB79" s="513"/>
      <c r="AC79" s="513"/>
      <c r="AD79" s="513"/>
      <c r="AE79" s="513"/>
      <c r="AF79" s="513"/>
      <c r="AG79" s="513"/>
      <c r="AH79" s="513"/>
    </row>
    <row r="80" spans="1:35" x14ac:dyDescent="0.2">
      <c r="A80" s="596"/>
      <c r="B80" s="592" t="s">
        <v>376</v>
      </c>
      <c r="C80" s="597">
        <v>12</v>
      </c>
      <c r="D80" s="594"/>
      <c r="E80" s="594"/>
      <c r="F80" s="594"/>
      <c r="G80" s="594"/>
      <c r="H80" s="594"/>
      <c r="I80" s="594"/>
      <c r="J80" s="594"/>
      <c r="K80" s="594"/>
      <c r="L80" s="594"/>
      <c r="M80" s="594"/>
      <c r="N80" s="594"/>
      <c r="O80" s="594"/>
      <c r="P80" s="594"/>
      <c r="Q80" s="594"/>
      <c r="R80" s="595"/>
      <c r="S80" s="513"/>
      <c r="T80" s="513"/>
      <c r="U80" s="513"/>
      <c r="V80" s="513"/>
      <c r="W80" s="513"/>
      <c r="X80" s="513"/>
      <c r="Y80" s="513"/>
      <c r="Z80" s="513"/>
      <c r="AA80" s="513"/>
      <c r="AB80" s="513"/>
      <c r="AC80" s="513"/>
      <c r="AD80" s="513"/>
      <c r="AE80" s="513"/>
      <c r="AF80" s="513"/>
      <c r="AG80" s="513"/>
      <c r="AH80" s="513"/>
    </row>
    <row r="81" spans="1:34" x14ac:dyDescent="0.2">
      <c r="A81" s="598"/>
      <c r="B81" s="599"/>
      <c r="C81" s="599"/>
      <c r="D81" s="599"/>
      <c r="E81" s="599"/>
      <c r="F81" s="599"/>
      <c r="G81" s="599"/>
      <c r="H81" s="599"/>
      <c r="I81" s="599"/>
      <c r="J81" s="599"/>
      <c r="K81" s="599"/>
      <c r="L81" s="599"/>
      <c r="M81" s="599"/>
      <c r="N81" s="599"/>
      <c r="O81" s="599"/>
      <c r="P81" s="599"/>
      <c r="Q81" s="599"/>
      <c r="R81" s="600"/>
      <c r="S81" s="513"/>
      <c r="T81" s="513"/>
      <c r="U81" s="513"/>
      <c r="V81" s="513"/>
      <c r="W81" s="513"/>
      <c r="X81" s="513"/>
      <c r="Y81" s="513"/>
      <c r="Z81" s="513"/>
      <c r="AA81" s="513"/>
      <c r="AB81" s="513"/>
      <c r="AC81" s="513"/>
      <c r="AD81" s="513"/>
      <c r="AE81" s="513"/>
      <c r="AF81" s="513"/>
      <c r="AG81" s="513"/>
      <c r="AH81" s="513"/>
    </row>
    <row r="82" spans="1:34" x14ac:dyDescent="0.2">
      <c r="A82" s="601" t="s">
        <v>378</v>
      </c>
      <c r="B82" s="594"/>
      <c r="C82" s="594"/>
      <c r="D82" s="594"/>
      <c r="E82" s="594"/>
      <c r="F82" s="594"/>
      <c r="G82" s="594"/>
      <c r="H82" s="594"/>
      <c r="I82" s="594"/>
      <c r="J82" s="594"/>
      <c r="K82" s="594"/>
      <c r="L82" s="594"/>
      <c r="M82" s="602"/>
      <c r="N82" s="1795" t="s">
        <v>80</v>
      </c>
      <c r="O82" s="1796"/>
      <c r="P82" s="1796"/>
      <c r="Q82" s="1797"/>
      <c r="R82" s="603" t="s">
        <v>124</v>
      </c>
      <c r="S82" s="513"/>
      <c r="T82" s="513"/>
      <c r="U82" s="513"/>
      <c r="V82" s="513"/>
      <c r="W82" s="513"/>
      <c r="X82" s="513"/>
      <c r="Y82" s="513"/>
      <c r="Z82" s="513"/>
      <c r="AA82" s="513"/>
      <c r="AB82" s="513"/>
      <c r="AC82" s="513"/>
      <c r="AD82" s="513"/>
      <c r="AE82" s="513"/>
      <c r="AF82" s="513"/>
      <c r="AG82" s="513"/>
      <c r="AH82" s="513"/>
    </row>
    <row r="83" spans="1:34" x14ac:dyDescent="0.2">
      <c r="A83" s="591" t="s">
        <v>5</v>
      </c>
      <c r="B83" s="604" t="s">
        <v>8</v>
      </c>
      <c r="C83" s="604" t="s">
        <v>9</v>
      </c>
      <c r="D83" s="604" t="s">
        <v>10</v>
      </c>
      <c r="E83" s="604" t="s">
        <v>11</v>
      </c>
      <c r="F83" s="604" t="s">
        <v>12</v>
      </c>
      <c r="G83" s="604" t="s">
        <v>13</v>
      </c>
      <c r="H83" s="604" t="s">
        <v>14</v>
      </c>
      <c r="I83" s="604" t="s">
        <v>15</v>
      </c>
      <c r="J83" s="604" t="s">
        <v>16</v>
      </c>
      <c r="K83" s="604" t="s">
        <v>17</v>
      </c>
      <c r="L83" s="604" t="s">
        <v>18</v>
      </c>
      <c r="M83" s="605" t="s">
        <v>19</v>
      </c>
      <c r="N83" s="605" t="s">
        <v>380</v>
      </c>
      <c r="O83" s="605" t="s">
        <v>381</v>
      </c>
      <c r="P83" s="605" t="s">
        <v>382</v>
      </c>
      <c r="Q83" s="606" t="s">
        <v>383</v>
      </c>
      <c r="R83" s="603" t="s">
        <v>384</v>
      </c>
      <c r="S83" s="513"/>
      <c r="T83" s="513"/>
      <c r="U83" s="513"/>
      <c r="V83" s="513"/>
      <c r="W83" s="513"/>
      <c r="X83" s="513"/>
      <c r="Y83" s="513"/>
      <c r="Z83" s="513"/>
      <c r="AA83" s="513"/>
      <c r="AB83" s="513"/>
      <c r="AC83" s="513"/>
      <c r="AD83" s="513"/>
      <c r="AE83" s="513"/>
      <c r="AF83" s="513"/>
      <c r="AG83" s="513"/>
      <c r="AH83" s="513"/>
    </row>
    <row r="84" spans="1:34" x14ac:dyDescent="0.2">
      <c r="A84" s="598"/>
      <c r="B84" s="599"/>
      <c r="C84" s="599"/>
      <c r="D84" s="599"/>
      <c r="E84" s="599"/>
      <c r="F84" s="599"/>
      <c r="G84" s="599"/>
      <c r="H84" s="599"/>
      <c r="I84" s="599"/>
      <c r="J84" s="599"/>
      <c r="K84" s="599"/>
      <c r="L84" s="599"/>
      <c r="M84" s="607"/>
      <c r="N84" s="608" t="s">
        <v>54</v>
      </c>
      <c r="O84" s="608" t="s">
        <v>54</v>
      </c>
      <c r="P84" s="608" t="s">
        <v>54</v>
      </c>
      <c r="Q84" s="608" t="s">
        <v>54</v>
      </c>
      <c r="R84" s="600"/>
      <c r="S84" s="513"/>
      <c r="T84" s="513"/>
      <c r="U84" s="513"/>
      <c r="V84" s="513"/>
      <c r="W84" s="513"/>
      <c r="X84" s="513"/>
      <c r="Y84" s="513"/>
      <c r="Z84" s="513"/>
      <c r="AA84" s="513"/>
      <c r="AB84" s="513"/>
      <c r="AC84" s="513"/>
      <c r="AD84" s="513"/>
      <c r="AE84" s="513"/>
      <c r="AF84" s="513"/>
      <c r="AG84" s="513"/>
      <c r="AH84" s="513"/>
    </row>
    <row r="85" spans="1:34" x14ac:dyDescent="0.2">
      <c r="A85" s="596" t="s">
        <v>386</v>
      </c>
      <c r="B85" s="609">
        <f t="shared" ref="B85:M85" si="24">C30</f>
        <v>185331024</v>
      </c>
      <c r="C85" s="609">
        <f t="shared" si="24"/>
        <v>188175703</v>
      </c>
      <c r="D85" s="609">
        <f t="shared" si="24"/>
        <v>181668067</v>
      </c>
      <c r="E85" s="609">
        <f t="shared" si="24"/>
        <v>182916114</v>
      </c>
      <c r="F85" s="609">
        <f t="shared" si="24"/>
        <v>182543786</v>
      </c>
      <c r="G85" s="609">
        <f t="shared" si="24"/>
        <v>180297829</v>
      </c>
      <c r="H85" s="609">
        <f t="shared" si="24"/>
        <v>179327779</v>
      </c>
      <c r="I85" s="609">
        <f t="shared" si="24"/>
        <v>179028923</v>
      </c>
      <c r="J85" s="609">
        <f t="shared" si="24"/>
        <v>179023833</v>
      </c>
      <c r="K85" s="609">
        <f t="shared" si="24"/>
        <v>184633513</v>
      </c>
      <c r="L85" s="609">
        <f t="shared" si="24"/>
        <v>181445222</v>
      </c>
      <c r="M85" s="610">
        <f t="shared" si="24"/>
        <v>173173757</v>
      </c>
      <c r="N85" s="610">
        <f>SUM(B85:D85)</f>
        <v>555174794</v>
      </c>
      <c r="O85" s="610">
        <f>SUM(B85:G85)</f>
        <v>1100932523</v>
      </c>
      <c r="P85" s="610">
        <f>SUM(B85:J85)</f>
        <v>1638313058</v>
      </c>
      <c r="Q85" s="611">
        <f>SUM(B85:M85)</f>
        <v>2177565550</v>
      </c>
      <c r="R85" s="612">
        <f>SUM(Q85/$C$80)</f>
        <v>181463795.83333334</v>
      </c>
      <c r="S85" s="513"/>
      <c r="T85" s="513"/>
      <c r="U85" s="513"/>
      <c r="V85" s="513"/>
      <c r="W85" s="513"/>
      <c r="X85" s="513"/>
      <c r="Y85" s="513"/>
      <c r="Z85" s="513"/>
      <c r="AA85" s="513"/>
      <c r="AB85" s="513"/>
      <c r="AC85" s="513"/>
      <c r="AD85" s="513"/>
      <c r="AE85" s="513"/>
      <c r="AF85" s="513"/>
      <c r="AG85" s="513"/>
      <c r="AH85" s="513"/>
    </row>
    <row r="86" spans="1:34" x14ac:dyDescent="0.2">
      <c r="A86" s="596" t="s">
        <v>387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10"/>
      <c r="N86" s="610"/>
      <c r="O86" s="610"/>
      <c r="P86" s="610"/>
      <c r="Q86" s="613"/>
      <c r="R86" s="614"/>
      <c r="S86" s="513"/>
      <c r="T86" s="513"/>
      <c r="U86" s="513"/>
      <c r="V86" s="513"/>
      <c r="W86" s="513"/>
      <c r="X86" s="513"/>
      <c r="Y86" s="513"/>
      <c r="Z86" s="513"/>
      <c r="AA86" s="513"/>
      <c r="AB86" s="513"/>
      <c r="AC86" s="513"/>
      <c r="AD86" s="513"/>
      <c r="AE86" s="513"/>
      <c r="AF86" s="513"/>
      <c r="AG86" s="513"/>
      <c r="AH86" s="513"/>
    </row>
    <row r="87" spans="1:34" x14ac:dyDescent="0.2">
      <c r="A87" s="596" t="s">
        <v>388</v>
      </c>
      <c r="B87" s="609">
        <f t="shared" ref="B87:M87" si="25">C11</f>
        <v>1316029</v>
      </c>
      <c r="C87" s="609">
        <f t="shared" si="25"/>
        <v>4120142</v>
      </c>
      <c r="D87" s="609">
        <f t="shared" si="25"/>
        <v>3979138</v>
      </c>
      <c r="E87" s="609">
        <f t="shared" si="25"/>
        <v>5495086</v>
      </c>
      <c r="F87" s="609">
        <f t="shared" si="25"/>
        <v>4790969</v>
      </c>
      <c r="G87" s="609">
        <f t="shared" si="25"/>
        <v>6338779</v>
      </c>
      <c r="H87" s="609">
        <f t="shared" si="25"/>
        <v>2239227</v>
      </c>
      <c r="I87" s="609">
        <f t="shared" si="25"/>
        <v>9923177</v>
      </c>
      <c r="J87" s="609">
        <f t="shared" si="25"/>
        <v>3831055</v>
      </c>
      <c r="K87" s="609">
        <f t="shared" si="25"/>
        <v>2074662</v>
      </c>
      <c r="L87" s="609">
        <f t="shared" si="25"/>
        <v>1207973</v>
      </c>
      <c r="M87" s="610">
        <f t="shared" si="25"/>
        <v>1219878</v>
      </c>
      <c r="N87" s="610">
        <f>SUM(B87:D87)</f>
        <v>9415309</v>
      </c>
      <c r="O87" s="610">
        <f>SUM(B87:G87)</f>
        <v>26040143</v>
      </c>
      <c r="P87" s="610">
        <f>SUM(B87:J87)</f>
        <v>42033602</v>
      </c>
      <c r="Q87" s="611">
        <f>SUM(B87:M87)</f>
        <v>46536115</v>
      </c>
      <c r="R87" s="612">
        <f>SUM(Q87/$C$80)</f>
        <v>3878009.5833333335</v>
      </c>
      <c r="S87" s="513"/>
      <c r="T87" s="513"/>
      <c r="U87" s="513"/>
      <c r="V87" s="513"/>
      <c r="W87" s="513"/>
      <c r="X87" s="513"/>
      <c r="Y87" s="513"/>
      <c r="Z87" s="513"/>
      <c r="AA87" s="513"/>
      <c r="AB87" s="513"/>
      <c r="AC87" s="513"/>
      <c r="AD87" s="513"/>
      <c r="AE87" s="513"/>
      <c r="AF87" s="513"/>
      <c r="AG87" s="513"/>
      <c r="AH87" s="513"/>
    </row>
    <row r="88" spans="1:34" x14ac:dyDescent="0.2">
      <c r="A88" s="615" t="s">
        <v>389</v>
      </c>
      <c r="B88" s="609">
        <v>0</v>
      </c>
      <c r="C88" s="609">
        <v>0</v>
      </c>
      <c r="D88" s="609">
        <v>0</v>
      </c>
      <c r="E88" s="609">
        <v>0</v>
      </c>
      <c r="F88" s="609">
        <v>0</v>
      </c>
      <c r="G88" s="609">
        <v>0</v>
      </c>
      <c r="H88" s="609">
        <v>0</v>
      </c>
      <c r="I88" s="609">
        <v>0</v>
      </c>
      <c r="J88" s="609">
        <v>0</v>
      </c>
      <c r="K88" s="609">
        <v>0</v>
      </c>
      <c r="L88" s="609">
        <v>0</v>
      </c>
      <c r="M88" s="610">
        <v>0</v>
      </c>
      <c r="N88" s="610">
        <f>SUM(B88:D88)</f>
        <v>0</v>
      </c>
      <c r="O88" s="610">
        <f>SUM(B88:G88)</f>
        <v>0</v>
      </c>
      <c r="P88" s="610">
        <f>SUM(B88:J88)</f>
        <v>0</v>
      </c>
      <c r="Q88" s="611">
        <f>SUM(B88:M88)</f>
        <v>0</v>
      </c>
      <c r="R88" s="612">
        <f>SUM(Q88/$C$80)</f>
        <v>0</v>
      </c>
      <c r="S88" s="513"/>
      <c r="T88" s="513"/>
      <c r="U88" s="513"/>
      <c r="V88" s="513"/>
      <c r="W88" s="513"/>
      <c r="X88" s="513"/>
      <c r="Y88" s="513"/>
      <c r="Z88" s="513"/>
      <c r="AA88" s="513"/>
      <c r="AB88" s="513"/>
      <c r="AC88" s="513"/>
      <c r="AD88" s="513"/>
      <c r="AE88" s="513"/>
      <c r="AF88" s="513"/>
      <c r="AG88" s="513"/>
      <c r="AH88" s="513"/>
    </row>
    <row r="89" spans="1:34" x14ac:dyDescent="0.2">
      <c r="A89" s="596" t="s">
        <v>390</v>
      </c>
      <c r="B89" s="617">
        <f>+C26</f>
        <v>1019289</v>
      </c>
      <c r="C89" s="617">
        <f t="shared" ref="C89:M89" si="26">+D26</f>
        <v>1019289</v>
      </c>
      <c r="D89" s="617">
        <f t="shared" si="26"/>
        <v>535792</v>
      </c>
      <c r="E89" s="617">
        <f t="shared" si="26"/>
        <v>535792</v>
      </c>
      <c r="F89" s="617">
        <f t="shared" si="26"/>
        <v>535792</v>
      </c>
      <c r="G89" s="617">
        <f t="shared" si="26"/>
        <v>535792</v>
      </c>
      <c r="H89" s="617">
        <f t="shared" si="26"/>
        <v>536963</v>
      </c>
      <c r="I89" s="617">
        <f t="shared" si="26"/>
        <v>537467</v>
      </c>
      <c r="J89" s="617">
        <f t="shared" si="26"/>
        <v>168796</v>
      </c>
      <c r="K89" s="617">
        <f t="shared" si="26"/>
        <v>168796</v>
      </c>
      <c r="L89" s="617">
        <f t="shared" si="26"/>
        <v>168796</v>
      </c>
      <c r="M89" s="617">
        <f t="shared" si="26"/>
        <v>168796</v>
      </c>
      <c r="N89" s="613">
        <f>SUM(B89:D89)</f>
        <v>2574370</v>
      </c>
      <c r="O89" s="613">
        <f>SUM(B89:G89)</f>
        <v>4181746</v>
      </c>
      <c r="P89" s="609">
        <f>SUM(B89:J89)</f>
        <v>5424972</v>
      </c>
      <c r="Q89" s="611">
        <f>SUM(B89:M89)</f>
        <v>5931360</v>
      </c>
      <c r="R89" s="612">
        <f>SUM(Q89/$C$80)</f>
        <v>494280</v>
      </c>
      <c r="S89" s="513"/>
      <c r="T89" s="513"/>
      <c r="U89" s="513"/>
      <c r="V89" s="513"/>
      <c r="W89" s="513"/>
      <c r="X89" s="513"/>
      <c r="Y89" s="513"/>
      <c r="Z89" s="513"/>
      <c r="AA89" s="513"/>
      <c r="AB89" s="513"/>
      <c r="AC89" s="513"/>
      <c r="AD89" s="513"/>
      <c r="AE89" s="513"/>
      <c r="AF89" s="513"/>
      <c r="AG89" s="513"/>
      <c r="AH89" s="513"/>
    </row>
    <row r="90" spans="1:34" x14ac:dyDescent="0.2">
      <c r="A90" s="596" t="s">
        <v>391</v>
      </c>
      <c r="B90" s="609">
        <v>0</v>
      </c>
      <c r="C90" s="609">
        <v>0</v>
      </c>
      <c r="D90" s="609">
        <v>0</v>
      </c>
      <c r="E90" s="609">
        <v>0</v>
      </c>
      <c r="F90" s="609">
        <v>0</v>
      </c>
      <c r="G90" s="609">
        <v>0</v>
      </c>
      <c r="H90" s="609">
        <v>0</v>
      </c>
      <c r="I90" s="609">
        <v>0</v>
      </c>
      <c r="J90" s="609">
        <v>0</v>
      </c>
      <c r="K90" s="609">
        <v>0</v>
      </c>
      <c r="L90" s="609">
        <v>0</v>
      </c>
      <c r="M90" s="610">
        <v>0</v>
      </c>
      <c r="N90" s="610">
        <f>SUM(B90:D90)</f>
        <v>0</v>
      </c>
      <c r="O90" s="610">
        <f>SUM(B90:G90)</f>
        <v>0</v>
      </c>
      <c r="P90" s="610">
        <f>SUM(B90:J90)</f>
        <v>0</v>
      </c>
      <c r="Q90" s="611">
        <f>SUM(B90:M90)</f>
        <v>0</v>
      </c>
      <c r="R90" s="612">
        <f>SUM(Q90/$C$80)</f>
        <v>0</v>
      </c>
      <c r="S90" s="513"/>
      <c r="T90" s="513"/>
      <c r="U90" s="513"/>
      <c r="V90" s="513"/>
      <c r="W90" s="513"/>
      <c r="X90" s="513"/>
      <c r="Y90" s="513"/>
      <c r="Z90" s="513"/>
      <c r="AA90" s="513"/>
      <c r="AB90" s="513"/>
      <c r="AC90" s="513"/>
      <c r="AD90" s="513"/>
      <c r="AE90" s="513"/>
      <c r="AF90" s="513"/>
      <c r="AG90" s="513"/>
      <c r="AH90" s="513"/>
    </row>
    <row r="91" spans="1:34" x14ac:dyDescent="0.2">
      <c r="A91" s="596" t="s">
        <v>392</v>
      </c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10"/>
      <c r="N91" s="610"/>
      <c r="O91" s="610"/>
      <c r="P91" s="610"/>
      <c r="Q91" s="613"/>
      <c r="R91" s="614"/>
      <c r="S91" s="513"/>
      <c r="T91" s="513"/>
      <c r="U91" s="513"/>
      <c r="V91" s="513"/>
      <c r="W91" s="513"/>
      <c r="X91" s="513"/>
      <c r="Y91" s="513"/>
      <c r="Z91" s="513"/>
      <c r="AA91" s="513"/>
      <c r="AB91" s="513"/>
      <c r="AC91" s="513"/>
      <c r="AD91" s="513"/>
      <c r="AE91" s="513"/>
      <c r="AF91" s="513"/>
      <c r="AG91" s="513"/>
      <c r="AH91" s="513"/>
    </row>
    <row r="92" spans="1:34" x14ac:dyDescent="0.2">
      <c r="A92" s="596" t="s">
        <v>393</v>
      </c>
      <c r="B92" s="609"/>
      <c r="C92" s="609"/>
      <c r="D92" s="609"/>
      <c r="E92" s="609"/>
      <c r="F92" s="609"/>
      <c r="G92" s="609"/>
      <c r="H92" s="609"/>
      <c r="I92" s="609"/>
      <c r="J92" s="609"/>
      <c r="K92" s="609"/>
      <c r="L92" s="609"/>
      <c r="M92" s="610"/>
      <c r="N92" s="610"/>
      <c r="O92" s="610"/>
      <c r="P92" s="610"/>
      <c r="Q92" s="613"/>
      <c r="R92" s="614"/>
      <c r="S92" s="513"/>
      <c r="T92" s="513"/>
      <c r="U92" s="513"/>
      <c r="V92" s="513"/>
      <c r="W92" s="513"/>
      <c r="X92" s="513"/>
      <c r="Y92" s="513"/>
      <c r="Z92" s="513"/>
      <c r="AA92" s="513"/>
      <c r="AB92" s="513"/>
      <c r="AC92" s="513"/>
      <c r="AD92" s="513"/>
      <c r="AE92" s="513"/>
      <c r="AF92" s="513"/>
      <c r="AG92" s="513"/>
      <c r="AH92" s="513"/>
    </row>
    <row r="93" spans="1:34" x14ac:dyDescent="0.2">
      <c r="A93" s="596" t="s">
        <v>394</v>
      </c>
      <c r="B93" s="609">
        <f>C40</f>
        <v>16141968</v>
      </c>
      <c r="C93" s="609">
        <f t="shared" ref="C93:M93" si="27">D40</f>
        <v>20980915</v>
      </c>
      <c r="D93" s="609">
        <f t="shared" si="27"/>
        <v>15941234</v>
      </c>
      <c r="E93" s="609">
        <f t="shared" si="27"/>
        <v>16429512</v>
      </c>
      <c r="F93" s="609">
        <f t="shared" si="27"/>
        <v>17900518</v>
      </c>
      <c r="G93" s="609">
        <f t="shared" si="27"/>
        <v>17813728</v>
      </c>
      <c r="H93" s="609">
        <f t="shared" si="27"/>
        <v>18479916</v>
      </c>
      <c r="I93" s="609">
        <f t="shared" si="27"/>
        <v>21547676</v>
      </c>
      <c r="J93" s="609">
        <f t="shared" si="27"/>
        <v>21529295</v>
      </c>
      <c r="K93" s="609">
        <f t="shared" si="27"/>
        <v>27837506</v>
      </c>
      <c r="L93" s="609">
        <f t="shared" si="27"/>
        <v>25397542</v>
      </c>
      <c r="M93" s="610">
        <f t="shared" si="27"/>
        <v>19042609</v>
      </c>
      <c r="N93" s="610">
        <f>SUM(B93:D93)</f>
        <v>53064117</v>
      </c>
      <c r="O93" s="610">
        <f>SUM(B93:G93)</f>
        <v>105207875</v>
      </c>
      <c r="P93" s="610">
        <f>SUM(B93:J93)</f>
        <v>166764762</v>
      </c>
      <c r="Q93" s="611">
        <f>SUM(B93:M93)</f>
        <v>239042419</v>
      </c>
      <c r="R93" s="612">
        <f>SUM(Q93/$C$80)</f>
        <v>19920201.583333332</v>
      </c>
      <c r="S93" s="513"/>
      <c r="T93" s="513"/>
      <c r="U93" s="513"/>
      <c r="V93" s="513"/>
      <c r="W93" s="513"/>
      <c r="X93" s="513"/>
      <c r="Y93" s="513"/>
      <c r="Z93" s="513"/>
      <c r="AA93" s="513"/>
      <c r="AB93" s="513"/>
      <c r="AC93" s="513"/>
      <c r="AD93" s="513"/>
      <c r="AE93" s="513"/>
      <c r="AF93" s="513"/>
      <c r="AG93" s="513"/>
      <c r="AH93" s="513"/>
    </row>
    <row r="94" spans="1:34" x14ac:dyDescent="0.2">
      <c r="A94" s="596" t="s">
        <v>395</v>
      </c>
      <c r="B94" s="609"/>
      <c r="C94" s="609"/>
      <c r="D94" s="609"/>
      <c r="E94" s="609"/>
      <c r="F94" s="609"/>
      <c r="G94" s="609"/>
      <c r="H94" s="609"/>
      <c r="I94" s="609"/>
      <c r="J94" s="609"/>
      <c r="K94" s="609"/>
      <c r="L94" s="609"/>
      <c r="M94" s="610"/>
      <c r="N94" s="610"/>
      <c r="O94" s="610"/>
      <c r="P94" s="610"/>
      <c r="Q94" s="613"/>
      <c r="R94" s="614"/>
      <c r="S94" s="513"/>
      <c r="T94" s="513"/>
      <c r="U94" s="513"/>
      <c r="V94" s="513"/>
      <c r="W94" s="513"/>
      <c r="X94" s="513"/>
      <c r="Y94" s="513"/>
      <c r="Z94" s="513"/>
      <c r="AA94" s="513"/>
      <c r="AB94" s="513"/>
      <c r="AC94" s="513"/>
      <c r="AD94" s="513"/>
      <c r="AE94" s="513"/>
      <c r="AF94" s="513"/>
      <c r="AG94" s="513"/>
      <c r="AH94" s="513"/>
    </row>
    <row r="95" spans="1:34" x14ac:dyDescent="0.2">
      <c r="A95" s="615" t="s">
        <v>396</v>
      </c>
      <c r="B95" s="609">
        <f t="shared" ref="B95:M95" si="28">C23</f>
        <v>148301875</v>
      </c>
      <c r="C95" s="609">
        <f t="shared" si="28"/>
        <v>146723941</v>
      </c>
      <c r="D95" s="609">
        <f t="shared" si="28"/>
        <v>144620739</v>
      </c>
      <c r="E95" s="609">
        <f t="shared" si="28"/>
        <v>142212688</v>
      </c>
      <c r="F95" s="609">
        <f t="shared" si="28"/>
        <v>141162084</v>
      </c>
      <c r="G95" s="609">
        <f t="shared" si="28"/>
        <v>144612156</v>
      </c>
      <c r="H95" s="609">
        <f t="shared" si="28"/>
        <v>142653846</v>
      </c>
      <c r="I95" s="609">
        <f t="shared" si="28"/>
        <v>141244339</v>
      </c>
      <c r="J95" s="609">
        <f t="shared" si="28"/>
        <v>145326301</v>
      </c>
      <c r="K95" s="609">
        <f t="shared" si="28"/>
        <v>143872761</v>
      </c>
      <c r="L95" s="609">
        <f t="shared" si="28"/>
        <v>141799517</v>
      </c>
      <c r="M95" s="610">
        <f t="shared" si="28"/>
        <v>139744754</v>
      </c>
      <c r="N95" s="610">
        <f>SUM(B95:D95)</f>
        <v>439646555</v>
      </c>
      <c r="O95" s="610">
        <f>SUM(B95:G95)</f>
        <v>867633483</v>
      </c>
      <c r="P95" s="610">
        <f>SUM(B95:J95)</f>
        <v>1296857969</v>
      </c>
      <c r="Q95" s="611">
        <f>SUM(B95:M95)</f>
        <v>1722275001</v>
      </c>
      <c r="R95" s="612">
        <f>SUM(Q95/$C$80)</f>
        <v>143522916.75</v>
      </c>
      <c r="S95" s="513"/>
      <c r="T95" s="513"/>
      <c r="U95" s="513"/>
      <c r="V95" s="513"/>
      <c r="W95" s="513"/>
      <c r="X95" s="513"/>
      <c r="Y95" s="513"/>
      <c r="Z95" s="513"/>
      <c r="AA95" s="513"/>
      <c r="AB95" s="513"/>
      <c r="AC95" s="513"/>
      <c r="AD95" s="513"/>
      <c r="AE95" s="513"/>
      <c r="AF95" s="513"/>
      <c r="AG95" s="513"/>
      <c r="AH95" s="513"/>
    </row>
    <row r="96" spans="1:34" x14ac:dyDescent="0.2">
      <c r="A96" s="615" t="s">
        <v>397</v>
      </c>
      <c r="B96" s="609"/>
      <c r="C96" s="609"/>
      <c r="D96" s="609"/>
      <c r="E96" s="609"/>
      <c r="F96" s="609"/>
      <c r="G96" s="609"/>
      <c r="H96" s="609"/>
      <c r="I96" s="609"/>
      <c r="J96" s="609"/>
      <c r="K96" s="609"/>
      <c r="L96" s="609"/>
      <c r="M96" s="610"/>
      <c r="N96" s="610"/>
      <c r="O96" s="610"/>
      <c r="P96" s="610"/>
      <c r="Q96" s="610"/>
      <c r="R96" s="618"/>
      <c r="S96" s="513"/>
      <c r="T96" s="513"/>
      <c r="U96" s="513"/>
      <c r="V96" s="513"/>
      <c r="W96" s="513"/>
      <c r="X96" s="513"/>
      <c r="Y96" s="513"/>
      <c r="Z96" s="513"/>
      <c r="AA96" s="513"/>
      <c r="AB96" s="513"/>
      <c r="AC96" s="513"/>
      <c r="AD96" s="513"/>
      <c r="AE96" s="513"/>
      <c r="AF96" s="513"/>
      <c r="AG96" s="513"/>
      <c r="AH96" s="513"/>
    </row>
    <row r="97" spans="1:34" x14ac:dyDescent="0.2">
      <c r="A97" s="619" t="s">
        <v>398</v>
      </c>
      <c r="B97" s="637">
        <f>+C23</f>
        <v>148301875</v>
      </c>
      <c r="C97" s="637">
        <f t="shared" ref="C97:M97" si="29">+D23</f>
        <v>146723941</v>
      </c>
      <c r="D97" s="637">
        <f t="shared" si="29"/>
        <v>144620739</v>
      </c>
      <c r="E97" s="637">
        <f t="shared" si="29"/>
        <v>142212688</v>
      </c>
      <c r="F97" s="637">
        <f t="shared" si="29"/>
        <v>141162084</v>
      </c>
      <c r="G97" s="637">
        <f t="shared" si="29"/>
        <v>144612156</v>
      </c>
      <c r="H97" s="637">
        <f t="shared" si="29"/>
        <v>142653846</v>
      </c>
      <c r="I97" s="637">
        <f t="shared" si="29"/>
        <v>141244339</v>
      </c>
      <c r="J97" s="637">
        <f t="shared" si="29"/>
        <v>145326301</v>
      </c>
      <c r="K97" s="637">
        <f t="shared" si="29"/>
        <v>143872761</v>
      </c>
      <c r="L97" s="637">
        <f t="shared" si="29"/>
        <v>141799517</v>
      </c>
      <c r="M97" s="621">
        <f t="shared" si="29"/>
        <v>139744754</v>
      </c>
      <c r="N97" s="621">
        <f>SUM(B97:D97)</f>
        <v>439646555</v>
      </c>
      <c r="O97" s="621">
        <f>SUM(B97:G97)</f>
        <v>867633483</v>
      </c>
      <c r="P97" s="621">
        <f>SUM(B97:J97)</f>
        <v>1296857969</v>
      </c>
      <c r="Q97" s="622">
        <f>SUM(B97:M97)</f>
        <v>1722275001</v>
      </c>
      <c r="R97" s="669">
        <f>SUM(Q97/$C$80)</f>
        <v>143522916.75</v>
      </c>
      <c r="S97" s="513"/>
      <c r="T97" s="513"/>
      <c r="U97" s="513"/>
      <c r="V97" s="513"/>
      <c r="W97" s="513"/>
      <c r="X97" s="513"/>
      <c r="Y97" s="513"/>
      <c r="Z97" s="513"/>
      <c r="AA97" s="513"/>
      <c r="AB97" s="513"/>
      <c r="AC97" s="513"/>
      <c r="AD97" s="513"/>
      <c r="AE97" s="513"/>
      <c r="AF97" s="513"/>
      <c r="AG97" s="513"/>
      <c r="AH97" s="513"/>
    </row>
    <row r="98" spans="1:34" x14ac:dyDescent="0.2">
      <c r="A98" s="624" t="s">
        <v>399</v>
      </c>
      <c r="B98" s="625">
        <f t="shared" ref="B98:R98" si="30">SUM(B85-B87-B88-B89-B90-B93-B95+B97)</f>
        <v>166853738</v>
      </c>
      <c r="C98" s="625">
        <f t="shared" si="30"/>
        <v>162055357</v>
      </c>
      <c r="D98" s="625">
        <f t="shared" si="30"/>
        <v>161211903</v>
      </c>
      <c r="E98" s="625">
        <f t="shared" si="30"/>
        <v>160455724</v>
      </c>
      <c r="F98" s="625">
        <f t="shared" si="30"/>
        <v>159316507</v>
      </c>
      <c r="G98" s="625">
        <f t="shared" si="30"/>
        <v>155609530</v>
      </c>
      <c r="H98" s="625">
        <f t="shared" si="30"/>
        <v>158071673</v>
      </c>
      <c r="I98" s="625">
        <f t="shared" si="30"/>
        <v>147020603</v>
      </c>
      <c r="J98" s="625">
        <f t="shared" si="30"/>
        <v>153494687</v>
      </c>
      <c r="K98" s="625">
        <f t="shared" si="30"/>
        <v>154552549</v>
      </c>
      <c r="L98" s="625">
        <f t="shared" si="30"/>
        <v>154670911</v>
      </c>
      <c r="M98" s="625">
        <f t="shared" si="30"/>
        <v>152742474</v>
      </c>
      <c r="N98" s="626">
        <f t="shared" si="30"/>
        <v>490120998</v>
      </c>
      <c r="O98" s="626">
        <f t="shared" si="30"/>
        <v>965502759</v>
      </c>
      <c r="P98" s="626">
        <f t="shared" si="30"/>
        <v>1424089722</v>
      </c>
      <c r="Q98" s="626">
        <f t="shared" si="30"/>
        <v>1886055656</v>
      </c>
      <c r="R98" s="627">
        <f t="shared" si="30"/>
        <v>157171304.66666666</v>
      </c>
      <c r="S98" s="513"/>
      <c r="T98" s="513"/>
      <c r="U98" s="513"/>
      <c r="V98" s="513"/>
      <c r="W98" s="513"/>
      <c r="X98" s="513"/>
      <c r="Y98" s="513"/>
      <c r="Z98" s="513"/>
      <c r="AA98" s="513"/>
      <c r="AB98" s="513"/>
      <c r="AC98" s="513"/>
      <c r="AD98" s="513"/>
      <c r="AE98" s="513"/>
      <c r="AF98" s="513"/>
      <c r="AG98" s="513"/>
      <c r="AH98" s="513"/>
    </row>
    <row r="99" spans="1:34" x14ac:dyDescent="0.2">
      <c r="A99" s="596"/>
      <c r="B99" s="594"/>
      <c r="C99" s="594"/>
      <c r="D99" s="594"/>
      <c r="E99" s="594"/>
      <c r="F99" s="594"/>
      <c r="G99" s="594"/>
      <c r="H99" s="594"/>
      <c r="I99" s="594"/>
      <c r="J99" s="594"/>
      <c r="K99" s="594"/>
      <c r="L99" s="594"/>
      <c r="M99" s="602"/>
      <c r="N99" s="602"/>
      <c r="O99" s="629"/>
      <c r="P99" s="630"/>
      <c r="Q99" s="629"/>
      <c r="R99" s="595"/>
      <c r="S99" s="513"/>
      <c r="T99" s="513"/>
      <c r="U99" s="513"/>
      <c r="V99" s="513"/>
      <c r="W99" s="513"/>
      <c r="X99" s="513"/>
      <c r="Y99" s="513"/>
      <c r="Z99" s="513"/>
      <c r="AA99" s="513"/>
      <c r="AB99" s="513"/>
      <c r="AC99" s="513"/>
      <c r="AD99" s="513"/>
      <c r="AE99" s="513"/>
      <c r="AF99" s="513"/>
      <c r="AG99" s="513"/>
      <c r="AH99" s="513"/>
    </row>
    <row r="100" spans="1:34" x14ac:dyDescent="0.2">
      <c r="A100" s="601" t="s">
        <v>400</v>
      </c>
      <c r="B100" s="594"/>
      <c r="C100" s="594"/>
      <c r="D100" s="594"/>
      <c r="E100" s="594"/>
      <c r="F100" s="594"/>
      <c r="G100" s="594"/>
      <c r="H100" s="594"/>
      <c r="I100" s="594"/>
      <c r="J100" s="594"/>
      <c r="K100" s="594"/>
      <c r="L100" s="594"/>
      <c r="M100" s="631"/>
      <c r="N100" s="610" t="s">
        <v>28</v>
      </c>
      <c r="O100" s="632"/>
      <c r="P100" s="594"/>
      <c r="Q100" s="632"/>
      <c r="R100" s="595"/>
      <c r="S100" s="513"/>
      <c r="T100" s="513"/>
      <c r="U100" s="513"/>
      <c r="V100" s="513"/>
      <c r="W100" s="513"/>
      <c r="X100" s="513"/>
      <c r="Y100" s="513"/>
      <c r="Z100" s="513"/>
      <c r="AA100" s="513"/>
      <c r="AB100" s="513"/>
      <c r="AC100" s="513"/>
      <c r="AD100" s="513"/>
      <c r="AE100" s="513"/>
      <c r="AF100" s="513"/>
      <c r="AG100" s="513"/>
      <c r="AH100" s="513"/>
    </row>
    <row r="101" spans="1:34" x14ac:dyDescent="0.2">
      <c r="A101" s="615" t="s">
        <v>401</v>
      </c>
      <c r="B101" s="633">
        <f t="shared" ref="B101:M101" si="31">U43</f>
        <v>815623</v>
      </c>
      <c r="C101" s="633">
        <f t="shared" si="31"/>
        <v>-1482082</v>
      </c>
      <c r="D101" s="633">
        <f t="shared" si="31"/>
        <v>-641729</v>
      </c>
      <c r="E101" s="633">
        <f t="shared" si="31"/>
        <v>2047770</v>
      </c>
      <c r="F101" s="633">
        <f t="shared" si="31"/>
        <v>-1152577</v>
      </c>
      <c r="G101" s="633">
        <f t="shared" si="31"/>
        <v>-808600</v>
      </c>
      <c r="H101" s="633">
        <f t="shared" si="31"/>
        <v>-1316338</v>
      </c>
      <c r="I101" s="633">
        <f t="shared" si="31"/>
        <v>-1339011</v>
      </c>
      <c r="J101" s="633">
        <f t="shared" si="31"/>
        <v>218246</v>
      </c>
      <c r="K101" s="633">
        <f t="shared" si="31"/>
        <v>-253634</v>
      </c>
      <c r="L101" s="633">
        <f t="shared" si="31"/>
        <v>455935</v>
      </c>
      <c r="M101" s="550">
        <f t="shared" si="31"/>
        <v>-1872431</v>
      </c>
      <c r="N101" s="631"/>
      <c r="O101" s="632"/>
      <c r="P101" s="594"/>
      <c r="Q101" s="611">
        <f>SUM(B101:M101)</f>
        <v>-5328828</v>
      </c>
      <c r="R101" s="595"/>
      <c r="S101" s="513"/>
      <c r="T101" s="513"/>
      <c r="U101" s="513"/>
      <c r="V101" s="513"/>
      <c r="W101" s="513"/>
      <c r="X101" s="513"/>
      <c r="Y101" s="513"/>
      <c r="Z101" s="513"/>
      <c r="AA101" s="513"/>
      <c r="AB101" s="513"/>
      <c r="AC101" s="513"/>
      <c r="AD101" s="513"/>
      <c r="AE101" s="513"/>
      <c r="AF101" s="513"/>
      <c r="AG101" s="513"/>
      <c r="AH101" s="513"/>
    </row>
    <row r="102" spans="1:34" x14ac:dyDescent="0.2">
      <c r="A102" s="615" t="s">
        <v>402</v>
      </c>
      <c r="B102" s="609">
        <v>0</v>
      </c>
      <c r="C102" s="609">
        <v>0</v>
      </c>
      <c r="D102" s="609">
        <v>0</v>
      </c>
      <c r="E102" s="609">
        <v>0</v>
      </c>
      <c r="F102" s="609">
        <v>0</v>
      </c>
      <c r="G102" s="609">
        <v>0</v>
      </c>
      <c r="H102" s="609">
        <v>0</v>
      </c>
      <c r="I102" s="609">
        <v>0</v>
      </c>
      <c r="J102" s="609">
        <v>0</v>
      </c>
      <c r="K102" s="609">
        <v>0</v>
      </c>
      <c r="L102" s="609">
        <v>0</v>
      </c>
      <c r="M102" s="610">
        <v>0</v>
      </c>
      <c r="N102" s="631"/>
      <c r="O102" s="632"/>
      <c r="P102" s="594"/>
      <c r="Q102" s="611">
        <f>SUM(B102:M102)</f>
        <v>0</v>
      </c>
      <c r="R102" s="595"/>
      <c r="S102" s="513"/>
      <c r="T102" s="513"/>
      <c r="U102" s="513"/>
      <c r="V102" s="513"/>
      <c r="W102" s="513"/>
      <c r="X102" s="513"/>
      <c r="Y102" s="513"/>
      <c r="Z102" s="513"/>
      <c r="AA102" s="513"/>
      <c r="AB102" s="513"/>
      <c r="AC102" s="513"/>
      <c r="AD102" s="513"/>
      <c r="AE102" s="513"/>
      <c r="AF102" s="513"/>
      <c r="AG102" s="513"/>
      <c r="AH102" s="513"/>
    </row>
    <row r="103" spans="1:34" x14ac:dyDescent="0.2">
      <c r="A103" s="615" t="s">
        <v>403</v>
      </c>
      <c r="B103" s="609">
        <f t="shared" ref="B103:G103" si="32">U39*-1</f>
        <v>1055642</v>
      </c>
      <c r="C103" s="609">
        <f t="shared" si="32"/>
        <v>-38402</v>
      </c>
      <c r="D103" s="609">
        <f t="shared" si="32"/>
        <v>-51419</v>
      </c>
      <c r="E103" s="609">
        <f t="shared" si="32"/>
        <v>2200258</v>
      </c>
      <c r="F103" s="609">
        <f t="shared" si="32"/>
        <v>-196715</v>
      </c>
      <c r="G103" s="609">
        <f t="shared" si="32"/>
        <v>110218</v>
      </c>
      <c r="H103" s="609">
        <f t="shared" ref="H103:M103" si="33">AA39*-1</f>
        <v>-136057</v>
      </c>
      <c r="I103" s="609">
        <f t="shared" si="33"/>
        <v>-50168</v>
      </c>
      <c r="J103" s="609">
        <f t="shared" si="33"/>
        <v>-117516</v>
      </c>
      <c r="K103" s="609">
        <f t="shared" si="33"/>
        <v>-50674</v>
      </c>
      <c r="L103" s="609">
        <f t="shared" si="33"/>
        <v>-50000</v>
      </c>
      <c r="M103" s="610">
        <f t="shared" si="33"/>
        <v>-50000</v>
      </c>
      <c r="N103" s="631"/>
      <c r="O103" s="632"/>
      <c r="P103" s="594"/>
      <c r="Q103" s="611">
        <f>SUM(B103:M103)</f>
        <v>2625167</v>
      </c>
      <c r="R103" s="595"/>
      <c r="S103" s="513"/>
      <c r="T103" s="513"/>
      <c r="U103" s="513"/>
      <c r="V103" s="513"/>
      <c r="W103" s="513"/>
      <c r="X103" s="513"/>
      <c r="Y103" s="513"/>
      <c r="Z103" s="513"/>
      <c r="AA103" s="513"/>
      <c r="AB103" s="513"/>
      <c r="AC103" s="513"/>
      <c r="AD103" s="513"/>
      <c r="AE103" s="513"/>
      <c r="AF103" s="513"/>
      <c r="AG103" s="513"/>
      <c r="AH103" s="513"/>
    </row>
    <row r="104" spans="1:34" x14ac:dyDescent="0.2">
      <c r="A104" s="615" t="s">
        <v>404</v>
      </c>
      <c r="B104" s="609">
        <f t="shared" ref="B104:M104" si="34">U38</f>
        <v>1910181</v>
      </c>
      <c r="C104" s="609">
        <f t="shared" si="34"/>
        <v>1910942</v>
      </c>
      <c r="D104" s="609">
        <f t="shared" si="34"/>
        <v>1913131</v>
      </c>
      <c r="E104" s="609">
        <f t="shared" si="34"/>
        <v>1897992</v>
      </c>
      <c r="F104" s="609">
        <f t="shared" si="34"/>
        <v>1881013</v>
      </c>
      <c r="G104" s="609">
        <f t="shared" si="34"/>
        <v>1887059</v>
      </c>
      <c r="H104" s="609">
        <f t="shared" si="34"/>
        <v>1998006</v>
      </c>
      <c r="I104" s="609">
        <f t="shared" si="34"/>
        <v>1985488</v>
      </c>
      <c r="J104" s="609">
        <f t="shared" si="34"/>
        <v>1928312</v>
      </c>
      <c r="K104" s="609">
        <f t="shared" si="34"/>
        <v>2054763</v>
      </c>
      <c r="L104" s="609">
        <f t="shared" si="34"/>
        <v>2073244</v>
      </c>
      <c r="M104" s="610">
        <f t="shared" si="34"/>
        <v>2073244</v>
      </c>
      <c r="N104" s="631"/>
      <c r="O104" s="632"/>
      <c r="P104" s="594"/>
      <c r="Q104" s="611">
        <f>SUM(B104:M104)</f>
        <v>23513375</v>
      </c>
      <c r="R104" s="595"/>
      <c r="S104" s="513"/>
      <c r="T104" s="513"/>
      <c r="U104" s="513"/>
      <c r="V104" s="513"/>
      <c r="W104" s="513"/>
      <c r="X104" s="513"/>
      <c r="Y104" s="513"/>
      <c r="Z104" s="513"/>
      <c r="AA104" s="513"/>
      <c r="AB104" s="513"/>
      <c r="AC104" s="513"/>
      <c r="AD104" s="513"/>
      <c r="AE104" s="513"/>
      <c r="AF104" s="513"/>
      <c r="AG104" s="513"/>
      <c r="AH104" s="513"/>
    </row>
    <row r="105" spans="1:34" x14ac:dyDescent="0.2">
      <c r="A105" s="615" t="s">
        <v>405</v>
      </c>
      <c r="B105" s="620">
        <v>0</v>
      </c>
      <c r="C105" s="620">
        <v>0</v>
      </c>
      <c r="D105" s="620">
        <v>0</v>
      </c>
      <c r="E105" s="620">
        <v>0</v>
      </c>
      <c r="F105" s="620">
        <v>0</v>
      </c>
      <c r="G105" s="620">
        <v>0</v>
      </c>
      <c r="H105" s="620">
        <v>0</v>
      </c>
      <c r="I105" s="620">
        <v>0</v>
      </c>
      <c r="J105" s="620">
        <v>0</v>
      </c>
      <c r="K105" s="620">
        <v>0</v>
      </c>
      <c r="L105" s="620">
        <v>0</v>
      </c>
      <c r="M105" s="670">
        <v>0</v>
      </c>
      <c r="N105" s="610" t="s">
        <v>28</v>
      </c>
      <c r="O105" s="632"/>
      <c r="P105" s="594"/>
      <c r="Q105" s="634">
        <f>SUM(B105:M105)</f>
        <v>0</v>
      </c>
      <c r="R105" s="595"/>
      <c r="S105" s="513"/>
      <c r="T105" s="513"/>
      <c r="U105" s="513"/>
      <c r="V105" s="513"/>
      <c r="W105" s="513"/>
      <c r="X105" s="513"/>
      <c r="Y105" s="513"/>
      <c r="Z105" s="513"/>
      <c r="AA105" s="513"/>
      <c r="AB105" s="513"/>
      <c r="AC105" s="513"/>
      <c r="AD105" s="513"/>
      <c r="AE105" s="513"/>
      <c r="AF105" s="513"/>
      <c r="AG105" s="513"/>
      <c r="AH105" s="513"/>
    </row>
    <row r="106" spans="1:34" x14ac:dyDescent="0.2">
      <c r="A106" s="615" t="s">
        <v>406</v>
      </c>
      <c r="B106" s="609">
        <f>B101+B102-B103+B104-B105</f>
        <v>1670162</v>
      </c>
      <c r="C106" s="609">
        <f>C101+C102-C103+C104-C105</f>
        <v>467262</v>
      </c>
      <c r="D106" s="609">
        <f>D101+D102-D103+D104-D105</f>
        <v>1322821</v>
      </c>
      <c r="E106" s="609">
        <f t="shared" ref="E106:M106" si="35">E101+E102-E103+E104-E105</f>
        <v>1745504</v>
      </c>
      <c r="F106" s="609">
        <f t="shared" si="35"/>
        <v>925151</v>
      </c>
      <c r="G106" s="609">
        <f t="shared" si="35"/>
        <v>968241</v>
      </c>
      <c r="H106" s="609">
        <f t="shared" si="35"/>
        <v>817725</v>
      </c>
      <c r="I106" s="609">
        <f t="shared" si="35"/>
        <v>696645</v>
      </c>
      <c r="J106" s="609">
        <f t="shared" si="35"/>
        <v>2264074</v>
      </c>
      <c r="K106" s="609">
        <f t="shared" si="35"/>
        <v>1851803</v>
      </c>
      <c r="L106" s="609">
        <f t="shared" si="35"/>
        <v>2579179</v>
      </c>
      <c r="M106" s="610">
        <f t="shared" si="35"/>
        <v>250813</v>
      </c>
      <c r="N106" s="631"/>
      <c r="O106" s="632"/>
      <c r="P106" s="594"/>
      <c r="Q106" s="611"/>
      <c r="R106" s="595"/>
      <c r="S106" s="513"/>
      <c r="T106" s="513"/>
      <c r="U106" s="513"/>
      <c r="V106" s="513"/>
      <c r="W106" s="513"/>
      <c r="X106" s="513"/>
      <c r="Y106" s="513"/>
      <c r="Z106" s="513"/>
      <c r="AA106" s="513"/>
      <c r="AB106" s="513"/>
      <c r="AC106" s="513"/>
      <c r="AD106" s="513"/>
      <c r="AE106" s="513"/>
      <c r="AF106" s="513"/>
      <c r="AG106" s="513"/>
      <c r="AH106" s="513"/>
    </row>
    <row r="107" spans="1:34" x14ac:dyDescent="0.2">
      <c r="A107" s="601" t="s">
        <v>407</v>
      </c>
      <c r="B107" s="635">
        <f>B106</f>
        <v>1670162</v>
      </c>
      <c r="C107" s="635">
        <f>C106+B107</f>
        <v>2137424</v>
      </c>
      <c r="D107" s="635">
        <f>D106+C107</f>
        <v>3460245</v>
      </c>
      <c r="E107" s="635">
        <f>E106+D107</f>
        <v>5205749</v>
      </c>
      <c r="F107" s="635">
        <f t="shared" ref="F107:M107" si="36">F106+E107</f>
        <v>6130900</v>
      </c>
      <c r="G107" s="635">
        <f t="shared" si="36"/>
        <v>7099141</v>
      </c>
      <c r="H107" s="635">
        <f t="shared" si="36"/>
        <v>7916866</v>
      </c>
      <c r="I107" s="635">
        <f t="shared" si="36"/>
        <v>8613511</v>
      </c>
      <c r="J107" s="635">
        <f t="shared" si="36"/>
        <v>10877585</v>
      </c>
      <c r="K107" s="635">
        <f t="shared" si="36"/>
        <v>12729388</v>
      </c>
      <c r="L107" s="635">
        <f t="shared" si="36"/>
        <v>15308567</v>
      </c>
      <c r="M107" s="636">
        <f t="shared" si="36"/>
        <v>15559380</v>
      </c>
      <c r="N107" s="610">
        <f>D107</f>
        <v>3460245</v>
      </c>
      <c r="O107" s="613">
        <f>G107</f>
        <v>7099141</v>
      </c>
      <c r="P107" s="609">
        <f>J107</f>
        <v>10877585</v>
      </c>
      <c r="Q107" s="611">
        <f>M107</f>
        <v>15559380</v>
      </c>
      <c r="R107" s="612">
        <f>Q107</f>
        <v>15559380</v>
      </c>
      <c r="S107" s="513"/>
      <c r="T107" s="513"/>
      <c r="U107" s="513"/>
      <c r="V107" s="513"/>
      <c r="W107" s="513"/>
      <c r="X107" s="513"/>
      <c r="Y107" s="513"/>
      <c r="Z107" s="513"/>
      <c r="AA107" s="513"/>
      <c r="AB107" s="513"/>
      <c r="AC107" s="513"/>
      <c r="AD107" s="513"/>
      <c r="AE107" s="513"/>
      <c r="AF107" s="513"/>
      <c r="AG107" s="513"/>
      <c r="AH107" s="513"/>
    </row>
    <row r="108" spans="1:34" x14ac:dyDescent="0.2">
      <c r="A108" s="624" t="s">
        <v>408</v>
      </c>
      <c r="B108" s="637">
        <f>B98</f>
        <v>166853738</v>
      </c>
      <c r="C108" s="637">
        <f>C98</f>
        <v>162055357</v>
      </c>
      <c r="D108" s="637">
        <f>D98</f>
        <v>161211903</v>
      </c>
      <c r="E108" s="637">
        <f t="shared" ref="E108:M108" si="37">E98</f>
        <v>160455724</v>
      </c>
      <c r="F108" s="637">
        <f t="shared" si="37"/>
        <v>159316507</v>
      </c>
      <c r="G108" s="637">
        <f t="shared" si="37"/>
        <v>155609530</v>
      </c>
      <c r="H108" s="637">
        <f t="shared" si="37"/>
        <v>158071673</v>
      </c>
      <c r="I108" s="637">
        <f t="shared" si="37"/>
        <v>147020603</v>
      </c>
      <c r="J108" s="637">
        <f t="shared" si="37"/>
        <v>153494687</v>
      </c>
      <c r="K108" s="637">
        <f t="shared" si="37"/>
        <v>154552549</v>
      </c>
      <c r="L108" s="637">
        <f t="shared" si="37"/>
        <v>154670911</v>
      </c>
      <c r="M108" s="621">
        <f t="shared" si="37"/>
        <v>152742474</v>
      </c>
      <c r="N108" s="621">
        <f>N98/3</f>
        <v>163373666</v>
      </c>
      <c r="O108" s="638">
        <f>O98/6</f>
        <v>160917126.5</v>
      </c>
      <c r="P108" s="621">
        <f>P98/9</f>
        <v>158232191.33333334</v>
      </c>
      <c r="Q108" s="639">
        <f>Q98/12</f>
        <v>157171304.66666666</v>
      </c>
      <c r="R108" s="627">
        <f>R98</f>
        <v>157171304.66666666</v>
      </c>
      <c r="S108" s="513"/>
      <c r="T108" s="513"/>
      <c r="U108" s="513"/>
      <c r="V108" s="513"/>
      <c r="W108" s="513"/>
      <c r="X108" s="513"/>
      <c r="Y108" s="513"/>
      <c r="Z108" s="513"/>
      <c r="AA108" s="513"/>
      <c r="AB108" s="513"/>
      <c r="AC108" s="513"/>
      <c r="AD108" s="513"/>
      <c r="AE108" s="513"/>
      <c r="AF108" s="513"/>
      <c r="AG108" s="513"/>
      <c r="AH108" s="513"/>
    </row>
    <row r="109" spans="1:34" ht="13.5" thickBot="1" x14ac:dyDescent="0.25">
      <c r="A109" s="640" t="s">
        <v>409</v>
      </c>
      <c r="B109" s="641"/>
      <c r="C109" s="641"/>
      <c r="D109" s="642"/>
      <c r="E109" s="641"/>
      <c r="F109" s="641"/>
      <c r="G109" s="642"/>
      <c r="H109" s="641"/>
      <c r="I109" s="641"/>
      <c r="J109" s="642"/>
      <c r="K109" s="641"/>
      <c r="L109" s="641"/>
      <c r="M109" s="643"/>
      <c r="N109" s="644">
        <f>(N107/N108)*100</f>
        <v>2.1179943406546315</v>
      </c>
      <c r="O109" s="645">
        <f>(O107/O108)*100</f>
        <v>4.4116752233951928</v>
      </c>
      <c r="P109" s="644">
        <f>(P107/P108)*100</f>
        <v>6.8744450218003887</v>
      </c>
      <c r="Q109" s="644">
        <f>(Q107/Q108)*100</f>
        <v>9.8996315090714386</v>
      </c>
      <c r="R109" s="646">
        <f>SUM(R107/R108)*(12/C80)*100</f>
        <v>9.8996315090714386</v>
      </c>
      <c r="S109" s="513"/>
      <c r="T109" s="513"/>
      <c r="U109" s="513"/>
      <c r="V109" s="513"/>
      <c r="W109" s="513"/>
      <c r="X109" s="513"/>
      <c r="Y109" s="513"/>
      <c r="Z109" s="513"/>
      <c r="AA109" s="513"/>
      <c r="AB109" s="513"/>
      <c r="AC109" s="513"/>
      <c r="AD109" s="513"/>
      <c r="AE109" s="513"/>
      <c r="AF109" s="513"/>
      <c r="AG109" s="513"/>
      <c r="AH109" s="513"/>
    </row>
    <row r="110" spans="1:34" ht="13.5" thickTop="1" x14ac:dyDescent="0.2">
      <c r="A110" s="513"/>
      <c r="B110" s="513"/>
      <c r="C110" s="513"/>
      <c r="D110" s="513"/>
      <c r="E110" s="513"/>
      <c r="F110" s="513"/>
      <c r="G110" s="513"/>
      <c r="H110" s="513"/>
      <c r="I110" s="513"/>
      <c r="J110" s="513"/>
      <c r="K110" s="513"/>
      <c r="L110" s="513"/>
      <c r="M110" s="513"/>
      <c r="N110" s="513"/>
      <c r="O110" s="513"/>
      <c r="P110" s="513"/>
      <c r="Q110" s="513"/>
      <c r="R110" s="513"/>
      <c r="S110" s="513"/>
      <c r="T110" s="513"/>
      <c r="U110" s="513"/>
      <c r="V110" s="513"/>
      <c r="W110" s="513"/>
      <c r="X110" s="513"/>
      <c r="Y110" s="513"/>
      <c r="Z110" s="513"/>
      <c r="AA110" s="513"/>
      <c r="AB110" s="513"/>
      <c r="AC110" s="513"/>
      <c r="AD110" s="513"/>
      <c r="AE110" s="513"/>
      <c r="AF110" s="513"/>
      <c r="AG110" s="513"/>
      <c r="AH110" s="513"/>
    </row>
    <row r="111" spans="1:34" x14ac:dyDescent="0.2">
      <c r="A111" s="513"/>
      <c r="B111" s="513"/>
      <c r="C111" s="513"/>
      <c r="D111" s="513"/>
      <c r="E111" s="513"/>
      <c r="F111" s="513"/>
      <c r="G111" s="513"/>
      <c r="H111" s="513"/>
      <c r="I111" s="513"/>
      <c r="J111" s="513"/>
      <c r="K111" s="513"/>
      <c r="L111" s="513"/>
      <c r="M111" s="513"/>
      <c r="N111" s="513"/>
      <c r="O111" s="513"/>
      <c r="P111" s="513"/>
      <c r="Q111" s="513"/>
      <c r="R111" s="513"/>
      <c r="S111" s="513"/>
      <c r="T111" s="513"/>
      <c r="U111" s="513"/>
      <c r="V111" s="513"/>
      <c r="W111" s="513"/>
      <c r="X111" s="513"/>
      <c r="Y111" s="513"/>
      <c r="Z111" s="513"/>
      <c r="AA111" s="513"/>
      <c r="AB111" s="513"/>
      <c r="AC111" s="513"/>
      <c r="AD111" s="513"/>
      <c r="AE111" s="513"/>
      <c r="AF111" s="513"/>
      <c r="AG111" s="513"/>
      <c r="AH111" s="513"/>
    </row>
    <row r="112" spans="1:34" x14ac:dyDescent="0.2">
      <c r="A112" s="513"/>
      <c r="B112" s="513"/>
      <c r="C112" s="513"/>
      <c r="D112" s="513"/>
      <c r="E112" s="513"/>
      <c r="F112" s="513"/>
      <c r="G112" s="513"/>
      <c r="H112" s="513"/>
      <c r="I112" s="513"/>
      <c r="J112" s="513"/>
      <c r="K112" s="513"/>
      <c r="L112" s="513"/>
      <c r="M112" s="513"/>
      <c r="N112" s="513"/>
      <c r="O112" s="513"/>
      <c r="P112" s="513"/>
      <c r="Q112" s="513"/>
      <c r="R112" s="513"/>
      <c r="S112" s="513"/>
      <c r="T112" s="513"/>
      <c r="U112" s="513"/>
      <c r="V112" s="513"/>
      <c r="W112" s="513"/>
      <c r="X112" s="513"/>
      <c r="Y112" s="513"/>
      <c r="Z112" s="513"/>
      <c r="AA112" s="513"/>
      <c r="AB112" s="513"/>
      <c r="AC112" s="513"/>
      <c r="AD112" s="513"/>
      <c r="AE112" s="513"/>
      <c r="AF112" s="513"/>
      <c r="AG112" s="513"/>
      <c r="AH112" s="513"/>
    </row>
    <row r="113" spans="1:34" x14ac:dyDescent="0.2">
      <c r="A113" s="513"/>
      <c r="B113" s="513"/>
      <c r="C113" s="513"/>
      <c r="D113" s="513"/>
      <c r="E113" s="513"/>
      <c r="F113" s="513"/>
      <c r="G113" s="513"/>
      <c r="H113" s="513"/>
      <c r="I113" s="513"/>
      <c r="J113" s="513"/>
      <c r="K113" s="513"/>
      <c r="L113" s="513"/>
      <c r="M113" s="513"/>
      <c r="N113" s="513"/>
      <c r="O113" s="513"/>
      <c r="P113" s="513"/>
      <c r="Q113" s="513"/>
      <c r="R113" s="513"/>
      <c r="S113" s="513"/>
      <c r="T113" s="513"/>
      <c r="U113" s="513"/>
      <c r="V113" s="513"/>
      <c r="W113" s="513"/>
      <c r="X113" s="513"/>
      <c r="Y113" s="513"/>
      <c r="Z113" s="513"/>
      <c r="AA113" s="513"/>
      <c r="AB113" s="513"/>
      <c r="AC113" s="513"/>
      <c r="AD113" s="513"/>
      <c r="AE113" s="513"/>
      <c r="AF113" s="513"/>
      <c r="AG113" s="513"/>
      <c r="AH113" s="513"/>
    </row>
    <row r="114" spans="1:34" x14ac:dyDescent="0.2">
      <c r="A114" s="513"/>
      <c r="B114" s="513"/>
      <c r="C114" s="513"/>
      <c r="D114" s="513"/>
      <c r="E114" s="513"/>
      <c r="F114" s="513"/>
      <c r="G114" s="513"/>
      <c r="H114" s="513"/>
      <c r="I114" s="513"/>
      <c r="J114" s="513"/>
      <c r="K114" s="513"/>
      <c r="L114" s="513"/>
      <c r="M114" s="513"/>
      <c r="N114" s="513"/>
      <c r="O114" s="513"/>
      <c r="P114" s="513"/>
      <c r="Q114" s="513"/>
      <c r="R114" s="513"/>
      <c r="S114" s="513"/>
      <c r="T114" s="513"/>
      <c r="U114" s="513"/>
      <c r="V114" s="513"/>
      <c r="W114" s="513"/>
      <c r="X114" s="513"/>
      <c r="Y114" s="513"/>
      <c r="Z114" s="513"/>
      <c r="AA114" s="513"/>
      <c r="AB114" s="513"/>
      <c r="AC114" s="513"/>
      <c r="AD114" s="513"/>
      <c r="AE114" s="513"/>
      <c r="AF114" s="513"/>
      <c r="AG114" s="513"/>
      <c r="AH114" s="513"/>
    </row>
    <row r="115" spans="1:34" x14ac:dyDescent="0.2">
      <c r="A115" s="513"/>
      <c r="B115" s="623" t="s">
        <v>28</v>
      </c>
      <c r="C115" s="513"/>
      <c r="D115" s="513"/>
      <c r="E115" s="513"/>
      <c r="F115" s="513"/>
      <c r="G115" s="513"/>
      <c r="H115" s="513"/>
      <c r="I115" s="513"/>
      <c r="J115" s="513"/>
      <c r="K115" s="513"/>
      <c r="L115" s="513"/>
      <c r="M115" s="513"/>
      <c r="N115" s="513"/>
      <c r="O115" s="513"/>
      <c r="P115" s="513"/>
      <c r="Q115" s="513"/>
      <c r="R115" s="513"/>
      <c r="S115" s="513"/>
      <c r="T115" s="513"/>
      <c r="U115" s="513"/>
      <c r="V115" s="513"/>
      <c r="W115" s="513"/>
      <c r="X115" s="513"/>
      <c r="Y115" s="513"/>
      <c r="Z115" s="513"/>
      <c r="AA115" s="513"/>
      <c r="AB115" s="513"/>
      <c r="AC115" s="513"/>
      <c r="AD115" s="513"/>
      <c r="AE115" s="513"/>
      <c r="AF115" s="513"/>
      <c r="AG115" s="513"/>
      <c r="AH115" s="513"/>
    </row>
    <row r="116" spans="1:34" x14ac:dyDescent="0.2">
      <c r="A116" s="513"/>
      <c r="B116" s="513"/>
      <c r="C116" s="513"/>
      <c r="D116" s="513"/>
      <c r="E116" s="513"/>
      <c r="F116" s="513"/>
      <c r="G116" s="513"/>
      <c r="H116" s="513"/>
      <c r="I116" s="513"/>
      <c r="J116" s="513"/>
      <c r="K116" s="513"/>
      <c r="L116" s="513"/>
      <c r="M116" s="513"/>
      <c r="N116" s="513"/>
      <c r="O116" s="513"/>
      <c r="P116" s="513"/>
      <c r="Q116" s="513"/>
      <c r="R116" s="513"/>
      <c r="S116" s="513"/>
      <c r="T116" s="513"/>
      <c r="U116" s="513"/>
      <c r="V116" s="513"/>
      <c r="W116" s="513"/>
      <c r="X116" s="513"/>
      <c r="Y116" s="513"/>
      <c r="Z116" s="513"/>
      <c r="AA116" s="513"/>
      <c r="AB116" s="513"/>
      <c r="AC116" s="513"/>
      <c r="AD116" s="513"/>
      <c r="AE116" s="513"/>
      <c r="AF116" s="513"/>
      <c r="AG116" s="513"/>
      <c r="AH116" s="513"/>
    </row>
    <row r="117" spans="1:34" x14ac:dyDescent="0.2">
      <c r="A117" s="513"/>
      <c r="B117" s="513"/>
      <c r="C117" s="513"/>
      <c r="D117" s="513"/>
      <c r="E117" s="513"/>
      <c r="F117" s="513"/>
      <c r="G117" s="513"/>
      <c r="H117" s="513"/>
      <c r="I117" s="513"/>
      <c r="J117" s="513"/>
      <c r="K117" s="513"/>
      <c r="L117" s="513"/>
      <c r="M117" s="513"/>
      <c r="N117" s="513"/>
      <c r="O117" s="513"/>
      <c r="P117" s="513"/>
      <c r="Q117" s="513"/>
      <c r="R117" s="513"/>
      <c r="S117" s="513"/>
      <c r="T117" s="513"/>
      <c r="U117" s="513"/>
      <c r="V117" s="513"/>
      <c r="W117" s="513"/>
      <c r="X117" s="513"/>
      <c r="Y117" s="513"/>
      <c r="Z117" s="513"/>
      <c r="AA117" s="513"/>
      <c r="AB117" s="513"/>
      <c r="AC117" s="513"/>
      <c r="AD117" s="513"/>
      <c r="AE117" s="513"/>
      <c r="AF117" s="513"/>
      <c r="AG117" s="513"/>
      <c r="AH117" s="513"/>
    </row>
    <row r="118" spans="1:34" x14ac:dyDescent="0.2">
      <c r="A118" s="513"/>
      <c r="B118" s="513"/>
      <c r="C118" s="513"/>
      <c r="D118" s="513"/>
      <c r="E118" s="513"/>
      <c r="F118" s="513"/>
      <c r="G118" s="513"/>
      <c r="H118" s="513"/>
      <c r="I118" s="513"/>
      <c r="J118" s="513"/>
      <c r="K118" s="513"/>
      <c r="L118" s="513"/>
      <c r="M118" s="513"/>
      <c r="N118" s="513"/>
      <c r="O118" s="513"/>
      <c r="P118" s="513"/>
      <c r="Q118" s="513"/>
      <c r="R118" s="513"/>
      <c r="S118" s="513"/>
      <c r="T118" s="513"/>
      <c r="U118" s="513"/>
      <c r="V118" s="513"/>
      <c r="W118" s="513"/>
      <c r="X118" s="513"/>
      <c r="Y118" s="513"/>
      <c r="Z118" s="513"/>
      <c r="AA118" s="513"/>
      <c r="AB118" s="513"/>
      <c r="AC118" s="513"/>
      <c r="AD118" s="513"/>
      <c r="AE118" s="513"/>
      <c r="AF118" s="513"/>
      <c r="AG118" s="513"/>
      <c r="AH118" s="513"/>
    </row>
    <row r="119" spans="1:34" x14ac:dyDescent="0.2">
      <c r="A119" s="513"/>
      <c r="B119" s="513"/>
      <c r="C119" s="513"/>
      <c r="D119" s="513"/>
      <c r="E119" s="513"/>
      <c r="F119" s="513"/>
      <c r="G119" s="513"/>
      <c r="H119" s="513"/>
      <c r="I119" s="513"/>
      <c r="J119" s="513"/>
      <c r="K119" s="513"/>
      <c r="L119" s="513"/>
      <c r="M119" s="513"/>
      <c r="N119" s="513"/>
      <c r="O119" s="513"/>
      <c r="P119" s="513"/>
      <c r="Q119" s="513"/>
      <c r="R119" s="513"/>
      <c r="S119" s="513"/>
      <c r="T119" s="513"/>
      <c r="U119" s="513"/>
      <c r="V119" s="513"/>
      <c r="W119" s="513"/>
      <c r="X119" s="513"/>
      <c r="Y119" s="513"/>
      <c r="Z119" s="513"/>
      <c r="AA119" s="513"/>
      <c r="AB119" s="513"/>
      <c r="AC119" s="513"/>
      <c r="AD119" s="513"/>
      <c r="AE119" s="513"/>
      <c r="AF119" s="513"/>
      <c r="AG119" s="513"/>
      <c r="AH119" s="513"/>
    </row>
    <row r="120" spans="1:34" x14ac:dyDescent="0.2">
      <c r="A120" s="513"/>
      <c r="B120" s="513"/>
      <c r="C120" s="513"/>
      <c r="D120" s="513"/>
      <c r="E120" s="513"/>
      <c r="F120" s="513"/>
      <c r="G120" s="513"/>
      <c r="H120" s="513"/>
      <c r="I120" s="513"/>
      <c r="J120" s="513"/>
      <c r="K120" s="513"/>
      <c r="L120" s="513"/>
      <c r="M120" s="513"/>
      <c r="N120" s="513"/>
      <c r="O120" s="513"/>
      <c r="P120" s="513"/>
      <c r="Q120" s="513"/>
      <c r="R120" s="513"/>
      <c r="S120" s="513"/>
      <c r="T120" s="513"/>
      <c r="U120" s="513"/>
      <c r="V120" s="513"/>
      <c r="W120" s="513"/>
      <c r="X120" s="513"/>
      <c r="Y120" s="513"/>
      <c r="Z120" s="513"/>
      <c r="AA120" s="513"/>
      <c r="AB120" s="513"/>
      <c r="AC120" s="513"/>
      <c r="AD120" s="513"/>
      <c r="AE120" s="513"/>
      <c r="AF120" s="513"/>
      <c r="AG120" s="513"/>
      <c r="AH120" s="513"/>
    </row>
    <row r="121" spans="1:34" x14ac:dyDescent="0.2">
      <c r="A121" s="513"/>
      <c r="B121" s="513"/>
      <c r="C121" s="513"/>
      <c r="D121" s="513"/>
      <c r="E121" s="513"/>
      <c r="F121" s="513"/>
      <c r="G121" s="513"/>
      <c r="H121" s="513"/>
      <c r="I121" s="513"/>
      <c r="J121" s="513"/>
      <c r="K121" s="513"/>
      <c r="L121" s="513"/>
      <c r="M121" s="513"/>
      <c r="N121" s="513"/>
      <c r="O121" s="513"/>
      <c r="P121" s="513"/>
      <c r="Q121" s="513"/>
      <c r="R121" s="513"/>
      <c r="S121" s="513"/>
      <c r="T121" s="513"/>
      <c r="U121" s="513"/>
      <c r="V121" s="513"/>
      <c r="W121" s="513"/>
      <c r="X121" s="513"/>
      <c r="Y121" s="513"/>
      <c r="Z121" s="513"/>
      <c r="AA121" s="513"/>
      <c r="AB121" s="513"/>
      <c r="AC121" s="513"/>
      <c r="AD121" s="513"/>
      <c r="AE121" s="513"/>
      <c r="AF121" s="513"/>
      <c r="AG121" s="513"/>
      <c r="AH121" s="513"/>
    </row>
    <row r="122" spans="1:34" x14ac:dyDescent="0.2">
      <c r="A122" s="513"/>
      <c r="B122" s="513"/>
      <c r="C122" s="513"/>
      <c r="D122" s="513"/>
      <c r="E122" s="513"/>
      <c r="F122" s="513"/>
      <c r="G122" s="513"/>
      <c r="H122" s="513"/>
      <c r="I122" s="513"/>
      <c r="J122" s="513"/>
      <c r="K122" s="513"/>
      <c r="L122" s="513"/>
      <c r="M122" s="513"/>
      <c r="N122" s="513"/>
      <c r="O122" s="513"/>
      <c r="P122" s="513"/>
      <c r="Q122" s="513"/>
      <c r="R122" s="513"/>
      <c r="S122" s="513"/>
      <c r="T122" s="513"/>
      <c r="U122" s="513"/>
      <c r="V122" s="513"/>
      <c r="W122" s="513"/>
      <c r="X122" s="513"/>
      <c r="Y122" s="513"/>
      <c r="Z122" s="513"/>
      <c r="AA122" s="513"/>
      <c r="AB122" s="513"/>
      <c r="AC122" s="513"/>
      <c r="AD122" s="513"/>
      <c r="AE122" s="513"/>
      <c r="AF122" s="513"/>
      <c r="AG122" s="513"/>
      <c r="AH122" s="513"/>
    </row>
    <row r="123" spans="1:34" x14ac:dyDescent="0.2">
      <c r="A123" s="513"/>
      <c r="B123" s="513"/>
      <c r="C123" s="513"/>
      <c r="D123" s="513"/>
      <c r="E123" s="513"/>
      <c r="F123" s="513"/>
      <c r="G123" s="513"/>
      <c r="H123" s="513"/>
      <c r="I123" s="513"/>
      <c r="J123" s="513"/>
      <c r="K123" s="513"/>
      <c r="L123" s="513"/>
      <c r="M123" s="513"/>
      <c r="N123" s="513"/>
      <c r="O123" s="513"/>
      <c r="P123" s="513"/>
      <c r="Q123" s="513"/>
      <c r="R123" s="513"/>
      <c r="S123" s="513"/>
      <c r="T123" s="513"/>
      <c r="U123" s="513"/>
      <c r="V123" s="513"/>
      <c r="W123" s="513"/>
      <c r="X123" s="513"/>
      <c r="Y123" s="513"/>
      <c r="Z123" s="513"/>
      <c r="AA123" s="513"/>
      <c r="AB123" s="513"/>
      <c r="AC123" s="513"/>
      <c r="AD123" s="513"/>
      <c r="AE123" s="513"/>
      <c r="AF123" s="513"/>
      <c r="AG123" s="513"/>
      <c r="AH123" s="513"/>
    </row>
    <row r="124" spans="1:34" x14ac:dyDescent="0.2">
      <c r="A124" s="513"/>
      <c r="B124" s="513"/>
      <c r="C124" s="513"/>
      <c r="D124" s="513"/>
      <c r="E124" s="513"/>
      <c r="F124" s="513"/>
      <c r="G124" s="513"/>
      <c r="H124" s="513"/>
      <c r="I124" s="513"/>
      <c r="J124" s="513"/>
      <c r="K124" s="513"/>
      <c r="L124" s="513"/>
      <c r="M124" s="513"/>
      <c r="N124" s="513"/>
      <c r="O124" s="513"/>
      <c r="P124" s="513"/>
      <c r="Q124" s="513"/>
      <c r="R124" s="513"/>
      <c r="S124" s="513"/>
      <c r="T124" s="513"/>
      <c r="U124" s="513"/>
      <c r="V124" s="513"/>
      <c r="W124" s="513"/>
      <c r="X124" s="513"/>
      <c r="Y124" s="513"/>
      <c r="Z124" s="513"/>
      <c r="AA124" s="513"/>
      <c r="AB124" s="513"/>
      <c r="AC124" s="513"/>
      <c r="AD124" s="513"/>
      <c r="AE124" s="513"/>
      <c r="AF124" s="513"/>
      <c r="AG124" s="513"/>
      <c r="AH124" s="513"/>
    </row>
    <row r="125" spans="1:34" x14ac:dyDescent="0.2">
      <c r="A125" s="513"/>
      <c r="B125" s="513"/>
      <c r="C125" s="513"/>
      <c r="D125" s="513"/>
      <c r="E125" s="513"/>
      <c r="F125" s="513"/>
      <c r="G125" s="513"/>
      <c r="H125" s="513"/>
      <c r="I125" s="513"/>
      <c r="J125" s="513"/>
      <c r="K125" s="513"/>
      <c r="L125" s="513"/>
      <c r="M125" s="513"/>
      <c r="N125" s="513"/>
      <c r="O125" s="513"/>
      <c r="P125" s="513"/>
      <c r="Q125" s="513"/>
      <c r="R125" s="513"/>
      <c r="S125" s="513"/>
      <c r="T125" s="513"/>
      <c r="U125" s="513"/>
      <c r="V125" s="513"/>
      <c r="W125" s="513"/>
      <c r="X125" s="513"/>
      <c r="Y125" s="513"/>
      <c r="Z125" s="513"/>
      <c r="AA125" s="513"/>
      <c r="AB125" s="513"/>
      <c r="AC125" s="513"/>
      <c r="AD125" s="513"/>
      <c r="AE125" s="513"/>
      <c r="AF125" s="513"/>
      <c r="AG125" s="513"/>
      <c r="AH125" s="513"/>
    </row>
    <row r="126" spans="1:34" x14ac:dyDescent="0.2">
      <c r="A126" s="513"/>
      <c r="B126" s="513"/>
      <c r="C126" s="513"/>
      <c r="D126" s="513"/>
      <c r="E126" s="513"/>
      <c r="F126" s="513"/>
      <c r="G126" s="513"/>
      <c r="H126" s="513"/>
      <c r="I126" s="513"/>
      <c r="J126" s="513"/>
      <c r="K126" s="513"/>
      <c r="L126" s="513"/>
      <c r="M126" s="513"/>
      <c r="N126" s="513"/>
      <c r="O126" s="513"/>
      <c r="P126" s="513"/>
      <c r="Q126" s="513"/>
      <c r="R126" s="513"/>
      <c r="S126" s="513"/>
      <c r="T126" s="513"/>
      <c r="U126" s="513"/>
      <c r="V126" s="513"/>
      <c r="W126" s="513"/>
      <c r="X126" s="513"/>
      <c r="Y126" s="513"/>
      <c r="Z126" s="513"/>
      <c r="AA126" s="513"/>
      <c r="AB126" s="513"/>
      <c r="AC126" s="513"/>
      <c r="AD126" s="513"/>
      <c r="AE126" s="513"/>
      <c r="AF126" s="513"/>
      <c r="AG126" s="513"/>
      <c r="AH126" s="513"/>
    </row>
    <row r="127" spans="1:34" x14ac:dyDescent="0.2">
      <c r="A127" s="513"/>
      <c r="B127" s="513"/>
      <c r="C127" s="513"/>
      <c r="D127" s="513"/>
      <c r="E127" s="513"/>
      <c r="F127" s="513"/>
      <c r="G127" s="513"/>
      <c r="H127" s="513"/>
      <c r="I127" s="513"/>
      <c r="J127" s="513"/>
      <c r="K127" s="513"/>
      <c r="L127" s="513"/>
      <c r="M127" s="513"/>
      <c r="N127" s="513"/>
      <c r="O127" s="513"/>
      <c r="P127" s="513"/>
      <c r="Q127" s="513"/>
      <c r="R127" s="513"/>
      <c r="S127" s="513"/>
      <c r="T127" s="513"/>
      <c r="U127" s="513"/>
      <c r="V127" s="513"/>
      <c r="W127" s="513"/>
      <c r="X127" s="513"/>
      <c r="Y127" s="513"/>
      <c r="Z127" s="513"/>
      <c r="AA127" s="513"/>
      <c r="AB127" s="513"/>
      <c r="AC127" s="513"/>
      <c r="AD127" s="513"/>
      <c r="AE127" s="513"/>
      <c r="AF127" s="513"/>
      <c r="AG127" s="513"/>
      <c r="AH127" s="513"/>
    </row>
    <row r="128" spans="1:34" x14ac:dyDescent="0.2">
      <c r="A128" s="513"/>
      <c r="B128" s="513"/>
      <c r="C128" s="513"/>
      <c r="D128" s="513"/>
      <c r="E128" s="513"/>
      <c r="F128" s="513"/>
      <c r="G128" s="513"/>
      <c r="H128" s="513"/>
      <c r="I128" s="513"/>
      <c r="J128" s="513"/>
      <c r="K128" s="513"/>
      <c r="L128" s="513"/>
      <c r="M128" s="513"/>
      <c r="N128" s="513"/>
      <c r="O128" s="513"/>
      <c r="P128" s="513"/>
      <c r="Q128" s="513"/>
      <c r="R128" s="513"/>
      <c r="S128" s="513"/>
      <c r="T128" s="513"/>
      <c r="U128" s="513"/>
      <c r="V128" s="513"/>
      <c r="W128" s="513"/>
      <c r="X128" s="513"/>
      <c r="Y128" s="513"/>
      <c r="Z128" s="513"/>
      <c r="AA128" s="513"/>
      <c r="AB128" s="513"/>
      <c r="AC128" s="513"/>
      <c r="AD128" s="513"/>
      <c r="AE128" s="513"/>
      <c r="AF128" s="513"/>
      <c r="AG128" s="513"/>
      <c r="AH128" s="513"/>
    </row>
    <row r="129" spans="1:14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</row>
    <row r="130" spans="1:14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</row>
    <row r="131" spans="1:14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</row>
    <row r="132" spans="1:14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</row>
    <row r="133" spans="1:14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</row>
    <row r="134" spans="1:14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</row>
    <row r="135" spans="1:14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</row>
    <row r="136" spans="1:14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</row>
    <row r="137" spans="1:14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</row>
    <row r="138" spans="1:14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</row>
    <row r="139" spans="1:14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</row>
    <row r="140" spans="1:14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</row>
    <row r="141" spans="1:14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</row>
    <row r="142" spans="1:14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</row>
    <row r="143" spans="1:14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</row>
    <row r="144" spans="1:14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</row>
    <row r="145" spans="1:14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</row>
    <row r="146" spans="1:14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</row>
    <row r="147" spans="1:14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</row>
    <row r="148" spans="1:14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</row>
    <row r="149" spans="1:14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</row>
    <row r="150" spans="1:14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</row>
    <row r="151" spans="1:14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</row>
    <row r="152" spans="1:14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</row>
    <row r="153" spans="1:14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</row>
    <row r="154" spans="1:14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</row>
    <row r="155" spans="1:14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</row>
    <row r="156" spans="1:14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</row>
    <row r="157" spans="1:14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</row>
    <row r="158" spans="1:14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</row>
    <row r="159" spans="1:14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</row>
    <row r="160" spans="1:14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</row>
    <row r="161" spans="1:14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</row>
    <row r="162" spans="1:14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</row>
    <row r="163" spans="1:14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</row>
    <row r="164" spans="1:14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</row>
    <row r="165" spans="1:14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</row>
    <row r="166" spans="1:14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</row>
    <row r="167" spans="1:14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</row>
    <row r="168" spans="1:14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</row>
    <row r="169" spans="1:14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</row>
    <row r="170" spans="1:14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</row>
    <row r="171" spans="1:14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</row>
    <row r="172" spans="1:14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</row>
    <row r="173" spans="1:14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</row>
    <row r="174" spans="1:14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</row>
    <row r="175" spans="1:14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</row>
    <row r="176" spans="1:14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</row>
    <row r="177" spans="1:14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</row>
    <row r="178" spans="1:14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</row>
    <row r="179" spans="1:14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</row>
    <row r="180" spans="1:14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</row>
    <row r="181" spans="1:14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</row>
    <row r="182" spans="1:14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</row>
    <row r="183" spans="1:14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</row>
    <row r="184" spans="1:14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</row>
    <row r="185" spans="1:14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</row>
    <row r="186" spans="1:14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</row>
    <row r="187" spans="1:14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</row>
    <row r="188" spans="1:14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</row>
    <row r="189" spans="1:14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</row>
    <row r="190" spans="1:14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</row>
    <row r="191" spans="1:14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</row>
    <row r="192" spans="1:14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</row>
    <row r="193" spans="1:14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</row>
    <row r="194" spans="1:14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</row>
    <row r="195" spans="1:14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</row>
    <row r="196" spans="1:14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</row>
    <row r="197" spans="1:14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</row>
    <row r="198" spans="1:14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</row>
    <row r="199" spans="1:14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</row>
    <row r="200" spans="1:14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</row>
    <row r="201" spans="1:14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</row>
    <row r="202" spans="1:14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</row>
    <row r="203" spans="1:14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</row>
    <row r="204" spans="1:14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</row>
    <row r="205" spans="1:14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</row>
    <row r="206" spans="1:14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</row>
    <row r="207" spans="1:14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</row>
    <row r="208" spans="1:14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</row>
    <row r="209" spans="1:14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</row>
    <row r="210" spans="1:14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</row>
    <row r="211" spans="1:14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</row>
    <row r="212" spans="1:14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</row>
    <row r="213" spans="1:14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</row>
    <row r="214" spans="1:14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</row>
    <row r="215" spans="1:14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</row>
    <row r="216" spans="1:14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</row>
    <row r="217" spans="1:14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</row>
    <row r="218" spans="1:14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</row>
    <row r="219" spans="1:14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</row>
    <row r="220" spans="1:14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</row>
    <row r="221" spans="1:14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</row>
    <row r="222" spans="1:14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</row>
    <row r="223" spans="1:14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</row>
    <row r="224" spans="1:14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</row>
    <row r="225" spans="1:14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</row>
    <row r="226" spans="1:14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</row>
    <row r="227" spans="1:14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</row>
    <row r="228" spans="1:14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</row>
    <row r="229" spans="1:14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</row>
    <row r="230" spans="1:14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</row>
    <row r="231" spans="1:14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</row>
    <row r="232" spans="1:14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</row>
    <row r="233" spans="1:14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</row>
    <row r="234" spans="1:14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</row>
    <row r="235" spans="1:14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</row>
    <row r="236" spans="1:14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</row>
    <row r="237" spans="1:14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</row>
    <row r="238" spans="1:14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</row>
    <row r="239" spans="1:14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</row>
    <row r="240" spans="1:14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</row>
    <row r="241" spans="1:14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</row>
    <row r="242" spans="1:14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</row>
    <row r="243" spans="1:14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</row>
    <row r="244" spans="1:14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</row>
    <row r="245" spans="1:14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</row>
    <row r="246" spans="1:14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</row>
    <row r="247" spans="1:14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</row>
    <row r="248" spans="1:14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</row>
    <row r="249" spans="1:14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</row>
    <row r="250" spans="1:14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</row>
    <row r="251" spans="1:14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</row>
    <row r="252" spans="1:14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</row>
    <row r="253" spans="1:14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</row>
    <row r="254" spans="1:14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</row>
    <row r="255" spans="1:14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</row>
    <row r="256" spans="1:14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</row>
    <row r="257" spans="1:14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</row>
    <row r="258" spans="1:14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</row>
    <row r="259" spans="1:14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</row>
    <row r="260" spans="1:14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</row>
    <row r="261" spans="1:14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</row>
    <row r="262" spans="1:14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</row>
    <row r="263" spans="1:14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</row>
    <row r="264" spans="1:14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</row>
    <row r="265" spans="1:14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</row>
    <row r="266" spans="1:14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</row>
    <row r="267" spans="1:14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</row>
    <row r="268" spans="1:14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</row>
    <row r="269" spans="1:14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</row>
    <row r="270" spans="1:14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</row>
    <row r="271" spans="1:14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</row>
    <row r="272" spans="1:14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</row>
    <row r="273" spans="1:14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</row>
    <row r="274" spans="1:14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</row>
    <row r="275" spans="1:14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</row>
    <row r="276" spans="1:14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</row>
    <row r="277" spans="1:14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</row>
    <row r="278" spans="1:14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</row>
    <row r="279" spans="1:14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</row>
    <row r="280" spans="1:14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</row>
    <row r="281" spans="1:14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</row>
    <row r="282" spans="1:14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</row>
    <row r="283" spans="1:14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</row>
    <row r="284" spans="1:14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</row>
    <row r="285" spans="1:14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</row>
    <row r="286" spans="1:14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</row>
    <row r="287" spans="1:14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</row>
    <row r="288" spans="1:14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</row>
    <row r="289" spans="1:14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</row>
    <row r="290" spans="1:14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</row>
    <row r="291" spans="1:14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</row>
    <row r="292" spans="1:14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</row>
    <row r="293" spans="1:14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</row>
    <row r="294" spans="1:14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</row>
    <row r="295" spans="1:14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</row>
    <row r="296" spans="1:14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</row>
    <row r="297" spans="1:14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</row>
    <row r="298" spans="1:14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</row>
    <row r="299" spans="1:14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</row>
    <row r="300" spans="1:14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</row>
    <row r="301" spans="1:14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</row>
    <row r="302" spans="1:14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</row>
    <row r="303" spans="1:14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</row>
    <row r="304" spans="1:14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</row>
    <row r="305" spans="1:14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</row>
    <row r="306" spans="1:14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</row>
    <row r="307" spans="1:14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</row>
    <row r="308" spans="1:14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</row>
    <row r="309" spans="1:14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</row>
    <row r="310" spans="1:14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</row>
    <row r="311" spans="1:14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</row>
    <row r="312" spans="1:14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</row>
    <row r="313" spans="1:14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</row>
    <row r="314" spans="1:14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</row>
    <row r="315" spans="1:14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</row>
    <row r="316" spans="1:14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</row>
    <row r="317" spans="1:14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</row>
    <row r="318" spans="1:14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</row>
    <row r="319" spans="1:14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</row>
    <row r="320" spans="1:14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</row>
    <row r="321" spans="1:14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</row>
    <row r="322" spans="1:14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</row>
    <row r="323" spans="1:14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</row>
    <row r="324" spans="1:14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</row>
    <row r="325" spans="1:14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</row>
    <row r="326" spans="1:14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</row>
    <row r="327" spans="1:14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</row>
    <row r="328" spans="1:14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</row>
    <row r="329" spans="1:14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</row>
    <row r="330" spans="1:14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</row>
    <row r="331" spans="1:14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</row>
    <row r="332" spans="1:14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</row>
    <row r="333" spans="1:14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</row>
    <row r="334" spans="1:14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</row>
    <row r="335" spans="1:14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</row>
    <row r="336" spans="1:14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</row>
    <row r="337" spans="1:14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</row>
    <row r="338" spans="1:14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</row>
    <row r="339" spans="1:14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</row>
    <row r="340" spans="1:14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</row>
    <row r="341" spans="1:14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</row>
    <row r="342" spans="1:14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</row>
    <row r="343" spans="1:14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</row>
    <row r="344" spans="1:14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</row>
    <row r="345" spans="1:14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</row>
    <row r="346" spans="1:14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</row>
    <row r="347" spans="1:14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</row>
    <row r="348" spans="1:14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</row>
    <row r="349" spans="1:14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</row>
    <row r="350" spans="1:14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</row>
    <row r="351" spans="1:14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</row>
    <row r="352" spans="1:14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</row>
    <row r="353" spans="1:14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</row>
    <row r="354" spans="1:14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</row>
    <row r="355" spans="1:14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</row>
    <row r="356" spans="1:14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</row>
    <row r="357" spans="1:14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</row>
    <row r="358" spans="1:14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</row>
    <row r="359" spans="1:14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</row>
    <row r="360" spans="1:14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</row>
    <row r="361" spans="1:14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</row>
    <row r="362" spans="1:14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</row>
    <row r="363" spans="1:14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</row>
    <row r="364" spans="1:14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</row>
    <row r="365" spans="1:14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</row>
    <row r="366" spans="1:14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</row>
    <row r="367" spans="1:14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</row>
    <row r="368" spans="1:14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</row>
    <row r="369" spans="1:14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</row>
    <row r="370" spans="1:14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</row>
    <row r="371" spans="1:14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</row>
    <row r="372" spans="1:14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</row>
    <row r="373" spans="1:14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</row>
    <row r="374" spans="1:14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</row>
    <row r="375" spans="1:14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</row>
    <row r="376" spans="1:14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</row>
    <row r="377" spans="1:14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</row>
    <row r="378" spans="1:14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</row>
    <row r="379" spans="1:14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</row>
    <row r="380" spans="1:14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</row>
    <row r="381" spans="1:14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</row>
    <row r="382" spans="1:14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</row>
    <row r="383" spans="1:14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</row>
    <row r="384" spans="1:14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</row>
    <row r="385" spans="1:14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</row>
    <row r="386" spans="1:14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</row>
    <row r="387" spans="1:14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</row>
    <row r="388" spans="1:14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</row>
    <row r="389" spans="1:14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</row>
    <row r="390" spans="1:14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</row>
    <row r="391" spans="1:14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</row>
    <row r="392" spans="1:14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</row>
    <row r="393" spans="1:14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</row>
    <row r="394" spans="1:14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</row>
    <row r="395" spans="1:14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</row>
    <row r="396" spans="1:14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</row>
    <row r="397" spans="1:14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</row>
    <row r="398" spans="1:14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</row>
    <row r="399" spans="1:14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</row>
    <row r="400" spans="1:14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</row>
    <row r="401" spans="1:14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</row>
    <row r="402" spans="1:14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</row>
    <row r="403" spans="1:14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</row>
    <row r="404" spans="1:14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</row>
    <row r="405" spans="1:14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</row>
    <row r="406" spans="1:14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</row>
    <row r="407" spans="1:14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</row>
    <row r="408" spans="1:14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</row>
    <row r="409" spans="1:14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</row>
    <row r="410" spans="1:14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</row>
    <row r="411" spans="1:14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</row>
    <row r="412" spans="1:14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</row>
    <row r="413" spans="1:14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</row>
    <row r="414" spans="1:14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</row>
    <row r="415" spans="1:14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</row>
    <row r="416" spans="1:14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</row>
    <row r="417" spans="1:14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</row>
    <row r="418" spans="1:14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</row>
    <row r="419" spans="1:14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</row>
    <row r="420" spans="1:14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</row>
    <row r="421" spans="1:14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</row>
    <row r="422" spans="1:14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</row>
    <row r="423" spans="1:14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</row>
    <row r="424" spans="1:14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</row>
    <row r="425" spans="1:14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</row>
    <row r="426" spans="1:14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</row>
    <row r="427" spans="1:14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</row>
    <row r="428" spans="1:14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</row>
    <row r="429" spans="1:14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</row>
    <row r="430" spans="1:14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</row>
    <row r="431" spans="1:14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</row>
    <row r="432" spans="1:14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</row>
    <row r="433" spans="1:14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</row>
    <row r="434" spans="1:14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</row>
    <row r="435" spans="1:14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</row>
    <row r="436" spans="1:14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</row>
    <row r="437" spans="1:14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</row>
    <row r="438" spans="1:14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</row>
    <row r="439" spans="1:14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</row>
    <row r="440" spans="1:14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</row>
    <row r="441" spans="1:14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</row>
    <row r="442" spans="1:14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</row>
    <row r="443" spans="1:14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</row>
    <row r="444" spans="1:14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</row>
    <row r="445" spans="1:14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</row>
    <row r="446" spans="1:14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</row>
    <row r="447" spans="1:14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</row>
    <row r="448" spans="1:14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</row>
    <row r="449" spans="1:14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</row>
  </sheetData>
  <mergeCells count="2">
    <mergeCell ref="N82:Q82"/>
    <mergeCell ref="M3:N3"/>
  </mergeCells>
  <phoneticPr fontId="0" type="noConversion"/>
  <printOptions horizontalCentered="1" verticalCentered="1"/>
  <pageMargins left="0.75" right="0.75" top="1" bottom="1" header="0" footer="0"/>
  <pageSetup paperSize="5" scale="55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J483"/>
  <sheetViews>
    <sheetView zoomScale="65" workbookViewId="0">
      <pane xSplit="1" ySplit="7" topLeftCell="I88" activePane="bottomRight" state="frozen"/>
      <selection pane="topRight" activeCell="B1" sqref="B1"/>
      <selection pane="bottomLeft" activeCell="A8" sqref="A8"/>
      <selection pane="bottomRight" activeCell="Q4" sqref="Q4"/>
    </sheetView>
  </sheetViews>
  <sheetFormatPr baseColWidth="10" defaultRowHeight="12" x14ac:dyDescent="0.2"/>
  <cols>
    <col min="1" max="1" width="48.42578125" style="525" bestFit="1" customWidth="1"/>
    <col min="2" max="2" width="15.28515625" style="526" customWidth="1"/>
    <col min="3" max="3" width="17.28515625" style="526" customWidth="1"/>
    <col min="4" max="10" width="15.28515625" style="526" customWidth="1"/>
    <col min="11" max="11" width="15.42578125" style="526" customWidth="1"/>
    <col min="12" max="13" width="15.28515625" style="526" customWidth="1"/>
    <col min="14" max="14" width="14.85546875" style="526" customWidth="1"/>
    <col min="15" max="15" width="15" style="513" customWidth="1"/>
    <col min="16" max="16" width="16.5703125" style="513" bestFit="1" customWidth="1"/>
    <col min="17" max="17" width="16.5703125" style="513" customWidth="1"/>
    <col min="18" max="18" width="14.7109375" style="513" bestFit="1" customWidth="1"/>
    <col min="19" max="19" width="11.42578125" style="513"/>
    <col min="20" max="20" width="40.5703125" style="513" customWidth="1"/>
    <col min="21" max="21" width="13.7109375" style="513" bestFit="1" customWidth="1"/>
    <col min="22" max="22" width="13.28515625" style="513" bestFit="1" customWidth="1"/>
    <col min="23" max="24" width="13.7109375" style="513" bestFit="1" customWidth="1"/>
    <col min="25" max="25" width="13.28515625" style="513" customWidth="1"/>
    <col min="26" max="26" width="12.85546875" style="513" customWidth="1"/>
    <col min="27" max="27" width="13.7109375" style="513" bestFit="1" customWidth="1"/>
    <col min="28" max="28" width="13.28515625" style="513" customWidth="1"/>
    <col min="29" max="29" width="13.140625" style="513" customWidth="1"/>
    <col min="30" max="30" width="13.28515625" style="513" customWidth="1"/>
    <col min="31" max="32" width="13.140625" style="513" customWidth="1"/>
    <col min="33" max="33" width="14.7109375" style="513" bestFit="1" customWidth="1"/>
    <col min="34" max="16384" width="11.42578125" style="513"/>
  </cols>
  <sheetData>
    <row r="1" spans="1:35" x14ac:dyDescent="0.2">
      <c r="A1" s="511" t="s">
        <v>0</v>
      </c>
      <c r="B1" s="512"/>
      <c r="C1" s="512"/>
      <c r="D1" s="512"/>
      <c r="E1" s="512"/>
      <c r="F1" s="512"/>
      <c r="G1" s="512"/>
      <c r="H1" s="512"/>
      <c r="I1" s="512"/>
      <c r="J1" s="512"/>
      <c r="K1" s="512"/>
      <c r="L1" s="512"/>
      <c r="M1" s="512"/>
      <c r="N1" s="512"/>
      <c r="T1" s="511" t="s">
        <v>0</v>
      </c>
      <c r="U1" s="514"/>
      <c r="V1" s="514"/>
      <c r="W1" s="514"/>
      <c r="X1" s="514"/>
      <c r="Y1" s="514"/>
      <c r="Z1" s="514"/>
      <c r="AA1" s="514"/>
      <c r="AB1" s="514"/>
      <c r="AC1" s="514"/>
      <c r="AD1" s="514"/>
      <c r="AE1" s="514"/>
      <c r="AF1" s="514"/>
      <c r="AG1" s="515"/>
      <c r="AH1" s="516"/>
      <c r="AI1" s="517"/>
    </row>
    <row r="2" spans="1:35" x14ac:dyDescent="0.2">
      <c r="A2" s="511"/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T2" s="518" t="s">
        <v>458</v>
      </c>
      <c r="U2" s="514"/>
      <c r="V2" s="514"/>
      <c r="W2" s="514"/>
      <c r="X2" s="514"/>
      <c r="Y2" s="514"/>
      <c r="Z2" s="514"/>
      <c r="AA2" s="514"/>
      <c r="AB2" s="514"/>
      <c r="AC2" s="514"/>
      <c r="AD2" s="514"/>
      <c r="AE2" s="514"/>
      <c r="AF2" s="514"/>
      <c r="AG2" s="515"/>
      <c r="AH2" s="516"/>
      <c r="AI2" s="517"/>
    </row>
    <row r="3" spans="1:35" ht="12.75" thickBot="1" x14ac:dyDescent="0.25">
      <c r="A3" s="511" t="s">
        <v>457</v>
      </c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2"/>
      <c r="N3" s="512"/>
      <c r="T3" s="520"/>
      <c r="U3" s="520"/>
      <c r="V3" s="520"/>
      <c r="W3" s="520"/>
      <c r="X3" s="520"/>
      <c r="Y3" s="520"/>
      <c r="Z3" s="520"/>
      <c r="AA3" s="520"/>
      <c r="AB3" s="520"/>
      <c r="AC3" s="520"/>
      <c r="AD3" s="520"/>
      <c r="AE3" s="521"/>
      <c r="AF3" s="521"/>
      <c r="AG3" s="522"/>
      <c r="AH3" s="523"/>
      <c r="AI3" s="524"/>
    </row>
    <row r="4" spans="1:35" ht="13.5" thickTop="1" thickBot="1" x14ac:dyDescent="0.25">
      <c r="T4" s="527"/>
      <c r="U4" s="528"/>
      <c r="V4" s="528"/>
      <c r="W4" s="528"/>
      <c r="X4" s="528"/>
      <c r="Y4" s="528"/>
      <c r="Z4" s="528"/>
      <c r="AA4" s="528"/>
      <c r="AB4" s="528"/>
      <c r="AC4" s="528"/>
      <c r="AD4" s="528"/>
      <c r="AE4" s="528"/>
      <c r="AF4" s="528"/>
      <c r="AG4" s="529"/>
      <c r="AH4" s="530"/>
    </row>
    <row r="5" spans="1:35" ht="12.75" thickTop="1" x14ac:dyDescent="0.2">
      <c r="A5" s="531"/>
      <c r="B5" s="532" t="s">
        <v>302</v>
      </c>
      <c r="C5" s="533" t="s">
        <v>303</v>
      </c>
      <c r="D5" s="533" t="s">
        <v>304</v>
      </c>
      <c r="E5" s="533" t="s">
        <v>305</v>
      </c>
      <c r="F5" s="533" t="s">
        <v>306</v>
      </c>
      <c r="G5" s="533" t="s">
        <v>307</v>
      </c>
      <c r="H5" s="533" t="s">
        <v>308</v>
      </c>
      <c r="I5" s="533" t="s">
        <v>309</v>
      </c>
      <c r="J5" s="533" t="s">
        <v>310</v>
      </c>
      <c r="K5" s="533" t="s">
        <v>311</v>
      </c>
      <c r="L5" s="533" t="s">
        <v>312</v>
      </c>
      <c r="M5" s="533" t="s">
        <v>313</v>
      </c>
      <c r="N5" s="534" t="s">
        <v>314</v>
      </c>
      <c r="T5" s="535" t="s">
        <v>5</v>
      </c>
      <c r="U5" s="536" t="s">
        <v>8</v>
      </c>
      <c r="V5" s="536" t="s">
        <v>9</v>
      </c>
      <c r="W5" s="536" t="s">
        <v>10</v>
      </c>
      <c r="X5" s="536" t="s">
        <v>11</v>
      </c>
      <c r="Y5" s="536" t="s">
        <v>12</v>
      </c>
      <c r="Z5" s="536" t="s">
        <v>13</v>
      </c>
      <c r="AA5" s="536" t="s">
        <v>14</v>
      </c>
      <c r="AB5" s="536" t="s">
        <v>15</v>
      </c>
      <c r="AC5" s="536" t="s">
        <v>16</v>
      </c>
      <c r="AD5" s="536" t="s">
        <v>17</v>
      </c>
      <c r="AE5" s="536" t="s">
        <v>18</v>
      </c>
      <c r="AF5" s="536" t="s">
        <v>19</v>
      </c>
      <c r="AG5" s="537" t="s">
        <v>6</v>
      </c>
      <c r="AH5" s="538" t="s">
        <v>7</v>
      </c>
    </row>
    <row r="6" spans="1:35" x14ac:dyDescent="0.2">
      <c r="A6" s="539" t="s">
        <v>5</v>
      </c>
      <c r="B6" s="540">
        <v>2010</v>
      </c>
      <c r="C6" s="540">
        <v>2011</v>
      </c>
      <c r="D6" s="540">
        <v>2011</v>
      </c>
      <c r="E6" s="540">
        <v>2011</v>
      </c>
      <c r="F6" s="540">
        <v>2011</v>
      </c>
      <c r="G6" s="540">
        <v>2011</v>
      </c>
      <c r="H6" s="540">
        <v>2011</v>
      </c>
      <c r="I6" s="540">
        <v>2011</v>
      </c>
      <c r="J6" s="540">
        <v>2011</v>
      </c>
      <c r="K6" s="540">
        <v>2011</v>
      </c>
      <c r="L6" s="540">
        <v>2011</v>
      </c>
      <c r="M6" s="540">
        <v>2011</v>
      </c>
      <c r="N6" s="689">
        <v>2011</v>
      </c>
      <c r="T6" s="541"/>
      <c r="U6" s="542"/>
      <c r="V6" s="542"/>
      <c r="W6" s="542"/>
      <c r="X6" s="542"/>
      <c r="Y6" s="542"/>
      <c r="Z6" s="542"/>
      <c r="AA6" s="542"/>
      <c r="AB6" s="542"/>
      <c r="AC6" s="542"/>
      <c r="AD6" s="542"/>
      <c r="AE6" s="542"/>
      <c r="AF6" s="542"/>
      <c r="AG6" s="543"/>
      <c r="AH6" s="544"/>
    </row>
    <row r="7" spans="1:35" x14ac:dyDescent="0.2">
      <c r="A7" s="545"/>
      <c r="B7" s="546"/>
      <c r="C7" s="546"/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7"/>
      <c r="T7" s="541" t="s">
        <v>315</v>
      </c>
      <c r="U7" s="548">
        <f>+Edo.Res.detalle!D7</f>
        <v>1020986.6939006819</v>
      </c>
      <c r="V7" s="548">
        <f>+Edo.Res.detalle!E7</f>
        <v>996883.34041970607</v>
      </c>
      <c r="W7" s="548">
        <f>+Edo.Res.detalle!F7</f>
        <v>1030730.7247940875</v>
      </c>
      <c r="X7" s="548">
        <f>+Edo.Res.detalle!G7</f>
        <v>1087935.9750019161</v>
      </c>
      <c r="Y7" s="548">
        <f>+Edo.Res.detalle!H7</f>
        <v>1049254.3221196637</v>
      </c>
      <c r="Z7" s="548">
        <f>+Edo.Res.detalle!I7</f>
        <v>1054343.2489207881</v>
      </c>
      <c r="AA7" s="548">
        <f>+Edo.Res.detalle!J7</f>
        <v>1138111.0763286571</v>
      </c>
      <c r="AB7" s="548">
        <f>+Edo.Res.detalle!K7</f>
        <v>1114598.7125952805</v>
      </c>
      <c r="AC7" s="548">
        <f>+Edo.Res.detalle!L7</f>
        <v>986410.97257109336</v>
      </c>
      <c r="AD7" s="548">
        <f>+Edo.Res.detalle!M7</f>
        <v>1273766.0226313123</v>
      </c>
      <c r="AE7" s="548">
        <f>+Edo.Res.detalle!N7</f>
        <v>1132239.0129527182</v>
      </c>
      <c r="AF7" s="548">
        <f>+Edo.Res.detalle!O7</f>
        <v>1132204.609666772</v>
      </c>
      <c r="AG7" s="550">
        <f>SUM(U7:AF7)</f>
        <v>13017464.711902676</v>
      </c>
      <c r="AH7" s="551"/>
    </row>
    <row r="8" spans="1:35" x14ac:dyDescent="0.2">
      <c r="A8" s="552" t="s">
        <v>316</v>
      </c>
      <c r="B8" s="546"/>
      <c r="C8" s="546"/>
      <c r="D8" s="546"/>
      <c r="E8" s="546"/>
      <c r="F8" s="546"/>
      <c r="G8" s="546"/>
      <c r="H8" s="546"/>
      <c r="I8" s="546"/>
      <c r="J8" s="546"/>
      <c r="K8" s="546"/>
      <c r="L8" s="546"/>
      <c r="M8" s="546"/>
      <c r="N8" s="547"/>
      <c r="T8" s="541" t="s">
        <v>317</v>
      </c>
      <c r="U8" s="548">
        <f>+Edo.Res.detalle!D9</f>
        <v>3120.3155518644166</v>
      </c>
      <c r="V8" s="548">
        <f>+Edo.Res.detalle!E9</f>
        <v>3046.6525641229427</v>
      </c>
      <c r="W8" s="548">
        <f>+Edo.Res.detalle!F9</f>
        <v>3150.0947695131053</v>
      </c>
      <c r="X8" s="548">
        <f>+Edo.Res.detalle!G9</f>
        <v>3324.9247366542872</v>
      </c>
      <c r="Y8" s="548">
        <f>+Edo.Res.detalle!H9</f>
        <v>3206.7038907274259</v>
      </c>
      <c r="Z8" s="548">
        <f>+Edo.Res.detalle!I9</f>
        <v>3222.2612715089431</v>
      </c>
      <c r="AA8" s="548">
        <f>+Edo.Res.detalle!J9</f>
        <v>3478.2700248796141</v>
      </c>
      <c r="AB8" s="548">
        <f>+Edo.Res.detalle!K9</f>
        <v>3406.4142726098403</v>
      </c>
      <c r="AC8" s="548">
        <f>+Edo.Res.detalle!L9</f>
        <v>3014.6461058391214</v>
      </c>
      <c r="AD8" s="548">
        <f>+Edo.Res.detalle!M9</f>
        <v>3892.8549226845448</v>
      </c>
      <c r="AE8" s="548">
        <f>+Edo.Res.detalle!N9</f>
        <v>3460.3222883999988</v>
      </c>
      <c r="AF8" s="548">
        <f>+Edo.Res.detalle!O9</f>
        <v>3460.2304672145542</v>
      </c>
      <c r="AG8" s="550">
        <f>SUM(U8:AF8)</f>
        <v>39783.690866018791</v>
      </c>
      <c r="AH8" s="551"/>
    </row>
    <row r="9" spans="1:35" x14ac:dyDescent="0.2">
      <c r="A9" s="545"/>
      <c r="B9" s="546"/>
      <c r="C9" s="546"/>
      <c r="D9" s="546"/>
      <c r="E9" s="546"/>
      <c r="F9" s="546"/>
      <c r="G9" s="546"/>
      <c r="H9" s="546"/>
      <c r="I9" s="546"/>
      <c r="J9" s="546"/>
      <c r="K9" s="546"/>
      <c r="L9" s="546"/>
      <c r="M9" s="546"/>
      <c r="N9" s="547"/>
      <c r="T9" s="541"/>
      <c r="U9" s="553"/>
      <c r="V9" s="553"/>
      <c r="W9" s="553"/>
      <c r="X9" s="553"/>
      <c r="Y9" s="553"/>
      <c r="Z9" s="553"/>
      <c r="AA9" s="553"/>
      <c r="AB9" s="553"/>
      <c r="AC9" s="553"/>
      <c r="AD9" s="553"/>
      <c r="AE9" s="553"/>
      <c r="AF9" s="553"/>
      <c r="AG9" s="554"/>
      <c r="AH9" s="551"/>
    </row>
    <row r="10" spans="1:35" x14ac:dyDescent="0.2">
      <c r="A10" s="552" t="s">
        <v>318</v>
      </c>
      <c r="B10" s="546"/>
      <c r="C10" s="546"/>
      <c r="D10" s="546"/>
      <c r="E10" s="546"/>
      <c r="F10" s="546"/>
      <c r="G10" s="546"/>
      <c r="H10" s="546"/>
      <c r="I10" s="546"/>
      <c r="J10" s="546"/>
      <c r="K10" s="546"/>
      <c r="L10" s="546"/>
      <c r="M10" s="546"/>
      <c r="N10" s="547"/>
      <c r="T10" s="555" t="s">
        <v>319</v>
      </c>
      <c r="U10" s="553"/>
      <c r="V10" s="553"/>
      <c r="W10" s="556"/>
      <c r="X10" s="553"/>
      <c r="Y10" s="553"/>
      <c r="Z10" s="553"/>
      <c r="AA10" s="553"/>
      <c r="AB10" s="553"/>
      <c r="AC10" s="553"/>
      <c r="AD10" s="553"/>
      <c r="AE10" s="553"/>
      <c r="AF10" s="553"/>
      <c r="AG10" s="554"/>
      <c r="AH10" s="551"/>
    </row>
    <row r="11" spans="1:35" x14ac:dyDescent="0.2">
      <c r="A11" s="545" t="s">
        <v>320</v>
      </c>
      <c r="B11" s="546">
        <f>+'ronoa(2010)'!N11</f>
        <v>1219878</v>
      </c>
      <c r="C11" s="546">
        <f>+balance_detalle!C11</f>
        <v>26997998.504102048</v>
      </c>
      <c r="D11" s="546">
        <f>+balance_detalle!D11</f>
        <v>33953343.202969611</v>
      </c>
      <c r="E11" s="546">
        <f>+balance_detalle!E11</f>
        <v>40425075.288179494</v>
      </c>
      <c r="F11" s="546">
        <f>+balance_detalle!F11</f>
        <v>43301135.109788977</v>
      </c>
      <c r="G11" s="546">
        <f>+balance_detalle!G11</f>
        <v>34558089.012430593</v>
      </c>
      <c r="H11" s="546">
        <f>+balance_detalle!H11</f>
        <v>30908614.352135938</v>
      </c>
      <c r="I11" s="546">
        <f>+balance_detalle!I11</f>
        <v>21447655.177665148</v>
      </c>
      <c r="J11" s="546">
        <f>+balance_detalle!J11</f>
        <v>22500668.07923843</v>
      </c>
      <c r="K11" s="546">
        <f>+balance_detalle!K11</f>
        <v>31270372.099338941</v>
      </c>
      <c r="L11" s="546">
        <f>+balance_detalle!L11</f>
        <v>34822981.832508355</v>
      </c>
      <c r="M11" s="546">
        <f>+balance_detalle!M11</f>
        <v>40819447.012222223</v>
      </c>
      <c r="N11" s="690">
        <f>+balance_detalle!N11</f>
        <v>45059649.320373081</v>
      </c>
      <c r="O11" s="557"/>
      <c r="T11" s="541" t="s">
        <v>321</v>
      </c>
      <c r="U11" s="549">
        <f>+Edo.Res.detalle!D16</f>
        <v>24895038.528804429</v>
      </c>
      <c r="V11" s="549">
        <f>+Edo.Res.detalle!E16</f>
        <v>25246672.129938908</v>
      </c>
      <c r="W11" s="549">
        <f>+Edo.Res.detalle!F16</f>
        <v>26103872.654077869</v>
      </c>
      <c r="X11" s="549">
        <f>+Edo.Res.detalle!G16</f>
        <v>27552632.082968466</v>
      </c>
      <c r="Y11" s="549">
        <f>+Edo.Res.detalle!H16</f>
        <v>26572986.006645367</v>
      </c>
      <c r="Z11" s="549">
        <f>+Edo.Res.detalle!I16</f>
        <v>26701882.528764393</v>
      </c>
      <c r="AA11" s="549">
        <f>+Edo.Res.detalle!J16</f>
        <v>29307796.170173898</v>
      </c>
      <c r="AB11" s="549">
        <f>+Edo.Res.detalle!K16</f>
        <v>28702331.528790288</v>
      </c>
      <c r="AC11" s="549">
        <f>+Edo.Res.detalle!L16</f>
        <v>25401321.796852015</v>
      </c>
      <c r="AD11" s="549">
        <f>+Edo.Res.detalle!M16</f>
        <v>32801079.302175313</v>
      </c>
      <c r="AE11" s="549">
        <f>+Edo.Res.detalle!N16</f>
        <v>29156576.823983856</v>
      </c>
      <c r="AF11" s="549">
        <f>+Edo.Res.detalle!O16</f>
        <v>29155741.326305553</v>
      </c>
      <c r="AG11" s="550">
        <f t="shared" ref="AG11:AG18" si="0">SUM(U11:AF11)</f>
        <v>331597930.87948036</v>
      </c>
      <c r="AH11" s="551" t="e">
        <f t="shared" ref="AH11:AH18" si="1">(AG11/$AG$20)*100</f>
        <v>#REF!</v>
      </c>
    </row>
    <row r="12" spans="1:35" x14ac:dyDescent="0.2">
      <c r="A12" s="545" t="s">
        <v>414</v>
      </c>
      <c r="B12" s="546">
        <f>+'ronoa(2010)'!N12</f>
        <v>18251190</v>
      </c>
      <c r="C12" s="546">
        <f>+balance_detalle!C12</f>
        <v>50467936.365535975</v>
      </c>
      <c r="D12" s="546">
        <f>+balance_detalle!D12</f>
        <v>48046599.204650894</v>
      </c>
      <c r="E12" s="546">
        <f>+balance_detalle!E12</f>
        <v>40522495.402851619</v>
      </c>
      <c r="F12" s="546">
        <f>+balance_detalle!F12</f>
        <v>37682731.135115199</v>
      </c>
      <c r="G12" s="546">
        <f>+balance_detalle!G12</f>
        <v>34387854.50832215</v>
      </c>
      <c r="H12" s="546">
        <f>+balance_detalle!H12</f>
        <v>34327999.876046769</v>
      </c>
      <c r="I12" s="546">
        <f>+balance_detalle!I12</f>
        <v>35523114.1462918</v>
      </c>
      <c r="J12" s="546">
        <f>+balance_detalle!J12</f>
        <v>35242951.16496563</v>
      </c>
      <c r="K12" s="546">
        <f>+balance_detalle!K12</f>
        <v>34154124.656473063</v>
      </c>
      <c r="L12" s="546">
        <f>+balance_detalle!L12</f>
        <v>36571099.08589223</v>
      </c>
      <c r="M12" s="546">
        <f>+balance_detalle!M12</f>
        <v>33163455.575701535</v>
      </c>
      <c r="N12" s="690">
        <f>+balance_detalle!N12</f>
        <v>33412153.104220219</v>
      </c>
      <c r="O12" s="557"/>
      <c r="T12" s="541" t="s">
        <v>322</v>
      </c>
      <c r="U12" s="549">
        <f>+Edo.Res.detalle!D17</f>
        <v>0</v>
      </c>
      <c r="V12" s="549">
        <f>+Edo.Res.detalle!E17</f>
        <v>0</v>
      </c>
      <c r="W12" s="549">
        <f>+Edo.Res.detalle!F17</f>
        <v>0</v>
      </c>
      <c r="X12" s="549">
        <f>+Edo.Res.detalle!G17</f>
        <v>0</v>
      </c>
      <c r="Y12" s="549">
        <f>+Edo.Res.detalle!H17</f>
        <v>0</v>
      </c>
      <c r="Z12" s="549">
        <f>+Edo.Res.detalle!I17</f>
        <v>0</v>
      </c>
      <c r="AA12" s="549">
        <f>+Edo.Res.detalle!J17</f>
        <v>0</v>
      </c>
      <c r="AB12" s="549">
        <f>+Edo.Res.detalle!K17</f>
        <v>0</v>
      </c>
      <c r="AC12" s="549">
        <f>+Edo.Res.detalle!L17</f>
        <v>0</v>
      </c>
      <c r="AD12" s="549">
        <f>+Edo.Res.detalle!M17</f>
        <v>0</v>
      </c>
      <c r="AE12" s="549">
        <f>+Edo.Res.detalle!N17</f>
        <v>0</v>
      </c>
      <c r="AF12" s="549">
        <f>+Edo.Res.detalle!O17</f>
        <v>0</v>
      </c>
      <c r="AG12" s="550">
        <f t="shared" si="0"/>
        <v>0</v>
      </c>
      <c r="AH12" s="551" t="e">
        <f t="shared" si="1"/>
        <v>#REF!</v>
      </c>
    </row>
    <row r="13" spans="1:35" x14ac:dyDescent="0.2">
      <c r="A13" s="545" t="s">
        <v>415</v>
      </c>
      <c r="B13" s="546">
        <f>+'ronoa(2010)'!N13</f>
        <v>2499321</v>
      </c>
      <c r="C13" s="546"/>
      <c r="D13" s="546"/>
      <c r="E13" s="546"/>
      <c r="F13" s="546"/>
      <c r="G13" s="546"/>
      <c r="H13" s="546"/>
      <c r="I13" s="546"/>
      <c r="J13" s="546"/>
      <c r="K13" s="546"/>
      <c r="L13" s="546"/>
      <c r="M13" s="546"/>
      <c r="N13" s="547"/>
      <c r="O13" s="557"/>
      <c r="T13" s="541" t="s">
        <v>323</v>
      </c>
      <c r="U13" s="549">
        <v>0</v>
      </c>
      <c r="V13" s="549">
        <v>0</v>
      </c>
      <c r="W13" s="549">
        <v>0</v>
      </c>
      <c r="X13" s="549">
        <v>0</v>
      </c>
      <c r="Y13" s="549">
        <v>0</v>
      </c>
      <c r="Z13" s="549">
        <v>0</v>
      </c>
      <c r="AA13" s="549">
        <v>0</v>
      </c>
      <c r="AB13" s="549">
        <v>0</v>
      </c>
      <c r="AC13" s="549">
        <v>0</v>
      </c>
      <c r="AD13" s="549">
        <v>0</v>
      </c>
      <c r="AE13" s="549">
        <v>0</v>
      </c>
      <c r="AF13" s="549">
        <v>0</v>
      </c>
      <c r="AG13" s="550">
        <f t="shared" si="0"/>
        <v>0</v>
      </c>
      <c r="AH13" s="551" t="e">
        <f t="shared" si="1"/>
        <v>#REF!</v>
      </c>
    </row>
    <row r="14" spans="1:35" x14ac:dyDescent="0.2">
      <c r="A14" s="545" t="s">
        <v>416</v>
      </c>
      <c r="B14" s="546">
        <f>+'ronoa(2010)'!N14</f>
        <v>3004567</v>
      </c>
      <c r="C14" s="546"/>
      <c r="D14" s="546"/>
      <c r="E14" s="546"/>
      <c r="F14" s="546"/>
      <c r="G14" s="546"/>
      <c r="H14" s="546"/>
      <c r="I14" s="546"/>
      <c r="J14" s="546"/>
      <c r="K14" s="546"/>
      <c r="L14" s="546"/>
      <c r="M14" s="546"/>
      <c r="N14" s="547"/>
      <c r="O14" s="557"/>
      <c r="T14" s="541" t="s">
        <v>410</v>
      </c>
      <c r="U14" s="549" t="e">
        <f>+Edo.Res.detalle!#REF!</f>
        <v>#REF!</v>
      </c>
      <c r="V14" s="549" t="e">
        <f>+Edo.Res.detalle!#REF!</f>
        <v>#REF!</v>
      </c>
      <c r="W14" s="549" t="e">
        <f>+Edo.Res.detalle!#REF!</f>
        <v>#REF!</v>
      </c>
      <c r="X14" s="549" t="e">
        <f>+Edo.Res.detalle!#REF!</f>
        <v>#REF!</v>
      </c>
      <c r="Y14" s="549" t="e">
        <f>+Edo.Res.detalle!#REF!</f>
        <v>#REF!</v>
      </c>
      <c r="Z14" s="549" t="e">
        <f>+Edo.Res.detalle!#REF!</f>
        <v>#REF!</v>
      </c>
      <c r="AA14" s="549" t="e">
        <f>+Edo.Res.detalle!#REF!</f>
        <v>#REF!</v>
      </c>
      <c r="AB14" s="549" t="e">
        <f>+Edo.Res.detalle!#REF!</f>
        <v>#REF!</v>
      </c>
      <c r="AC14" s="549" t="e">
        <f>+Edo.Res.detalle!#REF!</f>
        <v>#REF!</v>
      </c>
      <c r="AD14" s="549" t="e">
        <f>+Edo.Res.detalle!#REF!</f>
        <v>#REF!</v>
      </c>
      <c r="AE14" s="549" t="e">
        <f>+Edo.Res.detalle!#REF!</f>
        <v>#REF!</v>
      </c>
      <c r="AF14" s="549" t="e">
        <f>+Edo.Res.detalle!#REF!</f>
        <v>#REF!</v>
      </c>
      <c r="AG14" s="550" t="e">
        <f t="shared" si="0"/>
        <v>#REF!</v>
      </c>
      <c r="AH14" s="551" t="e">
        <f t="shared" si="1"/>
        <v>#REF!</v>
      </c>
    </row>
    <row r="15" spans="1:35" x14ac:dyDescent="0.2">
      <c r="A15" s="691"/>
      <c r="B15" s="657"/>
      <c r="C15" s="546"/>
      <c r="D15" s="546"/>
      <c r="E15" s="546"/>
      <c r="F15" s="546"/>
      <c r="G15" s="546"/>
      <c r="H15" s="546"/>
      <c r="I15" s="546"/>
      <c r="J15" s="546"/>
      <c r="K15" s="546"/>
      <c r="L15" s="546"/>
      <c r="M15" s="546"/>
      <c r="N15" s="547"/>
      <c r="O15" s="557"/>
      <c r="T15" s="541" t="s">
        <v>326</v>
      </c>
      <c r="U15" s="549">
        <v>0</v>
      </c>
      <c r="V15" s="549">
        <v>0</v>
      </c>
      <c r="W15" s="549">
        <v>0</v>
      </c>
      <c r="X15" s="549">
        <v>0</v>
      </c>
      <c r="Y15" s="549">
        <v>0</v>
      </c>
      <c r="Z15" s="549">
        <v>0</v>
      </c>
      <c r="AA15" s="549">
        <v>0</v>
      </c>
      <c r="AB15" s="549">
        <v>0</v>
      </c>
      <c r="AC15" s="549">
        <v>0</v>
      </c>
      <c r="AD15" s="549">
        <v>0</v>
      </c>
      <c r="AE15" s="549">
        <v>0</v>
      </c>
      <c r="AF15" s="549">
        <v>0</v>
      </c>
      <c r="AG15" s="550">
        <f t="shared" si="0"/>
        <v>0</v>
      </c>
      <c r="AH15" s="551" t="e">
        <f t="shared" si="1"/>
        <v>#REF!</v>
      </c>
    </row>
    <row r="16" spans="1:35" x14ac:dyDescent="0.2">
      <c r="A16" s="552" t="s">
        <v>324</v>
      </c>
      <c r="B16" s="546"/>
      <c r="C16" s="546"/>
      <c r="D16" s="546"/>
      <c r="E16" s="546"/>
      <c r="F16" s="546"/>
      <c r="G16" s="546"/>
      <c r="H16" s="546"/>
      <c r="I16" s="546"/>
      <c r="J16" s="546"/>
      <c r="K16" s="546"/>
      <c r="L16" s="546"/>
      <c r="M16" s="546"/>
      <c r="N16" s="547"/>
      <c r="O16" s="557"/>
      <c r="T16" s="541" t="s">
        <v>327</v>
      </c>
      <c r="U16" s="549">
        <v>0</v>
      </c>
      <c r="V16" s="549">
        <v>0</v>
      </c>
      <c r="W16" s="549">
        <v>0</v>
      </c>
      <c r="X16" s="549">
        <v>0</v>
      </c>
      <c r="Y16" s="549">
        <v>0</v>
      </c>
      <c r="Z16" s="549">
        <v>0</v>
      </c>
      <c r="AA16" s="549">
        <v>0</v>
      </c>
      <c r="AB16" s="549">
        <v>0</v>
      </c>
      <c r="AC16" s="549">
        <v>0</v>
      </c>
      <c r="AD16" s="549">
        <v>0</v>
      </c>
      <c r="AE16" s="549">
        <v>0</v>
      </c>
      <c r="AF16" s="549">
        <v>0</v>
      </c>
      <c r="AG16" s="550">
        <f t="shared" si="0"/>
        <v>0</v>
      </c>
      <c r="AH16" s="551" t="e">
        <f t="shared" si="1"/>
        <v>#REF!</v>
      </c>
    </row>
    <row r="17" spans="1:35" x14ac:dyDescent="0.2">
      <c r="A17" s="545" t="s">
        <v>325</v>
      </c>
      <c r="B17" s="546">
        <f>+'ronoa(2010)'!N18</f>
        <v>3325621</v>
      </c>
      <c r="C17" s="546">
        <f>+balance_detalle!C16</f>
        <v>8170291</v>
      </c>
      <c r="D17" s="546">
        <f>+balance_detalle!D16</f>
        <v>8470291</v>
      </c>
      <c r="E17" s="546">
        <f>+balance_detalle!E16</f>
        <v>8120291</v>
      </c>
      <c r="F17" s="546">
        <f>+balance_detalle!F16</f>
        <v>7770291</v>
      </c>
      <c r="G17" s="546">
        <f>+balance_detalle!G16</f>
        <v>8120291</v>
      </c>
      <c r="H17" s="546">
        <f>+balance_detalle!H16</f>
        <v>7820291</v>
      </c>
      <c r="I17" s="546">
        <f>+balance_detalle!I16</f>
        <v>8120291</v>
      </c>
      <c r="J17" s="546">
        <f>+balance_detalle!J16</f>
        <v>8420291</v>
      </c>
      <c r="K17" s="546">
        <f>+balance_detalle!K16</f>
        <v>8270291</v>
      </c>
      <c r="L17" s="546">
        <f>+balance_detalle!L16</f>
        <v>8090291</v>
      </c>
      <c r="M17" s="546">
        <f>+balance_detalle!M16</f>
        <v>8270291</v>
      </c>
      <c r="N17" s="690">
        <f>+balance_detalle!N16</f>
        <v>8450291</v>
      </c>
      <c r="O17" s="557"/>
      <c r="T17" s="541" t="s">
        <v>328</v>
      </c>
      <c r="U17" s="549">
        <v>0</v>
      </c>
      <c r="V17" s="549">
        <v>0</v>
      </c>
      <c r="W17" s="549">
        <v>0</v>
      </c>
      <c r="X17" s="549">
        <v>0</v>
      </c>
      <c r="Y17" s="549">
        <v>0</v>
      </c>
      <c r="Z17" s="549">
        <v>0</v>
      </c>
      <c r="AA17" s="549">
        <v>0</v>
      </c>
      <c r="AB17" s="549">
        <v>0</v>
      </c>
      <c r="AC17" s="549">
        <v>0</v>
      </c>
      <c r="AD17" s="549">
        <v>0</v>
      </c>
      <c r="AE17" s="549">
        <v>0</v>
      </c>
      <c r="AF17" s="549">
        <v>0</v>
      </c>
      <c r="AG17" s="550">
        <f t="shared" si="0"/>
        <v>0</v>
      </c>
      <c r="AH17" s="551" t="e">
        <f t="shared" si="1"/>
        <v>#REF!</v>
      </c>
    </row>
    <row r="18" spans="1:35" x14ac:dyDescent="0.2">
      <c r="A18" s="545"/>
      <c r="B18" s="546"/>
      <c r="C18" s="546"/>
      <c r="D18" s="546"/>
      <c r="E18" s="546"/>
      <c r="F18" s="546"/>
      <c r="G18" s="546"/>
      <c r="H18" s="546"/>
      <c r="I18" s="546"/>
      <c r="J18" s="546"/>
      <c r="K18" s="546"/>
      <c r="L18" s="546"/>
      <c r="M18" s="546"/>
      <c r="N18" s="547"/>
      <c r="O18" s="557"/>
      <c r="T18" s="541" t="s">
        <v>329</v>
      </c>
      <c r="U18" s="549">
        <v>0</v>
      </c>
      <c r="V18" s="549">
        <v>0</v>
      </c>
      <c r="W18" s="549">
        <v>0</v>
      </c>
      <c r="X18" s="549">
        <v>0</v>
      </c>
      <c r="Y18" s="549">
        <v>0</v>
      </c>
      <c r="Z18" s="549">
        <v>0</v>
      </c>
      <c r="AA18" s="549">
        <v>0</v>
      </c>
      <c r="AB18" s="549">
        <v>0</v>
      </c>
      <c r="AC18" s="549">
        <v>0</v>
      </c>
      <c r="AD18" s="549">
        <v>0</v>
      </c>
      <c r="AE18" s="549">
        <v>0</v>
      </c>
      <c r="AF18" s="549">
        <v>0</v>
      </c>
      <c r="AG18" s="550">
        <f t="shared" si="0"/>
        <v>0</v>
      </c>
      <c r="AH18" s="551" t="e">
        <f t="shared" si="1"/>
        <v>#REF!</v>
      </c>
    </row>
    <row r="19" spans="1:35" x14ac:dyDescent="0.2">
      <c r="A19" s="552" t="s">
        <v>61</v>
      </c>
      <c r="B19" s="558">
        <f>SUM(B11:B17)</f>
        <v>28300577</v>
      </c>
      <c r="C19" s="558">
        <f t="shared" ref="C19:N19" si="2">SUM(C11:C17)</f>
        <v>85636225.869638026</v>
      </c>
      <c r="D19" s="558">
        <f t="shared" si="2"/>
        <v>90470233.407620504</v>
      </c>
      <c r="E19" s="558">
        <f t="shared" si="2"/>
        <v>89067861.691031113</v>
      </c>
      <c r="F19" s="558">
        <f t="shared" si="2"/>
        <v>88754157.244904175</v>
      </c>
      <c r="G19" s="558">
        <f t="shared" si="2"/>
        <v>77066234.520752743</v>
      </c>
      <c r="H19" s="558">
        <f t="shared" si="2"/>
        <v>73056905.228182703</v>
      </c>
      <c r="I19" s="558">
        <f t="shared" si="2"/>
        <v>65091060.323956951</v>
      </c>
      <c r="J19" s="558">
        <f t="shared" si="2"/>
        <v>66163910.244204059</v>
      </c>
      <c r="K19" s="558">
        <f t="shared" si="2"/>
        <v>73694787.755812004</v>
      </c>
      <c r="L19" s="558">
        <f t="shared" si="2"/>
        <v>79484371.918400586</v>
      </c>
      <c r="M19" s="558">
        <f t="shared" si="2"/>
        <v>82253193.587923765</v>
      </c>
      <c r="N19" s="692">
        <f t="shared" si="2"/>
        <v>86922093.4245933</v>
      </c>
      <c r="O19" s="557"/>
      <c r="T19" s="555"/>
      <c r="U19" s="553"/>
      <c r="V19" s="553"/>
      <c r="W19" s="553"/>
      <c r="X19" s="553"/>
      <c r="Y19" s="553"/>
      <c r="Z19" s="553"/>
      <c r="AA19" s="553"/>
      <c r="AB19" s="553"/>
      <c r="AC19" s="553"/>
      <c r="AD19" s="553"/>
      <c r="AE19" s="553"/>
      <c r="AF19" s="553"/>
      <c r="AG19" s="554"/>
      <c r="AH19" s="551"/>
    </row>
    <row r="20" spans="1:35" x14ac:dyDescent="0.2">
      <c r="A20" s="545"/>
      <c r="B20" s="546"/>
      <c r="C20" s="546"/>
      <c r="D20" s="546"/>
      <c r="E20" s="546"/>
      <c r="F20" s="546"/>
      <c r="G20" s="546"/>
      <c r="H20" s="546"/>
      <c r="I20" s="546"/>
      <c r="J20" s="546"/>
      <c r="K20" s="546"/>
      <c r="L20" s="546"/>
      <c r="M20" s="546"/>
      <c r="N20" s="547"/>
      <c r="O20" s="557"/>
      <c r="T20" s="555" t="s">
        <v>332</v>
      </c>
      <c r="U20" s="560" t="e">
        <f t="shared" ref="U20:AG20" si="3">SUM(U11:U19)</f>
        <v>#REF!</v>
      </c>
      <c r="V20" s="560" t="e">
        <f>SUM(V11:V19)</f>
        <v>#REF!</v>
      </c>
      <c r="W20" s="560" t="e">
        <f>SUM(W11:W19)</f>
        <v>#REF!</v>
      </c>
      <c r="X20" s="560" t="e">
        <f>SUM(X11:X19)</f>
        <v>#REF!</v>
      </c>
      <c r="Y20" s="560" t="e">
        <f>SUM(Y11:Y19)</f>
        <v>#REF!</v>
      </c>
      <c r="Z20" s="560" t="e">
        <f>SUM(Z11:Z19)</f>
        <v>#REF!</v>
      </c>
      <c r="AA20" s="560" t="e">
        <f t="shared" si="3"/>
        <v>#REF!</v>
      </c>
      <c r="AB20" s="560" t="e">
        <f t="shared" si="3"/>
        <v>#REF!</v>
      </c>
      <c r="AC20" s="560" t="e">
        <f t="shared" si="3"/>
        <v>#REF!</v>
      </c>
      <c r="AD20" s="560" t="e">
        <f t="shared" si="3"/>
        <v>#REF!</v>
      </c>
      <c r="AE20" s="560" t="e">
        <f t="shared" si="3"/>
        <v>#REF!</v>
      </c>
      <c r="AF20" s="560" t="e">
        <f t="shared" si="3"/>
        <v>#REF!</v>
      </c>
      <c r="AG20" s="560" t="e">
        <f t="shared" si="3"/>
        <v>#REF!</v>
      </c>
      <c r="AH20" s="561">
        <v>100</v>
      </c>
      <c r="AI20" s="562"/>
    </row>
    <row r="21" spans="1:35" x14ac:dyDescent="0.2">
      <c r="A21" s="552" t="s">
        <v>330</v>
      </c>
      <c r="B21" s="546"/>
      <c r="C21" s="546"/>
      <c r="D21" s="546"/>
      <c r="E21" s="546"/>
      <c r="F21" s="546"/>
      <c r="G21" s="546"/>
      <c r="H21" s="546"/>
      <c r="I21" s="546"/>
      <c r="J21" s="546"/>
      <c r="K21" s="546"/>
      <c r="L21" s="546"/>
      <c r="M21" s="546"/>
      <c r="N21" s="547"/>
      <c r="O21" s="557"/>
      <c r="T21" s="541"/>
      <c r="U21" s="553"/>
      <c r="V21" s="553"/>
      <c r="W21" s="553"/>
      <c r="X21" s="553"/>
      <c r="Y21" s="553"/>
      <c r="Z21" s="553"/>
      <c r="AA21" s="553"/>
      <c r="AB21" s="553"/>
      <c r="AC21" s="553"/>
      <c r="AD21" s="553"/>
      <c r="AE21" s="553"/>
      <c r="AF21" s="553"/>
      <c r="AG21" s="554"/>
      <c r="AH21" s="551"/>
    </row>
    <row r="22" spans="1:35" x14ac:dyDescent="0.2">
      <c r="A22" s="545" t="s">
        <v>331</v>
      </c>
      <c r="B22" s="546">
        <f>+'ronoa(2010)'!N23</f>
        <v>139744754</v>
      </c>
      <c r="C22" s="546">
        <f>+balance_detalle!C22</f>
        <v>167146695</v>
      </c>
      <c r="D22" s="546">
        <f>+balance_detalle!D22</f>
        <v>167668104.4070513</v>
      </c>
      <c r="E22" s="546">
        <f>+balance_detalle!E22</f>
        <v>178637530.68910259</v>
      </c>
      <c r="F22" s="546">
        <f>+balance_detalle!F22</f>
        <v>183875866.8669872</v>
      </c>
      <c r="G22" s="546">
        <f>+balance_detalle!G22</f>
        <v>194195262.03525642</v>
      </c>
      <c r="H22" s="546">
        <f>+balance_detalle!H22</f>
        <v>198097619.52724358</v>
      </c>
      <c r="I22" s="546">
        <f>+balance_detalle!I22</f>
        <v>201228372.05128205</v>
      </c>
      <c r="J22" s="546">
        <f>+balance_detalle!J22</f>
        <v>201809811.27403846</v>
      </c>
      <c r="K22" s="546">
        <f>+balance_detalle!K22</f>
        <v>201372992.16346154</v>
      </c>
      <c r="L22" s="546">
        <f>+balance_detalle!L22</f>
        <v>200704931.38621795</v>
      </c>
      <c r="M22" s="546">
        <f>+balance_detalle!M22</f>
        <v>199934370.60897437</v>
      </c>
      <c r="N22" s="690">
        <f>+balance_detalle!N22</f>
        <v>198962143.1650641</v>
      </c>
      <c r="O22" s="557"/>
      <c r="T22" s="555" t="s">
        <v>334</v>
      </c>
      <c r="U22" s="553"/>
      <c r="V22" s="553"/>
      <c r="W22" s="553"/>
      <c r="X22" s="553"/>
      <c r="Y22" s="553"/>
      <c r="Z22" s="553"/>
      <c r="AA22" s="553"/>
      <c r="AB22" s="553"/>
      <c r="AC22" s="553"/>
      <c r="AD22" s="553"/>
      <c r="AE22" s="553"/>
      <c r="AF22" s="553"/>
      <c r="AG22" s="554"/>
      <c r="AH22" s="551"/>
    </row>
    <row r="23" spans="1:35" x14ac:dyDescent="0.2">
      <c r="A23" s="545"/>
      <c r="B23" s="546"/>
      <c r="C23" s="546"/>
      <c r="D23" s="546"/>
      <c r="E23" s="546"/>
      <c r="F23" s="546"/>
      <c r="G23" s="546"/>
      <c r="H23" s="546"/>
      <c r="I23" s="546"/>
      <c r="J23" s="546"/>
      <c r="K23" s="546"/>
      <c r="L23" s="546"/>
      <c r="M23" s="546"/>
      <c r="N23" s="547"/>
      <c r="O23" s="557"/>
      <c r="T23" s="555"/>
      <c r="U23" s="553"/>
      <c r="V23" s="553"/>
      <c r="W23" s="553"/>
      <c r="X23" s="553"/>
      <c r="Y23" s="553"/>
      <c r="Z23" s="553"/>
      <c r="AA23" s="553"/>
      <c r="AB23" s="553"/>
      <c r="AC23" s="553"/>
      <c r="AD23" s="553"/>
      <c r="AE23" s="553"/>
      <c r="AF23" s="553"/>
      <c r="AG23" s="554"/>
      <c r="AH23" s="551"/>
    </row>
    <row r="24" spans="1:35" x14ac:dyDescent="0.2">
      <c r="A24" s="552" t="s">
        <v>333</v>
      </c>
      <c r="B24" s="546"/>
      <c r="C24" s="546"/>
      <c r="D24" s="546"/>
      <c r="E24" s="546"/>
      <c r="F24" s="546"/>
      <c r="G24" s="546"/>
      <c r="H24" s="546"/>
      <c r="I24" s="546"/>
      <c r="J24" s="546"/>
      <c r="K24" s="546"/>
      <c r="L24" s="546"/>
      <c r="M24" s="546"/>
      <c r="N24" s="690"/>
      <c r="O24" s="557"/>
      <c r="T24" s="555" t="s">
        <v>335</v>
      </c>
      <c r="U24" s="563">
        <f t="shared" ref="U24:AF24" si="4">SUM(U25:U26)</f>
        <v>3630100.3091352847</v>
      </c>
      <c r="V24" s="563">
        <f t="shared" si="4"/>
        <v>3793047.5404907083</v>
      </c>
      <c r="W24" s="563">
        <f t="shared" si="4"/>
        <v>3862281.3313440895</v>
      </c>
      <c r="X24" s="563">
        <f t="shared" si="4"/>
        <v>4013038.1105856504</v>
      </c>
      <c r="Y24" s="563">
        <f t="shared" si="4"/>
        <v>4098162.4093730883</v>
      </c>
      <c r="Z24" s="563">
        <f t="shared" si="4"/>
        <v>4050528.2328679767</v>
      </c>
      <c r="AA24" s="563">
        <f t="shared" si="4"/>
        <v>4151577.9050578717</v>
      </c>
      <c r="AB24" s="563">
        <f t="shared" si="4"/>
        <v>4144766.8643846912</v>
      </c>
      <c r="AC24" s="563">
        <f t="shared" si="4"/>
        <v>3987726.0102222497</v>
      </c>
      <c r="AD24" s="563">
        <f t="shared" si="4"/>
        <v>4317852.1991238836</v>
      </c>
      <c r="AE24" s="563">
        <f t="shared" si="4"/>
        <v>4110744.6856178776</v>
      </c>
      <c r="AF24" s="563">
        <f t="shared" si="4"/>
        <v>4146744.6813482856</v>
      </c>
      <c r="AG24" s="563">
        <f>SUM(AG25:AG26)</f>
        <v>48306570.279551655</v>
      </c>
      <c r="AH24" s="564" t="e">
        <f t="shared" ref="AH24:AH31" si="5">(AG24/$AG$20)*100</f>
        <v>#REF!</v>
      </c>
    </row>
    <row r="25" spans="1:35" x14ac:dyDescent="0.2">
      <c r="A25" s="545" t="s">
        <v>420</v>
      </c>
      <c r="B25" s="546">
        <f>+'ronoa(2010)'!N26</f>
        <v>168796</v>
      </c>
      <c r="C25" s="546"/>
      <c r="D25" s="546"/>
      <c r="E25" s="546"/>
      <c r="F25" s="546"/>
      <c r="G25" s="546"/>
      <c r="H25" s="546"/>
      <c r="I25" s="546"/>
      <c r="J25" s="546"/>
      <c r="K25" s="546"/>
      <c r="L25" s="546"/>
      <c r="M25" s="546"/>
      <c r="N25" s="690"/>
      <c r="O25" s="557"/>
      <c r="T25" s="565" t="s">
        <v>336</v>
      </c>
      <c r="U25" s="566">
        <f>+Edo.Res.detalle!D25</f>
        <v>940396.67572795332</v>
      </c>
      <c r="V25" s="566">
        <f>+Edo.Res.detalle!E25</f>
        <v>984394.89838303498</v>
      </c>
      <c r="W25" s="566">
        <f>+Edo.Res.detalle!F25</f>
        <v>1008582.2482983997</v>
      </c>
      <c r="X25" s="566">
        <f>+Edo.Res.detalle!G25</f>
        <v>966023.98610153724</v>
      </c>
      <c r="Y25" s="566">
        <f>+Edo.Res.detalle!H25</f>
        <v>964648.66117954336</v>
      </c>
      <c r="Z25" s="566">
        <f>+Edo.Res.detalle!I25</f>
        <v>956557.9288426399</v>
      </c>
      <c r="AA25" s="566">
        <f>+Edo.Res.detalle!J25</f>
        <v>960324.0237582156</v>
      </c>
      <c r="AB25" s="566">
        <f>+Edo.Res.detalle!K25</f>
        <v>983155.62972186261</v>
      </c>
      <c r="AC25" s="566">
        <f>+Edo.Res.detalle!L25</f>
        <v>953152.57031290443</v>
      </c>
      <c r="AD25" s="566">
        <f>+Edo.Res.detalle!M25</f>
        <v>971064.8547621239</v>
      </c>
      <c r="AE25" s="566">
        <f>+Edo.Res.detalle!N25</f>
        <v>958597.903037076</v>
      </c>
      <c r="AF25" s="566">
        <f>+Edo.Res.detalle!O25</f>
        <v>962179.97757169197</v>
      </c>
      <c r="AG25" s="566">
        <f>SUM(U25:AF25)</f>
        <v>11609079.357696984</v>
      </c>
      <c r="AH25" s="551" t="e">
        <f t="shared" si="5"/>
        <v>#REF!</v>
      </c>
    </row>
    <row r="26" spans="1:35" x14ac:dyDescent="0.2">
      <c r="A26" s="545" t="s">
        <v>417</v>
      </c>
      <c r="B26" s="546">
        <f>+'ronoa(2010)'!N27</f>
        <v>11398</v>
      </c>
      <c r="C26" s="546"/>
      <c r="D26" s="546"/>
      <c r="E26" s="546"/>
      <c r="F26" s="546"/>
      <c r="G26" s="546"/>
      <c r="H26" s="546"/>
      <c r="I26" s="546"/>
      <c r="J26" s="546"/>
      <c r="K26" s="546"/>
      <c r="L26" s="546"/>
      <c r="M26" s="546"/>
      <c r="N26" s="690"/>
      <c r="O26" s="557"/>
      <c r="P26" s="557" t="s">
        <v>28</v>
      </c>
      <c r="T26" s="565" t="s">
        <v>338</v>
      </c>
      <c r="U26" s="566">
        <f>+Edo.Res.detalle!D26</f>
        <v>2689703.6334073315</v>
      </c>
      <c r="V26" s="566">
        <f>+Edo.Res.detalle!E26</f>
        <v>2808652.6421076735</v>
      </c>
      <c r="W26" s="566">
        <f>+Edo.Res.detalle!F26</f>
        <v>2853699.0830456899</v>
      </c>
      <c r="X26" s="566">
        <f>+Edo.Res.detalle!G26</f>
        <v>3047014.1244841134</v>
      </c>
      <c r="Y26" s="566">
        <f>+Edo.Res.detalle!H26</f>
        <v>3133513.7481935448</v>
      </c>
      <c r="Z26" s="566">
        <f>+Edo.Res.detalle!I26</f>
        <v>3093970.3040253366</v>
      </c>
      <c r="AA26" s="566">
        <f>+Edo.Res.detalle!J26</f>
        <v>3191253.8812996559</v>
      </c>
      <c r="AB26" s="566">
        <f>+Edo.Res.detalle!K26</f>
        <v>3161611.2346628285</v>
      </c>
      <c r="AC26" s="566">
        <f>+Edo.Res.detalle!L26</f>
        <v>3034573.439909345</v>
      </c>
      <c r="AD26" s="566">
        <f>+Edo.Res.detalle!M26</f>
        <v>3346787.3443617597</v>
      </c>
      <c r="AE26" s="566">
        <f>+Edo.Res.detalle!N26</f>
        <v>3152146.7825808018</v>
      </c>
      <c r="AF26" s="566">
        <f>+Edo.Res.detalle!O26</f>
        <v>3184564.7037765938</v>
      </c>
      <c r="AG26" s="566">
        <f>SUM(U26:AF26)</f>
        <v>36697490.921854667</v>
      </c>
      <c r="AH26" s="551" t="e">
        <f t="shared" si="5"/>
        <v>#REF!</v>
      </c>
    </row>
    <row r="27" spans="1:35" x14ac:dyDescent="0.2">
      <c r="A27" s="545" t="s">
        <v>419</v>
      </c>
      <c r="B27" s="546">
        <f>+'ronoa(2010)'!N28</f>
        <v>4948232</v>
      </c>
      <c r="C27" s="546">
        <f>+balance_detalle!C25</f>
        <v>39700166.833333336</v>
      </c>
      <c r="D27" s="546">
        <f>+balance_detalle!D25</f>
        <v>38827014.666666664</v>
      </c>
      <c r="E27" s="546">
        <f>+balance_detalle!E25</f>
        <v>37957980.5</v>
      </c>
      <c r="F27" s="546">
        <f>+balance_detalle!F25</f>
        <v>37093090.333333336</v>
      </c>
      <c r="G27" s="546">
        <f>+balance_detalle!G25</f>
        <v>36232370.166666664</v>
      </c>
      <c r="H27" s="546">
        <f>+balance_detalle!H25</f>
        <v>35375847</v>
      </c>
      <c r="I27" s="546">
        <f>+balance_detalle!I25</f>
        <v>34523544.833333336</v>
      </c>
      <c r="J27" s="546">
        <f>+balance_detalle!J25</f>
        <v>33675493.666666664</v>
      </c>
      <c r="K27" s="546">
        <f>+balance_detalle!K25</f>
        <v>32831717.5</v>
      </c>
      <c r="L27" s="546">
        <f>+balance_detalle!L25</f>
        <v>31992244.333333332</v>
      </c>
      <c r="M27" s="546">
        <f>+balance_detalle!M25</f>
        <v>31157100.166666668</v>
      </c>
      <c r="N27" s="690">
        <f>+balance_detalle!N25</f>
        <v>30326312</v>
      </c>
      <c r="O27" s="557"/>
      <c r="T27" s="555" t="s">
        <v>339</v>
      </c>
      <c r="U27" s="563">
        <f t="shared" ref="U27:Z27" si="6">SUM(U28:U29)</f>
        <v>15147760.080113079</v>
      </c>
      <c r="V27" s="563">
        <f t="shared" si="6"/>
        <v>15872624.757753396</v>
      </c>
      <c r="W27" s="563">
        <f t="shared" si="6"/>
        <v>16334725.173343115</v>
      </c>
      <c r="X27" s="563">
        <f t="shared" si="6"/>
        <v>17467357.253519919</v>
      </c>
      <c r="Y27" s="563">
        <f t="shared" si="6"/>
        <v>17727790.949336905</v>
      </c>
      <c r="Z27" s="563">
        <f t="shared" si="6"/>
        <v>17796002.778864317</v>
      </c>
      <c r="AA27" s="563">
        <f t="shared" ref="AA27:AF27" si="7">SUM(AA28:AA29)</f>
        <v>18858452.754041053</v>
      </c>
      <c r="AB27" s="563">
        <f t="shared" si="7"/>
        <v>18710637.324512102</v>
      </c>
      <c r="AC27" s="563">
        <f t="shared" si="7"/>
        <v>17223843.361029778</v>
      </c>
      <c r="AD27" s="563">
        <f t="shared" si="7"/>
        <v>20532589.921778601</v>
      </c>
      <c r="AE27" s="563">
        <f t="shared" si="7"/>
        <v>18805859.557984762</v>
      </c>
      <c r="AF27" s="563">
        <f t="shared" si="7"/>
        <v>19149210.622778978</v>
      </c>
      <c r="AG27" s="563">
        <f>SUM(AG28:AG29)</f>
        <v>213626854.53505599</v>
      </c>
      <c r="AH27" s="564" t="e">
        <f t="shared" si="5"/>
        <v>#REF!</v>
      </c>
    </row>
    <row r="28" spans="1:35" x14ac:dyDescent="0.2">
      <c r="A28" s="552"/>
      <c r="B28" s="546"/>
      <c r="C28" s="546"/>
      <c r="D28" s="546"/>
      <c r="E28" s="546"/>
      <c r="F28" s="546"/>
      <c r="G28" s="546"/>
      <c r="H28" s="546"/>
      <c r="I28" s="546"/>
      <c r="J28" s="546"/>
      <c r="K28" s="546"/>
      <c r="L28" s="546"/>
      <c r="M28" s="546"/>
      <c r="N28" s="547"/>
      <c r="O28" s="557"/>
      <c r="T28" s="565" t="s">
        <v>336</v>
      </c>
      <c r="U28" s="566">
        <f>+Edo.Res.detalle!D28</f>
        <v>1717249.0569737859</v>
      </c>
      <c r="V28" s="566">
        <f>+Edo.Res.detalle!E28</f>
        <v>1870390.509850939</v>
      </c>
      <c r="W28" s="566">
        <f>+Edo.Res.detalle!F28</f>
        <v>1723729.4240929822</v>
      </c>
      <c r="X28" s="566">
        <f>+Edo.Res.detalle!G28</f>
        <v>1797756.883442949</v>
      </c>
      <c r="Y28" s="566">
        <f>+Edo.Res.detalle!H28</f>
        <v>1625282.2769622195</v>
      </c>
      <c r="Z28" s="566">
        <f>+Edo.Res.detalle!I28</f>
        <v>1627552.4463604433</v>
      </c>
      <c r="AA28" s="566">
        <f>+Edo.Res.detalle!J28</f>
        <v>1646360.5577297565</v>
      </c>
      <c r="AB28" s="566">
        <f>+Edo.Res.detalle!K28</f>
        <v>1657889.9317021819</v>
      </c>
      <c r="AC28" s="566">
        <f>+Edo.Res.detalle!L28</f>
        <v>1635136.4046344352</v>
      </c>
      <c r="AD28" s="566">
        <f>+Edo.Res.detalle!M28</f>
        <v>1628184.509977381</v>
      </c>
      <c r="AE28" s="566">
        <f>+Edo.Res.detalle!N28</f>
        <v>1556401.7361307447</v>
      </c>
      <c r="AF28" s="566">
        <f>+Edo.Res.detalle!O28</f>
        <v>1566638.9866846555</v>
      </c>
      <c r="AG28" s="566">
        <f>SUM(U28:AF28)</f>
        <v>20052572.724542469</v>
      </c>
      <c r="AH28" s="551" t="e">
        <f t="shared" si="5"/>
        <v>#REF!</v>
      </c>
    </row>
    <row r="29" spans="1:35" x14ac:dyDescent="0.2">
      <c r="A29" s="552" t="s">
        <v>337</v>
      </c>
      <c r="B29" s="567">
        <f>SUM(B19+B22+B25+B26+B27)</f>
        <v>173173757</v>
      </c>
      <c r="C29" s="567">
        <f>SUM(C19+C22+C27)</f>
        <v>292483087.70297134</v>
      </c>
      <c r="D29" s="567">
        <f t="shared" ref="D29:N29" si="8">SUM(D19+D22+D27)</f>
        <v>296965352.4813385</v>
      </c>
      <c r="E29" s="567">
        <f t="shared" si="8"/>
        <v>305663372.88013369</v>
      </c>
      <c r="F29" s="567">
        <f t="shared" si="8"/>
        <v>309723114.4452247</v>
      </c>
      <c r="G29" s="567">
        <f t="shared" si="8"/>
        <v>307493866.72267586</v>
      </c>
      <c r="H29" s="567">
        <f t="shared" si="8"/>
        <v>306530371.75542629</v>
      </c>
      <c r="I29" s="567">
        <f t="shared" si="8"/>
        <v>300842977.20857233</v>
      </c>
      <c r="J29" s="567">
        <f t="shared" si="8"/>
        <v>301649215.18490922</v>
      </c>
      <c r="K29" s="567">
        <f t="shared" si="8"/>
        <v>307899497.41927356</v>
      </c>
      <c r="L29" s="567">
        <f t="shared" si="8"/>
        <v>312181547.63795185</v>
      </c>
      <c r="M29" s="567">
        <f t="shared" si="8"/>
        <v>313344664.36356479</v>
      </c>
      <c r="N29" s="693">
        <f t="shared" si="8"/>
        <v>316210548.58965743</v>
      </c>
      <c r="O29" s="557"/>
      <c r="T29" s="565" t="s">
        <v>338</v>
      </c>
      <c r="U29" s="566">
        <f>+Edo.Res.detalle!D29</f>
        <v>13430511.023139294</v>
      </c>
      <c r="V29" s="566">
        <f>+Edo.Res.detalle!E29</f>
        <v>14002234.247902457</v>
      </c>
      <c r="W29" s="566">
        <f>+Edo.Res.detalle!F29</f>
        <v>14610995.749250133</v>
      </c>
      <c r="X29" s="566">
        <f>+Edo.Res.detalle!G29</f>
        <v>15669600.370076969</v>
      </c>
      <c r="Y29" s="566">
        <f>+Edo.Res.detalle!H29</f>
        <v>16102508.672374686</v>
      </c>
      <c r="Z29" s="566">
        <f>+Edo.Res.detalle!I29</f>
        <v>16168450.332503872</v>
      </c>
      <c r="AA29" s="566">
        <f>+Edo.Res.detalle!J29</f>
        <v>17212092.196311299</v>
      </c>
      <c r="AB29" s="566">
        <f>+Edo.Res.detalle!K29</f>
        <v>17052747.39280992</v>
      </c>
      <c r="AC29" s="566">
        <f>+Edo.Res.detalle!L29</f>
        <v>15588706.956395341</v>
      </c>
      <c r="AD29" s="566">
        <f>+Edo.Res.detalle!M29</f>
        <v>18904405.411801219</v>
      </c>
      <c r="AE29" s="566">
        <f>+Edo.Res.detalle!N29</f>
        <v>17249457.821854018</v>
      </c>
      <c r="AF29" s="566">
        <f>+Edo.Res.detalle!O29</f>
        <v>17582571.636094324</v>
      </c>
      <c r="AG29" s="566">
        <f>SUM(U29:AF29)</f>
        <v>193574281.81051353</v>
      </c>
      <c r="AH29" s="551" t="e">
        <f t="shared" si="5"/>
        <v>#REF!</v>
      </c>
    </row>
    <row r="30" spans="1:35" x14ac:dyDescent="0.2">
      <c r="A30" s="552"/>
      <c r="B30" s="546"/>
      <c r="C30" s="546"/>
      <c r="D30" s="546"/>
      <c r="E30" s="546"/>
      <c r="F30" s="546"/>
      <c r="G30" s="546"/>
      <c r="H30" s="546"/>
      <c r="I30" s="546"/>
      <c r="J30" s="546"/>
      <c r="K30" s="546"/>
      <c r="L30" s="546"/>
      <c r="M30" s="546"/>
      <c r="N30" s="547"/>
      <c r="O30" s="557"/>
      <c r="T30" s="541"/>
      <c r="U30" s="553"/>
      <c r="V30" s="553"/>
      <c r="W30" s="553"/>
      <c r="X30" s="553"/>
      <c r="Y30" s="553"/>
      <c r="Z30" s="553"/>
      <c r="AA30" s="553"/>
      <c r="AB30" s="553"/>
      <c r="AC30" s="553"/>
      <c r="AD30" s="553"/>
      <c r="AE30" s="553"/>
      <c r="AF30" s="553"/>
      <c r="AG30" s="553"/>
      <c r="AH30" s="551" t="e">
        <f t="shared" si="5"/>
        <v>#REF!</v>
      </c>
    </row>
    <row r="31" spans="1:35" x14ac:dyDescent="0.2">
      <c r="A31" s="552"/>
      <c r="B31" s="546"/>
      <c r="C31" s="546"/>
      <c r="D31" s="546"/>
      <c r="E31" s="546"/>
      <c r="F31" s="546"/>
      <c r="G31" s="546"/>
      <c r="H31" s="546"/>
      <c r="I31" s="546"/>
      <c r="J31" s="546"/>
      <c r="K31" s="546"/>
      <c r="L31" s="546"/>
      <c r="M31" s="546"/>
      <c r="N31" s="547"/>
      <c r="O31" s="557"/>
      <c r="T31" s="555" t="s">
        <v>342</v>
      </c>
      <c r="U31" s="560">
        <f t="shared" ref="U31:AF31" si="9">U24+U27</f>
        <v>18777860.389248364</v>
      </c>
      <c r="V31" s="560">
        <f t="shared" si="9"/>
        <v>19665672.298244104</v>
      </c>
      <c r="W31" s="560">
        <f t="shared" si="9"/>
        <v>20197006.504687205</v>
      </c>
      <c r="X31" s="560">
        <f t="shared" si="9"/>
        <v>21480395.364105567</v>
      </c>
      <c r="Y31" s="560">
        <f t="shared" si="9"/>
        <v>21825953.358709995</v>
      </c>
      <c r="Z31" s="560">
        <f t="shared" si="9"/>
        <v>21846531.011732295</v>
      </c>
      <c r="AA31" s="560">
        <f t="shared" si="9"/>
        <v>23010030.659098923</v>
      </c>
      <c r="AB31" s="560">
        <f t="shared" si="9"/>
        <v>22855404.188896794</v>
      </c>
      <c r="AC31" s="560">
        <f t="shared" si="9"/>
        <v>21211569.371252026</v>
      </c>
      <c r="AD31" s="560">
        <f t="shared" si="9"/>
        <v>24850442.120902486</v>
      </c>
      <c r="AE31" s="560">
        <f t="shared" si="9"/>
        <v>22916604.243602641</v>
      </c>
      <c r="AF31" s="560">
        <f t="shared" si="9"/>
        <v>23295955.304127265</v>
      </c>
      <c r="AG31" s="560">
        <f>AG24+AG27</f>
        <v>261933424.81460765</v>
      </c>
      <c r="AH31" s="569" t="e">
        <f t="shared" si="5"/>
        <v>#REF!</v>
      </c>
      <c r="AI31" s="562"/>
    </row>
    <row r="32" spans="1:35" x14ac:dyDescent="0.2">
      <c r="A32" s="552" t="s">
        <v>340</v>
      </c>
      <c r="B32" s="546"/>
      <c r="C32" s="546"/>
      <c r="D32" s="546"/>
      <c r="E32" s="546"/>
      <c r="F32" s="546"/>
      <c r="G32" s="546"/>
      <c r="H32" s="546"/>
      <c r="I32" s="546"/>
      <c r="J32" s="546"/>
      <c r="K32" s="546"/>
      <c r="L32" s="546"/>
      <c r="M32" s="546"/>
      <c r="N32" s="547"/>
      <c r="O32" s="557"/>
      <c r="T32" s="541"/>
      <c r="U32" s="570"/>
      <c r="V32" s="570"/>
      <c r="W32" s="570"/>
      <c r="X32" s="570"/>
      <c r="Y32" s="570"/>
      <c r="Z32" s="570"/>
      <c r="AA32" s="570"/>
      <c r="AB32" s="570"/>
      <c r="AC32" s="570"/>
      <c r="AD32" s="570"/>
      <c r="AE32" s="570"/>
      <c r="AF32" s="570"/>
      <c r="AG32" s="570"/>
      <c r="AH32" s="551"/>
    </row>
    <row r="33" spans="1:36" x14ac:dyDescent="0.2">
      <c r="A33" s="545"/>
      <c r="B33" s="546"/>
      <c r="C33" s="546"/>
      <c r="D33" s="546"/>
      <c r="E33" s="546"/>
      <c r="F33" s="546"/>
      <c r="G33" s="546"/>
      <c r="H33" s="546"/>
      <c r="I33" s="546"/>
      <c r="J33" s="546"/>
      <c r="K33" s="546"/>
      <c r="L33" s="546"/>
      <c r="M33" s="546"/>
      <c r="N33" s="547"/>
      <c r="O33" s="557"/>
      <c r="T33" s="555" t="s">
        <v>345</v>
      </c>
      <c r="U33" s="560" t="e">
        <f t="shared" ref="U33:AF33" si="10">U20-U31</f>
        <v>#REF!</v>
      </c>
      <c r="V33" s="560" t="e">
        <f t="shared" si="10"/>
        <v>#REF!</v>
      </c>
      <c r="W33" s="560" t="e">
        <f t="shared" si="10"/>
        <v>#REF!</v>
      </c>
      <c r="X33" s="560" t="e">
        <f t="shared" si="10"/>
        <v>#REF!</v>
      </c>
      <c r="Y33" s="560" t="e">
        <f t="shared" si="10"/>
        <v>#REF!</v>
      </c>
      <c r="Z33" s="560" t="e">
        <f t="shared" si="10"/>
        <v>#REF!</v>
      </c>
      <c r="AA33" s="560" t="e">
        <f t="shared" si="10"/>
        <v>#REF!</v>
      </c>
      <c r="AB33" s="560" t="e">
        <f t="shared" si="10"/>
        <v>#REF!</v>
      </c>
      <c r="AC33" s="560" t="e">
        <f t="shared" si="10"/>
        <v>#REF!</v>
      </c>
      <c r="AD33" s="560" t="e">
        <f t="shared" si="10"/>
        <v>#REF!</v>
      </c>
      <c r="AE33" s="560" t="e">
        <f t="shared" si="10"/>
        <v>#REF!</v>
      </c>
      <c r="AF33" s="560" t="e">
        <f t="shared" si="10"/>
        <v>#REF!</v>
      </c>
      <c r="AG33" s="560" t="e">
        <f>AG20-AG31</f>
        <v>#REF!</v>
      </c>
      <c r="AH33" s="561" t="e">
        <f>(AG33/$AG$20)*100</f>
        <v>#REF!</v>
      </c>
      <c r="AI33" s="572"/>
    </row>
    <row r="34" spans="1:36" x14ac:dyDescent="0.2">
      <c r="A34" s="552" t="s">
        <v>341</v>
      </c>
      <c r="B34" s="546"/>
      <c r="C34" s="546"/>
      <c r="D34" s="546"/>
      <c r="E34" s="546"/>
      <c r="F34" s="546"/>
      <c r="G34" s="546"/>
      <c r="H34" s="546"/>
      <c r="I34" s="546"/>
      <c r="J34" s="546"/>
      <c r="K34" s="546"/>
      <c r="L34" s="546"/>
      <c r="M34" s="546"/>
      <c r="N34" s="547"/>
      <c r="O34" s="557"/>
      <c r="T34" s="541"/>
      <c r="U34" s="553"/>
      <c r="V34" s="553"/>
      <c r="W34" s="553"/>
      <c r="X34" s="553"/>
      <c r="Y34" s="553"/>
      <c r="Z34" s="553"/>
      <c r="AA34" s="553"/>
      <c r="AB34" s="553"/>
      <c r="AC34" s="553"/>
      <c r="AD34" s="553"/>
      <c r="AE34" s="553"/>
      <c r="AF34" s="553"/>
      <c r="AG34" s="554"/>
      <c r="AH34" s="551"/>
    </row>
    <row r="35" spans="1:36" x14ac:dyDescent="0.2">
      <c r="A35" s="545" t="s">
        <v>343</v>
      </c>
      <c r="B35" s="546">
        <f>+'ronoa(2010)'!N36</f>
        <v>9009877</v>
      </c>
      <c r="C35" s="546">
        <f>+balance_detalle!C33</f>
        <v>9217569</v>
      </c>
      <c r="D35" s="546">
        <f>+balance_detalle!D33</f>
        <v>11920725</v>
      </c>
      <c r="E35" s="546">
        <f>+balance_detalle!E33</f>
        <v>14436557</v>
      </c>
      <c r="F35" s="546">
        <f>+balance_detalle!F33</f>
        <v>11520297</v>
      </c>
      <c r="G35" s="546">
        <f>+balance_detalle!G33</f>
        <v>11461947</v>
      </c>
      <c r="H35" s="546">
        <f>+balance_detalle!H33</f>
        <v>11407185</v>
      </c>
      <c r="I35" s="546">
        <f>+balance_detalle!I33</f>
        <v>11356033</v>
      </c>
      <c r="J35" s="546">
        <f>+balance_detalle!J33</f>
        <v>11308514</v>
      </c>
      <c r="K35" s="546">
        <f>+balance_detalle!K33</f>
        <v>11264651</v>
      </c>
      <c r="L35" s="546">
        <f>+balance_detalle!L33</f>
        <v>11224467</v>
      </c>
      <c r="M35" s="546">
        <f>+balance_detalle!M33</f>
        <v>11187986</v>
      </c>
      <c r="N35" s="690">
        <f>+balance_detalle!N33</f>
        <v>11155230</v>
      </c>
      <c r="O35" s="557"/>
      <c r="T35" s="573" t="s">
        <v>347</v>
      </c>
      <c r="U35" s="553"/>
      <c r="V35" s="553"/>
      <c r="W35" s="553"/>
      <c r="X35" s="553"/>
      <c r="Y35" s="553"/>
      <c r="Z35" s="553"/>
      <c r="AA35" s="553"/>
      <c r="AB35" s="553"/>
      <c r="AC35" s="553"/>
      <c r="AD35" s="553"/>
      <c r="AE35" s="553"/>
      <c r="AF35" s="553"/>
      <c r="AG35" s="554"/>
      <c r="AH35" s="551"/>
    </row>
    <row r="36" spans="1:36" x14ac:dyDescent="0.2">
      <c r="A36" s="545" t="s">
        <v>412</v>
      </c>
      <c r="B36" s="546">
        <f>+'ronoa(2010)'!N37</f>
        <v>4411096</v>
      </c>
      <c r="C36" s="546">
        <v>0</v>
      </c>
      <c r="D36" s="546">
        <v>0</v>
      </c>
      <c r="E36" s="546">
        <v>0</v>
      </c>
      <c r="F36" s="546">
        <v>0</v>
      </c>
      <c r="G36" s="546">
        <v>0</v>
      </c>
      <c r="H36" s="546">
        <v>0</v>
      </c>
      <c r="I36" s="546">
        <v>0</v>
      </c>
      <c r="J36" s="546">
        <v>0</v>
      </c>
      <c r="K36" s="546">
        <v>0</v>
      </c>
      <c r="L36" s="546">
        <v>0</v>
      </c>
      <c r="M36" s="546">
        <v>0</v>
      </c>
      <c r="N36" s="547">
        <v>0</v>
      </c>
      <c r="O36" s="557"/>
      <c r="T36" s="555"/>
      <c r="U36" s="553"/>
      <c r="V36" s="553"/>
      <c r="W36" s="553"/>
      <c r="X36" s="553"/>
      <c r="Y36" s="553"/>
      <c r="Z36" s="553"/>
      <c r="AA36" s="553"/>
      <c r="AB36" s="553"/>
      <c r="AC36" s="553"/>
      <c r="AD36" s="553"/>
      <c r="AE36" s="553"/>
      <c r="AF36" s="553"/>
      <c r="AG36" s="554"/>
      <c r="AH36" s="551"/>
    </row>
    <row r="37" spans="1:36" x14ac:dyDescent="0.2">
      <c r="A37" s="545" t="s">
        <v>346</v>
      </c>
      <c r="B37" s="546">
        <f>+'ronoa(2010)'!N38</f>
        <v>865324</v>
      </c>
      <c r="C37" s="546">
        <f>+balance_detalle!C34</f>
        <v>47486586.013335727</v>
      </c>
      <c r="D37" s="546">
        <f>+balance_detalle!D34</f>
        <v>49485993.082010716</v>
      </c>
      <c r="E37" s="546">
        <f>+balance_detalle!E34</f>
        <v>51217673.536037743</v>
      </c>
      <c r="F37" s="546">
        <f>+balance_detalle!F34</f>
        <v>54979747.674031012</v>
      </c>
      <c r="G37" s="546">
        <f>+balance_detalle!G34</f>
        <v>48535837.782457128</v>
      </c>
      <c r="H37" s="546">
        <f>+balance_detalle!H34</f>
        <v>46989415.017371237</v>
      </c>
      <c r="I37" s="546">
        <f>+balance_detalle!I34</f>
        <v>38098105.612082973</v>
      </c>
      <c r="J37" s="546">
        <f>+balance_detalle!J34</f>
        <v>36262105.44260174</v>
      </c>
      <c r="K37" s="546">
        <f>+balance_detalle!K34</f>
        <v>37897351.063215993</v>
      </c>
      <c r="L37" s="546">
        <f>+balance_detalle!L34</f>
        <v>36618826.491886906</v>
      </c>
      <c r="M37" s="546">
        <f>+balance_detalle!M34</f>
        <v>35869156.460152932</v>
      </c>
      <c r="N37" s="546">
        <f>+balance_detalle!N34</f>
        <v>35052721.222926483</v>
      </c>
      <c r="O37" s="557"/>
      <c r="T37" s="574" t="s">
        <v>350</v>
      </c>
      <c r="U37" s="549">
        <f>+Edo.Res.detalle!D37</f>
        <v>3178138.5</v>
      </c>
      <c r="V37" s="549">
        <f>+Edo.Res.detalle!E37</f>
        <v>3302947.4560114723</v>
      </c>
      <c r="W37" s="549">
        <f>+Edo.Res.detalle!F37</f>
        <v>3277947.4560114723</v>
      </c>
      <c r="X37" s="549">
        <f>+Edo.Res.detalle!G37</f>
        <v>3277947.4560114723</v>
      </c>
      <c r="Y37" s="549">
        <f>+Edo.Res.detalle!H37</f>
        <v>3277947.4560114723</v>
      </c>
      <c r="Z37" s="549">
        <f>+Edo.Res.detalle!I37</f>
        <v>3277947.4560114723</v>
      </c>
      <c r="AA37" s="549">
        <f>+Edo.Res.detalle!J37</f>
        <v>3277947.4560114723</v>
      </c>
      <c r="AB37" s="549">
        <f>+Edo.Res.detalle!K37</f>
        <v>3277947.4560114723</v>
      </c>
      <c r="AC37" s="549">
        <f>+Edo.Res.detalle!L37</f>
        <v>3277947.4560114723</v>
      </c>
      <c r="AD37" s="549">
        <f>+Edo.Res.detalle!M37</f>
        <v>3277947.4560114723</v>
      </c>
      <c r="AE37" s="549">
        <f>+Edo.Res.detalle!N37</f>
        <v>3277947.4560114723</v>
      </c>
      <c r="AF37" s="549">
        <f>+Edo.Res.detalle!O37</f>
        <v>3277947.4560114723</v>
      </c>
      <c r="AG37" s="550">
        <f>SUM(U37:AF37)</f>
        <v>39260560.516126208</v>
      </c>
      <c r="AH37" s="551" t="e">
        <f>(AG37/$AG$20)*100</f>
        <v>#REF!</v>
      </c>
    </row>
    <row r="38" spans="1:36" x14ac:dyDescent="0.2">
      <c r="A38" s="545" t="s">
        <v>348</v>
      </c>
      <c r="B38" s="546">
        <f>+'ronoa(2010)'!N39</f>
        <v>4756312</v>
      </c>
      <c r="C38" s="546">
        <f>+balance_detalle!C35</f>
        <v>6438376</v>
      </c>
      <c r="D38" s="546">
        <f>+balance_detalle!D35</f>
        <v>6525722</v>
      </c>
      <c r="E38" s="546">
        <f>+balance_detalle!E35</f>
        <v>6525722</v>
      </c>
      <c r="F38" s="546">
        <f>+balance_detalle!F35</f>
        <v>6525722</v>
      </c>
      <c r="G38" s="546">
        <f>+balance_detalle!G35</f>
        <v>7212745.2000000002</v>
      </c>
      <c r="H38" s="546">
        <f>+balance_detalle!H35</f>
        <v>6545487</v>
      </c>
      <c r="I38" s="546">
        <f>+balance_detalle!I35</f>
        <v>6539862</v>
      </c>
      <c r="J38" s="546">
        <f>+balance_detalle!J35</f>
        <v>6477833</v>
      </c>
      <c r="K38" s="546">
        <f>+balance_detalle!K35</f>
        <v>6762718</v>
      </c>
      <c r="L38" s="546">
        <f>+balance_detalle!L35</f>
        <v>6762718</v>
      </c>
      <c r="M38" s="546">
        <f>+balance_detalle!M35</f>
        <v>6601947</v>
      </c>
      <c r="N38" s="690">
        <f>+balance_detalle!N35</f>
        <v>7434222</v>
      </c>
      <c r="O38" s="557"/>
      <c r="T38" s="541" t="s">
        <v>351</v>
      </c>
      <c r="U38" s="549">
        <f>+Edo.Res.detalle!D38</f>
        <v>1812968.9799999997</v>
      </c>
      <c r="V38" s="549">
        <f>+Edo.Res.detalle!E38</f>
        <v>1831138.0808333331</v>
      </c>
      <c r="W38" s="549">
        <f>+Edo.Res.detalle!F38</f>
        <v>1992241.7858333332</v>
      </c>
      <c r="X38" s="549">
        <f>+Edo.Res.detalle!G38</f>
        <v>2199947.5025000009</v>
      </c>
      <c r="Y38" s="549">
        <f>+Edo.Res.detalle!H38</f>
        <v>2318845.5741666672</v>
      </c>
      <c r="Z38" s="549">
        <f>+Edo.Res.detalle!I38</f>
        <v>2542217.5325000007</v>
      </c>
      <c r="AA38" s="549">
        <f>+Edo.Res.detalle!J38</f>
        <v>2494366.1608333336</v>
      </c>
      <c r="AB38" s="549">
        <f>+Edo.Res.detalle!K38</f>
        <v>2530082.0025000009</v>
      </c>
      <c r="AC38" s="549">
        <f>+Edo.Res.detalle!L38</f>
        <v>2548373.6691666674</v>
      </c>
      <c r="AD38" s="549">
        <f>+Edo.Res.detalle!M38</f>
        <v>2543686.205833334</v>
      </c>
      <c r="AE38" s="549">
        <f>+Edo.Res.detalle!N38</f>
        <v>2420676.225833335</v>
      </c>
      <c r="AF38" s="549">
        <f>+Edo.Res.detalle!O38</f>
        <v>2420365.7125000018</v>
      </c>
      <c r="AG38" s="550">
        <f>SUM(U38:AF38)</f>
        <v>27654909.432500005</v>
      </c>
      <c r="AH38" s="551" t="e">
        <f>(AG38/$AG$20)*100</f>
        <v>#REF!</v>
      </c>
    </row>
    <row r="39" spans="1:36" x14ac:dyDescent="0.2">
      <c r="A39" s="691"/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547"/>
      <c r="O39" s="557"/>
      <c r="T39" s="541" t="s">
        <v>353</v>
      </c>
      <c r="U39" s="549">
        <f>+Edo.Res.detalle!D39</f>
        <v>119088.56</v>
      </c>
      <c r="V39" s="549">
        <f>+Edo.Res.detalle!E39</f>
        <v>119088.56</v>
      </c>
      <c r="W39" s="549">
        <f>+Edo.Res.detalle!F39</f>
        <v>-4630911.4400000004</v>
      </c>
      <c r="X39" s="549">
        <f>+Edo.Res.detalle!G39</f>
        <v>119088.56</v>
      </c>
      <c r="Y39" s="549">
        <f>+Edo.Res.detalle!H39</f>
        <v>119088.56</v>
      </c>
      <c r="Z39" s="549">
        <f>+Edo.Res.detalle!I39</f>
        <v>119088.56</v>
      </c>
      <c r="AA39" s="549">
        <f>+Edo.Res.detalle!J39</f>
        <v>119088.56</v>
      </c>
      <c r="AB39" s="549">
        <f>+Edo.Res.detalle!K39</f>
        <v>18665.559999999998</v>
      </c>
      <c r="AC39" s="549">
        <f>+Edo.Res.detalle!L39</f>
        <v>-4646781.4400000004</v>
      </c>
      <c r="AD39" s="549">
        <f>+Edo.Res.detalle!M39</f>
        <v>119088.56</v>
      </c>
      <c r="AE39" s="549">
        <f>+Edo.Res.detalle!N39</f>
        <v>119088.56</v>
      </c>
      <c r="AF39" s="549">
        <f>+Edo.Res.detalle!O39</f>
        <v>119088.56</v>
      </c>
      <c r="AG39" s="550">
        <f>SUM(U39:AF39)</f>
        <v>-8187230.2800000012</v>
      </c>
      <c r="AH39" s="551" t="e">
        <f>(AG39/$AG$20)*100</f>
        <v>#REF!</v>
      </c>
      <c r="AI39" s="557" t="s">
        <v>28</v>
      </c>
      <c r="AJ39" s="557" t="s">
        <v>28</v>
      </c>
    </row>
    <row r="40" spans="1:36" x14ac:dyDescent="0.2">
      <c r="A40" s="552" t="s">
        <v>349</v>
      </c>
      <c r="B40" s="558">
        <f t="shared" ref="B40:N40" si="11">SUM(B35:B38)</f>
        <v>19042609</v>
      </c>
      <c r="C40" s="558">
        <f t="shared" si="11"/>
        <v>63142531.013335727</v>
      </c>
      <c r="D40" s="558">
        <f t="shared" si="11"/>
        <v>67932440.082010716</v>
      </c>
      <c r="E40" s="558">
        <f t="shared" si="11"/>
        <v>72179952.536037743</v>
      </c>
      <c r="F40" s="558">
        <f t="shared" si="11"/>
        <v>73025766.674031019</v>
      </c>
      <c r="G40" s="558">
        <f t="shared" si="11"/>
        <v>67210529.982457131</v>
      </c>
      <c r="H40" s="558">
        <f t="shared" si="11"/>
        <v>64942087.017371237</v>
      </c>
      <c r="I40" s="558">
        <f t="shared" si="11"/>
        <v>55994000.612082973</v>
      </c>
      <c r="J40" s="558">
        <f t="shared" si="11"/>
        <v>54048452.44260174</v>
      </c>
      <c r="K40" s="558">
        <f t="shared" si="11"/>
        <v>55924720.063215993</v>
      </c>
      <c r="L40" s="558">
        <f t="shared" si="11"/>
        <v>54606011.491886906</v>
      </c>
      <c r="M40" s="558">
        <f t="shared" si="11"/>
        <v>53659089.460152932</v>
      </c>
      <c r="N40" s="559">
        <f t="shared" si="11"/>
        <v>53642173.222926483</v>
      </c>
      <c r="O40" s="557"/>
      <c r="T40" s="575" t="s">
        <v>354</v>
      </c>
      <c r="U40" s="549">
        <f>+Edo.Res.detalle!D40</f>
        <v>-2116036</v>
      </c>
      <c r="V40" s="549">
        <f>+Edo.Res.detalle!E40</f>
        <v>0</v>
      </c>
      <c r="W40" s="549">
        <f>+Edo.Res.detalle!F40</f>
        <v>0</v>
      </c>
      <c r="X40" s="549">
        <f>+Edo.Res.detalle!G40</f>
        <v>-1691504.579777909</v>
      </c>
      <c r="Y40" s="549">
        <f>+Edo.Res.detalle!H40</f>
        <v>-1185757.1214347307</v>
      </c>
      <c r="Z40" s="549">
        <f>+Edo.Res.detalle!I40</f>
        <v>83892.697800437498</v>
      </c>
      <c r="AA40" s="549">
        <f>+Edo.Res.detalle!J40</f>
        <v>-625925.31003078481</v>
      </c>
      <c r="AB40" s="549">
        <f>+Edo.Res.detalle!K40</f>
        <v>-1093594.5499056962</v>
      </c>
      <c r="AC40" s="549">
        <f>+Edo.Res.detalle!L40</f>
        <v>-1409637.6324179838</v>
      </c>
      <c r="AD40" s="549">
        <f>+Edo.Res.detalle!M40</f>
        <v>-1462084.4685258744</v>
      </c>
      <c r="AE40" s="549">
        <f>+Edo.Res.detalle!N40</f>
        <v>-721729.35215758393</v>
      </c>
      <c r="AF40" s="549">
        <f>+Edo.Res.detalle!O40</f>
        <v>-822202.2952705971</v>
      </c>
      <c r="AG40" s="550">
        <f>SUM(U40:AF40)</f>
        <v>-11044578.611720722</v>
      </c>
      <c r="AH40" s="551" t="e">
        <f>(AG40/$AG$20)*100</f>
        <v>#REF!</v>
      </c>
    </row>
    <row r="41" spans="1:36" x14ac:dyDescent="0.2">
      <c r="A41" s="545"/>
      <c r="B41" s="546"/>
      <c r="C41" s="546"/>
      <c r="D41" s="546"/>
      <c r="E41" s="546"/>
      <c r="F41" s="546"/>
      <c r="G41" s="546"/>
      <c r="H41" s="546"/>
      <c r="I41" s="546"/>
      <c r="J41" s="546"/>
      <c r="K41" s="546"/>
      <c r="L41" s="546"/>
      <c r="M41" s="546"/>
      <c r="N41" s="547"/>
      <c r="O41" s="557"/>
      <c r="T41" s="573" t="s">
        <v>355</v>
      </c>
      <c r="U41" s="560">
        <f t="shared" ref="U41:AF41" si="12">SUM(U37:U40)</f>
        <v>2994160.0399999991</v>
      </c>
      <c r="V41" s="560">
        <f t="shared" si="12"/>
        <v>5253174.0968448045</v>
      </c>
      <c r="W41" s="560">
        <f t="shared" si="12"/>
        <v>639277.80184480455</v>
      </c>
      <c r="X41" s="560">
        <f t="shared" si="12"/>
        <v>3905478.9387335642</v>
      </c>
      <c r="Y41" s="560">
        <f t="shared" si="12"/>
        <v>4530124.4687434081</v>
      </c>
      <c r="Z41" s="560">
        <f t="shared" si="12"/>
        <v>6023146.2463119105</v>
      </c>
      <c r="AA41" s="560">
        <f t="shared" si="12"/>
        <v>5265476.866814021</v>
      </c>
      <c r="AB41" s="560">
        <f t="shared" si="12"/>
        <v>4733100.4686057772</v>
      </c>
      <c r="AC41" s="560">
        <f t="shared" si="12"/>
        <v>-230097.94723984459</v>
      </c>
      <c r="AD41" s="560">
        <f t="shared" si="12"/>
        <v>4478637.7533189319</v>
      </c>
      <c r="AE41" s="560">
        <f t="shared" si="12"/>
        <v>5095982.8896872234</v>
      </c>
      <c r="AF41" s="560">
        <f t="shared" si="12"/>
        <v>4995199.4332408775</v>
      </c>
      <c r="AG41" s="560">
        <f>SUM(AG37:AG40)</f>
        <v>47683661.056905493</v>
      </c>
      <c r="AH41" s="569" t="e">
        <f>(AG41/$AG$20)*100</f>
        <v>#REF!</v>
      </c>
      <c r="AI41" s="557"/>
    </row>
    <row r="42" spans="1:36" x14ac:dyDescent="0.2">
      <c r="A42" s="552" t="s">
        <v>352</v>
      </c>
      <c r="B42" s="546"/>
      <c r="C42" s="546"/>
      <c r="D42" s="546"/>
      <c r="E42" s="546"/>
      <c r="F42" s="546"/>
      <c r="G42" s="546"/>
      <c r="H42" s="546"/>
      <c r="I42" s="546"/>
      <c r="J42" s="546"/>
      <c r="K42" s="546"/>
      <c r="L42" s="546"/>
      <c r="M42" s="546"/>
      <c r="N42" s="547"/>
      <c r="O42" s="557"/>
      <c r="T42" s="555"/>
      <c r="U42" s="570"/>
      <c r="V42" s="570"/>
      <c r="W42" s="570"/>
      <c r="X42" s="570"/>
      <c r="Y42" s="570"/>
      <c r="Z42" s="570"/>
      <c r="AA42" s="570"/>
      <c r="AB42" s="570"/>
      <c r="AC42" s="570"/>
      <c r="AD42" s="570"/>
      <c r="AE42" s="570"/>
      <c r="AF42" s="570"/>
      <c r="AG42" s="570"/>
      <c r="AH42" s="551"/>
    </row>
    <row r="43" spans="1:36" x14ac:dyDescent="0.2">
      <c r="A43" s="545" t="s">
        <v>411</v>
      </c>
      <c r="B43" s="659">
        <f>+'ronoa(2010)'!N43</f>
        <v>0</v>
      </c>
      <c r="C43" s="657">
        <f>+B43</f>
        <v>0</v>
      </c>
      <c r="D43" s="657">
        <f>+C43</f>
        <v>0</v>
      </c>
      <c r="E43" s="657">
        <f t="shared" ref="E43:N43" si="13">+D43</f>
        <v>0</v>
      </c>
      <c r="F43" s="657">
        <f t="shared" si="13"/>
        <v>0</v>
      </c>
      <c r="G43" s="657">
        <f t="shared" si="13"/>
        <v>0</v>
      </c>
      <c r="H43" s="657">
        <f t="shared" si="13"/>
        <v>0</v>
      </c>
      <c r="I43" s="657">
        <f t="shared" si="13"/>
        <v>0</v>
      </c>
      <c r="J43" s="657">
        <f t="shared" si="13"/>
        <v>0</v>
      </c>
      <c r="K43" s="657">
        <f t="shared" si="13"/>
        <v>0</v>
      </c>
      <c r="L43" s="657">
        <f t="shared" si="13"/>
        <v>0</v>
      </c>
      <c r="M43" s="657">
        <f t="shared" si="13"/>
        <v>0</v>
      </c>
      <c r="N43" s="657">
        <f t="shared" si="13"/>
        <v>0</v>
      </c>
      <c r="O43" s="557"/>
      <c r="T43" s="555" t="s">
        <v>357</v>
      </c>
      <c r="U43" s="560" t="e">
        <f t="shared" ref="U43:AF43" si="14">U33-U41</f>
        <v>#REF!</v>
      </c>
      <c r="V43" s="560" t="e">
        <f t="shared" si="14"/>
        <v>#REF!</v>
      </c>
      <c r="W43" s="560" t="e">
        <f t="shared" si="14"/>
        <v>#REF!</v>
      </c>
      <c r="X43" s="560" t="e">
        <f t="shared" si="14"/>
        <v>#REF!</v>
      </c>
      <c r="Y43" s="560" t="e">
        <f t="shared" si="14"/>
        <v>#REF!</v>
      </c>
      <c r="Z43" s="560" t="e">
        <f t="shared" si="14"/>
        <v>#REF!</v>
      </c>
      <c r="AA43" s="560" t="e">
        <f t="shared" si="14"/>
        <v>#REF!</v>
      </c>
      <c r="AB43" s="560" t="e">
        <f t="shared" si="14"/>
        <v>#REF!</v>
      </c>
      <c r="AC43" s="560" t="e">
        <f t="shared" si="14"/>
        <v>#REF!</v>
      </c>
      <c r="AD43" s="560" t="e">
        <f t="shared" si="14"/>
        <v>#REF!</v>
      </c>
      <c r="AE43" s="560" t="e">
        <f t="shared" si="14"/>
        <v>#REF!</v>
      </c>
      <c r="AF43" s="560" t="e">
        <f t="shared" si="14"/>
        <v>#REF!</v>
      </c>
      <c r="AG43" s="560" t="e">
        <f>AG33-AG41</f>
        <v>#REF!</v>
      </c>
      <c r="AH43" s="564" t="e">
        <f>(AG43/$AG$20)*100</f>
        <v>#REF!</v>
      </c>
      <c r="AI43" s="557"/>
    </row>
    <row r="44" spans="1:36" x14ac:dyDescent="0.2">
      <c r="A44" s="571" t="s">
        <v>344</v>
      </c>
      <c r="B44" s="659">
        <f>+'ronoa(2010)'!N44</f>
        <v>26563298</v>
      </c>
      <c r="C44" s="657">
        <f>+balance_detalle!C40</f>
        <v>56608808.416666672</v>
      </c>
      <c r="D44" s="657">
        <f>+balance_detalle!D40</f>
        <v>56602654.833333336</v>
      </c>
      <c r="E44" s="657">
        <f>+balance_detalle!E40</f>
        <v>56596501.25</v>
      </c>
      <c r="F44" s="657">
        <f>+balance_detalle!F40</f>
        <v>56590347.666666672</v>
      </c>
      <c r="G44" s="657">
        <f>+balance_detalle!G40</f>
        <v>56584194.083333343</v>
      </c>
      <c r="H44" s="657">
        <f>+balance_detalle!H40</f>
        <v>56578040.500000007</v>
      </c>
      <c r="I44" s="657">
        <f>+balance_detalle!I40</f>
        <v>56571886.916666672</v>
      </c>
      <c r="J44" s="657">
        <f>+balance_detalle!J40</f>
        <v>56565733.333333343</v>
      </c>
      <c r="K44" s="657">
        <f>+balance_detalle!K40</f>
        <v>56559579.750000015</v>
      </c>
      <c r="L44" s="657">
        <f>+balance_detalle!L40</f>
        <v>56553426.166666679</v>
      </c>
      <c r="M44" s="657">
        <f>+balance_detalle!M40</f>
        <v>56547272.583333343</v>
      </c>
      <c r="N44" s="547">
        <f>+balance_detalle!N40</f>
        <v>56541119.000000015</v>
      </c>
      <c r="O44" s="557"/>
      <c r="T44" s="555"/>
      <c r="U44" s="553"/>
      <c r="V44" s="553"/>
      <c r="W44" s="553"/>
      <c r="X44" s="553"/>
      <c r="Y44" s="553"/>
      <c r="Z44" s="553"/>
      <c r="AA44" s="553"/>
      <c r="AB44" s="553"/>
      <c r="AC44" s="553"/>
      <c r="AD44" s="553"/>
      <c r="AE44" s="553"/>
      <c r="AF44" s="553"/>
      <c r="AG44" s="554"/>
      <c r="AH44" s="551"/>
    </row>
    <row r="45" spans="1:36" x14ac:dyDescent="0.2">
      <c r="A45" s="571" t="s">
        <v>413</v>
      </c>
      <c r="B45" s="659">
        <f>+'ronoa(2010)'!N45</f>
        <v>9544805</v>
      </c>
      <c r="C45" s="657">
        <v>0</v>
      </c>
      <c r="D45" s="657">
        <v>0</v>
      </c>
      <c r="E45" s="657">
        <v>0</v>
      </c>
      <c r="F45" s="657">
        <v>0</v>
      </c>
      <c r="G45" s="657">
        <v>0</v>
      </c>
      <c r="H45" s="657">
        <v>0</v>
      </c>
      <c r="I45" s="657">
        <v>0</v>
      </c>
      <c r="J45" s="657">
        <v>0</v>
      </c>
      <c r="K45" s="657">
        <v>0</v>
      </c>
      <c r="L45" s="657">
        <v>0</v>
      </c>
      <c r="M45" s="657">
        <v>0</v>
      </c>
      <c r="N45" s="690">
        <v>0</v>
      </c>
      <c r="O45" s="557"/>
      <c r="T45" s="555" t="s">
        <v>360</v>
      </c>
      <c r="U45" s="553"/>
      <c r="V45" s="553"/>
      <c r="W45" s="553"/>
      <c r="X45" s="553"/>
      <c r="Y45" s="553"/>
      <c r="Z45" s="553"/>
      <c r="AA45" s="553"/>
      <c r="AB45" s="553"/>
      <c r="AC45" s="553"/>
      <c r="AD45" s="553"/>
      <c r="AE45" s="553"/>
      <c r="AF45" s="553"/>
      <c r="AG45" s="554"/>
      <c r="AH45" s="551"/>
    </row>
    <row r="46" spans="1:36" x14ac:dyDescent="0.2">
      <c r="A46" s="552" t="s">
        <v>418</v>
      </c>
      <c r="B46" s="660">
        <f>SUM(B43:B45)</f>
        <v>36108103</v>
      </c>
      <c r="C46" s="660">
        <f>SUM(C43:C45)</f>
        <v>56608808.416666672</v>
      </c>
      <c r="D46" s="660">
        <f t="shared" ref="D46:N46" si="15">SUM(D43:D45)</f>
        <v>56602654.833333336</v>
      </c>
      <c r="E46" s="660">
        <f t="shared" si="15"/>
        <v>56596501.25</v>
      </c>
      <c r="F46" s="660">
        <f t="shared" si="15"/>
        <v>56590347.666666672</v>
      </c>
      <c r="G46" s="660">
        <f t="shared" si="15"/>
        <v>56584194.083333343</v>
      </c>
      <c r="H46" s="660">
        <f t="shared" si="15"/>
        <v>56578040.500000007</v>
      </c>
      <c r="I46" s="660">
        <f t="shared" si="15"/>
        <v>56571886.916666672</v>
      </c>
      <c r="J46" s="660">
        <f t="shared" si="15"/>
        <v>56565733.333333343</v>
      </c>
      <c r="K46" s="660">
        <f t="shared" si="15"/>
        <v>56559579.750000015</v>
      </c>
      <c r="L46" s="660">
        <f t="shared" si="15"/>
        <v>56553426.166666679</v>
      </c>
      <c r="M46" s="660">
        <f t="shared" si="15"/>
        <v>56547272.583333343</v>
      </c>
      <c r="N46" s="692">
        <f t="shared" si="15"/>
        <v>56541119.000000015</v>
      </c>
      <c r="O46" s="557"/>
      <c r="T46" s="576"/>
      <c r="U46" s="553"/>
      <c r="V46" s="553"/>
      <c r="W46" s="553"/>
      <c r="X46" s="553"/>
      <c r="Y46" s="553"/>
      <c r="Z46" s="553"/>
      <c r="AA46" s="553"/>
      <c r="AB46" s="553"/>
      <c r="AC46" s="553"/>
      <c r="AD46" s="553"/>
      <c r="AE46" s="553"/>
      <c r="AF46" s="553"/>
      <c r="AG46" s="554"/>
      <c r="AH46" s="551"/>
    </row>
    <row r="47" spans="1:36" x14ac:dyDescent="0.2">
      <c r="A47" s="545"/>
      <c r="B47" s="659"/>
      <c r="C47" s="661" t="s">
        <v>28</v>
      </c>
      <c r="D47" s="661" t="s">
        <v>28</v>
      </c>
      <c r="E47" s="661" t="s">
        <v>28</v>
      </c>
      <c r="F47" s="661" t="s">
        <v>28</v>
      </c>
      <c r="G47" s="661" t="s">
        <v>28</v>
      </c>
      <c r="H47" s="661" t="s">
        <v>28</v>
      </c>
      <c r="I47" s="661" t="s">
        <v>28</v>
      </c>
      <c r="J47" s="661" t="s">
        <v>28</v>
      </c>
      <c r="K47" s="661" t="s">
        <v>28</v>
      </c>
      <c r="L47" s="661" t="s">
        <v>28</v>
      </c>
      <c r="M47" s="661" t="s">
        <v>28</v>
      </c>
      <c r="N47" s="690" t="s">
        <v>28</v>
      </c>
      <c r="O47" s="557"/>
      <c r="T47" s="541" t="s">
        <v>363</v>
      </c>
      <c r="U47" s="549">
        <f>+Edo.Res.detalle!D48</f>
        <v>-110763.62</v>
      </c>
      <c r="V47" s="549">
        <f>+Edo.Res.detalle!E48</f>
        <v>-110572.75</v>
      </c>
      <c r="W47" s="549">
        <f>+Edo.Res.detalle!F48</f>
        <v>-99031.92</v>
      </c>
      <c r="X47" s="549">
        <f>+Edo.Res.detalle!G48</f>
        <v>-86883.959999999992</v>
      </c>
      <c r="Y47" s="549">
        <f>+Edo.Res.detalle!H48</f>
        <v>-116113.72</v>
      </c>
      <c r="Z47" s="549">
        <f>+Edo.Res.detalle!I48</f>
        <v>-66401.819999999992</v>
      </c>
      <c r="AA47" s="549">
        <f>+Edo.Res.detalle!J48</f>
        <v>-149578.02000000002</v>
      </c>
      <c r="AB47" s="549">
        <f>+Edo.Res.detalle!K48</f>
        <v>-43920.149999999987</v>
      </c>
      <c r="AC47" s="549">
        <f>+Edo.Res.detalle!L48</f>
        <v>-63629.86</v>
      </c>
      <c r="AD47" s="549">
        <f>+Edo.Res.detalle!M48</f>
        <v>-320474.86</v>
      </c>
      <c r="AE47" s="549">
        <f>+Edo.Res.detalle!N48</f>
        <v>36691.87000000001</v>
      </c>
      <c r="AF47" s="549">
        <f>+Edo.Res.detalle!O48</f>
        <v>-103619.29</v>
      </c>
      <c r="AG47" s="550">
        <f>SUM(U47:AF47)</f>
        <v>-1234298.0999999999</v>
      </c>
      <c r="AH47" s="551" t="e">
        <f>(AG47/$AG$20)*100</f>
        <v>#REF!</v>
      </c>
    </row>
    <row r="48" spans="1:36" x14ac:dyDescent="0.2">
      <c r="A48" s="552" t="s">
        <v>356</v>
      </c>
      <c r="B48" s="567">
        <f>+B40+B46</f>
        <v>55150712</v>
      </c>
      <c r="C48" s="567">
        <f>+C40+C46</f>
        <v>119751339.43000239</v>
      </c>
      <c r="D48" s="567">
        <f t="shared" ref="D48:N48" si="16">+D40+D46</f>
        <v>124535094.91534406</v>
      </c>
      <c r="E48" s="567">
        <f t="shared" si="16"/>
        <v>128776453.78603774</v>
      </c>
      <c r="F48" s="567">
        <f t="shared" si="16"/>
        <v>129616114.34069769</v>
      </c>
      <c r="G48" s="567">
        <f t="shared" si="16"/>
        <v>123794724.06579047</v>
      </c>
      <c r="H48" s="567">
        <f t="shared" si="16"/>
        <v>121520127.51737124</v>
      </c>
      <c r="I48" s="567">
        <f t="shared" si="16"/>
        <v>112565887.52874964</v>
      </c>
      <c r="J48" s="567">
        <f t="shared" si="16"/>
        <v>110614185.77593508</v>
      </c>
      <c r="K48" s="567">
        <f t="shared" si="16"/>
        <v>112484299.813216</v>
      </c>
      <c r="L48" s="567">
        <f t="shared" si="16"/>
        <v>111159437.65855359</v>
      </c>
      <c r="M48" s="567">
        <f t="shared" si="16"/>
        <v>110206362.04348627</v>
      </c>
      <c r="N48" s="693">
        <f t="shared" si="16"/>
        <v>110183292.2229265</v>
      </c>
      <c r="O48" s="557"/>
      <c r="T48" s="541" t="s">
        <v>365</v>
      </c>
      <c r="U48" s="549">
        <f>+Edo.Res.detalle!D49</f>
        <v>545651.12</v>
      </c>
      <c r="V48" s="549">
        <f>+Edo.Res.detalle!E49</f>
        <v>541460.76</v>
      </c>
      <c r="W48" s="549">
        <f>+Edo.Res.detalle!F49</f>
        <v>537244.57999999996</v>
      </c>
      <c r="X48" s="549">
        <f>+Edo.Res.detalle!G49</f>
        <v>533001.56999999995</v>
      </c>
      <c r="Y48" s="549">
        <f>+Edo.Res.detalle!H49</f>
        <v>528732.71</v>
      </c>
      <c r="Z48" s="549">
        <f>+Edo.Res.detalle!I49</f>
        <v>524435.01</v>
      </c>
      <c r="AA48" s="549">
        <f>+Edo.Res.detalle!J49</f>
        <v>520113.43</v>
      </c>
      <c r="AB48" s="549">
        <f>+Edo.Res.detalle!K49</f>
        <v>515761.98</v>
      </c>
      <c r="AC48" s="549">
        <f>+Edo.Res.detalle!L49</f>
        <v>511385.65</v>
      </c>
      <c r="AD48" s="549">
        <f>+Edo.Res.detalle!M49</f>
        <v>506979.41</v>
      </c>
      <c r="AE48" s="549">
        <f>+Edo.Res.detalle!N49</f>
        <v>502548.26</v>
      </c>
      <c r="AF48" s="549">
        <f>+Edo.Res.detalle!O49</f>
        <v>498088.19</v>
      </c>
      <c r="AG48" s="550">
        <f>SUM(U48:AF48)</f>
        <v>6265402.6700000009</v>
      </c>
      <c r="AH48" s="551" t="e">
        <f>(AG48/$AG$20)*100</f>
        <v>#REF!</v>
      </c>
    </row>
    <row r="49" spans="1:34" x14ac:dyDescent="0.2">
      <c r="A49" s="545"/>
      <c r="B49" s="546"/>
      <c r="C49" s="659" t="s">
        <v>28</v>
      </c>
      <c r="D49" s="546" t="s">
        <v>28</v>
      </c>
      <c r="E49" s="546" t="s">
        <v>28</v>
      </c>
      <c r="F49" s="546" t="s">
        <v>28</v>
      </c>
      <c r="G49" s="546" t="s">
        <v>28</v>
      </c>
      <c r="H49" s="546" t="s">
        <v>28</v>
      </c>
      <c r="I49" s="546" t="s">
        <v>28</v>
      </c>
      <c r="J49" s="546" t="s">
        <v>28</v>
      </c>
      <c r="K49" s="546" t="s">
        <v>28</v>
      </c>
      <c r="L49" s="546" t="s">
        <v>28</v>
      </c>
      <c r="M49" s="546" t="s">
        <v>28</v>
      </c>
      <c r="N49" s="547" t="s">
        <v>28</v>
      </c>
      <c r="O49" s="557" t="s">
        <v>28</v>
      </c>
      <c r="T49" s="577" t="s">
        <v>367</v>
      </c>
      <c r="U49" s="549">
        <f>+Edo.Res.detalle!D55</f>
        <v>0</v>
      </c>
      <c r="V49" s="549">
        <f>+Edo.Res.detalle!E55</f>
        <v>0</v>
      </c>
      <c r="W49" s="549">
        <f>+Edo.Res.detalle!F55</f>
        <v>0</v>
      </c>
      <c r="X49" s="549">
        <f>+Edo.Res.detalle!G55</f>
        <v>0</v>
      </c>
      <c r="Y49" s="549">
        <f>+Edo.Res.detalle!H55</f>
        <v>0</v>
      </c>
      <c r="Z49" s="549">
        <f>+Edo.Res.detalle!I55</f>
        <v>0</v>
      </c>
      <c r="AA49" s="549">
        <f>+Edo.Res.detalle!J55</f>
        <v>0</v>
      </c>
      <c r="AB49" s="549">
        <f>+Edo.Res.detalle!K55</f>
        <v>0</v>
      </c>
      <c r="AC49" s="549">
        <f>+Edo.Res.detalle!L55</f>
        <v>0</v>
      </c>
      <c r="AD49" s="549">
        <f>+Edo.Res.detalle!M55</f>
        <v>0</v>
      </c>
      <c r="AE49" s="549">
        <f>+Edo.Res.detalle!N55</f>
        <v>0</v>
      </c>
      <c r="AF49" s="549">
        <f>+Edo.Res.detalle!O55</f>
        <v>0</v>
      </c>
      <c r="AG49" s="550">
        <f>SUM(U49:AF49)</f>
        <v>0</v>
      </c>
      <c r="AH49" s="551" t="e">
        <f>(AG49/$AG$20)*100</f>
        <v>#REF!</v>
      </c>
    </row>
    <row r="50" spans="1:34" x14ac:dyDescent="0.2">
      <c r="A50" s="552" t="s">
        <v>358</v>
      </c>
      <c r="B50" s="546"/>
      <c r="C50" s="546"/>
      <c r="D50" s="546"/>
      <c r="E50" s="546"/>
      <c r="F50" s="546"/>
      <c r="G50" s="546"/>
      <c r="H50" s="546"/>
      <c r="I50" s="546"/>
      <c r="J50" s="546"/>
      <c r="K50" s="546"/>
      <c r="L50" s="546"/>
      <c r="M50" s="546"/>
      <c r="N50" s="547"/>
      <c r="O50" s="557"/>
      <c r="T50" s="555" t="s">
        <v>368</v>
      </c>
      <c r="U50" s="560">
        <f t="shared" ref="U50:AG50" si="17">U47+U48+U49</f>
        <v>434887.5</v>
      </c>
      <c r="V50" s="560">
        <f>V47+V48+V49</f>
        <v>430888.01</v>
      </c>
      <c r="W50" s="560">
        <f>W47+W48+W49</f>
        <v>438212.66</v>
      </c>
      <c r="X50" s="560">
        <f>X47+X48+X49</f>
        <v>446117.61</v>
      </c>
      <c r="Y50" s="560">
        <f>Y47+Y48+Y49</f>
        <v>412618.99</v>
      </c>
      <c r="Z50" s="560">
        <f>Z47+Z48+Z49</f>
        <v>458033.19</v>
      </c>
      <c r="AA50" s="560">
        <f t="shared" si="17"/>
        <v>370535.41</v>
      </c>
      <c r="AB50" s="560">
        <f t="shared" si="17"/>
        <v>471841.83</v>
      </c>
      <c r="AC50" s="560">
        <f t="shared" si="17"/>
        <v>447755.79000000004</v>
      </c>
      <c r="AD50" s="560">
        <f t="shared" si="17"/>
        <v>186504.55</v>
      </c>
      <c r="AE50" s="560">
        <f t="shared" si="17"/>
        <v>539240.13</v>
      </c>
      <c r="AF50" s="560">
        <f t="shared" si="17"/>
        <v>394468.9</v>
      </c>
      <c r="AG50" s="560">
        <f t="shared" si="17"/>
        <v>5031104.5700000012</v>
      </c>
      <c r="AH50" s="561" t="e">
        <f>(AG50/$AG$20)*100</f>
        <v>#REF!</v>
      </c>
    </row>
    <row r="51" spans="1:34" x14ac:dyDescent="0.2">
      <c r="A51" s="545" t="s">
        <v>359</v>
      </c>
      <c r="B51" s="657">
        <f>+'ronoa(2010)'!N50</f>
        <v>25000000</v>
      </c>
      <c r="C51" s="546">
        <f>+balance_detalle!C45</f>
        <v>13036741</v>
      </c>
      <c r="D51" s="546">
        <f>+balance_detalle!D45</f>
        <v>13036741</v>
      </c>
      <c r="E51" s="546">
        <f>+balance_detalle!E45</f>
        <v>13036741</v>
      </c>
      <c r="F51" s="546">
        <f>+balance_detalle!F45</f>
        <v>13036741</v>
      </c>
      <c r="G51" s="546">
        <f>+balance_detalle!G45</f>
        <v>13036741</v>
      </c>
      <c r="H51" s="546">
        <f>+balance_detalle!H45</f>
        <v>13036741</v>
      </c>
      <c r="I51" s="546">
        <f>+balance_detalle!I45</f>
        <v>13036741</v>
      </c>
      <c r="J51" s="546">
        <f>+balance_detalle!J45</f>
        <v>13036741</v>
      </c>
      <c r="K51" s="546">
        <f>+balance_detalle!K45</f>
        <v>13036741</v>
      </c>
      <c r="L51" s="546">
        <f>+balance_detalle!L45</f>
        <v>13036741</v>
      </c>
      <c r="M51" s="546">
        <f>+balance_detalle!M45</f>
        <v>13036741</v>
      </c>
      <c r="N51" s="690">
        <f>+balance_detalle!N45</f>
        <v>13036741</v>
      </c>
      <c r="O51" s="557"/>
      <c r="T51" s="555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8"/>
      <c r="AH51" s="551"/>
    </row>
    <row r="52" spans="1:34" x14ac:dyDescent="0.2">
      <c r="A52" s="545" t="s">
        <v>361</v>
      </c>
      <c r="B52" s="657">
        <f>+'ronoa(2010)'!N51</f>
        <v>67126701</v>
      </c>
      <c r="C52" s="546">
        <f>+balance_detalle!C47</f>
        <v>53054029.310599998</v>
      </c>
      <c r="D52" s="546">
        <f>+balance_detalle!D47</f>
        <v>53054029.310599998</v>
      </c>
      <c r="E52" s="546">
        <f>+balance_detalle!E47</f>
        <v>53054029.310599998</v>
      </c>
      <c r="F52" s="546">
        <f>+balance_detalle!F47</f>
        <v>53054029.310599998</v>
      </c>
      <c r="G52" s="546">
        <f>+balance_detalle!G47</f>
        <v>53054029.310599998</v>
      </c>
      <c r="H52" s="546">
        <f>+balance_detalle!H47</f>
        <v>53054029.310599998</v>
      </c>
      <c r="I52" s="546">
        <f>+balance_detalle!I47</f>
        <v>53054029.310599998</v>
      </c>
      <c r="J52" s="546">
        <f>+balance_detalle!J47</f>
        <v>53054029.310599998</v>
      </c>
      <c r="K52" s="546">
        <f>+balance_detalle!K47</f>
        <v>53054029.310599998</v>
      </c>
      <c r="L52" s="546">
        <f>+balance_detalle!L47</f>
        <v>53054029.310599998</v>
      </c>
      <c r="M52" s="546">
        <f>+balance_detalle!M47</f>
        <v>53054029.310599998</v>
      </c>
      <c r="N52" s="690">
        <f>+balance_detalle!N47</f>
        <v>53054029.310599998</v>
      </c>
      <c r="T52" s="555" t="s">
        <v>370</v>
      </c>
      <c r="U52" s="560" t="e">
        <f t="shared" ref="U52:AG52" si="18">U43-U50</f>
        <v>#REF!</v>
      </c>
      <c r="V52" s="560" t="e">
        <f t="shared" si="18"/>
        <v>#REF!</v>
      </c>
      <c r="W52" s="560" t="e">
        <f t="shared" si="18"/>
        <v>#REF!</v>
      </c>
      <c r="X52" s="560" t="e">
        <f t="shared" si="18"/>
        <v>#REF!</v>
      </c>
      <c r="Y52" s="560" t="e">
        <f t="shared" si="18"/>
        <v>#REF!</v>
      </c>
      <c r="Z52" s="560" t="e">
        <f t="shared" si="18"/>
        <v>#REF!</v>
      </c>
      <c r="AA52" s="560" t="e">
        <f t="shared" si="18"/>
        <v>#REF!</v>
      </c>
      <c r="AB52" s="560" t="e">
        <f t="shared" si="18"/>
        <v>#REF!</v>
      </c>
      <c r="AC52" s="560" t="e">
        <f t="shared" si="18"/>
        <v>#REF!</v>
      </c>
      <c r="AD52" s="560" t="e">
        <f t="shared" si="18"/>
        <v>#REF!</v>
      </c>
      <c r="AE52" s="560" t="e">
        <f t="shared" si="18"/>
        <v>#REF!</v>
      </c>
      <c r="AF52" s="560" t="e">
        <f t="shared" si="18"/>
        <v>#REF!</v>
      </c>
      <c r="AG52" s="560" t="e">
        <f t="shared" si="18"/>
        <v>#REF!</v>
      </c>
      <c r="AH52" s="564" t="e">
        <f>(AG52/$AG$20)*100</f>
        <v>#REF!</v>
      </c>
    </row>
    <row r="53" spans="1:34" x14ac:dyDescent="0.2">
      <c r="A53" s="545" t="s">
        <v>362</v>
      </c>
      <c r="B53" s="657">
        <f>+'ronoa(2010)'!N52</f>
        <v>-21167860</v>
      </c>
      <c r="C53" s="546">
        <f>+balance_detalle!C48</f>
        <v>6388668.9007874187</v>
      </c>
      <c r="D53" s="546">
        <f>+balance_detalle!D48</f>
        <v>6087178.3505179845</v>
      </c>
      <c r="E53" s="546">
        <f>+balance_detalle!E48</f>
        <v>10543839.964617873</v>
      </c>
      <c r="F53" s="546">
        <f>+balance_detalle!F48</f>
        <v>13763921.212679958</v>
      </c>
      <c r="G53" s="546">
        <f>+balance_detalle!G48</f>
        <v>17356062.990944654</v>
      </c>
      <c r="H53" s="546">
        <f>+balance_detalle!H48</f>
        <v>18667164.872072712</v>
      </c>
      <c r="I53" s="546">
        <f>+balance_detalle!I48</f>
        <v>21934010.6157603</v>
      </c>
      <c r="J53" s="546">
        <f>+balance_detalle!J48</f>
        <v>24691949.800476346</v>
      </c>
      <c r="K53" s="546">
        <f>+balance_detalle!K48</f>
        <v>29072117.882811964</v>
      </c>
      <c r="L53" s="546">
        <f>+balance_detalle!L48</f>
        <v>34679030.418127745</v>
      </c>
      <c r="M53" s="546">
        <f>+balance_detalle!M48</f>
        <v>36795222.677096523</v>
      </c>
      <c r="N53" s="690">
        <f>+balance_detalle!N48</f>
        <v>39684177.320419796</v>
      </c>
      <c r="T53" s="555"/>
      <c r="U53" s="553"/>
      <c r="V53" s="553"/>
      <c r="W53" s="553"/>
      <c r="X53" s="553"/>
      <c r="Y53" s="553"/>
      <c r="Z53" s="553"/>
      <c r="AA53" s="553"/>
      <c r="AB53" s="553"/>
      <c r="AC53" s="553"/>
      <c r="AD53" s="553"/>
      <c r="AE53" s="553"/>
      <c r="AF53" s="553"/>
      <c r="AG53" s="553"/>
      <c r="AH53" s="551"/>
    </row>
    <row r="54" spans="1:34" x14ac:dyDescent="0.2">
      <c r="A54" s="571" t="s">
        <v>364</v>
      </c>
      <c r="B54" s="657">
        <f>+'ronoa(2010)'!N53</f>
        <v>47064204</v>
      </c>
      <c r="C54" s="546">
        <f>+balance_detalle!C49</f>
        <v>-264805</v>
      </c>
      <c r="D54" s="546">
        <f>+balance_detalle!D49</f>
        <v>-264805</v>
      </c>
      <c r="E54" s="546">
        <f>+balance_detalle!E49</f>
        <v>-264805</v>
      </c>
      <c r="F54" s="546">
        <f>+balance_detalle!F49</f>
        <v>-264805</v>
      </c>
      <c r="G54" s="546">
        <f>+balance_detalle!G49</f>
        <v>-264805</v>
      </c>
      <c r="H54" s="546">
        <f>+balance_detalle!H49</f>
        <v>-264805</v>
      </c>
      <c r="I54" s="546">
        <f>+balance_detalle!I49</f>
        <v>-264805</v>
      </c>
      <c r="J54" s="546">
        <f>+balance_detalle!J49</f>
        <v>-264805</v>
      </c>
      <c r="K54" s="546">
        <f>+balance_detalle!K49</f>
        <v>-264805</v>
      </c>
      <c r="L54" s="546">
        <f>+balance_detalle!L49</f>
        <v>-264805</v>
      </c>
      <c r="M54" s="546">
        <f>+balance_detalle!M49</f>
        <v>-264805</v>
      </c>
      <c r="N54" s="690">
        <f>+balance_detalle!N49</f>
        <v>-264805</v>
      </c>
      <c r="T54" s="555" t="s">
        <v>371</v>
      </c>
      <c r="U54" s="553"/>
      <c r="V54" s="553"/>
      <c r="W54" s="553"/>
      <c r="X54" s="553"/>
      <c r="Y54" s="553"/>
      <c r="Z54" s="553"/>
      <c r="AA54" s="553"/>
      <c r="AB54" s="553"/>
      <c r="AC54" s="553"/>
      <c r="AD54" s="553"/>
      <c r="AE54" s="553"/>
      <c r="AF54" s="553"/>
      <c r="AG54" s="553"/>
      <c r="AH54" s="551"/>
    </row>
    <row r="55" spans="1:34" x14ac:dyDescent="0.2">
      <c r="A55" s="552" t="s">
        <v>366</v>
      </c>
      <c r="B55" s="567">
        <f t="shared" ref="B55:N55" si="19">SUM(B51:B54)</f>
        <v>118023045</v>
      </c>
      <c r="C55" s="567">
        <f t="shared" si="19"/>
        <v>72214634.211387411</v>
      </c>
      <c r="D55" s="567">
        <f>SUM(D51:D54)</f>
        <v>71913143.661117986</v>
      </c>
      <c r="E55" s="567">
        <f>SUM(E51:E54)</f>
        <v>76369805.275217876</v>
      </c>
      <c r="F55" s="567">
        <f>SUM(F51:F54)</f>
        <v>79589886.52327995</v>
      </c>
      <c r="G55" s="567">
        <f>SUM(G51:G54)</f>
        <v>83182028.301544651</v>
      </c>
      <c r="H55" s="567">
        <f>SUM(H51:H54)</f>
        <v>84493130.182672709</v>
      </c>
      <c r="I55" s="567">
        <f t="shared" si="19"/>
        <v>87759975.926360294</v>
      </c>
      <c r="J55" s="567">
        <f t="shared" si="19"/>
        <v>90517915.11107634</v>
      </c>
      <c r="K55" s="567">
        <f t="shared" si="19"/>
        <v>94898083.193411961</v>
      </c>
      <c r="L55" s="567">
        <f t="shared" si="19"/>
        <v>100504995.72872774</v>
      </c>
      <c r="M55" s="567">
        <f t="shared" si="19"/>
        <v>102621187.98769653</v>
      </c>
      <c r="N55" s="568">
        <f t="shared" si="19"/>
        <v>105510142.6310198</v>
      </c>
      <c r="T55" s="555"/>
      <c r="U55" s="553"/>
      <c r="V55" s="553"/>
      <c r="W55" s="553"/>
      <c r="X55" s="553"/>
      <c r="Y55" s="553"/>
      <c r="Z55" s="553"/>
      <c r="AA55" s="553"/>
      <c r="AB55" s="553"/>
      <c r="AC55" s="553"/>
      <c r="AD55" s="553"/>
      <c r="AE55" s="553"/>
      <c r="AF55" s="553"/>
      <c r="AG55" s="553"/>
      <c r="AH55" s="551"/>
    </row>
    <row r="56" spans="1:34" x14ac:dyDescent="0.2">
      <c r="A56" s="552"/>
      <c r="B56" s="579"/>
      <c r="C56" s="579"/>
      <c r="D56" s="579"/>
      <c r="E56" s="579"/>
      <c r="F56" s="579"/>
      <c r="G56" s="579"/>
      <c r="H56" s="579"/>
      <c r="I56" s="579"/>
      <c r="J56" s="579"/>
      <c r="K56" s="579"/>
      <c r="L56" s="579"/>
      <c r="M56" s="579"/>
      <c r="N56" s="580"/>
      <c r="T56" s="541" t="s">
        <v>372</v>
      </c>
      <c r="U56" s="549">
        <f>+Edo.Res.detalle!D63</f>
        <v>-2368752.8117493857</v>
      </c>
      <c r="V56" s="549">
        <f>+Edo.Res.detalle!E63</f>
        <v>1921624.4387435964</v>
      </c>
      <c r="W56" s="549">
        <f>+Edo.Res.detalle!F63</f>
        <v>2138632.9527836982</v>
      </c>
      <c r="X56" s="549">
        <f>+Edo.Res.detalle!G63</f>
        <v>1185757.1214347307</v>
      </c>
      <c r="Y56" s="549">
        <f>+Edo.Res.detalle!H63</f>
        <v>-83892.697800437498</v>
      </c>
      <c r="Z56" s="549">
        <f>+Edo.Res.detalle!I63</f>
        <v>625925.31003078481</v>
      </c>
      <c r="AA56" s="549">
        <f>+Edo.Res.detalle!J63</f>
        <v>1093594.5499056962</v>
      </c>
      <c r="AB56" s="549">
        <f>+Edo.Res.detalle!K63</f>
        <v>1409637.6324179838</v>
      </c>
      <c r="AC56" s="549">
        <f>+Edo.Res.detalle!L63</f>
        <v>2633300.8319093953</v>
      </c>
      <c r="AD56" s="549">
        <f>+Edo.Res.detalle!M63</f>
        <v>1365745.1746779396</v>
      </c>
      <c r="AE56" s="549">
        <f>+Edo.Res.detalle!N63</f>
        <v>1671056.6311329636</v>
      </c>
      <c r="AF56" s="549">
        <f>+Edo.Res.detalle!O63</f>
        <v>1162331.8892056749</v>
      </c>
      <c r="AG56" s="550">
        <f>SUM(U56:AF56)</f>
        <v>12754961.022692643</v>
      </c>
      <c r="AH56" s="551" t="e">
        <f>(AG56/$AG$20)*100</f>
        <v>#REF!</v>
      </c>
    </row>
    <row r="57" spans="1:34" ht="12.75" thickBot="1" x14ac:dyDescent="0.25">
      <c r="A57" s="581" t="s">
        <v>369</v>
      </c>
      <c r="B57" s="582">
        <f t="shared" ref="B57:N57" si="20">B48+B55</f>
        <v>173173757</v>
      </c>
      <c r="C57" s="582">
        <f t="shared" si="20"/>
        <v>191965973.64138979</v>
      </c>
      <c r="D57" s="582">
        <f t="shared" si="20"/>
        <v>196448238.57646203</v>
      </c>
      <c r="E57" s="582">
        <f t="shared" si="20"/>
        <v>205146259.06125563</v>
      </c>
      <c r="F57" s="582">
        <f t="shared" si="20"/>
        <v>209206000.86397764</v>
      </c>
      <c r="G57" s="582">
        <f t="shared" si="20"/>
        <v>206976752.36733514</v>
      </c>
      <c r="H57" s="582">
        <f t="shared" si="20"/>
        <v>206013257.70004395</v>
      </c>
      <c r="I57" s="582">
        <f t="shared" si="20"/>
        <v>200325863.45510995</v>
      </c>
      <c r="J57" s="582">
        <f>J48+J55</f>
        <v>201132100.88701141</v>
      </c>
      <c r="K57" s="582">
        <f t="shared" si="20"/>
        <v>207382383.00662798</v>
      </c>
      <c r="L57" s="582">
        <f t="shared" si="20"/>
        <v>211664433.38728133</v>
      </c>
      <c r="M57" s="582">
        <f t="shared" si="20"/>
        <v>212827550.0311828</v>
      </c>
      <c r="N57" s="583">
        <f t="shared" si="20"/>
        <v>215693434.8539463</v>
      </c>
      <c r="T57" s="541" t="s">
        <v>374</v>
      </c>
      <c r="U57" s="549">
        <f>+Edo.Res.detalle!D65</f>
        <v>0</v>
      </c>
      <c r="V57" s="549">
        <f>+Edo.Res.detalle!E65</f>
        <v>634156.50867498759</v>
      </c>
      <c r="W57" s="549">
        <f>+Edo.Res.detalle!F65</f>
        <v>706666.0606936937</v>
      </c>
      <c r="X57" s="549">
        <f>+Edo.Res.detalle!G65</f>
        <v>219507.74465994083</v>
      </c>
      <c r="Y57" s="549">
        <f>+Edo.Res.detalle!H65</f>
        <v>174458.71509278973</v>
      </c>
      <c r="Z57" s="549">
        <f>+Edo.Res.detalle!I65</f>
        <v>206092.84158077507</v>
      </c>
      <c r="AA57" s="549">
        <f>+Edo.Res.detalle!J65</f>
        <v>289202.20137840754</v>
      </c>
      <c r="AB57" s="549">
        <f>+Edo.Res.detalle!K65</f>
        <v>352826.8305187705</v>
      </c>
      <c r="AC57" s="549">
        <f>+Edo.Res.detalle!L65</f>
        <v>727573.62061425298</v>
      </c>
      <c r="AD57" s="549">
        <f>+Edo.Res.detalle!M65</f>
        <v>300726.42867091432</v>
      </c>
      <c r="AE57" s="549">
        <f>+Edo.Res.detalle!N65</f>
        <v>476977.96826602623</v>
      </c>
      <c r="AF57" s="549">
        <f>+Edo.Res.detalle!O65</f>
        <v>297249.76277354895</v>
      </c>
      <c r="AG57" s="550">
        <f>SUM(U57:AF57)</f>
        <v>4385438.6829241076</v>
      </c>
      <c r="AH57" s="551" t="e">
        <f>(AG57/$AG$20)*100</f>
        <v>#REF!</v>
      </c>
    </row>
    <row r="58" spans="1:34" ht="12.75" thickTop="1" x14ac:dyDescent="0.2">
      <c r="C58" s="526">
        <f t="shared" ref="C58:N58" si="21">+C29-C57</f>
        <v>100517114.06158155</v>
      </c>
      <c r="D58" s="526">
        <f t="shared" si="21"/>
        <v>100517113.90487647</v>
      </c>
      <c r="E58" s="526">
        <f t="shared" si="21"/>
        <v>100517113.81887805</v>
      </c>
      <c r="F58" s="526">
        <f t="shared" si="21"/>
        <v>100517113.58124706</v>
      </c>
      <c r="G58" s="526">
        <f t="shared" si="21"/>
        <v>100517114.35534072</v>
      </c>
      <c r="H58" s="526">
        <f t="shared" si="21"/>
        <v>100517114.05538234</v>
      </c>
      <c r="I58" s="526">
        <f t="shared" si="21"/>
        <v>100517113.75346237</v>
      </c>
      <c r="J58" s="526">
        <f t="shared" si="21"/>
        <v>100517114.29789782</v>
      </c>
      <c r="K58" s="526">
        <f t="shared" si="21"/>
        <v>100517114.41264558</v>
      </c>
      <c r="L58" s="526">
        <f t="shared" si="21"/>
        <v>100517114.25067052</v>
      </c>
      <c r="M58" s="526">
        <f t="shared" si="21"/>
        <v>100517114.33238199</v>
      </c>
      <c r="N58" s="526">
        <f t="shared" si="21"/>
        <v>100517113.73571113</v>
      </c>
      <c r="T58" s="555"/>
      <c r="U58" s="553"/>
      <c r="V58" s="553"/>
      <c r="W58" s="553"/>
      <c r="X58" s="553"/>
      <c r="Y58" s="553"/>
      <c r="Z58" s="553"/>
      <c r="AA58" s="553"/>
      <c r="AB58" s="553"/>
      <c r="AC58" s="553"/>
      <c r="AD58" s="553"/>
      <c r="AE58" s="553"/>
      <c r="AF58" s="553"/>
      <c r="AG58" s="553"/>
      <c r="AH58" s="551"/>
    </row>
    <row r="59" spans="1:34" x14ac:dyDescent="0.2">
      <c r="T59" s="555" t="s">
        <v>377</v>
      </c>
      <c r="U59" s="560">
        <f t="shared" ref="U59:AG59" si="22">SUM(U56:U58)</f>
        <v>-2368752.8117493857</v>
      </c>
      <c r="V59" s="560">
        <f t="shared" si="22"/>
        <v>2555780.947418584</v>
      </c>
      <c r="W59" s="560">
        <f t="shared" si="22"/>
        <v>2845299.013477392</v>
      </c>
      <c r="X59" s="560">
        <f t="shared" si="22"/>
        <v>1405264.8660946717</v>
      </c>
      <c r="Y59" s="560">
        <f t="shared" si="22"/>
        <v>90566.017292352233</v>
      </c>
      <c r="Z59" s="560">
        <f t="shared" si="22"/>
        <v>832018.15161155991</v>
      </c>
      <c r="AA59" s="560">
        <f t="shared" si="22"/>
        <v>1382796.7512841038</v>
      </c>
      <c r="AB59" s="560">
        <f t="shared" si="22"/>
        <v>1762464.4629367543</v>
      </c>
      <c r="AC59" s="560">
        <f t="shared" si="22"/>
        <v>3360874.4525236483</v>
      </c>
      <c r="AD59" s="560">
        <f t="shared" si="22"/>
        <v>1666471.603348854</v>
      </c>
      <c r="AE59" s="560">
        <f t="shared" si="22"/>
        <v>2148034.5993989897</v>
      </c>
      <c r="AF59" s="560">
        <f t="shared" si="22"/>
        <v>1459581.6519792238</v>
      </c>
      <c r="AG59" s="560">
        <f t="shared" si="22"/>
        <v>17140399.70561675</v>
      </c>
      <c r="AH59" s="564" t="e">
        <f>(AG59/$AG$20)*100</f>
        <v>#REF!</v>
      </c>
    </row>
    <row r="60" spans="1:34" x14ac:dyDescent="0.2">
      <c r="T60" s="555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  <c r="AF60" s="570"/>
      <c r="AG60" s="570"/>
      <c r="AH60" s="551"/>
    </row>
    <row r="61" spans="1:34" x14ac:dyDescent="0.2">
      <c r="T61" s="555" t="s">
        <v>379</v>
      </c>
      <c r="U61" s="560" t="e">
        <f t="shared" ref="U61:AG61" si="23">U52-U59</f>
        <v>#REF!</v>
      </c>
      <c r="V61" s="560" t="e">
        <f t="shared" si="23"/>
        <v>#REF!</v>
      </c>
      <c r="W61" s="560" t="e">
        <f t="shared" si="23"/>
        <v>#REF!</v>
      </c>
      <c r="X61" s="560" t="e">
        <f t="shared" si="23"/>
        <v>#REF!</v>
      </c>
      <c r="Y61" s="560" t="e">
        <f t="shared" si="23"/>
        <v>#REF!</v>
      </c>
      <c r="Z61" s="560" t="e">
        <f t="shared" si="23"/>
        <v>#REF!</v>
      </c>
      <c r="AA61" s="560" t="e">
        <f t="shared" si="23"/>
        <v>#REF!</v>
      </c>
      <c r="AB61" s="560" t="e">
        <f t="shared" si="23"/>
        <v>#REF!</v>
      </c>
      <c r="AC61" s="560" t="e">
        <f t="shared" si="23"/>
        <v>#REF!</v>
      </c>
      <c r="AD61" s="560" t="e">
        <f t="shared" si="23"/>
        <v>#REF!</v>
      </c>
      <c r="AE61" s="560" t="e">
        <f t="shared" si="23"/>
        <v>#REF!</v>
      </c>
      <c r="AF61" s="560" t="e">
        <f t="shared" si="23"/>
        <v>#REF!</v>
      </c>
      <c r="AG61" s="560" t="e">
        <f t="shared" si="23"/>
        <v>#REF!</v>
      </c>
      <c r="AH61" s="569" t="e">
        <f>(AG61/$AG$20)*100</f>
        <v>#REF!</v>
      </c>
    </row>
    <row r="62" spans="1:34" x14ac:dyDescent="0.2">
      <c r="T62" s="555"/>
      <c r="U62" s="570"/>
      <c r="V62" s="570"/>
      <c r="W62" s="570"/>
      <c r="X62" s="570"/>
      <c r="Y62" s="570"/>
      <c r="Z62" s="570"/>
      <c r="AA62" s="570"/>
      <c r="AB62" s="570"/>
      <c r="AC62" s="570"/>
      <c r="AD62" s="570"/>
      <c r="AE62" s="570"/>
      <c r="AF62" s="570"/>
      <c r="AG62" s="570"/>
      <c r="AH62" s="551"/>
    </row>
    <row r="63" spans="1:34" x14ac:dyDescent="0.2">
      <c r="T63" s="555" t="s">
        <v>385</v>
      </c>
      <c r="U63" s="560" t="e">
        <f t="shared" ref="U63:AG63" si="24">U61+U38</f>
        <v>#REF!</v>
      </c>
      <c r="V63" s="560" t="e">
        <f t="shared" si="24"/>
        <v>#REF!</v>
      </c>
      <c r="W63" s="560" t="e">
        <f t="shared" si="24"/>
        <v>#REF!</v>
      </c>
      <c r="X63" s="560" t="e">
        <f t="shared" si="24"/>
        <v>#REF!</v>
      </c>
      <c r="Y63" s="560" t="e">
        <f t="shared" si="24"/>
        <v>#REF!</v>
      </c>
      <c r="Z63" s="560" t="e">
        <f t="shared" si="24"/>
        <v>#REF!</v>
      </c>
      <c r="AA63" s="560" t="e">
        <f t="shared" si="24"/>
        <v>#REF!</v>
      </c>
      <c r="AB63" s="560" t="e">
        <f t="shared" si="24"/>
        <v>#REF!</v>
      </c>
      <c r="AC63" s="560" t="e">
        <f t="shared" si="24"/>
        <v>#REF!</v>
      </c>
      <c r="AD63" s="560" t="e">
        <f t="shared" si="24"/>
        <v>#REF!</v>
      </c>
      <c r="AE63" s="560" t="e">
        <f t="shared" si="24"/>
        <v>#REF!</v>
      </c>
      <c r="AF63" s="560" t="e">
        <f t="shared" si="24"/>
        <v>#REF!</v>
      </c>
      <c r="AG63" s="560" t="e">
        <f t="shared" si="24"/>
        <v>#REF!</v>
      </c>
      <c r="AH63" s="569" t="e">
        <f>(AG63/$AG$20)*100</f>
        <v>#REF!</v>
      </c>
    </row>
    <row r="64" spans="1:34" ht="12.75" thickBot="1" x14ac:dyDescent="0.25">
      <c r="T64" s="584"/>
      <c r="U64" s="585"/>
      <c r="V64" s="585"/>
      <c r="W64" s="585"/>
      <c r="X64" s="585"/>
      <c r="Y64" s="585"/>
      <c r="Z64" s="585"/>
      <c r="AA64" s="585"/>
      <c r="AB64" s="585"/>
      <c r="AC64" s="585"/>
      <c r="AD64" s="585"/>
      <c r="AE64" s="585"/>
      <c r="AF64" s="585"/>
      <c r="AG64" s="586"/>
      <c r="AH64" s="587"/>
    </row>
    <row r="65" ht="12.75" thickTop="1" x14ac:dyDescent="0.2"/>
    <row r="89" spans="1:18" x14ac:dyDescent="0.2">
      <c r="A89" s="1800" t="s">
        <v>0</v>
      </c>
      <c r="B89" s="1800"/>
      <c r="C89" s="1800"/>
      <c r="D89" s="1800"/>
      <c r="E89" s="1800"/>
      <c r="F89" s="1800"/>
      <c r="G89" s="1800"/>
      <c r="H89" s="1800"/>
      <c r="I89" s="1800"/>
      <c r="J89" s="1800"/>
      <c r="K89" s="1800"/>
      <c r="L89" s="1800"/>
      <c r="M89" s="1800"/>
      <c r="N89" s="1800"/>
      <c r="O89" s="1800"/>
      <c r="P89" s="1800"/>
      <c r="Q89" s="1800"/>
      <c r="R89" s="1800"/>
    </row>
    <row r="95" spans="1:18" ht="12.75" thickBot="1" x14ac:dyDescent="0.25"/>
    <row r="96" spans="1:18" ht="12.75" thickTop="1" x14ac:dyDescent="0.2">
      <c r="A96" s="588" t="s">
        <v>373</v>
      </c>
      <c r="B96" s="589"/>
      <c r="C96" s="589"/>
      <c r="D96" s="589"/>
      <c r="E96" s="589"/>
      <c r="F96" s="589"/>
      <c r="G96" s="589"/>
      <c r="H96" s="589"/>
      <c r="I96" s="589"/>
      <c r="J96" s="589"/>
      <c r="K96" s="589"/>
      <c r="L96" s="589"/>
      <c r="M96" s="589"/>
      <c r="N96" s="589"/>
      <c r="O96" s="589"/>
      <c r="P96" s="589"/>
      <c r="Q96" s="589"/>
      <c r="R96" s="590"/>
    </row>
    <row r="97" spans="1:35" x14ac:dyDescent="0.2">
      <c r="A97" s="591" t="s">
        <v>445</v>
      </c>
      <c r="B97" s="592" t="s">
        <v>375</v>
      </c>
      <c r="C97" s="593" t="s">
        <v>28</v>
      </c>
      <c r="D97" s="594"/>
      <c r="E97" s="594"/>
      <c r="F97" s="594"/>
      <c r="G97" s="594"/>
      <c r="H97" s="594"/>
      <c r="I97" s="594"/>
      <c r="J97" s="594"/>
      <c r="K97" s="594"/>
      <c r="L97" s="594"/>
      <c r="M97" s="594"/>
      <c r="N97" s="594"/>
      <c r="O97" s="594"/>
      <c r="P97" s="594"/>
      <c r="Q97" s="594"/>
      <c r="R97" s="595"/>
    </row>
    <row r="98" spans="1:35" x14ac:dyDescent="0.2">
      <c r="A98" s="596"/>
      <c r="B98" s="592" t="s">
        <v>376</v>
      </c>
      <c r="C98" s="597">
        <v>12</v>
      </c>
      <c r="D98" s="594"/>
      <c r="E98" s="594"/>
      <c r="F98" s="594"/>
      <c r="G98" s="594"/>
      <c r="H98" s="594"/>
      <c r="I98" s="594"/>
      <c r="J98" s="594"/>
      <c r="K98" s="594"/>
      <c r="L98" s="594"/>
      <c r="M98" s="594"/>
      <c r="N98" s="594"/>
      <c r="O98" s="594"/>
      <c r="P98" s="594"/>
      <c r="Q98" s="594"/>
      <c r="R98" s="595"/>
    </row>
    <row r="99" spans="1:35" x14ac:dyDescent="0.2">
      <c r="A99" s="598"/>
      <c r="B99" s="599"/>
      <c r="C99" s="599"/>
      <c r="D99" s="599"/>
      <c r="E99" s="599"/>
      <c r="F99" s="599"/>
      <c r="G99" s="599"/>
      <c r="H99" s="599"/>
      <c r="I99" s="599"/>
      <c r="J99" s="599"/>
      <c r="K99" s="599"/>
      <c r="L99" s="599"/>
      <c r="M99" s="599"/>
      <c r="N99" s="599"/>
      <c r="O99" s="599"/>
      <c r="P99" s="599"/>
      <c r="Q99" s="599"/>
      <c r="R99" s="600"/>
    </row>
    <row r="100" spans="1:35" x14ac:dyDescent="0.2">
      <c r="A100" s="601" t="s">
        <v>378</v>
      </c>
      <c r="B100" s="594"/>
      <c r="C100" s="594"/>
      <c r="D100" s="594"/>
      <c r="E100" s="594"/>
      <c r="F100" s="594"/>
      <c r="G100" s="594"/>
      <c r="H100" s="594"/>
      <c r="I100" s="594"/>
      <c r="J100" s="594"/>
      <c r="K100" s="594"/>
      <c r="L100" s="594"/>
      <c r="M100" s="602"/>
      <c r="N100" s="1795" t="s">
        <v>80</v>
      </c>
      <c r="O100" s="1796"/>
      <c r="P100" s="1796"/>
      <c r="Q100" s="1797"/>
      <c r="R100" s="603" t="s">
        <v>124</v>
      </c>
    </row>
    <row r="101" spans="1:35" x14ac:dyDescent="0.2">
      <c r="A101" s="591" t="s">
        <v>5</v>
      </c>
      <c r="B101" s="604" t="s">
        <v>8</v>
      </c>
      <c r="C101" s="604" t="s">
        <v>9</v>
      </c>
      <c r="D101" s="604" t="s">
        <v>10</v>
      </c>
      <c r="E101" s="604" t="s">
        <v>11</v>
      </c>
      <c r="F101" s="604" t="s">
        <v>12</v>
      </c>
      <c r="G101" s="604" t="s">
        <v>13</v>
      </c>
      <c r="H101" s="604" t="s">
        <v>14</v>
      </c>
      <c r="I101" s="604" t="s">
        <v>15</v>
      </c>
      <c r="J101" s="604" t="s">
        <v>16</v>
      </c>
      <c r="K101" s="604" t="s">
        <v>17</v>
      </c>
      <c r="L101" s="604" t="s">
        <v>18</v>
      </c>
      <c r="M101" s="605" t="s">
        <v>19</v>
      </c>
      <c r="N101" s="605" t="s">
        <v>380</v>
      </c>
      <c r="O101" s="605" t="s">
        <v>381</v>
      </c>
      <c r="P101" s="605" t="s">
        <v>382</v>
      </c>
      <c r="Q101" s="606" t="s">
        <v>383</v>
      </c>
      <c r="R101" s="603" t="s">
        <v>384</v>
      </c>
    </row>
    <row r="102" spans="1:35" x14ac:dyDescent="0.2">
      <c r="A102" s="598"/>
      <c r="B102" s="599"/>
      <c r="C102" s="599"/>
      <c r="D102" s="599"/>
      <c r="E102" s="599"/>
      <c r="F102" s="599"/>
      <c r="G102" s="599"/>
      <c r="H102" s="599"/>
      <c r="I102" s="599"/>
      <c r="J102" s="599"/>
      <c r="K102" s="599"/>
      <c r="L102" s="599"/>
      <c r="M102" s="607"/>
      <c r="N102" s="608" t="s">
        <v>54</v>
      </c>
      <c r="O102" s="608" t="s">
        <v>54</v>
      </c>
      <c r="P102" s="608" t="s">
        <v>54</v>
      </c>
      <c r="Q102" s="608" t="s">
        <v>54</v>
      </c>
      <c r="R102" s="600"/>
      <c r="AI102" s="572"/>
    </row>
    <row r="103" spans="1:35" x14ac:dyDescent="0.2">
      <c r="A103" s="596" t="s">
        <v>386</v>
      </c>
      <c r="B103" s="609">
        <f t="shared" ref="B103:M103" si="25">C29</f>
        <v>292483087.70297134</v>
      </c>
      <c r="C103" s="609">
        <f t="shared" si="25"/>
        <v>296965352.4813385</v>
      </c>
      <c r="D103" s="609">
        <f t="shared" si="25"/>
        <v>305663372.88013369</v>
      </c>
      <c r="E103" s="609">
        <f t="shared" si="25"/>
        <v>309723114.4452247</v>
      </c>
      <c r="F103" s="609">
        <f t="shared" si="25"/>
        <v>307493866.72267586</v>
      </c>
      <c r="G103" s="609">
        <f t="shared" si="25"/>
        <v>306530371.75542629</v>
      </c>
      <c r="H103" s="609">
        <f t="shared" si="25"/>
        <v>300842977.20857233</v>
      </c>
      <c r="I103" s="609">
        <f t="shared" si="25"/>
        <v>301649215.18490922</v>
      </c>
      <c r="J103" s="609">
        <f t="shared" si="25"/>
        <v>307899497.41927356</v>
      </c>
      <c r="K103" s="609">
        <f t="shared" si="25"/>
        <v>312181547.63795185</v>
      </c>
      <c r="L103" s="609">
        <f t="shared" si="25"/>
        <v>313344664.36356479</v>
      </c>
      <c r="M103" s="610">
        <f t="shared" si="25"/>
        <v>316210548.58965743</v>
      </c>
      <c r="N103" s="610">
        <f>SUM(B103:D103)</f>
        <v>895111813.06444359</v>
      </c>
      <c r="O103" s="610">
        <f>SUM(B103:G103)</f>
        <v>1818859165.9877706</v>
      </c>
      <c r="P103" s="610">
        <f>SUM(B103:J103)</f>
        <v>2729250855.8005257</v>
      </c>
      <c r="Q103" s="611">
        <f>SUM(B103:M103)</f>
        <v>3670987616.3916998</v>
      </c>
      <c r="R103" s="612">
        <f>SUM(Q103/$C$98)</f>
        <v>305915634.69930834</v>
      </c>
    </row>
    <row r="104" spans="1:35" x14ac:dyDescent="0.2">
      <c r="A104" s="596" t="s">
        <v>387</v>
      </c>
      <c r="B104" s="609"/>
      <c r="C104" s="609"/>
      <c r="D104" s="609"/>
      <c r="E104" s="609"/>
      <c r="F104" s="609"/>
      <c r="G104" s="609"/>
      <c r="H104" s="609"/>
      <c r="I104" s="609"/>
      <c r="J104" s="609"/>
      <c r="K104" s="609"/>
      <c r="L104" s="609"/>
      <c r="M104" s="610"/>
      <c r="N104" s="610"/>
      <c r="O104" s="610"/>
      <c r="P104" s="610"/>
      <c r="Q104" s="613"/>
      <c r="R104" s="614"/>
      <c r="AA104" s="557"/>
      <c r="AB104" s="557"/>
      <c r="AC104" s="557"/>
      <c r="AG104" s="513" t="s">
        <v>28</v>
      </c>
    </row>
    <row r="105" spans="1:35" x14ac:dyDescent="0.2">
      <c r="A105" s="596" t="s">
        <v>388</v>
      </c>
      <c r="B105" s="609">
        <f>C11</f>
        <v>26997998.504102048</v>
      </c>
      <c r="C105" s="609">
        <f>D11</f>
        <v>33953343.202969611</v>
      </c>
      <c r="D105" s="609">
        <f>E11</f>
        <v>40425075.288179494</v>
      </c>
      <c r="E105" s="609">
        <f t="shared" ref="E105:M105" si="26">F11</f>
        <v>43301135.109788977</v>
      </c>
      <c r="F105" s="609">
        <f t="shared" si="26"/>
        <v>34558089.012430593</v>
      </c>
      <c r="G105" s="609">
        <f t="shared" si="26"/>
        <v>30908614.352135938</v>
      </c>
      <c r="H105" s="609">
        <f t="shared" si="26"/>
        <v>21447655.177665148</v>
      </c>
      <c r="I105" s="609">
        <f t="shared" si="26"/>
        <v>22500668.07923843</v>
      </c>
      <c r="J105" s="609">
        <f t="shared" si="26"/>
        <v>31270372.099338941</v>
      </c>
      <c r="K105" s="609">
        <f t="shared" si="26"/>
        <v>34822981.832508355</v>
      </c>
      <c r="L105" s="609">
        <f>M11</f>
        <v>40819447.012222223</v>
      </c>
      <c r="M105" s="610">
        <f t="shared" si="26"/>
        <v>45059649.320373081</v>
      </c>
      <c r="N105" s="610">
        <f>SUM(B105:D105)</f>
        <v>101376416.99525115</v>
      </c>
      <c r="O105" s="610">
        <f>SUM(B105:G105)</f>
        <v>210144255.46960667</v>
      </c>
      <c r="P105" s="610">
        <f>SUM(B105:J105)</f>
        <v>285362950.82584918</v>
      </c>
      <c r="Q105" s="611">
        <f>SUM(B105:M105)</f>
        <v>406065028.99095279</v>
      </c>
      <c r="R105" s="612">
        <f>SUM(Q105/$C$98)</f>
        <v>33838752.415912732</v>
      </c>
      <c r="X105" s="557" t="s">
        <v>28</v>
      </c>
      <c r="Z105" s="557" t="s">
        <v>28</v>
      </c>
      <c r="AA105" s="557"/>
      <c r="AB105" s="557"/>
      <c r="AC105" s="557"/>
      <c r="AG105" s="557" t="s">
        <v>28</v>
      </c>
    </row>
    <row r="106" spans="1:35" x14ac:dyDescent="0.2">
      <c r="A106" s="615" t="s">
        <v>389</v>
      </c>
      <c r="B106" s="609">
        <v>0</v>
      </c>
      <c r="C106" s="609">
        <v>0</v>
      </c>
      <c r="D106" s="609">
        <v>0</v>
      </c>
      <c r="E106" s="609">
        <v>0</v>
      </c>
      <c r="F106" s="609">
        <v>0</v>
      </c>
      <c r="G106" s="609">
        <v>0</v>
      </c>
      <c r="H106" s="609">
        <v>0</v>
      </c>
      <c r="I106" s="609">
        <v>0</v>
      </c>
      <c r="J106" s="609">
        <v>0</v>
      </c>
      <c r="K106" s="609">
        <v>0</v>
      </c>
      <c r="L106" s="609">
        <v>0</v>
      </c>
      <c r="M106" s="610">
        <v>0</v>
      </c>
      <c r="N106" s="610">
        <f>SUM(B106:D106)</f>
        <v>0</v>
      </c>
      <c r="O106" s="610">
        <f>SUM(B106:G106)</f>
        <v>0</v>
      </c>
      <c r="P106" s="610">
        <f>SUM(B106:J106)</f>
        <v>0</v>
      </c>
      <c r="Q106" s="611">
        <f>SUM(B106:M106)</f>
        <v>0</v>
      </c>
      <c r="R106" s="612">
        <f>SUM(Q106/$C$98)</f>
        <v>0</v>
      </c>
      <c r="Z106" s="616"/>
      <c r="AA106" s="616"/>
      <c r="AB106" s="616"/>
    </row>
    <row r="107" spans="1:35" x14ac:dyDescent="0.2">
      <c r="A107" s="596" t="s">
        <v>390</v>
      </c>
      <c r="B107" s="617">
        <f>+C25</f>
        <v>0</v>
      </c>
      <c r="C107" s="617">
        <f>+D25</f>
        <v>0</v>
      </c>
      <c r="D107" s="617">
        <f>+E25</f>
        <v>0</v>
      </c>
      <c r="E107" s="617">
        <f t="shared" ref="E107:M107" si="27">+F25</f>
        <v>0</v>
      </c>
      <c r="F107" s="617">
        <f t="shared" si="27"/>
        <v>0</v>
      </c>
      <c r="G107" s="617">
        <f t="shared" si="27"/>
        <v>0</v>
      </c>
      <c r="H107" s="617">
        <f t="shared" si="27"/>
        <v>0</v>
      </c>
      <c r="I107" s="617">
        <f t="shared" si="27"/>
        <v>0</v>
      </c>
      <c r="J107" s="617">
        <f t="shared" si="27"/>
        <v>0</v>
      </c>
      <c r="K107" s="617">
        <f t="shared" si="27"/>
        <v>0</v>
      </c>
      <c r="L107" s="617">
        <f t="shared" si="27"/>
        <v>0</v>
      </c>
      <c r="M107" s="617">
        <f t="shared" si="27"/>
        <v>0</v>
      </c>
      <c r="N107" s="613">
        <f>SUM(B107:D107)</f>
        <v>0</v>
      </c>
      <c r="O107" s="613">
        <f>SUM(B107:G107)</f>
        <v>0</v>
      </c>
      <c r="P107" s="609">
        <f>SUM(B107:J107)</f>
        <v>0</v>
      </c>
      <c r="Q107" s="611">
        <f>SUM(B107:M107)</f>
        <v>0</v>
      </c>
      <c r="R107" s="612">
        <f>SUM(Q107/$C$98)</f>
        <v>0</v>
      </c>
    </row>
    <row r="108" spans="1:35" x14ac:dyDescent="0.2">
      <c r="A108" s="596" t="s">
        <v>391</v>
      </c>
      <c r="B108" s="609">
        <v>0</v>
      </c>
      <c r="C108" s="609">
        <v>0</v>
      </c>
      <c r="D108" s="609">
        <v>0</v>
      </c>
      <c r="E108" s="609">
        <v>0</v>
      </c>
      <c r="F108" s="609">
        <v>0</v>
      </c>
      <c r="G108" s="609">
        <v>0</v>
      </c>
      <c r="H108" s="609">
        <v>0</v>
      </c>
      <c r="I108" s="609">
        <v>0</v>
      </c>
      <c r="J108" s="609">
        <v>0</v>
      </c>
      <c r="K108" s="609">
        <v>0</v>
      </c>
      <c r="L108" s="609">
        <v>0</v>
      </c>
      <c r="M108" s="610">
        <v>0</v>
      </c>
      <c r="N108" s="610">
        <f>SUM(B108:D108)</f>
        <v>0</v>
      </c>
      <c r="O108" s="610">
        <f>SUM(B108:G108)</f>
        <v>0</v>
      </c>
      <c r="P108" s="610">
        <f>SUM(B108:J108)</f>
        <v>0</v>
      </c>
      <c r="Q108" s="611">
        <f>SUM(B108:M108)</f>
        <v>0</v>
      </c>
      <c r="R108" s="612">
        <f>SUM(Q108/$C$98)</f>
        <v>0</v>
      </c>
    </row>
    <row r="109" spans="1:35" x14ac:dyDescent="0.2">
      <c r="A109" s="596" t="s">
        <v>392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10"/>
      <c r="N109" s="610"/>
      <c r="O109" s="610"/>
      <c r="P109" s="610"/>
      <c r="Q109" s="613"/>
      <c r="R109" s="614"/>
    </row>
    <row r="110" spans="1:35" x14ac:dyDescent="0.2">
      <c r="A110" s="596" t="s">
        <v>393</v>
      </c>
      <c r="B110" s="609"/>
      <c r="C110" s="609"/>
      <c r="D110" s="609"/>
      <c r="E110" s="609"/>
      <c r="F110" s="609"/>
      <c r="G110" s="609"/>
      <c r="H110" s="609"/>
      <c r="I110" s="609"/>
      <c r="J110" s="609"/>
      <c r="K110" s="609"/>
      <c r="L110" s="609"/>
      <c r="M110" s="610"/>
      <c r="N110" s="610"/>
      <c r="O110" s="610"/>
      <c r="P110" s="610"/>
      <c r="Q110" s="613"/>
      <c r="R110" s="614"/>
    </row>
    <row r="111" spans="1:35" x14ac:dyDescent="0.2">
      <c r="A111" s="596" t="s">
        <v>394</v>
      </c>
      <c r="B111" s="609">
        <f>C40</f>
        <v>63142531.013335727</v>
      </c>
      <c r="C111" s="609">
        <f t="shared" ref="C111:M111" si="28">D40</f>
        <v>67932440.082010716</v>
      </c>
      <c r="D111" s="609">
        <f t="shared" si="28"/>
        <v>72179952.536037743</v>
      </c>
      <c r="E111" s="609">
        <f t="shared" si="28"/>
        <v>73025766.674031019</v>
      </c>
      <c r="F111" s="609">
        <f t="shared" si="28"/>
        <v>67210529.982457131</v>
      </c>
      <c r="G111" s="609">
        <f t="shared" si="28"/>
        <v>64942087.017371237</v>
      </c>
      <c r="H111" s="609">
        <f t="shared" si="28"/>
        <v>55994000.612082973</v>
      </c>
      <c r="I111" s="609">
        <f t="shared" si="28"/>
        <v>54048452.44260174</v>
      </c>
      <c r="J111" s="609">
        <f t="shared" si="28"/>
        <v>55924720.063215993</v>
      </c>
      <c r="K111" s="609">
        <f t="shared" si="28"/>
        <v>54606011.491886906</v>
      </c>
      <c r="L111" s="609">
        <f t="shared" si="28"/>
        <v>53659089.460152932</v>
      </c>
      <c r="M111" s="609">
        <f t="shared" si="28"/>
        <v>53642173.222926483</v>
      </c>
      <c r="N111" s="610">
        <f>SUM(B111:D111)</f>
        <v>203254923.63138419</v>
      </c>
      <c r="O111" s="610">
        <f>SUM(B111:G111)</f>
        <v>408433307.30524355</v>
      </c>
      <c r="P111" s="610">
        <f>SUM(B111:J111)</f>
        <v>574400480.42314422</v>
      </c>
      <c r="Q111" s="611">
        <f>SUM(B111:M111)</f>
        <v>736307754.59811056</v>
      </c>
      <c r="R111" s="612">
        <f>SUM(Q111/$C$98)</f>
        <v>61358979.549842544</v>
      </c>
    </row>
    <row r="112" spans="1:35" x14ac:dyDescent="0.2">
      <c r="A112" s="596" t="s">
        <v>395</v>
      </c>
      <c r="B112" s="609"/>
      <c r="C112" s="609"/>
      <c r="D112" s="609"/>
      <c r="E112" s="609"/>
      <c r="F112" s="609"/>
      <c r="G112" s="609"/>
      <c r="H112" s="609"/>
      <c r="I112" s="609"/>
      <c r="J112" s="609"/>
      <c r="K112" s="609"/>
      <c r="L112" s="609"/>
      <c r="M112" s="610"/>
      <c r="N112" s="610"/>
      <c r="O112" s="610"/>
      <c r="P112" s="610"/>
      <c r="Q112" s="613"/>
      <c r="R112" s="614"/>
    </row>
    <row r="113" spans="1:20" x14ac:dyDescent="0.2">
      <c r="A113" s="615" t="s">
        <v>396</v>
      </c>
      <c r="B113" s="609">
        <f t="shared" ref="B113:M113" si="29">C22</f>
        <v>167146695</v>
      </c>
      <c r="C113" s="609">
        <f t="shared" si="29"/>
        <v>167668104.4070513</v>
      </c>
      <c r="D113" s="609">
        <f t="shared" si="29"/>
        <v>178637530.68910259</v>
      </c>
      <c r="E113" s="609">
        <f t="shared" si="29"/>
        <v>183875866.8669872</v>
      </c>
      <c r="F113" s="609">
        <f t="shared" si="29"/>
        <v>194195262.03525642</v>
      </c>
      <c r="G113" s="609">
        <f t="shared" si="29"/>
        <v>198097619.52724358</v>
      </c>
      <c r="H113" s="609">
        <f t="shared" si="29"/>
        <v>201228372.05128205</v>
      </c>
      <c r="I113" s="609">
        <f t="shared" si="29"/>
        <v>201809811.27403846</v>
      </c>
      <c r="J113" s="609">
        <f t="shared" si="29"/>
        <v>201372992.16346154</v>
      </c>
      <c r="K113" s="609">
        <f t="shared" si="29"/>
        <v>200704931.38621795</v>
      </c>
      <c r="L113" s="609">
        <f t="shared" si="29"/>
        <v>199934370.60897437</v>
      </c>
      <c r="M113" s="610">
        <f t="shared" si="29"/>
        <v>198962143.1650641</v>
      </c>
      <c r="N113" s="610">
        <f>SUM(B113:D113)</f>
        <v>513452330.09615391</v>
      </c>
      <c r="O113" s="610">
        <f>SUM(B113:G113)</f>
        <v>1089621078.525641</v>
      </c>
      <c r="P113" s="610">
        <f>SUM(B113:J113)</f>
        <v>1694032254.0144229</v>
      </c>
      <c r="Q113" s="611">
        <f>SUM(B113:M113)</f>
        <v>2293633699.1746798</v>
      </c>
      <c r="R113" s="612">
        <f>SUM(Q113/$C$98)</f>
        <v>191136141.59788999</v>
      </c>
    </row>
    <row r="114" spans="1:20" x14ac:dyDescent="0.2">
      <c r="A114" s="615" t="s">
        <v>397</v>
      </c>
      <c r="B114" s="609"/>
      <c r="C114" s="609"/>
      <c r="D114" s="609"/>
      <c r="E114" s="609"/>
      <c r="F114" s="609"/>
      <c r="G114" s="609"/>
      <c r="H114" s="609"/>
      <c r="I114" s="609"/>
      <c r="J114" s="609"/>
      <c r="K114" s="609"/>
      <c r="L114" s="609"/>
      <c r="M114" s="610"/>
      <c r="N114" s="610"/>
      <c r="O114" s="610"/>
      <c r="P114" s="610"/>
      <c r="Q114" s="610"/>
      <c r="R114" s="618"/>
    </row>
    <row r="115" spans="1:20" x14ac:dyDescent="0.2">
      <c r="A115" s="619" t="s">
        <v>398</v>
      </c>
      <c r="B115" s="620">
        <f>+C22</f>
        <v>167146695</v>
      </c>
      <c r="C115" s="620">
        <f t="shared" ref="C115:M115" si="30">+D22</f>
        <v>167668104.4070513</v>
      </c>
      <c r="D115" s="620">
        <f t="shared" si="30"/>
        <v>178637530.68910259</v>
      </c>
      <c r="E115" s="620">
        <f t="shared" si="30"/>
        <v>183875866.8669872</v>
      </c>
      <c r="F115" s="620">
        <f t="shared" si="30"/>
        <v>194195262.03525642</v>
      </c>
      <c r="G115" s="620">
        <f t="shared" si="30"/>
        <v>198097619.52724358</v>
      </c>
      <c r="H115" s="620">
        <f t="shared" si="30"/>
        <v>201228372.05128205</v>
      </c>
      <c r="I115" s="620">
        <f t="shared" si="30"/>
        <v>201809811.27403846</v>
      </c>
      <c r="J115" s="620">
        <f t="shared" si="30"/>
        <v>201372992.16346154</v>
      </c>
      <c r="K115" s="620">
        <f t="shared" si="30"/>
        <v>200704931.38621795</v>
      </c>
      <c r="L115" s="620">
        <f t="shared" si="30"/>
        <v>199934370.60897437</v>
      </c>
      <c r="M115" s="620">
        <f t="shared" si="30"/>
        <v>198962143.1650641</v>
      </c>
      <c r="N115" s="621">
        <f>SUM(B115:D115)</f>
        <v>513452330.09615391</v>
      </c>
      <c r="O115" s="621">
        <f>SUM(B115:G115)</f>
        <v>1089621078.525641</v>
      </c>
      <c r="P115" s="621">
        <f>SUM(B115:J115)</f>
        <v>1694032254.0144229</v>
      </c>
      <c r="Q115" s="622">
        <f>SUM(B115:M115)</f>
        <v>2293633699.1746798</v>
      </c>
      <c r="R115" s="612">
        <f>SUM(Q115/$C$98)</f>
        <v>191136141.59788999</v>
      </c>
      <c r="T115" s="623" t="s">
        <v>28</v>
      </c>
    </row>
    <row r="116" spans="1:20" x14ac:dyDescent="0.2">
      <c r="A116" s="624" t="s">
        <v>399</v>
      </c>
      <c r="B116" s="625">
        <f t="shared" ref="B116:R116" si="31">SUM(B103-B105-B106-B107-B108-B111-B113+B115)</f>
        <v>202342558.18553355</v>
      </c>
      <c r="C116" s="625">
        <f t="shared" si="31"/>
        <v>195079569.19635817</v>
      </c>
      <c r="D116" s="625">
        <f t="shared" si="31"/>
        <v>193058345.05591646</v>
      </c>
      <c r="E116" s="625">
        <f t="shared" si="31"/>
        <v>193396212.6614047</v>
      </c>
      <c r="F116" s="625">
        <f t="shared" si="31"/>
        <v>205725247.72778812</v>
      </c>
      <c r="G116" s="625">
        <f t="shared" si="31"/>
        <v>210679670.38591909</v>
      </c>
      <c r="H116" s="625">
        <f t="shared" si="31"/>
        <v>223401321.4188242</v>
      </c>
      <c r="I116" s="625">
        <f t="shared" si="31"/>
        <v>225100094.66306907</v>
      </c>
      <c r="J116" s="625">
        <f t="shared" si="31"/>
        <v>220704405.25671861</v>
      </c>
      <c r="K116" s="625">
        <f t="shared" si="31"/>
        <v>222752554.31355661</v>
      </c>
      <c r="L116" s="625">
        <f t="shared" si="31"/>
        <v>218866127.89118963</v>
      </c>
      <c r="M116" s="625">
        <f t="shared" si="31"/>
        <v>217508726.04635787</v>
      </c>
      <c r="N116" s="626">
        <f t="shared" si="31"/>
        <v>590480472.43780828</v>
      </c>
      <c r="O116" s="626">
        <f t="shared" si="31"/>
        <v>1200281603.2129204</v>
      </c>
      <c r="P116" s="626">
        <f t="shared" si="31"/>
        <v>1869487424.5515323</v>
      </c>
      <c r="Q116" s="626">
        <f t="shared" si="31"/>
        <v>2528614832.8026361</v>
      </c>
      <c r="R116" s="627">
        <f t="shared" si="31"/>
        <v>210717902.73355305</v>
      </c>
      <c r="T116" s="628" t="s">
        <v>28</v>
      </c>
    </row>
    <row r="117" spans="1:20" x14ac:dyDescent="0.2">
      <c r="A117" s="596"/>
      <c r="B117" s="594"/>
      <c r="C117" s="594"/>
      <c r="D117" s="594"/>
      <c r="E117" s="594"/>
      <c r="F117" s="594"/>
      <c r="G117" s="594"/>
      <c r="H117" s="594"/>
      <c r="I117" s="594"/>
      <c r="J117" s="594"/>
      <c r="K117" s="594"/>
      <c r="L117" s="594"/>
      <c r="M117" s="602"/>
      <c r="N117" s="602"/>
      <c r="O117" s="629"/>
      <c r="P117" s="630"/>
      <c r="Q117" s="629"/>
      <c r="R117" s="595"/>
    </row>
    <row r="118" spans="1:20" x14ac:dyDescent="0.2">
      <c r="A118" s="601" t="s">
        <v>400</v>
      </c>
      <c r="B118" s="594"/>
      <c r="C118" s="594"/>
      <c r="D118" s="594"/>
      <c r="E118" s="594"/>
      <c r="F118" s="594"/>
      <c r="G118" s="594"/>
      <c r="H118" s="594"/>
      <c r="I118" s="594"/>
      <c r="J118" s="594"/>
      <c r="K118" s="594"/>
      <c r="L118" s="594"/>
      <c r="M118" s="631"/>
      <c r="N118" s="610" t="s">
        <v>28</v>
      </c>
      <c r="O118" s="632"/>
      <c r="P118" s="594"/>
      <c r="Q118" s="632"/>
      <c r="R118" s="595"/>
    </row>
    <row r="119" spans="1:20" x14ac:dyDescent="0.2">
      <c r="A119" s="615" t="s">
        <v>401</v>
      </c>
      <c r="B119" s="633" t="e">
        <f>U43</f>
        <v>#REF!</v>
      </c>
      <c r="C119" s="633" t="e">
        <f>V43</f>
        <v>#REF!</v>
      </c>
      <c r="D119" s="633" t="e">
        <f t="shared" ref="D119:M119" si="32">W43</f>
        <v>#REF!</v>
      </c>
      <c r="E119" s="633" t="e">
        <f t="shared" si="32"/>
        <v>#REF!</v>
      </c>
      <c r="F119" s="633" t="e">
        <f t="shared" si="32"/>
        <v>#REF!</v>
      </c>
      <c r="G119" s="633" t="e">
        <f t="shared" si="32"/>
        <v>#REF!</v>
      </c>
      <c r="H119" s="633" t="e">
        <f t="shared" si="32"/>
        <v>#REF!</v>
      </c>
      <c r="I119" s="633" t="e">
        <f t="shared" si="32"/>
        <v>#REF!</v>
      </c>
      <c r="J119" s="633" t="e">
        <f t="shared" si="32"/>
        <v>#REF!</v>
      </c>
      <c r="K119" s="633" t="e">
        <f t="shared" si="32"/>
        <v>#REF!</v>
      </c>
      <c r="L119" s="633" t="e">
        <f t="shared" si="32"/>
        <v>#REF!</v>
      </c>
      <c r="M119" s="550" t="e">
        <f t="shared" si="32"/>
        <v>#REF!</v>
      </c>
      <c r="N119" s="631"/>
      <c r="O119" s="632"/>
      <c r="P119" s="594"/>
      <c r="Q119" s="611" t="e">
        <f>SUM(B119:M119)</f>
        <v>#REF!</v>
      </c>
      <c r="R119" s="595"/>
    </row>
    <row r="120" spans="1:20" x14ac:dyDescent="0.2">
      <c r="A120" s="615" t="s">
        <v>402</v>
      </c>
      <c r="B120" s="609">
        <v>0</v>
      </c>
      <c r="C120" s="609">
        <v>0</v>
      </c>
      <c r="D120" s="609">
        <v>0</v>
      </c>
      <c r="E120" s="609">
        <v>0</v>
      </c>
      <c r="F120" s="609">
        <v>0</v>
      </c>
      <c r="G120" s="609">
        <v>0</v>
      </c>
      <c r="H120" s="609">
        <v>0</v>
      </c>
      <c r="I120" s="609">
        <v>0</v>
      </c>
      <c r="J120" s="609">
        <v>0</v>
      </c>
      <c r="K120" s="609">
        <v>0</v>
      </c>
      <c r="L120" s="609">
        <v>0</v>
      </c>
      <c r="M120" s="610">
        <v>0</v>
      </c>
      <c r="N120" s="631"/>
      <c r="O120" s="632"/>
      <c r="P120" s="594"/>
      <c r="Q120" s="611">
        <f>SUM(B120:M120)</f>
        <v>0</v>
      </c>
      <c r="R120" s="595"/>
    </row>
    <row r="121" spans="1:20" x14ac:dyDescent="0.2">
      <c r="A121" s="615" t="s">
        <v>403</v>
      </c>
      <c r="B121" s="609">
        <f t="shared" ref="B121:G121" si="33">U39*-1</f>
        <v>-119088.56</v>
      </c>
      <c r="C121" s="609">
        <f t="shared" si="33"/>
        <v>-119088.56</v>
      </c>
      <c r="D121" s="609">
        <f t="shared" si="33"/>
        <v>4630911.4400000004</v>
      </c>
      <c r="E121" s="609">
        <f t="shared" si="33"/>
        <v>-119088.56</v>
      </c>
      <c r="F121" s="609">
        <f t="shared" si="33"/>
        <v>-119088.56</v>
      </c>
      <c r="G121" s="609">
        <f t="shared" si="33"/>
        <v>-119088.56</v>
      </c>
      <c r="H121" s="609">
        <f t="shared" ref="H121:M121" si="34">AA39*-1</f>
        <v>-119088.56</v>
      </c>
      <c r="I121" s="609">
        <f t="shared" si="34"/>
        <v>-18665.559999999998</v>
      </c>
      <c r="J121" s="609">
        <f t="shared" si="34"/>
        <v>4646781.4400000004</v>
      </c>
      <c r="K121" s="609">
        <f t="shared" si="34"/>
        <v>-119088.56</v>
      </c>
      <c r="L121" s="609">
        <f t="shared" si="34"/>
        <v>-119088.56</v>
      </c>
      <c r="M121" s="610">
        <f t="shared" si="34"/>
        <v>-119088.56</v>
      </c>
      <c r="N121" s="631"/>
      <c r="O121" s="632"/>
      <c r="P121" s="594"/>
      <c r="Q121" s="611">
        <f>SUM(B121:M121)</f>
        <v>8187230.2800000012</v>
      </c>
      <c r="R121" s="595"/>
    </row>
    <row r="122" spans="1:20" x14ac:dyDescent="0.2">
      <c r="A122" s="615" t="s">
        <v>404</v>
      </c>
      <c r="B122" s="609">
        <f t="shared" ref="B122:M122" si="35">U38</f>
        <v>1812968.9799999997</v>
      </c>
      <c r="C122" s="609">
        <f>V38</f>
        <v>1831138.0808333331</v>
      </c>
      <c r="D122" s="609">
        <f>W38</f>
        <v>1992241.7858333332</v>
      </c>
      <c r="E122" s="609">
        <f t="shared" si="35"/>
        <v>2199947.5025000009</v>
      </c>
      <c r="F122" s="609">
        <f t="shared" si="35"/>
        <v>2318845.5741666672</v>
      </c>
      <c r="G122" s="609">
        <f t="shared" si="35"/>
        <v>2542217.5325000007</v>
      </c>
      <c r="H122" s="609">
        <f t="shared" si="35"/>
        <v>2494366.1608333336</v>
      </c>
      <c r="I122" s="609">
        <f t="shared" si="35"/>
        <v>2530082.0025000009</v>
      </c>
      <c r="J122" s="609">
        <f t="shared" si="35"/>
        <v>2548373.6691666674</v>
      </c>
      <c r="K122" s="609">
        <f t="shared" si="35"/>
        <v>2543686.205833334</v>
      </c>
      <c r="L122" s="609">
        <f t="shared" si="35"/>
        <v>2420676.225833335</v>
      </c>
      <c r="M122" s="610">
        <f t="shared" si="35"/>
        <v>2420365.7125000018</v>
      </c>
      <c r="N122" s="631"/>
      <c r="O122" s="632"/>
      <c r="P122" s="594"/>
      <c r="Q122" s="611">
        <f>SUM(B122:M122)</f>
        <v>27654909.432500005</v>
      </c>
      <c r="R122" s="595"/>
    </row>
    <row r="123" spans="1:20" x14ac:dyDescent="0.2">
      <c r="A123" s="615" t="s">
        <v>405</v>
      </c>
      <c r="B123" s="620">
        <v>0</v>
      </c>
      <c r="C123" s="620">
        <v>0</v>
      </c>
      <c r="D123" s="620">
        <v>0</v>
      </c>
      <c r="E123" s="620">
        <v>0</v>
      </c>
      <c r="F123" s="620">
        <v>0</v>
      </c>
      <c r="G123" s="620">
        <v>0</v>
      </c>
      <c r="H123" s="620">
        <v>0</v>
      </c>
      <c r="I123" s="620">
        <v>0</v>
      </c>
      <c r="J123" s="620">
        <v>0</v>
      </c>
      <c r="K123" s="620">
        <v>0</v>
      </c>
      <c r="L123" s="620">
        <v>0</v>
      </c>
      <c r="M123" s="620">
        <v>0</v>
      </c>
      <c r="N123" s="610" t="s">
        <v>28</v>
      </c>
      <c r="O123" s="632"/>
      <c r="P123" s="594"/>
      <c r="Q123" s="634">
        <f>SUM(B123:M123)</f>
        <v>0</v>
      </c>
      <c r="R123" s="595"/>
    </row>
    <row r="124" spans="1:20" x14ac:dyDescent="0.2">
      <c r="A124" s="615" t="s">
        <v>406</v>
      </c>
      <c r="B124" s="609" t="e">
        <f>B119+B120-B121+B122-B123</f>
        <v>#REF!</v>
      </c>
      <c r="C124" s="609" t="e">
        <f>C119+C120-C121+C122-C123</f>
        <v>#REF!</v>
      </c>
      <c r="D124" s="609" t="e">
        <f>D119+D120-D121+D122-D123</f>
        <v>#REF!</v>
      </c>
      <c r="E124" s="609" t="e">
        <f t="shared" ref="E124:M124" si="36">E119+E120-E121+E122-E123</f>
        <v>#REF!</v>
      </c>
      <c r="F124" s="609" t="e">
        <f t="shared" si="36"/>
        <v>#REF!</v>
      </c>
      <c r="G124" s="609" t="e">
        <f t="shared" si="36"/>
        <v>#REF!</v>
      </c>
      <c r="H124" s="609" t="e">
        <f t="shared" si="36"/>
        <v>#REF!</v>
      </c>
      <c r="I124" s="609" t="e">
        <f t="shared" si="36"/>
        <v>#REF!</v>
      </c>
      <c r="J124" s="609" t="e">
        <f t="shared" si="36"/>
        <v>#REF!</v>
      </c>
      <c r="K124" s="609" t="e">
        <f t="shared" si="36"/>
        <v>#REF!</v>
      </c>
      <c r="L124" s="609" t="e">
        <f t="shared" si="36"/>
        <v>#REF!</v>
      </c>
      <c r="M124" s="610" t="e">
        <f t="shared" si="36"/>
        <v>#REF!</v>
      </c>
      <c r="N124" s="631"/>
      <c r="O124" s="632"/>
      <c r="P124" s="594"/>
      <c r="Q124" s="611"/>
      <c r="R124" s="595"/>
    </row>
    <row r="125" spans="1:20" x14ac:dyDescent="0.2">
      <c r="A125" s="601" t="s">
        <v>407</v>
      </c>
      <c r="B125" s="635" t="e">
        <f>B124</f>
        <v>#REF!</v>
      </c>
      <c r="C125" s="635" t="e">
        <f>C124+B125</f>
        <v>#REF!</v>
      </c>
      <c r="D125" s="635" t="e">
        <f>D124+C125</f>
        <v>#REF!</v>
      </c>
      <c r="E125" s="635" t="e">
        <f>E124+D125</f>
        <v>#REF!</v>
      </c>
      <c r="F125" s="635" t="e">
        <f t="shared" ref="F125:M125" si="37">F124+E125</f>
        <v>#REF!</v>
      </c>
      <c r="G125" s="635" t="e">
        <f t="shared" si="37"/>
        <v>#REF!</v>
      </c>
      <c r="H125" s="635" t="e">
        <f t="shared" si="37"/>
        <v>#REF!</v>
      </c>
      <c r="I125" s="635" t="e">
        <f t="shared" si="37"/>
        <v>#REF!</v>
      </c>
      <c r="J125" s="635" t="e">
        <f t="shared" si="37"/>
        <v>#REF!</v>
      </c>
      <c r="K125" s="635" t="e">
        <f t="shared" si="37"/>
        <v>#REF!</v>
      </c>
      <c r="L125" s="635" t="e">
        <f t="shared" si="37"/>
        <v>#REF!</v>
      </c>
      <c r="M125" s="636" t="e">
        <f t="shared" si="37"/>
        <v>#REF!</v>
      </c>
      <c r="N125" s="610" t="e">
        <f>D125</f>
        <v>#REF!</v>
      </c>
      <c r="O125" s="613" t="e">
        <f>G125</f>
        <v>#REF!</v>
      </c>
      <c r="P125" s="609" t="e">
        <f>J125</f>
        <v>#REF!</v>
      </c>
      <c r="Q125" s="611" t="e">
        <f>M125</f>
        <v>#REF!</v>
      </c>
      <c r="R125" s="612" t="e">
        <f>Q125</f>
        <v>#REF!</v>
      </c>
    </row>
    <row r="126" spans="1:20" x14ac:dyDescent="0.2">
      <c r="A126" s="624" t="s">
        <v>408</v>
      </c>
      <c r="B126" s="637">
        <f>B116</f>
        <v>202342558.18553355</v>
      </c>
      <c r="C126" s="637">
        <f>C116</f>
        <v>195079569.19635817</v>
      </c>
      <c r="D126" s="637">
        <f>D116</f>
        <v>193058345.05591646</v>
      </c>
      <c r="E126" s="637">
        <f t="shared" ref="E126:M126" si="38">E116</f>
        <v>193396212.6614047</v>
      </c>
      <c r="F126" s="637">
        <f t="shared" si="38"/>
        <v>205725247.72778812</v>
      </c>
      <c r="G126" s="637">
        <f t="shared" si="38"/>
        <v>210679670.38591909</v>
      </c>
      <c r="H126" s="637">
        <f t="shared" si="38"/>
        <v>223401321.4188242</v>
      </c>
      <c r="I126" s="637">
        <f t="shared" si="38"/>
        <v>225100094.66306907</v>
      </c>
      <c r="J126" s="637">
        <f t="shared" si="38"/>
        <v>220704405.25671861</v>
      </c>
      <c r="K126" s="637">
        <f t="shared" si="38"/>
        <v>222752554.31355661</v>
      </c>
      <c r="L126" s="637">
        <f t="shared" si="38"/>
        <v>218866127.89118963</v>
      </c>
      <c r="M126" s="621">
        <f t="shared" si="38"/>
        <v>217508726.04635787</v>
      </c>
      <c r="N126" s="621">
        <f>N116/3</f>
        <v>196826824.1459361</v>
      </c>
      <c r="O126" s="638">
        <f>O116/6</f>
        <v>200046933.86882007</v>
      </c>
      <c r="P126" s="621">
        <f>P116/9</f>
        <v>207720824.95017025</v>
      </c>
      <c r="Q126" s="639">
        <f>Q116/12</f>
        <v>210717902.73355302</v>
      </c>
      <c r="R126" s="627">
        <f>R116</f>
        <v>210717902.73355305</v>
      </c>
    </row>
    <row r="127" spans="1:20" ht="12.75" thickBot="1" x14ac:dyDescent="0.25">
      <c r="A127" s="640" t="s">
        <v>409</v>
      </c>
      <c r="B127" s="641"/>
      <c r="C127" s="641"/>
      <c r="D127" s="642"/>
      <c r="E127" s="641"/>
      <c r="F127" s="641"/>
      <c r="G127" s="642"/>
      <c r="H127" s="641"/>
      <c r="I127" s="641"/>
      <c r="J127" s="642"/>
      <c r="K127" s="641"/>
      <c r="L127" s="641"/>
      <c r="M127" s="643"/>
      <c r="N127" s="644" t="e">
        <f>(N125/N126)*100</f>
        <v>#REF!</v>
      </c>
      <c r="O127" s="645" t="e">
        <f>(O125/O126)*100</f>
        <v>#REF!</v>
      </c>
      <c r="P127" s="644" t="e">
        <f>(P125/P126)*100</f>
        <v>#REF!</v>
      </c>
      <c r="Q127" s="644" t="e">
        <f>(Q125/Q126)*100</f>
        <v>#REF!</v>
      </c>
      <c r="R127" s="646" t="e">
        <f>SUM(R125/R126)*(12/C98)*100</f>
        <v>#REF!</v>
      </c>
    </row>
    <row r="128" spans="1:20" ht="12.75" thickTop="1" x14ac:dyDescent="0.2">
      <c r="A128" s="513"/>
      <c r="B128" s="513"/>
      <c r="C128" s="513"/>
      <c r="D128" s="513"/>
      <c r="E128" s="513"/>
      <c r="F128" s="513"/>
      <c r="G128" s="513"/>
      <c r="H128" s="513"/>
      <c r="I128" s="513"/>
      <c r="J128" s="513"/>
      <c r="K128" s="513"/>
      <c r="L128" s="513"/>
      <c r="M128" s="513"/>
      <c r="N128" s="513"/>
    </row>
    <row r="129" spans="1:17" x14ac:dyDescent="0.2">
      <c r="A129" s="513"/>
      <c r="B129" s="513"/>
      <c r="C129" s="513"/>
      <c r="D129" s="513"/>
      <c r="E129" s="513"/>
      <c r="F129" s="513"/>
      <c r="G129" s="513"/>
      <c r="H129" s="513"/>
      <c r="I129" s="513"/>
      <c r="J129" s="513"/>
      <c r="K129" s="513"/>
      <c r="L129" s="513"/>
      <c r="M129" s="513"/>
      <c r="N129" s="647" t="s">
        <v>28</v>
      </c>
      <c r="O129" s="648" t="s">
        <v>28</v>
      </c>
      <c r="P129" s="513" t="s">
        <v>28</v>
      </c>
      <c r="Q129" s="513" t="s">
        <v>28</v>
      </c>
    </row>
    <row r="130" spans="1:17" x14ac:dyDescent="0.2">
      <c r="A130" s="513"/>
      <c r="B130" s="623" t="s">
        <v>28</v>
      </c>
      <c r="C130" s="623" t="s">
        <v>28</v>
      </c>
      <c r="D130" s="623"/>
      <c r="E130" s="513"/>
      <c r="F130" s="513"/>
      <c r="G130" s="649" t="s">
        <v>28</v>
      </c>
      <c r="H130" s="513"/>
      <c r="I130" s="513"/>
      <c r="J130" s="513"/>
      <c r="K130" s="513"/>
      <c r="L130" s="513"/>
      <c r="M130" s="513"/>
      <c r="N130" s="650" t="s">
        <v>28</v>
      </c>
    </row>
    <row r="131" spans="1:17" x14ac:dyDescent="0.2">
      <c r="A131" s="513"/>
      <c r="B131" s="513"/>
      <c r="C131" s="513"/>
      <c r="D131" s="623"/>
      <c r="E131" s="513"/>
      <c r="F131" s="513"/>
      <c r="G131" s="513"/>
      <c r="H131" s="513"/>
      <c r="I131" s="513"/>
      <c r="J131" s="513"/>
      <c r="K131" s="513"/>
      <c r="L131" s="513"/>
      <c r="M131" s="513"/>
      <c r="N131" s="513"/>
    </row>
    <row r="132" spans="1:17" x14ac:dyDescent="0.2">
      <c r="A132" s="513"/>
      <c r="B132" s="513"/>
      <c r="C132" s="513"/>
      <c r="D132" s="513"/>
      <c r="E132" s="513"/>
      <c r="F132" s="513"/>
      <c r="G132" s="513"/>
      <c r="H132" s="513"/>
      <c r="I132" s="513"/>
      <c r="J132" s="513"/>
      <c r="K132" s="513"/>
      <c r="L132" s="513"/>
      <c r="M132" s="513"/>
      <c r="N132" s="513"/>
    </row>
    <row r="133" spans="1:17" x14ac:dyDescent="0.2">
      <c r="A133" s="513"/>
      <c r="B133" s="513"/>
      <c r="C133" s="513"/>
      <c r="D133" s="513"/>
      <c r="E133" s="513"/>
      <c r="F133" s="513"/>
      <c r="G133" s="513"/>
      <c r="H133" s="513"/>
      <c r="I133" s="513"/>
      <c r="J133" s="513"/>
      <c r="K133" s="513"/>
      <c r="L133" s="513"/>
      <c r="M133" s="513"/>
      <c r="N133" s="513"/>
    </row>
    <row r="134" spans="1:17" x14ac:dyDescent="0.2">
      <c r="A134" s="513"/>
      <c r="B134" s="513"/>
      <c r="C134" s="513"/>
      <c r="D134" s="513"/>
      <c r="E134" s="513"/>
      <c r="F134" s="513"/>
      <c r="G134" s="513"/>
      <c r="H134" s="513"/>
      <c r="I134" s="513"/>
      <c r="J134" s="513"/>
      <c r="K134" s="513"/>
      <c r="L134" s="513"/>
      <c r="M134" s="513"/>
      <c r="N134" s="513"/>
    </row>
    <row r="135" spans="1:17" x14ac:dyDescent="0.2">
      <c r="A135" s="513"/>
      <c r="B135" s="513"/>
      <c r="C135" s="513"/>
      <c r="D135" s="513"/>
      <c r="E135" s="513"/>
      <c r="F135" s="513"/>
      <c r="G135" s="513"/>
      <c r="H135" s="513"/>
      <c r="I135" s="513"/>
      <c r="J135" s="513"/>
      <c r="K135" s="513"/>
      <c r="L135" s="513"/>
      <c r="M135" s="513"/>
      <c r="N135" s="513"/>
    </row>
    <row r="136" spans="1:17" x14ac:dyDescent="0.2">
      <c r="A136" s="513"/>
      <c r="B136" s="513"/>
      <c r="C136" s="513"/>
      <c r="D136" s="513"/>
      <c r="E136" s="513"/>
      <c r="F136" s="513"/>
      <c r="G136" s="513"/>
      <c r="H136" s="513"/>
      <c r="I136" s="513"/>
      <c r="J136" s="513"/>
      <c r="K136" s="513"/>
      <c r="L136" s="513"/>
      <c r="M136" s="513"/>
      <c r="N136" s="513"/>
    </row>
    <row r="137" spans="1:17" x14ac:dyDescent="0.2">
      <c r="A137" s="513"/>
      <c r="B137" s="513"/>
      <c r="C137" s="513"/>
      <c r="D137" s="513"/>
      <c r="E137" s="513"/>
      <c r="F137" s="513"/>
      <c r="G137" s="513"/>
      <c r="H137" s="513"/>
      <c r="I137" s="513"/>
      <c r="J137" s="513"/>
      <c r="K137" s="513"/>
      <c r="L137" s="513"/>
      <c r="M137" s="513"/>
      <c r="N137" s="513"/>
    </row>
    <row r="138" spans="1:17" x14ac:dyDescent="0.2">
      <c r="A138" s="513"/>
      <c r="B138" s="513"/>
      <c r="C138" s="513"/>
      <c r="D138" s="513"/>
      <c r="E138" s="513"/>
      <c r="F138" s="513"/>
      <c r="G138" s="513"/>
      <c r="H138" s="513"/>
      <c r="I138" s="513"/>
      <c r="J138" s="513"/>
      <c r="K138" s="513"/>
      <c r="L138" s="513"/>
      <c r="M138" s="513"/>
      <c r="N138" s="513"/>
    </row>
    <row r="139" spans="1:17" x14ac:dyDescent="0.2">
      <c r="A139" s="513"/>
      <c r="B139" s="513"/>
      <c r="C139" s="513"/>
      <c r="D139" s="513"/>
      <c r="E139" s="513"/>
      <c r="F139" s="513"/>
      <c r="G139" s="513"/>
      <c r="H139" s="513"/>
      <c r="I139" s="513"/>
      <c r="J139" s="513"/>
      <c r="K139" s="513"/>
      <c r="L139" s="513"/>
      <c r="M139" s="513"/>
      <c r="N139" s="513"/>
    </row>
    <row r="140" spans="1:17" x14ac:dyDescent="0.2">
      <c r="A140" s="513"/>
      <c r="B140" s="513"/>
      <c r="C140" s="513"/>
      <c r="D140" s="513"/>
      <c r="E140" s="513"/>
      <c r="F140" s="513"/>
      <c r="G140" s="513"/>
      <c r="H140" s="513"/>
      <c r="I140" s="513"/>
      <c r="J140" s="513"/>
      <c r="K140" s="513"/>
      <c r="L140" s="513"/>
      <c r="M140" s="513"/>
      <c r="N140" s="513"/>
    </row>
    <row r="141" spans="1:17" x14ac:dyDescent="0.2">
      <c r="A141" s="513"/>
      <c r="B141" s="513"/>
      <c r="C141" s="513"/>
      <c r="D141" s="513"/>
      <c r="E141" s="513"/>
      <c r="F141" s="513"/>
      <c r="G141" s="513"/>
      <c r="H141" s="513"/>
      <c r="I141" s="513"/>
      <c r="J141" s="513"/>
      <c r="K141" s="513"/>
      <c r="L141" s="513"/>
      <c r="M141" s="513"/>
      <c r="N141" s="513"/>
    </row>
    <row r="142" spans="1:17" x14ac:dyDescent="0.2">
      <c r="A142" s="513"/>
      <c r="B142" s="513"/>
      <c r="C142" s="513"/>
      <c r="D142" s="513"/>
      <c r="E142" s="513"/>
      <c r="F142" s="513"/>
      <c r="G142" s="513"/>
      <c r="H142" s="513"/>
      <c r="I142" s="513"/>
      <c r="J142" s="513"/>
      <c r="K142" s="513"/>
      <c r="L142" s="513"/>
      <c r="M142" s="513"/>
      <c r="N142" s="513"/>
    </row>
    <row r="143" spans="1:17" x14ac:dyDescent="0.2">
      <c r="A143" s="513"/>
      <c r="B143" s="513"/>
      <c r="C143" s="513"/>
      <c r="D143" s="513"/>
      <c r="E143" s="513"/>
      <c r="F143" s="513"/>
      <c r="G143" s="513"/>
      <c r="H143" s="513"/>
      <c r="I143" s="513"/>
      <c r="J143" s="513"/>
      <c r="K143" s="513"/>
      <c r="L143" s="513"/>
      <c r="M143" s="513"/>
      <c r="N143" s="513"/>
    </row>
    <row r="144" spans="1:17" x14ac:dyDescent="0.2">
      <c r="A144" s="513"/>
      <c r="B144" s="513"/>
      <c r="C144" s="513"/>
      <c r="D144" s="513"/>
      <c r="E144" s="513"/>
      <c r="F144" s="513"/>
      <c r="G144" s="513"/>
      <c r="H144" s="513"/>
      <c r="I144" s="513"/>
      <c r="J144" s="513"/>
      <c r="K144" s="513"/>
      <c r="L144" s="513"/>
      <c r="M144" s="513"/>
      <c r="N144" s="513"/>
    </row>
    <row r="145" spans="1:14" x14ac:dyDescent="0.2">
      <c r="A145" s="513"/>
      <c r="B145" s="513"/>
      <c r="C145" s="513"/>
      <c r="D145" s="513"/>
      <c r="E145" s="513"/>
      <c r="F145" s="513"/>
      <c r="G145" s="513"/>
      <c r="H145" s="513"/>
      <c r="I145" s="513"/>
      <c r="J145" s="513"/>
      <c r="K145" s="513"/>
      <c r="L145" s="513"/>
      <c r="M145" s="513"/>
      <c r="N145" s="513"/>
    </row>
    <row r="146" spans="1:14" x14ac:dyDescent="0.2">
      <c r="A146" s="513"/>
      <c r="B146" s="513"/>
      <c r="C146" s="513"/>
      <c r="D146" s="513"/>
      <c r="E146" s="513"/>
      <c r="F146" s="513"/>
      <c r="G146" s="513"/>
      <c r="H146" s="513"/>
      <c r="I146" s="513"/>
      <c r="J146" s="513"/>
      <c r="K146" s="513"/>
      <c r="L146" s="513"/>
      <c r="M146" s="513"/>
      <c r="N146" s="513"/>
    </row>
    <row r="147" spans="1:14" x14ac:dyDescent="0.2">
      <c r="A147" s="513"/>
      <c r="B147" s="513"/>
      <c r="C147" s="513"/>
      <c r="D147" s="513"/>
      <c r="E147" s="513"/>
      <c r="F147" s="513"/>
      <c r="G147" s="513"/>
      <c r="H147" s="513"/>
      <c r="I147" s="513"/>
      <c r="J147" s="513"/>
      <c r="K147" s="513"/>
      <c r="L147" s="513"/>
      <c r="M147" s="513"/>
      <c r="N147" s="513"/>
    </row>
    <row r="148" spans="1:14" x14ac:dyDescent="0.2">
      <c r="A148" s="513"/>
      <c r="B148" s="513"/>
      <c r="C148" s="513"/>
      <c r="D148" s="513"/>
      <c r="E148" s="513"/>
      <c r="F148" s="513"/>
      <c r="G148" s="513"/>
      <c r="H148" s="513"/>
      <c r="I148" s="513"/>
      <c r="J148" s="513"/>
      <c r="K148" s="513"/>
      <c r="L148" s="513"/>
      <c r="M148" s="513"/>
      <c r="N148" s="513"/>
    </row>
    <row r="149" spans="1:14" x14ac:dyDescent="0.2">
      <c r="A149" s="513"/>
      <c r="B149" s="513"/>
      <c r="C149" s="513"/>
      <c r="D149" s="513"/>
      <c r="E149" s="513"/>
      <c r="F149" s="513"/>
      <c r="G149" s="513"/>
      <c r="H149" s="513"/>
      <c r="I149" s="513"/>
      <c r="J149" s="513"/>
      <c r="K149" s="513"/>
      <c r="L149" s="513"/>
      <c r="M149" s="513"/>
      <c r="N149" s="513"/>
    </row>
    <row r="150" spans="1:14" x14ac:dyDescent="0.2">
      <c r="A150" s="513"/>
      <c r="B150" s="513"/>
      <c r="C150" s="513"/>
      <c r="D150" s="513"/>
      <c r="E150" s="513"/>
      <c r="F150" s="513"/>
      <c r="G150" s="513"/>
      <c r="H150" s="513"/>
      <c r="I150" s="513"/>
      <c r="J150" s="513"/>
      <c r="K150" s="513"/>
      <c r="L150" s="513"/>
      <c r="M150" s="513"/>
      <c r="N150" s="513"/>
    </row>
    <row r="151" spans="1:14" x14ac:dyDescent="0.2">
      <c r="A151" s="513"/>
      <c r="B151" s="513"/>
      <c r="C151" s="513"/>
      <c r="D151" s="513"/>
      <c r="E151" s="513"/>
      <c r="F151" s="513"/>
      <c r="G151" s="513"/>
      <c r="H151" s="513"/>
      <c r="I151" s="513"/>
      <c r="J151" s="513"/>
      <c r="K151" s="513"/>
      <c r="L151" s="513"/>
      <c r="M151" s="513"/>
      <c r="N151" s="513"/>
    </row>
    <row r="152" spans="1:14" x14ac:dyDescent="0.2">
      <c r="A152" s="513"/>
      <c r="B152" s="513"/>
      <c r="C152" s="513"/>
      <c r="D152" s="513"/>
      <c r="E152" s="513"/>
      <c r="F152" s="513"/>
      <c r="G152" s="513"/>
      <c r="H152" s="513"/>
      <c r="I152" s="513"/>
      <c r="J152" s="513"/>
      <c r="K152" s="513"/>
      <c r="L152" s="513"/>
      <c r="M152" s="513"/>
      <c r="N152" s="513"/>
    </row>
    <row r="153" spans="1:14" x14ac:dyDescent="0.2">
      <c r="A153" s="513"/>
      <c r="B153" s="513"/>
      <c r="C153" s="513"/>
      <c r="D153" s="513"/>
      <c r="E153" s="513"/>
      <c r="F153" s="513"/>
      <c r="G153" s="513"/>
      <c r="H153" s="513"/>
      <c r="I153" s="513"/>
      <c r="J153" s="513"/>
      <c r="K153" s="513"/>
      <c r="L153" s="513"/>
      <c r="M153" s="513"/>
      <c r="N153" s="513"/>
    </row>
    <row r="154" spans="1:14" x14ac:dyDescent="0.2">
      <c r="A154" s="513"/>
      <c r="B154" s="513"/>
      <c r="C154" s="513"/>
      <c r="D154" s="513"/>
      <c r="E154" s="513"/>
      <c r="F154" s="513"/>
      <c r="G154" s="513"/>
      <c r="H154" s="513"/>
      <c r="I154" s="513"/>
      <c r="J154" s="513"/>
      <c r="K154" s="513"/>
      <c r="L154" s="513"/>
      <c r="M154" s="513"/>
      <c r="N154" s="513"/>
    </row>
    <row r="155" spans="1:14" x14ac:dyDescent="0.2">
      <c r="A155" s="513"/>
      <c r="B155" s="513"/>
      <c r="C155" s="513"/>
      <c r="D155" s="513"/>
      <c r="E155" s="513"/>
      <c r="F155" s="513"/>
      <c r="G155" s="513"/>
      <c r="H155" s="513"/>
      <c r="I155" s="513"/>
      <c r="J155" s="513"/>
      <c r="K155" s="513"/>
      <c r="L155" s="513"/>
      <c r="M155" s="513"/>
      <c r="N155" s="513"/>
    </row>
    <row r="156" spans="1:14" x14ac:dyDescent="0.2">
      <c r="A156" s="513"/>
      <c r="B156" s="513"/>
      <c r="C156" s="513"/>
      <c r="D156" s="513"/>
      <c r="E156" s="513"/>
      <c r="F156" s="513"/>
      <c r="G156" s="513"/>
      <c r="H156" s="513"/>
      <c r="I156" s="513"/>
      <c r="J156" s="513"/>
      <c r="K156" s="513"/>
      <c r="L156" s="513"/>
      <c r="M156" s="513"/>
      <c r="N156" s="513"/>
    </row>
    <row r="157" spans="1:14" x14ac:dyDescent="0.2">
      <c r="A157" s="513"/>
      <c r="B157" s="513"/>
      <c r="C157" s="513"/>
      <c r="D157" s="513"/>
      <c r="E157" s="513"/>
      <c r="F157" s="513"/>
      <c r="G157" s="513"/>
      <c r="H157" s="513"/>
      <c r="I157" s="513"/>
      <c r="J157" s="513"/>
      <c r="K157" s="513"/>
      <c r="L157" s="513"/>
      <c r="M157" s="513"/>
      <c r="N157" s="513"/>
    </row>
    <row r="158" spans="1:14" x14ac:dyDescent="0.2">
      <c r="A158" s="513"/>
      <c r="B158" s="513"/>
      <c r="C158" s="513"/>
      <c r="D158" s="513"/>
      <c r="E158" s="513"/>
      <c r="F158" s="513"/>
      <c r="G158" s="513"/>
      <c r="H158" s="513"/>
      <c r="I158" s="513"/>
      <c r="J158" s="513"/>
      <c r="K158" s="513"/>
      <c r="L158" s="513"/>
      <c r="M158" s="513"/>
      <c r="N158" s="513"/>
    </row>
    <row r="159" spans="1:14" x14ac:dyDescent="0.2">
      <c r="A159" s="513"/>
      <c r="B159" s="513"/>
      <c r="C159" s="513"/>
      <c r="D159" s="513"/>
      <c r="E159" s="513"/>
      <c r="F159" s="513"/>
      <c r="G159" s="513"/>
      <c r="H159" s="513"/>
      <c r="I159" s="513"/>
      <c r="J159" s="513"/>
      <c r="K159" s="513"/>
      <c r="L159" s="513"/>
      <c r="M159" s="513"/>
      <c r="N159" s="513"/>
    </row>
    <row r="160" spans="1:14" x14ac:dyDescent="0.2">
      <c r="A160" s="513"/>
      <c r="B160" s="513"/>
      <c r="C160" s="513"/>
      <c r="D160" s="513"/>
      <c r="E160" s="513"/>
      <c r="F160" s="513"/>
      <c r="G160" s="513"/>
      <c r="H160" s="513"/>
      <c r="I160" s="513"/>
      <c r="J160" s="513"/>
      <c r="K160" s="513"/>
      <c r="L160" s="513"/>
      <c r="M160" s="513"/>
      <c r="N160" s="513"/>
    </row>
    <row r="161" spans="1:14" x14ac:dyDescent="0.2">
      <c r="A161" s="513"/>
      <c r="B161" s="513"/>
      <c r="C161" s="513"/>
      <c r="D161" s="513"/>
      <c r="E161" s="513"/>
      <c r="F161" s="513"/>
      <c r="G161" s="513"/>
      <c r="H161" s="513"/>
      <c r="I161" s="513"/>
      <c r="J161" s="513"/>
      <c r="K161" s="513"/>
      <c r="L161" s="513"/>
      <c r="M161" s="513"/>
      <c r="N161" s="513"/>
    </row>
    <row r="162" spans="1:14" x14ac:dyDescent="0.2">
      <c r="A162" s="513"/>
      <c r="B162" s="513"/>
      <c r="C162" s="513"/>
      <c r="D162" s="513"/>
      <c r="E162" s="513"/>
      <c r="F162" s="513"/>
      <c r="G162" s="513"/>
      <c r="H162" s="513"/>
      <c r="I162" s="513"/>
      <c r="J162" s="513"/>
      <c r="K162" s="513"/>
      <c r="L162" s="513"/>
      <c r="M162" s="513"/>
      <c r="N162" s="513"/>
    </row>
    <row r="163" spans="1:14" x14ac:dyDescent="0.2">
      <c r="A163" s="513"/>
      <c r="B163" s="513"/>
      <c r="C163" s="513"/>
      <c r="D163" s="513"/>
      <c r="E163" s="513"/>
      <c r="F163" s="513"/>
      <c r="G163" s="513"/>
      <c r="H163" s="513"/>
      <c r="I163" s="513"/>
      <c r="J163" s="513"/>
      <c r="K163" s="513"/>
      <c r="L163" s="513"/>
      <c r="M163" s="513"/>
      <c r="N163" s="513"/>
    </row>
    <row r="164" spans="1:14" x14ac:dyDescent="0.2">
      <c r="A164" s="513"/>
      <c r="B164" s="513"/>
      <c r="C164" s="513"/>
      <c r="D164" s="513"/>
      <c r="E164" s="513"/>
      <c r="F164" s="513"/>
      <c r="G164" s="513"/>
      <c r="H164" s="513"/>
      <c r="I164" s="513"/>
      <c r="J164" s="513"/>
      <c r="K164" s="513"/>
      <c r="L164" s="513"/>
      <c r="M164" s="513"/>
      <c r="N164" s="513"/>
    </row>
    <row r="165" spans="1:14" x14ac:dyDescent="0.2">
      <c r="A165" s="513"/>
      <c r="B165" s="513"/>
      <c r="C165" s="513"/>
      <c r="D165" s="513"/>
      <c r="E165" s="513"/>
      <c r="F165" s="513"/>
      <c r="G165" s="513"/>
      <c r="H165" s="513"/>
      <c r="I165" s="513"/>
      <c r="J165" s="513"/>
      <c r="K165" s="513"/>
      <c r="L165" s="513"/>
      <c r="M165" s="513"/>
      <c r="N165" s="513"/>
    </row>
    <row r="166" spans="1:14" x14ac:dyDescent="0.2">
      <c r="A166" s="513"/>
      <c r="B166" s="513"/>
      <c r="C166" s="513"/>
      <c r="D166" s="513"/>
      <c r="E166" s="513"/>
      <c r="F166" s="513"/>
      <c r="G166" s="513"/>
      <c r="H166" s="513"/>
      <c r="I166" s="513"/>
      <c r="J166" s="513"/>
      <c r="K166" s="513"/>
      <c r="L166" s="513"/>
      <c r="M166" s="513"/>
      <c r="N166" s="513"/>
    </row>
    <row r="167" spans="1:14" x14ac:dyDescent="0.2">
      <c r="A167" s="513"/>
      <c r="B167" s="513"/>
      <c r="C167" s="513"/>
      <c r="D167" s="513"/>
      <c r="E167" s="513"/>
      <c r="F167" s="513"/>
      <c r="G167" s="513"/>
      <c r="H167" s="513"/>
      <c r="I167" s="513"/>
      <c r="J167" s="513"/>
      <c r="K167" s="513"/>
      <c r="L167" s="513"/>
      <c r="M167" s="513"/>
      <c r="N167" s="513"/>
    </row>
    <row r="168" spans="1:14" x14ac:dyDescent="0.2">
      <c r="A168" s="513"/>
      <c r="B168" s="513"/>
      <c r="C168" s="513"/>
      <c r="D168" s="513"/>
      <c r="E168" s="513"/>
      <c r="F168" s="513"/>
      <c r="G168" s="513"/>
      <c r="H168" s="513"/>
      <c r="I168" s="513"/>
      <c r="J168" s="513"/>
      <c r="K168" s="513"/>
      <c r="L168" s="513"/>
      <c r="M168" s="513"/>
      <c r="N168" s="513"/>
    </row>
    <row r="169" spans="1:14" x14ac:dyDescent="0.2">
      <c r="A169" s="513"/>
      <c r="B169" s="513"/>
      <c r="C169" s="513"/>
      <c r="D169" s="513"/>
      <c r="E169" s="513"/>
      <c r="F169" s="513"/>
      <c r="G169" s="513"/>
      <c r="H169" s="513"/>
      <c r="I169" s="513"/>
      <c r="J169" s="513"/>
      <c r="K169" s="513"/>
      <c r="L169" s="513"/>
      <c r="M169" s="513"/>
      <c r="N169" s="513"/>
    </row>
    <row r="170" spans="1:14" x14ac:dyDescent="0.2">
      <c r="A170" s="513"/>
      <c r="B170" s="513"/>
      <c r="C170" s="513"/>
      <c r="D170" s="513"/>
      <c r="E170" s="513"/>
      <c r="F170" s="513"/>
      <c r="G170" s="513"/>
      <c r="H170" s="513"/>
      <c r="I170" s="513"/>
      <c r="J170" s="513"/>
      <c r="K170" s="513"/>
      <c r="L170" s="513"/>
      <c r="M170" s="513"/>
      <c r="N170" s="513"/>
    </row>
    <row r="171" spans="1:14" x14ac:dyDescent="0.2">
      <c r="A171" s="513"/>
      <c r="B171" s="513"/>
      <c r="C171" s="513"/>
      <c r="D171" s="513"/>
      <c r="E171" s="513"/>
      <c r="F171" s="513"/>
      <c r="G171" s="513"/>
      <c r="H171" s="513"/>
      <c r="I171" s="513"/>
      <c r="J171" s="513"/>
      <c r="K171" s="513"/>
      <c r="L171" s="513"/>
      <c r="M171" s="513"/>
      <c r="N171" s="513"/>
    </row>
    <row r="172" spans="1:14" x14ac:dyDescent="0.2">
      <c r="A172" s="513"/>
      <c r="B172" s="513"/>
      <c r="C172" s="513"/>
      <c r="D172" s="513"/>
      <c r="E172" s="513"/>
      <c r="F172" s="513"/>
      <c r="G172" s="513"/>
      <c r="H172" s="513"/>
      <c r="I172" s="513"/>
      <c r="J172" s="513"/>
      <c r="K172" s="513"/>
      <c r="L172" s="513"/>
      <c r="M172" s="513"/>
      <c r="N172" s="513"/>
    </row>
    <row r="173" spans="1:14" x14ac:dyDescent="0.2">
      <c r="A173" s="513"/>
      <c r="B173" s="513"/>
      <c r="C173" s="513"/>
      <c r="D173" s="513"/>
      <c r="E173" s="513"/>
      <c r="F173" s="513"/>
      <c r="G173" s="513"/>
      <c r="H173" s="513"/>
      <c r="I173" s="513"/>
      <c r="J173" s="513"/>
      <c r="K173" s="513"/>
      <c r="L173" s="513"/>
      <c r="M173" s="513"/>
      <c r="N173" s="513"/>
    </row>
    <row r="174" spans="1:14" x14ac:dyDescent="0.2">
      <c r="A174" s="513"/>
      <c r="B174" s="513"/>
      <c r="C174" s="513"/>
      <c r="D174" s="513"/>
      <c r="E174" s="513"/>
      <c r="F174" s="513"/>
      <c r="G174" s="513"/>
      <c r="H174" s="513"/>
      <c r="I174" s="513"/>
      <c r="J174" s="513"/>
      <c r="K174" s="513"/>
      <c r="L174" s="513"/>
      <c r="M174" s="513"/>
      <c r="N174" s="513"/>
    </row>
    <row r="175" spans="1:14" x14ac:dyDescent="0.2">
      <c r="A175" s="513"/>
      <c r="B175" s="513"/>
      <c r="C175" s="513"/>
      <c r="D175" s="513"/>
      <c r="E175" s="513"/>
      <c r="F175" s="513"/>
      <c r="G175" s="513"/>
      <c r="H175" s="513"/>
      <c r="I175" s="513"/>
      <c r="J175" s="513"/>
      <c r="K175" s="513"/>
      <c r="L175" s="513"/>
      <c r="M175" s="513"/>
      <c r="N175" s="513"/>
    </row>
    <row r="176" spans="1:14" x14ac:dyDescent="0.2">
      <c r="A176" s="513"/>
      <c r="B176" s="513"/>
      <c r="C176" s="513"/>
      <c r="D176" s="513"/>
      <c r="E176" s="513"/>
      <c r="F176" s="513"/>
      <c r="G176" s="513"/>
      <c r="H176" s="513"/>
      <c r="I176" s="513"/>
      <c r="J176" s="513"/>
      <c r="K176" s="513"/>
      <c r="L176" s="513"/>
      <c r="M176" s="513"/>
      <c r="N176" s="513"/>
    </row>
    <row r="177" spans="1:14" x14ac:dyDescent="0.2">
      <c r="A177" s="513"/>
      <c r="B177" s="513"/>
      <c r="C177" s="513"/>
      <c r="D177" s="513"/>
      <c r="E177" s="513"/>
      <c r="F177" s="513"/>
      <c r="G177" s="513"/>
      <c r="H177" s="513"/>
      <c r="I177" s="513"/>
      <c r="J177" s="513"/>
      <c r="K177" s="513"/>
      <c r="L177" s="513"/>
      <c r="M177" s="513"/>
      <c r="N177" s="513"/>
    </row>
    <row r="178" spans="1:14" x14ac:dyDescent="0.2">
      <c r="A178" s="513"/>
      <c r="B178" s="513"/>
      <c r="C178" s="513"/>
      <c r="D178" s="513"/>
      <c r="E178" s="513"/>
      <c r="F178" s="513"/>
      <c r="G178" s="513"/>
      <c r="H178" s="513"/>
      <c r="I178" s="513"/>
      <c r="J178" s="513"/>
      <c r="K178" s="513"/>
      <c r="L178" s="513"/>
      <c r="M178" s="513"/>
      <c r="N178" s="513"/>
    </row>
    <row r="179" spans="1:14" x14ac:dyDescent="0.2">
      <c r="A179" s="513"/>
      <c r="B179" s="513"/>
      <c r="C179" s="513"/>
      <c r="D179" s="513"/>
      <c r="E179" s="513"/>
      <c r="F179" s="513"/>
      <c r="G179" s="513"/>
      <c r="H179" s="513"/>
      <c r="I179" s="513"/>
      <c r="J179" s="513"/>
      <c r="K179" s="513"/>
      <c r="L179" s="513"/>
      <c r="M179" s="513"/>
      <c r="N179" s="513"/>
    </row>
    <row r="180" spans="1:14" x14ac:dyDescent="0.2">
      <c r="A180" s="513"/>
      <c r="B180" s="513"/>
      <c r="C180" s="513"/>
      <c r="D180" s="513"/>
      <c r="E180" s="513"/>
      <c r="F180" s="513"/>
      <c r="G180" s="513"/>
      <c r="H180" s="513"/>
      <c r="I180" s="513"/>
      <c r="J180" s="513"/>
      <c r="K180" s="513"/>
      <c r="L180" s="513"/>
      <c r="M180" s="513"/>
      <c r="N180" s="513"/>
    </row>
    <row r="181" spans="1:14" x14ac:dyDescent="0.2">
      <c r="A181" s="513"/>
      <c r="B181" s="513"/>
      <c r="C181" s="513"/>
      <c r="D181" s="513"/>
      <c r="E181" s="513"/>
      <c r="F181" s="513"/>
      <c r="G181" s="513"/>
      <c r="H181" s="513"/>
      <c r="I181" s="513"/>
      <c r="J181" s="513"/>
      <c r="K181" s="513"/>
      <c r="L181" s="513"/>
      <c r="M181" s="513"/>
      <c r="N181" s="513"/>
    </row>
    <row r="182" spans="1:14" x14ac:dyDescent="0.2">
      <c r="A182" s="513"/>
      <c r="B182" s="513"/>
      <c r="C182" s="513"/>
      <c r="D182" s="513"/>
      <c r="E182" s="513"/>
      <c r="F182" s="513"/>
      <c r="G182" s="513"/>
      <c r="H182" s="513"/>
      <c r="I182" s="513"/>
      <c r="J182" s="513"/>
      <c r="K182" s="513"/>
      <c r="L182" s="513"/>
      <c r="M182" s="513"/>
      <c r="N182" s="513"/>
    </row>
    <row r="183" spans="1:14" x14ac:dyDescent="0.2">
      <c r="A183" s="513"/>
      <c r="B183" s="513"/>
      <c r="C183" s="513"/>
      <c r="D183" s="513"/>
      <c r="E183" s="513"/>
      <c r="F183" s="513"/>
      <c r="G183" s="513"/>
      <c r="H183" s="513"/>
      <c r="I183" s="513"/>
      <c r="J183" s="513"/>
      <c r="K183" s="513"/>
      <c r="L183" s="513"/>
      <c r="M183" s="513"/>
      <c r="N183" s="513"/>
    </row>
    <row r="184" spans="1:14" x14ac:dyDescent="0.2">
      <c r="A184" s="513"/>
      <c r="B184" s="513"/>
      <c r="C184" s="513"/>
      <c r="D184" s="513"/>
      <c r="E184" s="513"/>
      <c r="F184" s="513"/>
      <c r="G184" s="513"/>
      <c r="H184" s="513"/>
      <c r="I184" s="513"/>
      <c r="J184" s="513"/>
      <c r="K184" s="513"/>
      <c r="L184" s="513"/>
      <c r="M184" s="513"/>
      <c r="N184" s="513"/>
    </row>
    <row r="185" spans="1:14" x14ac:dyDescent="0.2">
      <c r="A185" s="513"/>
      <c r="B185" s="513"/>
      <c r="C185" s="513"/>
      <c r="D185" s="513"/>
      <c r="E185" s="513"/>
      <c r="F185" s="513"/>
      <c r="G185" s="513"/>
      <c r="H185" s="513"/>
      <c r="I185" s="513"/>
      <c r="J185" s="513"/>
      <c r="K185" s="513"/>
      <c r="L185" s="513"/>
      <c r="M185" s="513"/>
      <c r="N185" s="513"/>
    </row>
    <row r="186" spans="1:14" x14ac:dyDescent="0.2">
      <c r="A186" s="513"/>
      <c r="B186" s="513"/>
      <c r="C186" s="513"/>
      <c r="D186" s="513"/>
      <c r="E186" s="513"/>
      <c r="F186" s="513"/>
      <c r="G186" s="513"/>
      <c r="H186" s="513"/>
      <c r="I186" s="513"/>
      <c r="J186" s="513"/>
      <c r="K186" s="513"/>
      <c r="L186" s="513"/>
      <c r="M186" s="513"/>
      <c r="N186" s="513"/>
    </row>
    <row r="187" spans="1:14" x14ac:dyDescent="0.2">
      <c r="A187" s="513"/>
      <c r="B187" s="513"/>
      <c r="C187" s="513"/>
      <c r="D187" s="513"/>
      <c r="E187" s="513"/>
      <c r="F187" s="513"/>
      <c r="G187" s="513"/>
      <c r="H187" s="513"/>
      <c r="I187" s="513"/>
      <c r="J187" s="513"/>
      <c r="K187" s="513"/>
      <c r="L187" s="513"/>
      <c r="M187" s="513"/>
      <c r="N187" s="513"/>
    </row>
    <row r="188" spans="1:14" x14ac:dyDescent="0.2">
      <c r="A188" s="513"/>
      <c r="B188" s="513"/>
      <c r="C188" s="513"/>
      <c r="D188" s="513"/>
      <c r="E188" s="513"/>
      <c r="F188" s="513"/>
      <c r="G188" s="513"/>
      <c r="H188" s="513"/>
      <c r="I188" s="513"/>
      <c r="J188" s="513"/>
      <c r="K188" s="513"/>
      <c r="L188" s="513"/>
      <c r="M188" s="513"/>
      <c r="N188" s="513"/>
    </row>
    <row r="189" spans="1:14" x14ac:dyDescent="0.2">
      <c r="A189" s="513"/>
      <c r="B189" s="513"/>
      <c r="C189" s="513"/>
      <c r="D189" s="513"/>
      <c r="E189" s="513"/>
      <c r="F189" s="513"/>
      <c r="G189" s="513"/>
      <c r="H189" s="513"/>
      <c r="I189" s="513"/>
      <c r="J189" s="513"/>
      <c r="K189" s="513"/>
      <c r="L189" s="513"/>
      <c r="M189" s="513"/>
      <c r="N189" s="513"/>
    </row>
    <row r="190" spans="1:14" x14ac:dyDescent="0.2">
      <c r="A190" s="513"/>
      <c r="B190" s="513"/>
      <c r="C190" s="513"/>
      <c r="D190" s="513"/>
      <c r="E190" s="513"/>
      <c r="F190" s="513"/>
      <c r="G190" s="513"/>
      <c r="H190" s="513"/>
      <c r="I190" s="513"/>
      <c r="J190" s="513"/>
      <c r="K190" s="513"/>
      <c r="L190" s="513"/>
      <c r="M190" s="513"/>
      <c r="N190" s="513"/>
    </row>
    <row r="191" spans="1:14" x14ac:dyDescent="0.2">
      <c r="A191" s="513"/>
      <c r="B191" s="513"/>
      <c r="C191" s="513"/>
      <c r="D191" s="513"/>
      <c r="E191" s="513"/>
      <c r="F191" s="513"/>
      <c r="G191" s="513"/>
      <c r="H191" s="513"/>
      <c r="I191" s="513"/>
      <c r="J191" s="513"/>
      <c r="K191" s="513"/>
      <c r="L191" s="513"/>
      <c r="M191" s="513"/>
      <c r="N191" s="513"/>
    </row>
    <row r="192" spans="1:14" x14ac:dyDescent="0.2">
      <c r="A192" s="513"/>
      <c r="B192" s="513"/>
      <c r="C192" s="513"/>
      <c r="D192" s="513"/>
      <c r="E192" s="513"/>
      <c r="F192" s="513"/>
      <c r="G192" s="513"/>
      <c r="H192" s="513"/>
      <c r="I192" s="513"/>
      <c r="J192" s="513"/>
      <c r="K192" s="513"/>
      <c r="L192" s="513"/>
      <c r="M192" s="513"/>
      <c r="N192" s="513"/>
    </row>
    <row r="193" spans="1:14" x14ac:dyDescent="0.2">
      <c r="A193" s="513"/>
      <c r="B193" s="513"/>
      <c r="C193" s="513"/>
      <c r="D193" s="513"/>
      <c r="E193" s="513"/>
      <c r="F193" s="513"/>
      <c r="G193" s="513"/>
      <c r="H193" s="513"/>
      <c r="I193" s="513"/>
      <c r="J193" s="513"/>
      <c r="K193" s="513"/>
      <c r="L193" s="513"/>
      <c r="M193" s="513"/>
      <c r="N193" s="513"/>
    </row>
    <row r="194" spans="1:14" x14ac:dyDescent="0.2">
      <c r="A194" s="513"/>
      <c r="B194" s="513"/>
      <c r="C194" s="513"/>
      <c r="D194" s="513"/>
      <c r="E194" s="513"/>
      <c r="F194" s="513"/>
      <c r="G194" s="513"/>
      <c r="H194" s="513"/>
      <c r="I194" s="513"/>
      <c r="J194" s="513"/>
      <c r="K194" s="513"/>
      <c r="L194" s="513"/>
      <c r="M194" s="513"/>
      <c r="N194" s="513"/>
    </row>
    <row r="195" spans="1:14" x14ac:dyDescent="0.2">
      <c r="A195" s="513"/>
      <c r="B195" s="513"/>
      <c r="C195" s="513"/>
      <c r="D195" s="513"/>
      <c r="E195" s="513"/>
      <c r="F195" s="513"/>
      <c r="G195" s="513"/>
      <c r="H195" s="513"/>
      <c r="I195" s="513"/>
      <c r="J195" s="513"/>
      <c r="K195" s="513"/>
      <c r="L195" s="513"/>
      <c r="M195" s="513"/>
      <c r="N195" s="513"/>
    </row>
    <row r="196" spans="1:14" x14ac:dyDescent="0.2">
      <c r="A196" s="513"/>
      <c r="B196" s="513"/>
      <c r="C196" s="513"/>
      <c r="D196" s="513"/>
      <c r="E196" s="513"/>
      <c r="F196" s="513"/>
      <c r="G196" s="513"/>
      <c r="H196" s="513"/>
      <c r="I196" s="513"/>
      <c r="J196" s="513"/>
      <c r="K196" s="513"/>
      <c r="L196" s="513"/>
      <c r="M196" s="513"/>
      <c r="N196" s="513"/>
    </row>
    <row r="197" spans="1:14" x14ac:dyDescent="0.2">
      <c r="A197" s="513"/>
      <c r="B197" s="513"/>
      <c r="C197" s="513"/>
      <c r="D197" s="513"/>
      <c r="E197" s="513"/>
      <c r="F197" s="513"/>
      <c r="G197" s="513"/>
      <c r="H197" s="513"/>
      <c r="I197" s="513"/>
      <c r="J197" s="513"/>
      <c r="K197" s="513"/>
      <c r="L197" s="513"/>
      <c r="M197" s="513"/>
      <c r="N197" s="513"/>
    </row>
    <row r="198" spans="1:14" x14ac:dyDescent="0.2">
      <c r="A198" s="513"/>
      <c r="B198" s="513"/>
      <c r="C198" s="513"/>
      <c r="D198" s="513"/>
      <c r="E198" s="513"/>
      <c r="F198" s="513"/>
      <c r="G198" s="513"/>
      <c r="H198" s="513"/>
      <c r="I198" s="513"/>
      <c r="J198" s="513"/>
      <c r="K198" s="513"/>
      <c r="L198" s="513"/>
      <c r="M198" s="513"/>
      <c r="N198" s="513"/>
    </row>
    <row r="199" spans="1:14" x14ac:dyDescent="0.2">
      <c r="A199" s="513"/>
      <c r="B199" s="513"/>
      <c r="C199" s="513"/>
      <c r="D199" s="513"/>
      <c r="E199" s="513"/>
      <c r="F199" s="513"/>
      <c r="G199" s="513"/>
      <c r="H199" s="513"/>
      <c r="I199" s="513"/>
      <c r="J199" s="513"/>
      <c r="K199" s="513"/>
      <c r="L199" s="513"/>
      <c r="M199" s="513"/>
      <c r="N199" s="513"/>
    </row>
    <row r="200" spans="1:14" x14ac:dyDescent="0.2">
      <c r="A200" s="513"/>
      <c r="B200" s="513"/>
      <c r="C200" s="513"/>
      <c r="D200" s="513"/>
      <c r="E200" s="513"/>
      <c r="F200" s="513"/>
      <c r="G200" s="513"/>
      <c r="H200" s="513"/>
      <c r="I200" s="513"/>
      <c r="J200" s="513"/>
      <c r="K200" s="513"/>
      <c r="L200" s="513"/>
      <c r="M200" s="513"/>
      <c r="N200" s="513"/>
    </row>
    <row r="201" spans="1:14" x14ac:dyDescent="0.2">
      <c r="A201" s="513"/>
      <c r="B201" s="513"/>
      <c r="C201" s="513"/>
      <c r="D201" s="513"/>
      <c r="E201" s="513"/>
      <c r="F201" s="513"/>
      <c r="G201" s="513"/>
      <c r="H201" s="513"/>
      <c r="I201" s="513"/>
      <c r="J201" s="513"/>
      <c r="K201" s="513"/>
      <c r="L201" s="513"/>
      <c r="M201" s="513"/>
      <c r="N201" s="513"/>
    </row>
    <row r="202" spans="1:14" x14ac:dyDescent="0.2">
      <c r="A202" s="513"/>
      <c r="B202" s="513"/>
      <c r="C202" s="513"/>
      <c r="D202" s="513"/>
      <c r="E202" s="513"/>
      <c r="F202" s="513"/>
      <c r="G202" s="513"/>
      <c r="H202" s="513"/>
      <c r="I202" s="513"/>
      <c r="J202" s="513"/>
      <c r="K202" s="513"/>
      <c r="L202" s="513"/>
      <c r="M202" s="513"/>
      <c r="N202" s="513"/>
    </row>
    <row r="203" spans="1:14" x14ac:dyDescent="0.2">
      <c r="A203" s="513"/>
      <c r="B203" s="513"/>
      <c r="C203" s="513"/>
      <c r="D203" s="513"/>
      <c r="E203" s="513"/>
      <c r="F203" s="513"/>
      <c r="G203" s="513"/>
      <c r="H203" s="513"/>
      <c r="I203" s="513"/>
      <c r="J203" s="513"/>
      <c r="K203" s="513"/>
      <c r="L203" s="513"/>
      <c r="M203" s="513"/>
      <c r="N203" s="513"/>
    </row>
    <row r="204" spans="1:14" x14ac:dyDescent="0.2">
      <c r="A204" s="513"/>
      <c r="B204" s="513"/>
      <c r="C204" s="513"/>
      <c r="D204" s="513"/>
      <c r="E204" s="513"/>
      <c r="F204" s="513"/>
      <c r="G204" s="513"/>
      <c r="H204" s="513"/>
      <c r="I204" s="513"/>
      <c r="J204" s="513"/>
      <c r="K204" s="513"/>
      <c r="L204" s="513"/>
      <c r="M204" s="513"/>
      <c r="N204" s="513"/>
    </row>
    <row r="205" spans="1:14" x14ac:dyDescent="0.2">
      <c r="A205" s="513"/>
      <c r="B205" s="513"/>
      <c r="C205" s="513"/>
      <c r="D205" s="513"/>
      <c r="E205" s="513"/>
      <c r="F205" s="513"/>
      <c r="G205" s="513"/>
      <c r="H205" s="513"/>
      <c r="I205" s="513"/>
      <c r="J205" s="513"/>
      <c r="K205" s="513"/>
      <c r="L205" s="513"/>
      <c r="M205" s="513"/>
      <c r="N205" s="513"/>
    </row>
    <row r="206" spans="1:14" x14ac:dyDescent="0.2">
      <c r="A206" s="513"/>
      <c r="B206" s="513"/>
      <c r="C206" s="513"/>
      <c r="D206" s="513"/>
      <c r="E206" s="513"/>
      <c r="F206" s="513"/>
      <c r="G206" s="513"/>
      <c r="H206" s="513"/>
      <c r="I206" s="513"/>
      <c r="J206" s="513"/>
      <c r="K206" s="513"/>
      <c r="L206" s="513"/>
      <c r="M206" s="513"/>
      <c r="N206" s="513"/>
    </row>
    <row r="207" spans="1:14" x14ac:dyDescent="0.2">
      <c r="A207" s="513"/>
      <c r="B207" s="513"/>
      <c r="C207" s="513"/>
      <c r="D207" s="513"/>
      <c r="E207" s="513"/>
      <c r="F207" s="513"/>
      <c r="G207" s="513"/>
      <c r="H207" s="513"/>
      <c r="I207" s="513"/>
      <c r="J207" s="513"/>
      <c r="K207" s="513"/>
      <c r="L207" s="513"/>
      <c r="M207" s="513"/>
      <c r="N207" s="513"/>
    </row>
    <row r="208" spans="1:14" x14ac:dyDescent="0.2">
      <c r="A208" s="513"/>
      <c r="B208" s="513"/>
      <c r="C208" s="513"/>
      <c r="D208" s="513"/>
      <c r="E208" s="513"/>
      <c r="F208" s="513"/>
      <c r="G208" s="513"/>
      <c r="H208" s="513"/>
      <c r="I208" s="513"/>
      <c r="J208" s="513"/>
      <c r="K208" s="513"/>
      <c r="L208" s="513"/>
      <c r="M208" s="513"/>
      <c r="N208" s="513"/>
    </row>
    <row r="209" spans="1:14" x14ac:dyDescent="0.2">
      <c r="A209" s="513"/>
      <c r="B209" s="513"/>
      <c r="C209" s="513"/>
      <c r="D209" s="513"/>
      <c r="E209" s="513"/>
      <c r="F209" s="513"/>
      <c r="G209" s="513"/>
      <c r="H209" s="513"/>
      <c r="I209" s="513"/>
      <c r="J209" s="513"/>
      <c r="K209" s="513"/>
      <c r="L209" s="513"/>
      <c r="M209" s="513"/>
      <c r="N209" s="513"/>
    </row>
    <row r="210" spans="1:14" x14ac:dyDescent="0.2">
      <c r="A210" s="513"/>
      <c r="B210" s="513"/>
      <c r="C210" s="513"/>
      <c r="D210" s="513"/>
      <c r="E210" s="513"/>
      <c r="F210" s="513"/>
      <c r="G210" s="513"/>
      <c r="H210" s="513"/>
      <c r="I210" s="513"/>
      <c r="J210" s="513"/>
      <c r="K210" s="513"/>
      <c r="L210" s="513"/>
      <c r="M210" s="513"/>
      <c r="N210" s="513"/>
    </row>
    <row r="211" spans="1:14" x14ac:dyDescent="0.2">
      <c r="A211" s="513"/>
      <c r="B211" s="513"/>
      <c r="C211" s="513"/>
      <c r="D211" s="513"/>
      <c r="E211" s="513"/>
      <c r="F211" s="513"/>
      <c r="G211" s="513"/>
      <c r="H211" s="513"/>
      <c r="I211" s="513"/>
      <c r="J211" s="513"/>
      <c r="K211" s="513"/>
      <c r="L211" s="513"/>
      <c r="M211" s="513"/>
      <c r="N211" s="513"/>
    </row>
    <row r="212" spans="1:14" x14ac:dyDescent="0.2">
      <c r="A212" s="513"/>
      <c r="B212" s="513"/>
      <c r="C212" s="513"/>
      <c r="D212" s="513"/>
      <c r="E212" s="513"/>
      <c r="F212" s="513"/>
      <c r="G212" s="513"/>
      <c r="H212" s="513"/>
      <c r="I212" s="513"/>
      <c r="J212" s="513"/>
      <c r="K212" s="513"/>
      <c r="L212" s="513"/>
      <c r="M212" s="513"/>
      <c r="N212" s="513"/>
    </row>
    <row r="213" spans="1:14" x14ac:dyDescent="0.2">
      <c r="A213" s="513"/>
      <c r="B213" s="513"/>
      <c r="C213" s="513"/>
      <c r="D213" s="513"/>
      <c r="E213" s="513"/>
      <c r="F213" s="513"/>
      <c r="G213" s="513"/>
      <c r="H213" s="513"/>
      <c r="I213" s="513"/>
      <c r="J213" s="513"/>
      <c r="K213" s="513"/>
      <c r="L213" s="513"/>
      <c r="M213" s="513"/>
      <c r="N213" s="513"/>
    </row>
    <row r="214" spans="1:14" x14ac:dyDescent="0.2">
      <c r="A214" s="513"/>
      <c r="B214" s="513"/>
      <c r="C214" s="513"/>
      <c r="D214" s="513"/>
      <c r="E214" s="513"/>
      <c r="F214" s="513"/>
      <c r="G214" s="513"/>
      <c r="H214" s="513"/>
      <c r="I214" s="513"/>
      <c r="J214" s="513"/>
      <c r="K214" s="513"/>
      <c r="L214" s="513"/>
      <c r="M214" s="513"/>
      <c r="N214" s="513"/>
    </row>
    <row r="215" spans="1:14" x14ac:dyDescent="0.2">
      <c r="A215" s="513"/>
      <c r="B215" s="513"/>
      <c r="C215" s="513"/>
      <c r="D215" s="513"/>
      <c r="E215" s="513"/>
      <c r="F215" s="513"/>
      <c r="G215" s="513"/>
      <c r="H215" s="513"/>
      <c r="I215" s="513"/>
      <c r="J215" s="513"/>
      <c r="K215" s="513"/>
      <c r="L215" s="513"/>
      <c r="M215" s="513"/>
      <c r="N215" s="513"/>
    </row>
    <row r="216" spans="1:14" x14ac:dyDescent="0.2">
      <c r="A216" s="513"/>
      <c r="B216" s="513"/>
      <c r="C216" s="513"/>
      <c r="D216" s="513"/>
      <c r="E216" s="513"/>
      <c r="F216" s="513"/>
      <c r="G216" s="513"/>
      <c r="H216" s="513"/>
      <c r="I216" s="513"/>
      <c r="J216" s="513"/>
      <c r="K216" s="513"/>
      <c r="L216" s="513"/>
      <c r="M216" s="513"/>
      <c r="N216" s="513"/>
    </row>
    <row r="217" spans="1:14" x14ac:dyDescent="0.2">
      <c r="A217" s="513"/>
      <c r="B217" s="513"/>
      <c r="C217" s="513"/>
      <c r="D217" s="513"/>
      <c r="E217" s="513"/>
      <c r="F217" s="513"/>
      <c r="G217" s="513"/>
      <c r="H217" s="513"/>
      <c r="I217" s="513"/>
      <c r="J217" s="513"/>
      <c r="K217" s="513"/>
      <c r="L217" s="513"/>
      <c r="M217" s="513"/>
      <c r="N217" s="513"/>
    </row>
    <row r="218" spans="1:14" x14ac:dyDescent="0.2">
      <c r="A218" s="513"/>
      <c r="B218" s="513"/>
      <c r="C218" s="513"/>
      <c r="D218" s="513"/>
      <c r="E218" s="513"/>
      <c r="F218" s="513"/>
      <c r="G218" s="513"/>
      <c r="H218" s="513"/>
      <c r="I218" s="513"/>
      <c r="J218" s="513"/>
      <c r="K218" s="513"/>
      <c r="L218" s="513"/>
      <c r="M218" s="513"/>
      <c r="N218" s="513"/>
    </row>
    <row r="219" spans="1:14" x14ac:dyDescent="0.2">
      <c r="A219" s="513"/>
      <c r="B219" s="513"/>
      <c r="C219" s="513"/>
      <c r="D219" s="513"/>
      <c r="E219" s="513"/>
      <c r="F219" s="513"/>
      <c r="G219" s="513"/>
      <c r="H219" s="513"/>
      <c r="I219" s="513"/>
      <c r="J219" s="513"/>
      <c r="K219" s="513"/>
      <c r="L219" s="513"/>
      <c r="M219" s="513"/>
      <c r="N219" s="513"/>
    </row>
    <row r="220" spans="1:14" x14ac:dyDescent="0.2">
      <c r="A220" s="513"/>
      <c r="B220" s="513"/>
      <c r="C220" s="513"/>
      <c r="D220" s="513"/>
      <c r="E220" s="513"/>
      <c r="F220" s="513"/>
      <c r="G220" s="513"/>
      <c r="H220" s="513"/>
      <c r="I220" s="513"/>
      <c r="J220" s="513"/>
      <c r="K220" s="513"/>
      <c r="L220" s="513"/>
      <c r="M220" s="513"/>
      <c r="N220" s="513"/>
    </row>
    <row r="221" spans="1:14" x14ac:dyDescent="0.2">
      <c r="A221" s="513"/>
      <c r="B221" s="513"/>
      <c r="C221" s="513"/>
      <c r="D221" s="513"/>
      <c r="E221" s="513"/>
      <c r="F221" s="513"/>
      <c r="G221" s="513"/>
      <c r="H221" s="513"/>
      <c r="I221" s="513"/>
      <c r="J221" s="513"/>
      <c r="K221" s="513"/>
      <c r="L221" s="513"/>
      <c r="M221" s="513"/>
      <c r="N221" s="513"/>
    </row>
    <row r="222" spans="1:14" x14ac:dyDescent="0.2">
      <c r="A222" s="513"/>
      <c r="B222" s="513"/>
      <c r="C222" s="513"/>
      <c r="D222" s="513"/>
      <c r="E222" s="513"/>
      <c r="F222" s="513"/>
      <c r="G222" s="513"/>
      <c r="H222" s="513"/>
      <c r="I222" s="513"/>
      <c r="J222" s="513"/>
      <c r="K222" s="513"/>
      <c r="L222" s="513"/>
      <c r="M222" s="513"/>
      <c r="N222" s="513"/>
    </row>
    <row r="223" spans="1:14" x14ac:dyDescent="0.2">
      <c r="A223" s="513"/>
      <c r="B223" s="513"/>
      <c r="C223" s="513"/>
      <c r="D223" s="513"/>
      <c r="E223" s="513"/>
      <c r="F223" s="513"/>
      <c r="G223" s="513"/>
      <c r="H223" s="513"/>
      <c r="I223" s="513"/>
      <c r="J223" s="513"/>
      <c r="K223" s="513"/>
      <c r="L223" s="513"/>
      <c r="M223" s="513"/>
      <c r="N223" s="513"/>
    </row>
    <row r="224" spans="1:14" x14ac:dyDescent="0.2">
      <c r="A224" s="513"/>
      <c r="B224" s="513"/>
      <c r="C224" s="513"/>
      <c r="D224" s="513"/>
      <c r="E224" s="513"/>
      <c r="F224" s="513"/>
      <c r="G224" s="513"/>
      <c r="H224" s="513"/>
      <c r="I224" s="513"/>
      <c r="J224" s="513"/>
      <c r="K224" s="513"/>
      <c r="L224" s="513"/>
      <c r="M224" s="513"/>
      <c r="N224" s="513"/>
    </row>
    <row r="225" spans="1:14" x14ac:dyDescent="0.2">
      <c r="A225" s="513"/>
      <c r="B225" s="513"/>
      <c r="C225" s="513"/>
      <c r="D225" s="513"/>
      <c r="E225" s="513"/>
      <c r="F225" s="513"/>
      <c r="G225" s="513"/>
      <c r="H225" s="513"/>
      <c r="I225" s="513"/>
      <c r="J225" s="513"/>
      <c r="K225" s="513"/>
      <c r="L225" s="513"/>
      <c r="M225" s="513"/>
      <c r="N225" s="513"/>
    </row>
    <row r="226" spans="1:14" x14ac:dyDescent="0.2">
      <c r="A226" s="513"/>
      <c r="B226" s="513"/>
      <c r="C226" s="513"/>
      <c r="D226" s="513"/>
      <c r="E226" s="513"/>
      <c r="F226" s="513"/>
      <c r="G226" s="513"/>
      <c r="H226" s="513"/>
      <c r="I226" s="513"/>
      <c r="J226" s="513"/>
      <c r="K226" s="513"/>
      <c r="L226" s="513"/>
      <c r="M226" s="513"/>
      <c r="N226" s="513"/>
    </row>
    <row r="227" spans="1:14" x14ac:dyDescent="0.2">
      <c r="A227" s="513"/>
      <c r="B227" s="513"/>
      <c r="C227" s="513"/>
      <c r="D227" s="513"/>
      <c r="E227" s="513"/>
      <c r="F227" s="513"/>
      <c r="G227" s="513"/>
      <c r="H227" s="513"/>
      <c r="I227" s="513"/>
      <c r="J227" s="513"/>
      <c r="K227" s="513"/>
      <c r="L227" s="513"/>
      <c r="M227" s="513"/>
      <c r="N227" s="513"/>
    </row>
    <row r="228" spans="1:14" x14ac:dyDescent="0.2">
      <c r="A228" s="513"/>
      <c r="B228" s="513"/>
      <c r="C228" s="513"/>
      <c r="D228" s="513"/>
      <c r="E228" s="513"/>
      <c r="F228" s="513"/>
      <c r="G228" s="513"/>
      <c r="H228" s="513"/>
      <c r="I228" s="513"/>
      <c r="J228" s="513"/>
      <c r="K228" s="513"/>
      <c r="L228" s="513"/>
      <c r="M228" s="513"/>
      <c r="N228" s="513"/>
    </row>
    <row r="229" spans="1:14" x14ac:dyDescent="0.2">
      <c r="A229" s="513"/>
      <c r="B229" s="513"/>
      <c r="C229" s="513"/>
      <c r="D229" s="513"/>
      <c r="E229" s="513"/>
      <c r="F229" s="513"/>
      <c r="G229" s="513"/>
      <c r="H229" s="513"/>
      <c r="I229" s="513"/>
      <c r="J229" s="513"/>
      <c r="K229" s="513"/>
      <c r="L229" s="513"/>
      <c r="M229" s="513"/>
      <c r="N229" s="513"/>
    </row>
    <row r="230" spans="1:14" x14ac:dyDescent="0.2">
      <c r="A230" s="513"/>
      <c r="B230" s="513"/>
      <c r="C230" s="513"/>
      <c r="D230" s="513"/>
      <c r="E230" s="513"/>
      <c r="F230" s="513"/>
      <c r="G230" s="513"/>
      <c r="H230" s="513"/>
      <c r="I230" s="513"/>
      <c r="J230" s="513"/>
      <c r="K230" s="513"/>
      <c r="L230" s="513"/>
      <c r="M230" s="513"/>
      <c r="N230" s="513"/>
    </row>
    <row r="231" spans="1:14" x14ac:dyDescent="0.2">
      <c r="A231" s="513"/>
      <c r="B231" s="513"/>
      <c r="C231" s="513"/>
      <c r="D231" s="513"/>
      <c r="E231" s="513"/>
      <c r="F231" s="513"/>
      <c r="G231" s="513"/>
      <c r="H231" s="513"/>
      <c r="I231" s="513"/>
      <c r="J231" s="513"/>
      <c r="K231" s="513"/>
      <c r="L231" s="513"/>
      <c r="M231" s="513"/>
      <c r="N231" s="513"/>
    </row>
    <row r="232" spans="1:14" x14ac:dyDescent="0.2">
      <c r="A232" s="513"/>
      <c r="B232" s="513"/>
      <c r="C232" s="513"/>
      <c r="D232" s="513"/>
      <c r="E232" s="513"/>
      <c r="F232" s="513"/>
      <c r="G232" s="513"/>
      <c r="H232" s="513"/>
      <c r="I232" s="513"/>
      <c r="J232" s="513"/>
      <c r="K232" s="513"/>
      <c r="L232" s="513"/>
      <c r="M232" s="513"/>
      <c r="N232" s="513"/>
    </row>
    <row r="233" spans="1:14" x14ac:dyDescent="0.2">
      <c r="A233" s="513"/>
      <c r="B233" s="513"/>
      <c r="C233" s="513"/>
      <c r="D233" s="513"/>
      <c r="E233" s="513"/>
      <c r="F233" s="513"/>
      <c r="G233" s="513"/>
      <c r="H233" s="513"/>
      <c r="I233" s="513"/>
      <c r="J233" s="513"/>
      <c r="K233" s="513"/>
      <c r="L233" s="513"/>
      <c r="M233" s="513"/>
      <c r="N233" s="513"/>
    </row>
    <row r="234" spans="1:14" x14ac:dyDescent="0.2">
      <c r="A234" s="513"/>
      <c r="B234" s="513"/>
      <c r="C234" s="513"/>
      <c r="D234" s="513"/>
      <c r="E234" s="513"/>
      <c r="F234" s="513"/>
      <c r="G234" s="513"/>
      <c r="H234" s="513"/>
      <c r="I234" s="513"/>
      <c r="J234" s="513"/>
      <c r="K234" s="513"/>
      <c r="L234" s="513"/>
      <c r="M234" s="513"/>
      <c r="N234" s="513"/>
    </row>
    <row r="235" spans="1:14" x14ac:dyDescent="0.2">
      <c r="A235" s="513"/>
      <c r="B235" s="513"/>
      <c r="C235" s="513"/>
      <c r="D235" s="513"/>
      <c r="E235" s="513"/>
      <c r="F235" s="513"/>
      <c r="G235" s="513"/>
      <c r="H235" s="513"/>
      <c r="I235" s="513"/>
      <c r="J235" s="513"/>
      <c r="K235" s="513"/>
      <c r="L235" s="513"/>
      <c r="M235" s="513"/>
      <c r="N235" s="513"/>
    </row>
    <row r="236" spans="1:14" x14ac:dyDescent="0.2">
      <c r="A236" s="513"/>
      <c r="B236" s="513"/>
      <c r="C236" s="513"/>
      <c r="D236" s="513"/>
      <c r="E236" s="513"/>
      <c r="F236" s="513"/>
      <c r="G236" s="513"/>
      <c r="H236" s="513"/>
      <c r="I236" s="513"/>
      <c r="J236" s="513"/>
      <c r="K236" s="513"/>
      <c r="L236" s="513"/>
      <c r="M236" s="513"/>
      <c r="N236" s="513"/>
    </row>
    <row r="237" spans="1:14" x14ac:dyDescent="0.2">
      <c r="A237" s="513"/>
      <c r="B237" s="513"/>
      <c r="C237" s="513"/>
      <c r="D237" s="513"/>
      <c r="E237" s="513"/>
      <c r="F237" s="513"/>
      <c r="G237" s="513"/>
      <c r="H237" s="513"/>
      <c r="I237" s="513"/>
      <c r="J237" s="513"/>
      <c r="K237" s="513"/>
      <c r="L237" s="513"/>
      <c r="M237" s="513"/>
      <c r="N237" s="513"/>
    </row>
    <row r="238" spans="1:14" x14ac:dyDescent="0.2">
      <c r="A238" s="513"/>
      <c r="B238" s="513"/>
      <c r="C238" s="513"/>
      <c r="D238" s="513"/>
      <c r="E238" s="513"/>
      <c r="F238" s="513"/>
      <c r="G238" s="513"/>
      <c r="H238" s="513"/>
      <c r="I238" s="513"/>
      <c r="J238" s="513"/>
      <c r="K238" s="513"/>
      <c r="L238" s="513"/>
      <c r="M238" s="513"/>
      <c r="N238" s="513"/>
    </row>
    <row r="239" spans="1:14" x14ac:dyDescent="0.2">
      <c r="A239" s="513"/>
      <c r="B239" s="513"/>
      <c r="C239" s="513"/>
      <c r="D239" s="513"/>
      <c r="E239" s="513"/>
      <c r="F239" s="513"/>
      <c r="G239" s="513"/>
      <c r="H239" s="513"/>
      <c r="I239" s="513"/>
      <c r="J239" s="513"/>
      <c r="K239" s="513"/>
      <c r="L239" s="513"/>
      <c r="M239" s="513"/>
      <c r="N239" s="513"/>
    </row>
    <row r="240" spans="1:14" x14ac:dyDescent="0.2">
      <c r="A240" s="513"/>
      <c r="B240" s="513"/>
      <c r="C240" s="513"/>
      <c r="D240" s="513"/>
      <c r="E240" s="513"/>
      <c r="F240" s="513"/>
      <c r="G240" s="513"/>
      <c r="H240" s="513"/>
      <c r="I240" s="513"/>
      <c r="J240" s="513"/>
      <c r="K240" s="513"/>
      <c r="L240" s="513"/>
      <c r="M240" s="513"/>
      <c r="N240" s="513"/>
    </row>
    <row r="241" spans="1:14" x14ac:dyDescent="0.2">
      <c r="A241" s="513"/>
      <c r="B241" s="513"/>
      <c r="C241" s="513"/>
      <c r="D241" s="513"/>
      <c r="E241" s="513"/>
      <c r="F241" s="513"/>
      <c r="G241" s="513"/>
      <c r="H241" s="513"/>
      <c r="I241" s="513"/>
      <c r="J241" s="513"/>
      <c r="K241" s="513"/>
      <c r="L241" s="513"/>
      <c r="M241" s="513"/>
      <c r="N241" s="513"/>
    </row>
    <row r="242" spans="1:14" x14ac:dyDescent="0.2">
      <c r="A242" s="513"/>
      <c r="B242" s="513"/>
      <c r="C242" s="513"/>
      <c r="D242" s="513"/>
      <c r="E242" s="513"/>
      <c r="F242" s="513"/>
      <c r="G242" s="513"/>
      <c r="H242" s="513"/>
      <c r="I242" s="513"/>
      <c r="J242" s="513"/>
      <c r="K242" s="513"/>
      <c r="L242" s="513"/>
      <c r="M242" s="513"/>
      <c r="N242" s="513"/>
    </row>
    <row r="243" spans="1:14" x14ac:dyDescent="0.2">
      <c r="A243" s="513"/>
      <c r="B243" s="513"/>
      <c r="C243" s="513"/>
      <c r="D243" s="513"/>
      <c r="E243" s="513"/>
      <c r="F243" s="513"/>
      <c r="G243" s="513"/>
      <c r="H243" s="513"/>
      <c r="I243" s="513"/>
      <c r="J243" s="513"/>
      <c r="K243" s="513"/>
      <c r="L243" s="513"/>
      <c r="M243" s="513"/>
      <c r="N243" s="513"/>
    </row>
    <row r="244" spans="1:14" x14ac:dyDescent="0.2">
      <c r="A244" s="513"/>
      <c r="B244" s="513"/>
      <c r="C244" s="513"/>
      <c r="D244" s="513"/>
      <c r="E244" s="513"/>
      <c r="F244" s="513"/>
      <c r="G244" s="513"/>
      <c r="H244" s="513"/>
      <c r="I244" s="513"/>
      <c r="J244" s="513"/>
      <c r="K244" s="513"/>
      <c r="L244" s="513"/>
      <c r="M244" s="513"/>
      <c r="N244" s="513"/>
    </row>
    <row r="245" spans="1:14" x14ac:dyDescent="0.2">
      <c r="A245" s="513"/>
      <c r="B245" s="513"/>
      <c r="C245" s="513"/>
      <c r="D245" s="513"/>
      <c r="E245" s="513"/>
      <c r="F245" s="513"/>
      <c r="G245" s="513"/>
      <c r="H245" s="513"/>
      <c r="I245" s="513"/>
      <c r="J245" s="513"/>
      <c r="K245" s="513"/>
      <c r="L245" s="513"/>
      <c r="M245" s="513"/>
      <c r="N245" s="513"/>
    </row>
    <row r="246" spans="1:14" x14ac:dyDescent="0.2">
      <c r="A246" s="513"/>
      <c r="B246" s="513"/>
      <c r="C246" s="513"/>
      <c r="D246" s="513"/>
      <c r="E246" s="513"/>
      <c r="F246" s="513"/>
      <c r="G246" s="513"/>
      <c r="H246" s="513"/>
      <c r="I246" s="513"/>
      <c r="J246" s="513"/>
      <c r="K246" s="513"/>
      <c r="L246" s="513"/>
      <c r="M246" s="513"/>
      <c r="N246" s="513"/>
    </row>
    <row r="247" spans="1:14" x14ac:dyDescent="0.2">
      <c r="A247" s="513"/>
      <c r="B247" s="513"/>
      <c r="C247" s="513"/>
      <c r="D247" s="513"/>
      <c r="E247" s="513"/>
      <c r="F247" s="513"/>
      <c r="G247" s="513"/>
      <c r="H247" s="513"/>
      <c r="I247" s="513"/>
      <c r="J247" s="513"/>
      <c r="K247" s="513"/>
      <c r="L247" s="513"/>
      <c r="M247" s="513"/>
      <c r="N247" s="513"/>
    </row>
    <row r="248" spans="1:14" x14ac:dyDescent="0.2">
      <c r="A248" s="513"/>
      <c r="B248" s="513"/>
      <c r="C248" s="513"/>
      <c r="D248" s="513"/>
      <c r="E248" s="513"/>
      <c r="F248" s="513"/>
      <c r="G248" s="513"/>
      <c r="H248" s="513"/>
      <c r="I248" s="513"/>
      <c r="J248" s="513"/>
      <c r="K248" s="513"/>
      <c r="L248" s="513"/>
      <c r="M248" s="513"/>
      <c r="N248" s="513"/>
    </row>
    <row r="249" spans="1:14" x14ac:dyDescent="0.2">
      <c r="A249" s="513"/>
      <c r="B249" s="513"/>
      <c r="C249" s="513"/>
      <c r="D249" s="513"/>
      <c r="E249" s="513"/>
      <c r="F249" s="513"/>
      <c r="G249" s="513"/>
      <c r="H249" s="513"/>
      <c r="I249" s="513"/>
      <c r="J249" s="513"/>
      <c r="K249" s="513"/>
      <c r="L249" s="513"/>
      <c r="M249" s="513"/>
      <c r="N249" s="513"/>
    </row>
    <row r="250" spans="1:14" x14ac:dyDescent="0.2">
      <c r="A250" s="513"/>
      <c r="B250" s="513"/>
      <c r="C250" s="513"/>
      <c r="D250" s="513"/>
      <c r="E250" s="513"/>
      <c r="F250" s="513"/>
      <c r="G250" s="513"/>
      <c r="H250" s="513"/>
      <c r="I250" s="513"/>
      <c r="J250" s="513"/>
      <c r="K250" s="513"/>
      <c r="L250" s="513"/>
      <c r="M250" s="513"/>
      <c r="N250" s="513"/>
    </row>
    <row r="251" spans="1:14" x14ac:dyDescent="0.2">
      <c r="A251" s="513"/>
      <c r="B251" s="513"/>
      <c r="C251" s="513"/>
      <c r="D251" s="513"/>
      <c r="E251" s="513"/>
      <c r="F251" s="513"/>
      <c r="G251" s="513"/>
      <c r="H251" s="513"/>
      <c r="I251" s="513"/>
      <c r="J251" s="513"/>
      <c r="K251" s="513"/>
      <c r="L251" s="513"/>
      <c r="M251" s="513"/>
      <c r="N251" s="513"/>
    </row>
    <row r="252" spans="1:14" x14ac:dyDescent="0.2">
      <c r="A252" s="513"/>
      <c r="B252" s="513"/>
      <c r="C252" s="513"/>
      <c r="D252" s="513"/>
      <c r="E252" s="513"/>
      <c r="F252" s="513"/>
      <c r="G252" s="513"/>
      <c r="H252" s="513"/>
      <c r="I252" s="513"/>
      <c r="J252" s="513"/>
      <c r="K252" s="513"/>
      <c r="L252" s="513"/>
      <c r="M252" s="513"/>
      <c r="N252" s="513"/>
    </row>
    <row r="253" spans="1:14" x14ac:dyDescent="0.2">
      <c r="A253" s="513"/>
      <c r="B253" s="513"/>
      <c r="C253" s="513"/>
      <c r="D253" s="513"/>
      <c r="E253" s="513"/>
      <c r="F253" s="513"/>
      <c r="G253" s="513"/>
      <c r="H253" s="513"/>
      <c r="I253" s="513"/>
      <c r="J253" s="513"/>
      <c r="K253" s="513"/>
      <c r="L253" s="513"/>
      <c r="M253" s="513"/>
      <c r="N253" s="513"/>
    </row>
    <row r="254" spans="1:14" x14ac:dyDescent="0.2">
      <c r="A254" s="513"/>
      <c r="B254" s="513"/>
      <c r="C254" s="513"/>
      <c r="D254" s="513"/>
      <c r="E254" s="513"/>
      <c r="F254" s="513"/>
      <c r="G254" s="513"/>
      <c r="H254" s="513"/>
      <c r="I254" s="513"/>
      <c r="J254" s="513"/>
      <c r="K254" s="513"/>
      <c r="L254" s="513"/>
      <c r="M254" s="513"/>
      <c r="N254" s="513"/>
    </row>
    <row r="255" spans="1:14" x14ac:dyDescent="0.2">
      <c r="A255" s="513"/>
      <c r="B255" s="513"/>
      <c r="C255" s="513"/>
      <c r="D255" s="513"/>
      <c r="E255" s="513"/>
      <c r="F255" s="513"/>
      <c r="G255" s="513"/>
      <c r="H255" s="513"/>
      <c r="I255" s="513"/>
      <c r="J255" s="513"/>
      <c r="K255" s="513"/>
      <c r="L255" s="513"/>
      <c r="M255" s="513"/>
      <c r="N255" s="513"/>
    </row>
    <row r="256" spans="1:14" x14ac:dyDescent="0.2">
      <c r="A256" s="513"/>
      <c r="B256" s="513"/>
      <c r="C256" s="513"/>
      <c r="D256" s="513"/>
      <c r="E256" s="513"/>
      <c r="F256" s="513"/>
      <c r="G256" s="513"/>
      <c r="H256" s="513"/>
      <c r="I256" s="513"/>
      <c r="J256" s="513"/>
      <c r="K256" s="513"/>
      <c r="L256" s="513"/>
      <c r="M256" s="513"/>
      <c r="N256" s="513"/>
    </row>
    <row r="257" spans="1:14" x14ac:dyDescent="0.2">
      <c r="A257" s="513"/>
      <c r="B257" s="513"/>
      <c r="C257" s="513"/>
      <c r="D257" s="513"/>
      <c r="E257" s="513"/>
      <c r="F257" s="513"/>
      <c r="G257" s="513"/>
      <c r="H257" s="513"/>
      <c r="I257" s="513"/>
      <c r="J257" s="513"/>
      <c r="K257" s="513"/>
      <c r="L257" s="513"/>
      <c r="M257" s="513"/>
      <c r="N257" s="513"/>
    </row>
    <row r="258" spans="1:14" x14ac:dyDescent="0.2">
      <c r="A258" s="513"/>
      <c r="B258" s="513"/>
      <c r="C258" s="513"/>
      <c r="D258" s="513"/>
      <c r="E258" s="513"/>
      <c r="F258" s="513"/>
      <c r="G258" s="513"/>
      <c r="H258" s="513"/>
      <c r="I258" s="513"/>
      <c r="J258" s="513"/>
      <c r="K258" s="513"/>
      <c r="L258" s="513"/>
      <c r="M258" s="513"/>
      <c r="N258" s="513"/>
    </row>
    <row r="259" spans="1:14" x14ac:dyDescent="0.2">
      <c r="A259" s="513"/>
      <c r="B259" s="513"/>
      <c r="C259" s="513"/>
      <c r="D259" s="513"/>
      <c r="E259" s="513"/>
      <c r="F259" s="513"/>
      <c r="G259" s="513"/>
      <c r="H259" s="513"/>
      <c r="I259" s="513"/>
      <c r="J259" s="513"/>
      <c r="K259" s="513"/>
      <c r="L259" s="513"/>
      <c r="M259" s="513"/>
      <c r="N259" s="513"/>
    </row>
    <row r="260" spans="1:14" x14ac:dyDescent="0.2">
      <c r="A260" s="513"/>
      <c r="B260" s="513"/>
      <c r="C260" s="513"/>
      <c r="D260" s="513"/>
      <c r="E260" s="513"/>
      <c r="F260" s="513"/>
      <c r="G260" s="513"/>
      <c r="H260" s="513"/>
      <c r="I260" s="513"/>
      <c r="J260" s="513"/>
      <c r="K260" s="513"/>
      <c r="L260" s="513"/>
      <c r="M260" s="513"/>
      <c r="N260" s="513"/>
    </row>
    <row r="261" spans="1:14" x14ac:dyDescent="0.2">
      <c r="A261" s="513"/>
      <c r="B261" s="513"/>
      <c r="C261" s="513"/>
      <c r="D261" s="513"/>
      <c r="E261" s="513"/>
      <c r="F261" s="513"/>
      <c r="G261" s="513"/>
      <c r="H261" s="513"/>
      <c r="I261" s="513"/>
      <c r="J261" s="513"/>
      <c r="K261" s="513"/>
      <c r="L261" s="513"/>
      <c r="M261" s="513"/>
      <c r="N261" s="513"/>
    </row>
    <row r="262" spans="1:14" x14ac:dyDescent="0.2">
      <c r="A262" s="513"/>
      <c r="B262" s="513"/>
      <c r="C262" s="513"/>
      <c r="D262" s="513"/>
      <c r="E262" s="513"/>
      <c r="F262" s="513"/>
      <c r="G262" s="513"/>
      <c r="H262" s="513"/>
      <c r="I262" s="513"/>
      <c r="J262" s="513"/>
      <c r="K262" s="513"/>
      <c r="L262" s="513"/>
      <c r="M262" s="513"/>
      <c r="N262" s="513"/>
    </row>
    <row r="263" spans="1:14" x14ac:dyDescent="0.2">
      <c r="A263" s="513"/>
      <c r="B263" s="513"/>
      <c r="C263" s="513"/>
      <c r="D263" s="513"/>
      <c r="E263" s="513"/>
      <c r="F263" s="513"/>
      <c r="G263" s="513"/>
      <c r="H263" s="513"/>
      <c r="I263" s="513"/>
      <c r="J263" s="513"/>
      <c r="K263" s="513"/>
      <c r="L263" s="513"/>
      <c r="M263" s="513"/>
      <c r="N263" s="513"/>
    </row>
    <row r="264" spans="1:14" x14ac:dyDescent="0.2">
      <c r="A264" s="513"/>
      <c r="B264" s="513"/>
      <c r="C264" s="513"/>
      <c r="D264" s="513"/>
      <c r="E264" s="513"/>
      <c r="F264" s="513"/>
      <c r="G264" s="513"/>
      <c r="H264" s="513"/>
      <c r="I264" s="513"/>
      <c r="J264" s="513"/>
      <c r="K264" s="513"/>
      <c r="L264" s="513"/>
      <c r="M264" s="513"/>
      <c r="N264" s="513"/>
    </row>
    <row r="265" spans="1:14" x14ac:dyDescent="0.2">
      <c r="A265" s="513"/>
      <c r="B265" s="513"/>
      <c r="C265" s="513"/>
      <c r="D265" s="513"/>
      <c r="E265" s="513"/>
      <c r="F265" s="513"/>
      <c r="G265" s="513"/>
      <c r="H265" s="513"/>
      <c r="I265" s="513"/>
      <c r="J265" s="513"/>
      <c r="K265" s="513"/>
      <c r="L265" s="513"/>
      <c r="M265" s="513"/>
      <c r="N265" s="513"/>
    </row>
    <row r="266" spans="1:14" x14ac:dyDescent="0.2">
      <c r="A266" s="513"/>
      <c r="B266" s="513"/>
      <c r="C266" s="513"/>
      <c r="D266" s="513"/>
      <c r="E266" s="513"/>
      <c r="F266" s="513"/>
      <c r="G266" s="513"/>
      <c r="H266" s="513"/>
      <c r="I266" s="513"/>
      <c r="J266" s="513"/>
      <c r="K266" s="513"/>
      <c r="L266" s="513"/>
      <c r="M266" s="513"/>
      <c r="N266" s="513"/>
    </row>
    <row r="267" spans="1:14" x14ac:dyDescent="0.2">
      <c r="A267" s="513"/>
      <c r="B267" s="513"/>
      <c r="C267" s="513"/>
      <c r="D267" s="513"/>
      <c r="E267" s="513"/>
      <c r="F267" s="513"/>
      <c r="G267" s="513"/>
      <c r="H267" s="513"/>
      <c r="I267" s="513"/>
      <c r="J267" s="513"/>
      <c r="K267" s="513"/>
      <c r="L267" s="513"/>
      <c r="M267" s="513"/>
      <c r="N267" s="513"/>
    </row>
    <row r="268" spans="1:14" x14ac:dyDescent="0.2">
      <c r="A268" s="513"/>
      <c r="B268" s="513"/>
      <c r="C268" s="513"/>
      <c r="D268" s="513"/>
      <c r="E268" s="513"/>
      <c r="F268" s="513"/>
      <c r="G268" s="513"/>
      <c r="H268" s="513"/>
      <c r="I268" s="513"/>
      <c r="J268" s="513"/>
      <c r="K268" s="513"/>
      <c r="L268" s="513"/>
      <c r="M268" s="513"/>
      <c r="N268" s="513"/>
    </row>
    <row r="269" spans="1:14" x14ac:dyDescent="0.2">
      <c r="A269" s="513"/>
      <c r="B269" s="513"/>
      <c r="C269" s="513"/>
      <c r="D269" s="513"/>
      <c r="E269" s="513"/>
      <c r="F269" s="513"/>
      <c r="G269" s="513"/>
      <c r="H269" s="513"/>
      <c r="I269" s="513"/>
      <c r="J269" s="513"/>
      <c r="K269" s="513"/>
      <c r="L269" s="513"/>
      <c r="M269" s="513"/>
      <c r="N269" s="513"/>
    </row>
    <row r="270" spans="1:14" x14ac:dyDescent="0.2">
      <c r="A270" s="513"/>
      <c r="B270" s="513"/>
      <c r="C270" s="513"/>
      <c r="D270" s="513"/>
      <c r="E270" s="513"/>
      <c r="F270" s="513"/>
      <c r="G270" s="513"/>
      <c r="H270" s="513"/>
      <c r="I270" s="513"/>
      <c r="J270" s="513"/>
      <c r="K270" s="513"/>
      <c r="L270" s="513"/>
      <c r="M270" s="513"/>
      <c r="N270" s="513"/>
    </row>
    <row r="271" spans="1:14" x14ac:dyDescent="0.2">
      <c r="A271" s="513"/>
      <c r="B271" s="513"/>
      <c r="C271" s="513"/>
      <c r="D271" s="513"/>
      <c r="E271" s="513"/>
      <c r="F271" s="513"/>
      <c r="G271" s="513"/>
      <c r="H271" s="513"/>
      <c r="I271" s="513"/>
      <c r="J271" s="513"/>
      <c r="K271" s="513"/>
      <c r="L271" s="513"/>
      <c r="M271" s="513"/>
      <c r="N271" s="513"/>
    </row>
    <row r="272" spans="1:14" x14ac:dyDescent="0.2">
      <c r="A272" s="513"/>
      <c r="B272" s="513"/>
      <c r="C272" s="513"/>
      <c r="D272" s="513"/>
      <c r="E272" s="513"/>
      <c r="F272" s="513"/>
      <c r="G272" s="513"/>
      <c r="H272" s="513"/>
      <c r="I272" s="513"/>
      <c r="J272" s="513"/>
      <c r="K272" s="513"/>
      <c r="L272" s="513"/>
      <c r="M272" s="513"/>
      <c r="N272" s="513"/>
    </row>
    <row r="273" spans="1:14" x14ac:dyDescent="0.2">
      <c r="A273" s="513"/>
      <c r="B273" s="513"/>
      <c r="C273" s="513"/>
      <c r="D273" s="513"/>
      <c r="E273" s="513"/>
      <c r="F273" s="513"/>
      <c r="G273" s="513"/>
      <c r="H273" s="513"/>
      <c r="I273" s="513"/>
      <c r="J273" s="513"/>
      <c r="K273" s="513"/>
      <c r="L273" s="513"/>
      <c r="M273" s="513"/>
      <c r="N273" s="513"/>
    </row>
    <row r="274" spans="1:14" x14ac:dyDescent="0.2">
      <c r="A274" s="513"/>
      <c r="B274" s="513"/>
      <c r="C274" s="513"/>
      <c r="D274" s="513"/>
      <c r="E274" s="513"/>
      <c r="F274" s="513"/>
      <c r="G274" s="513"/>
      <c r="H274" s="513"/>
      <c r="I274" s="513"/>
      <c r="J274" s="513"/>
      <c r="K274" s="513"/>
      <c r="L274" s="513"/>
      <c r="M274" s="513"/>
      <c r="N274" s="513"/>
    </row>
    <row r="275" spans="1:14" x14ac:dyDescent="0.2">
      <c r="A275" s="513"/>
      <c r="B275" s="513"/>
      <c r="C275" s="513"/>
      <c r="D275" s="513"/>
      <c r="E275" s="513"/>
      <c r="F275" s="513"/>
      <c r="G275" s="513"/>
      <c r="H275" s="513"/>
      <c r="I275" s="513"/>
      <c r="J275" s="513"/>
      <c r="K275" s="513"/>
      <c r="L275" s="513"/>
      <c r="M275" s="513"/>
      <c r="N275" s="513"/>
    </row>
    <row r="276" spans="1:14" x14ac:dyDescent="0.2">
      <c r="A276" s="513"/>
      <c r="B276" s="513"/>
      <c r="C276" s="513"/>
      <c r="D276" s="513"/>
      <c r="E276" s="513"/>
      <c r="F276" s="513"/>
      <c r="G276" s="513"/>
      <c r="H276" s="513"/>
      <c r="I276" s="513"/>
      <c r="J276" s="513"/>
      <c r="K276" s="513"/>
      <c r="L276" s="513"/>
      <c r="M276" s="513"/>
      <c r="N276" s="513"/>
    </row>
    <row r="277" spans="1:14" x14ac:dyDescent="0.2">
      <c r="A277" s="513"/>
      <c r="B277" s="513"/>
      <c r="C277" s="513"/>
      <c r="D277" s="513"/>
      <c r="E277" s="513"/>
      <c r="F277" s="513"/>
      <c r="G277" s="513"/>
      <c r="H277" s="513"/>
      <c r="I277" s="513"/>
      <c r="J277" s="513"/>
      <c r="K277" s="513"/>
      <c r="L277" s="513"/>
      <c r="M277" s="513"/>
      <c r="N277" s="513"/>
    </row>
    <row r="278" spans="1:14" x14ac:dyDescent="0.2">
      <c r="A278" s="513"/>
      <c r="B278" s="513"/>
      <c r="C278" s="513"/>
      <c r="D278" s="513"/>
      <c r="E278" s="513"/>
      <c r="F278" s="513"/>
      <c r="G278" s="513"/>
      <c r="H278" s="513"/>
      <c r="I278" s="513"/>
      <c r="J278" s="513"/>
      <c r="K278" s="513"/>
      <c r="L278" s="513"/>
      <c r="M278" s="513"/>
      <c r="N278" s="513"/>
    </row>
    <row r="279" spans="1:14" x14ac:dyDescent="0.2">
      <c r="A279" s="513"/>
      <c r="B279" s="513"/>
      <c r="C279" s="513"/>
      <c r="D279" s="513"/>
      <c r="E279" s="513"/>
      <c r="F279" s="513"/>
      <c r="G279" s="513"/>
      <c r="H279" s="513"/>
      <c r="I279" s="513"/>
      <c r="J279" s="513"/>
      <c r="K279" s="513"/>
      <c r="L279" s="513"/>
      <c r="M279" s="513"/>
      <c r="N279" s="513"/>
    </row>
    <row r="280" spans="1:14" x14ac:dyDescent="0.2">
      <c r="A280" s="513"/>
      <c r="B280" s="513"/>
      <c r="C280" s="513"/>
      <c r="D280" s="513"/>
      <c r="E280" s="513"/>
      <c r="F280" s="513"/>
      <c r="G280" s="513"/>
      <c r="H280" s="513"/>
      <c r="I280" s="513"/>
      <c r="J280" s="513"/>
      <c r="K280" s="513"/>
      <c r="L280" s="513"/>
      <c r="M280" s="513"/>
      <c r="N280" s="513"/>
    </row>
    <row r="281" spans="1:14" x14ac:dyDescent="0.2">
      <c r="A281" s="513"/>
      <c r="B281" s="513"/>
      <c r="C281" s="513"/>
      <c r="D281" s="513"/>
      <c r="E281" s="513"/>
      <c r="F281" s="513"/>
      <c r="G281" s="513"/>
      <c r="H281" s="513"/>
      <c r="I281" s="513"/>
      <c r="J281" s="513"/>
      <c r="K281" s="513"/>
      <c r="L281" s="513"/>
      <c r="M281" s="513"/>
      <c r="N281" s="513"/>
    </row>
    <row r="282" spans="1:14" x14ac:dyDescent="0.2">
      <c r="A282" s="513"/>
      <c r="B282" s="513"/>
      <c r="C282" s="513"/>
      <c r="D282" s="513"/>
      <c r="E282" s="513"/>
      <c r="F282" s="513"/>
      <c r="G282" s="513"/>
      <c r="H282" s="513"/>
      <c r="I282" s="513"/>
      <c r="J282" s="513"/>
      <c r="K282" s="513"/>
      <c r="L282" s="513"/>
      <c r="M282" s="513"/>
      <c r="N282" s="513"/>
    </row>
    <row r="283" spans="1:14" x14ac:dyDescent="0.2">
      <c r="A283" s="513"/>
      <c r="B283" s="513"/>
      <c r="C283" s="513"/>
      <c r="D283" s="513"/>
      <c r="E283" s="513"/>
      <c r="F283" s="513"/>
      <c r="G283" s="513"/>
      <c r="H283" s="513"/>
      <c r="I283" s="513"/>
      <c r="J283" s="513"/>
      <c r="K283" s="513"/>
      <c r="L283" s="513"/>
      <c r="M283" s="513"/>
      <c r="N283" s="513"/>
    </row>
    <row r="284" spans="1:14" x14ac:dyDescent="0.2">
      <c r="A284" s="513"/>
      <c r="B284" s="513"/>
      <c r="C284" s="513"/>
      <c r="D284" s="513"/>
      <c r="E284" s="513"/>
      <c r="F284" s="513"/>
      <c r="G284" s="513"/>
      <c r="H284" s="513"/>
      <c r="I284" s="513"/>
      <c r="J284" s="513"/>
      <c r="K284" s="513"/>
      <c r="L284" s="513"/>
      <c r="M284" s="513"/>
      <c r="N284" s="513"/>
    </row>
    <row r="285" spans="1:14" x14ac:dyDescent="0.2">
      <c r="A285" s="513"/>
      <c r="B285" s="513"/>
      <c r="C285" s="513"/>
      <c r="D285" s="513"/>
      <c r="E285" s="513"/>
      <c r="F285" s="513"/>
      <c r="G285" s="513"/>
      <c r="H285" s="513"/>
      <c r="I285" s="513"/>
      <c r="J285" s="513"/>
      <c r="K285" s="513"/>
      <c r="L285" s="513"/>
      <c r="M285" s="513"/>
      <c r="N285" s="513"/>
    </row>
    <row r="286" spans="1:14" x14ac:dyDescent="0.2">
      <c r="A286" s="513"/>
      <c r="B286" s="513"/>
      <c r="C286" s="513"/>
      <c r="D286" s="513"/>
      <c r="E286" s="513"/>
      <c r="F286" s="513"/>
      <c r="G286" s="513"/>
      <c r="H286" s="513"/>
      <c r="I286" s="513"/>
      <c r="J286" s="513"/>
      <c r="K286" s="513"/>
      <c r="L286" s="513"/>
      <c r="M286" s="513"/>
      <c r="N286" s="513"/>
    </row>
    <row r="287" spans="1:14" x14ac:dyDescent="0.2">
      <c r="A287" s="513"/>
      <c r="B287" s="513"/>
      <c r="C287" s="513"/>
      <c r="D287" s="513"/>
      <c r="E287" s="513"/>
      <c r="F287" s="513"/>
      <c r="G287" s="513"/>
      <c r="H287" s="513"/>
      <c r="I287" s="513"/>
      <c r="J287" s="513"/>
      <c r="K287" s="513"/>
      <c r="L287" s="513"/>
      <c r="M287" s="513"/>
      <c r="N287" s="513"/>
    </row>
    <row r="288" spans="1:14" x14ac:dyDescent="0.2">
      <c r="A288" s="513"/>
      <c r="B288" s="513"/>
      <c r="C288" s="513"/>
      <c r="D288" s="513"/>
      <c r="E288" s="513"/>
      <c r="F288" s="513"/>
      <c r="G288" s="513"/>
      <c r="H288" s="513"/>
      <c r="I288" s="513"/>
      <c r="J288" s="513"/>
      <c r="K288" s="513"/>
      <c r="L288" s="513"/>
      <c r="M288" s="513"/>
      <c r="N288" s="513"/>
    </row>
    <row r="289" spans="1:14" x14ac:dyDescent="0.2">
      <c r="A289" s="513"/>
      <c r="B289" s="513"/>
      <c r="C289" s="513"/>
      <c r="D289" s="513"/>
      <c r="E289" s="513"/>
      <c r="F289" s="513"/>
      <c r="G289" s="513"/>
      <c r="H289" s="513"/>
      <c r="I289" s="513"/>
      <c r="J289" s="513"/>
      <c r="K289" s="513"/>
      <c r="L289" s="513"/>
      <c r="M289" s="513"/>
      <c r="N289" s="513"/>
    </row>
    <row r="290" spans="1:14" x14ac:dyDescent="0.2">
      <c r="A290" s="513"/>
      <c r="B290" s="513"/>
      <c r="C290" s="513"/>
      <c r="D290" s="513"/>
      <c r="E290" s="513"/>
      <c r="F290" s="513"/>
      <c r="G290" s="513"/>
      <c r="H290" s="513"/>
      <c r="I290" s="513"/>
      <c r="J290" s="513"/>
      <c r="K290" s="513"/>
      <c r="L290" s="513"/>
      <c r="M290" s="513"/>
      <c r="N290" s="513"/>
    </row>
    <row r="291" spans="1:14" x14ac:dyDescent="0.2">
      <c r="A291" s="513"/>
      <c r="B291" s="513"/>
      <c r="C291" s="513"/>
      <c r="D291" s="513"/>
      <c r="E291" s="513"/>
      <c r="F291" s="513"/>
      <c r="G291" s="513"/>
      <c r="H291" s="513"/>
      <c r="I291" s="513"/>
      <c r="J291" s="513"/>
      <c r="K291" s="513"/>
      <c r="L291" s="513"/>
      <c r="M291" s="513"/>
      <c r="N291" s="513"/>
    </row>
    <row r="292" spans="1:14" x14ac:dyDescent="0.2">
      <c r="A292" s="513"/>
      <c r="B292" s="513"/>
      <c r="C292" s="513"/>
      <c r="D292" s="513"/>
      <c r="E292" s="513"/>
      <c r="F292" s="513"/>
      <c r="G292" s="513"/>
      <c r="H292" s="513"/>
      <c r="I292" s="513"/>
      <c r="J292" s="513"/>
      <c r="K292" s="513"/>
      <c r="L292" s="513"/>
      <c r="M292" s="513"/>
      <c r="N292" s="513"/>
    </row>
    <row r="293" spans="1:14" x14ac:dyDescent="0.2">
      <c r="A293" s="513"/>
      <c r="B293" s="513"/>
      <c r="C293" s="513"/>
      <c r="D293" s="513"/>
      <c r="E293" s="513"/>
      <c r="F293" s="513"/>
      <c r="G293" s="513"/>
      <c r="H293" s="513"/>
      <c r="I293" s="513"/>
      <c r="J293" s="513"/>
      <c r="K293" s="513"/>
      <c r="L293" s="513"/>
      <c r="M293" s="513"/>
      <c r="N293" s="513"/>
    </row>
    <row r="294" spans="1:14" x14ac:dyDescent="0.2">
      <c r="A294" s="513"/>
      <c r="B294" s="513"/>
      <c r="C294" s="513"/>
      <c r="D294" s="513"/>
      <c r="E294" s="513"/>
      <c r="F294" s="513"/>
      <c r="G294" s="513"/>
      <c r="H294" s="513"/>
      <c r="I294" s="513"/>
      <c r="J294" s="513"/>
      <c r="K294" s="513"/>
      <c r="L294" s="513"/>
      <c r="M294" s="513"/>
      <c r="N294" s="513"/>
    </row>
    <row r="295" spans="1:14" x14ac:dyDescent="0.2">
      <c r="A295" s="513"/>
      <c r="B295" s="513"/>
      <c r="C295" s="513"/>
      <c r="D295" s="513"/>
      <c r="E295" s="513"/>
      <c r="F295" s="513"/>
      <c r="G295" s="513"/>
      <c r="H295" s="513"/>
      <c r="I295" s="513"/>
      <c r="J295" s="513"/>
      <c r="K295" s="513"/>
      <c r="L295" s="513"/>
      <c r="M295" s="513"/>
      <c r="N295" s="513"/>
    </row>
    <row r="296" spans="1:14" x14ac:dyDescent="0.2">
      <c r="A296" s="513"/>
      <c r="B296" s="513"/>
      <c r="C296" s="513"/>
      <c r="D296" s="513"/>
      <c r="E296" s="513"/>
      <c r="F296" s="513"/>
      <c r="G296" s="513"/>
      <c r="H296" s="513"/>
      <c r="I296" s="513"/>
      <c r="J296" s="513"/>
      <c r="K296" s="513"/>
      <c r="L296" s="513"/>
      <c r="M296" s="513"/>
      <c r="N296" s="513"/>
    </row>
    <row r="297" spans="1:14" x14ac:dyDescent="0.2">
      <c r="A297" s="513"/>
      <c r="B297" s="513"/>
      <c r="C297" s="513"/>
      <c r="D297" s="513"/>
      <c r="E297" s="513"/>
      <c r="F297" s="513"/>
      <c r="G297" s="513"/>
      <c r="H297" s="513"/>
      <c r="I297" s="513"/>
      <c r="J297" s="513"/>
      <c r="K297" s="513"/>
      <c r="L297" s="513"/>
      <c r="M297" s="513"/>
      <c r="N297" s="513"/>
    </row>
    <row r="298" spans="1:14" x14ac:dyDescent="0.2">
      <c r="A298" s="513"/>
      <c r="B298" s="513"/>
      <c r="C298" s="513"/>
      <c r="D298" s="513"/>
      <c r="E298" s="513"/>
      <c r="F298" s="513"/>
      <c r="G298" s="513"/>
      <c r="H298" s="513"/>
      <c r="I298" s="513"/>
      <c r="J298" s="513"/>
      <c r="K298" s="513"/>
      <c r="L298" s="513"/>
      <c r="M298" s="513"/>
      <c r="N298" s="513"/>
    </row>
    <row r="299" spans="1:14" x14ac:dyDescent="0.2">
      <c r="A299" s="513"/>
      <c r="B299" s="513"/>
      <c r="C299" s="513"/>
      <c r="D299" s="513"/>
      <c r="E299" s="513"/>
      <c r="F299" s="513"/>
      <c r="G299" s="513"/>
      <c r="H299" s="513"/>
      <c r="I299" s="513"/>
      <c r="J299" s="513"/>
      <c r="K299" s="513"/>
      <c r="L299" s="513"/>
      <c r="M299" s="513"/>
      <c r="N299" s="513"/>
    </row>
    <row r="300" spans="1:14" x14ac:dyDescent="0.2">
      <c r="A300" s="513"/>
      <c r="B300" s="513"/>
      <c r="C300" s="513"/>
      <c r="D300" s="513"/>
      <c r="E300" s="513"/>
      <c r="F300" s="513"/>
      <c r="G300" s="513"/>
      <c r="H300" s="513"/>
      <c r="I300" s="513"/>
      <c r="J300" s="513"/>
      <c r="K300" s="513"/>
      <c r="L300" s="513"/>
      <c r="M300" s="513"/>
      <c r="N300" s="513"/>
    </row>
    <row r="301" spans="1:14" x14ac:dyDescent="0.2">
      <c r="A301" s="513"/>
      <c r="B301" s="513"/>
      <c r="C301" s="513"/>
      <c r="D301" s="513"/>
      <c r="E301" s="513"/>
      <c r="F301" s="513"/>
      <c r="G301" s="513"/>
      <c r="H301" s="513"/>
      <c r="I301" s="513"/>
      <c r="J301" s="513"/>
      <c r="K301" s="513"/>
      <c r="L301" s="513"/>
      <c r="M301" s="513"/>
      <c r="N301" s="513"/>
    </row>
    <row r="302" spans="1:14" x14ac:dyDescent="0.2">
      <c r="A302" s="513"/>
      <c r="B302" s="513"/>
      <c r="C302" s="513"/>
      <c r="D302" s="513"/>
      <c r="E302" s="513"/>
      <c r="F302" s="513"/>
      <c r="G302" s="513"/>
      <c r="H302" s="513"/>
      <c r="I302" s="513"/>
      <c r="J302" s="513"/>
      <c r="K302" s="513"/>
      <c r="L302" s="513"/>
      <c r="M302" s="513"/>
      <c r="N302" s="513"/>
    </row>
    <row r="303" spans="1:14" x14ac:dyDescent="0.2">
      <c r="A303" s="513"/>
      <c r="B303" s="513"/>
      <c r="C303" s="513"/>
      <c r="D303" s="513"/>
      <c r="E303" s="513"/>
      <c r="F303" s="513"/>
      <c r="G303" s="513"/>
      <c r="H303" s="513"/>
      <c r="I303" s="513"/>
      <c r="J303" s="513"/>
      <c r="K303" s="513"/>
      <c r="L303" s="513"/>
      <c r="M303" s="513"/>
      <c r="N303" s="513"/>
    </row>
    <row r="304" spans="1:14" x14ac:dyDescent="0.2">
      <c r="A304" s="513"/>
      <c r="B304" s="513"/>
      <c r="C304" s="513"/>
      <c r="D304" s="513"/>
      <c r="E304" s="513"/>
      <c r="F304" s="513"/>
      <c r="G304" s="513"/>
      <c r="H304" s="513"/>
      <c r="I304" s="513"/>
      <c r="J304" s="513"/>
      <c r="K304" s="513"/>
      <c r="L304" s="513"/>
      <c r="M304" s="513"/>
      <c r="N304" s="513"/>
    </row>
    <row r="305" spans="1:14" x14ac:dyDescent="0.2">
      <c r="A305" s="513"/>
      <c r="B305" s="513"/>
      <c r="C305" s="513"/>
      <c r="D305" s="513"/>
      <c r="E305" s="513"/>
      <c r="F305" s="513"/>
      <c r="G305" s="513"/>
      <c r="H305" s="513"/>
      <c r="I305" s="513"/>
      <c r="J305" s="513"/>
      <c r="K305" s="513"/>
      <c r="L305" s="513"/>
      <c r="M305" s="513"/>
      <c r="N305" s="513"/>
    </row>
    <row r="306" spans="1:14" x14ac:dyDescent="0.2">
      <c r="A306" s="513"/>
      <c r="B306" s="513"/>
      <c r="C306" s="513"/>
      <c r="D306" s="513"/>
      <c r="E306" s="513"/>
      <c r="F306" s="513"/>
      <c r="G306" s="513"/>
      <c r="H306" s="513"/>
      <c r="I306" s="513"/>
      <c r="J306" s="513"/>
      <c r="K306" s="513"/>
      <c r="L306" s="513"/>
      <c r="M306" s="513"/>
      <c r="N306" s="513"/>
    </row>
    <row r="307" spans="1:14" x14ac:dyDescent="0.2">
      <c r="A307" s="513"/>
      <c r="B307" s="513"/>
      <c r="C307" s="513"/>
      <c r="D307" s="513"/>
      <c r="E307" s="513"/>
      <c r="F307" s="513"/>
      <c r="G307" s="513"/>
      <c r="H307" s="513"/>
      <c r="I307" s="513"/>
      <c r="J307" s="513"/>
      <c r="K307" s="513"/>
      <c r="L307" s="513"/>
      <c r="M307" s="513"/>
      <c r="N307" s="513"/>
    </row>
    <row r="308" spans="1:14" x14ac:dyDescent="0.2">
      <c r="A308" s="513"/>
      <c r="B308" s="513"/>
      <c r="C308" s="513"/>
      <c r="D308" s="513"/>
      <c r="E308" s="513"/>
      <c r="F308" s="513"/>
      <c r="G308" s="513"/>
      <c r="H308" s="513"/>
      <c r="I308" s="513"/>
      <c r="J308" s="513"/>
      <c r="K308" s="513"/>
      <c r="L308" s="513"/>
      <c r="M308" s="513"/>
      <c r="N308" s="513"/>
    </row>
    <row r="309" spans="1:14" x14ac:dyDescent="0.2">
      <c r="A309" s="513"/>
      <c r="B309" s="513"/>
      <c r="C309" s="513"/>
      <c r="D309" s="513"/>
      <c r="E309" s="513"/>
      <c r="F309" s="513"/>
      <c r="G309" s="513"/>
      <c r="H309" s="513"/>
      <c r="I309" s="513"/>
      <c r="J309" s="513"/>
      <c r="K309" s="513"/>
      <c r="L309" s="513"/>
      <c r="M309" s="513"/>
      <c r="N309" s="513"/>
    </row>
    <row r="310" spans="1:14" x14ac:dyDescent="0.2">
      <c r="A310" s="513"/>
      <c r="B310" s="513"/>
      <c r="C310" s="513"/>
      <c r="D310" s="513"/>
      <c r="E310" s="513"/>
      <c r="F310" s="513"/>
      <c r="G310" s="513"/>
      <c r="H310" s="513"/>
      <c r="I310" s="513"/>
      <c r="J310" s="513"/>
      <c r="K310" s="513"/>
      <c r="L310" s="513"/>
      <c r="M310" s="513"/>
      <c r="N310" s="513"/>
    </row>
    <row r="311" spans="1:14" x14ac:dyDescent="0.2">
      <c r="A311" s="513"/>
      <c r="B311" s="513"/>
      <c r="C311" s="513"/>
      <c r="D311" s="513"/>
      <c r="E311" s="513"/>
      <c r="F311" s="513"/>
      <c r="G311" s="513"/>
      <c r="H311" s="513"/>
      <c r="I311" s="513"/>
      <c r="J311" s="513"/>
      <c r="K311" s="513"/>
      <c r="L311" s="513"/>
      <c r="M311" s="513"/>
      <c r="N311" s="513"/>
    </row>
    <row r="312" spans="1:14" x14ac:dyDescent="0.2">
      <c r="A312" s="513"/>
      <c r="B312" s="513"/>
      <c r="C312" s="513"/>
      <c r="D312" s="513"/>
      <c r="E312" s="513"/>
      <c r="F312" s="513"/>
      <c r="G312" s="513"/>
      <c r="H312" s="513"/>
      <c r="I312" s="513"/>
      <c r="J312" s="513"/>
      <c r="K312" s="513"/>
      <c r="L312" s="513"/>
      <c r="M312" s="513"/>
      <c r="N312" s="513"/>
    </row>
    <row r="313" spans="1:14" x14ac:dyDescent="0.2">
      <c r="A313" s="513"/>
      <c r="B313" s="513"/>
      <c r="C313" s="513"/>
      <c r="D313" s="513"/>
      <c r="E313" s="513"/>
      <c r="F313" s="513"/>
      <c r="G313" s="513"/>
      <c r="H313" s="513"/>
      <c r="I313" s="513"/>
      <c r="J313" s="513"/>
      <c r="K313" s="513"/>
      <c r="L313" s="513"/>
      <c r="M313" s="513"/>
      <c r="N313" s="513"/>
    </row>
    <row r="314" spans="1:14" x14ac:dyDescent="0.2">
      <c r="A314" s="513"/>
      <c r="B314" s="513"/>
      <c r="C314" s="513"/>
      <c r="D314" s="513"/>
      <c r="E314" s="513"/>
      <c r="F314" s="513"/>
      <c r="G314" s="513"/>
      <c r="H314" s="513"/>
      <c r="I314" s="513"/>
      <c r="J314" s="513"/>
      <c r="K314" s="513"/>
      <c r="L314" s="513"/>
      <c r="M314" s="513"/>
      <c r="N314" s="513"/>
    </row>
    <row r="315" spans="1:14" x14ac:dyDescent="0.2">
      <c r="A315" s="513"/>
      <c r="B315" s="513"/>
      <c r="C315" s="513"/>
      <c r="D315" s="513"/>
      <c r="E315" s="513"/>
      <c r="F315" s="513"/>
      <c r="G315" s="513"/>
      <c r="H315" s="513"/>
      <c r="I315" s="513"/>
      <c r="J315" s="513"/>
      <c r="K315" s="513"/>
      <c r="L315" s="513"/>
      <c r="M315" s="513"/>
      <c r="N315" s="513"/>
    </row>
    <row r="316" spans="1:14" x14ac:dyDescent="0.2">
      <c r="A316" s="513"/>
      <c r="B316" s="513"/>
      <c r="C316" s="513"/>
      <c r="D316" s="513"/>
      <c r="E316" s="513"/>
      <c r="F316" s="513"/>
      <c r="G316" s="513"/>
      <c r="H316" s="513"/>
      <c r="I316" s="513"/>
      <c r="J316" s="513"/>
      <c r="K316" s="513"/>
      <c r="L316" s="513"/>
      <c r="M316" s="513"/>
      <c r="N316" s="513"/>
    </row>
    <row r="317" spans="1:14" x14ac:dyDescent="0.2">
      <c r="A317" s="513"/>
      <c r="B317" s="513"/>
      <c r="C317" s="513"/>
      <c r="D317" s="513"/>
      <c r="E317" s="513"/>
      <c r="F317" s="513"/>
      <c r="G317" s="513"/>
      <c r="H317" s="513"/>
      <c r="I317" s="513"/>
      <c r="J317" s="513"/>
      <c r="K317" s="513"/>
      <c r="L317" s="513"/>
      <c r="M317" s="513"/>
      <c r="N317" s="513"/>
    </row>
    <row r="318" spans="1:14" x14ac:dyDescent="0.2">
      <c r="A318" s="513"/>
      <c r="B318" s="513"/>
      <c r="C318" s="513"/>
      <c r="D318" s="513"/>
      <c r="E318" s="513"/>
      <c r="F318" s="513"/>
      <c r="G318" s="513"/>
      <c r="H318" s="513"/>
      <c r="I318" s="513"/>
      <c r="J318" s="513"/>
      <c r="K318" s="513"/>
      <c r="L318" s="513"/>
      <c r="M318" s="513"/>
      <c r="N318" s="513"/>
    </row>
    <row r="319" spans="1:14" x14ac:dyDescent="0.2">
      <c r="A319" s="513"/>
      <c r="B319" s="513"/>
      <c r="C319" s="513"/>
      <c r="D319" s="513"/>
      <c r="E319" s="513"/>
      <c r="F319" s="513"/>
      <c r="G319" s="513"/>
      <c r="H319" s="513"/>
      <c r="I319" s="513"/>
      <c r="J319" s="513"/>
      <c r="K319" s="513"/>
      <c r="L319" s="513"/>
      <c r="M319" s="513"/>
      <c r="N319" s="513"/>
    </row>
    <row r="320" spans="1:14" x14ac:dyDescent="0.2">
      <c r="A320" s="513"/>
      <c r="B320" s="513"/>
      <c r="C320" s="513"/>
      <c r="D320" s="513"/>
      <c r="E320" s="513"/>
      <c r="F320" s="513"/>
      <c r="G320" s="513"/>
      <c r="H320" s="513"/>
      <c r="I320" s="513"/>
      <c r="J320" s="513"/>
      <c r="K320" s="513"/>
      <c r="L320" s="513"/>
      <c r="M320" s="513"/>
      <c r="N320" s="513"/>
    </row>
    <row r="321" spans="1:14" x14ac:dyDescent="0.2">
      <c r="A321" s="513"/>
      <c r="B321" s="513"/>
      <c r="C321" s="513"/>
      <c r="D321" s="513"/>
      <c r="E321" s="513"/>
      <c r="F321" s="513"/>
      <c r="G321" s="513"/>
      <c r="H321" s="513"/>
      <c r="I321" s="513"/>
      <c r="J321" s="513"/>
      <c r="K321" s="513"/>
      <c r="L321" s="513"/>
      <c r="M321" s="513"/>
      <c r="N321" s="513"/>
    </row>
    <row r="322" spans="1:14" x14ac:dyDescent="0.2">
      <c r="A322" s="513"/>
      <c r="B322" s="513"/>
      <c r="C322" s="513"/>
      <c r="D322" s="513"/>
      <c r="E322" s="513"/>
      <c r="F322" s="513"/>
      <c r="G322" s="513"/>
      <c r="H322" s="513"/>
      <c r="I322" s="513"/>
      <c r="J322" s="513"/>
      <c r="K322" s="513"/>
      <c r="L322" s="513"/>
      <c r="M322" s="513"/>
      <c r="N322" s="513"/>
    </row>
    <row r="323" spans="1:14" x14ac:dyDescent="0.2">
      <c r="A323" s="513"/>
      <c r="B323" s="513"/>
      <c r="C323" s="513"/>
      <c r="D323" s="513"/>
      <c r="E323" s="513"/>
      <c r="F323" s="513"/>
      <c r="G323" s="513"/>
      <c r="H323" s="513"/>
      <c r="I323" s="513"/>
      <c r="J323" s="513"/>
      <c r="K323" s="513"/>
      <c r="L323" s="513"/>
      <c r="M323" s="513"/>
      <c r="N323" s="513"/>
    </row>
    <row r="324" spans="1:14" x14ac:dyDescent="0.2">
      <c r="A324" s="513"/>
      <c r="B324" s="513"/>
      <c r="C324" s="513"/>
      <c r="D324" s="513"/>
      <c r="E324" s="513"/>
      <c r="F324" s="513"/>
      <c r="G324" s="513"/>
      <c r="H324" s="513"/>
      <c r="I324" s="513"/>
      <c r="J324" s="513"/>
      <c r="K324" s="513"/>
      <c r="L324" s="513"/>
      <c r="M324" s="513"/>
      <c r="N324" s="513"/>
    </row>
    <row r="325" spans="1:14" x14ac:dyDescent="0.2">
      <c r="A325" s="513"/>
      <c r="B325" s="513"/>
      <c r="C325" s="513"/>
      <c r="D325" s="513"/>
      <c r="E325" s="513"/>
      <c r="F325" s="513"/>
      <c r="G325" s="513"/>
      <c r="H325" s="513"/>
      <c r="I325" s="513"/>
      <c r="J325" s="513"/>
      <c r="K325" s="513"/>
      <c r="L325" s="513"/>
      <c r="M325" s="513"/>
      <c r="N325" s="513"/>
    </row>
    <row r="326" spans="1:14" x14ac:dyDescent="0.2">
      <c r="A326" s="513"/>
      <c r="B326" s="513"/>
      <c r="C326" s="513"/>
      <c r="D326" s="513"/>
      <c r="E326" s="513"/>
      <c r="F326" s="513"/>
      <c r="G326" s="513"/>
      <c r="H326" s="513"/>
      <c r="I326" s="513"/>
      <c r="J326" s="513"/>
      <c r="K326" s="513"/>
      <c r="L326" s="513"/>
      <c r="M326" s="513"/>
      <c r="N326" s="513"/>
    </row>
    <row r="327" spans="1:14" x14ac:dyDescent="0.2">
      <c r="A327" s="513"/>
      <c r="B327" s="513"/>
      <c r="C327" s="513"/>
      <c r="D327" s="513"/>
      <c r="E327" s="513"/>
      <c r="F327" s="513"/>
      <c r="G327" s="513"/>
      <c r="H327" s="513"/>
      <c r="I327" s="513"/>
      <c r="J327" s="513"/>
      <c r="K327" s="513"/>
      <c r="L327" s="513"/>
      <c r="M327" s="513"/>
      <c r="N327" s="513"/>
    </row>
    <row r="328" spans="1:14" x14ac:dyDescent="0.2">
      <c r="A328" s="513"/>
      <c r="B328" s="513"/>
      <c r="C328" s="513"/>
      <c r="D328" s="513"/>
      <c r="E328" s="513"/>
      <c r="F328" s="513"/>
      <c r="G328" s="513"/>
      <c r="H328" s="513"/>
      <c r="I328" s="513"/>
      <c r="J328" s="513"/>
      <c r="K328" s="513"/>
      <c r="L328" s="513"/>
      <c r="M328" s="513"/>
      <c r="N328" s="513"/>
    </row>
    <row r="329" spans="1:14" x14ac:dyDescent="0.2">
      <c r="A329" s="513"/>
      <c r="B329" s="513"/>
      <c r="C329" s="513"/>
      <c r="D329" s="513"/>
      <c r="E329" s="513"/>
      <c r="F329" s="513"/>
      <c r="G329" s="513"/>
      <c r="H329" s="513"/>
      <c r="I329" s="513"/>
      <c r="J329" s="513"/>
      <c r="K329" s="513"/>
      <c r="L329" s="513"/>
      <c r="M329" s="513"/>
      <c r="N329" s="513"/>
    </row>
    <row r="330" spans="1:14" x14ac:dyDescent="0.2">
      <c r="A330" s="513"/>
      <c r="B330" s="513"/>
      <c r="C330" s="513"/>
      <c r="D330" s="513"/>
      <c r="E330" s="513"/>
      <c r="F330" s="513"/>
      <c r="G330" s="513"/>
      <c r="H330" s="513"/>
      <c r="I330" s="513"/>
      <c r="J330" s="513"/>
      <c r="K330" s="513"/>
      <c r="L330" s="513"/>
      <c r="M330" s="513"/>
      <c r="N330" s="513"/>
    </row>
    <row r="331" spans="1:14" x14ac:dyDescent="0.2">
      <c r="A331" s="513"/>
      <c r="B331" s="513"/>
      <c r="C331" s="513"/>
      <c r="D331" s="513"/>
      <c r="E331" s="513"/>
      <c r="F331" s="513"/>
      <c r="G331" s="513"/>
      <c r="H331" s="513"/>
      <c r="I331" s="513"/>
      <c r="J331" s="513"/>
      <c r="K331" s="513"/>
      <c r="L331" s="513"/>
      <c r="M331" s="513"/>
      <c r="N331" s="513"/>
    </row>
    <row r="332" spans="1:14" x14ac:dyDescent="0.2">
      <c r="A332" s="513"/>
      <c r="B332" s="513"/>
      <c r="C332" s="513"/>
      <c r="D332" s="513"/>
      <c r="E332" s="513"/>
      <c r="F332" s="513"/>
      <c r="G332" s="513"/>
      <c r="H332" s="513"/>
      <c r="I332" s="513"/>
      <c r="J332" s="513"/>
      <c r="K332" s="513"/>
      <c r="L332" s="513"/>
      <c r="M332" s="513"/>
      <c r="N332" s="513"/>
    </row>
    <row r="333" spans="1:14" x14ac:dyDescent="0.2">
      <c r="A333" s="513"/>
      <c r="B333" s="513"/>
      <c r="C333" s="513"/>
      <c r="D333" s="513"/>
      <c r="E333" s="513"/>
      <c r="F333" s="513"/>
      <c r="G333" s="513"/>
      <c r="H333" s="513"/>
      <c r="I333" s="513"/>
      <c r="J333" s="513"/>
      <c r="K333" s="513"/>
      <c r="L333" s="513"/>
      <c r="M333" s="513"/>
      <c r="N333" s="513"/>
    </row>
    <row r="334" spans="1:14" x14ac:dyDescent="0.2">
      <c r="A334" s="513"/>
      <c r="B334" s="513"/>
      <c r="C334" s="513"/>
      <c r="D334" s="513"/>
      <c r="E334" s="513"/>
      <c r="F334" s="513"/>
      <c r="G334" s="513"/>
      <c r="H334" s="513"/>
      <c r="I334" s="513"/>
      <c r="J334" s="513"/>
      <c r="K334" s="513"/>
      <c r="L334" s="513"/>
      <c r="M334" s="513"/>
      <c r="N334" s="513"/>
    </row>
    <row r="335" spans="1:14" x14ac:dyDescent="0.2">
      <c r="A335" s="513"/>
      <c r="B335" s="513"/>
      <c r="C335" s="513"/>
      <c r="D335" s="513"/>
      <c r="E335" s="513"/>
      <c r="F335" s="513"/>
      <c r="G335" s="513"/>
      <c r="H335" s="513"/>
      <c r="I335" s="513"/>
      <c r="J335" s="513"/>
      <c r="K335" s="513"/>
      <c r="L335" s="513"/>
      <c r="M335" s="513"/>
      <c r="N335" s="513"/>
    </row>
    <row r="336" spans="1:14" x14ac:dyDescent="0.2">
      <c r="A336" s="513"/>
      <c r="B336" s="513"/>
      <c r="C336" s="513"/>
      <c r="D336" s="513"/>
      <c r="E336" s="513"/>
      <c r="F336" s="513"/>
      <c r="G336" s="513"/>
      <c r="H336" s="513"/>
      <c r="I336" s="513"/>
      <c r="J336" s="513"/>
      <c r="K336" s="513"/>
      <c r="L336" s="513"/>
      <c r="M336" s="513"/>
      <c r="N336" s="513"/>
    </row>
    <row r="337" spans="1:14" x14ac:dyDescent="0.2">
      <c r="A337" s="513"/>
      <c r="B337" s="513"/>
      <c r="C337" s="513"/>
      <c r="D337" s="513"/>
      <c r="E337" s="513"/>
      <c r="F337" s="513"/>
      <c r="G337" s="513"/>
      <c r="H337" s="513"/>
      <c r="I337" s="513"/>
      <c r="J337" s="513"/>
      <c r="K337" s="513"/>
      <c r="L337" s="513"/>
      <c r="M337" s="513"/>
      <c r="N337" s="513"/>
    </row>
    <row r="338" spans="1:14" x14ac:dyDescent="0.2">
      <c r="A338" s="513"/>
      <c r="B338" s="513"/>
      <c r="C338" s="513"/>
      <c r="D338" s="513"/>
      <c r="E338" s="513"/>
      <c r="F338" s="513"/>
      <c r="G338" s="513"/>
      <c r="H338" s="513"/>
      <c r="I338" s="513"/>
      <c r="J338" s="513"/>
      <c r="K338" s="513"/>
      <c r="L338" s="513"/>
      <c r="M338" s="513"/>
      <c r="N338" s="513"/>
    </row>
    <row r="339" spans="1:14" x14ac:dyDescent="0.2">
      <c r="A339" s="513"/>
      <c r="B339" s="513"/>
      <c r="C339" s="513"/>
      <c r="D339" s="513"/>
      <c r="E339" s="513"/>
      <c r="F339" s="513"/>
      <c r="G339" s="513"/>
      <c r="H339" s="513"/>
      <c r="I339" s="513"/>
      <c r="J339" s="513"/>
      <c r="K339" s="513"/>
      <c r="L339" s="513"/>
      <c r="M339" s="513"/>
      <c r="N339" s="513"/>
    </row>
    <row r="340" spans="1:14" x14ac:dyDescent="0.2">
      <c r="A340" s="513"/>
      <c r="B340" s="513"/>
      <c r="C340" s="513"/>
      <c r="D340" s="513"/>
      <c r="E340" s="513"/>
      <c r="F340" s="513"/>
      <c r="G340" s="513"/>
      <c r="H340" s="513"/>
      <c r="I340" s="513"/>
      <c r="J340" s="513"/>
      <c r="K340" s="513"/>
      <c r="L340" s="513"/>
      <c r="M340" s="513"/>
      <c r="N340" s="513"/>
    </row>
    <row r="341" spans="1:14" x14ac:dyDescent="0.2">
      <c r="A341" s="513"/>
      <c r="B341" s="513"/>
      <c r="C341" s="513"/>
      <c r="D341" s="513"/>
      <c r="E341" s="513"/>
      <c r="F341" s="513"/>
      <c r="G341" s="513"/>
      <c r="H341" s="513"/>
      <c r="I341" s="513"/>
      <c r="J341" s="513"/>
      <c r="K341" s="513"/>
      <c r="L341" s="513"/>
      <c r="M341" s="513"/>
      <c r="N341" s="513"/>
    </row>
    <row r="342" spans="1:14" x14ac:dyDescent="0.2">
      <c r="A342" s="513"/>
      <c r="B342" s="513"/>
      <c r="C342" s="513"/>
      <c r="D342" s="513"/>
      <c r="E342" s="513"/>
      <c r="F342" s="513"/>
      <c r="G342" s="513"/>
      <c r="H342" s="513"/>
      <c r="I342" s="513"/>
      <c r="J342" s="513"/>
      <c r="K342" s="513"/>
      <c r="L342" s="513"/>
      <c r="M342" s="513"/>
      <c r="N342" s="513"/>
    </row>
    <row r="343" spans="1:14" x14ac:dyDescent="0.2">
      <c r="A343" s="513"/>
      <c r="B343" s="513"/>
      <c r="C343" s="513"/>
      <c r="D343" s="513"/>
      <c r="E343" s="513"/>
      <c r="F343" s="513"/>
      <c r="G343" s="513"/>
      <c r="H343" s="513"/>
      <c r="I343" s="513"/>
      <c r="J343" s="513"/>
      <c r="K343" s="513"/>
      <c r="L343" s="513"/>
      <c r="M343" s="513"/>
      <c r="N343" s="513"/>
    </row>
    <row r="344" spans="1:14" x14ac:dyDescent="0.2">
      <c r="A344" s="513"/>
      <c r="B344" s="513"/>
      <c r="C344" s="513"/>
      <c r="D344" s="513"/>
      <c r="E344" s="513"/>
      <c r="F344" s="513"/>
      <c r="G344" s="513"/>
      <c r="H344" s="513"/>
      <c r="I344" s="513"/>
      <c r="J344" s="513"/>
      <c r="K344" s="513"/>
      <c r="L344" s="513"/>
      <c r="M344" s="513"/>
      <c r="N344" s="513"/>
    </row>
    <row r="345" spans="1:14" x14ac:dyDescent="0.2">
      <c r="A345" s="513"/>
      <c r="B345" s="513"/>
      <c r="C345" s="513"/>
      <c r="D345" s="513"/>
      <c r="E345" s="513"/>
      <c r="F345" s="513"/>
      <c r="G345" s="513"/>
      <c r="H345" s="513"/>
      <c r="I345" s="513"/>
      <c r="J345" s="513"/>
      <c r="K345" s="513"/>
      <c r="L345" s="513"/>
      <c r="M345" s="513"/>
      <c r="N345" s="513"/>
    </row>
    <row r="346" spans="1:14" x14ac:dyDescent="0.2">
      <c r="A346" s="513"/>
      <c r="B346" s="513"/>
      <c r="C346" s="513"/>
      <c r="D346" s="513"/>
      <c r="E346" s="513"/>
      <c r="F346" s="513"/>
      <c r="G346" s="513"/>
      <c r="H346" s="513"/>
      <c r="I346" s="513"/>
      <c r="J346" s="513"/>
      <c r="K346" s="513"/>
      <c r="L346" s="513"/>
      <c r="M346" s="513"/>
      <c r="N346" s="513"/>
    </row>
    <row r="347" spans="1:14" x14ac:dyDescent="0.2">
      <c r="A347" s="513"/>
      <c r="B347" s="513"/>
      <c r="C347" s="513"/>
      <c r="D347" s="513"/>
      <c r="E347" s="513"/>
      <c r="F347" s="513"/>
      <c r="G347" s="513"/>
      <c r="H347" s="513"/>
      <c r="I347" s="513"/>
      <c r="J347" s="513"/>
      <c r="K347" s="513"/>
      <c r="L347" s="513"/>
      <c r="M347" s="513"/>
      <c r="N347" s="513"/>
    </row>
    <row r="348" spans="1:14" x14ac:dyDescent="0.2">
      <c r="A348" s="513"/>
      <c r="B348" s="513"/>
      <c r="C348" s="513"/>
      <c r="D348" s="513"/>
      <c r="E348" s="513"/>
      <c r="F348" s="513"/>
      <c r="G348" s="513"/>
      <c r="H348" s="513"/>
      <c r="I348" s="513"/>
      <c r="J348" s="513"/>
      <c r="K348" s="513"/>
      <c r="L348" s="513"/>
      <c r="M348" s="513"/>
      <c r="N348" s="513"/>
    </row>
    <row r="349" spans="1:14" x14ac:dyDescent="0.2">
      <c r="A349" s="513"/>
      <c r="B349" s="513"/>
      <c r="C349" s="513"/>
      <c r="D349" s="513"/>
      <c r="E349" s="513"/>
      <c r="F349" s="513"/>
      <c r="G349" s="513"/>
      <c r="H349" s="513"/>
      <c r="I349" s="513"/>
      <c r="J349" s="513"/>
      <c r="K349" s="513"/>
      <c r="L349" s="513"/>
      <c r="M349" s="513"/>
      <c r="N349" s="513"/>
    </row>
    <row r="350" spans="1:14" x14ac:dyDescent="0.2">
      <c r="A350" s="513"/>
      <c r="B350" s="513"/>
      <c r="C350" s="513"/>
      <c r="D350" s="513"/>
      <c r="E350" s="513"/>
      <c r="F350" s="513"/>
      <c r="G350" s="513"/>
      <c r="H350" s="513"/>
      <c r="I350" s="513"/>
      <c r="J350" s="513"/>
      <c r="K350" s="513"/>
      <c r="L350" s="513"/>
      <c r="M350" s="513"/>
      <c r="N350" s="513"/>
    </row>
    <row r="351" spans="1:14" x14ac:dyDescent="0.2">
      <c r="A351" s="513"/>
      <c r="B351" s="513"/>
      <c r="C351" s="513"/>
      <c r="D351" s="513"/>
      <c r="E351" s="513"/>
      <c r="F351" s="513"/>
      <c r="G351" s="513"/>
      <c r="H351" s="513"/>
      <c r="I351" s="513"/>
      <c r="J351" s="513"/>
      <c r="K351" s="513"/>
      <c r="L351" s="513"/>
      <c r="M351" s="513"/>
      <c r="N351" s="513"/>
    </row>
    <row r="352" spans="1:14" x14ac:dyDescent="0.2">
      <c r="A352" s="513"/>
      <c r="B352" s="513"/>
      <c r="C352" s="513"/>
      <c r="D352" s="513"/>
      <c r="E352" s="513"/>
      <c r="F352" s="513"/>
      <c r="G352" s="513"/>
      <c r="H352" s="513"/>
      <c r="I352" s="513"/>
      <c r="J352" s="513"/>
      <c r="K352" s="513"/>
      <c r="L352" s="513"/>
      <c r="M352" s="513"/>
      <c r="N352" s="513"/>
    </row>
    <row r="353" spans="1:14" x14ac:dyDescent="0.2">
      <c r="A353" s="513"/>
      <c r="B353" s="513"/>
      <c r="C353" s="513"/>
      <c r="D353" s="513"/>
      <c r="E353" s="513"/>
      <c r="F353" s="513"/>
      <c r="G353" s="513"/>
      <c r="H353" s="513"/>
      <c r="I353" s="513"/>
      <c r="J353" s="513"/>
      <c r="K353" s="513"/>
      <c r="L353" s="513"/>
      <c r="M353" s="513"/>
      <c r="N353" s="513"/>
    </row>
    <row r="354" spans="1:14" x14ac:dyDescent="0.2">
      <c r="A354" s="513"/>
      <c r="B354" s="513"/>
      <c r="C354" s="513"/>
      <c r="D354" s="513"/>
      <c r="E354" s="513"/>
      <c r="F354" s="513"/>
      <c r="G354" s="513"/>
      <c r="H354" s="513"/>
      <c r="I354" s="513"/>
      <c r="J354" s="513"/>
      <c r="K354" s="513"/>
      <c r="L354" s="513"/>
      <c r="M354" s="513"/>
      <c r="N354" s="513"/>
    </row>
    <row r="355" spans="1:14" x14ac:dyDescent="0.2">
      <c r="A355" s="513"/>
      <c r="B355" s="513"/>
      <c r="C355" s="513"/>
      <c r="D355" s="513"/>
      <c r="E355" s="513"/>
      <c r="F355" s="513"/>
      <c r="G355" s="513"/>
      <c r="H355" s="513"/>
      <c r="I355" s="513"/>
      <c r="J355" s="513"/>
      <c r="K355" s="513"/>
      <c r="L355" s="513"/>
      <c r="M355" s="513"/>
      <c r="N355" s="513"/>
    </row>
    <row r="356" spans="1:14" x14ac:dyDescent="0.2">
      <c r="A356" s="513"/>
      <c r="B356" s="513"/>
      <c r="C356" s="513"/>
      <c r="D356" s="513"/>
      <c r="E356" s="513"/>
      <c r="F356" s="513"/>
      <c r="G356" s="513"/>
      <c r="H356" s="513"/>
      <c r="I356" s="513"/>
      <c r="J356" s="513"/>
      <c r="K356" s="513"/>
      <c r="L356" s="513"/>
      <c r="M356" s="513"/>
      <c r="N356" s="513"/>
    </row>
    <row r="357" spans="1:14" x14ac:dyDescent="0.2">
      <c r="A357" s="513"/>
      <c r="B357" s="513"/>
      <c r="C357" s="513"/>
      <c r="D357" s="513"/>
      <c r="E357" s="513"/>
      <c r="F357" s="513"/>
      <c r="G357" s="513"/>
      <c r="H357" s="513"/>
      <c r="I357" s="513"/>
      <c r="J357" s="513"/>
      <c r="K357" s="513"/>
      <c r="L357" s="513"/>
      <c r="M357" s="513"/>
      <c r="N357" s="513"/>
    </row>
    <row r="358" spans="1:14" x14ac:dyDescent="0.2">
      <c r="A358" s="513"/>
      <c r="B358" s="513"/>
      <c r="C358" s="513"/>
      <c r="D358" s="513"/>
      <c r="E358" s="513"/>
      <c r="F358" s="513"/>
      <c r="G358" s="513"/>
      <c r="H358" s="513"/>
      <c r="I358" s="513"/>
      <c r="J358" s="513"/>
      <c r="K358" s="513"/>
      <c r="L358" s="513"/>
      <c r="M358" s="513"/>
      <c r="N358" s="513"/>
    </row>
    <row r="359" spans="1:14" x14ac:dyDescent="0.2">
      <c r="A359" s="513"/>
      <c r="B359" s="513"/>
      <c r="C359" s="513"/>
      <c r="D359" s="513"/>
      <c r="E359" s="513"/>
      <c r="F359" s="513"/>
      <c r="G359" s="513"/>
      <c r="H359" s="513"/>
      <c r="I359" s="513"/>
      <c r="J359" s="513"/>
      <c r="K359" s="513"/>
      <c r="L359" s="513"/>
      <c r="M359" s="513"/>
      <c r="N359" s="513"/>
    </row>
    <row r="360" spans="1:14" x14ac:dyDescent="0.2">
      <c r="A360" s="513"/>
      <c r="B360" s="513"/>
      <c r="C360" s="513"/>
      <c r="D360" s="513"/>
      <c r="E360" s="513"/>
      <c r="F360" s="513"/>
      <c r="G360" s="513"/>
      <c r="H360" s="513"/>
      <c r="I360" s="513"/>
      <c r="J360" s="513"/>
      <c r="K360" s="513"/>
      <c r="L360" s="513"/>
      <c r="M360" s="513"/>
      <c r="N360" s="513"/>
    </row>
    <row r="361" spans="1:14" x14ac:dyDescent="0.2">
      <c r="A361" s="513"/>
      <c r="B361" s="513"/>
      <c r="C361" s="513"/>
      <c r="D361" s="513"/>
      <c r="E361" s="513"/>
      <c r="F361" s="513"/>
      <c r="G361" s="513"/>
      <c r="H361" s="513"/>
      <c r="I361" s="513"/>
      <c r="J361" s="513"/>
      <c r="K361" s="513"/>
      <c r="L361" s="513"/>
      <c r="M361" s="513"/>
      <c r="N361" s="513"/>
    </row>
    <row r="362" spans="1:14" x14ac:dyDescent="0.2">
      <c r="A362" s="513"/>
      <c r="B362" s="513"/>
      <c r="C362" s="513"/>
      <c r="D362" s="513"/>
      <c r="E362" s="513"/>
      <c r="F362" s="513"/>
      <c r="G362" s="513"/>
      <c r="H362" s="513"/>
      <c r="I362" s="513"/>
      <c r="J362" s="513"/>
      <c r="K362" s="513"/>
      <c r="L362" s="513"/>
      <c r="M362" s="513"/>
      <c r="N362" s="513"/>
    </row>
    <row r="363" spans="1:14" x14ac:dyDescent="0.2">
      <c r="A363" s="513"/>
      <c r="B363" s="513"/>
      <c r="C363" s="513"/>
      <c r="D363" s="513"/>
      <c r="E363" s="513"/>
      <c r="F363" s="513"/>
      <c r="G363" s="513"/>
      <c r="H363" s="513"/>
      <c r="I363" s="513"/>
      <c r="J363" s="513"/>
      <c r="K363" s="513"/>
      <c r="L363" s="513"/>
      <c r="M363" s="513"/>
      <c r="N363" s="513"/>
    </row>
    <row r="364" spans="1:14" x14ac:dyDescent="0.2">
      <c r="A364" s="513"/>
      <c r="B364" s="513"/>
      <c r="C364" s="513"/>
      <c r="D364" s="513"/>
      <c r="E364" s="513"/>
      <c r="F364" s="513"/>
      <c r="G364" s="513"/>
      <c r="H364" s="513"/>
      <c r="I364" s="513"/>
      <c r="J364" s="513"/>
      <c r="K364" s="513"/>
      <c r="L364" s="513"/>
      <c r="M364" s="513"/>
      <c r="N364" s="513"/>
    </row>
    <row r="365" spans="1:14" x14ac:dyDescent="0.2">
      <c r="A365" s="513"/>
      <c r="B365" s="513"/>
      <c r="C365" s="513"/>
      <c r="D365" s="513"/>
      <c r="E365" s="513"/>
      <c r="F365" s="513"/>
      <c r="G365" s="513"/>
      <c r="H365" s="513"/>
      <c r="I365" s="513"/>
      <c r="J365" s="513"/>
      <c r="K365" s="513"/>
      <c r="L365" s="513"/>
      <c r="M365" s="513"/>
      <c r="N365" s="513"/>
    </row>
    <row r="366" spans="1:14" x14ac:dyDescent="0.2">
      <c r="A366" s="513"/>
      <c r="B366" s="513"/>
      <c r="C366" s="513"/>
      <c r="D366" s="513"/>
      <c r="E366" s="513"/>
      <c r="F366" s="513"/>
      <c r="G366" s="513"/>
      <c r="H366" s="513"/>
      <c r="I366" s="513"/>
      <c r="J366" s="513"/>
      <c r="K366" s="513"/>
      <c r="L366" s="513"/>
      <c r="M366" s="513"/>
      <c r="N366" s="513"/>
    </row>
    <row r="367" spans="1:14" x14ac:dyDescent="0.2">
      <c r="A367" s="513"/>
      <c r="B367" s="513"/>
      <c r="C367" s="513"/>
      <c r="D367" s="513"/>
      <c r="E367" s="513"/>
      <c r="F367" s="513"/>
      <c r="G367" s="513"/>
      <c r="H367" s="513"/>
      <c r="I367" s="513"/>
      <c r="J367" s="513"/>
      <c r="K367" s="513"/>
      <c r="L367" s="513"/>
      <c r="M367" s="513"/>
      <c r="N367" s="513"/>
    </row>
    <row r="368" spans="1:14" x14ac:dyDescent="0.2">
      <c r="A368" s="513"/>
      <c r="B368" s="513"/>
      <c r="C368" s="513"/>
      <c r="D368" s="513"/>
      <c r="E368" s="513"/>
      <c r="F368" s="513"/>
      <c r="G368" s="513"/>
      <c r="H368" s="513"/>
      <c r="I368" s="513"/>
      <c r="J368" s="513"/>
      <c r="K368" s="513"/>
      <c r="L368" s="513"/>
      <c r="M368" s="513"/>
      <c r="N368" s="513"/>
    </row>
    <row r="369" spans="1:14" x14ac:dyDescent="0.2">
      <c r="A369" s="513"/>
      <c r="B369" s="513"/>
      <c r="C369" s="513"/>
      <c r="D369" s="513"/>
      <c r="E369" s="513"/>
      <c r="F369" s="513"/>
      <c r="G369" s="513"/>
      <c r="H369" s="513"/>
      <c r="I369" s="513"/>
      <c r="J369" s="513"/>
      <c r="K369" s="513"/>
      <c r="L369" s="513"/>
      <c r="M369" s="513"/>
      <c r="N369" s="513"/>
    </row>
    <row r="370" spans="1:14" x14ac:dyDescent="0.2">
      <c r="A370" s="513"/>
      <c r="B370" s="513"/>
      <c r="C370" s="513"/>
      <c r="D370" s="513"/>
      <c r="E370" s="513"/>
      <c r="F370" s="513"/>
      <c r="G370" s="513"/>
      <c r="H370" s="513"/>
      <c r="I370" s="513"/>
      <c r="J370" s="513"/>
      <c r="K370" s="513"/>
      <c r="L370" s="513"/>
      <c r="M370" s="513"/>
      <c r="N370" s="513"/>
    </row>
    <row r="371" spans="1:14" x14ac:dyDescent="0.2">
      <c r="A371" s="513"/>
      <c r="B371" s="513"/>
      <c r="C371" s="513"/>
      <c r="D371" s="513"/>
      <c r="E371" s="513"/>
      <c r="F371" s="513"/>
      <c r="G371" s="513"/>
      <c r="H371" s="513"/>
      <c r="I371" s="513"/>
      <c r="J371" s="513"/>
      <c r="K371" s="513"/>
      <c r="L371" s="513"/>
      <c r="M371" s="513"/>
      <c r="N371" s="513"/>
    </row>
    <row r="372" spans="1:14" x14ac:dyDescent="0.2">
      <c r="A372" s="513"/>
      <c r="B372" s="513"/>
      <c r="C372" s="513"/>
      <c r="D372" s="513"/>
      <c r="E372" s="513"/>
      <c r="F372" s="513"/>
      <c r="G372" s="513"/>
      <c r="H372" s="513"/>
      <c r="I372" s="513"/>
      <c r="J372" s="513"/>
      <c r="K372" s="513"/>
      <c r="L372" s="513"/>
      <c r="M372" s="513"/>
      <c r="N372" s="513"/>
    </row>
    <row r="373" spans="1:14" x14ac:dyDescent="0.2">
      <c r="A373" s="513"/>
      <c r="B373" s="513"/>
      <c r="C373" s="513"/>
      <c r="D373" s="513"/>
      <c r="E373" s="513"/>
      <c r="F373" s="513"/>
      <c r="G373" s="513"/>
      <c r="H373" s="513"/>
      <c r="I373" s="513"/>
      <c r="J373" s="513"/>
      <c r="K373" s="513"/>
      <c r="L373" s="513"/>
      <c r="M373" s="513"/>
      <c r="N373" s="513"/>
    </row>
    <row r="374" spans="1:14" x14ac:dyDescent="0.2">
      <c r="A374" s="513"/>
      <c r="B374" s="513"/>
      <c r="C374" s="513"/>
      <c r="D374" s="513"/>
      <c r="E374" s="513"/>
      <c r="F374" s="513"/>
      <c r="G374" s="513"/>
      <c r="H374" s="513"/>
      <c r="I374" s="513"/>
      <c r="J374" s="513"/>
      <c r="K374" s="513"/>
      <c r="L374" s="513"/>
      <c r="M374" s="513"/>
      <c r="N374" s="513"/>
    </row>
    <row r="375" spans="1:14" x14ac:dyDescent="0.2">
      <c r="A375" s="513"/>
      <c r="B375" s="513"/>
      <c r="C375" s="513"/>
      <c r="D375" s="513"/>
      <c r="E375" s="513"/>
      <c r="F375" s="513"/>
      <c r="G375" s="513"/>
      <c r="H375" s="513"/>
      <c r="I375" s="513"/>
      <c r="J375" s="513"/>
      <c r="K375" s="513"/>
      <c r="L375" s="513"/>
      <c r="M375" s="513"/>
      <c r="N375" s="513"/>
    </row>
    <row r="376" spans="1:14" x14ac:dyDescent="0.2">
      <c r="A376" s="513"/>
      <c r="B376" s="513"/>
      <c r="C376" s="513"/>
      <c r="D376" s="513"/>
      <c r="E376" s="513"/>
      <c r="F376" s="513"/>
      <c r="G376" s="513"/>
      <c r="H376" s="513"/>
      <c r="I376" s="513"/>
      <c r="J376" s="513"/>
      <c r="K376" s="513"/>
      <c r="L376" s="513"/>
      <c r="M376" s="513"/>
      <c r="N376" s="513"/>
    </row>
    <row r="377" spans="1:14" x14ac:dyDescent="0.2">
      <c r="A377" s="513"/>
      <c r="B377" s="513"/>
      <c r="C377" s="513"/>
      <c r="D377" s="513"/>
      <c r="E377" s="513"/>
      <c r="F377" s="513"/>
      <c r="G377" s="513"/>
      <c r="H377" s="513"/>
      <c r="I377" s="513"/>
      <c r="J377" s="513"/>
      <c r="K377" s="513"/>
      <c r="L377" s="513"/>
      <c r="M377" s="513"/>
      <c r="N377" s="513"/>
    </row>
    <row r="378" spans="1:14" x14ac:dyDescent="0.2">
      <c r="A378" s="513"/>
      <c r="B378" s="513"/>
      <c r="C378" s="513"/>
      <c r="D378" s="513"/>
      <c r="E378" s="513"/>
      <c r="F378" s="513"/>
      <c r="G378" s="513"/>
      <c r="H378" s="513"/>
      <c r="I378" s="513"/>
      <c r="J378" s="513"/>
      <c r="K378" s="513"/>
      <c r="L378" s="513"/>
      <c r="M378" s="513"/>
      <c r="N378" s="513"/>
    </row>
    <row r="379" spans="1:14" x14ac:dyDescent="0.2">
      <c r="A379" s="513"/>
      <c r="B379" s="513"/>
      <c r="C379" s="513"/>
      <c r="D379" s="513"/>
      <c r="E379" s="513"/>
      <c r="F379" s="513"/>
      <c r="G379" s="513"/>
      <c r="H379" s="513"/>
      <c r="I379" s="513"/>
      <c r="J379" s="513"/>
      <c r="K379" s="513"/>
      <c r="L379" s="513"/>
      <c r="M379" s="513"/>
      <c r="N379" s="513"/>
    </row>
    <row r="380" spans="1:14" x14ac:dyDescent="0.2">
      <c r="A380" s="513"/>
      <c r="B380" s="513"/>
      <c r="C380" s="513"/>
      <c r="D380" s="513"/>
      <c r="E380" s="513"/>
      <c r="F380" s="513"/>
      <c r="G380" s="513"/>
      <c r="H380" s="513"/>
      <c r="I380" s="513"/>
      <c r="J380" s="513"/>
      <c r="K380" s="513"/>
      <c r="L380" s="513"/>
      <c r="M380" s="513"/>
      <c r="N380" s="513"/>
    </row>
    <row r="381" spans="1:14" x14ac:dyDescent="0.2">
      <c r="A381" s="513"/>
      <c r="B381" s="513"/>
      <c r="C381" s="513"/>
      <c r="D381" s="513"/>
      <c r="E381" s="513"/>
      <c r="F381" s="513"/>
      <c r="G381" s="513"/>
      <c r="H381" s="513"/>
      <c r="I381" s="513"/>
      <c r="J381" s="513"/>
      <c r="K381" s="513"/>
      <c r="L381" s="513"/>
      <c r="M381" s="513"/>
      <c r="N381" s="513"/>
    </row>
    <row r="382" spans="1:14" x14ac:dyDescent="0.2">
      <c r="A382" s="513"/>
      <c r="B382" s="513"/>
      <c r="C382" s="513"/>
      <c r="D382" s="513"/>
      <c r="E382" s="513"/>
      <c r="F382" s="513"/>
      <c r="G382" s="513"/>
      <c r="H382" s="513"/>
      <c r="I382" s="513"/>
      <c r="J382" s="513"/>
      <c r="K382" s="513"/>
      <c r="L382" s="513"/>
      <c r="M382" s="513"/>
      <c r="N382" s="513"/>
    </row>
    <row r="383" spans="1:14" x14ac:dyDescent="0.2">
      <c r="A383" s="513"/>
      <c r="B383" s="513"/>
      <c r="C383" s="513"/>
      <c r="D383" s="513"/>
      <c r="E383" s="513"/>
      <c r="F383" s="513"/>
      <c r="G383" s="513"/>
      <c r="H383" s="513"/>
      <c r="I383" s="513"/>
      <c r="J383" s="513"/>
      <c r="K383" s="513"/>
      <c r="L383" s="513"/>
      <c r="M383" s="513"/>
      <c r="N383" s="513"/>
    </row>
    <row r="384" spans="1:14" x14ac:dyDescent="0.2">
      <c r="A384" s="513"/>
      <c r="B384" s="513"/>
      <c r="C384" s="513"/>
      <c r="D384" s="513"/>
      <c r="E384" s="513"/>
      <c r="F384" s="513"/>
      <c r="G384" s="513"/>
      <c r="H384" s="513"/>
      <c r="I384" s="513"/>
      <c r="J384" s="513"/>
      <c r="K384" s="513"/>
      <c r="L384" s="513"/>
      <c r="M384" s="513"/>
      <c r="N384" s="513"/>
    </row>
    <row r="385" spans="1:14" x14ac:dyDescent="0.2">
      <c r="A385" s="513"/>
      <c r="B385" s="513"/>
      <c r="C385" s="513"/>
      <c r="D385" s="513"/>
      <c r="E385" s="513"/>
      <c r="F385" s="513"/>
      <c r="G385" s="513"/>
      <c r="H385" s="513"/>
      <c r="I385" s="513"/>
      <c r="J385" s="513"/>
      <c r="K385" s="513"/>
      <c r="L385" s="513"/>
      <c r="M385" s="513"/>
      <c r="N385" s="513"/>
    </row>
    <row r="386" spans="1:14" x14ac:dyDescent="0.2">
      <c r="A386" s="513"/>
      <c r="B386" s="513"/>
      <c r="C386" s="513"/>
      <c r="D386" s="513"/>
      <c r="E386" s="513"/>
      <c r="F386" s="513"/>
      <c r="G386" s="513"/>
      <c r="H386" s="513"/>
      <c r="I386" s="513"/>
      <c r="J386" s="513"/>
      <c r="K386" s="513"/>
      <c r="L386" s="513"/>
      <c r="M386" s="513"/>
      <c r="N386" s="513"/>
    </row>
    <row r="387" spans="1:14" x14ac:dyDescent="0.2">
      <c r="A387" s="513"/>
      <c r="B387" s="513"/>
      <c r="C387" s="513"/>
      <c r="D387" s="513"/>
      <c r="E387" s="513"/>
      <c r="F387" s="513"/>
      <c r="G387" s="513"/>
      <c r="H387" s="513"/>
      <c r="I387" s="513"/>
      <c r="J387" s="513"/>
      <c r="K387" s="513"/>
      <c r="L387" s="513"/>
      <c r="M387" s="513"/>
      <c r="N387" s="513"/>
    </row>
    <row r="388" spans="1:14" x14ac:dyDescent="0.2">
      <c r="A388" s="513"/>
      <c r="B388" s="513"/>
      <c r="C388" s="513"/>
      <c r="D388" s="513"/>
      <c r="E388" s="513"/>
      <c r="F388" s="513"/>
      <c r="G388" s="513"/>
      <c r="H388" s="513"/>
      <c r="I388" s="513"/>
      <c r="J388" s="513"/>
      <c r="K388" s="513"/>
      <c r="L388" s="513"/>
      <c r="M388" s="513"/>
      <c r="N388" s="513"/>
    </row>
    <row r="389" spans="1:14" x14ac:dyDescent="0.2">
      <c r="A389" s="513"/>
      <c r="B389" s="513"/>
      <c r="C389" s="513"/>
      <c r="D389" s="513"/>
      <c r="E389" s="513"/>
      <c r="F389" s="513"/>
      <c r="G389" s="513"/>
      <c r="H389" s="513"/>
      <c r="I389" s="513"/>
      <c r="J389" s="513"/>
      <c r="K389" s="513"/>
      <c r="L389" s="513"/>
      <c r="M389" s="513"/>
      <c r="N389" s="513"/>
    </row>
    <row r="390" spans="1:14" x14ac:dyDescent="0.2">
      <c r="A390" s="513"/>
      <c r="B390" s="513"/>
      <c r="C390" s="513"/>
      <c r="D390" s="513"/>
      <c r="E390" s="513"/>
      <c r="F390" s="513"/>
      <c r="G390" s="513"/>
      <c r="H390" s="513"/>
      <c r="I390" s="513"/>
      <c r="J390" s="513"/>
      <c r="K390" s="513"/>
      <c r="L390" s="513"/>
      <c r="M390" s="513"/>
      <c r="N390" s="513"/>
    </row>
    <row r="391" spans="1:14" x14ac:dyDescent="0.2">
      <c r="A391" s="513"/>
      <c r="B391" s="513"/>
      <c r="C391" s="513"/>
      <c r="D391" s="513"/>
      <c r="E391" s="513"/>
      <c r="F391" s="513"/>
      <c r="G391" s="513"/>
      <c r="H391" s="513"/>
      <c r="I391" s="513"/>
      <c r="J391" s="513"/>
      <c r="K391" s="513"/>
      <c r="L391" s="513"/>
      <c r="M391" s="513"/>
      <c r="N391" s="513"/>
    </row>
    <row r="392" spans="1:14" x14ac:dyDescent="0.2">
      <c r="A392" s="513"/>
      <c r="B392" s="513"/>
      <c r="C392" s="513"/>
      <c r="D392" s="513"/>
      <c r="E392" s="513"/>
      <c r="F392" s="513"/>
      <c r="G392" s="513"/>
      <c r="H392" s="513"/>
      <c r="I392" s="513"/>
      <c r="J392" s="513"/>
      <c r="K392" s="513"/>
      <c r="L392" s="513"/>
      <c r="M392" s="513"/>
      <c r="N392" s="513"/>
    </row>
    <row r="393" spans="1:14" x14ac:dyDescent="0.2">
      <c r="A393" s="513"/>
      <c r="B393" s="513"/>
      <c r="C393" s="513"/>
      <c r="D393" s="513"/>
      <c r="E393" s="513"/>
      <c r="F393" s="513"/>
      <c r="G393" s="513"/>
      <c r="H393" s="513"/>
      <c r="I393" s="513"/>
      <c r="J393" s="513"/>
      <c r="K393" s="513"/>
      <c r="L393" s="513"/>
      <c r="M393" s="513"/>
      <c r="N393" s="513"/>
    </row>
    <row r="394" spans="1:14" x14ac:dyDescent="0.2">
      <c r="A394" s="513"/>
      <c r="B394" s="513"/>
      <c r="C394" s="513"/>
      <c r="D394" s="513"/>
      <c r="E394" s="513"/>
      <c r="F394" s="513"/>
      <c r="G394" s="513"/>
      <c r="H394" s="513"/>
      <c r="I394" s="513"/>
      <c r="J394" s="513"/>
      <c r="K394" s="513"/>
      <c r="L394" s="513"/>
      <c r="M394" s="513"/>
      <c r="N394" s="513"/>
    </row>
    <row r="395" spans="1:14" x14ac:dyDescent="0.2">
      <c r="A395" s="513"/>
      <c r="B395" s="513"/>
      <c r="C395" s="513"/>
      <c r="D395" s="513"/>
      <c r="E395" s="513"/>
      <c r="F395" s="513"/>
      <c r="G395" s="513"/>
      <c r="H395" s="513"/>
      <c r="I395" s="513"/>
      <c r="J395" s="513"/>
      <c r="K395" s="513"/>
      <c r="L395" s="513"/>
      <c r="M395" s="513"/>
      <c r="N395" s="513"/>
    </row>
    <row r="396" spans="1:14" x14ac:dyDescent="0.2">
      <c r="A396" s="513"/>
      <c r="B396" s="513"/>
      <c r="C396" s="513"/>
      <c r="D396" s="513"/>
      <c r="E396" s="513"/>
      <c r="F396" s="513"/>
      <c r="G396" s="513"/>
      <c r="H396" s="513"/>
      <c r="I396" s="513"/>
      <c r="J396" s="513"/>
      <c r="K396" s="513"/>
      <c r="L396" s="513"/>
      <c r="M396" s="513"/>
      <c r="N396" s="513"/>
    </row>
    <row r="397" spans="1:14" x14ac:dyDescent="0.2">
      <c r="A397" s="513"/>
      <c r="B397" s="513"/>
      <c r="C397" s="513"/>
      <c r="D397" s="513"/>
      <c r="E397" s="513"/>
      <c r="F397" s="513"/>
      <c r="G397" s="513"/>
      <c r="H397" s="513"/>
      <c r="I397" s="513"/>
      <c r="J397" s="513"/>
      <c r="K397" s="513"/>
      <c r="L397" s="513"/>
      <c r="M397" s="513"/>
      <c r="N397" s="513"/>
    </row>
    <row r="398" spans="1:14" x14ac:dyDescent="0.2">
      <c r="A398" s="513"/>
      <c r="B398" s="513"/>
      <c r="C398" s="513"/>
      <c r="D398" s="513"/>
      <c r="E398" s="513"/>
      <c r="F398" s="513"/>
      <c r="G398" s="513"/>
      <c r="H398" s="513"/>
      <c r="I398" s="513"/>
      <c r="J398" s="513"/>
      <c r="K398" s="513"/>
      <c r="L398" s="513"/>
      <c r="M398" s="513"/>
      <c r="N398" s="513"/>
    </row>
    <row r="399" spans="1:14" x14ac:dyDescent="0.2">
      <c r="A399" s="513"/>
      <c r="B399" s="513"/>
      <c r="C399" s="513"/>
      <c r="D399" s="513"/>
      <c r="E399" s="513"/>
      <c r="F399" s="513"/>
      <c r="G399" s="513"/>
      <c r="H399" s="513"/>
      <c r="I399" s="513"/>
      <c r="J399" s="513"/>
      <c r="K399" s="513"/>
      <c r="L399" s="513"/>
      <c r="M399" s="513"/>
      <c r="N399" s="513"/>
    </row>
    <row r="400" spans="1:14" x14ac:dyDescent="0.2">
      <c r="A400" s="513"/>
      <c r="B400" s="513"/>
      <c r="C400" s="513"/>
      <c r="D400" s="513"/>
      <c r="E400" s="513"/>
      <c r="F400" s="513"/>
      <c r="G400" s="513"/>
      <c r="H400" s="513"/>
      <c r="I400" s="513"/>
      <c r="J400" s="513"/>
      <c r="K400" s="513"/>
      <c r="L400" s="513"/>
      <c r="M400" s="513"/>
      <c r="N400" s="513"/>
    </row>
    <row r="401" spans="1:14" x14ac:dyDescent="0.2">
      <c r="A401" s="513"/>
      <c r="B401" s="513"/>
      <c r="C401" s="513"/>
      <c r="D401" s="513"/>
      <c r="E401" s="513"/>
      <c r="F401" s="513"/>
      <c r="G401" s="513"/>
      <c r="H401" s="513"/>
      <c r="I401" s="513"/>
      <c r="J401" s="513"/>
      <c r="K401" s="513"/>
      <c r="L401" s="513"/>
      <c r="M401" s="513"/>
      <c r="N401" s="513"/>
    </row>
    <row r="402" spans="1:14" x14ac:dyDescent="0.2">
      <c r="A402" s="513"/>
      <c r="B402" s="513"/>
      <c r="C402" s="513"/>
      <c r="D402" s="513"/>
      <c r="E402" s="513"/>
      <c r="F402" s="513"/>
      <c r="G402" s="513"/>
      <c r="H402" s="513"/>
      <c r="I402" s="513"/>
      <c r="J402" s="513"/>
      <c r="K402" s="513"/>
      <c r="L402" s="513"/>
      <c r="M402" s="513"/>
      <c r="N402" s="513"/>
    </row>
    <row r="403" spans="1:14" x14ac:dyDescent="0.2">
      <c r="A403" s="513"/>
      <c r="B403" s="513"/>
      <c r="C403" s="513"/>
      <c r="D403" s="513"/>
      <c r="E403" s="513"/>
      <c r="F403" s="513"/>
      <c r="G403" s="513"/>
      <c r="H403" s="513"/>
      <c r="I403" s="513"/>
      <c r="J403" s="513"/>
      <c r="K403" s="513"/>
      <c r="L403" s="513"/>
      <c r="M403" s="513"/>
      <c r="N403" s="513"/>
    </row>
    <row r="404" spans="1:14" x14ac:dyDescent="0.2">
      <c r="A404" s="513"/>
      <c r="B404" s="513"/>
      <c r="C404" s="513"/>
      <c r="D404" s="513"/>
      <c r="E404" s="513"/>
      <c r="F404" s="513"/>
      <c r="G404" s="513"/>
      <c r="H404" s="513"/>
      <c r="I404" s="513"/>
      <c r="J404" s="513"/>
      <c r="K404" s="513"/>
      <c r="L404" s="513"/>
      <c r="M404" s="513"/>
      <c r="N404" s="513"/>
    </row>
    <row r="405" spans="1:14" x14ac:dyDescent="0.2">
      <c r="A405" s="513"/>
      <c r="B405" s="513"/>
      <c r="C405" s="513"/>
      <c r="D405" s="513"/>
      <c r="E405" s="513"/>
      <c r="F405" s="513"/>
      <c r="G405" s="513"/>
      <c r="H405" s="513"/>
      <c r="I405" s="513"/>
      <c r="J405" s="513"/>
      <c r="K405" s="513"/>
      <c r="L405" s="513"/>
      <c r="M405" s="513"/>
      <c r="N405" s="513"/>
    </row>
    <row r="406" spans="1:14" x14ac:dyDescent="0.2">
      <c r="A406" s="513"/>
      <c r="B406" s="513"/>
      <c r="C406" s="513"/>
      <c r="D406" s="513"/>
      <c r="E406" s="513"/>
      <c r="F406" s="513"/>
      <c r="G406" s="513"/>
      <c r="H406" s="513"/>
      <c r="I406" s="513"/>
      <c r="J406" s="513"/>
      <c r="K406" s="513"/>
      <c r="L406" s="513"/>
      <c r="M406" s="513"/>
      <c r="N406" s="513"/>
    </row>
    <row r="407" spans="1:14" x14ac:dyDescent="0.2">
      <c r="A407" s="513"/>
      <c r="B407" s="513"/>
      <c r="C407" s="513"/>
      <c r="D407" s="513"/>
      <c r="E407" s="513"/>
      <c r="F407" s="513"/>
      <c r="G407" s="513"/>
      <c r="H407" s="513"/>
      <c r="I407" s="513"/>
      <c r="J407" s="513"/>
      <c r="K407" s="513"/>
      <c r="L407" s="513"/>
      <c r="M407" s="513"/>
      <c r="N407" s="513"/>
    </row>
    <row r="408" spans="1:14" x14ac:dyDescent="0.2">
      <c r="A408" s="513"/>
      <c r="B408" s="513"/>
      <c r="C408" s="513"/>
      <c r="D408" s="513"/>
      <c r="E408" s="513"/>
      <c r="F408" s="513"/>
      <c r="G408" s="513"/>
      <c r="H408" s="513"/>
      <c r="I408" s="513"/>
      <c r="J408" s="513"/>
      <c r="K408" s="513"/>
      <c r="L408" s="513"/>
      <c r="M408" s="513"/>
      <c r="N408" s="513"/>
    </row>
    <row r="409" spans="1:14" x14ac:dyDescent="0.2">
      <c r="A409" s="513"/>
      <c r="B409" s="513"/>
      <c r="C409" s="513"/>
      <c r="D409" s="513"/>
      <c r="E409" s="513"/>
      <c r="F409" s="513"/>
      <c r="G409" s="513"/>
      <c r="H409" s="513"/>
      <c r="I409" s="513"/>
      <c r="J409" s="513"/>
      <c r="K409" s="513"/>
      <c r="L409" s="513"/>
      <c r="M409" s="513"/>
      <c r="N409" s="513"/>
    </row>
    <row r="410" spans="1:14" x14ac:dyDescent="0.2">
      <c r="A410" s="513"/>
      <c r="B410" s="513"/>
      <c r="C410" s="513"/>
      <c r="D410" s="513"/>
      <c r="E410" s="513"/>
      <c r="F410" s="513"/>
      <c r="G410" s="513"/>
      <c r="H410" s="513"/>
      <c r="I410" s="513"/>
      <c r="J410" s="513"/>
      <c r="K410" s="513"/>
      <c r="L410" s="513"/>
      <c r="M410" s="513"/>
      <c r="N410" s="513"/>
    </row>
    <row r="411" spans="1:14" x14ac:dyDescent="0.2">
      <c r="A411" s="513"/>
      <c r="B411" s="513"/>
      <c r="C411" s="513"/>
      <c r="D411" s="513"/>
      <c r="E411" s="513"/>
      <c r="F411" s="513"/>
      <c r="G411" s="513"/>
      <c r="H411" s="513"/>
      <c r="I411" s="513"/>
      <c r="J411" s="513"/>
      <c r="K411" s="513"/>
      <c r="L411" s="513"/>
      <c r="M411" s="513"/>
      <c r="N411" s="513"/>
    </row>
    <row r="412" spans="1:14" x14ac:dyDescent="0.2">
      <c r="A412" s="513"/>
      <c r="B412" s="513"/>
      <c r="C412" s="513"/>
      <c r="D412" s="513"/>
      <c r="E412" s="513"/>
      <c r="F412" s="513"/>
      <c r="G412" s="513"/>
      <c r="H412" s="513"/>
      <c r="I412" s="513"/>
      <c r="J412" s="513"/>
      <c r="K412" s="513"/>
      <c r="L412" s="513"/>
      <c r="M412" s="513"/>
      <c r="N412" s="513"/>
    </row>
    <row r="413" spans="1:14" x14ac:dyDescent="0.2">
      <c r="A413" s="513"/>
      <c r="B413" s="513"/>
      <c r="C413" s="513"/>
      <c r="D413" s="513"/>
      <c r="E413" s="513"/>
      <c r="F413" s="513"/>
      <c r="G413" s="513"/>
      <c r="H413" s="513"/>
      <c r="I413" s="513"/>
      <c r="J413" s="513"/>
      <c r="K413" s="513"/>
      <c r="L413" s="513"/>
      <c r="M413" s="513"/>
      <c r="N413" s="513"/>
    </row>
    <row r="414" spans="1:14" x14ac:dyDescent="0.2">
      <c r="A414" s="513"/>
      <c r="B414" s="513"/>
      <c r="C414" s="513"/>
      <c r="D414" s="513"/>
      <c r="E414" s="513"/>
      <c r="F414" s="513"/>
      <c r="G414" s="513"/>
      <c r="H414" s="513"/>
      <c r="I414" s="513"/>
      <c r="J414" s="513"/>
      <c r="K414" s="513"/>
      <c r="L414" s="513"/>
      <c r="M414" s="513"/>
      <c r="N414" s="513"/>
    </row>
    <row r="415" spans="1:14" x14ac:dyDescent="0.2">
      <c r="A415" s="513"/>
      <c r="B415" s="513"/>
      <c r="C415" s="513"/>
      <c r="D415" s="513"/>
      <c r="E415" s="513"/>
      <c r="F415" s="513"/>
      <c r="G415" s="513"/>
      <c r="H415" s="513"/>
      <c r="I415" s="513"/>
      <c r="J415" s="513"/>
      <c r="K415" s="513"/>
      <c r="L415" s="513"/>
      <c r="M415" s="513"/>
      <c r="N415" s="513"/>
    </row>
    <row r="416" spans="1:14" x14ac:dyDescent="0.2">
      <c r="A416" s="513"/>
      <c r="B416" s="513"/>
      <c r="C416" s="513"/>
      <c r="D416" s="513"/>
      <c r="E416" s="513"/>
      <c r="F416" s="513"/>
      <c r="G416" s="513"/>
      <c r="H416" s="513"/>
      <c r="I416" s="513"/>
      <c r="J416" s="513"/>
      <c r="K416" s="513"/>
      <c r="L416" s="513"/>
      <c r="M416" s="513"/>
      <c r="N416" s="513"/>
    </row>
    <row r="417" spans="1:14" x14ac:dyDescent="0.2">
      <c r="A417" s="513"/>
      <c r="B417" s="513"/>
      <c r="C417" s="513"/>
      <c r="D417" s="513"/>
      <c r="E417" s="513"/>
      <c r="F417" s="513"/>
      <c r="G417" s="513"/>
      <c r="H417" s="513"/>
      <c r="I417" s="513"/>
      <c r="J417" s="513"/>
      <c r="K417" s="513"/>
      <c r="L417" s="513"/>
      <c r="M417" s="513"/>
      <c r="N417" s="513"/>
    </row>
    <row r="418" spans="1:14" x14ac:dyDescent="0.2">
      <c r="A418" s="513"/>
      <c r="B418" s="513"/>
      <c r="C418" s="513"/>
      <c r="D418" s="513"/>
      <c r="E418" s="513"/>
      <c r="F418" s="513"/>
      <c r="G418" s="513"/>
      <c r="H418" s="513"/>
      <c r="I418" s="513"/>
      <c r="J418" s="513"/>
      <c r="K418" s="513"/>
      <c r="L418" s="513"/>
      <c r="M418" s="513"/>
      <c r="N418" s="513"/>
    </row>
    <row r="419" spans="1:14" x14ac:dyDescent="0.2">
      <c r="A419" s="513"/>
      <c r="B419" s="513"/>
      <c r="C419" s="513"/>
      <c r="D419" s="513"/>
      <c r="E419" s="513"/>
      <c r="F419" s="513"/>
      <c r="G419" s="513"/>
      <c r="H419" s="513"/>
      <c r="I419" s="513"/>
      <c r="J419" s="513"/>
      <c r="K419" s="513"/>
      <c r="L419" s="513"/>
      <c r="M419" s="513"/>
      <c r="N419" s="513"/>
    </row>
    <row r="420" spans="1:14" x14ac:dyDescent="0.2">
      <c r="A420" s="513"/>
      <c r="B420" s="513"/>
      <c r="C420" s="513"/>
      <c r="D420" s="513"/>
      <c r="E420" s="513"/>
      <c r="F420" s="513"/>
      <c r="G420" s="513"/>
      <c r="H420" s="513"/>
      <c r="I420" s="513"/>
      <c r="J420" s="513"/>
      <c r="K420" s="513"/>
      <c r="L420" s="513"/>
      <c r="M420" s="513"/>
      <c r="N420" s="513"/>
    </row>
    <row r="421" spans="1:14" x14ac:dyDescent="0.2">
      <c r="A421" s="513"/>
      <c r="B421" s="513"/>
      <c r="C421" s="513"/>
      <c r="D421" s="513"/>
      <c r="E421" s="513"/>
      <c r="F421" s="513"/>
      <c r="G421" s="513"/>
      <c r="H421" s="513"/>
      <c r="I421" s="513"/>
      <c r="J421" s="513"/>
      <c r="K421" s="513"/>
      <c r="L421" s="513"/>
      <c r="M421" s="513"/>
      <c r="N421" s="513"/>
    </row>
    <row r="422" spans="1:14" x14ac:dyDescent="0.2">
      <c r="A422" s="513"/>
      <c r="B422" s="513"/>
      <c r="C422" s="513"/>
      <c r="D422" s="513"/>
      <c r="E422" s="513"/>
      <c r="F422" s="513"/>
      <c r="G422" s="513"/>
      <c r="H422" s="513"/>
      <c r="I422" s="513"/>
      <c r="J422" s="513"/>
      <c r="K422" s="513"/>
      <c r="L422" s="513"/>
      <c r="M422" s="513"/>
      <c r="N422" s="513"/>
    </row>
    <row r="423" spans="1:14" x14ac:dyDescent="0.2">
      <c r="A423" s="513"/>
      <c r="B423" s="513"/>
      <c r="C423" s="513"/>
      <c r="D423" s="513"/>
      <c r="E423" s="513"/>
      <c r="F423" s="513"/>
      <c r="G423" s="513"/>
      <c r="H423" s="513"/>
      <c r="I423" s="513"/>
      <c r="J423" s="513"/>
      <c r="K423" s="513"/>
      <c r="L423" s="513"/>
      <c r="M423" s="513"/>
      <c r="N423" s="513"/>
    </row>
    <row r="424" spans="1:14" x14ac:dyDescent="0.2">
      <c r="A424" s="513"/>
      <c r="B424" s="513"/>
      <c r="C424" s="513"/>
      <c r="D424" s="513"/>
      <c r="E424" s="513"/>
      <c r="F424" s="513"/>
      <c r="G424" s="513"/>
      <c r="H424" s="513"/>
      <c r="I424" s="513"/>
      <c r="J424" s="513"/>
      <c r="K424" s="513"/>
      <c r="L424" s="513"/>
      <c r="M424" s="513"/>
      <c r="N424" s="513"/>
    </row>
    <row r="425" spans="1:14" x14ac:dyDescent="0.2">
      <c r="A425" s="513"/>
      <c r="B425" s="513"/>
      <c r="C425" s="513"/>
      <c r="D425" s="513"/>
      <c r="E425" s="513"/>
      <c r="F425" s="513"/>
      <c r="G425" s="513"/>
      <c r="H425" s="513"/>
      <c r="I425" s="513"/>
      <c r="J425" s="513"/>
      <c r="K425" s="513"/>
      <c r="L425" s="513"/>
      <c r="M425" s="513"/>
      <c r="N425" s="513"/>
    </row>
    <row r="426" spans="1:14" x14ac:dyDescent="0.2">
      <c r="A426" s="513"/>
      <c r="B426" s="513"/>
      <c r="C426" s="513"/>
      <c r="D426" s="513"/>
      <c r="E426" s="513"/>
      <c r="F426" s="513"/>
      <c r="G426" s="513"/>
      <c r="H426" s="513"/>
      <c r="I426" s="513"/>
      <c r="J426" s="513"/>
      <c r="K426" s="513"/>
      <c r="L426" s="513"/>
      <c r="M426" s="513"/>
      <c r="N426" s="513"/>
    </row>
    <row r="427" spans="1:14" x14ac:dyDescent="0.2">
      <c r="A427" s="513"/>
      <c r="B427" s="513"/>
      <c r="C427" s="513"/>
      <c r="D427" s="513"/>
      <c r="E427" s="513"/>
      <c r="F427" s="513"/>
      <c r="G427" s="513"/>
      <c r="H427" s="513"/>
      <c r="I427" s="513"/>
      <c r="J427" s="513"/>
      <c r="K427" s="513"/>
      <c r="L427" s="513"/>
      <c r="M427" s="513"/>
      <c r="N427" s="513"/>
    </row>
    <row r="428" spans="1:14" x14ac:dyDescent="0.2">
      <c r="A428" s="513"/>
      <c r="B428" s="513"/>
      <c r="C428" s="513"/>
      <c r="D428" s="513"/>
      <c r="E428" s="513"/>
      <c r="F428" s="513"/>
      <c r="G428" s="513"/>
      <c r="H428" s="513"/>
      <c r="I428" s="513"/>
      <c r="J428" s="513"/>
      <c r="K428" s="513"/>
      <c r="L428" s="513"/>
      <c r="M428" s="513"/>
      <c r="N428" s="513"/>
    </row>
    <row r="429" spans="1:14" x14ac:dyDescent="0.2">
      <c r="A429" s="513"/>
      <c r="B429" s="513"/>
      <c r="C429" s="513"/>
      <c r="D429" s="513"/>
      <c r="E429" s="513"/>
      <c r="F429" s="513"/>
      <c r="G429" s="513"/>
      <c r="H429" s="513"/>
      <c r="I429" s="513"/>
      <c r="J429" s="513"/>
      <c r="K429" s="513"/>
      <c r="L429" s="513"/>
      <c r="M429" s="513"/>
      <c r="N429" s="513"/>
    </row>
    <row r="430" spans="1:14" x14ac:dyDescent="0.2">
      <c r="A430" s="513"/>
      <c r="B430" s="513"/>
      <c r="C430" s="513"/>
      <c r="D430" s="513"/>
      <c r="E430" s="513"/>
      <c r="F430" s="513"/>
      <c r="G430" s="513"/>
      <c r="H430" s="513"/>
      <c r="I430" s="513"/>
      <c r="J430" s="513"/>
      <c r="K430" s="513"/>
      <c r="L430" s="513"/>
      <c r="M430" s="513"/>
      <c r="N430" s="513"/>
    </row>
    <row r="431" spans="1:14" x14ac:dyDescent="0.2">
      <c r="A431" s="513"/>
      <c r="B431" s="513"/>
      <c r="C431" s="513"/>
      <c r="D431" s="513"/>
      <c r="E431" s="513"/>
      <c r="F431" s="513"/>
      <c r="G431" s="513"/>
      <c r="H431" s="513"/>
      <c r="I431" s="513"/>
      <c r="J431" s="513"/>
      <c r="K431" s="513"/>
      <c r="L431" s="513"/>
      <c r="M431" s="513"/>
      <c r="N431" s="513"/>
    </row>
    <row r="432" spans="1:14" x14ac:dyDescent="0.2">
      <c r="A432" s="513"/>
      <c r="B432" s="513"/>
      <c r="C432" s="513"/>
      <c r="D432" s="513"/>
      <c r="E432" s="513"/>
      <c r="F432" s="513"/>
      <c r="G432" s="513"/>
      <c r="H432" s="513"/>
      <c r="I432" s="513"/>
      <c r="J432" s="513"/>
      <c r="K432" s="513"/>
      <c r="L432" s="513"/>
      <c r="M432" s="513"/>
      <c r="N432" s="513"/>
    </row>
    <row r="433" spans="1:14" x14ac:dyDescent="0.2">
      <c r="A433" s="513"/>
      <c r="B433" s="513"/>
      <c r="C433" s="513"/>
      <c r="D433" s="513"/>
      <c r="E433" s="513"/>
      <c r="F433" s="513"/>
      <c r="G433" s="513"/>
      <c r="H433" s="513"/>
      <c r="I433" s="513"/>
      <c r="J433" s="513"/>
      <c r="K433" s="513"/>
      <c r="L433" s="513"/>
      <c r="M433" s="513"/>
      <c r="N433" s="513"/>
    </row>
    <row r="434" spans="1:14" x14ac:dyDescent="0.2">
      <c r="A434" s="513"/>
      <c r="B434" s="513"/>
      <c r="C434" s="513"/>
      <c r="D434" s="513"/>
      <c r="E434" s="513"/>
      <c r="F434" s="513"/>
      <c r="G434" s="513"/>
      <c r="H434" s="513"/>
      <c r="I434" s="513"/>
      <c r="J434" s="513"/>
      <c r="K434" s="513"/>
      <c r="L434" s="513"/>
      <c r="M434" s="513"/>
      <c r="N434" s="513"/>
    </row>
    <row r="435" spans="1:14" x14ac:dyDescent="0.2">
      <c r="A435" s="513"/>
      <c r="B435" s="513"/>
      <c r="C435" s="513"/>
      <c r="D435" s="513"/>
      <c r="E435" s="513"/>
      <c r="F435" s="513"/>
      <c r="G435" s="513"/>
      <c r="H435" s="513"/>
      <c r="I435" s="513"/>
      <c r="J435" s="513"/>
      <c r="K435" s="513"/>
      <c r="L435" s="513"/>
      <c r="M435" s="513"/>
      <c r="N435" s="513"/>
    </row>
    <row r="436" spans="1:14" x14ac:dyDescent="0.2">
      <c r="A436" s="513"/>
      <c r="B436" s="513"/>
      <c r="C436" s="513"/>
      <c r="D436" s="513"/>
      <c r="E436" s="513"/>
      <c r="F436" s="513"/>
      <c r="G436" s="513"/>
      <c r="H436" s="513"/>
      <c r="I436" s="513"/>
      <c r="J436" s="513"/>
      <c r="K436" s="513"/>
      <c r="L436" s="513"/>
      <c r="M436" s="513"/>
      <c r="N436" s="513"/>
    </row>
    <row r="437" spans="1:14" x14ac:dyDescent="0.2">
      <c r="A437" s="513"/>
      <c r="B437" s="513"/>
      <c r="C437" s="513"/>
      <c r="D437" s="513"/>
      <c r="E437" s="513"/>
      <c r="F437" s="513"/>
      <c r="G437" s="513"/>
      <c r="H437" s="513"/>
      <c r="I437" s="513"/>
      <c r="J437" s="513"/>
      <c r="K437" s="513"/>
      <c r="L437" s="513"/>
      <c r="M437" s="513"/>
      <c r="N437" s="513"/>
    </row>
    <row r="438" spans="1:14" x14ac:dyDescent="0.2">
      <c r="A438" s="513"/>
      <c r="B438" s="513"/>
      <c r="C438" s="513"/>
      <c r="D438" s="513"/>
      <c r="E438" s="513"/>
      <c r="F438" s="513"/>
      <c r="G438" s="513"/>
      <c r="H438" s="513"/>
      <c r="I438" s="513"/>
      <c r="J438" s="513"/>
      <c r="K438" s="513"/>
      <c r="L438" s="513"/>
      <c r="M438" s="513"/>
      <c r="N438" s="513"/>
    </row>
    <row r="439" spans="1:14" x14ac:dyDescent="0.2">
      <c r="A439" s="513"/>
      <c r="B439" s="513"/>
      <c r="C439" s="513"/>
      <c r="D439" s="513"/>
      <c r="E439" s="513"/>
      <c r="F439" s="513"/>
      <c r="G439" s="513"/>
      <c r="H439" s="513"/>
      <c r="I439" s="513"/>
      <c r="J439" s="513"/>
      <c r="K439" s="513"/>
      <c r="L439" s="513"/>
      <c r="M439" s="513"/>
      <c r="N439" s="513"/>
    </row>
    <row r="440" spans="1:14" x14ac:dyDescent="0.2">
      <c r="A440" s="513"/>
      <c r="B440" s="513"/>
      <c r="C440" s="513"/>
      <c r="D440" s="513"/>
      <c r="E440" s="513"/>
      <c r="F440" s="513"/>
      <c r="G440" s="513"/>
      <c r="H440" s="513"/>
      <c r="I440" s="513"/>
      <c r="J440" s="513"/>
      <c r="K440" s="513"/>
      <c r="L440" s="513"/>
      <c r="M440" s="513"/>
      <c r="N440" s="513"/>
    </row>
    <row r="441" spans="1:14" x14ac:dyDescent="0.2">
      <c r="A441" s="513"/>
      <c r="B441" s="513"/>
      <c r="C441" s="513"/>
      <c r="D441" s="513"/>
      <c r="E441" s="513"/>
      <c r="F441" s="513"/>
      <c r="G441" s="513"/>
      <c r="H441" s="513"/>
      <c r="I441" s="513"/>
      <c r="J441" s="513"/>
      <c r="K441" s="513"/>
      <c r="L441" s="513"/>
      <c r="M441" s="513"/>
      <c r="N441" s="513"/>
    </row>
    <row r="442" spans="1:14" x14ac:dyDescent="0.2">
      <c r="A442" s="513"/>
      <c r="B442" s="513"/>
      <c r="C442" s="513"/>
      <c r="D442" s="513"/>
      <c r="E442" s="513"/>
      <c r="F442" s="513"/>
      <c r="G442" s="513"/>
      <c r="H442" s="513"/>
      <c r="I442" s="513"/>
      <c r="J442" s="513"/>
      <c r="K442" s="513"/>
      <c r="L442" s="513"/>
      <c r="M442" s="513"/>
      <c r="N442" s="513"/>
    </row>
    <row r="443" spans="1:14" x14ac:dyDescent="0.2">
      <c r="A443" s="513"/>
      <c r="B443" s="513"/>
      <c r="C443" s="513"/>
      <c r="D443" s="513"/>
      <c r="E443" s="513"/>
      <c r="F443" s="513"/>
      <c r="G443" s="513"/>
      <c r="H443" s="513"/>
      <c r="I443" s="513"/>
      <c r="J443" s="513"/>
      <c r="K443" s="513"/>
      <c r="L443" s="513"/>
      <c r="M443" s="513"/>
      <c r="N443" s="513"/>
    </row>
    <row r="444" spans="1:14" x14ac:dyDescent="0.2">
      <c r="A444" s="513"/>
      <c r="B444" s="513"/>
      <c r="C444" s="513"/>
      <c r="D444" s="513"/>
      <c r="E444" s="513"/>
      <c r="F444" s="513"/>
      <c r="G444" s="513"/>
      <c r="H444" s="513"/>
      <c r="I444" s="513"/>
      <c r="J444" s="513"/>
      <c r="K444" s="513"/>
      <c r="L444" s="513"/>
      <c r="M444" s="513"/>
      <c r="N444" s="513"/>
    </row>
    <row r="445" spans="1:14" x14ac:dyDescent="0.2">
      <c r="A445" s="513"/>
      <c r="B445" s="513"/>
      <c r="C445" s="513"/>
      <c r="D445" s="513"/>
      <c r="E445" s="513"/>
      <c r="F445" s="513"/>
      <c r="G445" s="513"/>
      <c r="H445" s="513"/>
      <c r="I445" s="513"/>
      <c r="J445" s="513"/>
      <c r="K445" s="513"/>
      <c r="L445" s="513"/>
      <c r="M445" s="513"/>
      <c r="N445" s="513"/>
    </row>
    <row r="446" spans="1:14" x14ac:dyDescent="0.2">
      <c r="A446" s="513"/>
      <c r="B446" s="513"/>
      <c r="C446" s="513"/>
      <c r="D446" s="513"/>
      <c r="E446" s="513"/>
      <c r="F446" s="513"/>
      <c r="G446" s="513"/>
      <c r="H446" s="513"/>
      <c r="I446" s="513"/>
      <c r="J446" s="513"/>
      <c r="K446" s="513"/>
      <c r="L446" s="513"/>
      <c r="M446" s="513"/>
      <c r="N446" s="513"/>
    </row>
    <row r="447" spans="1:14" x14ac:dyDescent="0.2">
      <c r="A447" s="513"/>
      <c r="B447" s="513"/>
      <c r="C447" s="513"/>
      <c r="D447" s="513"/>
      <c r="E447" s="513"/>
      <c r="F447" s="513"/>
      <c r="G447" s="513"/>
      <c r="H447" s="513"/>
      <c r="I447" s="513"/>
      <c r="J447" s="513"/>
      <c r="K447" s="513"/>
      <c r="L447" s="513"/>
      <c r="M447" s="513"/>
      <c r="N447" s="513"/>
    </row>
    <row r="448" spans="1:14" x14ac:dyDescent="0.2">
      <c r="A448" s="513"/>
      <c r="B448" s="513"/>
      <c r="C448" s="513"/>
      <c r="D448" s="513"/>
      <c r="E448" s="513"/>
      <c r="F448" s="513"/>
      <c r="G448" s="513"/>
      <c r="H448" s="513"/>
      <c r="I448" s="513"/>
      <c r="J448" s="513"/>
      <c r="K448" s="513"/>
      <c r="L448" s="513"/>
      <c r="M448" s="513"/>
      <c r="N448" s="513"/>
    </row>
    <row r="449" spans="1:14" x14ac:dyDescent="0.2">
      <c r="A449" s="513"/>
      <c r="B449" s="513"/>
      <c r="C449" s="513"/>
      <c r="D449" s="513"/>
      <c r="E449" s="513"/>
      <c r="F449" s="513"/>
      <c r="G449" s="513"/>
      <c r="H449" s="513"/>
      <c r="I449" s="513"/>
      <c r="J449" s="513"/>
      <c r="K449" s="513"/>
      <c r="L449" s="513"/>
      <c r="M449" s="513"/>
      <c r="N449" s="513"/>
    </row>
    <row r="450" spans="1:14" x14ac:dyDescent="0.2">
      <c r="A450" s="513"/>
      <c r="B450" s="513"/>
      <c r="C450" s="513"/>
      <c r="D450" s="513"/>
      <c r="E450" s="513"/>
      <c r="F450" s="513"/>
      <c r="G450" s="513"/>
      <c r="H450" s="513"/>
      <c r="I450" s="513"/>
      <c r="J450" s="513"/>
      <c r="K450" s="513"/>
      <c r="L450" s="513"/>
      <c r="M450" s="513"/>
      <c r="N450" s="513"/>
    </row>
    <row r="451" spans="1:14" x14ac:dyDescent="0.2">
      <c r="A451" s="513"/>
      <c r="B451" s="513"/>
      <c r="C451" s="513"/>
      <c r="D451" s="513"/>
      <c r="E451" s="513"/>
      <c r="F451" s="513"/>
      <c r="G451" s="513"/>
      <c r="H451" s="513"/>
      <c r="I451" s="513"/>
      <c r="J451" s="513"/>
      <c r="K451" s="513"/>
      <c r="L451" s="513"/>
      <c r="M451" s="513"/>
      <c r="N451" s="513"/>
    </row>
    <row r="452" spans="1:14" x14ac:dyDescent="0.2">
      <c r="A452" s="513"/>
      <c r="B452" s="513"/>
      <c r="C452" s="513"/>
      <c r="D452" s="513"/>
      <c r="E452" s="513"/>
      <c r="F452" s="513"/>
      <c r="G452" s="513"/>
      <c r="H452" s="513"/>
      <c r="I452" s="513"/>
      <c r="J452" s="513"/>
      <c r="K452" s="513"/>
      <c r="L452" s="513"/>
      <c r="M452" s="513"/>
      <c r="N452" s="513"/>
    </row>
    <row r="453" spans="1:14" x14ac:dyDescent="0.2">
      <c r="A453" s="513"/>
      <c r="B453" s="513"/>
      <c r="C453" s="513"/>
      <c r="D453" s="513"/>
      <c r="E453" s="513"/>
      <c r="F453" s="513"/>
      <c r="G453" s="513"/>
      <c r="H453" s="513"/>
      <c r="I453" s="513"/>
      <c r="J453" s="513"/>
      <c r="K453" s="513"/>
      <c r="L453" s="513"/>
      <c r="M453" s="513"/>
      <c r="N453" s="513"/>
    </row>
    <row r="454" spans="1:14" x14ac:dyDescent="0.2">
      <c r="A454" s="513"/>
      <c r="B454" s="513"/>
      <c r="C454" s="513"/>
      <c r="D454" s="513"/>
      <c r="E454" s="513"/>
      <c r="F454" s="513"/>
      <c r="G454" s="513"/>
      <c r="H454" s="513"/>
      <c r="I454" s="513"/>
      <c r="J454" s="513"/>
      <c r="K454" s="513"/>
      <c r="L454" s="513"/>
      <c r="M454" s="513"/>
      <c r="N454" s="513"/>
    </row>
    <row r="455" spans="1:14" x14ac:dyDescent="0.2">
      <c r="A455" s="513"/>
      <c r="B455" s="513"/>
      <c r="C455" s="513"/>
      <c r="D455" s="513"/>
      <c r="E455" s="513"/>
      <c r="F455" s="513"/>
      <c r="G455" s="513"/>
      <c r="H455" s="513"/>
      <c r="I455" s="513"/>
      <c r="J455" s="513"/>
      <c r="K455" s="513"/>
      <c r="L455" s="513"/>
      <c r="M455" s="513"/>
      <c r="N455" s="513"/>
    </row>
    <row r="456" spans="1:14" x14ac:dyDescent="0.2">
      <c r="A456" s="513"/>
      <c r="B456" s="513"/>
      <c r="C456" s="513"/>
      <c r="D456" s="513"/>
      <c r="E456" s="513"/>
      <c r="F456" s="513"/>
      <c r="G456" s="513"/>
      <c r="H456" s="513"/>
      <c r="I456" s="513"/>
      <c r="J456" s="513"/>
      <c r="K456" s="513"/>
      <c r="L456" s="513"/>
      <c r="M456" s="513"/>
      <c r="N456" s="513"/>
    </row>
    <row r="457" spans="1:14" x14ac:dyDescent="0.2">
      <c r="A457" s="513"/>
      <c r="B457" s="513"/>
      <c r="C457" s="513"/>
      <c r="D457" s="513"/>
      <c r="E457" s="513"/>
      <c r="F457" s="513"/>
      <c r="G457" s="513"/>
      <c r="H457" s="513"/>
      <c r="I457" s="513"/>
      <c r="J457" s="513"/>
      <c r="K457" s="513"/>
      <c r="L457" s="513"/>
      <c r="M457" s="513"/>
      <c r="N457" s="513"/>
    </row>
    <row r="458" spans="1:14" x14ac:dyDescent="0.2">
      <c r="A458" s="513"/>
      <c r="B458" s="513"/>
      <c r="C458" s="513"/>
      <c r="D458" s="513"/>
      <c r="E458" s="513"/>
      <c r="F458" s="513"/>
      <c r="G458" s="513"/>
      <c r="H458" s="513"/>
      <c r="I458" s="513"/>
      <c r="J458" s="513"/>
      <c r="K458" s="513"/>
      <c r="L458" s="513"/>
      <c r="M458" s="513"/>
      <c r="N458" s="513"/>
    </row>
    <row r="459" spans="1:14" x14ac:dyDescent="0.2">
      <c r="A459" s="513"/>
      <c r="B459" s="513"/>
      <c r="C459" s="513"/>
      <c r="D459" s="513"/>
      <c r="E459" s="513"/>
      <c r="F459" s="513"/>
      <c r="G459" s="513"/>
      <c r="H459" s="513"/>
      <c r="I459" s="513"/>
      <c r="J459" s="513"/>
      <c r="K459" s="513"/>
      <c r="L459" s="513"/>
      <c r="M459" s="513"/>
      <c r="N459" s="513"/>
    </row>
    <row r="460" spans="1:14" x14ac:dyDescent="0.2">
      <c r="A460" s="513"/>
      <c r="B460" s="513"/>
      <c r="C460" s="513"/>
      <c r="D460" s="513"/>
      <c r="E460" s="513"/>
      <c r="F460" s="513"/>
      <c r="G460" s="513"/>
      <c r="H460" s="513"/>
      <c r="I460" s="513"/>
      <c r="J460" s="513"/>
      <c r="K460" s="513"/>
      <c r="L460" s="513"/>
      <c r="M460" s="513"/>
      <c r="N460" s="513"/>
    </row>
    <row r="461" spans="1:14" x14ac:dyDescent="0.2">
      <c r="A461" s="513"/>
      <c r="B461" s="513"/>
      <c r="C461" s="513"/>
      <c r="D461" s="513"/>
      <c r="E461" s="513"/>
      <c r="F461" s="513"/>
      <c r="G461" s="513"/>
      <c r="H461" s="513"/>
      <c r="I461" s="513"/>
      <c r="J461" s="513"/>
      <c r="K461" s="513"/>
      <c r="L461" s="513"/>
      <c r="M461" s="513"/>
      <c r="N461" s="513"/>
    </row>
    <row r="462" spans="1:14" x14ac:dyDescent="0.2">
      <c r="A462" s="513"/>
      <c r="B462" s="513"/>
      <c r="C462" s="513"/>
      <c r="D462" s="513"/>
      <c r="E462" s="513"/>
      <c r="F462" s="513"/>
      <c r="G462" s="513"/>
      <c r="H462" s="513"/>
      <c r="I462" s="513"/>
      <c r="J462" s="513"/>
      <c r="K462" s="513"/>
      <c r="L462" s="513"/>
      <c r="M462" s="513"/>
      <c r="N462" s="513"/>
    </row>
    <row r="463" spans="1:14" x14ac:dyDescent="0.2">
      <c r="A463" s="513"/>
      <c r="B463" s="513"/>
      <c r="C463" s="513"/>
      <c r="D463" s="513"/>
      <c r="E463" s="513"/>
      <c r="F463" s="513"/>
      <c r="G463" s="513"/>
      <c r="H463" s="513"/>
      <c r="I463" s="513"/>
      <c r="J463" s="513"/>
      <c r="K463" s="513"/>
      <c r="L463" s="513"/>
      <c r="M463" s="513"/>
      <c r="N463" s="513"/>
    </row>
    <row r="464" spans="1:14" x14ac:dyDescent="0.2">
      <c r="A464" s="513"/>
      <c r="B464" s="513"/>
      <c r="C464" s="513"/>
      <c r="D464" s="513"/>
      <c r="E464" s="513"/>
      <c r="F464" s="513"/>
      <c r="G464" s="513"/>
      <c r="H464" s="513"/>
      <c r="I464" s="513"/>
      <c r="J464" s="513"/>
      <c r="K464" s="513"/>
      <c r="L464" s="513"/>
      <c r="M464" s="513"/>
      <c r="N464" s="513"/>
    </row>
    <row r="465" spans="1:14" x14ac:dyDescent="0.2">
      <c r="A465" s="513"/>
      <c r="B465" s="513"/>
      <c r="C465" s="513"/>
      <c r="D465" s="513"/>
      <c r="E465" s="513"/>
      <c r="F465" s="513"/>
      <c r="G465" s="513"/>
      <c r="H465" s="513"/>
      <c r="I465" s="513"/>
      <c r="J465" s="513"/>
      <c r="K465" s="513"/>
      <c r="L465" s="513"/>
      <c r="M465" s="513"/>
      <c r="N465" s="513"/>
    </row>
    <row r="466" spans="1:14" x14ac:dyDescent="0.2">
      <c r="A466" s="513"/>
      <c r="B466" s="513"/>
      <c r="C466" s="513"/>
      <c r="D466" s="513"/>
      <c r="E466" s="513"/>
      <c r="F466" s="513"/>
      <c r="G466" s="513"/>
      <c r="H466" s="513"/>
      <c r="I466" s="513"/>
      <c r="J466" s="513"/>
      <c r="K466" s="513"/>
      <c r="L466" s="513"/>
      <c r="M466" s="513"/>
      <c r="N466" s="513"/>
    </row>
    <row r="467" spans="1:14" x14ac:dyDescent="0.2">
      <c r="A467" s="513"/>
      <c r="B467" s="513"/>
      <c r="C467" s="513"/>
      <c r="D467" s="513"/>
      <c r="E467" s="513"/>
      <c r="F467" s="513"/>
      <c r="G467" s="513"/>
      <c r="H467" s="513"/>
      <c r="I467" s="513"/>
      <c r="J467" s="513"/>
      <c r="K467" s="513"/>
      <c r="L467" s="513"/>
      <c r="M467" s="513"/>
      <c r="N467" s="513"/>
    </row>
    <row r="468" spans="1:14" x14ac:dyDescent="0.2">
      <c r="A468" s="513"/>
      <c r="B468" s="513"/>
      <c r="C468" s="513"/>
      <c r="D468" s="513"/>
      <c r="E468" s="513"/>
      <c r="F468" s="513"/>
      <c r="G468" s="513"/>
      <c r="H468" s="513"/>
      <c r="I468" s="513"/>
      <c r="J468" s="513"/>
      <c r="K468" s="513"/>
      <c r="L468" s="513"/>
      <c r="M468" s="513"/>
      <c r="N468" s="513"/>
    </row>
    <row r="469" spans="1:14" x14ac:dyDescent="0.2">
      <c r="A469" s="513"/>
      <c r="B469" s="513"/>
      <c r="C469" s="513"/>
      <c r="D469" s="513"/>
      <c r="E469" s="513"/>
      <c r="F469" s="513"/>
      <c r="G469" s="513"/>
      <c r="H469" s="513"/>
      <c r="I469" s="513"/>
      <c r="J469" s="513"/>
      <c r="K469" s="513"/>
      <c r="L469" s="513"/>
      <c r="M469" s="513"/>
      <c r="N469" s="513"/>
    </row>
    <row r="470" spans="1:14" x14ac:dyDescent="0.2">
      <c r="A470" s="513"/>
      <c r="B470" s="513"/>
      <c r="C470" s="513"/>
      <c r="D470" s="513"/>
      <c r="E470" s="513"/>
      <c r="F470" s="513"/>
      <c r="G470" s="513"/>
      <c r="H470" s="513"/>
      <c r="I470" s="513"/>
      <c r="J470" s="513"/>
      <c r="K470" s="513"/>
      <c r="L470" s="513"/>
      <c r="M470" s="513"/>
      <c r="N470" s="513"/>
    </row>
    <row r="471" spans="1:14" x14ac:dyDescent="0.2">
      <c r="A471" s="513"/>
      <c r="B471" s="513"/>
      <c r="C471" s="513"/>
      <c r="D471" s="513"/>
      <c r="E471" s="513"/>
      <c r="F471" s="513"/>
      <c r="G471" s="513"/>
      <c r="H471" s="513"/>
      <c r="I471" s="513"/>
      <c r="J471" s="513"/>
      <c r="K471" s="513"/>
      <c r="L471" s="513"/>
      <c r="M471" s="513"/>
      <c r="N471" s="513"/>
    </row>
    <row r="472" spans="1:14" x14ac:dyDescent="0.2">
      <c r="A472" s="513"/>
      <c r="B472" s="513"/>
      <c r="C472" s="513"/>
      <c r="D472" s="513"/>
      <c r="E472" s="513"/>
      <c r="F472" s="513"/>
      <c r="G472" s="513"/>
      <c r="H472" s="513"/>
      <c r="I472" s="513"/>
      <c r="J472" s="513"/>
      <c r="K472" s="513"/>
      <c r="L472" s="513"/>
      <c r="M472" s="513"/>
      <c r="N472" s="513"/>
    </row>
    <row r="473" spans="1:14" x14ac:dyDescent="0.2">
      <c r="A473" s="513"/>
      <c r="B473" s="513"/>
      <c r="C473" s="513"/>
      <c r="D473" s="513"/>
      <c r="E473" s="513"/>
      <c r="F473" s="513"/>
      <c r="G473" s="513"/>
      <c r="H473" s="513"/>
      <c r="I473" s="513"/>
      <c r="J473" s="513"/>
      <c r="K473" s="513"/>
      <c r="L473" s="513"/>
      <c r="M473" s="513"/>
      <c r="N473" s="513"/>
    </row>
    <row r="474" spans="1:14" x14ac:dyDescent="0.2">
      <c r="A474" s="513"/>
      <c r="B474" s="513"/>
      <c r="C474" s="513"/>
      <c r="D474" s="513"/>
      <c r="E474" s="513"/>
      <c r="F474" s="513"/>
      <c r="G474" s="513"/>
      <c r="H474" s="513"/>
      <c r="I474" s="513"/>
      <c r="J474" s="513"/>
      <c r="K474" s="513"/>
      <c r="L474" s="513"/>
      <c r="M474" s="513"/>
      <c r="N474" s="513"/>
    </row>
    <row r="475" spans="1:14" x14ac:dyDescent="0.2">
      <c r="A475" s="513"/>
      <c r="B475" s="513"/>
      <c r="C475" s="513"/>
      <c r="D475" s="513"/>
      <c r="E475" s="513"/>
      <c r="F475" s="513"/>
      <c r="G475" s="513"/>
      <c r="H475" s="513"/>
      <c r="I475" s="513"/>
      <c r="J475" s="513"/>
      <c r="K475" s="513"/>
      <c r="L475" s="513"/>
      <c r="M475" s="513"/>
      <c r="N475" s="513"/>
    </row>
    <row r="476" spans="1:14" x14ac:dyDescent="0.2">
      <c r="A476" s="513"/>
      <c r="B476" s="513"/>
      <c r="C476" s="513"/>
      <c r="D476" s="513"/>
      <c r="E476" s="513"/>
      <c r="F476" s="513"/>
      <c r="G476" s="513"/>
      <c r="H476" s="513"/>
      <c r="I476" s="513"/>
      <c r="J476" s="513"/>
      <c r="K476" s="513"/>
      <c r="L476" s="513"/>
      <c r="M476" s="513"/>
      <c r="N476" s="513"/>
    </row>
    <row r="477" spans="1:14" x14ac:dyDescent="0.2">
      <c r="A477" s="513"/>
      <c r="B477" s="513"/>
      <c r="C477" s="513"/>
      <c r="D477" s="513"/>
      <c r="E477" s="513"/>
      <c r="F477" s="513"/>
      <c r="G477" s="513"/>
      <c r="H477" s="513"/>
      <c r="I477" s="513"/>
      <c r="J477" s="513"/>
      <c r="K477" s="513"/>
      <c r="L477" s="513"/>
      <c r="M477" s="513"/>
      <c r="N477" s="513"/>
    </row>
    <row r="478" spans="1:14" x14ac:dyDescent="0.2">
      <c r="A478" s="513"/>
      <c r="B478" s="513"/>
      <c r="C478" s="513"/>
      <c r="D478" s="513"/>
      <c r="E478" s="513"/>
      <c r="F478" s="513"/>
      <c r="G478" s="513"/>
      <c r="H478" s="513"/>
      <c r="I478" s="513"/>
      <c r="J478" s="513"/>
      <c r="K478" s="513"/>
      <c r="L478" s="513"/>
      <c r="M478" s="513"/>
      <c r="N478" s="513"/>
    </row>
    <row r="479" spans="1:14" x14ac:dyDescent="0.2">
      <c r="A479" s="513"/>
      <c r="B479" s="513"/>
      <c r="C479" s="513"/>
      <c r="D479" s="513"/>
      <c r="E479" s="513"/>
      <c r="F479" s="513"/>
      <c r="G479" s="513"/>
      <c r="H479" s="513"/>
      <c r="I479" s="513"/>
      <c r="J479" s="513"/>
      <c r="K479" s="513"/>
      <c r="L479" s="513"/>
      <c r="M479" s="513"/>
      <c r="N479" s="513"/>
    </row>
    <row r="480" spans="1:14" x14ac:dyDescent="0.2">
      <c r="A480" s="513"/>
      <c r="B480" s="513"/>
      <c r="C480" s="513"/>
      <c r="D480" s="513"/>
      <c r="E480" s="513"/>
      <c r="F480" s="513"/>
      <c r="G480" s="513"/>
      <c r="H480" s="513"/>
      <c r="I480" s="513"/>
      <c r="J480" s="513"/>
      <c r="K480" s="513"/>
      <c r="L480" s="513"/>
      <c r="M480" s="513"/>
      <c r="N480" s="513"/>
    </row>
    <row r="481" spans="1:14" x14ac:dyDescent="0.2">
      <c r="A481" s="513"/>
      <c r="B481" s="513"/>
      <c r="C481" s="513"/>
      <c r="D481" s="513"/>
      <c r="E481" s="513"/>
      <c r="F481" s="513"/>
      <c r="G481" s="513"/>
      <c r="H481" s="513"/>
      <c r="I481" s="513"/>
      <c r="J481" s="513"/>
      <c r="K481" s="513"/>
      <c r="L481" s="513"/>
      <c r="M481" s="513"/>
      <c r="N481" s="513"/>
    </row>
    <row r="482" spans="1:14" x14ac:dyDescent="0.2">
      <c r="A482" s="513"/>
      <c r="B482" s="513"/>
      <c r="C482" s="513"/>
      <c r="D482" s="513"/>
      <c r="E482" s="513"/>
      <c r="F482" s="513"/>
      <c r="G482" s="513"/>
      <c r="H482" s="513"/>
      <c r="I482" s="513"/>
      <c r="J482" s="513"/>
      <c r="K482" s="513"/>
      <c r="L482" s="513"/>
      <c r="M482" s="513"/>
      <c r="N482" s="513"/>
    </row>
    <row r="483" spans="1:14" x14ac:dyDescent="0.2">
      <c r="A483" s="513"/>
      <c r="B483" s="513"/>
      <c r="C483" s="513"/>
      <c r="D483" s="513"/>
      <c r="E483" s="513"/>
      <c r="F483" s="513"/>
      <c r="G483" s="513"/>
      <c r="H483" s="513"/>
      <c r="I483" s="513"/>
      <c r="J483" s="513"/>
      <c r="K483" s="513"/>
      <c r="L483" s="513"/>
      <c r="M483" s="513"/>
      <c r="N483" s="513"/>
    </row>
  </sheetData>
  <mergeCells count="2">
    <mergeCell ref="N100:Q100"/>
    <mergeCell ref="A89:R89"/>
  </mergeCells>
  <phoneticPr fontId="0" type="noConversion"/>
  <printOptions horizontalCentered="1" verticalCentered="1"/>
  <pageMargins left="0.59055118110236227" right="0.75" top="0.70866141732283472" bottom="0.15748031496062992" header="0" footer="0"/>
  <pageSetup paperSize="5" scale="55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P54"/>
  <sheetViews>
    <sheetView zoomScale="70" workbookViewId="0">
      <selection activeCell="K21" sqref="K21"/>
    </sheetView>
  </sheetViews>
  <sheetFormatPr baseColWidth="10" defaultRowHeight="12.75" x14ac:dyDescent="0.2"/>
  <cols>
    <col min="1" max="1" width="26.7109375" customWidth="1"/>
    <col min="2" max="7" width="12.7109375" customWidth="1"/>
    <col min="9" max="9" width="12.7109375" customWidth="1"/>
  </cols>
  <sheetData>
    <row r="1" spans="1:16" ht="19.5" x14ac:dyDescent="0.35">
      <c r="A1" s="42" t="s">
        <v>130</v>
      </c>
    </row>
    <row r="3" spans="1:16" ht="19.5" x14ac:dyDescent="0.35">
      <c r="A3" s="42" t="s">
        <v>459</v>
      </c>
    </row>
    <row r="4" spans="1:16" ht="15.75" x14ac:dyDescent="0.25">
      <c r="A4" s="54"/>
    </row>
    <row r="5" spans="1:16" ht="13.5" thickBot="1" x14ac:dyDescent="0.25"/>
    <row r="6" spans="1:16" ht="15" thickTop="1" x14ac:dyDescent="0.2">
      <c r="C6" s="63" t="s">
        <v>443</v>
      </c>
      <c r="D6" s="63" t="s">
        <v>52</v>
      </c>
      <c r="E6" s="69" t="s">
        <v>172</v>
      </c>
      <c r="F6" s="28" t="s">
        <v>173</v>
      </c>
      <c r="G6" s="28" t="s">
        <v>174</v>
      </c>
      <c r="H6" s="28" t="s">
        <v>175</v>
      </c>
      <c r="I6" s="28" t="s">
        <v>176</v>
      </c>
      <c r="J6" s="28" t="s">
        <v>177</v>
      </c>
      <c r="K6" s="28" t="s">
        <v>178</v>
      </c>
      <c r="L6" s="28" t="s">
        <v>179</v>
      </c>
      <c r="M6" s="28" t="s">
        <v>187</v>
      </c>
      <c r="N6" s="28" t="s">
        <v>188</v>
      </c>
      <c r="O6" s="28" t="s">
        <v>186</v>
      </c>
      <c r="P6" s="59" t="s">
        <v>185</v>
      </c>
    </row>
    <row r="7" spans="1:16" x14ac:dyDescent="0.2">
      <c r="C7" s="64">
        <v>2010</v>
      </c>
      <c r="D7" s="64">
        <v>2011</v>
      </c>
      <c r="E7" s="60" t="s">
        <v>28</v>
      </c>
      <c r="F7" s="105" t="s">
        <v>28</v>
      </c>
      <c r="G7" s="105" t="s">
        <v>28</v>
      </c>
      <c r="H7" s="105" t="s">
        <v>28</v>
      </c>
      <c r="I7" s="105" t="s">
        <v>28</v>
      </c>
      <c r="J7" s="105" t="s">
        <v>28</v>
      </c>
      <c r="K7" s="105" t="s">
        <v>28</v>
      </c>
      <c r="L7" s="105" t="s">
        <v>28</v>
      </c>
      <c r="M7" s="105" t="s">
        <v>28</v>
      </c>
      <c r="N7" s="105" t="s">
        <v>28</v>
      </c>
      <c r="O7" s="105" t="s">
        <v>28</v>
      </c>
      <c r="P7" s="15" t="s">
        <v>28</v>
      </c>
    </row>
    <row r="8" spans="1:16" x14ac:dyDescent="0.2">
      <c r="C8" s="65"/>
      <c r="D8" s="65"/>
      <c r="E8" s="6"/>
      <c r="F8" s="30"/>
      <c r="G8" s="30"/>
      <c r="H8" s="39"/>
      <c r="I8" s="30"/>
      <c r="J8" s="30"/>
      <c r="K8" s="30"/>
      <c r="L8" s="39"/>
      <c r="M8" s="30"/>
      <c r="N8" s="30"/>
      <c r="O8" s="30"/>
      <c r="P8" s="14"/>
    </row>
    <row r="9" spans="1:16" ht="19.5" x14ac:dyDescent="0.35">
      <c r="A9" s="55" t="s">
        <v>131</v>
      </c>
      <c r="C9" s="65"/>
      <c r="D9" s="65"/>
      <c r="E9" s="6"/>
      <c r="F9" s="30"/>
      <c r="G9" s="30"/>
      <c r="H9" s="39"/>
      <c r="I9" s="30"/>
      <c r="J9" s="30"/>
      <c r="K9" s="30"/>
      <c r="L9" s="39"/>
      <c r="M9" s="30"/>
      <c r="N9" s="30"/>
      <c r="O9" s="30"/>
      <c r="P9" s="14"/>
    </row>
    <row r="10" spans="1:16" x14ac:dyDescent="0.2">
      <c r="C10" s="65"/>
      <c r="D10" s="65"/>
      <c r="E10" s="6"/>
      <c r="F10" s="30"/>
      <c r="G10" s="30"/>
      <c r="H10" s="39"/>
      <c r="I10" s="30"/>
      <c r="J10" s="30"/>
      <c r="K10" s="30"/>
      <c r="L10" s="39"/>
      <c r="M10" s="30"/>
      <c r="N10" s="30"/>
      <c r="O10" s="30"/>
      <c r="P10" s="14"/>
    </row>
    <row r="11" spans="1:16" ht="15.75" x14ac:dyDescent="0.25">
      <c r="A11" s="56">
        <v>1996</v>
      </c>
      <c r="C11" s="65">
        <v>10</v>
      </c>
      <c r="D11" s="65">
        <f t="shared" ref="D11:D17" si="0">+P11</f>
        <v>0</v>
      </c>
      <c r="E11" s="6">
        <f>+C11</f>
        <v>10</v>
      </c>
      <c r="F11" s="30">
        <f t="shared" ref="F11:G13" si="1">+E11</f>
        <v>10</v>
      </c>
      <c r="G11" s="30">
        <f t="shared" si="1"/>
        <v>10</v>
      </c>
      <c r="H11" s="30">
        <f>+G11</f>
        <v>10</v>
      </c>
      <c r="I11" s="30">
        <f>+H11</f>
        <v>10</v>
      </c>
      <c r="J11" s="30">
        <f>+I11</f>
        <v>10</v>
      </c>
      <c r="K11" s="30">
        <f>+J11-2</f>
        <v>8</v>
      </c>
      <c r="L11" s="30">
        <f>+K11-2</f>
        <v>6</v>
      </c>
      <c r="M11" s="30">
        <f>+L11-2</f>
        <v>4</v>
      </c>
      <c r="N11" s="30">
        <f>+M11-2</f>
        <v>2</v>
      </c>
      <c r="O11" s="30">
        <f>+N11-2</f>
        <v>0</v>
      </c>
      <c r="P11" s="14">
        <f>+O11</f>
        <v>0</v>
      </c>
    </row>
    <row r="12" spans="1:16" ht="15.75" x14ac:dyDescent="0.25">
      <c r="A12" s="56">
        <v>1997</v>
      </c>
      <c r="C12" s="65">
        <v>44</v>
      </c>
      <c r="D12" s="65">
        <f t="shared" si="0"/>
        <v>44</v>
      </c>
      <c r="E12" s="6">
        <f>+C12</f>
        <v>44</v>
      </c>
      <c r="F12" s="30">
        <f t="shared" si="1"/>
        <v>44</v>
      </c>
      <c r="G12" s="30">
        <f t="shared" si="1"/>
        <v>44</v>
      </c>
      <c r="H12" s="39">
        <f>+G12</f>
        <v>44</v>
      </c>
      <c r="I12" s="30">
        <f t="shared" ref="I12:J15" si="2">+H12</f>
        <v>44</v>
      </c>
      <c r="J12" s="30">
        <f t="shared" si="2"/>
        <v>44</v>
      </c>
      <c r="K12" s="30">
        <f t="shared" ref="K12:O15" si="3">+J12</f>
        <v>44</v>
      </c>
      <c r="L12" s="30">
        <f t="shared" si="3"/>
        <v>44</v>
      </c>
      <c r="M12" s="30">
        <f t="shared" si="3"/>
        <v>44</v>
      </c>
      <c r="N12" s="30">
        <f t="shared" si="3"/>
        <v>44</v>
      </c>
      <c r="O12" s="30">
        <f t="shared" si="3"/>
        <v>44</v>
      </c>
      <c r="P12" s="14">
        <f>+O12</f>
        <v>44</v>
      </c>
    </row>
    <row r="13" spans="1:16" ht="15.75" x14ac:dyDescent="0.25">
      <c r="A13" s="56">
        <v>1998</v>
      </c>
      <c r="C13" s="65">
        <v>5</v>
      </c>
      <c r="D13" s="65">
        <f t="shared" si="0"/>
        <v>5</v>
      </c>
      <c r="E13" s="6">
        <f t="shared" ref="E13:E18" si="4">+C13</f>
        <v>5</v>
      </c>
      <c r="F13" s="30">
        <f t="shared" si="1"/>
        <v>5</v>
      </c>
      <c r="G13" s="30">
        <f t="shared" si="1"/>
        <v>5</v>
      </c>
      <c r="H13" s="39">
        <f t="shared" ref="F13:H15" si="5">+G13</f>
        <v>5</v>
      </c>
      <c r="I13" s="30">
        <f t="shared" si="2"/>
        <v>5</v>
      </c>
      <c r="J13" s="30">
        <f t="shared" si="2"/>
        <v>5</v>
      </c>
      <c r="K13" s="30">
        <f t="shared" si="3"/>
        <v>5</v>
      </c>
      <c r="L13" s="39">
        <f t="shared" si="3"/>
        <v>5</v>
      </c>
      <c r="M13" s="30">
        <f t="shared" si="3"/>
        <v>5</v>
      </c>
      <c r="N13" s="30">
        <f t="shared" si="3"/>
        <v>5</v>
      </c>
      <c r="O13" s="30">
        <f t="shared" si="3"/>
        <v>5</v>
      </c>
      <c r="P13" s="14">
        <f t="shared" ref="P13:P18" si="6">+O13</f>
        <v>5</v>
      </c>
    </row>
    <row r="14" spans="1:16" ht="15.75" x14ac:dyDescent="0.25">
      <c r="A14" s="56">
        <v>1999</v>
      </c>
      <c r="C14" s="65">
        <v>10</v>
      </c>
      <c r="D14" s="65">
        <f t="shared" si="0"/>
        <v>10</v>
      </c>
      <c r="E14" s="6">
        <f>+C14</f>
        <v>10</v>
      </c>
      <c r="F14" s="30">
        <f>+E14</f>
        <v>10</v>
      </c>
      <c r="G14" s="30">
        <f t="shared" ref="G14:N14" si="7">+F14</f>
        <v>10</v>
      </c>
      <c r="H14" s="30">
        <f t="shared" si="7"/>
        <v>10</v>
      </c>
      <c r="I14" s="30">
        <f t="shared" si="7"/>
        <v>10</v>
      </c>
      <c r="J14" s="30">
        <f t="shared" si="7"/>
        <v>10</v>
      </c>
      <c r="K14" s="30">
        <f t="shared" si="7"/>
        <v>10</v>
      </c>
      <c r="L14" s="30">
        <f t="shared" si="7"/>
        <v>10</v>
      </c>
      <c r="M14" s="30">
        <f t="shared" si="7"/>
        <v>10</v>
      </c>
      <c r="N14" s="30">
        <f t="shared" si="7"/>
        <v>10</v>
      </c>
      <c r="O14" s="30">
        <f t="shared" si="3"/>
        <v>10</v>
      </c>
      <c r="P14" s="14">
        <f t="shared" si="6"/>
        <v>10</v>
      </c>
    </row>
    <row r="15" spans="1:16" ht="15.75" x14ac:dyDescent="0.25">
      <c r="A15" s="56">
        <v>2000</v>
      </c>
      <c r="C15" s="65">
        <v>1</v>
      </c>
      <c r="D15" s="65">
        <f t="shared" si="0"/>
        <v>1</v>
      </c>
      <c r="E15" s="6">
        <f t="shared" si="4"/>
        <v>1</v>
      </c>
      <c r="F15" s="30">
        <f t="shared" si="5"/>
        <v>1</v>
      </c>
      <c r="G15" s="30">
        <f t="shared" si="5"/>
        <v>1</v>
      </c>
      <c r="H15" s="39">
        <f t="shared" si="5"/>
        <v>1</v>
      </c>
      <c r="I15" s="30">
        <f t="shared" si="2"/>
        <v>1</v>
      </c>
      <c r="J15" s="30">
        <f t="shared" si="2"/>
        <v>1</v>
      </c>
      <c r="K15" s="30">
        <f t="shared" si="3"/>
        <v>1</v>
      </c>
      <c r="L15" s="39">
        <f t="shared" si="3"/>
        <v>1</v>
      </c>
      <c r="M15" s="30">
        <f t="shared" si="3"/>
        <v>1</v>
      </c>
      <c r="N15" s="30">
        <f t="shared" si="3"/>
        <v>1</v>
      </c>
      <c r="O15" s="30">
        <f t="shared" si="3"/>
        <v>1</v>
      </c>
      <c r="P15" s="14">
        <f t="shared" si="6"/>
        <v>1</v>
      </c>
    </row>
    <row r="16" spans="1:16" ht="15.75" x14ac:dyDescent="0.25">
      <c r="A16" s="56">
        <v>2002</v>
      </c>
      <c r="C16" s="65">
        <v>12</v>
      </c>
      <c r="D16" s="65">
        <f t="shared" si="0"/>
        <v>12</v>
      </c>
      <c r="E16" s="6">
        <f t="shared" si="4"/>
        <v>12</v>
      </c>
      <c r="F16" s="30">
        <f t="shared" ref="F16:O16" si="8">+E16</f>
        <v>12</v>
      </c>
      <c r="G16" s="30">
        <f t="shared" si="8"/>
        <v>12</v>
      </c>
      <c r="H16" s="39">
        <f t="shared" si="8"/>
        <v>12</v>
      </c>
      <c r="I16" s="30">
        <f t="shared" si="8"/>
        <v>12</v>
      </c>
      <c r="J16" s="30">
        <f t="shared" si="8"/>
        <v>12</v>
      </c>
      <c r="K16" s="30">
        <f t="shared" si="8"/>
        <v>12</v>
      </c>
      <c r="L16" s="39">
        <f t="shared" si="8"/>
        <v>12</v>
      </c>
      <c r="M16" s="30">
        <f t="shared" si="8"/>
        <v>12</v>
      </c>
      <c r="N16" s="30">
        <f t="shared" si="8"/>
        <v>12</v>
      </c>
      <c r="O16" s="30">
        <f t="shared" si="8"/>
        <v>12</v>
      </c>
      <c r="P16" s="14">
        <f t="shared" si="6"/>
        <v>12</v>
      </c>
    </row>
    <row r="17" spans="1:16" ht="15.75" x14ac:dyDescent="0.25">
      <c r="A17" s="56">
        <v>2003</v>
      </c>
      <c r="C17" s="65">
        <v>23</v>
      </c>
      <c r="D17" s="65">
        <f t="shared" si="0"/>
        <v>23</v>
      </c>
      <c r="E17" s="6">
        <f t="shared" si="4"/>
        <v>23</v>
      </c>
      <c r="F17" s="30">
        <f t="shared" ref="F17:O17" si="9">+E17</f>
        <v>23</v>
      </c>
      <c r="G17" s="30">
        <f t="shared" si="9"/>
        <v>23</v>
      </c>
      <c r="H17" s="39">
        <f t="shared" si="9"/>
        <v>23</v>
      </c>
      <c r="I17" s="30">
        <f t="shared" si="9"/>
        <v>23</v>
      </c>
      <c r="J17" s="30">
        <f t="shared" si="9"/>
        <v>23</v>
      </c>
      <c r="K17" s="30">
        <f t="shared" si="9"/>
        <v>23</v>
      </c>
      <c r="L17" s="39">
        <f t="shared" si="9"/>
        <v>23</v>
      </c>
      <c r="M17" s="30">
        <f t="shared" si="9"/>
        <v>23</v>
      </c>
      <c r="N17" s="30">
        <f t="shared" si="9"/>
        <v>23</v>
      </c>
      <c r="O17" s="30">
        <f t="shared" si="9"/>
        <v>23</v>
      </c>
      <c r="P17" s="14">
        <f t="shared" si="6"/>
        <v>23</v>
      </c>
    </row>
    <row r="18" spans="1:16" ht="15.75" x14ac:dyDescent="0.25">
      <c r="A18" s="56">
        <v>2004</v>
      </c>
      <c r="C18" s="65">
        <v>4</v>
      </c>
      <c r="D18" s="65">
        <f t="shared" ref="D18:D25" si="10">+P18</f>
        <v>4</v>
      </c>
      <c r="E18" s="6">
        <f t="shared" si="4"/>
        <v>4</v>
      </c>
      <c r="F18" s="30">
        <f t="shared" ref="F18:F24" si="11">+E18</f>
        <v>4</v>
      </c>
      <c r="G18" s="30">
        <f t="shared" ref="G18:O18" si="12">+F18</f>
        <v>4</v>
      </c>
      <c r="H18" s="30">
        <f t="shared" si="12"/>
        <v>4</v>
      </c>
      <c r="I18" s="30">
        <f t="shared" si="12"/>
        <v>4</v>
      </c>
      <c r="J18" s="30">
        <f t="shared" si="12"/>
        <v>4</v>
      </c>
      <c r="K18" s="30">
        <f t="shared" si="12"/>
        <v>4</v>
      </c>
      <c r="L18" s="30">
        <f t="shared" si="12"/>
        <v>4</v>
      </c>
      <c r="M18" s="30">
        <f t="shared" si="12"/>
        <v>4</v>
      </c>
      <c r="N18" s="30">
        <f t="shared" si="12"/>
        <v>4</v>
      </c>
      <c r="O18" s="30">
        <f t="shared" si="12"/>
        <v>4</v>
      </c>
      <c r="P18" s="14">
        <f t="shared" si="6"/>
        <v>4</v>
      </c>
    </row>
    <row r="19" spans="1:16" ht="15.75" x14ac:dyDescent="0.25">
      <c r="A19" s="56">
        <v>2005</v>
      </c>
      <c r="C19" s="65">
        <v>15</v>
      </c>
      <c r="D19" s="65">
        <f t="shared" si="10"/>
        <v>15</v>
      </c>
      <c r="E19" s="6">
        <f t="shared" ref="E19:E24" si="13">+C19</f>
        <v>15</v>
      </c>
      <c r="F19" s="30">
        <f t="shared" si="11"/>
        <v>15</v>
      </c>
      <c r="G19" s="30">
        <f t="shared" ref="G19:P19" si="14">+F19</f>
        <v>15</v>
      </c>
      <c r="H19" s="30">
        <f t="shared" si="14"/>
        <v>15</v>
      </c>
      <c r="I19" s="30">
        <f t="shared" si="14"/>
        <v>15</v>
      </c>
      <c r="J19" s="30">
        <f t="shared" si="14"/>
        <v>15</v>
      </c>
      <c r="K19" s="30">
        <f t="shared" si="14"/>
        <v>15</v>
      </c>
      <c r="L19" s="30">
        <f t="shared" si="14"/>
        <v>15</v>
      </c>
      <c r="M19" s="30">
        <f t="shared" si="14"/>
        <v>15</v>
      </c>
      <c r="N19" s="30">
        <f t="shared" si="14"/>
        <v>15</v>
      </c>
      <c r="O19" s="30">
        <f t="shared" si="14"/>
        <v>15</v>
      </c>
      <c r="P19" s="251">
        <f t="shared" si="14"/>
        <v>15</v>
      </c>
    </row>
    <row r="20" spans="1:16" ht="15.75" x14ac:dyDescent="0.25">
      <c r="A20" s="56">
        <v>2006</v>
      </c>
      <c r="C20" s="65">
        <v>13</v>
      </c>
      <c r="D20" s="65">
        <f t="shared" si="10"/>
        <v>13</v>
      </c>
      <c r="E20" s="6">
        <f t="shared" si="13"/>
        <v>13</v>
      </c>
      <c r="F20" s="30">
        <f t="shared" si="11"/>
        <v>13</v>
      </c>
      <c r="G20" s="30">
        <f t="shared" ref="G20:P20" si="15">+F20</f>
        <v>13</v>
      </c>
      <c r="H20" s="30">
        <f t="shared" si="15"/>
        <v>13</v>
      </c>
      <c r="I20" s="30">
        <f t="shared" si="15"/>
        <v>13</v>
      </c>
      <c r="J20" s="30">
        <f t="shared" si="15"/>
        <v>13</v>
      </c>
      <c r="K20" s="30">
        <f t="shared" si="15"/>
        <v>13</v>
      </c>
      <c r="L20" s="30">
        <f t="shared" si="15"/>
        <v>13</v>
      </c>
      <c r="M20" s="30">
        <f t="shared" si="15"/>
        <v>13</v>
      </c>
      <c r="N20" s="30">
        <f t="shared" si="15"/>
        <v>13</v>
      </c>
      <c r="O20" s="30">
        <f t="shared" si="15"/>
        <v>13</v>
      </c>
      <c r="P20" s="275">
        <f t="shared" si="15"/>
        <v>13</v>
      </c>
    </row>
    <row r="21" spans="1:16" ht="15.75" x14ac:dyDescent="0.25">
      <c r="A21" s="56">
        <v>2007</v>
      </c>
      <c r="C21" s="65">
        <v>20</v>
      </c>
      <c r="D21" s="65">
        <f t="shared" si="10"/>
        <v>20</v>
      </c>
      <c r="E21" s="6">
        <f t="shared" si="13"/>
        <v>20</v>
      </c>
      <c r="F21" s="30">
        <f t="shared" si="11"/>
        <v>20</v>
      </c>
      <c r="G21" s="30">
        <f t="shared" ref="G21:P23" si="16">+F21</f>
        <v>20</v>
      </c>
      <c r="H21" s="30">
        <f t="shared" si="16"/>
        <v>20</v>
      </c>
      <c r="I21" s="30">
        <f t="shared" si="16"/>
        <v>20</v>
      </c>
      <c r="J21" s="30">
        <f t="shared" si="16"/>
        <v>20</v>
      </c>
      <c r="K21" s="30">
        <f t="shared" si="16"/>
        <v>20</v>
      </c>
      <c r="L21" s="30">
        <f t="shared" si="16"/>
        <v>20</v>
      </c>
      <c r="M21" s="30">
        <f t="shared" si="16"/>
        <v>20</v>
      </c>
      <c r="N21" s="30">
        <f t="shared" si="16"/>
        <v>20</v>
      </c>
      <c r="O21" s="30">
        <f t="shared" si="16"/>
        <v>20</v>
      </c>
      <c r="P21" s="251">
        <f t="shared" si="16"/>
        <v>20</v>
      </c>
    </row>
    <row r="22" spans="1:16" ht="15.75" x14ac:dyDescent="0.25">
      <c r="A22" s="56">
        <v>2008</v>
      </c>
      <c r="C22" s="65">
        <v>10</v>
      </c>
      <c r="D22" s="65">
        <f t="shared" si="10"/>
        <v>10</v>
      </c>
      <c r="E22" s="6">
        <f t="shared" si="13"/>
        <v>10</v>
      </c>
      <c r="F22" s="30">
        <f t="shared" si="11"/>
        <v>10</v>
      </c>
      <c r="G22" s="30">
        <f t="shared" si="16"/>
        <v>10</v>
      </c>
      <c r="H22" s="30">
        <f t="shared" si="16"/>
        <v>10</v>
      </c>
      <c r="I22" s="30">
        <f t="shared" si="16"/>
        <v>10</v>
      </c>
      <c r="J22" s="30">
        <f t="shared" ref="J22:P23" si="17">+I22</f>
        <v>10</v>
      </c>
      <c r="K22" s="30">
        <f t="shared" si="17"/>
        <v>10</v>
      </c>
      <c r="L22" s="30">
        <f t="shared" si="17"/>
        <v>10</v>
      </c>
      <c r="M22" s="30">
        <f t="shared" si="17"/>
        <v>10</v>
      </c>
      <c r="N22" s="30">
        <f t="shared" si="17"/>
        <v>10</v>
      </c>
      <c r="O22" s="30">
        <f t="shared" si="17"/>
        <v>10</v>
      </c>
      <c r="P22" s="251">
        <f t="shared" si="17"/>
        <v>10</v>
      </c>
    </row>
    <row r="23" spans="1:16" ht="15.75" x14ac:dyDescent="0.25">
      <c r="A23" s="56">
        <v>2010</v>
      </c>
      <c r="C23" s="65">
        <v>10</v>
      </c>
      <c r="D23" s="65">
        <f t="shared" si="10"/>
        <v>10</v>
      </c>
      <c r="E23" s="6">
        <f t="shared" si="13"/>
        <v>10</v>
      </c>
      <c r="F23" s="30">
        <f t="shared" si="11"/>
        <v>10</v>
      </c>
      <c r="G23" s="30">
        <f t="shared" si="16"/>
        <v>10</v>
      </c>
      <c r="H23" s="30">
        <f t="shared" si="16"/>
        <v>10</v>
      </c>
      <c r="I23" s="30">
        <f t="shared" si="16"/>
        <v>10</v>
      </c>
      <c r="J23" s="30">
        <f t="shared" si="17"/>
        <v>10</v>
      </c>
      <c r="K23" s="30">
        <f t="shared" si="17"/>
        <v>10</v>
      </c>
      <c r="L23" s="30">
        <f t="shared" si="17"/>
        <v>10</v>
      </c>
      <c r="M23" s="30">
        <f t="shared" si="17"/>
        <v>10</v>
      </c>
      <c r="N23" s="30">
        <f t="shared" si="17"/>
        <v>10</v>
      </c>
      <c r="O23" s="30">
        <f t="shared" si="17"/>
        <v>10</v>
      </c>
      <c r="P23" s="251">
        <f>+O23</f>
        <v>10</v>
      </c>
    </row>
    <row r="24" spans="1:16" ht="15.75" x14ac:dyDescent="0.25">
      <c r="A24" s="56">
        <v>2011</v>
      </c>
      <c r="C24" s="65">
        <v>10</v>
      </c>
      <c r="D24" s="65">
        <f t="shared" si="10"/>
        <v>16</v>
      </c>
      <c r="E24" s="6">
        <f t="shared" si="13"/>
        <v>10</v>
      </c>
      <c r="F24" s="30">
        <f t="shared" si="11"/>
        <v>10</v>
      </c>
      <c r="G24" s="30">
        <f>+F24</f>
        <v>10</v>
      </c>
      <c r="H24" s="30">
        <f>+G24+2</f>
        <v>12</v>
      </c>
      <c r="I24" s="30">
        <f>+H24+2</f>
        <v>14</v>
      </c>
      <c r="J24" s="30">
        <f>+I24+2</f>
        <v>16</v>
      </c>
      <c r="K24" s="30">
        <f>+J24</f>
        <v>16</v>
      </c>
      <c r="L24" s="30">
        <f>+K24</f>
        <v>16</v>
      </c>
      <c r="M24" s="30">
        <f>+L24</f>
        <v>16</v>
      </c>
      <c r="N24" s="30">
        <f>+M24</f>
        <v>16</v>
      </c>
      <c r="O24" s="30">
        <f>+N24</f>
        <v>16</v>
      </c>
      <c r="P24" s="251">
        <f>+O24</f>
        <v>16</v>
      </c>
    </row>
    <row r="25" spans="1:16" ht="15.75" x14ac:dyDescent="0.25">
      <c r="A25" s="56">
        <v>2012</v>
      </c>
      <c r="C25" s="65"/>
      <c r="D25" s="65">
        <f t="shared" si="10"/>
        <v>10</v>
      </c>
      <c r="E25" s="6"/>
      <c r="F25" s="30"/>
      <c r="G25" s="30"/>
      <c r="H25" s="30"/>
      <c r="I25" s="30"/>
      <c r="J25" s="30"/>
      <c r="K25" s="30">
        <v>2</v>
      </c>
      <c r="L25" s="30">
        <f>K25+2</f>
        <v>4</v>
      </c>
      <c r="M25" s="30">
        <f>L25+2</f>
        <v>6</v>
      </c>
      <c r="N25" s="30">
        <f>M25+2</f>
        <v>8</v>
      </c>
      <c r="O25" s="30">
        <f>N25+2</f>
        <v>10</v>
      </c>
      <c r="P25" s="251">
        <f>+O25</f>
        <v>10</v>
      </c>
    </row>
    <row r="26" spans="1:16" ht="16.5" thickBot="1" x14ac:dyDescent="0.3">
      <c r="A26" s="54" t="s">
        <v>132</v>
      </c>
      <c r="C26" s="98">
        <f>SUM(C11:C25)</f>
        <v>187</v>
      </c>
      <c r="D26" s="98">
        <f>SUM(D11:D25)</f>
        <v>193</v>
      </c>
      <c r="E26" s="66">
        <f>SUM(E11:E25)</f>
        <v>187</v>
      </c>
      <c r="F26" s="688">
        <f>SUM(F11:F25)</f>
        <v>187</v>
      </c>
      <c r="G26" s="688">
        <f t="shared" ref="G26:O26" si="18">SUM(G11:G25)</f>
        <v>187</v>
      </c>
      <c r="H26" s="688">
        <f t="shared" si="18"/>
        <v>189</v>
      </c>
      <c r="I26" s="688">
        <f t="shared" si="18"/>
        <v>191</v>
      </c>
      <c r="J26" s="688">
        <f t="shared" si="18"/>
        <v>193</v>
      </c>
      <c r="K26" s="688">
        <f t="shared" si="18"/>
        <v>193</v>
      </c>
      <c r="L26" s="688">
        <f t="shared" si="18"/>
        <v>193</v>
      </c>
      <c r="M26" s="688">
        <f t="shared" si="18"/>
        <v>193</v>
      </c>
      <c r="N26" s="688">
        <f t="shared" si="18"/>
        <v>193</v>
      </c>
      <c r="O26" s="688">
        <f t="shared" si="18"/>
        <v>193</v>
      </c>
      <c r="P26" s="66">
        <f>SUM(P11:P25)</f>
        <v>193</v>
      </c>
    </row>
    <row r="27" spans="1:16" ht="13.5" thickTop="1" x14ac:dyDescent="0.2"/>
    <row r="28" spans="1:16" x14ac:dyDescent="0.2">
      <c r="A28" s="44" t="s">
        <v>133</v>
      </c>
      <c r="C28" s="217">
        <f>+antiguedad2011!G23</f>
        <v>7.3262032085561497</v>
      </c>
      <c r="D28" s="217">
        <f>+antiguedad2011!Q23</f>
        <v>7.2901554404145079</v>
      </c>
      <c r="E28" s="32" t="s">
        <v>28</v>
      </c>
      <c r="F28" s="32" t="s">
        <v>28</v>
      </c>
      <c r="G28" s="219">
        <f>+antig.trim!F24</f>
        <v>8.3262032085561497</v>
      </c>
      <c r="H28" s="32" t="s">
        <v>28</v>
      </c>
      <c r="I28" s="32" t="s">
        <v>28</v>
      </c>
      <c r="J28" s="219">
        <f>+antig.trim!F48</f>
        <v>8.0673575129533681</v>
      </c>
      <c r="K28" s="32" t="s">
        <v>28</v>
      </c>
      <c r="L28" s="32" t="s">
        <v>28</v>
      </c>
      <c r="M28" s="219">
        <f>+antig.trim!F71</f>
        <v>7.6010362694300522</v>
      </c>
      <c r="N28" s="32" t="s">
        <v>28</v>
      </c>
      <c r="O28" s="32" t="s">
        <v>28</v>
      </c>
      <c r="P28" s="219">
        <f>+antig.trim!F94</f>
        <v>7.2901554404145079</v>
      </c>
    </row>
    <row r="31" spans="1:16" ht="13.5" thickBot="1" x14ac:dyDescent="0.25"/>
    <row r="32" spans="1:16" ht="20.25" thickTop="1" x14ac:dyDescent="0.35">
      <c r="A32" s="55" t="s">
        <v>134</v>
      </c>
      <c r="B32" s="57" t="s">
        <v>52</v>
      </c>
      <c r="C32" s="58" t="s">
        <v>52</v>
      </c>
      <c r="D32" s="58" t="s">
        <v>52</v>
      </c>
      <c r="E32" s="58" t="s">
        <v>52</v>
      </c>
      <c r="F32" s="58" t="s">
        <v>52</v>
      </c>
      <c r="G32" s="58" t="s">
        <v>52</v>
      </c>
      <c r="H32" s="28" t="s">
        <v>135</v>
      </c>
      <c r="I32" s="59" t="s">
        <v>443</v>
      </c>
    </row>
    <row r="33" spans="1:9" x14ac:dyDescent="0.2">
      <c r="B33" s="60" t="s">
        <v>136</v>
      </c>
      <c r="C33" s="29" t="s">
        <v>137</v>
      </c>
      <c r="D33" s="29" t="s">
        <v>138</v>
      </c>
      <c r="E33" s="29" t="s">
        <v>139</v>
      </c>
      <c r="F33" s="29" t="s">
        <v>140</v>
      </c>
      <c r="G33" s="29" t="s">
        <v>141</v>
      </c>
      <c r="H33" s="29" t="s">
        <v>447</v>
      </c>
      <c r="I33" s="15">
        <v>2010</v>
      </c>
    </row>
    <row r="34" spans="1:9" x14ac:dyDescent="0.2">
      <c r="B34" s="6"/>
      <c r="C34" s="30"/>
      <c r="D34" s="30"/>
      <c r="E34" s="30"/>
      <c r="F34" s="30"/>
      <c r="G34" s="30"/>
      <c r="H34" s="30"/>
      <c r="I34" s="14"/>
    </row>
    <row r="35" spans="1:9" ht="15.75" x14ac:dyDescent="0.25">
      <c r="A35" s="56" t="s">
        <v>262</v>
      </c>
      <c r="B35" s="6">
        <v>106</v>
      </c>
      <c r="C35" s="39">
        <v>69</v>
      </c>
      <c r="D35" s="39">
        <v>48</v>
      </c>
      <c r="E35" s="39">
        <v>4</v>
      </c>
      <c r="F35" s="39">
        <v>1</v>
      </c>
      <c r="G35" s="39">
        <v>47</v>
      </c>
      <c r="H35" s="30">
        <f>SUM(B35:G35)</f>
        <v>275</v>
      </c>
      <c r="I35" s="14">
        <v>275</v>
      </c>
    </row>
    <row r="36" spans="1:9" ht="15.75" x14ac:dyDescent="0.25">
      <c r="A36" s="56">
        <v>1995</v>
      </c>
      <c r="B36" s="6">
        <v>1</v>
      </c>
      <c r="C36" s="39"/>
      <c r="D36" s="39">
        <v>1</v>
      </c>
      <c r="E36" s="39"/>
      <c r="F36" s="39"/>
      <c r="G36" s="39"/>
      <c r="H36" s="30">
        <f>SUM(B36:G36)</f>
        <v>2</v>
      </c>
      <c r="I36" s="14">
        <v>2</v>
      </c>
    </row>
    <row r="37" spans="1:9" ht="15.75" x14ac:dyDescent="0.25">
      <c r="A37" s="56">
        <v>1996</v>
      </c>
      <c r="B37" s="6"/>
      <c r="C37" s="39">
        <v>2</v>
      </c>
      <c r="D37" s="39"/>
      <c r="E37" s="39"/>
      <c r="F37" s="39"/>
      <c r="G37" s="39"/>
      <c r="H37" s="30">
        <f>SUM(B37:G37)</f>
        <v>2</v>
      </c>
      <c r="I37" s="14">
        <v>2</v>
      </c>
    </row>
    <row r="38" spans="1:9" ht="15.75" x14ac:dyDescent="0.25">
      <c r="A38" s="56">
        <v>1997</v>
      </c>
      <c r="B38" s="6">
        <v>37</v>
      </c>
      <c r="C38" s="39">
        <v>8</v>
      </c>
      <c r="D38" s="39">
        <v>5</v>
      </c>
      <c r="E38" s="39"/>
      <c r="F38" s="39"/>
      <c r="G38" s="39"/>
      <c r="H38" s="30">
        <f t="shared" ref="H38:H47" si="19">SUM(B38:G38)</f>
        <v>50</v>
      </c>
      <c r="I38" s="14">
        <v>50</v>
      </c>
    </row>
    <row r="39" spans="1:9" ht="15.75" x14ac:dyDescent="0.25">
      <c r="A39" s="56">
        <v>1999</v>
      </c>
      <c r="B39" s="6"/>
      <c r="C39" s="39"/>
      <c r="D39" s="39">
        <v>7</v>
      </c>
      <c r="E39" s="39"/>
      <c r="F39" s="39"/>
      <c r="G39" s="39"/>
      <c r="H39" s="30">
        <f t="shared" si="19"/>
        <v>7</v>
      </c>
      <c r="I39" s="14">
        <v>7</v>
      </c>
    </row>
    <row r="40" spans="1:9" ht="15.75" x14ac:dyDescent="0.25">
      <c r="A40" s="56">
        <v>2000</v>
      </c>
      <c r="B40" s="6"/>
      <c r="C40" s="39"/>
      <c r="D40" s="39"/>
      <c r="E40" s="39"/>
      <c r="F40" s="39"/>
      <c r="G40" s="30">
        <v>5</v>
      </c>
      <c r="H40" s="30">
        <f t="shared" si="19"/>
        <v>5</v>
      </c>
      <c r="I40" s="14">
        <v>5</v>
      </c>
    </row>
    <row r="41" spans="1:9" ht="15.75" x14ac:dyDescent="0.25">
      <c r="A41" s="56">
        <v>2001</v>
      </c>
      <c r="B41" s="6"/>
      <c r="C41" s="39">
        <v>39</v>
      </c>
      <c r="D41" s="39">
        <v>18</v>
      </c>
      <c r="E41" s="39"/>
      <c r="F41" s="39"/>
      <c r="G41" s="39"/>
      <c r="H41" s="30">
        <f t="shared" si="19"/>
        <v>57</v>
      </c>
      <c r="I41" s="14">
        <v>57</v>
      </c>
    </row>
    <row r="42" spans="1:9" ht="15.75" x14ac:dyDescent="0.25">
      <c r="A42" s="56">
        <v>2003</v>
      </c>
      <c r="B42" s="6">
        <v>55</v>
      </c>
      <c r="C42" s="39"/>
      <c r="D42" s="39">
        <v>20</v>
      </c>
      <c r="E42" s="39"/>
      <c r="F42" s="39"/>
      <c r="G42" s="39"/>
      <c r="H42" s="30">
        <f t="shared" si="19"/>
        <v>75</v>
      </c>
      <c r="I42" s="14">
        <v>75</v>
      </c>
    </row>
    <row r="43" spans="1:9" ht="15.75" x14ac:dyDescent="0.25">
      <c r="A43" s="56">
        <v>2004</v>
      </c>
      <c r="B43" s="6"/>
      <c r="C43" s="39"/>
      <c r="D43" s="39">
        <v>8</v>
      </c>
      <c r="E43" s="39"/>
      <c r="F43" s="39"/>
      <c r="G43" s="30"/>
      <c r="H43" s="30">
        <f t="shared" si="19"/>
        <v>8</v>
      </c>
      <c r="I43" s="14">
        <v>8</v>
      </c>
    </row>
    <row r="44" spans="1:9" ht="15.75" x14ac:dyDescent="0.25">
      <c r="A44" s="56">
        <v>2005</v>
      </c>
      <c r="B44" s="6">
        <v>6</v>
      </c>
      <c r="C44" s="39"/>
      <c r="D44" s="39">
        <v>3</v>
      </c>
      <c r="E44" s="39"/>
      <c r="F44" s="39"/>
      <c r="G44" s="30"/>
      <c r="H44" s="30">
        <f t="shared" si="19"/>
        <v>9</v>
      </c>
      <c r="I44" s="14">
        <v>9</v>
      </c>
    </row>
    <row r="45" spans="1:9" ht="15.75" x14ac:dyDescent="0.25">
      <c r="A45" s="56">
        <v>2006</v>
      </c>
      <c r="B45" s="6">
        <v>28</v>
      </c>
      <c r="C45" s="39"/>
      <c r="D45" s="39">
        <v>14</v>
      </c>
      <c r="E45" s="39"/>
      <c r="F45" s="39"/>
      <c r="G45" s="30"/>
      <c r="H45" s="30">
        <f t="shared" si="19"/>
        <v>42</v>
      </c>
      <c r="I45" s="14">
        <v>42</v>
      </c>
    </row>
    <row r="46" spans="1:9" ht="15.75" x14ac:dyDescent="0.25">
      <c r="A46" s="56">
        <v>2007</v>
      </c>
      <c r="B46" s="6">
        <v>26</v>
      </c>
      <c r="C46" s="39"/>
      <c r="D46" s="39">
        <v>12</v>
      </c>
      <c r="E46" s="39"/>
      <c r="F46" s="39"/>
      <c r="G46" s="30"/>
      <c r="H46" s="30">
        <f t="shared" si="19"/>
        <v>38</v>
      </c>
      <c r="I46" s="14">
        <v>38</v>
      </c>
    </row>
    <row r="47" spans="1:9" ht="15.75" x14ac:dyDescent="0.25">
      <c r="A47" s="56">
        <v>2008</v>
      </c>
      <c r="B47" s="6">
        <v>28</v>
      </c>
      <c r="C47" s="39"/>
      <c r="D47" s="39">
        <v>14</v>
      </c>
      <c r="E47" s="39"/>
      <c r="F47" s="39"/>
      <c r="G47" s="30"/>
      <c r="H47" s="30">
        <f t="shared" si="19"/>
        <v>42</v>
      </c>
      <c r="I47" s="14">
        <v>42</v>
      </c>
    </row>
    <row r="48" spans="1:9" ht="16.5" thickBot="1" x14ac:dyDescent="0.3">
      <c r="A48" s="61" t="s">
        <v>142</v>
      </c>
      <c r="B48" s="66">
        <f t="shared" ref="B48:I48" si="20">SUM(B35:B47)</f>
        <v>287</v>
      </c>
      <c r="C48" s="99">
        <f t="shared" si="20"/>
        <v>118</v>
      </c>
      <c r="D48" s="99">
        <f t="shared" si="20"/>
        <v>150</v>
      </c>
      <c r="E48" s="99">
        <f t="shared" si="20"/>
        <v>4</v>
      </c>
      <c r="F48" s="99">
        <f t="shared" si="20"/>
        <v>1</v>
      </c>
      <c r="G48" s="99">
        <f t="shared" si="20"/>
        <v>52</v>
      </c>
      <c r="H48" s="99">
        <f t="shared" si="20"/>
        <v>612</v>
      </c>
      <c r="I48" s="247">
        <f t="shared" si="20"/>
        <v>612</v>
      </c>
    </row>
    <row r="49" spans="1:9" ht="16.5" thickTop="1" x14ac:dyDescent="0.25">
      <c r="A49" s="56"/>
      <c r="B49" s="53"/>
      <c r="C49" s="53"/>
      <c r="D49" s="53"/>
      <c r="E49" s="53"/>
      <c r="F49" s="53" t="s">
        <v>28</v>
      </c>
      <c r="G49" s="53"/>
      <c r="H49" s="53"/>
      <c r="I49" s="53" t="s">
        <v>28</v>
      </c>
    </row>
    <row r="50" spans="1:9" x14ac:dyDescent="0.2">
      <c r="A50" s="250" t="s">
        <v>133</v>
      </c>
      <c r="B50" s="217">
        <f>+antiguedad2011!Q83</f>
        <v>13.860627177700348</v>
      </c>
      <c r="C50" s="217">
        <f>+antiguedad2011!Q47</f>
        <v>18.440677966101696</v>
      </c>
      <c r="D50" s="217">
        <f>+antiguedad2011!Q124</f>
        <v>12.26</v>
      </c>
      <c r="E50" s="217">
        <f>+antiguedad2011!Q57</f>
        <v>29.25</v>
      </c>
      <c r="F50" s="217">
        <f>+antiguedad2011!Q26</f>
        <v>29</v>
      </c>
      <c r="G50" s="217">
        <f>+antiguedad2011!Q99</f>
        <v>25.365384615384617</v>
      </c>
      <c r="H50" s="51"/>
    </row>
    <row r="51" spans="1:9" ht="15.75" x14ac:dyDescent="0.25">
      <c r="A51" s="62" t="s">
        <v>28</v>
      </c>
    </row>
    <row r="52" spans="1:9" ht="15.75" x14ac:dyDescent="0.25">
      <c r="A52" s="34"/>
    </row>
    <row r="53" spans="1:9" ht="15.75" x14ac:dyDescent="0.25">
      <c r="A53" s="93" t="s">
        <v>28</v>
      </c>
    </row>
    <row r="54" spans="1:9" ht="15.75" x14ac:dyDescent="0.25">
      <c r="A54" s="34" t="s">
        <v>28</v>
      </c>
    </row>
  </sheetData>
  <phoneticPr fontId="0" type="noConversion"/>
  <printOptions horizontalCentered="1" verticalCentered="1"/>
  <pageMargins left="0.19685039370078741" right="0.19685039370078741" top="0.39370078740157483" bottom="0.39370078740157483" header="0.19685039370078741" footer="0.19685039370078741"/>
  <pageSetup scale="65" firstPageNumber="13" orientation="landscape" horizontalDpi="300" verticalDpi="300" r:id="rId1"/>
  <headerFooter alignWithMargins="0">
    <oddFooter>Página &amp;P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J65"/>
  <sheetViews>
    <sheetView topLeftCell="A16" zoomScale="70" workbookViewId="0">
      <selection activeCell="A62" sqref="A62"/>
    </sheetView>
  </sheetViews>
  <sheetFormatPr baseColWidth="10" defaultRowHeight="12.75" x14ac:dyDescent="0.2"/>
  <cols>
    <col min="1" max="1" width="26.7109375" customWidth="1"/>
    <col min="2" max="3" width="12.7109375" customWidth="1"/>
    <col min="4" max="4" width="13.7109375" customWidth="1"/>
    <col min="5" max="7" width="12.7109375" customWidth="1"/>
    <col min="9" max="9" width="12.7109375" customWidth="1"/>
  </cols>
  <sheetData>
    <row r="1" spans="1:10" ht="15.75" x14ac:dyDescent="0.25">
      <c r="A1" s="278" t="s">
        <v>130</v>
      </c>
      <c r="B1" s="107"/>
      <c r="C1" s="107"/>
      <c r="D1" s="107"/>
      <c r="E1" s="107"/>
      <c r="F1" s="107"/>
      <c r="G1" s="107"/>
      <c r="H1" s="107"/>
      <c r="I1" s="107"/>
      <c r="J1" s="107"/>
    </row>
    <row r="2" spans="1:10" ht="15" x14ac:dyDescent="0.2">
      <c r="A2" s="107"/>
      <c r="B2" s="107"/>
      <c r="C2" s="107"/>
      <c r="D2" s="107"/>
      <c r="E2" s="107"/>
      <c r="F2" s="107"/>
      <c r="G2" s="107"/>
      <c r="H2" s="107"/>
      <c r="I2" s="107"/>
      <c r="J2" s="107"/>
    </row>
    <row r="3" spans="1:10" ht="15.75" x14ac:dyDescent="0.25">
      <c r="A3" s="278" t="s">
        <v>460</v>
      </c>
      <c r="B3" s="107"/>
      <c r="C3" s="107"/>
      <c r="D3" s="107"/>
      <c r="E3" s="107"/>
      <c r="F3" s="107"/>
      <c r="G3" s="107"/>
      <c r="H3" s="107"/>
      <c r="I3" s="107"/>
      <c r="J3" s="107"/>
    </row>
    <row r="4" spans="1:10" ht="15.75" x14ac:dyDescent="0.25">
      <c r="A4" s="278"/>
      <c r="B4" s="107"/>
      <c r="C4" s="107"/>
      <c r="D4" s="107"/>
      <c r="E4" s="107"/>
      <c r="F4" s="107"/>
      <c r="G4" s="107"/>
      <c r="H4" s="107"/>
      <c r="I4" s="107"/>
      <c r="J4" s="107"/>
    </row>
    <row r="5" spans="1:10" ht="15.75" thickBot="1" x14ac:dyDescent="0.25">
      <c r="A5" s="107"/>
      <c r="B5" s="107"/>
      <c r="C5" s="107"/>
      <c r="D5" s="107"/>
      <c r="E5" s="107"/>
      <c r="F5" s="107"/>
      <c r="G5" s="107"/>
      <c r="H5" s="107"/>
      <c r="I5" s="107"/>
      <c r="J5" s="107"/>
    </row>
    <row r="6" spans="1:10" ht="15.75" thickTop="1" x14ac:dyDescent="0.2">
      <c r="A6" s="107"/>
      <c r="B6" s="107"/>
      <c r="C6" s="366" t="s">
        <v>443</v>
      </c>
      <c r="D6" s="366" t="s">
        <v>52</v>
      </c>
      <c r="E6" s="107"/>
      <c r="F6" s="107"/>
      <c r="G6" s="107"/>
      <c r="H6" s="107"/>
      <c r="I6" s="107"/>
      <c r="J6" s="107"/>
    </row>
    <row r="7" spans="1:10" ht="15" x14ac:dyDescent="0.2">
      <c r="A7" s="107"/>
      <c r="B7" s="107"/>
      <c r="C7" s="367">
        <v>2010</v>
      </c>
      <c r="D7" s="367">
        <v>2011</v>
      </c>
      <c r="E7" s="107"/>
      <c r="F7" s="107"/>
      <c r="G7" s="107"/>
      <c r="H7" s="107"/>
      <c r="I7" s="107"/>
      <c r="J7" s="107"/>
    </row>
    <row r="8" spans="1:10" ht="15" x14ac:dyDescent="0.2">
      <c r="A8" s="107"/>
      <c r="B8" s="107"/>
      <c r="C8" s="368"/>
      <c r="D8" s="368"/>
      <c r="E8" s="107"/>
      <c r="F8" s="107"/>
      <c r="G8" s="107"/>
      <c r="H8" s="107"/>
      <c r="I8" s="107"/>
      <c r="J8" s="107"/>
    </row>
    <row r="9" spans="1:10" ht="15.75" x14ac:dyDescent="0.25">
      <c r="A9" s="369" t="s">
        <v>131</v>
      </c>
      <c r="B9" s="107"/>
      <c r="C9" s="368"/>
      <c r="D9" s="368"/>
      <c r="E9" s="107"/>
      <c r="F9" s="107"/>
      <c r="G9" s="107"/>
      <c r="H9" s="107"/>
      <c r="I9" s="107"/>
      <c r="J9" s="107"/>
    </row>
    <row r="10" spans="1:10" ht="15" x14ac:dyDescent="0.2">
      <c r="A10" s="107"/>
      <c r="B10" s="107"/>
      <c r="C10" s="368"/>
      <c r="D10" s="368"/>
      <c r="E10" s="107"/>
      <c r="F10" s="107"/>
      <c r="G10" s="107"/>
      <c r="H10" s="107"/>
      <c r="I10" s="107"/>
      <c r="J10" s="107"/>
    </row>
    <row r="11" spans="1:10" ht="15" x14ac:dyDescent="0.2">
      <c r="A11" s="365">
        <v>1996</v>
      </c>
      <c r="B11" s="107"/>
      <c r="C11" s="368">
        <f>+'activo-detalle'!C11</f>
        <v>10</v>
      </c>
      <c r="D11" s="368">
        <f>+'activo-detalle'!D11</f>
        <v>0</v>
      </c>
      <c r="E11" s="107"/>
      <c r="F11" s="107"/>
      <c r="G11" s="107"/>
      <c r="H11" s="107"/>
      <c r="I11" s="107"/>
      <c r="J11" s="107"/>
    </row>
    <row r="12" spans="1:10" ht="15" x14ac:dyDescent="0.2">
      <c r="A12" s="365">
        <v>1997</v>
      </c>
      <c r="B12" s="107"/>
      <c r="C12" s="368">
        <f>+'activo-detalle'!C12</f>
        <v>44</v>
      </c>
      <c r="D12" s="368">
        <f>+'activo-detalle'!D12</f>
        <v>44</v>
      </c>
      <c r="E12" s="107"/>
      <c r="F12" s="107"/>
      <c r="G12" s="107"/>
      <c r="H12" s="107"/>
      <c r="I12" s="107"/>
      <c r="J12" s="107"/>
    </row>
    <row r="13" spans="1:10" ht="15" x14ac:dyDescent="0.2">
      <c r="A13" s="365">
        <v>1998</v>
      </c>
      <c r="B13" s="107"/>
      <c r="C13" s="368">
        <f>+'activo-detalle'!C13</f>
        <v>5</v>
      </c>
      <c r="D13" s="368">
        <f>+'activo-detalle'!D13</f>
        <v>5</v>
      </c>
      <c r="E13" s="107"/>
      <c r="F13" s="107"/>
      <c r="G13" s="107"/>
      <c r="H13" s="107"/>
      <c r="I13" s="107"/>
      <c r="J13" s="107"/>
    </row>
    <row r="14" spans="1:10" ht="15" x14ac:dyDescent="0.2">
      <c r="A14" s="365">
        <v>1999</v>
      </c>
      <c r="B14" s="107"/>
      <c r="C14" s="368">
        <f>+'activo-detalle'!C14</f>
        <v>10</v>
      </c>
      <c r="D14" s="368">
        <f>+'activo-detalle'!D14</f>
        <v>10</v>
      </c>
      <c r="E14" s="107"/>
      <c r="F14" s="107"/>
      <c r="G14" s="107"/>
      <c r="H14" s="107"/>
      <c r="I14" s="107"/>
      <c r="J14" s="107"/>
    </row>
    <row r="15" spans="1:10" ht="15" x14ac:dyDescent="0.2">
      <c r="A15" s="365">
        <v>2000</v>
      </c>
      <c r="B15" s="107"/>
      <c r="C15" s="368">
        <f>+'activo-detalle'!C15</f>
        <v>1</v>
      </c>
      <c r="D15" s="368">
        <f>+'activo-detalle'!D15</f>
        <v>1</v>
      </c>
      <c r="E15" s="107"/>
      <c r="F15" s="107"/>
      <c r="G15" s="107"/>
      <c r="H15" s="107"/>
      <c r="I15" s="107"/>
      <c r="J15" s="107"/>
    </row>
    <row r="16" spans="1:10" ht="15" x14ac:dyDescent="0.2">
      <c r="A16" s="365">
        <v>2002</v>
      </c>
      <c r="B16" s="107"/>
      <c r="C16" s="368">
        <f>+'activo-detalle'!C16</f>
        <v>12</v>
      </c>
      <c r="D16" s="368">
        <f>+'activo-detalle'!D16</f>
        <v>12</v>
      </c>
      <c r="E16" s="107"/>
      <c r="F16" s="107"/>
      <c r="G16" s="107"/>
      <c r="H16" s="107"/>
      <c r="I16" s="107"/>
      <c r="J16" s="107"/>
    </row>
    <row r="17" spans="1:10" ht="15" x14ac:dyDescent="0.2">
      <c r="A17" s="365">
        <v>2003</v>
      </c>
      <c r="B17" s="107"/>
      <c r="C17" s="368">
        <f>+'activo-detalle'!C17</f>
        <v>23</v>
      </c>
      <c r="D17" s="368">
        <f>+'activo-detalle'!D17</f>
        <v>23</v>
      </c>
      <c r="E17" s="107"/>
      <c r="F17" s="107"/>
      <c r="G17" s="107"/>
      <c r="H17" s="107"/>
      <c r="I17" s="107"/>
      <c r="J17" s="107"/>
    </row>
    <row r="18" spans="1:10" ht="15" x14ac:dyDescent="0.2">
      <c r="A18" s="365">
        <v>2004</v>
      </c>
      <c r="B18" s="107"/>
      <c r="C18" s="368">
        <f>+'activo-detalle'!C18</f>
        <v>4</v>
      </c>
      <c r="D18" s="368">
        <f>+'activo-detalle'!D18</f>
        <v>4</v>
      </c>
      <c r="E18" s="107"/>
      <c r="F18" s="107"/>
      <c r="G18" s="107"/>
      <c r="H18" s="107"/>
      <c r="I18" s="107"/>
      <c r="J18" s="107"/>
    </row>
    <row r="19" spans="1:10" ht="15" x14ac:dyDescent="0.2">
      <c r="A19" s="365">
        <v>2005</v>
      </c>
      <c r="B19" s="107"/>
      <c r="C19" s="368">
        <f>+'activo-detalle'!C19</f>
        <v>15</v>
      </c>
      <c r="D19" s="368">
        <f>+'activo-detalle'!D19</f>
        <v>15</v>
      </c>
      <c r="E19" s="107"/>
      <c r="F19" s="107"/>
      <c r="G19" s="107"/>
      <c r="H19" s="107"/>
      <c r="I19" s="107"/>
      <c r="J19" s="107"/>
    </row>
    <row r="20" spans="1:10" ht="15" x14ac:dyDescent="0.2">
      <c r="A20" s="365">
        <v>2006</v>
      </c>
      <c r="B20" s="107"/>
      <c r="C20" s="368">
        <f>+'activo-detalle'!C20</f>
        <v>13</v>
      </c>
      <c r="D20" s="368">
        <f>+'activo-detalle'!D20</f>
        <v>13</v>
      </c>
      <c r="E20" s="107"/>
      <c r="F20" s="107"/>
      <c r="G20" s="107"/>
      <c r="H20" s="107"/>
      <c r="I20" s="107"/>
      <c r="J20" s="107"/>
    </row>
    <row r="21" spans="1:10" ht="15" x14ac:dyDescent="0.2">
      <c r="A21" s="365">
        <v>2007</v>
      </c>
      <c r="B21" s="107"/>
      <c r="C21" s="368">
        <f>+'activo-detalle'!C21</f>
        <v>20</v>
      </c>
      <c r="D21" s="368">
        <f>+'activo-detalle'!D21</f>
        <v>20</v>
      </c>
      <c r="E21" s="107"/>
      <c r="F21" s="107"/>
      <c r="G21" s="107"/>
      <c r="H21" s="107"/>
      <c r="I21" s="107"/>
      <c r="J21" s="107"/>
    </row>
    <row r="22" spans="1:10" ht="15" x14ac:dyDescent="0.2">
      <c r="A22" s="365">
        <v>2008</v>
      </c>
      <c r="B22" s="107"/>
      <c r="C22" s="368">
        <f>+'activo-detalle'!C22</f>
        <v>10</v>
      </c>
      <c r="D22" s="368">
        <f>+'activo-detalle'!D22</f>
        <v>10</v>
      </c>
      <c r="E22" s="107"/>
      <c r="F22" s="107"/>
      <c r="G22" s="107"/>
      <c r="H22" s="107"/>
      <c r="I22" s="107"/>
      <c r="J22" s="107"/>
    </row>
    <row r="23" spans="1:10" ht="15" x14ac:dyDescent="0.2">
      <c r="A23" s="365">
        <v>2010</v>
      </c>
      <c r="B23" s="107"/>
      <c r="C23" s="368">
        <f>+'activo-detalle'!C23</f>
        <v>10</v>
      </c>
      <c r="D23" s="368">
        <f>+'activo-detalle'!D23</f>
        <v>10</v>
      </c>
      <c r="E23" s="107"/>
      <c r="F23" s="107"/>
      <c r="G23" s="107"/>
      <c r="H23" s="107"/>
      <c r="I23" s="107"/>
      <c r="J23" s="107"/>
    </row>
    <row r="24" spans="1:10" ht="15" x14ac:dyDescent="0.2">
      <c r="A24" s="365">
        <v>2011</v>
      </c>
      <c r="B24" s="107"/>
      <c r="C24" s="368">
        <f>+'activo-detalle'!C24</f>
        <v>10</v>
      </c>
      <c r="D24" s="368">
        <f>+'activo-detalle'!D24</f>
        <v>16</v>
      </c>
      <c r="E24" s="107"/>
      <c r="F24" s="107"/>
      <c r="G24" s="107"/>
      <c r="H24" s="107"/>
      <c r="I24" s="107"/>
      <c r="J24" s="107"/>
    </row>
    <row r="25" spans="1:10" ht="15" x14ac:dyDescent="0.2">
      <c r="A25" s="365">
        <v>2012</v>
      </c>
      <c r="B25" s="107"/>
      <c r="C25" s="368">
        <f>+'activo-detalle'!C25</f>
        <v>0</v>
      </c>
      <c r="D25" s="368">
        <f>+'activo-detalle'!D25</f>
        <v>10</v>
      </c>
      <c r="E25" s="107"/>
      <c r="F25" s="107"/>
      <c r="G25" s="107"/>
      <c r="H25" s="107"/>
      <c r="I25" s="107"/>
      <c r="J25" s="107"/>
    </row>
    <row r="26" spans="1:10" ht="15" x14ac:dyDescent="0.2">
      <c r="A26" s="365" t="s">
        <v>28</v>
      </c>
      <c r="B26" s="107"/>
      <c r="C26" s="368" t="s">
        <v>28</v>
      </c>
      <c r="D26" s="368" t="s">
        <v>28</v>
      </c>
      <c r="E26" s="107"/>
      <c r="F26" s="107"/>
      <c r="G26" s="107"/>
      <c r="H26" s="107"/>
      <c r="I26" s="107"/>
      <c r="J26" s="107"/>
    </row>
    <row r="27" spans="1:10" ht="16.5" thickBot="1" x14ac:dyDescent="0.3">
      <c r="A27" s="278" t="s">
        <v>132</v>
      </c>
      <c r="B27" s="107"/>
      <c r="C27" s="370">
        <f>SUM(C11:C26)</f>
        <v>187</v>
      </c>
      <c r="D27" s="370">
        <f>SUM(D11:D26)</f>
        <v>193</v>
      </c>
      <c r="E27" s="107"/>
      <c r="F27" s="107"/>
      <c r="G27" s="107"/>
      <c r="H27" s="107"/>
      <c r="I27" s="107"/>
      <c r="J27" s="107"/>
    </row>
    <row r="28" spans="1:10" ht="15.75" thickTop="1" x14ac:dyDescent="0.2">
      <c r="A28" s="107"/>
      <c r="B28" s="107"/>
      <c r="C28" s="107"/>
      <c r="D28" s="107"/>
      <c r="E28" s="107" t="s">
        <v>28</v>
      </c>
      <c r="F28" s="107"/>
      <c r="G28" s="107"/>
      <c r="H28" s="107"/>
      <c r="I28" s="107"/>
      <c r="J28" s="107"/>
    </row>
    <row r="29" spans="1:10" ht="15.75" x14ac:dyDescent="0.25">
      <c r="A29" s="278" t="s">
        <v>133</v>
      </c>
      <c r="B29" s="107"/>
      <c r="C29" s="371">
        <f>+'activo-detalle'!C28</f>
        <v>7.3262032085561497</v>
      </c>
      <c r="D29" s="371">
        <f>+antiguedad2011!Q23</f>
        <v>7.2901554404145079</v>
      </c>
      <c r="E29" s="107"/>
      <c r="F29" s="107"/>
      <c r="G29" s="107"/>
      <c r="H29" s="107"/>
      <c r="I29" s="107"/>
      <c r="J29" s="107"/>
    </row>
    <row r="30" spans="1:10" ht="15" x14ac:dyDescent="0.2">
      <c r="A30" s="107"/>
      <c r="B30" s="107"/>
      <c r="C30" s="107"/>
      <c r="D30" s="107"/>
      <c r="E30" s="107"/>
      <c r="F30" s="107"/>
      <c r="G30" s="107"/>
      <c r="H30" s="107"/>
      <c r="I30" s="107"/>
      <c r="J30" s="107"/>
    </row>
    <row r="31" spans="1:10" ht="15" x14ac:dyDescent="0.2">
      <c r="A31" s="107"/>
      <c r="B31" s="107"/>
      <c r="C31" s="107"/>
      <c r="D31" s="107"/>
      <c r="E31" s="107"/>
      <c r="F31" s="107"/>
      <c r="G31" s="107"/>
      <c r="H31" s="107"/>
      <c r="I31" s="107"/>
      <c r="J31" s="107"/>
    </row>
    <row r="32" spans="1:10" ht="15.75" thickBot="1" x14ac:dyDescent="0.25">
      <c r="A32" s="107"/>
      <c r="B32" s="107"/>
      <c r="C32" s="107"/>
      <c r="D32" s="107"/>
      <c r="E32" s="107"/>
      <c r="F32" s="107"/>
      <c r="G32" s="107"/>
      <c r="H32" s="107"/>
      <c r="I32" s="107"/>
      <c r="J32" s="107"/>
    </row>
    <row r="33" spans="1:10" ht="16.5" thickTop="1" x14ac:dyDescent="0.25">
      <c r="A33" s="369" t="s">
        <v>134</v>
      </c>
      <c r="B33" s="282" t="s">
        <v>52</v>
      </c>
      <c r="C33" s="283" t="s">
        <v>52</v>
      </c>
      <c r="D33" s="283" t="s">
        <v>52</v>
      </c>
      <c r="E33" s="283" t="s">
        <v>52</v>
      </c>
      <c r="F33" s="283" t="s">
        <v>52</v>
      </c>
      <c r="G33" s="283" t="s">
        <v>52</v>
      </c>
      <c r="H33" s="301" t="s">
        <v>135</v>
      </c>
      <c r="I33" s="302" t="s">
        <v>443</v>
      </c>
      <c r="J33" s="107"/>
    </row>
    <row r="34" spans="1:10" ht="15" x14ac:dyDescent="0.2">
      <c r="A34" s="107"/>
      <c r="B34" s="293" t="s">
        <v>136</v>
      </c>
      <c r="C34" s="303" t="s">
        <v>137</v>
      </c>
      <c r="D34" s="303" t="s">
        <v>138</v>
      </c>
      <c r="E34" s="303" t="s">
        <v>139</v>
      </c>
      <c r="F34" s="303" t="s">
        <v>140</v>
      </c>
      <c r="G34" s="303" t="s">
        <v>141</v>
      </c>
      <c r="H34" s="303" t="s">
        <v>461</v>
      </c>
      <c r="I34" s="304">
        <v>2010</v>
      </c>
      <c r="J34" s="107"/>
    </row>
    <row r="35" spans="1:10" ht="15" x14ac:dyDescent="0.2">
      <c r="A35" s="107"/>
      <c r="B35" s="279"/>
      <c r="C35" s="280"/>
      <c r="D35" s="280"/>
      <c r="E35" s="280"/>
      <c r="F35" s="280"/>
      <c r="G35" s="280"/>
      <c r="H35" s="280"/>
      <c r="I35" s="281"/>
      <c r="J35" s="107"/>
    </row>
    <row r="36" spans="1:10" ht="15" x14ac:dyDescent="0.2">
      <c r="A36" s="365">
        <v>1994</v>
      </c>
      <c r="B36" s="279">
        <f>+'activo-detalle'!B35</f>
        <v>106</v>
      </c>
      <c r="C36" s="280">
        <f>+'activo-detalle'!C35</f>
        <v>69</v>
      </c>
      <c r="D36" s="280">
        <f>+'activo-detalle'!D35</f>
        <v>48</v>
      </c>
      <c r="E36" s="280">
        <f>+'activo-detalle'!E35</f>
        <v>4</v>
      </c>
      <c r="F36" s="280">
        <f>+'activo-detalle'!F35</f>
        <v>1</v>
      </c>
      <c r="G36" s="280">
        <f>+'activo-detalle'!G35</f>
        <v>47</v>
      </c>
      <c r="H36" s="280">
        <f t="shared" ref="H36:H44" si="0">SUM(B36:G36)</f>
        <v>275</v>
      </c>
      <c r="I36" s="372">
        <f>+'activo-detalle'!I35</f>
        <v>275</v>
      </c>
      <c r="J36" s="107"/>
    </row>
    <row r="37" spans="1:10" ht="15" x14ac:dyDescent="0.2">
      <c r="A37" s="365">
        <v>1995</v>
      </c>
      <c r="B37" s="279">
        <f>+'activo-detalle'!B36</f>
        <v>1</v>
      </c>
      <c r="C37" s="280">
        <f>+'activo-detalle'!C36</f>
        <v>0</v>
      </c>
      <c r="D37" s="280">
        <f>+'activo-detalle'!D36</f>
        <v>1</v>
      </c>
      <c r="E37" s="280">
        <f>+'activo-detalle'!E36</f>
        <v>0</v>
      </c>
      <c r="F37" s="280">
        <f>+'activo-detalle'!F36</f>
        <v>0</v>
      </c>
      <c r="G37" s="280">
        <f>+'activo-detalle'!G36</f>
        <v>0</v>
      </c>
      <c r="H37" s="280">
        <f t="shared" si="0"/>
        <v>2</v>
      </c>
      <c r="I37" s="372">
        <f>+'activo-detalle'!I36</f>
        <v>2</v>
      </c>
      <c r="J37" s="107"/>
    </row>
    <row r="38" spans="1:10" ht="15" x14ac:dyDescent="0.2">
      <c r="A38" s="365">
        <v>1996</v>
      </c>
      <c r="B38" s="279">
        <f>+'activo-detalle'!B37</f>
        <v>0</v>
      </c>
      <c r="C38" s="280">
        <f>+'activo-detalle'!C37</f>
        <v>2</v>
      </c>
      <c r="D38" s="280">
        <f>+'activo-detalle'!D37</f>
        <v>0</v>
      </c>
      <c r="E38" s="280">
        <f>+'activo-detalle'!E37</f>
        <v>0</v>
      </c>
      <c r="F38" s="280">
        <f>+'activo-detalle'!F37</f>
        <v>0</v>
      </c>
      <c r="G38" s="280">
        <f>+'activo-detalle'!G37</f>
        <v>0</v>
      </c>
      <c r="H38" s="280">
        <f t="shared" si="0"/>
        <v>2</v>
      </c>
      <c r="I38" s="372">
        <f>+'activo-detalle'!I37</f>
        <v>2</v>
      </c>
      <c r="J38" s="107"/>
    </row>
    <row r="39" spans="1:10" ht="15" x14ac:dyDescent="0.2">
      <c r="A39" s="365">
        <v>1997</v>
      </c>
      <c r="B39" s="279">
        <f>+'activo-detalle'!B38</f>
        <v>37</v>
      </c>
      <c r="C39" s="280">
        <f>+'activo-detalle'!C38</f>
        <v>8</v>
      </c>
      <c r="D39" s="280">
        <f>+'activo-detalle'!D38</f>
        <v>5</v>
      </c>
      <c r="E39" s="280">
        <f>+'activo-detalle'!E38</f>
        <v>0</v>
      </c>
      <c r="F39" s="280">
        <f>+'activo-detalle'!F38</f>
        <v>0</v>
      </c>
      <c r="G39" s="280">
        <f>+'activo-detalle'!G38</f>
        <v>0</v>
      </c>
      <c r="H39" s="280">
        <f t="shared" si="0"/>
        <v>50</v>
      </c>
      <c r="I39" s="372">
        <f>+'activo-detalle'!I38</f>
        <v>50</v>
      </c>
      <c r="J39" s="107"/>
    </row>
    <row r="40" spans="1:10" ht="15" x14ac:dyDescent="0.2">
      <c r="A40" s="365">
        <v>1999</v>
      </c>
      <c r="B40" s="279">
        <f>+'activo-detalle'!B39</f>
        <v>0</v>
      </c>
      <c r="C40" s="280">
        <f>+'activo-detalle'!C39</f>
        <v>0</v>
      </c>
      <c r="D40" s="280">
        <f>+'activo-detalle'!D39</f>
        <v>7</v>
      </c>
      <c r="E40" s="280">
        <f>+'activo-detalle'!E39</f>
        <v>0</v>
      </c>
      <c r="F40" s="280">
        <f>+'activo-detalle'!F39</f>
        <v>0</v>
      </c>
      <c r="G40" s="280">
        <f>+'activo-detalle'!G39</f>
        <v>0</v>
      </c>
      <c r="H40" s="280">
        <f t="shared" si="0"/>
        <v>7</v>
      </c>
      <c r="I40" s="372">
        <f>+'activo-detalle'!I39</f>
        <v>7</v>
      </c>
      <c r="J40" s="107"/>
    </row>
    <row r="41" spans="1:10" ht="15" x14ac:dyDescent="0.2">
      <c r="A41" s="365">
        <v>2000</v>
      </c>
      <c r="B41" s="279">
        <f>+'activo-detalle'!B40</f>
        <v>0</v>
      </c>
      <c r="C41" s="280">
        <f>+'activo-detalle'!C40</f>
        <v>0</v>
      </c>
      <c r="D41" s="280">
        <f>+'activo-detalle'!D40</f>
        <v>0</v>
      </c>
      <c r="E41" s="280">
        <f>+'activo-detalle'!E40</f>
        <v>0</v>
      </c>
      <c r="F41" s="280">
        <f>+'activo-detalle'!F40</f>
        <v>0</v>
      </c>
      <c r="G41" s="280">
        <f>+'activo-detalle'!G40</f>
        <v>5</v>
      </c>
      <c r="H41" s="280">
        <f t="shared" si="0"/>
        <v>5</v>
      </c>
      <c r="I41" s="372">
        <f>+'activo-detalle'!I40</f>
        <v>5</v>
      </c>
      <c r="J41" s="107"/>
    </row>
    <row r="42" spans="1:10" ht="15" x14ac:dyDescent="0.2">
      <c r="A42" s="365">
        <v>2001</v>
      </c>
      <c r="B42" s="279">
        <f>+'activo-detalle'!B41</f>
        <v>0</v>
      </c>
      <c r="C42" s="280">
        <f>+'activo-detalle'!C41</f>
        <v>39</v>
      </c>
      <c r="D42" s="280">
        <f>+'activo-detalle'!D41</f>
        <v>18</v>
      </c>
      <c r="E42" s="280">
        <f>+'activo-detalle'!E41</f>
        <v>0</v>
      </c>
      <c r="F42" s="280">
        <f>+'activo-detalle'!F41</f>
        <v>0</v>
      </c>
      <c r="G42" s="280">
        <f>+'activo-detalle'!G41</f>
        <v>0</v>
      </c>
      <c r="H42" s="280">
        <f t="shared" si="0"/>
        <v>57</v>
      </c>
      <c r="I42" s="372">
        <f>+'activo-detalle'!I41</f>
        <v>57</v>
      </c>
      <c r="J42" s="107"/>
    </row>
    <row r="43" spans="1:10" ht="15" x14ac:dyDescent="0.2">
      <c r="A43" s="365">
        <v>2003</v>
      </c>
      <c r="B43" s="279">
        <f>+'activo-detalle'!B42</f>
        <v>55</v>
      </c>
      <c r="C43" s="280">
        <f>+'activo-detalle'!C42</f>
        <v>0</v>
      </c>
      <c r="D43" s="280">
        <f>+'activo-detalle'!D42</f>
        <v>20</v>
      </c>
      <c r="E43" s="280">
        <f>+'activo-detalle'!E42</f>
        <v>0</v>
      </c>
      <c r="F43" s="280">
        <f>+'activo-detalle'!F42</f>
        <v>0</v>
      </c>
      <c r="G43" s="280">
        <f>+'activo-detalle'!G42</f>
        <v>0</v>
      </c>
      <c r="H43" s="280">
        <f t="shared" si="0"/>
        <v>75</v>
      </c>
      <c r="I43" s="372">
        <f>+'activo-detalle'!I42</f>
        <v>75</v>
      </c>
      <c r="J43" s="107"/>
    </row>
    <row r="44" spans="1:10" ht="15" x14ac:dyDescent="0.2">
      <c r="A44" s="365">
        <v>2004</v>
      </c>
      <c r="B44" s="279">
        <f>+'activo-detalle'!B43</f>
        <v>0</v>
      </c>
      <c r="C44" s="280">
        <f>+'activo-detalle'!C43</f>
        <v>0</v>
      </c>
      <c r="D44" s="280">
        <f>+'activo-detalle'!D43</f>
        <v>8</v>
      </c>
      <c r="E44" s="280">
        <f>+'activo-detalle'!E43</f>
        <v>0</v>
      </c>
      <c r="F44" s="280">
        <f>+'activo-detalle'!F43</f>
        <v>0</v>
      </c>
      <c r="G44" s="280">
        <f>+'activo-detalle'!G43</f>
        <v>0</v>
      </c>
      <c r="H44" s="280">
        <f t="shared" si="0"/>
        <v>8</v>
      </c>
      <c r="I44" s="372">
        <f>+'activo-detalle'!I43</f>
        <v>8</v>
      </c>
      <c r="J44" s="107"/>
    </row>
    <row r="45" spans="1:10" ht="15" x14ac:dyDescent="0.2">
      <c r="A45" s="365">
        <v>2005</v>
      </c>
      <c r="B45" s="279">
        <f>+'activo-detalle'!B44</f>
        <v>6</v>
      </c>
      <c r="C45" s="373">
        <f>+'activo-detalle'!C44</f>
        <v>0</v>
      </c>
      <c r="D45" s="373">
        <f>+'activo-detalle'!D44</f>
        <v>3</v>
      </c>
      <c r="E45" s="373">
        <f>+'activo-detalle'!E44</f>
        <v>0</v>
      </c>
      <c r="F45" s="373">
        <f>+'activo-detalle'!F44</f>
        <v>0</v>
      </c>
      <c r="G45" s="373">
        <f>+'activo-detalle'!G44</f>
        <v>0</v>
      </c>
      <c r="H45" s="280">
        <f>+'activo-detalle'!H44</f>
        <v>9</v>
      </c>
      <c r="I45" s="372">
        <f>+'activo-detalle'!I44</f>
        <v>9</v>
      </c>
      <c r="J45" s="107"/>
    </row>
    <row r="46" spans="1:10" ht="15" x14ac:dyDescent="0.2">
      <c r="A46" s="365">
        <v>2006</v>
      </c>
      <c r="B46" s="279">
        <f>+'activo-detalle'!B45</f>
        <v>28</v>
      </c>
      <c r="C46" s="373">
        <f>+'activo-detalle'!C45</f>
        <v>0</v>
      </c>
      <c r="D46" s="373">
        <f>+'activo-detalle'!D45</f>
        <v>14</v>
      </c>
      <c r="E46" s="373">
        <f>+'activo-detalle'!E45</f>
        <v>0</v>
      </c>
      <c r="F46" s="373">
        <f>+'activo-detalle'!F45</f>
        <v>0</v>
      </c>
      <c r="G46" s="373">
        <f>+'activo-detalle'!G45</f>
        <v>0</v>
      </c>
      <c r="H46" s="373">
        <f>+'activo-detalle'!H45</f>
        <v>42</v>
      </c>
      <c r="I46" s="372">
        <f>+'activo-detalle'!I45</f>
        <v>42</v>
      </c>
      <c r="J46" s="107"/>
    </row>
    <row r="47" spans="1:10" ht="15" x14ac:dyDescent="0.2">
      <c r="A47" s="365">
        <v>2007</v>
      </c>
      <c r="B47" s="279">
        <f>+'activo-detalle'!B46</f>
        <v>26</v>
      </c>
      <c r="C47" s="373">
        <f>+'activo-detalle'!C46</f>
        <v>0</v>
      </c>
      <c r="D47" s="373">
        <f>+'activo-detalle'!D46</f>
        <v>12</v>
      </c>
      <c r="E47" s="373">
        <f>+'activo-detalle'!E46</f>
        <v>0</v>
      </c>
      <c r="F47" s="373">
        <f>+'activo-detalle'!F46</f>
        <v>0</v>
      </c>
      <c r="G47" s="373">
        <f>+'activo-detalle'!G46</f>
        <v>0</v>
      </c>
      <c r="H47" s="373">
        <f>+'activo-detalle'!H46</f>
        <v>38</v>
      </c>
      <c r="I47" s="372">
        <f>+'activo-detalle'!I46</f>
        <v>38</v>
      </c>
      <c r="J47" s="107"/>
    </row>
    <row r="48" spans="1:10" ht="15" x14ac:dyDescent="0.2">
      <c r="A48" s="365">
        <v>2008</v>
      </c>
      <c r="B48" s="279">
        <f>+'activo-detalle'!B47</f>
        <v>28</v>
      </c>
      <c r="C48" s="373">
        <f>+'activo-detalle'!C47</f>
        <v>0</v>
      </c>
      <c r="D48" s="373">
        <f>+'activo-detalle'!D47</f>
        <v>14</v>
      </c>
      <c r="E48" s="373">
        <f>+'activo-detalle'!E47</f>
        <v>0</v>
      </c>
      <c r="F48" s="373">
        <f>+'activo-detalle'!F47</f>
        <v>0</v>
      </c>
      <c r="G48" s="373">
        <f>+'activo-detalle'!G47</f>
        <v>0</v>
      </c>
      <c r="H48" s="280">
        <f>+'activo-detalle'!H47</f>
        <v>42</v>
      </c>
      <c r="I48" s="372">
        <f>+'activo-detalle'!I47</f>
        <v>42</v>
      </c>
      <c r="J48" s="107"/>
    </row>
    <row r="49" spans="1:10" ht="15" x14ac:dyDescent="0.2">
      <c r="A49" s="365"/>
      <c r="B49" s="279"/>
      <c r="C49" s="280"/>
      <c r="D49" s="280"/>
      <c r="E49" s="280"/>
      <c r="F49" s="280"/>
      <c r="G49" s="280"/>
      <c r="H49" s="280"/>
      <c r="I49" s="281"/>
      <c r="J49" s="107"/>
    </row>
    <row r="50" spans="1:10" ht="16.5" thickBot="1" x14ac:dyDescent="0.3">
      <c r="A50" s="374" t="s">
        <v>142</v>
      </c>
      <c r="B50" s="287">
        <f>SUM(B36:B48)</f>
        <v>287</v>
      </c>
      <c r="C50" s="376">
        <f t="shared" ref="C50:H50" si="1">SUM(C36:C48)</f>
        <v>118</v>
      </c>
      <c r="D50" s="376">
        <f t="shared" si="1"/>
        <v>150</v>
      </c>
      <c r="E50" s="376">
        <f t="shared" si="1"/>
        <v>4</v>
      </c>
      <c r="F50" s="376">
        <f t="shared" si="1"/>
        <v>1</v>
      </c>
      <c r="G50" s="376">
        <f t="shared" si="1"/>
        <v>52</v>
      </c>
      <c r="H50" s="288">
        <f t="shared" si="1"/>
        <v>612</v>
      </c>
      <c r="I50" s="375">
        <f>SUM(I36:I48)</f>
        <v>612</v>
      </c>
      <c r="J50" s="107"/>
    </row>
    <row r="51" spans="1:10" ht="15.75" thickTop="1" x14ac:dyDescent="0.2">
      <c r="A51" s="365"/>
      <c r="B51" s="289"/>
      <c r="C51" s="289"/>
      <c r="D51" s="289"/>
      <c r="E51" s="289"/>
      <c r="F51" s="289" t="s">
        <v>28</v>
      </c>
      <c r="G51" s="289"/>
      <c r="H51" s="289"/>
      <c r="I51" s="289" t="s">
        <v>28</v>
      </c>
      <c r="J51" s="107"/>
    </row>
    <row r="52" spans="1:10" ht="15.75" x14ac:dyDescent="0.25">
      <c r="A52" s="278" t="s">
        <v>266</v>
      </c>
      <c r="B52" s="371">
        <f>+'activo-detalle'!B50</f>
        <v>13.860627177700348</v>
      </c>
      <c r="C52" s="371">
        <f>+'activo-detalle'!C50</f>
        <v>18.440677966101696</v>
      </c>
      <c r="D52" s="371">
        <f>+'activo-detalle'!D50</f>
        <v>12.26</v>
      </c>
      <c r="E52" s="371">
        <f>+'activo-detalle'!E50</f>
        <v>29.25</v>
      </c>
      <c r="F52" s="371">
        <f>+'activo-detalle'!F50</f>
        <v>29</v>
      </c>
      <c r="G52" s="371">
        <f>+'activo-detalle'!G50</f>
        <v>25.365384615384617</v>
      </c>
      <c r="H52" s="277"/>
      <c r="I52" s="107"/>
      <c r="J52" s="107"/>
    </row>
    <row r="53" spans="1:10" ht="15.75" x14ac:dyDescent="0.25">
      <c r="A53" s="278" t="s">
        <v>28</v>
      </c>
      <c r="B53" s="107"/>
      <c r="C53" s="107"/>
      <c r="D53" s="107"/>
      <c r="E53" s="107"/>
      <c r="F53" s="107"/>
      <c r="G53" s="107"/>
      <c r="H53" s="107"/>
      <c r="I53" s="107"/>
      <c r="J53" s="107"/>
    </row>
    <row r="54" spans="1:10" ht="15" x14ac:dyDescent="0.2">
      <c r="A54" s="107"/>
      <c r="B54" s="107"/>
      <c r="C54" s="107"/>
      <c r="D54" s="107"/>
      <c r="E54" s="107"/>
      <c r="F54" s="107"/>
      <c r="G54" s="107"/>
      <c r="H54" s="107"/>
      <c r="I54" s="107"/>
      <c r="J54" s="107"/>
    </row>
    <row r="55" spans="1:10" ht="15.75" x14ac:dyDescent="0.25">
      <c r="A55" s="278" t="s">
        <v>28</v>
      </c>
      <c r="B55" s="107"/>
      <c r="C55" s="107"/>
      <c r="D55" s="107"/>
      <c r="E55" s="107"/>
      <c r="F55" s="107"/>
      <c r="G55" s="107"/>
      <c r="H55" s="107"/>
      <c r="I55" s="107"/>
      <c r="J55" s="107"/>
    </row>
    <row r="56" spans="1:10" ht="15" x14ac:dyDescent="0.2">
      <c r="A56" s="107" t="s">
        <v>28</v>
      </c>
      <c r="B56" s="107"/>
      <c r="C56" s="107"/>
      <c r="D56" s="107"/>
      <c r="E56" s="107"/>
      <c r="F56" s="107"/>
      <c r="G56" s="107"/>
      <c r="H56" s="107"/>
      <c r="I56" s="107"/>
      <c r="J56" s="107"/>
    </row>
    <row r="57" spans="1:10" ht="15" x14ac:dyDescent="0.2">
      <c r="A57" s="107" t="s">
        <v>28</v>
      </c>
      <c r="B57" s="107"/>
      <c r="C57" s="107"/>
      <c r="D57" s="107"/>
      <c r="E57" s="107"/>
      <c r="F57" s="107"/>
      <c r="G57" s="107"/>
      <c r="H57" s="107"/>
      <c r="I57" s="107"/>
      <c r="J57" s="107"/>
    </row>
    <row r="58" spans="1:10" ht="15" x14ac:dyDescent="0.2">
      <c r="A58" s="107"/>
      <c r="B58" s="107"/>
      <c r="C58" s="107"/>
      <c r="D58" s="107"/>
      <c r="E58" s="107"/>
      <c r="F58" s="107"/>
      <c r="G58" s="107"/>
      <c r="H58" s="107"/>
      <c r="I58" s="107"/>
      <c r="J58" s="107"/>
    </row>
    <row r="59" spans="1:10" ht="15" x14ac:dyDescent="0.2">
      <c r="A59" s="107"/>
      <c r="B59" s="107"/>
      <c r="C59" s="107"/>
      <c r="D59" s="107"/>
      <c r="E59" s="107"/>
      <c r="F59" s="107"/>
      <c r="G59" s="107"/>
      <c r="H59" s="107"/>
      <c r="I59" s="107"/>
      <c r="J59" s="107"/>
    </row>
    <row r="60" spans="1:10" ht="15" x14ac:dyDescent="0.2">
      <c r="A60" s="107"/>
      <c r="B60" s="107"/>
      <c r="C60" s="107"/>
      <c r="D60" s="107"/>
      <c r="E60" s="107"/>
      <c r="F60" s="107"/>
      <c r="G60" s="107"/>
      <c r="H60" s="107"/>
      <c r="I60" s="107"/>
      <c r="J60" s="107"/>
    </row>
    <row r="61" spans="1:10" ht="15.75" x14ac:dyDescent="0.25">
      <c r="A61" s="1781" t="s">
        <v>475</v>
      </c>
      <c r="B61" s="1781"/>
      <c r="C61" s="1781"/>
      <c r="D61" s="1781"/>
      <c r="E61" s="1781"/>
      <c r="F61" s="1781"/>
      <c r="G61" s="1781"/>
      <c r="H61" s="1781"/>
      <c r="I61" s="1781"/>
      <c r="J61" s="107"/>
    </row>
    <row r="62" spans="1:10" ht="15" x14ac:dyDescent="0.2">
      <c r="A62" s="107"/>
      <c r="B62" s="107"/>
      <c r="C62" s="107"/>
      <c r="D62" s="107"/>
      <c r="E62" s="107"/>
      <c r="F62" s="107"/>
      <c r="G62" s="107"/>
      <c r="H62" s="107"/>
      <c r="I62" s="107"/>
      <c r="J62" s="107"/>
    </row>
    <row r="63" spans="1:10" ht="15" x14ac:dyDescent="0.2">
      <c r="A63" s="107"/>
      <c r="B63" s="107"/>
      <c r="C63" s="107"/>
      <c r="D63" s="107"/>
      <c r="E63" s="107"/>
      <c r="F63" s="107"/>
      <c r="G63" s="107"/>
      <c r="H63" s="107"/>
      <c r="I63" s="107"/>
      <c r="J63" s="107"/>
    </row>
    <row r="64" spans="1:10" ht="15" x14ac:dyDescent="0.2">
      <c r="A64" s="107"/>
      <c r="B64" s="107"/>
      <c r="C64" s="107"/>
      <c r="D64" s="107"/>
      <c r="E64" s="107"/>
      <c r="F64" s="107"/>
      <c r="G64" s="107"/>
      <c r="H64" s="107"/>
      <c r="I64" s="107"/>
      <c r="J64" s="107"/>
    </row>
    <row r="65" spans="1:10" ht="15" x14ac:dyDescent="0.2">
      <c r="A65" s="107"/>
      <c r="B65" s="107"/>
      <c r="C65" s="107"/>
      <c r="D65" s="107"/>
      <c r="E65" s="107"/>
      <c r="F65" s="107"/>
      <c r="G65" s="107"/>
      <c r="H65" s="107"/>
      <c r="I65" s="107"/>
      <c r="J65" s="107"/>
    </row>
  </sheetData>
  <mergeCells count="1">
    <mergeCell ref="A61:I61"/>
  </mergeCells>
  <phoneticPr fontId="0" type="noConversion"/>
  <printOptions horizontalCentered="1" verticalCentered="1"/>
  <pageMargins left="0.78740157480314965" right="0.75" top="0.59055118110236227" bottom="0.59055118110236227" header="0.39370078740157483" footer="0.39370078740157483"/>
  <pageSetup scale="75" firstPageNumber="12" orientation="portrait" useFirstPageNumber="1" horizontalDpi="300" verticalDpi="300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R133"/>
  <sheetViews>
    <sheetView topLeftCell="E1" zoomScale="75" workbookViewId="0">
      <selection activeCell="P37" sqref="P37"/>
    </sheetView>
  </sheetViews>
  <sheetFormatPr baseColWidth="10" defaultRowHeight="12.75" x14ac:dyDescent="0.2"/>
  <cols>
    <col min="2" max="2" width="15.85546875" customWidth="1"/>
    <col min="8" max="8" width="14.7109375" customWidth="1"/>
    <col min="12" max="12" width="14.7109375" customWidth="1"/>
    <col min="18" max="18" width="14.7109375" customWidth="1"/>
  </cols>
  <sheetData>
    <row r="1" spans="1:18" x14ac:dyDescent="0.2">
      <c r="A1" s="70" t="s">
        <v>0</v>
      </c>
      <c r="B1" s="71"/>
      <c r="C1" s="71"/>
      <c r="D1" s="71"/>
      <c r="E1" s="71"/>
      <c r="F1" s="71"/>
      <c r="G1" s="253" t="s">
        <v>28</v>
      </c>
      <c r="H1" s="71"/>
      <c r="K1" s="70" t="s">
        <v>0</v>
      </c>
      <c r="L1" s="71"/>
      <c r="M1" s="71"/>
      <c r="N1" s="71"/>
      <c r="O1" s="71"/>
      <c r="P1" s="71"/>
      <c r="Q1" s="253" t="s">
        <v>28</v>
      </c>
      <c r="R1" s="71" t="s">
        <v>28</v>
      </c>
    </row>
    <row r="2" spans="1:18" x14ac:dyDescent="0.2">
      <c r="A2" s="70" t="s">
        <v>150</v>
      </c>
      <c r="B2" s="71"/>
      <c r="C2" s="71"/>
      <c r="D2" s="71"/>
      <c r="E2" s="71"/>
      <c r="F2" s="1801" t="s">
        <v>28</v>
      </c>
      <c r="G2" s="1801"/>
      <c r="H2" s="1801"/>
      <c r="K2" s="70" t="s">
        <v>150</v>
      </c>
      <c r="L2" s="71"/>
      <c r="M2" s="71"/>
      <c r="N2" s="71"/>
      <c r="O2" s="71"/>
      <c r="P2" s="1801" t="s">
        <v>128</v>
      </c>
      <c r="Q2" s="1801"/>
      <c r="R2" s="1801"/>
    </row>
    <row r="3" spans="1:18" ht="13.5" thickBot="1" x14ac:dyDescent="0.25">
      <c r="A3" s="70" t="s">
        <v>441</v>
      </c>
      <c r="B3" s="71"/>
      <c r="C3" s="71"/>
      <c r="D3" s="71"/>
      <c r="E3" s="71"/>
      <c r="F3" s="71"/>
      <c r="G3" s="71"/>
      <c r="H3" s="71"/>
      <c r="K3" s="70" t="s">
        <v>462</v>
      </c>
      <c r="L3" s="71"/>
      <c r="M3" s="71"/>
      <c r="N3" s="71"/>
      <c r="O3" s="71"/>
      <c r="P3" s="71"/>
      <c r="Q3" s="71"/>
      <c r="R3" s="71"/>
    </row>
    <row r="4" spans="1:18" ht="13.5" thickTop="1" x14ac:dyDescent="0.2">
      <c r="A4" s="72"/>
      <c r="B4" s="72"/>
      <c r="C4" s="72"/>
      <c r="D4" s="72"/>
      <c r="E4" s="72"/>
      <c r="F4" s="72"/>
      <c r="G4" s="73" t="s">
        <v>151</v>
      </c>
      <c r="H4" s="72"/>
      <c r="K4" s="72"/>
      <c r="L4" s="72"/>
      <c r="M4" s="72"/>
      <c r="N4" s="72"/>
      <c r="O4" s="72"/>
      <c r="P4" s="72"/>
      <c r="Q4" s="73" t="s">
        <v>151</v>
      </c>
      <c r="R4" s="72"/>
    </row>
    <row r="5" spans="1:18" x14ac:dyDescent="0.2">
      <c r="A5" s="70"/>
      <c r="B5" s="71"/>
      <c r="C5" s="71"/>
      <c r="D5" s="71"/>
      <c r="E5" s="74" t="s">
        <v>152</v>
      </c>
      <c r="F5" s="74" t="s">
        <v>153</v>
      </c>
      <c r="G5" s="74" t="s">
        <v>154</v>
      </c>
      <c r="H5" s="74" t="s">
        <v>155</v>
      </c>
      <c r="K5" s="70"/>
      <c r="L5" s="71"/>
      <c r="M5" s="71"/>
      <c r="N5" s="71"/>
      <c r="O5" s="74" t="s">
        <v>152</v>
      </c>
      <c r="P5" s="74" t="s">
        <v>153</v>
      </c>
      <c r="Q5" s="74" t="s">
        <v>154</v>
      </c>
      <c r="R5" s="74" t="s">
        <v>155</v>
      </c>
    </row>
    <row r="6" spans="1:18" x14ac:dyDescent="0.2">
      <c r="B6" s="71"/>
      <c r="C6" s="71"/>
      <c r="D6" s="71"/>
      <c r="E6" s="74"/>
      <c r="F6" s="74"/>
      <c r="G6" s="74"/>
      <c r="H6" s="74"/>
      <c r="L6" s="71"/>
      <c r="M6" s="71"/>
      <c r="N6" s="71"/>
      <c r="O6" s="74"/>
      <c r="P6" s="74"/>
      <c r="Q6" s="74"/>
      <c r="R6" s="74"/>
    </row>
    <row r="7" spans="1:18" x14ac:dyDescent="0.2">
      <c r="A7" s="71"/>
      <c r="B7" s="75" t="s">
        <v>156</v>
      </c>
      <c r="C7" s="71"/>
      <c r="D7" s="71"/>
      <c r="E7" s="74"/>
      <c r="F7" s="74"/>
      <c r="G7" s="74"/>
      <c r="H7" s="74"/>
      <c r="K7" s="71"/>
      <c r="L7" s="75" t="s">
        <v>156</v>
      </c>
      <c r="M7" s="71"/>
      <c r="N7" s="71"/>
      <c r="O7" s="74"/>
      <c r="P7" s="74"/>
      <c r="Q7" s="74"/>
      <c r="R7" s="74"/>
    </row>
    <row r="8" spans="1:18" x14ac:dyDescent="0.2">
      <c r="A8" s="71"/>
      <c r="B8" s="71"/>
      <c r="K8" s="71"/>
      <c r="L8" s="71"/>
    </row>
    <row r="9" spans="1:18" x14ac:dyDescent="0.2">
      <c r="A9" s="71"/>
      <c r="B9" s="71"/>
      <c r="C9" s="71">
        <v>1996</v>
      </c>
      <c r="D9" s="71">
        <v>2010</v>
      </c>
      <c r="E9" s="76">
        <f t="shared" ref="E9:E20" si="0">D9-C9</f>
        <v>14</v>
      </c>
      <c r="F9" s="78">
        <v>10</v>
      </c>
      <c r="G9" s="71"/>
      <c r="H9" s="77">
        <f t="shared" ref="H9:H22" si="1">E9*F9</f>
        <v>140</v>
      </c>
      <c r="K9" s="71"/>
      <c r="L9" s="71"/>
      <c r="M9" s="71">
        <v>1996</v>
      </c>
      <c r="N9" s="71">
        <v>2011</v>
      </c>
      <c r="O9" s="76">
        <f t="shared" ref="O9:O19" si="2">N9-M9</f>
        <v>15</v>
      </c>
      <c r="P9" s="78">
        <v>0</v>
      </c>
      <c r="Q9" s="71"/>
      <c r="R9" s="77">
        <f t="shared" ref="R9:R19" si="3">O9*P9</f>
        <v>0</v>
      </c>
    </row>
    <row r="10" spans="1:18" x14ac:dyDescent="0.2">
      <c r="A10" s="71"/>
      <c r="B10" s="71"/>
      <c r="C10" s="71">
        <v>1997</v>
      </c>
      <c r="D10" s="71">
        <f t="shared" ref="D10:D20" si="4">+D9</f>
        <v>2010</v>
      </c>
      <c r="E10" s="76">
        <f t="shared" si="0"/>
        <v>13</v>
      </c>
      <c r="F10" s="78">
        <v>44</v>
      </c>
      <c r="G10" s="71"/>
      <c r="H10" s="77">
        <f t="shared" si="1"/>
        <v>572</v>
      </c>
      <c r="K10" s="71"/>
      <c r="L10" s="71"/>
      <c r="M10" s="71">
        <v>1997</v>
      </c>
      <c r="N10" s="71">
        <f t="shared" ref="N10:N19" si="5">+N9</f>
        <v>2011</v>
      </c>
      <c r="O10" s="76">
        <f t="shared" si="2"/>
        <v>14</v>
      </c>
      <c r="P10" s="78">
        <v>44</v>
      </c>
      <c r="Q10" s="71"/>
      <c r="R10" s="77">
        <f t="shared" si="3"/>
        <v>616</v>
      </c>
    </row>
    <row r="11" spans="1:18" x14ac:dyDescent="0.2">
      <c r="A11" s="71"/>
      <c r="B11" s="71"/>
      <c r="C11" s="71">
        <v>1998</v>
      </c>
      <c r="D11" s="71">
        <f t="shared" si="4"/>
        <v>2010</v>
      </c>
      <c r="E11" s="76">
        <f t="shared" si="0"/>
        <v>12</v>
      </c>
      <c r="F11" s="78">
        <v>5</v>
      </c>
      <c r="G11" s="71"/>
      <c r="H11" s="77">
        <f t="shared" si="1"/>
        <v>60</v>
      </c>
      <c r="K11" s="71"/>
      <c r="L11" s="71"/>
      <c r="M11" s="71">
        <v>1998</v>
      </c>
      <c r="N11" s="71">
        <f t="shared" si="5"/>
        <v>2011</v>
      </c>
      <c r="O11" s="76">
        <f t="shared" si="2"/>
        <v>13</v>
      </c>
      <c r="P11" s="78">
        <v>5</v>
      </c>
      <c r="Q11" s="71"/>
      <c r="R11" s="77">
        <f t="shared" si="3"/>
        <v>65</v>
      </c>
    </row>
    <row r="12" spans="1:18" x14ac:dyDescent="0.2">
      <c r="A12" s="71"/>
      <c r="B12" s="71"/>
      <c r="C12" s="71">
        <v>1999</v>
      </c>
      <c r="D12" s="71">
        <f t="shared" si="4"/>
        <v>2010</v>
      </c>
      <c r="E12" s="76">
        <f t="shared" si="0"/>
        <v>11</v>
      </c>
      <c r="F12" s="78">
        <v>10</v>
      </c>
      <c r="G12" s="71"/>
      <c r="H12" s="77">
        <f t="shared" si="1"/>
        <v>110</v>
      </c>
      <c r="K12" s="71"/>
      <c r="L12" s="71"/>
      <c r="M12" s="71">
        <v>1999</v>
      </c>
      <c r="N12" s="71">
        <f t="shared" si="5"/>
        <v>2011</v>
      </c>
      <c r="O12" s="76">
        <f t="shared" si="2"/>
        <v>12</v>
      </c>
      <c r="P12" s="78">
        <v>10</v>
      </c>
      <c r="Q12" s="71"/>
      <c r="R12" s="77">
        <f t="shared" si="3"/>
        <v>120</v>
      </c>
    </row>
    <row r="13" spans="1:18" x14ac:dyDescent="0.2">
      <c r="A13" s="71"/>
      <c r="B13" s="71"/>
      <c r="C13" s="71">
        <v>2000</v>
      </c>
      <c r="D13" s="71">
        <f t="shared" si="4"/>
        <v>2010</v>
      </c>
      <c r="E13" s="76">
        <f t="shared" si="0"/>
        <v>10</v>
      </c>
      <c r="F13" s="78">
        <v>1</v>
      </c>
      <c r="G13" s="71"/>
      <c r="H13" s="77">
        <f t="shared" si="1"/>
        <v>10</v>
      </c>
      <c r="K13" s="71"/>
      <c r="L13" s="71"/>
      <c r="M13" s="71">
        <v>2000</v>
      </c>
      <c r="N13" s="71">
        <f t="shared" si="5"/>
        <v>2011</v>
      </c>
      <c r="O13" s="76">
        <f t="shared" si="2"/>
        <v>11</v>
      </c>
      <c r="P13" s="78">
        <v>1</v>
      </c>
      <c r="Q13" s="71"/>
      <c r="R13" s="77">
        <f t="shared" si="3"/>
        <v>11</v>
      </c>
    </row>
    <row r="14" spans="1:18" x14ac:dyDescent="0.2">
      <c r="A14" s="71"/>
      <c r="B14" s="71"/>
      <c r="C14" s="71">
        <v>2002</v>
      </c>
      <c r="D14" s="71">
        <f t="shared" si="4"/>
        <v>2010</v>
      </c>
      <c r="E14" s="76">
        <f t="shared" si="0"/>
        <v>8</v>
      </c>
      <c r="F14" s="78">
        <v>12</v>
      </c>
      <c r="G14" s="71"/>
      <c r="H14" s="77">
        <f t="shared" si="1"/>
        <v>96</v>
      </c>
      <c r="K14" s="71"/>
      <c r="L14" s="71"/>
      <c r="M14" s="71">
        <v>2002</v>
      </c>
      <c r="N14" s="71">
        <f t="shared" si="5"/>
        <v>2011</v>
      </c>
      <c r="O14" s="76">
        <f t="shared" si="2"/>
        <v>9</v>
      </c>
      <c r="P14" s="78">
        <v>12</v>
      </c>
      <c r="Q14" s="71"/>
      <c r="R14" s="77">
        <f t="shared" si="3"/>
        <v>108</v>
      </c>
    </row>
    <row r="15" spans="1:18" x14ac:dyDescent="0.2">
      <c r="A15" s="71"/>
      <c r="B15" s="71"/>
      <c r="C15" s="71">
        <v>2003</v>
      </c>
      <c r="D15" s="71">
        <f t="shared" si="4"/>
        <v>2010</v>
      </c>
      <c r="E15" s="76">
        <f t="shared" si="0"/>
        <v>7</v>
      </c>
      <c r="F15" s="78">
        <v>23</v>
      </c>
      <c r="G15" s="71"/>
      <c r="H15" s="77">
        <f t="shared" si="1"/>
        <v>161</v>
      </c>
      <c r="K15" s="71"/>
      <c r="L15" s="71"/>
      <c r="M15" s="71">
        <v>2003</v>
      </c>
      <c r="N15" s="71">
        <f t="shared" si="5"/>
        <v>2011</v>
      </c>
      <c r="O15" s="76">
        <f t="shared" si="2"/>
        <v>8</v>
      </c>
      <c r="P15" s="78">
        <v>23</v>
      </c>
      <c r="Q15" s="71"/>
      <c r="R15" s="77">
        <f t="shared" si="3"/>
        <v>184</v>
      </c>
    </row>
    <row r="16" spans="1:18" x14ac:dyDescent="0.2">
      <c r="A16" s="71"/>
      <c r="B16" s="71"/>
      <c r="C16" s="71">
        <v>2004</v>
      </c>
      <c r="D16" s="71">
        <f t="shared" si="4"/>
        <v>2010</v>
      </c>
      <c r="E16" s="76">
        <f t="shared" si="0"/>
        <v>6</v>
      </c>
      <c r="F16" s="78">
        <v>4</v>
      </c>
      <c r="G16" s="71"/>
      <c r="H16" s="77">
        <f t="shared" si="1"/>
        <v>24</v>
      </c>
      <c r="K16" s="71"/>
      <c r="L16" s="71"/>
      <c r="M16" s="71">
        <v>2004</v>
      </c>
      <c r="N16" s="71">
        <f t="shared" si="5"/>
        <v>2011</v>
      </c>
      <c r="O16" s="76">
        <f t="shared" si="2"/>
        <v>7</v>
      </c>
      <c r="P16" s="78">
        <v>4</v>
      </c>
      <c r="Q16" s="71"/>
      <c r="R16" s="77">
        <f t="shared" si="3"/>
        <v>28</v>
      </c>
    </row>
    <row r="17" spans="1:18" x14ac:dyDescent="0.2">
      <c r="A17" s="71"/>
      <c r="B17" s="71"/>
      <c r="C17" s="71">
        <v>2005</v>
      </c>
      <c r="D17" s="71">
        <f t="shared" si="4"/>
        <v>2010</v>
      </c>
      <c r="E17" s="76">
        <f t="shared" si="0"/>
        <v>5</v>
      </c>
      <c r="F17" s="78">
        <v>15</v>
      </c>
      <c r="G17" s="71"/>
      <c r="H17" s="77">
        <f t="shared" si="1"/>
        <v>75</v>
      </c>
      <c r="K17" s="71"/>
      <c r="L17" s="71"/>
      <c r="M17" s="71">
        <v>2005</v>
      </c>
      <c r="N17" s="71">
        <f t="shared" si="5"/>
        <v>2011</v>
      </c>
      <c r="O17" s="76">
        <f t="shared" si="2"/>
        <v>6</v>
      </c>
      <c r="P17" s="78">
        <v>15</v>
      </c>
      <c r="Q17" s="71"/>
      <c r="R17" s="77">
        <f t="shared" si="3"/>
        <v>90</v>
      </c>
    </row>
    <row r="18" spans="1:18" x14ac:dyDescent="0.2">
      <c r="A18" s="71"/>
      <c r="B18" s="71"/>
      <c r="C18" s="71">
        <v>2006</v>
      </c>
      <c r="D18" s="71">
        <f t="shared" si="4"/>
        <v>2010</v>
      </c>
      <c r="E18" s="76">
        <f t="shared" si="0"/>
        <v>4</v>
      </c>
      <c r="F18" s="78">
        <v>13</v>
      </c>
      <c r="G18" s="71"/>
      <c r="H18" s="77">
        <f t="shared" si="1"/>
        <v>52</v>
      </c>
      <c r="K18" s="71"/>
      <c r="L18" s="71"/>
      <c r="M18" s="71">
        <v>2006</v>
      </c>
      <c r="N18" s="71">
        <f t="shared" si="5"/>
        <v>2011</v>
      </c>
      <c r="O18" s="76">
        <f t="shared" si="2"/>
        <v>5</v>
      </c>
      <c r="P18" s="78">
        <v>13</v>
      </c>
      <c r="Q18" s="71"/>
      <c r="R18" s="77">
        <f t="shared" si="3"/>
        <v>65</v>
      </c>
    </row>
    <row r="19" spans="1:18" x14ac:dyDescent="0.2">
      <c r="A19" s="71"/>
      <c r="B19" s="71"/>
      <c r="C19" s="71">
        <v>2007</v>
      </c>
      <c r="D19" s="71">
        <f t="shared" si="4"/>
        <v>2010</v>
      </c>
      <c r="E19" s="76">
        <f t="shared" si="0"/>
        <v>3</v>
      </c>
      <c r="F19" s="78">
        <v>20</v>
      </c>
      <c r="G19" s="71"/>
      <c r="H19" s="77">
        <f t="shared" si="1"/>
        <v>60</v>
      </c>
      <c r="K19" s="71"/>
      <c r="L19" s="71"/>
      <c r="M19" s="71">
        <v>2007</v>
      </c>
      <c r="N19" s="71">
        <f t="shared" si="5"/>
        <v>2011</v>
      </c>
      <c r="O19" s="76">
        <f t="shared" si="2"/>
        <v>4</v>
      </c>
      <c r="P19" s="78">
        <v>20</v>
      </c>
      <c r="Q19" s="71"/>
      <c r="R19" s="77">
        <f t="shared" si="3"/>
        <v>80</v>
      </c>
    </row>
    <row r="20" spans="1:18" x14ac:dyDescent="0.2">
      <c r="A20" s="71"/>
      <c r="B20" s="71"/>
      <c r="C20" s="71">
        <v>2008</v>
      </c>
      <c r="D20" s="71">
        <f t="shared" si="4"/>
        <v>2010</v>
      </c>
      <c r="E20" s="76">
        <f t="shared" si="0"/>
        <v>2</v>
      </c>
      <c r="F20" s="78">
        <v>10</v>
      </c>
      <c r="G20" s="71"/>
      <c r="H20" s="77">
        <f t="shared" si="1"/>
        <v>20</v>
      </c>
      <c r="K20" s="71"/>
      <c r="L20" s="71"/>
      <c r="M20" s="71">
        <v>2008</v>
      </c>
      <c r="N20" s="71">
        <f>+N19</f>
        <v>2011</v>
      </c>
      <c r="O20" s="76">
        <f>N20-M20</f>
        <v>3</v>
      </c>
      <c r="P20" s="78">
        <v>10</v>
      </c>
      <c r="Q20" s="71"/>
      <c r="R20" s="77">
        <f>O20*P20</f>
        <v>30</v>
      </c>
    </row>
    <row r="21" spans="1:18" x14ac:dyDescent="0.2">
      <c r="A21" s="71"/>
      <c r="B21" s="71"/>
      <c r="C21" s="71">
        <v>2010</v>
      </c>
      <c r="D21" s="71">
        <f>+D20</f>
        <v>2010</v>
      </c>
      <c r="E21" s="76">
        <f>D21-C21</f>
        <v>0</v>
      </c>
      <c r="F21" s="78">
        <v>10</v>
      </c>
      <c r="G21" s="71"/>
      <c r="H21" s="77">
        <f t="shared" si="1"/>
        <v>0</v>
      </c>
      <c r="K21" s="71"/>
      <c r="L21" s="71"/>
      <c r="M21" s="71">
        <v>2010</v>
      </c>
      <c r="N21" s="71">
        <f>+N20</f>
        <v>2011</v>
      </c>
      <c r="O21" s="76">
        <f>N21-M21</f>
        <v>1</v>
      </c>
      <c r="P21" s="78">
        <v>10</v>
      </c>
      <c r="Q21" s="71"/>
      <c r="R21" s="77">
        <f>O21*P21</f>
        <v>10</v>
      </c>
    </row>
    <row r="22" spans="1:18" x14ac:dyDescent="0.2">
      <c r="A22" s="71"/>
      <c r="B22" s="71"/>
      <c r="C22" s="71">
        <v>2011</v>
      </c>
      <c r="D22" s="71">
        <f>+D21</f>
        <v>2010</v>
      </c>
      <c r="E22" s="76">
        <f>D22-C22</f>
        <v>-1</v>
      </c>
      <c r="F22" s="78">
        <v>10</v>
      </c>
      <c r="G22" s="71"/>
      <c r="H22" s="77">
        <f t="shared" si="1"/>
        <v>-10</v>
      </c>
      <c r="K22" s="71"/>
      <c r="L22" s="71"/>
      <c r="M22" s="71">
        <v>2011</v>
      </c>
      <c r="N22" s="71">
        <f>+N21</f>
        <v>2011</v>
      </c>
      <c r="O22" s="76">
        <f>N22-M22</f>
        <v>0</v>
      </c>
      <c r="P22" s="78">
        <f>10+16</f>
        <v>26</v>
      </c>
      <c r="Q22" s="71"/>
      <c r="R22" s="77">
        <f>O22*P22</f>
        <v>0</v>
      </c>
    </row>
    <row r="23" spans="1:18" ht="18" x14ac:dyDescent="0.25">
      <c r="A23" s="71"/>
      <c r="B23" s="71"/>
      <c r="C23" s="71"/>
      <c r="D23" s="71"/>
      <c r="E23" s="71"/>
      <c r="F23" s="79">
        <f>SUM(F9:F22)</f>
        <v>187</v>
      </c>
      <c r="G23" s="80">
        <f>+H23/F23</f>
        <v>7.3262032085561497</v>
      </c>
      <c r="H23" s="81">
        <f>SUM(H9:H22)</f>
        <v>1370</v>
      </c>
      <c r="K23" s="71"/>
      <c r="L23" s="71"/>
      <c r="M23" s="71"/>
      <c r="N23" s="71"/>
      <c r="O23" s="71"/>
      <c r="P23" s="79">
        <f>SUM(P9:P22)</f>
        <v>193</v>
      </c>
      <c r="Q23" s="80">
        <f>+R23/P23</f>
        <v>7.2901554404145079</v>
      </c>
      <c r="R23" s="81">
        <f>SUM(R9:R22)</f>
        <v>1407</v>
      </c>
    </row>
    <row r="24" spans="1:18" x14ac:dyDescent="0.2">
      <c r="A24" s="71"/>
      <c r="B24" s="75" t="s">
        <v>157</v>
      </c>
      <c r="C24" s="71"/>
      <c r="D24" s="71"/>
      <c r="E24" s="71"/>
      <c r="F24" s="71"/>
      <c r="G24" s="71"/>
      <c r="H24" s="71"/>
      <c r="K24" s="71"/>
      <c r="L24" s="75" t="s">
        <v>157</v>
      </c>
      <c r="M24" s="71"/>
      <c r="N24" s="71"/>
      <c r="O24" s="71"/>
      <c r="P24" s="71"/>
      <c r="Q24" s="71"/>
      <c r="R24" s="71"/>
    </row>
    <row r="25" spans="1:18" x14ac:dyDescent="0.2">
      <c r="A25" s="71"/>
      <c r="B25" s="71"/>
      <c r="C25" s="71">
        <v>1982</v>
      </c>
      <c r="D25" s="71">
        <f>+D17</f>
        <v>2010</v>
      </c>
      <c r="E25" s="76">
        <f>D25-C25</f>
        <v>28</v>
      </c>
      <c r="F25" s="71">
        <v>1</v>
      </c>
      <c r="G25" s="71"/>
      <c r="H25" s="77">
        <f>E25*F25</f>
        <v>28</v>
      </c>
      <c r="K25" s="71"/>
      <c r="L25" s="71"/>
      <c r="M25" s="71">
        <v>1982</v>
      </c>
      <c r="N25" s="71">
        <f>+N17</f>
        <v>2011</v>
      </c>
      <c r="O25" s="76">
        <f>N25-M25</f>
        <v>29</v>
      </c>
      <c r="P25" s="71">
        <v>1</v>
      </c>
      <c r="Q25" s="71"/>
      <c r="R25" s="77">
        <f>O25*P25</f>
        <v>29</v>
      </c>
    </row>
    <row r="26" spans="1:18" ht="18" x14ac:dyDescent="0.25">
      <c r="A26" s="71"/>
      <c r="B26" s="71"/>
      <c r="C26" s="71"/>
      <c r="D26" s="71"/>
      <c r="E26" s="71"/>
      <c r="F26" s="82">
        <f>SUM(F25)</f>
        <v>1</v>
      </c>
      <c r="G26" s="80">
        <f>+H26/F26</f>
        <v>28</v>
      </c>
      <c r="H26" s="84">
        <f>SUM(H25)</f>
        <v>28</v>
      </c>
      <c r="K26" s="71"/>
      <c r="L26" s="71"/>
      <c r="M26" s="71"/>
      <c r="N26" s="71"/>
      <c r="O26" s="71"/>
      <c r="P26" s="82">
        <f>SUM(P25)</f>
        <v>1</v>
      </c>
      <c r="Q26" s="80">
        <f>+R26/P26</f>
        <v>29</v>
      </c>
      <c r="R26" s="84">
        <f>SUM(R25)</f>
        <v>29</v>
      </c>
    </row>
    <row r="27" spans="1:18" ht="18" x14ac:dyDescent="0.25">
      <c r="A27" s="71"/>
      <c r="B27" s="71"/>
      <c r="C27" s="71"/>
      <c r="D27" s="71"/>
      <c r="E27" s="71"/>
      <c r="F27" s="85"/>
      <c r="G27" s="83"/>
      <c r="H27" s="86"/>
      <c r="K27" s="71"/>
      <c r="L27" s="71"/>
      <c r="M27" s="71"/>
      <c r="N27" s="71"/>
      <c r="O27" s="71"/>
      <c r="P27" s="85"/>
      <c r="Q27" s="83"/>
      <c r="R27" s="86"/>
    </row>
    <row r="28" spans="1:18" x14ac:dyDescent="0.2">
      <c r="A28" s="71"/>
      <c r="B28" s="75" t="s">
        <v>158</v>
      </c>
      <c r="C28" s="71">
        <v>1971</v>
      </c>
      <c r="D28" s="71">
        <f>+D25</f>
        <v>2010</v>
      </c>
      <c r="E28" s="76">
        <f t="shared" ref="E28:E45" si="6">D28-C28</f>
        <v>39</v>
      </c>
      <c r="F28" s="71">
        <v>1</v>
      </c>
      <c r="G28" s="71"/>
      <c r="H28" s="77">
        <f t="shared" ref="H28:H45" si="7">E28*F28</f>
        <v>39</v>
      </c>
      <c r="K28" s="71"/>
      <c r="L28" s="75" t="s">
        <v>158</v>
      </c>
      <c r="M28" s="71">
        <v>1971</v>
      </c>
      <c r="N28" s="71">
        <f>+N25</f>
        <v>2011</v>
      </c>
      <c r="O28" s="76">
        <f t="shared" ref="O28:O45" si="8">N28-M28</f>
        <v>40</v>
      </c>
      <c r="P28" s="71">
        <v>1</v>
      </c>
      <c r="Q28" s="71"/>
      <c r="R28" s="77">
        <f t="shared" ref="R28:R45" si="9">O28*P28</f>
        <v>40</v>
      </c>
    </row>
    <row r="29" spans="1:18" x14ac:dyDescent="0.2">
      <c r="A29" s="71"/>
      <c r="B29" s="71"/>
      <c r="C29" s="71">
        <v>1976</v>
      </c>
      <c r="D29" s="71">
        <f>+D28</f>
        <v>2010</v>
      </c>
      <c r="E29" s="76">
        <f t="shared" si="6"/>
        <v>34</v>
      </c>
      <c r="F29" s="71">
        <v>1</v>
      </c>
      <c r="G29" s="71"/>
      <c r="H29" s="77">
        <f t="shared" si="7"/>
        <v>34</v>
      </c>
      <c r="K29" s="71"/>
      <c r="L29" s="71"/>
      <c r="M29" s="71">
        <v>1976</v>
      </c>
      <c r="N29" s="71">
        <f>+N28</f>
        <v>2011</v>
      </c>
      <c r="O29" s="76">
        <f t="shared" si="8"/>
        <v>35</v>
      </c>
      <c r="P29" s="71">
        <v>1</v>
      </c>
      <c r="Q29" s="71"/>
      <c r="R29" s="77">
        <f t="shared" si="9"/>
        <v>35</v>
      </c>
    </row>
    <row r="30" spans="1:18" x14ac:dyDescent="0.2">
      <c r="A30" s="71"/>
      <c r="B30" s="71"/>
      <c r="C30" s="71">
        <v>1979</v>
      </c>
      <c r="D30" s="71">
        <f t="shared" ref="D30:D45" si="10">+D29</f>
        <v>2010</v>
      </c>
      <c r="E30" s="76">
        <f t="shared" si="6"/>
        <v>31</v>
      </c>
      <c r="F30" s="71">
        <v>1</v>
      </c>
      <c r="G30" s="71"/>
      <c r="H30" s="77">
        <f t="shared" si="7"/>
        <v>31</v>
      </c>
      <c r="K30" s="71"/>
      <c r="L30" s="71"/>
      <c r="M30" s="71">
        <v>1979</v>
      </c>
      <c r="N30" s="71">
        <f t="shared" ref="N30:N45" si="11">+N29</f>
        <v>2011</v>
      </c>
      <c r="O30" s="76">
        <f t="shared" si="8"/>
        <v>32</v>
      </c>
      <c r="P30" s="71">
        <v>1</v>
      </c>
      <c r="Q30" s="71"/>
      <c r="R30" s="77">
        <f t="shared" si="9"/>
        <v>32</v>
      </c>
    </row>
    <row r="31" spans="1:18" x14ac:dyDescent="0.2">
      <c r="A31" s="71"/>
      <c r="B31" s="71"/>
      <c r="C31" s="71">
        <v>1980</v>
      </c>
      <c r="D31" s="71">
        <f t="shared" si="10"/>
        <v>2010</v>
      </c>
      <c r="E31" s="76">
        <f t="shared" si="6"/>
        <v>30</v>
      </c>
      <c r="F31" s="71">
        <v>4</v>
      </c>
      <c r="G31" s="71"/>
      <c r="H31" s="77">
        <f t="shared" si="7"/>
        <v>120</v>
      </c>
      <c r="K31" s="71"/>
      <c r="L31" s="71"/>
      <c r="M31" s="71">
        <v>1980</v>
      </c>
      <c r="N31" s="71">
        <f t="shared" si="11"/>
        <v>2011</v>
      </c>
      <c r="O31" s="76">
        <f t="shared" si="8"/>
        <v>31</v>
      </c>
      <c r="P31" s="71">
        <v>4</v>
      </c>
      <c r="Q31" s="71"/>
      <c r="R31" s="77">
        <f t="shared" si="9"/>
        <v>124</v>
      </c>
    </row>
    <row r="32" spans="1:18" x14ac:dyDescent="0.2">
      <c r="A32" s="71"/>
      <c r="B32" s="71"/>
      <c r="C32" s="71">
        <v>1981</v>
      </c>
      <c r="D32" s="71">
        <f t="shared" si="10"/>
        <v>2010</v>
      </c>
      <c r="E32" s="76">
        <f t="shared" si="6"/>
        <v>29</v>
      </c>
      <c r="F32" s="71">
        <v>5</v>
      </c>
      <c r="G32" s="71"/>
      <c r="H32" s="77">
        <f t="shared" si="7"/>
        <v>145</v>
      </c>
      <c r="K32" s="71"/>
      <c r="L32" s="71"/>
      <c r="M32" s="71">
        <v>1981</v>
      </c>
      <c r="N32" s="71">
        <f t="shared" si="11"/>
        <v>2011</v>
      </c>
      <c r="O32" s="76">
        <f t="shared" si="8"/>
        <v>30</v>
      </c>
      <c r="P32" s="71">
        <v>5</v>
      </c>
      <c r="Q32" s="71"/>
      <c r="R32" s="77">
        <f t="shared" si="9"/>
        <v>150</v>
      </c>
    </row>
    <row r="33" spans="1:18" x14ac:dyDescent="0.2">
      <c r="A33" s="71"/>
      <c r="B33" s="71"/>
      <c r="C33" s="71">
        <v>1982</v>
      </c>
      <c r="D33" s="71">
        <f t="shared" si="10"/>
        <v>2010</v>
      </c>
      <c r="E33" s="76">
        <f t="shared" si="6"/>
        <v>28</v>
      </c>
      <c r="F33" s="71">
        <v>2</v>
      </c>
      <c r="G33" s="71"/>
      <c r="H33" s="77">
        <f t="shared" si="7"/>
        <v>56</v>
      </c>
      <c r="K33" s="71"/>
      <c r="L33" s="71"/>
      <c r="M33" s="71">
        <v>1982</v>
      </c>
      <c r="N33" s="71">
        <f t="shared" si="11"/>
        <v>2011</v>
      </c>
      <c r="O33" s="76">
        <f t="shared" si="8"/>
        <v>29</v>
      </c>
      <c r="P33" s="71">
        <v>2</v>
      </c>
      <c r="Q33" s="71"/>
      <c r="R33" s="77">
        <f t="shared" si="9"/>
        <v>58</v>
      </c>
    </row>
    <row r="34" spans="1:18" x14ac:dyDescent="0.2">
      <c r="A34" s="71"/>
      <c r="B34" s="71"/>
      <c r="C34" s="71">
        <v>1984</v>
      </c>
      <c r="D34" s="71">
        <f t="shared" si="10"/>
        <v>2010</v>
      </c>
      <c r="E34" s="76">
        <f t="shared" si="6"/>
        <v>26</v>
      </c>
      <c r="F34" s="71">
        <v>1</v>
      </c>
      <c r="G34" s="71"/>
      <c r="H34" s="77">
        <f t="shared" si="7"/>
        <v>26</v>
      </c>
      <c r="K34" s="71"/>
      <c r="L34" s="71"/>
      <c r="M34" s="71">
        <v>1984</v>
      </c>
      <c r="N34" s="71">
        <f t="shared" si="11"/>
        <v>2011</v>
      </c>
      <c r="O34" s="76">
        <f t="shared" si="8"/>
        <v>27</v>
      </c>
      <c r="P34" s="71">
        <v>1</v>
      </c>
      <c r="Q34" s="71"/>
      <c r="R34" s="77">
        <f t="shared" si="9"/>
        <v>27</v>
      </c>
    </row>
    <row r="35" spans="1:18" x14ac:dyDescent="0.2">
      <c r="A35" s="71"/>
      <c r="B35" s="71"/>
      <c r="C35" s="71">
        <v>1985</v>
      </c>
      <c r="D35" s="71">
        <f t="shared" si="10"/>
        <v>2010</v>
      </c>
      <c r="E35" s="76">
        <f t="shared" si="6"/>
        <v>25</v>
      </c>
      <c r="F35" s="71">
        <v>6</v>
      </c>
      <c r="G35" s="71"/>
      <c r="H35" s="77">
        <f t="shared" si="7"/>
        <v>150</v>
      </c>
      <c r="K35" s="71"/>
      <c r="L35" s="71"/>
      <c r="M35" s="71">
        <v>1985</v>
      </c>
      <c r="N35" s="71">
        <f t="shared" si="11"/>
        <v>2011</v>
      </c>
      <c r="O35" s="76">
        <f t="shared" si="8"/>
        <v>26</v>
      </c>
      <c r="P35" s="71">
        <v>6</v>
      </c>
      <c r="Q35" s="71"/>
      <c r="R35" s="77">
        <f t="shared" si="9"/>
        <v>156</v>
      </c>
    </row>
    <row r="36" spans="1:18" x14ac:dyDescent="0.2">
      <c r="A36" s="71"/>
      <c r="B36" s="71"/>
      <c r="C36" s="71">
        <v>1986</v>
      </c>
      <c r="D36" s="71">
        <f t="shared" si="10"/>
        <v>2010</v>
      </c>
      <c r="E36" s="76">
        <f t="shared" si="6"/>
        <v>24</v>
      </c>
      <c r="F36" s="71">
        <v>1</v>
      </c>
      <c r="G36" s="71"/>
      <c r="H36" s="77">
        <f t="shared" si="7"/>
        <v>24</v>
      </c>
      <c r="K36" s="71"/>
      <c r="L36" s="71"/>
      <c r="M36" s="71">
        <v>1986</v>
      </c>
      <c r="N36" s="71">
        <f t="shared" si="11"/>
        <v>2011</v>
      </c>
      <c r="O36" s="76">
        <f t="shared" si="8"/>
        <v>25</v>
      </c>
      <c r="P36" s="71">
        <v>1</v>
      </c>
      <c r="Q36" s="71"/>
      <c r="R36" s="77">
        <f t="shared" si="9"/>
        <v>25</v>
      </c>
    </row>
    <row r="37" spans="1:18" x14ac:dyDescent="0.2">
      <c r="A37" s="71"/>
      <c r="B37" s="71"/>
      <c r="C37" s="71">
        <v>1988</v>
      </c>
      <c r="D37" s="71">
        <f t="shared" si="10"/>
        <v>2010</v>
      </c>
      <c r="E37" s="76">
        <f t="shared" si="6"/>
        <v>22</v>
      </c>
      <c r="F37" s="71">
        <v>1</v>
      </c>
      <c r="G37" s="71"/>
      <c r="H37" s="77">
        <f t="shared" si="7"/>
        <v>22</v>
      </c>
      <c r="K37" s="71"/>
      <c r="L37" s="71"/>
      <c r="M37" s="71">
        <v>1988</v>
      </c>
      <c r="N37" s="71">
        <f t="shared" si="11"/>
        <v>2011</v>
      </c>
      <c r="O37" s="76">
        <f t="shared" si="8"/>
        <v>23</v>
      </c>
      <c r="P37" s="71">
        <v>1</v>
      </c>
      <c r="Q37" s="71"/>
      <c r="R37" s="77">
        <f t="shared" si="9"/>
        <v>23</v>
      </c>
    </row>
    <row r="38" spans="1:18" x14ac:dyDescent="0.2">
      <c r="A38" s="71"/>
      <c r="B38" s="71"/>
      <c r="C38" s="71">
        <v>1989</v>
      </c>
      <c r="D38" s="71">
        <f t="shared" si="10"/>
        <v>2010</v>
      </c>
      <c r="E38" s="76">
        <f t="shared" si="6"/>
        <v>21</v>
      </c>
      <c r="F38" s="71">
        <v>22</v>
      </c>
      <c r="G38" s="71"/>
      <c r="H38" s="77">
        <f t="shared" si="7"/>
        <v>462</v>
      </c>
      <c r="K38" s="71"/>
      <c r="L38" s="71"/>
      <c r="M38" s="71">
        <v>1989</v>
      </c>
      <c r="N38" s="71">
        <f t="shared" si="11"/>
        <v>2011</v>
      </c>
      <c r="O38" s="76">
        <f t="shared" si="8"/>
        <v>22</v>
      </c>
      <c r="P38" s="71">
        <v>22</v>
      </c>
      <c r="Q38" s="71"/>
      <c r="R38" s="77">
        <f t="shared" si="9"/>
        <v>484</v>
      </c>
    </row>
    <row r="39" spans="1:18" x14ac:dyDescent="0.2">
      <c r="A39" s="71"/>
      <c r="B39" s="71"/>
      <c r="C39" s="71">
        <v>1990</v>
      </c>
      <c r="D39" s="71">
        <f t="shared" si="10"/>
        <v>2010</v>
      </c>
      <c r="E39" s="76">
        <f t="shared" si="6"/>
        <v>20</v>
      </c>
      <c r="F39" s="71">
        <v>17</v>
      </c>
      <c r="G39" s="71"/>
      <c r="H39" s="77">
        <f t="shared" si="7"/>
        <v>340</v>
      </c>
      <c r="K39" s="71"/>
      <c r="L39" s="71"/>
      <c r="M39" s="71">
        <v>1990</v>
      </c>
      <c r="N39" s="71">
        <f t="shared" si="11"/>
        <v>2011</v>
      </c>
      <c r="O39" s="76">
        <f t="shared" si="8"/>
        <v>21</v>
      </c>
      <c r="P39" s="71">
        <v>17</v>
      </c>
      <c r="Q39" s="71"/>
      <c r="R39" s="77">
        <f t="shared" si="9"/>
        <v>357</v>
      </c>
    </row>
    <row r="40" spans="1:18" x14ac:dyDescent="0.2">
      <c r="A40" s="71"/>
      <c r="B40" s="71"/>
      <c r="C40" s="71">
        <v>1991</v>
      </c>
      <c r="D40" s="71">
        <f t="shared" si="10"/>
        <v>2010</v>
      </c>
      <c r="E40" s="76">
        <f t="shared" si="6"/>
        <v>19</v>
      </c>
      <c r="F40" s="71">
        <v>3</v>
      </c>
      <c r="G40" s="71"/>
      <c r="H40" s="77">
        <f t="shared" si="7"/>
        <v>57</v>
      </c>
      <c r="K40" s="71"/>
      <c r="L40" s="71"/>
      <c r="M40" s="71">
        <v>1991</v>
      </c>
      <c r="N40" s="71">
        <f t="shared" si="11"/>
        <v>2011</v>
      </c>
      <c r="O40" s="76">
        <f t="shared" si="8"/>
        <v>20</v>
      </c>
      <c r="P40" s="71">
        <v>3</v>
      </c>
      <c r="Q40" s="71"/>
      <c r="R40" s="77">
        <f t="shared" si="9"/>
        <v>60</v>
      </c>
    </row>
    <row r="41" spans="1:18" x14ac:dyDescent="0.2">
      <c r="A41" s="71"/>
      <c r="B41" s="71"/>
      <c r="C41" s="71">
        <v>1992</v>
      </c>
      <c r="D41" s="71">
        <f t="shared" si="10"/>
        <v>2010</v>
      </c>
      <c r="E41" s="76">
        <f t="shared" si="6"/>
        <v>18</v>
      </c>
      <c r="F41" s="71">
        <v>1</v>
      </c>
      <c r="G41" s="71"/>
      <c r="H41" s="77">
        <f t="shared" si="7"/>
        <v>18</v>
      </c>
      <c r="K41" s="71"/>
      <c r="L41" s="71"/>
      <c r="M41" s="71">
        <v>1992</v>
      </c>
      <c r="N41" s="71">
        <f t="shared" si="11"/>
        <v>2011</v>
      </c>
      <c r="O41" s="76">
        <f t="shared" si="8"/>
        <v>19</v>
      </c>
      <c r="P41" s="71">
        <v>1</v>
      </c>
      <c r="Q41" s="71"/>
      <c r="R41" s="77">
        <f t="shared" si="9"/>
        <v>19</v>
      </c>
    </row>
    <row r="42" spans="1:18" x14ac:dyDescent="0.2">
      <c r="A42" s="71"/>
      <c r="B42" s="71"/>
      <c r="C42" s="71">
        <v>1993</v>
      </c>
      <c r="D42" s="71">
        <f t="shared" si="10"/>
        <v>2010</v>
      </c>
      <c r="E42" s="76">
        <f t="shared" si="6"/>
        <v>17</v>
      </c>
      <c r="F42" s="71">
        <v>3</v>
      </c>
      <c r="G42" s="71"/>
      <c r="H42" s="77">
        <f t="shared" si="7"/>
        <v>51</v>
      </c>
      <c r="K42" s="71"/>
      <c r="L42" s="71"/>
      <c r="M42" s="71">
        <v>1993</v>
      </c>
      <c r="N42" s="71">
        <f t="shared" si="11"/>
        <v>2011</v>
      </c>
      <c r="O42" s="76">
        <f t="shared" si="8"/>
        <v>18</v>
      </c>
      <c r="P42" s="71">
        <v>3</v>
      </c>
      <c r="Q42" s="71"/>
      <c r="R42" s="77">
        <f t="shared" si="9"/>
        <v>54</v>
      </c>
    </row>
    <row r="43" spans="1:18" x14ac:dyDescent="0.2">
      <c r="A43" s="71"/>
      <c r="B43" s="71"/>
      <c r="C43" s="71">
        <v>1996</v>
      </c>
      <c r="D43" s="71">
        <f t="shared" si="10"/>
        <v>2010</v>
      </c>
      <c r="E43" s="76">
        <f t="shared" si="6"/>
        <v>14</v>
      </c>
      <c r="F43" s="71">
        <v>2</v>
      </c>
      <c r="G43" s="71"/>
      <c r="H43" s="77">
        <f t="shared" si="7"/>
        <v>28</v>
      </c>
      <c r="K43" s="71"/>
      <c r="L43" s="71"/>
      <c r="M43" s="71">
        <v>1996</v>
      </c>
      <c r="N43" s="71">
        <f t="shared" si="11"/>
        <v>2011</v>
      </c>
      <c r="O43" s="76">
        <f t="shared" si="8"/>
        <v>15</v>
      </c>
      <c r="P43" s="71">
        <v>2</v>
      </c>
      <c r="Q43" s="71"/>
      <c r="R43" s="77">
        <f t="shared" si="9"/>
        <v>30</v>
      </c>
    </row>
    <row r="44" spans="1:18" x14ac:dyDescent="0.2">
      <c r="A44" s="71"/>
      <c r="B44" s="71"/>
      <c r="C44" s="71">
        <v>1997</v>
      </c>
      <c r="D44" s="71">
        <f t="shared" si="10"/>
        <v>2010</v>
      </c>
      <c r="E44" s="76">
        <f t="shared" si="6"/>
        <v>13</v>
      </c>
      <c r="F44" s="71">
        <v>8</v>
      </c>
      <c r="G44" s="71"/>
      <c r="H44" s="77">
        <f t="shared" si="7"/>
        <v>104</v>
      </c>
      <c r="K44" s="71"/>
      <c r="L44" s="71"/>
      <c r="M44" s="71">
        <v>1997</v>
      </c>
      <c r="N44" s="71">
        <f t="shared" si="11"/>
        <v>2011</v>
      </c>
      <c r="O44" s="76">
        <f t="shared" si="8"/>
        <v>14</v>
      </c>
      <c r="P44" s="71">
        <v>8</v>
      </c>
      <c r="Q44" s="71"/>
      <c r="R44" s="77">
        <f t="shared" si="9"/>
        <v>112</v>
      </c>
    </row>
    <row r="45" spans="1:18" x14ac:dyDescent="0.2">
      <c r="A45" s="71"/>
      <c r="B45" s="71"/>
      <c r="C45" s="71">
        <v>2001</v>
      </c>
      <c r="D45" s="71">
        <f t="shared" si="10"/>
        <v>2010</v>
      </c>
      <c r="E45" s="76">
        <f t="shared" si="6"/>
        <v>9</v>
      </c>
      <c r="F45" s="71">
        <v>39</v>
      </c>
      <c r="G45" s="71"/>
      <c r="H45" s="77">
        <f t="shared" si="7"/>
        <v>351</v>
      </c>
      <c r="K45" s="71"/>
      <c r="L45" s="71"/>
      <c r="M45" s="71">
        <v>2001</v>
      </c>
      <c r="N45" s="71">
        <f t="shared" si="11"/>
        <v>2011</v>
      </c>
      <c r="O45" s="76">
        <f t="shared" si="8"/>
        <v>10</v>
      </c>
      <c r="P45" s="71">
        <v>39</v>
      </c>
      <c r="Q45" s="71"/>
      <c r="R45" s="77">
        <f t="shared" si="9"/>
        <v>390</v>
      </c>
    </row>
    <row r="46" spans="1:18" x14ac:dyDescent="0.2">
      <c r="A46" s="71"/>
      <c r="B46" s="71"/>
      <c r="C46" s="71"/>
      <c r="D46" s="71"/>
      <c r="E46" s="76"/>
      <c r="F46" s="71"/>
      <c r="G46" s="71"/>
      <c r="H46" s="77"/>
      <c r="K46" s="71"/>
      <c r="L46" s="71"/>
      <c r="M46" s="71" t="s">
        <v>28</v>
      </c>
      <c r="N46" s="71"/>
      <c r="O46" s="76"/>
      <c r="P46" s="71"/>
      <c r="Q46" s="71"/>
      <c r="R46" s="77"/>
    </row>
    <row r="47" spans="1:18" ht="18" x14ac:dyDescent="0.25">
      <c r="A47" s="71"/>
      <c r="B47" s="71"/>
      <c r="C47" s="71"/>
      <c r="D47" s="71"/>
      <c r="E47" s="71"/>
      <c r="F47" s="87">
        <f>SUM(F28:F46)</f>
        <v>118</v>
      </c>
      <c r="G47" s="80">
        <f>+H47/F47</f>
        <v>17.440677966101696</v>
      </c>
      <c r="H47" s="84">
        <f>SUM(H28:H46)</f>
        <v>2058</v>
      </c>
      <c r="K47" s="71"/>
      <c r="L47" s="71"/>
      <c r="M47" s="71"/>
      <c r="N47" s="71"/>
      <c r="O47" s="71"/>
      <c r="P47" s="87">
        <f>SUM(P28:P46)</f>
        <v>118</v>
      </c>
      <c r="Q47" s="80">
        <f>+R47/P47</f>
        <v>18.440677966101696</v>
      </c>
      <c r="R47" s="84">
        <f>SUM(R28:R46)</f>
        <v>2176</v>
      </c>
    </row>
    <row r="48" spans="1:18" x14ac:dyDescent="0.2">
      <c r="A48" s="71"/>
      <c r="B48" s="71"/>
      <c r="K48" s="71"/>
      <c r="L48" s="71"/>
    </row>
    <row r="49" spans="1:18" x14ac:dyDescent="0.2">
      <c r="A49" s="71"/>
      <c r="B49" s="71"/>
      <c r="K49" s="71"/>
      <c r="L49" s="71"/>
    </row>
    <row r="50" spans="1:18" x14ac:dyDescent="0.2">
      <c r="A50" s="71"/>
      <c r="B50" s="71"/>
      <c r="K50" s="71"/>
      <c r="L50" s="71"/>
    </row>
    <row r="51" spans="1:18" x14ac:dyDescent="0.2">
      <c r="B51" s="71"/>
      <c r="L51" s="71"/>
    </row>
    <row r="52" spans="1:18" x14ac:dyDescent="0.2">
      <c r="A52" s="71"/>
      <c r="K52" s="71"/>
    </row>
    <row r="53" spans="1:18" x14ac:dyDescent="0.2">
      <c r="A53" s="71"/>
      <c r="B53" s="75" t="s">
        <v>159</v>
      </c>
      <c r="C53" s="71"/>
      <c r="D53" s="71"/>
      <c r="E53" s="71"/>
      <c r="F53" s="71"/>
      <c r="G53" s="71"/>
      <c r="H53" s="71"/>
      <c r="K53" s="71"/>
      <c r="L53" s="75" t="s">
        <v>159</v>
      </c>
      <c r="M53" s="71"/>
      <c r="N53" s="71"/>
      <c r="O53" s="71"/>
      <c r="P53" s="71"/>
      <c r="Q53" s="71"/>
      <c r="R53" s="71"/>
    </row>
    <row r="54" spans="1:18" x14ac:dyDescent="0.2">
      <c r="A54" s="71"/>
      <c r="B54" s="71"/>
      <c r="C54" s="71">
        <v>1976</v>
      </c>
      <c r="D54" s="71">
        <f>+D45</f>
        <v>2010</v>
      </c>
      <c r="E54" s="76">
        <f>D54-C54</f>
        <v>34</v>
      </c>
      <c r="F54" s="78">
        <v>1</v>
      </c>
      <c r="G54" s="71"/>
      <c r="H54" s="77">
        <f>E54*F54</f>
        <v>34</v>
      </c>
      <c r="K54" s="71"/>
      <c r="L54" s="71"/>
      <c r="M54" s="71">
        <v>1976</v>
      </c>
      <c r="N54" s="71">
        <f>+N45</f>
        <v>2011</v>
      </c>
      <c r="O54" s="76">
        <f>N54-M54</f>
        <v>35</v>
      </c>
      <c r="P54" s="78">
        <v>1</v>
      </c>
      <c r="Q54" s="71"/>
      <c r="R54" s="77">
        <f>O54*P54</f>
        <v>35</v>
      </c>
    </row>
    <row r="55" spans="1:18" x14ac:dyDescent="0.2">
      <c r="A55" s="71"/>
      <c r="B55" s="71"/>
      <c r="C55" s="71">
        <v>1979</v>
      </c>
      <c r="D55" s="71">
        <f>+D54</f>
        <v>2010</v>
      </c>
      <c r="E55" s="76">
        <f>D55-C55</f>
        <v>31</v>
      </c>
      <c r="F55" s="78">
        <v>1</v>
      </c>
      <c r="G55" s="71"/>
      <c r="H55" s="77">
        <f>E55*F55</f>
        <v>31</v>
      </c>
      <c r="K55" s="71"/>
      <c r="L55" s="71"/>
      <c r="M55" s="71">
        <v>1979</v>
      </c>
      <c r="N55" s="71">
        <f>+N54</f>
        <v>2011</v>
      </c>
      <c r="O55" s="76">
        <f>N55-M55</f>
        <v>32</v>
      </c>
      <c r="P55" s="78">
        <v>1</v>
      </c>
      <c r="Q55" s="71"/>
      <c r="R55" s="77">
        <f>O55*P55</f>
        <v>32</v>
      </c>
    </row>
    <row r="56" spans="1:18" x14ac:dyDescent="0.2">
      <c r="A56" s="71"/>
      <c r="B56" s="71"/>
      <c r="C56" s="71">
        <v>1986</v>
      </c>
      <c r="D56" s="71">
        <f>+D55</f>
        <v>2010</v>
      </c>
      <c r="E56" s="76">
        <f>D56-C56</f>
        <v>24</v>
      </c>
      <c r="F56" s="78">
        <v>2</v>
      </c>
      <c r="G56" s="71"/>
      <c r="H56" s="77">
        <f>E56*F56</f>
        <v>48</v>
      </c>
      <c r="K56" s="71"/>
      <c r="L56" s="71"/>
      <c r="M56" s="71">
        <v>1986</v>
      </c>
      <c r="N56" s="71">
        <f>+N55</f>
        <v>2011</v>
      </c>
      <c r="O56" s="76">
        <f>N56-M56</f>
        <v>25</v>
      </c>
      <c r="P56" s="78">
        <v>2</v>
      </c>
      <c r="Q56" s="71"/>
      <c r="R56" s="77">
        <f>O56*P56</f>
        <v>50</v>
      </c>
    </row>
    <row r="57" spans="1:18" ht="18" x14ac:dyDescent="0.25">
      <c r="A57" s="71"/>
      <c r="B57" s="71"/>
      <c r="C57" s="71"/>
      <c r="D57" s="71"/>
      <c r="E57" s="71"/>
      <c r="F57" s="82">
        <f>SUM(F54:F56)</f>
        <v>4</v>
      </c>
      <c r="G57" s="80">
        <f>+H57/F57</f>
        <v>28.25</v>
      </c>
      <c r="H57" s="84">
        <f>SUM(H54:H56)</f>
        <v>113</v>
      </c>
      <c r="K57" s="71"/>
      <c r="L57" s="71"/>
      <c r="M57" s="71"/>
      <c r="N57" s="71"/>
      <c r="O57" s="71"/>
      <c r="P57" s="82">
        <f>SUM(P54:P56)</f>
        <v>4</v>
      </c>
      <c r="Q57" s="80">
        <f>+R57/P57</f>
        <v>29.25</v>
      </c>
      <c r="R57" s="84">
        <f>SUM(R54:R56)</f>
        <v>117</v>
      </c>
    </row>
    <row r="58" spans="1:18" x14ac:dyDescent="0.2">
      <c r="A58" s="71"/>
      <c r="B58" s="71"/>
      <c r="K58" s="71"/>
      <c r="L58" s="71"/>
    </row>
    <row r="59" spans="1:18" x14ac:dyDescent="0.2">
      <c r="A59" s="71"/>
      <c r="K59" s="71"/>
    </row>
    <row r="60" spans="1:18" x14ac:dyDescent="0.2">
      <c r="A60" s="71"/>
      <c r="B60" s="75" t="s">
        <v>160</v>
      </c>
      <c r="C60" s="71"/>
      <c r="D60" s="71"/>
      <c r="E60" s="71"/>
      <c r="F60" s="71"/>
      <c r="G60" s="71"/>
      <c r="H60" s="71"/>
      <c r="K60" s="71"/>
      <c r="L60" s="75" t="s">
        <v>160</v>
      </c>
      <c r="M60" s="71"/>
      <c r="N60" s="71"/>
      <c r="O60" s="71"/>
      <c r="P60" s="71"/>
      <c r="Q60" s="71"/>
      <c r="R60" s="71"/>
    </row>
    <row r="61" spans="1:18" x14ac:dyDescent="0.2">
      <c r="A61" s="71"/>
      <c r="B61" s="71"/>
      <c r="C61" s="71">
        <v>1967</v>
      </c>
      <c r="D61" s="71">
        <f>+D56</f>
        <v>2010</v>
      </c>
      <c r="E61" s="76">
        <f t="shared" ref="E61:E80" si="12">D61-C61</f>
        <v>43</v>
      </c>
      <c r="F61" s="78">
        <v>1</v>
      </c>
      <c r="G61" s="71"/>
      <c r="H61" s="77">
        <f t="shared" ref="H61:H81" si="13">E61*F61</f>
        <v>43</v>
      </c>
      <c r="K61" s="71"/>
      <c r="L61" s="71"/>
      <c r="M61" s="71">
        <v>1967</v>
      </c>
      <c r="N61" s="71">
        <f>+N56</f>
        <v>2011</v>
      </c>
      <c r="O61" s="76">
        <f t="shared" ref="O61:O80" si="14">N61-M61</f>
        <v>44</v>
      </c>
      <c r="P61" s="78">
        <v>1</v>
      </c>
      <c r="Q61" s="71"/>
      <c r="R61" s="77">
        <f t="shared" ref="R61:R80" si="15">O61*P61</f>
        <v>44</v>
      </c>
    </row>
    <row r="62" spans="1:18" x14ac:dyDescent="0.2">
      <c r="A62" s="71"/>
      <c r="B62" s="71"/>
      <c r="C62" s="71">
        <v>1969</v>
      </c>
      <c r="D62" s="71">
        <f>+D61</f>
        <v>2010</v>
      </c>
      <c r="E62" s="76">
        <f t="shared" si="12"/>
        <v>41</v>
      </c>
      <c r="F62" s="78">
        <v>2</v>
      </c>
      <c r="G62" s="71"/>
      <c r="H62" s="77">
        <f t="shared" si="13"/>
        <v>82</v>
      </c>
      <c r="K62" s="71"/>
      <c r="L62" s="71"/>
      <c r="M62" s="71">
        <v>1969</v>
      </c>
      <c r="N62" s="71">
        <f>+N61</f>
        <v>2011</v>
      </c>
      <c r="O62" s="76">
        <f t="shared" si="14"/>
        <v>42</v>
      </c>
      <c r="P62" s="78">
        <v>2</v>
      </c>
      <c r="Q62" s="71"/>
      <c r="R62" s="77">
        <f t="shared" si="15"/>
        <v>84</v>
      </c>
    </row>
    <row r="63" spans="1:18" x14ac:dyDescent="0.2">
      <c r="A63" s="71"/>
      <c r="B63" s="71"/>
      <c r="C63" s="71">
        <v>1972</v>
      </c>
      <c r="D63" s="71">
        <f t="shared" ref="D63:D80" si="16">+D62</f>
        <v>2010</v>
      </c>
      <c r="E63" s="76">
        <f t="shared" si="12"/>
        <v>38</v>
      </c>
      <c r="F63" s="78">
        <v>1</v>
      </c>
      <c r="G63" s="71"/>
      <c r="H63" s="77">
        <f t="shared" si="13"/>
        <v>38</v>
      </c>
      <c r="K63" s="71"/>
      <c r="L63" s="71"/>
      <c r="M63" s="71">
        <v>1972</v>
      </c>
      <c r="N63" s="71">
        <f t="shared" ref="N63:N80" si="17">+N62</f>
        <v>2011</v>
      </c>
      <c r="O63" s="76">
        <f t="shared" si="14"/>
        <v>39</v>
      </c>
      <c r="P63" s="78">
        <v>1</v>
      </c>
      <c r="Q63" s="71"/>
      <c r="R63" s="77">
        <f t="shared" si="15"/>
        <v>39</v>
      </c>
    </row>
    <row r="64" spans="1:18" x14ac:dyDescent="0.2">
      <c r="A64" s="71"/>
      <c r="B64" s="71"/>
      <c r="C64" s="71">
        <v>1979</v>
      </c>
      <c r="D64" s="71">
        <f t="shared" si="16"/>
        <v>2010</v>
      </c>
      <c r="E64" s="76">
        <f t="shared" si="12"/>
        <v>31</v>
      </c>
      <c r="F64" s="78">
        <v>1</v>
      </c>
      <c r="G64" s="71"/>
      <c r="H64" s="77">
        <f t="shared" si="13"/>
        <v>31</v>
      </c>
      <c r="K64" s="71"/>
      <c r="L64" s="71"/>
      <c r="M64" s="71">
        <v>1979</v>
      </c>
      <c r="N64" s="71">
        <f t="shared" si="17"/>
        <v>2011</v>
      </c>
      <c r="O64" s="76">
        <f t="shared" si="14"/>
        <v>32</v>
      </c>
      <c r="P64" s="78">
        <v>1</v>
      </c>
      <c r="Q64" s="71"/>
      <c r="R64" s="77">
        <f t="shared" si="15"/>
        <v>32</v>
      </c>
    </row>
    <row r="65" spans="1:18" x14ac:dyDescent="0.2">
      <c r="A65" s="71"/>
      <c r="B65" s="71"/>
      <c r="C65" s="71">
        <v>1980</v>
      </c>
      <c r="D65" s="71">
        <f t="shared" si="16"/>
        <v>2010</v>
      </c>
      <c r="E65" s="76">
        <f t="shared" si="12"/>
        <v>30</v>
      </c>
      <c r="F65" s="78">
        <v>7</v>
      </c>
      <c r="G65" s="71"/>
      <c r="H65" s="77">
        <f t="shared" si="13"/>
        <v>210</v>
      </c>
      <c r="K65" s="71"/>
      <c r="L65" s="71"/>
      <c r="M65" s="71">
        <v>1980</v>
      </c>
      <c r="N65" s="71">
        <f t="shared" si="17"/>
        <v>2011</v>
      </c>
      <c r="O65" s="76">
        <f t="shared" si="14"/>
        <v>31</v>
      </c>
      <c r="P65" s="78">
        <v>7</v>
      </c>
      <c r="Q65" s="71"/>
      <c r="R65" s="77">
        <f t="shared" si="15"/>
        <v>217</v>
      </c>
    </row>
    <row r="66" spans="1:18" x14ac:dyDescent="0.2">
      <c r="A66" s="71"/>
      <c r="B66" s="71"/>
      <c r="C66" s="71">
        <v>1981</v>
      </c>
      <c r="D66" s="71">
        <f t="shared" si="16"/>
        <v>2010</v>
      </c>
      <c r="E66" s="76">
        <f t="shared" si="12"/>
        <v>29</v>
      </c>
      <c r="F66" s="78">
        <v>5</v>
      </c>
      <c r="G66" s="71" t="s">
        <v>28</v>
      </c>
      <c r="H66" s="77">
        <f t="shared" si="13"/>
        <v>145</v>
      </c>
      <c r="K66" s="71"/>
      <c r="L66" s="71"/>
      <c r="M66" s="71">
        <v>1981</v>
      </c>
      <c r="N66" s="71">
        <f t="shared" si="17"/>
        <v>2011</v>
      </c>
      <c r="O66" s="76">
        <f t="shared" si="14"/>
        <v>30</v>
      </c>
      <c r="P66" s="78">
        <v>5</v>
      </c>
      <c r="Q66" s="71" t="s">
        <v>28</v>
      </c>
      <c r="R66" s="77">
        <f t="shared" si="15"/>
        <v>150</v>
      </c>
    </row>
    <row r="67" spans="1:18" x14ac:dyDescent="0.2">
      <c r="A67" s="71"/>
      <c r="B67" s="71"/>
      <c r="C67" s="71">
        <v>1982</v>
      </c>
      <c r="D67" s="71">
        <f t="shared" si="16"/>
        <v>2010</v>
      </c>
      <c r="E67" s="76">
        <f t="shared" si="12"/>
        <v>28</v>
      </c>
      <c r="F67" s="78">
        <v>3</v>
      </c>
      <c r="G67" s="71"/>
      <c r="H67" s="77">
        <f t="shared" si="13"/>
        <v>84</v>
      </c>
      <c r="K67" s="71"/>
      <c r="L67" s="71"/>
      <c r="M67" s="71">
        <v>1982</v>
      </c>
      <c r="N67" s="71">
        <f t="shared" si="17"/>
        <v>2011</v>
      </c>
      <c r="O67" s="76">
        <f t="shared" si="14"/>
        <v>29</v>
      </c>
      <c r="P67" s="78">
        <v>3</v>
      </c>
      <c r="Q67" s="71"/>
      <c r="R67" s="77">
        <f t="shared" si="15"/>
        <v>87</v>
      </c>
    </row>
    <row r="68" spans="1:18" x14ac:dyDescent="0.2">
      <c r="A68" s="71"/>
      <c r="B68" s="71"/>
      <c r="C68" s="71">
        <v>1984</v>
      </c>
      <c r="D68" s="71">
        <f t="shared" si="16"/>
        <v>2010</v>
      </c>
      <c r="E68" s="76">
        <f t="shared" si="12"/>
        <v>26</v>
      </c>
      <c r="F68" s="78">
        <v>9</v>
      </c>
      <c r="G68" s="71"/>
      <c r="H68" s="77">
        <f t="shared" si="13"/>
        <v>234</v>
      </c>
      <c r="K68" s="71"/>
      <c r="L68" s="71"/>
      <c r="M68" s="71">
        <v>1984</v>
      </c>
      <c r="N68" s="71">
        <f t="shared" si="17"/>
        <v>2011</v>
      </c>
      <c r="O68" s="76">
        <f t="shared" si="14"/>
        <v>27</v>
      </c>
      <c r="P68" s="78">
        <v>9</v>
      </c>
      <c r="Q68" s="71"/>
      <c r="R68" s="77">
        <f t="shared" si="15"/>
        <v>243</v>
      </c>
    </row>
    <row r="69" spans="1:18" x14ac:dyDescent="0.2">
      <c r="A69" s="71"/>
      <c r="B69" s="71"/>
      <c r="C69" s="71">
        <v>1987</v>
      </c>
      <c r="D69" s="71">
        <f t="shared" si="16"/>
        <v>2010</v>
      </c>
      <c r="E69" s="76">
        <f t="shared" si="12"/>
        <v>23</v>
      </c>
      <c r="F69" s="78">
        <v>22</v>
      </c>
      <c r="G69" s="71"/>
      <c r="H69" s="77">
        <f t="shared" si="13"/>
        <v>506</v>
      </c>
      <c r="K69" s="71"/>
      <c r="L69" s="71"/>
      <c r="M69" s="71">
        <v>1987</v>
      </c>
      <c r="N69" s="71">
        <f t="shared" si="17"/>
        <v>2011</v>
      </c>
      <c r="O69" s="76">
        <f t="shared" si="14"/>
        <v>24</v>
      </c>
      <c r="P69" s="78">
        <v>22</v>
      </c>
      <c r="Q69" s="71"/>
      <c r="R69" s="77">
        <f t="shared" si="15"/>
        <v>528</v>
      </c>
    </row>
    <row r="70" spans="1:18" x14ac:dyDescent="0.2">
      <c r="A70" s="71"/>
      <c r="B70" s="71"/>
      <c r="C70" s="71">
        <v>1988</v>
      </c>
      <c r="D70" s="71">
        <f t="shared" si="16"/>
        <v>2010</v>
      </c>
      <c r="E70" s="76">
        <f t="shared" si="12"/>
        <v>22</v>
      </c>
      <c r="F70" s="78">
        <v>19</v>
      </c>
      <c r="G70" s="71"/>
      <c r="H70" s="77">
        <f t="shared" si="13"/>
        <v>418</v>
      </c>
      <c r="K70" s="71"/>
      <c r="L70" s="71"/>
      <c r="M70" s="71">
        <v>1988</v>
      </c>
      <c r="N70" s="71">
        <f t="shared" si="17"/>
        <v>2011</v>
      </c>
      <c r="O70" s="76">
        <f t="shared" si="14"/>
        <v>23</v>
      </c>
      <c r="P70" s="78">
        <v>19</v>
      </c>
      <c r="Q70" s="71"/>
      <c r="R70" s="77">
        <f t="shared" si="15"/>
        <v>437</v>
      </c>
    </row>
    <row r="71" spans="1:18" x14ac:dyDescent="0.2">
      <c r="A71" s="71"/>
      <c r="B71" s="71"/>
      <c r="C71" s="71">
        <v>1990</v>
      </c>
      <c r="D71" s="71">
        <f t="shared" si="16"/>
        <v>2010</v>
      </c>
      <c r="E71" s="76">
        <f t="shared" si="12"/>
        <v>20</v>
      </c>
      <c r="F71" s="78">
        <v>1</v>
      </c>
      <c r="G71" s="71"/>
      <c r="H71" s="77">
        <f t="shared" si="13"/>
        <v>20</v>
      </c>
      <c r="K71" s="71"/>
      <c r="L71" s="71"/>
      <c r="M71" s="71">
        <v>1990</v>
      </c>
      <c r="N71" s="71">
        <f t="shared" si="17"/>
        <v>2011</v>
      </c>
      <c r="O71" s="76">
        <f t="shared" si="14"/>
        <v>21</v>
      </c>
      <c r="P71" s="78">
        <v>1</v>
      </c>
      <c r="Q71" s="71"/>
      <c r="R71" s="77">
        <f t="shared" si="15"/>
        <v>21</v>
      </c>
    </row>
    <row r="72" spans="1:18" x14ac:dyDescent="0.2">
      <c r="A72" s="71"/>
      <c r="B72" s="71"/>
      <c r="C72" s="71">
        <v>1992</v>
      </c>
      <c r="D72" s="71">
        <f t="shared" si="16"/>
        <v>2010</v>
      </c>
      <c r="E72" s="76">
        <f t="shared" si="12"/>
        <v>18</v>
      </c>
      <c r="F72" s="78">
        <v>5</v>
      </c>
      <c r="G72" s="71"/>
      <c r="H72" s="77">
        <f t="shared" si="13"/>
        <v>90</v>
      </c>
      <c r="K72" s="71"/>
      <c r="L72" s="71"/>
      <c r="M72" s="71">
        <v>1992</v>
      </c>
      <c r="N72" s="71">
        <f t="shared" si="17"/>
        <v>2011</v>
      </c>
      <c r="O72" s="76">
        <f t="shared" si="14"/>
        <v>19</v>
      </c>
      <c r="P72" s="78">
        <v>5</v>
      </c>
      <c r="Q72" s="71"/>
      <c r="R72" s="77">
        <f t="shared" si="15"/>
        <v>95</v>
      </c>
    </row>
    <row r="73" spans="1:18" x14ac:dyDescent="0.2">
      <c r="A73" s="71"/>
      <c r="B73" s="71"/>
      <c r="C73" s="71">
        <v>1993</v>
      </c>
      <c r="D73" s="71">
        <f t="shared" si="16"/>
        <v>2010</v>
      </c>
      <c r="E73" s="76">
        <f t="shared" si="12"/>
        <v>17</v>
      </c>
      <c r="F73" s="78">
        <v>18</v>
      </c>
      <c r="G73" s="71"/>
      <c r="H73" s="77">
        <f t="shared" si="13"/>
        <v>306</v>
      </c>
      <c r="K73" s="71"/>
      <c r="L73" s="71"/>
      <c r="M73" s="71">
        <v>1993</v>
      </c>
      <c r="N73" s="71">
        <f t="shared" si="17"/>
        <v>2011</v>
      </c>
      <c r="O73" s="76">
        <f t="shared" si="14"/>
        <v>18</v>
      </c>
      <c r="P73" s="78">
        <v>18</v>
      </c>
      <c r="Q73" s="71"/>
      <c r="R73" s="77">
        <f t="shared" si="15"/>
        <v>324</v>
      </c>
    </row>
    <row r="74" spans="1:18" x14ac:dyDescent="0.2">
      <c r="A74" s="71"/>
      <c r="B74" s="71"/>
      <c r="C74" s="71">
        <v>1994</v>
      </c>
      <c r="D74" s="71">
        <f t="shared" si="16"/>
        <v>2010</v>
      </c>
      <c r="E74" s="76">
        <f t="shared" si="12"/>
        <v>16</v>
      </c>
      <c r="F74" s="78">
        <v>27</v>
      </c>
      <c r="G74" s="71"/>
      <c r="H74" s="77">
        <f t="shared" si="13"/>
        <v>432</v>
      </c>
      <c r="K74" s="71"/>
      <c r="L74" s="71"/>
      <c r="M74" s="71">
        <v>1994</v>
      </c>
      <c r="N74" s="71">
        <f t="shared" si="17"/>
        <v>2011</v>
      </c>
      <c r="O74" s="76">
        <f t="shared" si="14"/>
        <v>17</v>
      </c>
      <c r="P74" s="78">
        <v>27</v>
      </c>
      <c r="Q74" s="71"/>
      <c r="R74" s="77">
        <f t="shared" si="15"/>
        <v>459</v>
      </c>
    </row>
    <row r="75" spans="1:18" x14ac:dyDescent="0.2">
      <c r="A75" s="71"/>
      <c r="B75" s="71"/>
      <c r="C75" s="71">
        <v>1995</v>
      </c>
      <c r="D75" s="71">
        <f t="shared" si="16"/>
        <v>2010</v>
      </c>
      <c r="E75" s="76">
        <f t="shared" si="12"/>
        <v>15</v>
      </c>
      <c r="F75" s="78">
        <v>1</v>
      </c>
      <c r="G75" s="71"/>
      <c r="H75" s="77">
        <f t="shared" si="13"/>
        <v>15</v>
      </c>
      <c r="K75" s="71"/>
      <c r="L75" s="71"/>
      <c r="M75" s="71">
        <v>1995</v>
      </c>
      <c r="N75" s="71">
        <f t="shared" si="17"/>
        <v>2011</v>
      </c>
      <c r="O75" s="76">
        <f t="shared" si="14"/>
        <v>16</v>
      </c>
      <c r="P75" s="78">
        <v>1</v>
      </c>
      <c r="Q75" s="71"/>
      <c r="R75" s="77">
        <f t="shared" si="15"/>
        <v>16</v>
      </c>
    </row>
    <row r="76" spans="1:18" x14ac:dyDescent="0.2">
      <c r="A76" s="71"/>
      <c r="B76" s="71"/>
      <c r="C76" s="71">
        <v>1997</v>
      </c>
      <c r="D76" s="71">
        <f t="shared" si="16"/>
        <v>2010</v>
      </c>
      <c r="E76" s="76">
        <f t="shared" si="12"/>
        <v>13</v>
      </c>
      <c r="F76" s="78">
        <v>37</v>
      </c>
      <c r="G76" s="71"/>
      <c r="H76" s="77">
        <f t="shared" si="13"/>
        <v>481</v>
      </c>
      <c r="K76" s="71"/>
      <c r="L76" s="71"/>
      <c r="M76" s="71">
        <v>1997</v>
      </c>
      <c r="N76" s="71">
        <f t="shared" si="17"/>
        <v>2011</v>
      </c>
      <c r="O76" s="76">
        <f t="shared" si="14"/>
        <v>14</v>
      </c>
      <c r="P76" s="78">
        <v>37</v>
      </c>
      <c r="Q76" s="71"/>
      <c r="R76" s="77">
        <f t="shared" si="15"/>
        <v>518</v>
      </c>
    </row>
    <row r="77" spans="1:18" x14ac:dyDescent="0.2">
      <c r="A77" s="71"/>
      <c r="B77" s="71"/>
      <c r="C77" s="71">
        <v>2003</v>
      </c>
      <c r="D77" s="71">
        <f t="shared" si="16"/>
        <v>2010</v>
      </c>
      <c r="E77" s="76">
        <f t="shared" si="12"/>
        <v>7</v>
      </c>
      <c r="F77" s="78">
        <v>40</v>
      </c>
      <c r="G77" s="71"/>
      <c r="H77" s="77">
        <f t="shared" si="13"/>
        <v>280</v>
      </c>
      <c r="K77" s="71"/>
      <c r="L77" s="71"/>
      <c r="M77" s="71">
        <v>2003</v>
      </c>
      <c r="N77" s="71">
        <f t="shared" si="17"/>
        <v>2011</v>
      </c>
      <c r="O77" s="76">
        <f t="shared" si="14"/>
        <v>8</v>
      </c>
      <c r="P77" s="78">
        <v>40</v>
      </c>
      <c r="Q77" s="71"/>
      <c r="R77" s="77">
        <f t="shared" si="15"/>
        <v>320</v>
      </c>
    </row>
    <row r="78" spans="1:18" x14ac:dyDescent="0.2">
      <c r="A78" s="71"/>
      <c r="B78" s="71"/>
      <c r="C78" s="71">
        <v>2005</v>
      </c>
      <c r="D78" s="71">
        <f t="shared" si="16"/>
        <v>2010</v>
      </c>
      <c r="E78" s="76">
        <f t="shared" si="12"/>
        <v>5</v>
      </c>
      <c r="F78" s="78">
        <v>6</v>
      </c>
      <c r="G78" s="71"/>
      <c r="H78" s="77">
        <f t="shared" si="13"/>
        <v>30</v>
      </c>
      <c r="K78" s="71"/>
      <c r="L78" s="71"/>
      <c r="M78" s="71">
        <v>2005</v>
      </c>
      <c r="N78" s="71">
        <f t="shared" si="17"/>
        <v>2011</v>
      </c>
      <c r="O78" s="76">
        <f t="shared" si="14"/>
        <v>6</v>
      </c>
      <c r="P78" s="78">
        <v>6</v>
      </c>
      <c r="Q78" s="71"/>
      <c r="R78" s="77">
        <f t="shared" si="15"/>
        <v>36</v>
      </c>
    </row>
    <row r="79" spans="1:18" x14ac:dyDescent="0.2">
      <c r="A79" s="71"/>
      <c r="B79" s="71"/>
      <c r="C79" s="71">
        <v>2006</v>
      </c>
      <c r="D79" s="71">
        <f t="shared" si="16"/>
        <v>2010</v>
      </c>
      <c r="E79" s="76">
        <f t="shared" si="12"/>
        <v>4</v>
      </c>
      <c r="F79" s="78">
        <v>28</v>
      </c>
      <c r="G79" s="71"/>
      <c r="H79" s="77">
        <f t="shared" si="13"/>
        <v>112</v>
      </c>
      <c r="K79" s="71"/>
      <c r="L79" s="71"/>
      <c r="M79" s="71">
        <v>2006</v>
      </c>
      <c r="N79" s="71">
        <f t="shared" si="17"/>
        <v>2011</v>
      </c>
      <c r="O79" s="76">
        <f t="shared" si="14"/>
        <v>5</v>
      </c>
      <c r="P79" s="78">
        <v>28</v>
      </c>
      <c r="Q79" s="71"/>
      <c r="R79" s="77">
        <f t="shared" si="15"/>
        <v>140</v>
      </c>
    </row>
    <row r="80" spans="1:18" x14ac:dyDescent="0.2">
      <c r="A80" s="71"/>
      <c r="B80" s="71"/>
      <c r="C80" s="71">
        <v>2007</v>
      </c>
      <c r="D80" s="71">
        <f t="shared" si="16"/>
        <v>2010</v>
      </c>
      <c r="E80" s="76">
        <f t="shared" si="12"/>
        <v>3</v>
      </c>
      <c r="F80" s="78">
        <v>26</v>
      </c>
      <c r="G80" s="71"/>
      <c r="H80" s="77">
        <f t="shared" si="13"/>
        <v>78</v>
      </c>
      <c r="K80" s="71"/>
      <c r="L80" s="71"/>
      <c r="M80" s="71">
        <v>2007</v>
      </c>
      <c r="N80" s="71">
        <f t="shared" si="17"/>
        <v>2011</v>
      </c>
      <c r="O80" s="76">
        <f t="shared" si="14"/>
        <v>4</v>
      </c>
      <c r="P80" s="78">
        <v>26</v>
      </c>
      <c r="Q80" s="71"/>
      <c r="R80" s="77">
        <f t="shared" si="15"/>
        <v>104</v>
      </c>
    </row>
    <row r="81" spans="1:18" x14ac:dyDescent="0.2">
      <c r="A81" s="71"/>
      <c r="B81" s="71"/>
      <c r="C81" s="71">
        <v>2008</v>
      </c>
      <c r="D81" s="71">
        <f>+D80</f>
        <v>2010</v>
      </c>
      <c r="E81" s="76">
        <f>D81-C81</f>
        <v>2</v>
      </c>
      <c r="F81" s="78">
        <v>28</v>
      </c>
      <c r="G81" s="71"/>
      <c r="H81" s="77">
        <f t="shared" si="13"/>
        <v>56</v>
      </c>
      <c r="K81" s="71"/>
      <c r="L81" s="71"/>
      <c r="M81" s="71">
        <v>2008</v>
      </c>
      <c r="N81" s="71">
        <f>+N80</f>
        <v>2011</v>
      </c>
      <c r="O81" s="76">
        <f>N81-M81</f>
        <v>3</v>
      </c>
      <c r="P81" s="78">
        <v>28</v>
      </c>
      <c r="Q81" s="71"/>
      <c r="R81" s="77">
        <f>O81*P81</f>
        <v>84</v>
      </c>
    </row>
    <row r="82" spans="1:18" x14ac:dyDescent="0.2">
      <c r="A82" s="71"/>
      <c r="B82" s="71"/>
      <c r="C82" s="71"/>
      <c r="D82" s="71"/>
      <c r="E82" s="76"/>
      <c r="F82" s="78"/>
      <c r="G82" s="71"/>
      <c r="H82" s="77"/>
      <c r="K82" s="71"/>
      <c r="L82" s="71"/>
      <c r="M82" s="71" t="s">
        <v>28</v>
      </c>
      <c r="N82" s="71"/>
      <c r="O82" s="76"/>
      <c r="P82" s="78"/>
      <c r="Q82" s="71"/>
      <c r="R82" s="77"/>
    </row>
    <row r="83" spans="1:18" ht="18" x14ac:dyDescent="0.25">
      <c r="A83" s="71"/>
      <c r="B83" s="71"/>
      <c r="C83" s="71"/>
      <c r="D83" s="71"/>
      <c r="E83" s="71"/>
      <c r="F83" s="82">
        <f>SUM(F61:F82)</f>
        <v>287</v>
      </c>
      <c r="G83" s="80">
        <f>+H83/F83</f>
        <v>12.860627177700348</v>
      </c>
      <c r="H83" s="84">
        <f>SUM(H61:H82)</f>
        <v>3691</v>
      </c>
      <c r="K83" s="71"/>
      <c r="L83" s="71"/>
      <c r="M83" s="71"/>
      <c r="N83" s="71"/>
      <c r="O83" s="71"/>
      <c r="P83" s="82">
        <f>SUM(P61:P82)</f>
        <v>287</v>
      </c>
      <c r="Q83" s="80">
        <f>+R83/P83</f>
        <v>13.860627177700348</v>
      </c>
      <c r="R83" s="84">
        <f>SUM(R61:R82)</f>
        <v>3978</v>
      </c>
    </row>
    <row r="84" spans="1:18" x14ac:dyDescent="0.2">
      <c r="A84" s="71"/>
      <c r="B84" s="71"/>
      <c r="K84" s="71"/>
      <c r="L84" s="71"/>
    </row>
    <row r="85" spans="1:18" x14ac:dyDescent="0.2">
      <c r="A85" s="71"/>
      <c r="B85" s="71"/>
      <c r="K85" s="71"/>
      <c r="L85" s="71"/>
    </row>
    <row r="86" spans="1:18" x14ac:dyDescent="0.2">
      <c r="A86" s="71"/>
      <c r="B86" s="71"/>
      <c r="K86" s="71"/>
      <c r="L86" s="71"/>
    </row>
    <row r="87" spans="1:18" x14ac:dyDescent="0.2">
      <c r="A87" s="71"/>
      <c r="K87" s="71"/>
    </row>
    <row r="88" spans="1:18" x14ac:dyDescent="0.2">
      <c r="A88" s="71"/>
      <c r="K88" s="71"/>
    </row>
    <row r="89" spans="1:18" x14ac:dyDescent="0.2">
      <c r="A89" s="71"/>
      <c r="K89" s="71"/>
    </row>
    <row r="90" spans="1:18" x14ac:dyDescent="0.2">
      <c r="A90" s="71"/>
      <c r="B90" s="75" t="s">
        <v>161</v>
      </c>
      <c r="C90" s="71"/>
      <c r="D90" s="71"/>
      <c r="E90" s="71"/>
      <c r="F90" s="71"/>
      <c r="G90" s="71"/>
      <c r="H90" s="71"/>
      <c r="K90" s="71"/>
      <c r="L90" s="75" t="s">
        <v>161</v>
      </c>
      <c r="M90" s="71"/>
      <c r="N90" s="71"/>
      <c r="O90" s="71"/>
      <c r="P90" s="71"/>
      <c r="Q90" s="71"/>
      <c r="R90" s="71"/>
    </row>
    <row r="91" spans="1:18" x14ac:dyDescent="0.2">
      <c r="A91" s="71"/>
      <c r="B91" s="71"/>
      <c r="C91" s="71">
        <v>1977</v>
      </c>
      <c r="D91" s="71">
        <f>+D78</f>
        <v>2010</v>
      </c>
      <c r="E91" s="76">
        <f t="shared" ref="E91:E98" si="18">D91-C91</f>
        <v>33</v>
      </c>
      <c r="F91" s="71">
        <v>2</v>
      </c>
      <c r="G91" s="71"/>
      <c r="H91" s="77">
        <f t="shared" ref="H91:H98" si="19">E91*F91</f>
        <v>66</v>
      </c>
      <c r="K91" s="71"/>
      <c r="L91" s="71"/>
      <c r="M91" s="71">
        <v>1977</v>
      </c>
      <c r="N91" s="71">
        <f>+N78</f>
        <v>2011</v>
      </c>
      <c r="O91" s="76">
        <f t="shared" ref="O91:O98" si="20">N91-M91</f>
        <v>34</v>
      </c>
      <c r="P91" s="71">
        <v>2</v>
      </c>
      <c r="Q91" s="71"/>
      <c r="R91" s="77">
        <f t="shared" ref="R91:R98" si="21">O91*P91</f>
        <v>68</v>
      </c>
    </row>
    <row r="92" spans="1:18" x14ac:dyDescent="0.2">
      <c r="A92" s="71"/>
      <c r="B92" s="71"/>
      <c r="C92" s="71">
        <v>1981</v>
      </c>
      <c r="D92" s="71">
        <f>+D91</f>
        <v>2010</v>
      </c>
      <c r="E92" s="76">
        <f t="shared" si="18"/>
        <v>29</v>
      </c>
      <c r="F92" s="71">
        <v>4</v>
      </c>
      <c r="G92" s="71"/>
      <c r="H92" s="77">
        <f t="shared" si="19"/>
        <v>116</v>
      </c>
      <c r="K92" s="71"/>
      <c r="L92" s="71"/>
      <c r="M92" s="71">
        <v>1981</v>
      </c>
      <c r="N92" s="71">
        <f>+N91</f>
        <v>2011</v>
      </c>
      <c r="O92" s="76">
        <f t="shared" si="20"/>
        <v>30</v>
      </c>
      <c r="P92" s="71">
        <v>4</v>
      </c>
      <c r="Q92" s="71"/>
      <c r="R92" s="77">
        <f t="shared" si="21"/>
        <v>120</v>
      </c>
    </row>
    <row r="93" spans="1:18" x14ac:dyDescent="0.2">
      <c r="A93" s="71"/>
      <c r="B93" s="71"/>
      <c r="C93" s="71">
        <v>1982</v>
      </c>
      <c r="D93" s="71">
        <f t="shared" ref="D93:D98" si="22">+D92</f>
        <v>2010</v>
      </c>
      <c r="E93" s="76">
        <f t="shared" si="18"/>
        <v>28</v>
      </c>
      <c r="F93" s="71">
        <v>6</v>
      </c>
      <c r="G93" s="71"/>
      <c r="H93" s="77">
        <f t="shared" si="19"/>
        <v>168</v>
      </c>
      <c r="K93" s="71"/>
      <c r="L93" s="71"/>
      <c r="M93" s="71">
        <v>1982</v>
      </c>
      <c r="N93" s="71">
        <f t="shared" ref="N93:N98" si="23">+N92</f>
        <v>2011</v>
      </c>
      <c r="O93" s="76">
        <f t="shared" si="20"/>
        <v>29</v>
      </c>
      <c r="P93" s="71">
        <v>6</v>
      </c>
      <c r="Q93" s="71"/>
      <c r="R93" s="77">
        <f t="shared" si="21"/>
        <v>174</v>
      </c>
    </row>
    <row r="94" spans="1:18" x14ac:dyDescent="0.2">
      <c r="A94" s="71"/>
      <c r="B94" s="71"/>
      <c r="C94" s="71">
        <v>1984</v>
      </c>
      <c r="D94" s="71">
        <f t="shared" si="22"/>
        <v>2010</v>
      </c>
      <c r="E94" s="76">
        <f t="shared" si="18"/>
        <v>26</v>
      </c>
      <c r="F94" s="71">
        <v>4</v>
      </c>
      <c r="G94" s="71"/>
      <c r="H94" s="77">
        <f t="shared" si="19"/>
        <v>104</v>
      </c>
      <c r="K94" s="71"/>
      <c r="L94" s="71"/>
      <c r="M94" s="71">
        <v>1984</v>
      </c>
      <c r="N94" s="71">
        <f t="shared" si="23"/>
        <v>2011</v>
      </c>
      <c r="O94" s="76">
        <f t="shared" si="20"/>
        <v>27</v>
      </c>
      <c r="P94" s="71">
        <v>4</v>
      </c>
      <c r="Q94" s="71"/>
      <c r="R94" s="77">
        <f t="shared" si="21"/>
        <v>108</v>
      </c>
    </row>
    <row r="95" spans="1:18" x14ac:dyDescent="0.2">
      <c r="B95" s="71"/>
      <c r="C95" s="71">
        <v>1985</v>
      </c>
      <c r="D95" s="71">
        <f t="shared" si="22"/>
        <v>2010</v>
      </c>
      <c r="E95" s="76">
        <f t="shared" si="18"/>
        <v>25</v>
      </c>
      <c r="F95" s="71">
        <v>26</v>
      </c>
      <c r="G95" s="71"/>
      <c r="H95" s="77">
        <f t="shared" si="19"/>
        <v>650</v>
      </c>
      <c r="L95" s="71"/>
      <c r="M95" s="71">
        <v>1985</v>
      </c>
      <c r="N95" s="71">
        <f t="shared" si="23"/>
        <v>2011</v>
      </c>
      <c r="O95" s="76">
        <f t="shared" si="20"/>
        <v>26</v>
      </c>
      <c r="P95" s="71">
        <v>26</v>
      </c>
      <c r="Q95" s="71"/>
      <c r="R95" s="77">
        <f t="shared" si="21"/>
        <v>676</v>
      </c>
    </row>
    <row r="96" spans="1:18" x14ac:dyDescent="0.2">
      <c r="A96" s="71"/>
      <c r="B96" s="71"/>
      <c r="C96" s="71">
        <v>1986</v>
      </c>
      <c r="D96" s="71">
        <f t="shared" si="22"/>
        <v>2010</v>
      </c>
      <c r="E96" s="76">
        <f t="shared" si="18"/>
        <v>24</v>
      </c>
      <c r="F96" s="71">
        <v>4</v>
      </c>
      <c r="G96" s="71"/>
      <c r="H96" s="77">
        <f t="shared" si="19"/>
        <v>96</v>
      </c>
      <c r="K96" s="71"/>
      <c r="L96" s="71"/>
      <c r="M96" s="71">
        <v>1986</v>
      </c>
      <c r="N96" s="71">
        <f t="shared" si="23"/>
        <v>2011</v>
      </c>
      <c r="O96" s="76">
        <f t="shared" si="20"/>
        <v>25</v>
      </c>
      <c r="P96" s="71">
        <v>4</v>
      </c>
      <c r="Q96" s="71"/>
      <c r="R96" s="77">
        <f t="shared" si="21"/>
        <v>100</v>
      </c>
    </row>
    <row r="97" spans="1:18" x14ac:dyDescent="0.2">
      <c r="A97" s="71"/>
      <c r="B97" s="71"/>
      <c r="C97" s="71">
        <v>1993</v>
      </c>
      <c r="D97" s="71">
        <f t="shared" si="22"/>
        <v>2010</v>
      </c>
      <c r="E97" s="76">
        <f t="shared" si="18"/>
        <v>17</v>
      </c>
      <c r="F97" s="71">
        <v>1</v>
      </c>
      <c r="G97" s="71"/>
      <c r="H97" s="77">
        <f t="shared" si="19"/>
        <v>17</v>
      </c>
      <c r="K97" s="71"/>
      <c r="L97" s="71"/>
      <c r="M97" s="71">
        <v>1993</v>
      </c>
      <c r="N97" s="71">
        <f t="shared" si="23"/>
        <v>2011</v>
      </c>
      <c r="O97" s="76">
        <f t="shared" si="20"/>
        <v>18</v>
      </c>
      <c r="P97" s="71">
        <v>1</v>
      </c>
      <c r="Q97" s="71"/>
      <c r="R97" s="77">
        <f t="shared" si="21"/>
        <v>18</v>
      </c>
    </row>
    <row r="98" spans="1:18" x14ac:dyDescent="0.2">
      <c r="A98" s="71"/>
      <c r="B98" s="71"/>
      <c r="C98" s="71">
        <v>2000</v>
      </c>
      <c r="D98" s="71">
        <f t="shared" si="22"/>
        <v>2010</v>
      </c>
      <c r="E98" s="76">
        <f t="shared" si="18"/>
        <v>10</v>
      </c>
      <c r="F98" s="71">
        <v>5</v>
      </c>
      <c r="G98" s="71"/>
      <c r="H98" s="77">
        <f t="shared" si="19"/>
        <v>50</v>
      </c>
      <c r="K98" s="71"/>
      <c r="L98" s="71"/>
      <c r="M98" s="71">
        <v>2000</v>
      </c>
      <c r="N98" s="71">
        <f t="shared" si="23"/>
        <v>2011</v>
      </c>
      <c r="O98" s="76">
        <f t="shared" si="20"/>
        <v>11</v>
      </c>
      <c r="P98" s="71">
        <v>5</v>
      </c>
      <c r="Q98" s="71"/>
      <c r="R98" s="77">
        <f t="shared" si="21"/>
        <v>55</v>
      </c>
    </row>
    <row r="99" spans="1:18" ht="18" x14ac:dyDescent="0.25">
      <c r="A99" s="71"/>
      <c r="B99" s="71"/>
      <c r="C99" s="71"/>
      <c r="D99" s="71"/>
      <c r="E99" s="71"/>
      <c r="F99" s="87">
        <f>SUM(F91:F98)</f>
        <v>52</v>
      </c>
      <c r="G99" s="80">
        <f>+H99/F99</f>
        <v>24.365384615384617</v>
      </c>
      <c r="H99" s="84">
        <f>SUM(H91:H98)</f>
        <v>1267</v>
      </c>
      <c r="K99" s="71"/>
      <c r="L99" s="71"/>
      <c r="M99" s="71"/>
      <c r="N99" s="71"/>
      <c r="O99" s="71"/>
      <c r="P99" s="87">
        <f>SUM(P91:P98)</f>
        <v>52</v>
      </c>
      <c r="Q99" s="80">
        <f>+R99/P99</f>
        <v>25.365384615384617</v>
      </c>
      <c r="R99" s="84">
        <f>SUM(R91:R98)</f>
        <v>1319</v>
      </c>
    </row>
    <row r="100" spans="1:18" ht="18" x14ac:dyDescent="0.25">
      <c r="A100" s="71"/>
      <c r="B100" s="71"/>
      <c r="C100" s="71"/>
      <c r="D100" s="71"/>
      <c r="E100" s="71"/>
      <c r="F100" s="88"/>
      <c r="G100" s="83"/>
      <c r="H100" s="86"/>
      <c r="K100" s="71"/>
      <c r="L100" s="71"/>
      <c r="M100" s="71"/>
      <c r="N100" s="71"/>
      <c r="O100" s="71"/>
      <c r="P100" s="88"/>
      <c r="Q100" s="83"/>
      <c r="R100" s="86"/>
    </row>
    <row r="101" spans="1:18" x14ac:dyDescent="0.2">
      <c r="A101" s="71"/>
      <c r="B101" s="71"/>
      <c r="C101" s="71"/>
      <c r="D101" s="71"/>
      <c r="E101" s="71"/>
      <c r="F101" s="71"/>
      <c r="H101" s="77" t="s">
        <v>28</v>
      </c>
      <c r="K101" s="71"/>
      <c r="L101" s="71"/>
      <c r="M101" s="71"/>
      <c r="N101" s="71"/>
      <c r="O101" s="71"/>
      <c r="P101" s="71"/>
      <c r="R101" s="77" t="s">
        <v>28</v>
      </c>
    </row>
    <row r="102" spans="1:18" x14ac:dyDescent="0.2">
      <c r="A102" s="71"/>
      <c r="C102" s="71"/>
      <c r="D102" s="71"/>
      <c r="E102" s="71"/>
      <c r="F102" s="71"/>
      <c r="G102" s="71"/>
      <c r="H102" s="71"/>
      <c r="K102" s="71"/>
      <c r="M102" s="71"/>
      <c r="N102" s="71"/>
      <c r="O102" s="71"/>
      <c r="P102" s="71"/>
      <c r="Q102" s="71"/>
      <c r="R102" s="71"/>
    </row>
    <row r="103" spans="1:18" x14ac:dyDescent="0.2">
      <c r="A103" s="71"/>
      <c r="B103" s="75" t="s">
        <v>162</v>
      </c>
      <c r="C103" s="71"/>
      <c r="D103" s="71"/>
      <c r="E103" s="71"/>
      <c r="F103" s="71"/>
      <c r="G103" s="71"/>
      <c r="H103" s="71"/>
      <c r="K103" s="71"/>
      <c r="L103" s="75" t="s">
        <v>162</v>
      </c>
      <c r="M103" s="71"/>
      <c r="N103" s="71"/>
      <c r="O103" s="71"/>
      <c r="P103" s="71"/>
      <c r="Q103" s="71"/>
      <c r="R103" s="71"/>
    </row>
    <row r="104" spans="1:18" x14ac:dyDescent="0.2">
      <c r="A104" s="71"/>
      <c r="B104" s="71"/>
      <c r="C104" s="71">
        <v>1984</v>
      </c>
      <c r="D104" s="71">
        <f>+D98</f>
        <v>2010</v>
      </c>
      <c r="E104" s="76">
        <f t="shared" ref="E104:E121" si="24">D104-C104</f>
        <v>26</v>
      </c>
      <c r="F104" s="78">
        <v>9</v>
      </c>
      <c r="G104" s="71"/>
      <c r="H104" s="77">
        <f t="shared" ref="H104:H122" si="25">E104*F104</f>
        <v>234</v>
      </c>
      <c r="K104" s="71"/>
      <c r="L104" s="71"/>
      <c r="M104" s="71">
        <v>1984</v>
      </c>
      <c r="N104" s="71">
        <f>+N98</f>
        <v>2011</v>
      </c>
      <c r="O104" s="76">
        <f t="shared" ref="O104:O121" si="26">N104-M104</f>
        <v>27</v>
      </c>
      <c r="P104" s="78">
        <v>9</v>
      </c>
      <c r="Q104" s="71"/>
      <c r="R104" s="77">
        <f t="shared" ref="R104:R121" si="27">O104*P104</f>
        <v>243</v>
      </c>
    </row>
    <row r="105" spans="1:18" x14ac:dyDescent="0.2">
      <c r="A105" s="71"/>
      <c r="B105" s="71"/>
      <c r="C105" s="71">
        <v>1985</v>
      </c>
      <c r="D105" s="71">
        <f>+D104</f>
        <v>2010</v>
      </c>
      <c r="E105" s="76">
        <f t="shared" si="24"/>
        <v>25</v>
      </c>
      <c r="F105" s="78">
        <v>5</v>
      </c>
      <c r="G105" s="71"/>
      <c r="H105" s="77">
        <f t="shared" si="25"/>
        <v>125</v>
      </c>
      <c r="K105" s="71"/>
      <c r="L105" s="71"/>
      <c r="M105" s="71">
        <v>1985</v>
      </c>
      <c r="N105" s="71">
        <f>+N104</f>
        <v>2011</v>
      </c>
      <c r="O105" s="76">
        <f t="shared" si="26"/>
        <v>26</v>
      </c>
      <c r="P105" s="78">
        <v>5</v>
      </c>
      <c r="Q105" s="71"/>
      <c r="R105" s="77">
        <f t="shared" si="27"/>
        <v>130</v>
      </c>
    </row>
    <row r="106" spans="1:18" x14ac:dyDescent="0.2">
      <c r="A106" s="71"/>
      <c r="B106" s="71"/>
      <c r="C106" s="71">
        <v>1986</v>
      </c>
      <c r="D106" s="71">
        <f t="shared" ref="D106:D121" si="28">+D105</f>
        <v>2010</v>
      </c>
      <c r="E106" s="76">
        <f t="shared" si="24"/>
        <v>24</v>
      </c>
      <c r="F106" s="78">
        <v>4</v>
      </c>
      <c r="G106" s="71"/>
      <c r="H106" s="77">
        <f t="shared" si="25"/>
        <v>96</v>
      </c>
      <c r="K106" s="71"/>
      <c r="L106" s="71"/>
      <c r="M106" s="71">
        <v>1986</v>
      </c>
      <c r="N106" s="71">
        <f t="shared" ref="N106:N121" si="29">+N105</f>
        <v>2011</v>
      </c>
      <c r="O106" s="76">
        <f t="shared" si="26"/>
        <v>25</v>
      </c>
      <c r="P106" s="78">
        <v>4</v>
      </c>
      <c r="Q106" s="71"/>
      <c r="R106" s="77">
        <f t="shared" si="27"/>
        <v>100</v>
      </c>
    </row>
    <row r="107" spans="1:18" x14ac:dyDescent="0.2">
      <c r="A107" s="71"/>
      <c r="B107" s="71"/>
      <c r="C107" s="71">
        <v>1987</v>
      </c>
      <c r="D107" s="71">
        <f t="shared" si="28"/>
        <v>2010</v>
      </c>
      <c r="E107" s="76">
        <f t="shared" si="24"/>
        <v>23</v>
      </c>
      <c r="F107" s="78">
        <v>7</v>
      </c>
      <c r="G107" s="71" t="s">
        <v>28</v>
      </c>
      <c r="H107" s="77">
        <f t="shared" si="25"/>
        <v>161</v>
      </c>
      <c r="K107" s="71"/>
      <c r="L107" s="71"/>
      <c r="M107" s="71">
        <v>1987</v>
      </c>
      <c r="N107" s="71">
        <f t="shared" si="29"/>
        <v>2011</v>
      </c>
      <c r="O107" s="76">
        <f t="shared" si="26"/>
        <v>24</v>
      </c>
      <c r="P107" s="78">
        <v>7</v>
      </c>
      <c r="Q107" s="71" t="s">
        <v>28</v>
      </c>
      <c r="R107" s="77">
        <f t="shared" si="27"/>
        <v>168</v>
      </c>
    </row>
    <row r="108" spans="1:18" x14ac:dyDescent="0.2">
      <c r="A108" s="71"/>
      <c r="B108" s="71"/>
      <c r="C108" s="71">
        <v>1988</v>
      </c>
      <c r="D108" s="71">
        <f t="shared" si="28"/>
        <v>2010</v>
      </c>
      <c r="E108" s="76">
        <f t="shared" si="24"/>
        <v>22</v>
      </c>
      <c r="F108" s="78">
        <v>8</v>
      </c>
      <c r="G108" s="71"/>
      <c r="H108" s="77">
        <f t="shared" si="25"/>
        <v>176</v>
      </c>
      <c r="K108" s="71"/>
      <c r="L108" s="71"/>
      <c r="M108" s="71">
        <v>1988</v>
      </c>
      <c r="N108" s="71">
        <f t="shared" si="29"/>
        <v>2011</v>
      </c>
      <c r="O108" s="76">
        <f t="shared" si="26"/>
        <v>23</v>
      </c>
      <c r="P108" s="78">
        <v>8</v>
      </c>
      <c r="Q108" s="71"/>
      <c r="R108" s="77">
        <f t="shared" si="27"/>
        <v>184</v>
      </c>
    </row>
    <row r="109" spans="1:18" x14ac:dyDescent="0.2">
      <c r="A109" s="71"/>
      <c r="B109" s="71"/>
      <c r="C109" s="71">
        <v>1990</v>
      </c>
      <c r="D109" s="71">
        <f t="shared" si="28"/>
        <v>2010</v>
      </c>
      <c r="E109" s="76">
        <f t="shared" si="24"/>
        <v>20</v>
      </c>
      <c r="F109" s="78">
        <v>3</v>
      </c>
      <c r="G109" s="71"/>
      <c r="H109" s="77">
        <f t="shared" si="25"/>
        <v>60</v>
      </c>
      <c r="K109" s="71"/>
      <c r="L109" s="71"/>
      <c r="M109" s="71">
        <v>1990</v>
      </c>
      <c r="N109" s="71">
        <f t="shared" si="29"/>
        <v>2011</v>
      </c>
      <c r="O109" s="76">
        <f t="shared" si="26"/>
        <v>21</v>
      </c>
      <c r="P109" s="78">
        <v>3</v>
      </c>
      <c r="Q109" s="71"/>
      <c r="R109" s="77">
        <f t="shared" si="27"/>
        <v>63</v>
      </c>
    </row>
    <row r="110" spans="1:18" x14ac:dyDescent="0.2">
      <c r="A110" s="71"/>
      <c r="B110" s="71"/>
      <c r="C110" s="71">
        <v>1992</v>
      </c>
      <c r="D110" s="71">
        <f t="shared" si="28"/>
        <v>2010</v>
      </c>
      <c r="E110" s="76">
        <f t="shared" si="24"/>
        <v>18</v>
      </c>
      <c r="F110" s="78">
        <v>1</v>
      </c>
      <c r="G110" s="71"/>
      <c r="H110" s="77">
        <f t="shared" si="25"/>
        <v>18</v>
      </c>
      <c r="K110" s="71"/>
      <c r="L110" s="71"/>
      <c r="M110" s="71">
        <v>1992</v>
      </c>
      <c r="N110" s="71">
        <f t="shared" si="29"/>
        <v>2011</v>
      </c>
      <c r="O110" s="76">
        <f t="shared" si="26"/>
        <v>19</v>
      </c>
      <c r="P110" s="78">
        <v>1</v>
      </c>
      <c r="Q110" s="71"/>
      <c r="R110" s="77">
        <f t="shared" si="27"/>
        <v>19</v>
      </c>
    </row>
    <row r="111" spans="1:18" x14ac:dyDescent="0.2">
      <c r="A111" s="71"/>
      <c r="B111" s="71"/>
      <c r="C111" s="71">
        <v>1993</v>
      </c>
      <c r="D111" s="71">
        <f t="shared" si="28"/>
        <v>2010</v>
      </c>
      <c r="E111" s="76">
        <f t="shared" si="24"/>
        <v>17</v>
      </c>
      <c r="F111" s="78">
        <v>1</v>
      </c>
      <c r="G111" s="71"/>
      <c r="H111" s="77">
        <f t="shared" si="25"/>
        <v>17</v>
      </c>
      <c r="K111" s="71"/>
      <c r="L111" s="71"/>
      <c r="M111" s="71">
        <v>1993</v>
      </c>
      <c r="N111" s="71">
        <f t="shared" si="29"/>
        <v>2011</v>
      </c>
      <c r="O111" s="76">
        <f t="shared" si="26"/>
        <v>18</v>
      </c>
      <c r="P111" s="78">
        <v>1</v>
      </c>
      <c r="Q111" s="71"/>
      <c r="R111" s="77">
        <f t="shared" si="27"/>
        <v>18</v>
      </c>
    </row>
    <row r="112" spans="1:18" x14ac:dyDescent="0.2">
      <c r="A112" s="71"/>
      <c r="B112" s="71"/>
      <c r="C112" s="71">
        <v>1994</v>
      </c>
      <c r="D112" s="71">
        <f t="shared" si="28"/>
        <v>2010</v>
      </c>
      <c r="E112" s="76">
        <f t="shared" si="24"/>
        <v>16</v>
      </c>
      <c r="F112" s="78">
        <v>10</v>
      </c>
      <c r="G112" s="71"/>
      <c r="H112" s="77">
        <f t="shared" si="25"/>
        <v>160</v>
      </c>
      <c r="K112" s="71"/>
      <c r="L112" s="71"/>
      <c r="M112" s="71">
        <v>1994</v>
      </c>
      <c r="N112" s="71">
        <f t="shared" si="29"/>
        <v>2011</v>
      </c>
      <c r="O112" s="76">
        <f t="shared" si="26"/>
        <v>17</v>
      </c>
      <c r="P112" s="78">
        <v>10</v>
      </c>
      <c r="Q112" s="71"/>
      <c r="R112" s="77">
        <f t="shared" si="27"/>
        <v>170</v>
      </c>
    </row>
    <row r="113" spans="1:18" x14ac:dyDescent="0.2">
      <c r="A113" s="71"/>
      <c r="B113" s="71"/>
      <c r="C113" s="71">
        <v>1995</v>
      </c>
      <c r="D113" s="71">
        <f t="shared" si="28"/>
        <v>2010</v>
      </c>
      <c r="E113" s="76">
        <f t="shared" si="24"/>
        <v>15</v>
      </c>
      <c r="F113" s="78">
        <v>1</v>
      </c>
      <c r="G113" s="71"/>
      <c r="H113" s="77">
        <f t="shared" si="25"/>
        <v>15</v>
      </c>
      <c r="K113" s="71"/>
      <c r="L113" s="71"/>
      <c r="M113" s="71">
        <v>1995</v>
      </c>
      <c r="N113" s="71">
        <f t="shared" si="29"/>
        <v>2011</v>
      </c>
      <c r="O113" s="76">
        <f t="shared" si="26"/>
        <v>16</v>
      </c>
      <c r="P113" s="78">
        <v>1</v>
      </c>
      <c r="Q113" s="71"/>
      <c r="R113" s="77">
        <f t="shared" si="27"/>
        <v>16</v>
      </c>
    </row>
    <row r="114" spans="1:18" x14ac:dyDescent="0.2">
      <c r="A114" s="71"/>
      <c r="B114" s="71"/>
      <c r="C114" s="71">
        <v>1997</v>
      </c>
      <c r="D114" s="71">
        <f t="shared" si="28"/>
        <v>2010</v>
      </c>
      <c r="E114" s="76">
        <f t="shared" si="24"/>
        <v>13</v>
      </c>
      <c r="F114" s="78">
        <v>5</v>
      </c>
      <c r="G114" s="71"/>
      <c r="H114" s="77">
        <f t="shared" si="25"/>
        <v>65</v>
      </c>
      <c r="K114" s="71"/>
      <c r="L114" s="71"/>
      <c r="M114" s="71">
        <v>1997</v>
      </c>
      <c r="N114" s="71">
        <f t="shared" si="29"/>
        <v>2011</v>
      </c>
      <c r="O114" s="76">
        <f t="shared" si="26"/>
        <v>14</v>
      </c>
      <c r="P114" s="78">
        <v>5</v>
      </c>
      <c r="Q114" s="71"/>
      <c r="R114" s="77">
        <f t="shared" si="27"/>
        <v>70</v>
      </c>
    </row>
    <row r="115" spans="1:18" x14ac:dyDescent="0.2">
      <c r="A115" s="71"/>
      <c r="C115">
        <v>1999</v>
      </c>
      <c r="D115" s="71">
        <f t="shared" si="28"/>
        <v>2010</v>
      </c>
      <c r="E115" s="76">
        <f t="shared" si="24"/>
        <v>11</v>
      </c>
      <c r="F115">
        <v>7</v>
      </c>
      <c r="H115" s="77">
        <f t="shared" si="25"/>
        <v>77</v>
      </c>
      <c r="K115" s="71"/>
      <c r="M115">
        <v>1999</v>
      </c>
      <c r="N115" s="71">
        <f t="shared" si="29"/>
        <v>2011</v>
      </c>
      <c r="O115" s="76">
        <f t="shared" si="26"/>
        <v>12</v>
      </c>
      <c r="P115">
        <v>7</v>
      </c>
      <c r="R115" s="77">
        <f t="shared" si="27"/>
        <v>84</v>
      </c>
    </row>
    <row r="116" spans="1:18" x14ac:dyDescent="0.2">
      <c r="A116" s="71"/>
      <c r="B116" s="71"/>
      <c r="C116" s="71">
        <v>2001</v>
      </c>
      <c r="D116" s="71">
        <f t="shared" si="28"/>
        <v>2010</v>
      </c>
      <c r="E116" s="76">
        <f t="shared" si="24"/>
        <v>9</v>
      </c>
      <c r="F116" s="78">
        <v>18</v>
      </c>
      <c r="G116" s="71"/>
      <c r="H116" s="77">
        <f t="shared" si="25"/>
        <v>162</v>
      </c>
      <c r="K116" s="71"/>
      <c r="L116" s="71"/>
      <c r="M116" s="71">
        <v>2001</v>
      </c>
      <c r="N116" s="71">
        <f t="shared" si="29"/>
        <v>2011</v>
      </c>
      <c r="O116" s="76">
        <f t="shared" si="26"/>
        <v>10</v>
      </c>
      <c r="P116" s="78">
        <v>18</v>
      </c>
      <c r="Q116" s="71"/>
      <c r="R116" s="77">
        <f t="shared" si="27"/>
        <v>180</v>
      </c>
    </row>
    <row r="117" spans="1:18" x14ac:dyDescent="0.2">
      <c r="A117" s="71"/>
      <c r="B117" s="71"/>
      <c r="C117" s="71">
        <v>2003</v>
      </c>
      <c r="D117" s="71">
        <f t="shared" si="28"/>
        <v>2010</v>
      </c>
      <c r="E117" s="76">
        <f t="shared" si="24"/>
        <v>7</v>
      </c>
      <c r="F117" s="78">
        <v>20</v>
      </c>
      <c r="G117" s="71"/>
      <c r="H117" s="77">
        <f t="shared" si="25"/>
        <v>140</v>
      </c>
      <c r="K117" s="71"/>
      <c r="L117" s="71"/>
      <c r="M117" s="71">
        <v>2003</v>
      </c>
      <c r="N117" s="71">
        <f t="shared" si="29"/>
        <v>2011</v>
      </c>
      <c r="O117" s="76">
        <f t="shared" si="26"/>
        <v>8</v>
      </c>
      <c r="P117" s="78">
        <v>20</v>
      </c>
      <c r="Q117" s="71"/>
      <c r="R117" s="77">
        <f t="shared" si="27"/>
        <v>160</v>
      </c>
    </row>
    <row r="118" spans="1:18" x14ac:dyDescent="0.2">
      <c r="A118" s="71"/>
      <c r="B118" s="71"/>
      <c r="C118" s="71">
        <v>2004</v>
      </c>
      <c r="D118" s="71">
        <f t="shared" si="28"/>
        <v>2010</v>
      </c>
      <c r="E118" s="76">
        <f t="shared" si="24"/>
        <v>6</v>
      </c>
      <c r="F118" s="78">
        <v>8</v>
      </c>
      <c r="G118" s="71"/>
      <c r="H118" s="77">
        <f t="shared" si="25"/>
        <v>48</v>
      </c>
      <c r="K118" s="71"/>
      <c r="L118" s="71"/>
      <c r="M118" s="71">
        <v>2004</v>
      </c>
      <c r="N118" s="71">
        <f t="shared" si="29"/>
        <v>2011</v>
      </c>
      <c r="O118" s="76">
        <f t="shared" si="26"/>
        <v>7</v>
      </c>
      <c r="P118" s="78">
        <v>8</v>
      </c>
      <c r="Q118" s="71"/>
      <c r="R118" s="77">
        <f t="shared" si="27"/>
        <v>56</v>
      </c>
    </row>
    <row r="119" spans="1:18" x14ac:dyDescent="0.2">
      <c r="A119" s="71"/>
      <c r="B119" s="71"/>
      <c r="C119" s="71">
        <v>2005</v>
      </c>
      <c r="D119" s="71">
        <f t="shared" si="28"/>
        <v>2010</v>
      </c>
      <c r="E119" s="76">
        <f t="shared" si="24"/>
        <v>5</v>
      </c>
      <c r="F119" s="78">
        <v>3</v>
      </c>
      <c r="G119" s="71"/>
      <c r="H119" s="77">
        <f t="shared" si="25"/>
        <v>15</v>
      </c>
      <c r="K119" s="71"/>
      <c r="L119" s="71"/>
      <c r="M119" s="71">
        <v>2005</v>
      </c>
      <c r="N119" s="71">
        <f t="shared" si="29"/>
        <v>2011</v>
      </c>
      <c r="O119" s="76">
        <f t="shared" si="26"/>
        <v>6</v>
      </c>
      <c r="P119" s="78">
        <v>3</v>
      </c>
      <c r="Q119" s="71"/>
      <c r="R119" s="77">
        <f t="shared" si="27"/>
        <v>18</v>
      </c>
    </row>
    <row r="120" spans="1:18" x14ac:dyDescent="0.2">
      <c r="A120" s="71"/>
      <c r="B120" s="71"/>
      <c r="C120" s="71">
        <v>2006</v>
      </c>
      <c r="D120" s="71">
        <f t="shared" si="28"/>
        <v>2010</v>
      </c>
      <c r="E120" s="76">
        <f t="shared" si="24"/>
        <v>4</v>
      </c>
      <c r="F120" s="78">
        <v>14</v>
      </c>
      <c r="G120" s="71"/>
      <c r="H120" s="77">
        <f t="shared" si="25"/>
        <v>56</v>
      </c>
      <c r="K120" s="71"/>
      <c r="L120" s="71"/>
      <c r="M120" s="71">
        <v>2006</v>
      </c>
      <c r="N120" s="71">
        <f t="shared" si="29"/>
        <v>2011</v>
      </c>
      <c r="O120" s="76">
        <f t="shared" si="26"/>
        <v>5</v>
      </c>
      <c r="P120" s="78">
        <v>14</v>
      </c>
      <c r="Q120" s="71"/>
      <c r="R120" s="77">
        <f t="shared" si="27"/>
        <v>70</v>
      </c>
    </row>
    <row r="121" spans="1:18" x14ac:dyDescent="0.2">
      <c r="A121" s="71"/>
      <c r="B121" s="71"/>
      <c r="C121" s="71">
        <v>2007</v>
      </c>
      <c r="D121" s="71">
        <f t="shared" si="28"/>
        <v>2010</v>
      </c>
      <c r="E121" s="76">
        <f t="shared" si="24"/>
        <v>3</v>
      </c>
      <c r="F121" s="78">
        <v>12</v>
      </c>
      <c r="G121" s="71"/>
      <c r="H121" s="77">
        <f t="shared" si="25"/>
        <v>36</v>
      </c>
      <c r="K121" s="71"/>
      <c r="L121" s="71"/>
      <c r="M121" s="71">
        <v>2007</v>
      </c>
      <c r="N121" s="71">
        <f t="shared" si="29"/>
        <v>2011</v>
      </c>
      <c r="O121" s="76">
        <f t="shared" si="26"/>
        <v>4</v>
      </c>
      <c r="P121" s="78">
        <v>12</v>
      </c>
      <c r="Q121" s="71"/>
      <c r="R121" s="77">
        <f t="shared" si="27"/>
        <v>48</v>
      </c>
    </row>
    <row r="122" spans="1:18" x14ac:dyDescent="0.2">
      <c r="A122" s="71"/>
      <c r="B122" s="71"/>
      <c r="C122" s="71">
        <v>2008</v>
      </c>
      <c r="D122" s="71">
        <f>+D121</f>
        <v>2010</v>
      </c>
      <c r="E122" s="76">
        <f>D122-C122</f>
        <v>2</v>
      </c>
      <c r="F122" s="78">
        <v>14</v>
      </c>
      <c r="G122" s="71"/>
      <c r="H122" s="77">
        <f t="shared" si="25"/>
        <v>28</v>
      </c>
      <c r="K122" s="71"/>
      <c r="L122" s="71"/>
      <c r="M122" s="71">
        <v>2008</v>
      </c>
      <c r="N122" s="71">
        <f>+N121</f>
        <v>2011</v>
      </c>
      <c r="O122" s="76">
        <f>N122-M122</f>
        <v>3</v>
      </c>
      <c r="P122" s="78">
        <v>14</v>
      </c>
      <c r="Q122" s="71"/>
      <c r="R122" s="77">
        <f>O122*P122</f>
        <v>42</v>
      </c>
    </row>
    <row r="123" spans="1:18" x14ac:dyDescent="0.2">
      <c r="A123" s="71"/>
      <c r="B123" s="71"/>
      <c r="C123" s="71"/>
      <c r="D123" s="71"/>
      <c r="E123" s="76"/>
      <c r="F123" s="78"/>
      <c r="G123" s="71"/>
      <c r="H123" s="77"/>
      <c r="K123" s="71"/>
      <c r="L123" s="71"/>
      <c r="M123" s="71" t="s">
        <v>28</v>
      </c>
      <c r="N123" s="71"/>
      <c r="O123" s="76"/>
      <c r="P123" s="78"/>
      <c r="Q123" s="71"/>
      <c r="R123" s="77"/>
    </row>
    <row r="124" spans="1:18" ht="18" x14ac:dyDescent="0.25">
      <c r="B124" s="70" t="s">
        <v>28</v>
      </c>
      <c r="C124" s="71"/>
      <c r="D124" s="71"/>
      <c r="E124" s="71"/>
      <c r="F124" s="82">
        <f>SUM(F104:F123)</f>
        <v>150</v>
      </c>
      <c r="G124" s="80">
        <f>+H124/F124</f>
        <v>11.26</v>
      </c>
      <c r="H124" s="84">
        <f>SUM(H104:H123)</f>
        <v>1689</v>
      </c>
      <c r="L124" s="70" t="s">
        <v>28</v>
      </c>
      <c r="M124" s="71"/>
      <c r="N124" s="71"/>
      <c r="O124" s="71"/>
      <c r="P124" s="82">
        <f>SUM(P104:P123)</f>
        <v>150</v>
      </c>
      <c r="Q124" s="80">
        <f>+R124/P124</f>
        <v>12.26</v>
      </c>
      <c r="R124" s="84">
        <f>SUM(R104:R123)</f>
        <v>1839</v>
      </c>
    </row>
    <row r="125" spans="1:18" x14ac:dyDescent="0.2">
      <c r="A125" s="71"/>
      <c r="B125" s="71"/>
      <c r="C125" s="71"/>
      <c r="D125" s="71"/>
      <c r="E125" s="71"/>
      <c r="F125" s="71"/>
      <c r="H125" s="71"/>
      <c r="K125" s="71"/>
      <c r="L125" s="71"/>
      <c r="M125" s="71"/>
      <c r="N125" s="71"/>
      <c r="O125" s="71"/>
      <c r="P125" s="71"/>
      <c r="R125" s="71"/>
    </row>
    <row r="126" spans="1:18" x14ac:dyDescent="0.2">
      <c r="A126" s="71"/>
      <c r="B126" s="71"/>
      <c r="C126" s="71"/>
      <c r="D126" s="71"/>
      <c r="E126" s="71"/>
      <c r="F126" s="71"/>
      <c r="G126" s="71"/>
      <c r="H126" s="71"/>
      <c r="K126" s="71"/>
      <c r="L126" s="71"/>
      <c r="M126" s="71"/>
      <c r="N126" s="71"/>
      <c r="O126" s="71"/>
      <c r="P126" s="71"/>
      <c r="Q126" s="71"/>
      <c r="R126" s="71"/>
    </row>
    <row r="127" spans="1:18" x14ac:dyDescent="0.2">
      <c r="A127" s="71"/>
      <c r="B127" s="71"/>
      <c r="C127" s="71"/>
      <c r="D127" s="71"/>
      <c r="E127" s="71"/>
      <c r="F127" s="71"/>
      <c r="G127" s="71"/>
      <c r="H127" s="71"/>
      <c r="K127" s="71"/>
      <c r="L127" s="71"/>
      <c r="M127" s="71"/>
      <c r="N127" s="71"/>
      <c r="O127" s="71"/>
      <c r="P127" s="71"/>
      <c r="Q127" s="71"/>
      <c r="R127" s="71"/>
    </row>
    <row r="128" spans="1:18" x14ac:dyDescent="0.2">
      <c r="A128" s="71"/>
      <c r="B128" s="71"/>
      <c r="C128" s="71"/>
      <c r="D128" s="71"/>
      <c r="E128" s="71"/>
      <c r="F128" s="71"/>
      <c r="G128" s="71"/>
      <c r="H128" s="71"/>
      <c r="K128" s="71"/>
      <c r="L128" s="71"/>
      <c r="M128" s="71"/>
      <c r="N128" s="71"/>
      <c r="O128" s="71"/>
      <c r="P128" s="71"/>
      <c r="Q128" s="71"/>
      <c r="R128" s="71"/>
    </row>
    <row r="129" spans="1:18" x14ac:dyDescent="0.2">
      <c r="A129" s="71"/>
      <c r="C129" s="71"/>
      <c r="D129" s="71"/>
      <c r="E129" s="71"/>
      <c r="F129" s="71"/>
      <c r="G129" s="71"/>
      <c r="H129" s="71"/>
      <c r="K129" s="71"/>
      <c r="M129" s="71"/>
      <c r="N129" s="71"/>
      <c r="O129" s="71"/>
      <c r="P129" s="71"/>
      <c r="Q129" s="71"/>
      <c r="R129" s="71"/>
    </row>
    <row r="130" spans="1:18" x14ac:dyDescent="0.2">
      <c r="A130" s="71"/>
      <c r="B130" s="75" t="s">
        <v>163</v>
      </c>
      <c r="C130" s="71"/>
      <c r="D130" s="71"/>
      <c r="E130" s="71"/>
      <c r="F130" s="71"/>
      <c r="G130" s="71"/>
      <c r="H130" s="71"/>
      <c r="K130" s="71"/>
      <c r="L130" s="75" t="s">
        <v>163</v>
      </c>
      <c r="M130" s="71"/>
      <c r="N130" s="71"/>
      <c r="O130" s="71"/>
      <c r="P130" s="71"/>
      <c r="Q130" s="71"/>
      <c r="R130" s="71"/>
    </row>
    <row r="131" spans="1:18" x14ac:dyDescent="0.2">
      <c r="A131" s="71"/>
      <c r="B131" s="75"/>
      <c r="C131" s="71">
        <v>1994</v>
      </c>
      <c r="D131" s="71">
        <f>+D118</f>
        <v>2010</v>
      </c>
      <c r="E131" s="76">
        <f>D131-C131</f>
        <v>16</v>
      </c>
      <c r="F131" s="78">
        <v>2</v>
      </c>
      <c r="G131" s="71"/>
      <c r="H131" s="77">
        <f>E131*F131</f>
        <v>32</v>
      </c>
      <c r="K131" s="71"/>
      <c r="L131" s="75"/>
      <c r="M131" s="71">
        <v>1994</v>
      </c>
      <c r="N131" s="71">
        <f>+N118</f>
        <v>2011</v>
      </c>
      <c r="O131" s="76">
        <f>N131-M131</f>
        <v>17</v>
      </c>
      <c r="P131" s="78">
        <v>2</v>
      </c>
      <c r="Q131" s="71"/>
      <c r="R131" s="77">
        <f>O131*P131</f>
        <v>34</v>
      </c>
    </row>
    <row r="132" spans="1:18" x14ac:dyDescent="0.2">
      <c r="B132" s="71"/>
      <c r="C132" s="71">
        <v>2007</v>
      </c>
      <c r="D132" s="71">
        <f>+D119</f>
        <v>2010</v>
      </c>
      <c r="E132" s="76">
        <f>D132-C132</f>
        <v>3</v>
      </c>
      <c r="F132" s="78">
        <v>3</v>
      </c>
      <c r="G132" s="71"/>
      <c r="H132" s="77">
        <f>E132*F132</f>
        <v>9</v>
      </c>
      <c r="L132" s="71"/>
      <c r="M132" s="71">
        <v>2007</v>
      </c>
      <c r="N132" s="71">
        <f>+N119</f>
        <v>2011</v>
      </c>
      <c r="O132" s="76">
        <f>N132-M132</f>
        <v>4</v>
      </c>
      <c r="P132" s="78">
        <v>3</v>
      </c>
      <c r="Q132" s="71"/>
      <c r="R132" s="77">
        <f>O132*P132</f>
        <v>12</v>
      </c>
    </row>
    <row r="133" spans="1:18" ht="18" x14ac:dyDescent="0.25">
      <c r="C133" s="71"/>
      <c r="D133" s="71"/>
      <c r="E133" s="71"/>
      <c r="F133" s="82">
        <f>SUM(F131:F132)</f>
        <v>5</v>
      </c>
      <c r="G133" s="80">
        <f>+H133/F133</f>
        <v>8.1999999999999993</v>
      </c>
      <c r="H133" s="91">
        <f>SUM(H131:H132)</f>
        <v>41</v>
      </c>
      <c r="M133" s="71"/>
      <c r="N133" s="71"/>
      <c r="O133" s="71"/>
      <c r="P133" s="82">
        <f>SUM(P131:P132)</f>
        <v>5</v>
      </c>
      <c r="Q133" s="80">
        <f>+R133/P133</f>
        <v>9.1999999999999993</v>
      </c>
      <c r="R133" s="91">
        <f>SUM(R131:R132)</f>
        <v>46</v>
      </c>
    </row>
  </sheetData>
  <mergeCells count="2">
    <mergeCell ref="F2:H2"/>
    <mergeCell ref="P2:R2"/>
  </mergeCells>
  <phoneticPr fontId="0" type="noConversion"/>
  <printOptions horizontalCentered="1" verticalCentered="1"/>
  <pageMargins left="0.75" right="0.75" top="1" bottom="1" header="0" footer="0"/>
  <pageSetup scale="85" orientation="portrait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G94"/>
  <sheetViews>
    <sheetView zoomScale="75" workbookViewId="0"/>
  </sheetViews>
  <sheetFormatPr baseColWidth="10" defaultRowHeight="12.75" x14ac:dyDescent="0.2"/>
  <cols>
    <col min="7" max="7" width="14.85546875" customWidth="1"/>
  </cols>
  <sheetData>
    <row r="1" spans="1:7" x14ac:dyDescent="0.2">
      <c r="A1" s="70" t="s">
        <v>0</v>
      </c>
      <c r="B1" s="71"/>
      <c r="C1" s="71"/>
      <c r="D1" s="71"/>
      <c r="E1" s="71"/>
      <c r="F1" s="71"/>
      <c r="G1" s="71"/>
    </row>
    <row r="2" spans="1:7" x14ac:dyDescent="0.2">
      <c r="A2" s="70" t="s">
        <v>150</v>
      </c>
      <c r="B2" s="71"/>
      <c r="C2" s="71"/>
      <c r="D2" s="71"/>
      <c r="E2" s="71"/>
      <c r="F2" s="71"/>
      <c r="G2" s="71"/>
    </row>
    <row r="3" spans="1:7" ht="13.5" thickBot="1" x14ac:dyDescent="0.25">
      <c r="A3" s="70" t="s">
        <v>463</v>
      </c>
      <c r="B3" s="71"/>
      <c r="C3" s="71"/>
      <c r="D3" s="71"/>
      <c r="E3" s="71"/>
      <c r="F3" s="71"/>
      <c r="G3" s="71"/>
    </row>
    <row r="4" spans="1:7" ht="13.5" thickTop="1" x14ac:dyDescent="0.2">
      <c r="A4" s="72"/>
      <c r="B4" s="72"/>
      <c r="C4" s="72"/>
      <c r="D4" s="72"/>
      <c r="E4" s="72"/>
      <c r="F4" s="73" t="s">
        <v>151</v>
      </c>
      <c r="G4" s="72"/>
    </row>
    <row r="5" spans="1:7" x14ac:dyDescent="0.2">
      <c r="A5" s="70"/>
      <c r="B5" s="71"/>
      <c r="C5" s="71"/>
      <c r="D5" s="74" t="s">
        <v>152</v>
      </c>
      <c r="E5" s="74" t="s">
        <v>153</v>
      </c>
      <c r="F5" s="74" t="s">
        <v>154</v>
      </c>
      <c r="G5" s="74" t="s">
        <v>155</v>
      </c>
    </row>
    <row r="6" spans="1:7" x14ac:dyDescent="0.2">
      <c r="B6" s="71"/>
      <c r="C6" s="71"/>
      <c r="D6" s="74"/>
      <c r="E6" s="74"/>
      <c r="F6" s="74"/>
      <c r="G6" s="74"/>
    </row>
    <row r="7" spans="1:7" x14ac:dyDescent="0.2">
      <c r="A7" s="71"/>
      <c r="B7" s="75" t="s">
        <v>156</v>
      </c>
      <c r="C7" s="71"/>
      <c r="D7" s="74"/>
      <c r="E7" s="74"/>
      <c r="F7" s="74"/>
      <c r="G7" s="74"/>
    </row>
    <row r="8" spans="1:7" x14ac:dyDescent="0.2">
      <c r="A8" s="71"/>
      <c r="B8" s="71"/>
      <c r="D8">
        <v>2011</v>
      </c>
    </row>
    <row r="9" spans="1:7" x14ac:dyDescent="0.2">
      <c r="A9" s="71"/>
      <c r="B9" s="71"/>
    </row>
    <row r="10" spans="1:7" x14ac:dyDescent="0.2">
      <c r="A10" s="71"/>
      <c r="B10" s="71"/>
      <c r="C10" s="71">
        <v>1996</v>
      </c>
      <c r="D10" s="76">
        <f>+$D$8-C10</f>
        <v>15</v>
      </c>
      <c r="E10" s="78">
        <f>+'activo-detalle'!G11</f>
        <v>10</v>
      </c>
      <c r="F10" s="71"/>
      <c r="G10" s="77">
        <f t="shared" ref="G10:G21" si="0">D10*E10</f>
        <v>150</v>
      </c>
    </row>
    <row r="11" spans="1:7" x14ac:dyDescent="0.2">
      <c r="A11" s="71"/>
      <c r="B11" s="71"/>
      <c r="C11" s="71">
        <v>1997</v>
      </c>
      <c r="D11" s="76">
        <f t="shared" ref="D11:D23" si="1">+$D$8-C11</f>
        <v>14</v>
      </c>
      <c r="E11" s="78">
        <f>+'activo-detalle'!G12</f>
        <v>44</v>
      </c>
      <c r="F11" s="71"/>
      <c r="G11" s="77">
        <f t="shared" si="0"/>
        <v>616</v>
      </c>
    </row>
    <row r="12" spans="1:7" x14ac:dyDescent="0.2">
      <c r="A12" s="71"/>
      <c r="B12" s="71"/>
      <c r="C12" s="71">
        <v>1998</v>
      </c>
      <c r="D12" s="76">
        <f t="shared" si="1"/>
        <v>13</v>
      </c>
      <c r="E12" s="78">
        <f>+'activo-detalle'!G13</f>
        <v>5</v>
      </c>
      <c r="F12" s="71"/>
      <c r="G12" s="77">
        <f t="shared" si="0"/>
        <v>65</v>
      </c>
    </row>
    <row r="13" spans="1:7" x14ac:dyDescent="0.2">
      <c r="A13" s="71"/>
      <c r="B13" s="71"/>
      <c r="C13" s="71">
        <v>1999</v>
      </c>
      <c r="D13" s="76">
        <f t="shared" si="1"/>
        <v>12</v>
      </c>
      <c r="E13" s="78">
        <f>+'activo-detalle'!G14</f>
        <v>10</v>
      </c>
      <c r="F13" s="71"/>
      <c r="G13" s="77">
        <f t="shared" si="0"/>
        <v>120</v>
      </c>
    </row>
    <row r="14" spans="1:7" x14ac:dyDescent="0.2">
      <c r="A14" s="71"/>
      <c r="B14" s="71"/>
      <c r="C14" s="71">
        <v>2000</v>
      </c>
      <c r="D14" s="76">
        <f t="shared" si="1"/>
        <v>11</v>
      </c>
      <c r="E14" s="78">
        <f>+'activo-detalle'!G15</f>
        <v>1</v>
      </c>
      <c r="F14" s="71"/>
      <c r="G14" s="77">
        <f t="shared" si="0"/>
        <v>11</v>
      </c>
    </row>
    <row r="15" spans="1:7" x14ac:dyDescent="0.2">
      <c r="A15" s="71"/>
      <c r="B15" s="71"/>
      <c r="C15" s="71">
        <v>2002</v>
      </c>
      <c r="D15" s="76">
        <f t="shared" si="1"/>
        <v>9</v>
      </c>
      <c r="E15" s="78">
        <f>+'activo-detalle'!G16</f>
        <v>12</v>
      </c>
      <c r="F15" s="71"/>
      <c r="G15" s="77">
        <f t="shared" si="0"/>
        <v>108</v>
      </c>
    </row>
    <row r="16" spans="1:7" x14ac:dyDescent="0.2">
      <c r="A16" s="71"/>
      <c r="B16" s="71"/>
      <c r="C16" s="71">
        <v>2003</v>
      </c>
      <c r="D16" s="76">
        <f t="shared" si="1"/>
        <v>8</v>
      </c>
      <c r="E16" s="78">
        <f>+'activo-detalle'!G17</f>
        <v>23</v>
      </c>
      <c r="F16" s="71"/>
      <c r="G16" s="77">
        <f t="shared" si="0"/>
        <v>184</v>
      </c>
    </row>
    <row r="17" spans="1:7" x14ac:dyDescent="0.2">
      <c r="A17" s="71"/>
      <c r="B17" s="71"/>
      <c r="C17" s="71">
        <v>2004</v>
      </c>
      <c r="D17" s="76">
        <f t="shared" si="1"/>
        <v>7</v>
      </c>
      <c r="E17" s="78">
        <f>+'activo-detalle'!G18</f>
        <v>4</v>
      </c>
      <c r="F17" s="71"/>
      <c r="G17" s="77">
        <f t="shared" si="0"/>
        <v>28</v>
      </c>
    </row>
    <row r="18" spans="1:7" x14ac:dyDescent="0.2">
      <c r="A18" s="71"/>
      <c r="B18" s="71"/>
      <c r="C18" s="71">
        <v>2005</v>
      </c>
      <c r="D18" s="76">
        <f t="shared" si="1"/>
        <v>6</v>
      </c>
      <c r="E18" s="78">
        <f>+'activo-detalle'!G19</f>
        <v>15</v>
      </c>
      <c r="F18" s="71"/>
      <c r="G18" s="77">
        <f t="shared" si="0"/>
        <v>90</v>
      </c>
    </row>
    <row r="19" spans="1:7" x14ac:dyDescent="0.2">
      <c r="A19" s="71"/>
      <c r="B19" s="71"/>
      <c r="C19" s="71">
        <v>2006</v>
      </c>
      <c r="D19" s="76">
        <f t="shared" si="1"/>
        <v>5</v>
      </c>
      <c r="E19" s="78">
        <f>+'activo-detalle'!G20</f>
        <v>13</v>
      </c>
      <c r="F19" s="71"/>
      <c r="G19" s="77">
        <f t="shared" si="0"/>
        <v>65</v>
      </c>
    </row>
    <row r="20" spans="1:7" x14ac:dyDescent="0.2">
      <c r="A20" s="71"/>
      <c r="B20" s="71"/>
      <c r="C20" s="71">
        <v>2007</v>
      </c>
      <c r="D20" s="76">
        <f t="shared" si="1"/>
        <v>4</v>
      </c>
      <c r="E20" s="78">
        <f>+'activo-detalle'!G21</f>
        <v>20</v>
      </c>
      <c r="F20" s="71"/>
      <c r="G20" s="77">
        <f t="shared" si="0"/>
        <v>80</v>
      </c>
    </row>
    <row r="21" spans="1:7" x14ac:dyDescent="0.2">
      <c r="A21" s="71"/>
      <c r="B21" s="71"/>
      <c r="C21" s="71">
        <v>2008</v>
      </c>
      <c r="D21" s="76">
        <f t="shared" si="1"/>
        <v>3</v>
      </c>
      <c r="E21" s="78">
        <f>+'activo-detalle'!G22</f>
        <v>10</v>
      </c>
      <c r="F21" s="71"/>
      <c r="G21" s="77">
        <f t="shared" si="0"/>
        <v>30</v>
      </c>
    </row>
    <row r="22" spans="1:7" x14ac:dyDescent="0.2">
      <c r="A22" s="71"/>
      <c r="B22" s="71"/>
      <c r="C22" s="71">
        <v>2010</v>
      </c>
      <c r="D22" s="76">
        <f t="shared" si="1"/>
        <v>1</v>
      </c>
      <c r="E22" s="78">
        <f>+'activo-detalle'!G23</f>
        <v>10</v>
      </c>
      <c r="F22" s="71"/>
      <c r="G22" s="77">
        <f>D22*E22</f>
        <v>10</v>
      </c>
    </row>
    <row r="23" spans="1:7" x14ac:dyDescent="0.2">
      <c r="A23" s="71"/>
      <c r="B23" s="71"/>
      <c r="C23" s="71">
        <v>2011</v>
      </c>
      <c r="D23" s="76">
        <f t="shared" si="1"/>
        <v>0</v>
      </c>
      <c r="E23" s="78">
        <f>+'activo-detalle'!G24</f>
        <v>10</v>
      </c>
      <c r="F23" s="71"/>
      <c r="G23" s="77">
        <f>D23*E23</f>
        <v>0</v>
      </c>
    </row>
    <row r="24" spans="1:7" ht="18" x14ac:dyDescent="0.25">
      <c r="A24" s="71"/>
      <c r="B24" s="71"/>
      <c r="C24" s="71"/>
      <c r="D24" s="71"/>
      <c r="E24" s="79">
        <f>SUM(E10:E23)</f>
        <v>187</v>
      </c>
      <c r="F24" s="80">
        <f>+G24/E24</f>
        <v>8.3262032085561497</v>
      </c>
      <c r="G24" s="81">
        <f>SUM(G10:G23)</f>
        <v>1557</v>
      </c>
    </row>
    <row r="26" spans="1:7" ht="13.5" thickBot="1" x14ac:dyDescent="0.25">
      <c r="A26" s="70" t="s">
        <v>464</v>
      </c>
      <c r="B26" s="71"/>
      <c r="C26" s="71"/>
      <c r="D26" s="71"/>
      <c r="E26" s="71"/>
      <c r="F26" s="71"/>
      <c r="G26" s="71"/>
    </row>
    <row r="27" spans="1:7" ht="13.5" thickTop="1" x14ac:dyDescent="0.2">
      <c r="A27" s="72"/>
      <c r="B27" s="72"/>
      <c r="C27" s="72"/>
      <c r="D27" s="72"/>
      <c r="E27" s="72"/>
      <c r="F27" s="73" t="s">
        <v>151</v>
      </c>
      <c r="G27" s="72"/>
    </row>
    <row r="28" spans="1:7" x14ac:dyDescent="0.2">
      <c r="A28" s="70"/>
      <c r="B28" s="71"/>
      <c r="C28" s="71"/>
      <c r="D28" s="74" t="s">
        <v>152</v>
      </c>
      <c r="E28" s="74" t="s">
        <v>153</v>
      </c>
      <c r="F28" s="74" t="s">
        <v>154</v>
      </c>
      <c r="G28" s="74" t="s">
        <v>155</v>
      </c>
    </row>
    <row r="29" spans="1:7" x14ac:dyDescent="0.2">
      <c r="B29" s="71"/>
      <c r="C29" s="71"/>
      <c r="D29" s="74"/>
      <c r="E29" s="74"/>
      <c r="F29" s="74"/>
      <c r="G29" s="74"/>
    </row>
    <row r="30" spans="1:7" x14ac:dyDescent="0.2">
      <c r="A30" s="71"/>
      <c r="B30" s="75" t="s">
        <v>156</v>
      </c>
      <c r="C30" s="71"/>
      <c r="D30" s="74"/>
      <c r="E30" s="74"/>
      <c r="F30" s="74"/>
      <c r="G30" s="74"/>
    </row>
    <row r="31" spans="1:7" x14ac:dyDescent="0.2">
      <c r="A31" s="71"/>
      <c r="B31" s="71"/>
    </row>
    <row r="32" spans="1:7" x14ac:dyDescent="0.2">
      <c r="A32" s="71"/>
      <c r="B32" s="71"/>
    </row>
    <row r="33" spans="1:7" x14ac:dyDescent="0.2">
      <c r="A33" s="71"/>
      <c r="B33" s="71"/>
      <c r="C33" s="71">
        <v>1996</v>
      </c>
      <c r="D33" s="76">
        <f t="shared" ref="D33:D46" si="2">+$D$8-C33</f>
        <v>15</v>
      </c>
      <c r="E33" s="78">
        <f>+'activo-detalle'!J11</f>
        <v>10</v>
      </c>
      <c r="F33" s="71"/>
      <c r="G33" s="77">
        <f t="shared" ref="G33:G44" si="3">D33*E33</f>
        <v>150</v>
      </c>
    </row>
    <row r="34" spans="1:7" x14ac:dyDescent="0.2">
      <c r="A34" s="71"/>
      <c r="B34" s="71"/>
      <c r="C34" s="71">
        <v>1997</v>
      </c>
      <c r="D34" s="76">
        <f t="shared" si="2"/>
        <v>14</v>
      </c>
      <c r="E34" s="78">
        <f>+'activo-detalle'!J12</f>
        <v>44</v>
      </c>
      <c r="F34" s="71"/>
      <c r="G34" s="77">
        <f t="shared" si="3"/>
        <v>616</v>
      </c>
    </row>
    <row r="35" spans="1:7" x14ac:dyDescent="0.2">
      <c r="A35" s="71"/>
      <c r="B35" s="71"/>
      <c r="C35" s="71">
        <v>1998</v>
      </c>
      <c r="D35" s="76">
        <f t="shared" si="2"/>
        <v>13</v>
      </c>
      <c r="E35" s="78">
        <f>+'activo-detalle'!J13</f>
        <v>5</v>
      </c>
      <c r="F35" s="71"/>
      <c r="G35" s="77">
        <f t="shared" si="3"/>
        <v>65</v>
      </c>
    </row>
    <row r="36" spans="1:7" x14ac:dyDescent="0.2">
      <c r="A36" s="71"/>
      <c r="B36" s="71"/>
      <c r="C36" s="71">
        <v>1999</v>
      </c>
      <c r="D36" s="76">
        <f t="shared" si="2"/>
        <v>12</v>
      </c>
      <c r="E36" s="78">
        <f>+'activo-detalle'!J14</f>
        <v>10</v>
      </c>
      <c r="F36" s="71"/>
      <c r="G36" s="77">
        <f t="shared" si="3"/>
        <v>120</v>
      </c>
    </row>
    <row r="37" spans="1:7" x14ac:dyDescent="0.2">
      <c r="A37" s="71"/>
      <c r="B37" s="71"/>
      <c r="C37" s="71">
        <v>2000</v>
      </c>
      <c r="D37" s="76">
        <f t="shared" si="2"/>
        <v>11</v>
      </c>
      <c r="E37" s="78">
        <f>+'activo-detalle'!J15</f>
        <v>1</v>
      </c>
      <c r="F37" s="71"/>
      <c r="G37" s="77">
        <f t="shared" si="3"/>
        <v>11</v>
      </c>
    </row>
    <row r="38" spans="1:7" x14ac:dyDescent="0.2">
      <c r="A38" s="71"/>
      <c r="B38" s="71"/>
      <c r="C38" s="71">
        <v>2002</v>
      </c>
      <c r="D38" s="76">
        <f t="shared" si="2"/>
        <v>9</v>
      </c>
      <c r="E38" s="78">
        <f>+'activo-detalle'!J16</f>
        <v>12</v>
      </c>
      <c r="F38" s="71"/>
      <c r="G38" s="77">
        <f t="shared" si="3"/>
        <v>108</v>
      </c>
    </row>
    <row r="39" spans="1:7" x14ac:dyDescent="0.2">
      <c r="A39" s="71"/>
      <c r="B39" s="71"/>
      <c r="C39" s="71">
        <v>2003</v>
      </c>
      <c r="D39" s="76">
        <f t="shared" si="2"/>
        <v>8</v>
      </c>
      <c r="E39" s="78">
        <f>+'activo-detalle'!J17</f>
        <v>23</v>
      </c>
      <c r="F39" s="71"/>
      <c r="G39" s="77">
        <f t="shared" si="3"/>
        <v>184</v>
      </c>
    </row>
    <row r="40" spans="1:7" x14ac:dyDescent="0.2">
      <c r="A40" s="71"/>
      <c r="B40" s="71"/>
      <c r="C40" s="71">
        <v>2004</v>
      </c>
      <c r="D40" s="76">
        <f t="shared" si="2"/>
        <v>7</v>
      </c>
      <c r="E40" s="78">
        <f>+'activo-detalle'!J18</f>
        <v>4</v>
      </c>
      <c r="F40" s="71"/>
      <c r="G40" s="77">
        <f t="shared" si="3"/>
        <v>28</v>
      </c>
    </row>
    <row r="41" spans="1:7" x14ac:dyDescent="0.2">
      <c r="A41" s="71"/>
      <c r="B41" s="71"/>
      <c r="C41" s="71">
        <v>2005</v>
      </c>
      <c r="D41" s="76">
        <f t="shared" si="2"/>
        <v>6</v>
      </c>
      <c r="E41" s="78">
        <f>+'activo-detalle'!J19</f>
        <v>15</v>
      </c>
      <c r="F41" s="71"/>
      <c r="G41" s="77">
        <f t="shared" si="3"/>
        <v>90</v>
      </c>
    </row>
    <row r="42" spans="1:7" x14ac:dyDescent="0.2">
      <c r="A42" s="71"/>
      <c r="B42" s="71"/>
      <c r="C42" s="71">
        <v>2006</v>
      </c>
      <c r="D42" s="76">
        <f t="shared" si="2"/>
        <v>5</v>
      </c>
      <c r="E42" s="78">
        <f>+'activo-detalle'!J20</f>
        <v>13</v>
      </c>
      <c r="F42" s="71"/>
      <c r="G42" s="77">
        <f t="shared" si="3"/>
        <v>65</v>
      </c>
    </row>
    <row r="43" spans="1:7" x14ac:dyDescent="0.2">
      <c r="A43" s="71"/>
      <c r="B43" s="71"/>
      <c r="C43" s="71">
        <v>2007</v>
      </c>
      <c r="D43" s="76">
        <f t="shared" si="2"/>
        <v>4</v>
      </c>
      <c r="E43" s="78">
        <f>+'activo-detalle'!J21</f>
        <v>20</v>
      </c>
      <c r="F43" s="71"/>
      <c r="G43" s="77">
        <f t="shared" si="3"/>
        <v>80</v>
      </c>
    </row>
    <row r="44" spans="1:7" x14ac:dyDescent="0.2">
      <c r="A44" s="71"/>
      <c r="B44" s="71"/>
      <c r="C44" s="71">
        <v>2008</v>
      </c>
      <c r="D44" s="76">
        <f t="shared" si="2"/>
        <v>3</v>
      </c>
      <c r="E44" s="78">
        <f>+'activo-detalle'!J22</f>
        <v>10</v>
      </c>
      <c r="F44" s="71"/>
      <c r="G44" s="77">
        <f t="shared" si="3"/>
        <v>30</v>
      </c>
    </row>
    <row r="45" spans="1:7" x14ac:dyDescent="0.2">
      <c r="A45" s="71"/>
      <c r="B45" s="71"/>
      <c r="C45" s="71">
        <v>2010</v>
      </c>
      <c r="D45" s="76">
        <f t="shared" si="2"/>
        <v>1</v>
      </c>
      <c r="E45" s="78">
        <f>+'activo-detalle'!J23</f>
        <v>10</v>
      </c>
      <c r="F45" s="71"/>
      <c r="G45" s="77">
        <f>D45*E45</f>
        <v>10</v>
      </c>
    </row>
    <row r="46" spans="1:7" x14ac:dyDescent="0.2">
      <c r="A46" s="71"/>
      <c r="B46" s="71"/>
      <c r="C46" s="71">
        <v>2011</v>
      </c>
      <c r="D46" s="76">
        <f t="shared" si="2"/>
        <v>0</v>
      </c>
      <c r="E46" s="78">
        <f>+'activo-detalle'!J24</f>
        <v>16</v>
      </c>
      <c r="F46" s="71"/>
      <c r="G46" s="77">
        <f>D46*E46</f>
        <v>0</v>
      </c>
    </row>
    <row r="47" spans="1:7" x14ac:dyDescent="0.2">
      <c r="A47" s="71"/>
      <c r="B47" s="71"/>
      <c r="C47" s="71"/>
      <c r="D47" s="76"/>
      <c r="E47" s="78"/>
      <c r="F47" s="71"/>
      <c r="G47" s="77"/>
    </row>
    <row r="48" spans="1:7" ht="18" x14ac:dyDescent="0.25">
      <c r="A48" s="71"/>
      <c r="B48" s="71"/>
      <c r="C48" s="71"/>
      <c r="D48" s="71"/>
      <c r="E48" s="79">
        <f>SUM(E33:E46)</f>
        <v>193</v>
      </c>
      <c r="F48" s="80">
        <f>+G48/E48</f>
        <v>8.0673575129533681</v>
      </c>
      <c r="G48" s="81">
        <f>SUM(G33:G46)</f>
        <v>1557</v>
      </c>
    </row>
    <row r="50" spans="1:7" ht="13.5" thickBot="1" x14ac:dyDescent="0.25">
      <c r="A50" s="70" t="s">
        <v>465</v>
      </c>
      <c r="B50" s="71"/>
      <c r="C50" s="71"/>
      <c r="D50" s="71"/>
      <c r="E50" s="71"/>
      <c r="F50" s="71"/>
      <c r="G50" s="71"/>
    </row>
    <row r="51" spans="1:7" ht="13.5" thickTop="1" x14ac:dyDescent="0.2">
      <c r="A51" s="72"/>
      <c r="B51" s="72"/>
      <c r="C51" s="72"/>
      <c r="D51" s="72"/>
      <c r="E51" s="72"/>
      <c r="F51" s="73" t="s">
        <v>151</v>
      </c>
      <c r="G51" s="72"/>
    </row>
    <row r="52" spans="1:7" x14ac:dyDescent="0.2">
      <c r="A52" s="70"/>
      <c r="B52" s="71"/>
      <c r="C52" s="71"/>
      <c r="D52" s="74" t="s">
        <v>152</v>
      </c>
      <c r="E52" s="74" t="s">
        <v>153</v>
      </c>
      <c r="F52" s="74" t="s">
        <v>154</v>
      </c>
      <c r="G52" s="74" t="s">
        <v>155</v>
      </c>
    </row>
    <row r="53" spans="1:7" x14ac:dyDescent="0.2">
      <c r="B53" s="71"/>
      <c r="C53" s="71"/>
      <c r="D53" s="74"/>
      <c r="E53" s="74"/>
      <c r="F53" s="74"/>
      <c r="G53" s="74"/>
    </row>
    <row r="54" spans="1:7" x14ac:dyDescent="0.2">
      <c r="A54" s="71"/>
      <c r="B54" s="75" t="s">
        <v>156</v>
      </c>
      <c r="C54" s="71"/>
      <c r="D54" s="74"/>
      <c r="E54" s="74"/>
      <c r="F54" s="74"/>
      <c r="G54" s="74"/>
    </row>
    <row r="55" spans="1:7" x14ac:dyDescent="0.2">
      <c r="A55" s="71"/>
      <c r="B55" s="71"/>
    </row>
    <row r="56" spans="1:7" x14ac:dyDescent="0.2">
      <c r="A56" s="71"/>
      <c r="B56" s="71"/>
    </row>
    <row r="57" spans="1:7" x14ac:dyDescent="0.2">
      <c r="A57" s="71"/>
      <c r="B57" s="71"/>
      <c r="C57" s="71">
        <v>1996</v>
      </c>
      <c r="D57" s="76">
        <f t="shared" ref="D57:D70" si="4">+$D$8-C57</f>
        <v>15</v>
      </c>
      <c r="E57" s="78">
        <f>+'activo-detalle'!M11</f>
        <v>4</v>
      </c>
      <c r="F57" s="71"/>
      <c r="G57" s="77">
        <f t="shared" ref="G57:G68" si="5">D57*E57</f>
        <v>60</v>
      </c>
    </row>
    <row r="58" spans="1:7" x14ac:dyDescent="0.2">
      <c r="A58" s="71"/>
      <c r="B58" s="71"/>
      <c r="C58" s="71">
        <v>1997</v>
      </c>
      <c r="D58" s="76">
        <f t="shared" si="4"/>
        <v>14</v>
      </c>
      <c r="E58" s="78">
        <f>+'activo-detalle'!M12</f>
        <v>44</v>
      </c>
      <c r="F58" s="71"/>
      <c r="G58" s="77">
        <f t="shared" si="5"/>
        <v>616</v>
      </c>
    </row>
    <row r="59" spans="1:7" x14ac:dyDescent="0.2">
      <c r="A59" s="71"/>
      <c r="B59" s="71"/>
      <c r="C59" s="71">
        <v>1998</v>
      </c>
      <c r="D59" s="76">
        <f t="shared" si="4"/>
        <v>13</v>
      </c>
      <c r="E59" s="78">
        <f>+'activo-detalle'!M13</f>
        <v>5</v>
      </c>
      <c r="F59" s="71"/>
      <c r="G59" s="77">
        <f t="shared" si="5"/>
        <v>65</v>
      </c>
    </row>
    <row r="60" spans="1:7" x14ac:dyDescent="0.2">
      <c r="A60" s="71"/>
      <c r="B60" s="71"/>
      <c r="C60" s="71">
        <v>1999</v>
      </c>
      <c r="D60" s="76">
        <f t="shared" si="4"/>
        <v>12</v>
      </c>
      <c r="E60" s="78">
        <f>+'activo-detalle'!M14</f>
        <v>10</v>
      </c>
      <c r="F60" s="71"/>
      <c r="G60" s="77">
        <f t="shared" si="5"/>
        <v>120</v>
      </c>
    </row>
    <row r="61" spans="1:7" x14ac:dyDescent="0.2">
      <c r="A61" s="71"/>
      <c r="B61" s="71"/>
      <c r="C61" s="71">
        <v>2000</v>
      </c>
      <c r="D61" s="76">
        <f t="shared" si="4"/>
        <v>11</v>
      </c>
      <c r="E61" s="78">
        <f>+'activo-detalle'!M15</f>
        <v>1</v>
      </c>
      <c r="F61" s="71"/>
      <c r="G61" s="77">
        <f t="shared" si="5"/>
        <v>11</v>
      </c>
    </row>
    <row r="62" spans="1:7" x14ac:dyDescent="0.2">
      <c r="A62" s="71"/>
      <c r="B62" s="71"/>
      <c r="C62" s="71">
        <v>2002</v>
      </c>
      <c r="D62" s="76">
        <f t="shared" si="4"/>
        <v>9</v>
      </c>
      <c r="E62" s="78">
        <f>+'activo-detalle'!M16</f>
        <v>12</v>
      </c>
      <c r="F62" s="71"/>
      <c r="G62" s="77">
        <f t="shared" si="5"/>
        <v>108</v>
      </c>
    </row>
    <row r="63" spans="1:7" x14ac:dyDescent="0.2">
      <c r="A63" s="71"/>
      <c r="B63" s="71"/>
      <c r="C63" s="71">
        <v>2003</v>
      </c>
      <c r="D63" s="76">
        <f t="shared" si="4"/>
        <v>8</v>
      </c>
      <c r="E63" s="78">
        <f>+'activo-detalle'!M17</f>
        <v>23</v>
      </c>
      <c r="F63" s="71"/>
      <c r="G63" s="77">
        <f t="shared" si="5"/>
        <v>184</v>
      </c>
    </row>
    <row r="64" spans="1:7" x14ac:dyDescent="0.2">
      <c r="A64" s="71"/>
      <c r="B64" s="71"/>
      <c r="C64" s="71">
        <v>2004</v>
      </c>
      <c r="D64" s="76">
        <f t="shared" si="4"/>
        <v>7</v>
      </c>
      <c r="E64" s="78">
        <f>+'activo-detalle'!M18</f>
        <v>4</v>
      </c>
      <c r="F64" s="71"/>
      <c r="G64" s="77">
        <f t="shared" si="5"/>
        <v>28</v>
      </c>
    </row>
    <row r="65" spans="1:7" x14ac:dyDescent="0.2">
      <c r="A65" s="71"/>
      <c r="B65" s="71"/>
      <c r="C65" s="71">
        <v>2005</v>
      </c>
      <c r="D65" s="76">
        <f t="shared" si="4"/>
        <v>6</v>
      </c>
      <c r="E65" s="78">
        <f>+'activo-detalle'!M19</f>
        <v>15</v>
      </c>
      <c r="F65" s="71"/>
      <c r="G65" s="77">
        <f t="shared" si="5"/>
        <v>90</v>
      </c>
    </row>
    <row r="66" spans="1:7" x14ac:dyDescent="0.2">
      <c r="A66" s="71"/>
      <c r="B66" s="71"/>
      <c r="C66" s="71">
        <v>2006</v>
      </c>
      <c r="D66" s="76">
        <f t="shared" si="4"/>
        <v>5</v>
      </c>
      <c r="E66" s="78">
        <f>+'activo-detalle'!M20</f>
        <v>13</v>
      </c>
      <c r="F66" s="71"/>
      <c r="G66" s="77">
        <f t="shared" si="5"/>
        <v>65</v>
      </c>
    </row>
    <row r="67" spans="1:7" x14ac:dyDescent="0.2">
      <c r="A67" s="71"/>
      <c r="B67" s="71"/>
      <c r="C67" s="71">
        <v>2007</v>
      </c>
      <c r="D67" s="76">
        <f t="shared" si="4"/>
        <v>4</v>
      </c>
      <c r="E67" s="78">
        <f>+'activo-detalle'!M21</f>
        <v>20</v>
      </c>
      <c r="F67" s="71"/>
      <c r="G67" s="77">
        <f t="shared" si="5"/>
        <v>80</v>
      </c>
    </row>
    <row r="68" spans="1:7" x14ac:dyDescent="0.2">
      <c r="A68" s="71"/>
      <c r="B68" s="71"/>
      <c r="C68" s="71">
        <v>2008</v>
      </c>
      <c r="D68" s="76">
        <f t="shared" si="4"/>
        <v>3</v>
      </c>
      <c r="E68" s="78">
        <f>+'activo-detalle'!M22</f>
        <v>10</v>
      </c>
      <c r="F68" s="71"/>
      <c r="G68" s="77">
        <f t="shared" si="5"/>
        <v>30</v>
      </c>
    </row>
    <row r="69" spans="1:7" x14ac:dyDescent="0.2">
      <c r="A69" s="71"/>
      <c r="B69" s="71"/>
      <c r="C69" s="71">
        <v>2010</v>
      </c>
      <c r="D69" s="76">
        <f t="shared" si="4"/>
        <v>1</v>
      </c>
      <c r="E69" s="78">
        <f>+'activo-detalle'!M23</f>
        <v>10</v>
      </c>
      <c r="F69" s="71"/>
      <c r="G69" s="77">
        <f>D69*E69</f>
        <v>10</v>
      </c>
    </row>
    <row r="70" spans="1:7" x14ac:dyDescent="0.2">
      <c r="A70" s="71"/>
      <c r="B70" s="71"/>
      <c r="C70" s="71">
        <v>2011</v>
      </c>
      <c r="D70" s="76">
        <f t="shared" si="4"/>
        <v>0</v>
      </c>
      <c r="E70" s="78">
        <f>+'activo-detalle'!M25+'activo-detalle'!M24</f>
        <v>22</v>
      </c>
      <c r="F70" s="71"/>
      <c r="G70" s="77">
        <f>D70*E70</f>
        <v>0</v>
      </c>
    </row>
    <row r="71" spans="1:7" ht="18" x14ac:dyDescent="0.25">
      <c r="A71" s="71"/>
      <c r="B71" s="71"/>
      <c r="C71" s="71"/>
      <c r="D71" s="71"/>
      <c r="E71" s="79">
        <f>SUM(E57:E70)</f>
        <v>193</v>
      </c>
      <c r="F71" s="80">
        <f>+G71/E71</f>
        <v>7.6010362694300522</v>
      </c>
      <c r="G71" s="81">
        <f>SUM(G57:G70)</f>
        <v>1467</v>
      </c>
    </row>
    <row r="73" spans="1:7" ht="13.5" thickBot="1" x14ac:dyDescent="0.25">
      <c r="A73" s="70" t="s">
        <v>466</v>
      </c>
      <c r="B73" s="71"/>
      <c r="C73" s="71"/>
      <c r="D73" s="71"/>
      <c r="E73" s="71"/>
      <c r="F73" s="71"/>
      <c r="G73" s="71"/>
    </row>
    <row r="74" spans="1:7" ht="13.5" thickTop="1" x14ac:dyDescent="0.2">
      <c r="A74" s="72"/>
      <c r="B74" s="72"/>
      <c r="C74" s="72"/>
      <c r="D74" s="72"/>
      <c r="E74" s="72"/>
      <c r="F74" s="73" t="s">
        <v>151</v>
      </c>
      <c r="G74" s="72"/>
    </row>
    <row r="75" spans="1:7" x14ac:dyDescent="0.2">
      <c r="A75" s="70"/>
      <c r="B75" s="71"/>
      <c r="C75" s="71"/>
      <c r="D75" s="74" t="s">
        <v>152</v>
      </c>
      <c r="E75" s="74" t="s">
        <v>153</v>
      </c>
      <c r="F75" s="74" t="s">
        <v>154</v>
      </c>
      <c r="G75" s="74" t="s">
        <v>155</v>
      </c>
    </row>
    <row r="76" spans="1:7" x14ac:dyDescent="0.2">
      <c r="B76" s="71"/>
      <c r="C76" s="71"/>
      <c r="D76" s="74"/>
      <c r="E76" s="74"/>
      <c r="F76" s="74"/>
      <c r="G76" s="74"/>
    </row>
    <row r="77" spans="1:7" x14ac:dyDescent="0.2">
      <c r="A77" s="71"/>
      <c r="B77" s="75" t="s">
        <v>156</v>
      </c>
      <c r="C77" s="71"/>
      <c r="D77" s="74"/>
      <c r="E77" s="74"/>
      <c r="F77" s="74"/>
      <c r="G77" s="74"/>
    </row>
    <row r="78" spans="1:7" x14ac:dyDescent="0.2">
      <c r="A78" s="71"/>
      <c r="B78" s="71"/>
    </row>
    <row r="79" spans="1:7" x14ac:dyDescent="0.2">
      <c r="A79" s="71"/>
      <c r="B79" s="71"/>
    </row>
    <row r="80" spans="1:7" x14ac:dyDescent="0.2">
      <c r="A80" s="71"/>
      <c r="B80" s="71"/>
      <c r="C80" s="71">
        <v>1996</v>
      </c>
      <c r="D80" s="76">
        <f t="shared" ref="D80:D93" si="6">+$D$8-C80</f>
        <v>15</v>
      </c>
      <c r="E80" s="78">
        <f>+'activo-detalle'!P11</f>
        <v>0</v>
      </c>
      <c r="F80" s="71"/>
      <c r="G80" s="77">
        <f t="shared" ref="G80:G91" si="7">D80*E80</f>
        <v>0</v>
      </c>
    </row>
    <row r="81" spans="1:7" x14ac:dyDescent="0.2">
      <c r="A81" s="71"/>
      <c r="B81" s="71"/>
      <c r="C81" s="71">
        <v>1997</v>
      </c>
      <c r="D81" s="76">
        <f t="shared" si="6"/>
        <v>14</v>
      </c>
      <c r="E81" s="78">
        <f>+'activo-detalle'!P12</f>
        <v>44</v>
      </c>
      <c r="F81" s="71"/>
      <c r="G81" s="77">
        <f t="shared" si="7"/>
        <v>616</v>
      </c>
    </row>
    <row r="82" spans="1:7" x14ac:dyDescent="0.2">
      <c r="A82" s="71"/>
      <c r="B82" s="71"/>
      <c r="C82" s="71">
        <v>1998</v>
      </c>
      <c r="D82" s="76">
        <f t="shared" si="6"/>
        <v>13</v>
      </c>
      <c r="E82" s="78">
        <f>+'activo-detalle'!P13</f>
        <v>5</v>
      </c>
      <c r="F82" s="71"/>
      <c r="G82" s="77">
        <f t="shared" si="7"/>
        <v>65</v>
      </c>
    </row>
    <row r="83" spans="1:7" x14ac:dyDescent="0.2">
      <c r="A83" s="71"/>
      <c r="B83" s="71"/>
      <c r="C83" s="71">
        <v>1999</v>
      </c>
      <c r="D83" s="76">
        <f t="shared" si="6"/>
        <v>12</v>
      </c>
      <c r="E83" s="78">
        <f>+'activo-detalle'!P14</f>
        <v>10</v>
      </c>
      <c r="F83" s="71"/>
      <c r="G83" s="77">
        <f t="shared" si="7"/>
        <v>120</v>
      </c>
    </row>
    <row r="84" spans="1:7" x14ac:dyDescent="0.2">
      <c r="A84" s="71"/>
      <c r="B84" s="71"/>
      <c r="C84" s="71">
        <v>2000</v>
      </c>
      <c r="D84" s="76">
        <f t="shared" si="6"/>
        <v>11</v>
      </c>
      <c r="E84" s="78">
        <f>+'activo-detalle'!P15</f>
        <v>1</v>
      </c>
      <c r="F84" s="71"/>
      <c r="G84" s="77">
        <f t="shared" si="7"/>
        <v>11</v>
      </c>
    </row>
    <row r="85" spans="1:7" x14ac:dyDescent="0.2">
      <c r="A85" s="71"/>
      <c r="B85" s="71"/>
      <c r="C85" s="71">
        <v>2002</v>
      </c>
      <c r="D85" s="76">
        <f t="shared" si="6"/>
        <v>9</v>
      </c>
      <c r="E85" s="78">
        <f>+'activo-detalle'!P16</f>
        <v>12</v>
      </c>
      <c r="F85" s="71"/>
      <c r="G85" s="77">
        <f t="shared" si="7"/>
        <v>108</v>
      </c>
    </row>
    <row r="86" spans="1:7" x14ac:dyDescent="0.2">
      <c r="A86" s="71"/>
      <c r="B86" s="71"/>
      <c r="C86" s="71">
        <v>2003</v>
      </c>
      <c r="D86" s="76">
        <f t="shared" si="6"/>
        <v>8</v>
      </c>
      <c r="E86" s="78">
        <f>+'activo-detalle'!P17</f>
        <v>23</v>
      </c>
      <c r="F86" s="71"/>
      <c r="G86" s="77">
        <f t="shared" si="7"/>
        <v>184</v>
      </c>
    </row>
    <row r="87" spans="1:7" x14ac:dyDescent="0.2">
      <c r="A87" s="71"/>
      <c r="B87" s="71"/>
      <c r="C87" s="71">
        <v>2004</v>
      </c>
      <c r="D87" s="76">
        <f t="shared" si="6"/>
        <v>7</v>
      </c>
      <c r="E87" s="78">
        <f>+'activo-detalle'!P18</f>
        <v>4</v>
      </c>
      <c r="F87" s="71"/>
      <c r="G87" s="77">
        <f t="shared" si="7"/>
        <v>28</v>
      </c>
    </row>
    <row r="88" spans="1:7" x14ac:dyDescent="0.2">
      <c r="A88" s="71"/>
      <c r="B88" s="71"/>
      <c r="C88" s="71">
        <v>2005</v>
      </c>
      <c r="D88" s="76">
        <f t="shared" si="6"/>
        <v>6</v>
      </c>
      <c r="E88" s="78">
        <f>+'activo-detalle'!P19</f>
        <v>15</v>
      </c>
      <c r="F88" s="71"/>
      <c r="G88" s="77">
        <f t="shared" si="7"/>
        <v>90</v>
      </c>
    </row>
    <row r="89" spans="1:7" x14ac:dyDescent="0.2">
      <c r="A89" s="71"/>
      <c r="B89" s="71"/>
      <c r="C89" s="71">
        <v>2006</v>
      </c>
      <c r="D89" s="76">
        <f t="shared" si="6"/>
        <v>5</v>
      </c>
      <c r="E89" s="78">
        <f>+'activo-detalle'!P20</f>
        <v>13</v>
      </c>
      <c r="F89" s="71"/>
      <c r="G89" s="77">
        <f t="shared" si="7"/>
        <v>65</v>
      </c>
    </row>
    <row r="90" spans="1:7" x14ac:dyDescent="0.2">
      <c r="A90" s="71"/>
      <c r="B90" s="71"/>
      <c r="C90" s="71">
        <v>2007</v>
      </c>
      <c r="D90" s="76">
        <f t="shared" si="6"/>
        <v>4</v>
      </c>
      <c r="E90" s="78">
        <f>+'activo-detalle'!P21</f>
        <v>20</v>
      </c>
      <c r="F90" s="71"/>
      <c r="G90" s="77">
        <f t="shared" si="7"/>
        <v>80</v>
      </c>
    </row>
    <row r="91" spans="1:7" x14ac:dyDescent="0.2">
      <c r="A91" s="71"/>
      <c r="B91" s="71"/>
      <c r="C91" s="71">
        <v>2008</v>
      </c>
      <c r="D91" s="76">
        <f t="shared" si="6"/>
        <v>3</v>
      </c>
      <c r="E91" s="78">
        <f>+'activo-detalle'!P22</f>
        <v>10</v>
      </c>
      <c r="F91" s="71"/>
      <c r="G91" s="77">
        <f t="shared" si="7"/>
        <v>30</v>
      </c>
    </row>
    <row r="92" spans="1:7" x14ac:dyDescent="0.2">
      <c r="A92" s="71"/>
      <c r="B92" s="71"/>
      <c r="C92" s="71">
        <v>2010</v>
      </c>
      <c r="D92" s="76">
        <f t="shared" si="6"/>
        <v>1</v>
      </c>
      <c r="E92" s="78">
        <f>+'activo-detalle'!P23</f>
        <v>10</v>
      </c>
      <c r="F92" s="71"/>
      <c r="G92" s="77">
        <f>D92*E92</f>
        <v>10</v>
      </c>
    </row>
    <row r="93" spans="1:7" x14ac:dyDescent="0.2">
      <c r="A93" s="71"/>
      <c r="B93" s="71"/>
      <c r="C93" s="71">
        <v>2011</v>
      </c>
      <c r="D93" s="76">
        <f t="shared" si="6"/>
        <v>0</v>
      </c>
      <c r="E93" s="78">
        <f>+'activo-detalle'!P24+'activo-detalle'!P25</f>
        <v>26</v>
      </c>
      <c r="F93" s="71"/>
      <c r="G93" s="77">
        <f>D93*E93</f>
        <v>0</v>
      </c>
    </row>
    <row r="94" spans="1:7" ht="18" x14ac:dyDescent="0.25">
      <c r="A94" s="71"/>
      <c r="B94" s="71"/>
      <c r="C94" s="71"/>
      <c r="D94" s="71"/>
      <c r="E94" s="79">
        <f>SUM(E80:E93)</f>
        <v>193</v>
      </c>
      <c r="F94" s="80">
        <f>+G94/E94</f>
        <v>7.2901554404145079</v>
      </c>
      <c r="G94" s="81">
        <f>SUM(G80:G93)</f>
        <v>1407</v>
      </c>
    </row>
  </sheetData>
  <phoneticPr fontId="0" type="noConversion"/>
  <pageMargins left="0.75" right="0.75" top="1" bottom="1" header="0" footer="0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B050"/>
  </sheetPr>
  <dimension ref="A1:Q716"/>
  <sheetViews>
    <sheetView topLeftCell="I1" workbookViewId="0">
      <selection activeCell="N13" sqref="N13"/>
    </sheetView>
  </sheetViews>
  <sheetFormatPr baseColWidth="10" defaultColWidth="9.140625" defaultRowHeight="12.75" x14ac:dyDescent="0.2"/>
  <cols>
    <col min="1" max="1" width="13.5703125" bestFit="1" customWidth="1"/>
    <col min="2" max="2" width="38.42578125" customWidth="1"/>
    <col min="3" max="3" width="11" style="697" customWidth="1"/>
    <col min="4" max="4" width="9.42578125" customWidth="1"/>
    <col min="5" max="6" width="9.28515625" customWidth="1"/>
    <col min="7" max="7" width="13.42578125" customWidth="1"/>
    <col min="8" max="8" width="12.85546875" customWidth="1"/>
    <col min="9" max="9" width="15.42578125" customWidth="1"/>
    <col min="10" max="10" width="12.5703125" customWidth="1"/>
    <col min="11" max="11" width="8.85546875" customWidth="1"/>
    <col min="12" max="12" width="7.28515625" customWidth="1"/>
    <col min="13" max="13" width="14.140625" customWidth="1"/>
    <col min="14" max="14" width="22.140625" style="697" customWidth="1"/>
    <col min="15" max="15" width="17.140625" bestFit="1" customWidth="1"/>
    <col min="16" max="16" width="13.7109375" bestFit="1" customWidth="1"/>
    <col min="17" max="17" width="7.85546875" bestFit="1" customWidth="1"/>
    <col min="257" max="257" width="13.5703125" bestFit="1" customWidth="1"/>
    <col min="258" max="258" width="38.42578125" customWidth="1"/>
    <col min="259" max="259" width="11" customWidth="1"/>
    <col min="260" max="260" width="9.42578125" customWidth="1"/>
    <col min="261" max="262" width="9.28515625" customWidth="1"/>
    <col min="263" max="263" width="10.140625" customWidth="1"/>
    <col min="264" max="264" width="8.85546875" customWidth="1"/>
    <col min="265" max="265" width="10.5703125" customWidth="1"/>
    <col min="266" max="266" width="10.42578125" customWidth="1"/>
    <col min="267" max="267" width="8.85546875" customWidth="1"/>
    <col min="268" max="268" width="7.28515625" customWidth="1"/>
    <col min="269" max="269" width="11.28515625" customWidth="1"/>
    <col min="270" max="270" width="15.7109375" customWidth="1"/>
    <col min="271" max="271" width="17.140625" bestFit="1" customWidth="1"/>
    <col min="272" max="272" width="13.7109375" bestFit="1" customWidth="1"/>
    <col min="273" max="273" width="7.85546875" bestFit="1" customWidth="1"/>
    <col min="513" max="513" width="13.5703125" bestFit="1" customWidth="1"/>
    <col min="514" max="514" width="38.42578125" customWidth="1"/>
    <col min="515" max="515" width="11" customWidth="1"/>
    <col min="516" max="516" width="9.42578125" customWidth="1"/>
    <col min="517" max="518" width="9.28515625" customWidth="1"/>
    <col min="519" max="519" width="10.140625" customWidth="1"/>
    <col min="520" max="520" width="8.85546875" customWidth="1"/>
    <col min="521" max="521" width="10.5703125" customWidth="1"/>
    <col min="522" max="522" width="10.42578125" customWidth="1"/>
    <col min="523" max="523" width="8.85546875" customWidth="1"/>
    <col min="524" max="524" width="7.28515625" customWidth="1"/>
    <col min="525" max="525" width="11.28515625" customWidth="1"/>
    <col min="526" max="526" width="15.7109375" customWidth="1"/>
    <col min="527" max="527" width="17.140625" bestFit="1" customWidth="1"/>
    <col min="528" max="528" width="13.7109375" bestFit="1" customWidth="1"/>
    <col min="529" max="529" width="7.85546875" bestFit="1" customWidth="1"/>
    <col min="769" max="769" width="13.5703125" bestFit="1" customWidth="1"/>
    <col min="770" max="770" width="38.42578125" customWidth="1"/>
    <col min="771" max="771" width="11" customWidth="1"/>
    <col min="772" max="772" width="9.42578125" customWidth="1"/>
    <col min="773" max="774" width="9.28515625" customWidth="1"/>
    <col min="775" max="775" width="10.140625" customWidth="1"/>
    <col min="776" max="776" width="8.85546875" customWidth="1"/>
    <col min="777" max="777" width="10.5703125" customWidth="1"/>
    <col min="778" max="778" width="10.42578125" customWidth="1"/>
    <col min="779" max="779" width="8.85546875" customWidth="1"/>
    <col min="780" max="780" width="7.28515625" customWidth="1"/>
    <col min="781" max="781" width="11.28515625" customWidth="1"/>
    <col min="782" max="782" width="15.7109375" customWidth="1"/>
    <col min="783" max="783" width="17.140625" bestFit="1" customWidth="1"/>
    <col min="784" max="784" width="13.7109375" bestFit="1" customWidth="1"/>
    <col min="785" max="785" width="7.85546875" bestFit="1" customWidth="1"/>
    <col min="1025" max="1025" width="13.5703125" bestFit="1" customWidth="1"/>
    <col min="1026" max="1026" width="38.42578125" customWidth="1"/>
    <col min="1027" max="1027" width="11" customWidth="1"/>
    <col min="1028" max="1028" width="9.42578125" customWidth="1"/>
    <col min="1029" max="1030" width="9.28515625" customWidth="1"/>
    <col min="1031" max="1031" width="10.140625" customWidth="1"/>
    <col min="1032" max="1032" width="8.85546875" customWidth="1"/>
    <col min="1033" max="1033" width="10.5703125" customWidth="1"/>
    <col min="1034" max="1034" width="10.42578125" customWidth="1"/>
    <col min="1035" max="1035" width="8.85546875" customWidth="1"/>
    <col min="1036" max="1036" width="7.28515625" customWidth="1"/>
    <col min="1037" max="1037" width="11.28515625" customWidth="1"/>
    <col min="1038" max="1038" width="15.7109375" customWidth="1"/>
    <col min="1039" max="1039" width="17.140625" bestFit="1" customWidth="1"/>
    <col min="1040" max="1040" width="13.7109375" bestFit="1" customWidth="1"/>
    <col min="1041" max="1041" width="7.85546875" bestFit="1" customWidth="1"/>
    <col min="1281" max="1281" width="13.5703125" bestFit="1" customWidth="1"/>
    <col min="1282" max="1282" width="38.42578125" customWidth="1"/>
    <col min="1283" max="1283" width="11" customWidth="1"/>
    <col min="1284" max="1284" width="9.42578125" customWidth="1"/>
    <col min="1285" max="1286" width="9.28515625" customWidth="1"/>
    <col min="1287" max="1287" width="10.140625" customWidth="1"/>
    <col min="1288" max="1288" width="8.85546875" customWidth="1"/>
    <col min="1289" max="1289" width="10.5703125" customWidth="1"/>
    <col min="1290" max="1290" width="10.42578125" customWidth="1"/>
    <col min="1291" max="1291" width="8.85546875" customWidth="1"/>
    <col min="1292" max="1292" width="7.28515625" customWidth="1"/>
    <col min="1293" max="1293" width="11.28515625" customWidth="1"/>
    <col min="1294" max="1294" width="15.7109375" customWidth="1"/>
    <col min="1295" max="1295" width="17.140625" bestFit="1" customWidth="1"/>
    <col min="1296" max="1296" width="13.7109375" bestFit="1" customWidth="1"/>
    <col min="1297" max="1297" width="7.85546875" bestFit="1" customWidth="1"/>
    <col min="1537" max="1537" width="13.5703125" bestFit="1" customWidth="1"/>
    <col min="1538" max="1538" width="38.42578125" customWidth="1"/>
    <col min="1539" max="1539" width="11" customWidth="1"/>
    <col min="1540" max="1540" width="9.42578125" customWidth="1"/>
    <col min="1541" max="1542" width="9.28515625" customWidth="1"/>
    <col min="1543" max="1543" width="10.140625" customWidth="1"/>
    <col min="1544" max="1544" width="8.85546875" customWidth="1"/>
    <col min="1545" max="1545" width="10.5703125" customWidth="1"/>
    <col min="1546" max="1546" width="10.42578125" customWidth="1"/>
    <col min="1547" max="1547" width="8.85546875" customWidth="1"/>
    <col min="1548" max="1548" width="7.28515625" customWidth="1"/>
    <col min="1549" max="1549" width="11.28515625" customWidth="1"/>
    <col min="1550" max="1550" width="15.7109375" customWidth="1"/>
    <col min="1551" max="1551" width="17.140625" bestFit="1" customWidth="1"/>
    <col min="1552" max="1552" width="13.7109375" bestFit="1" customWidth="1"/>
    <col min="1553" max="1553" width="7.85546875" bestFit="1" customWidth="1"/>
    <col min="1793" max="1793" width="13.5703125" bestFit="1" customWidth="1"/>
    <col min="1794" max="1794" width="38.42578125" customWidth="1"/>
    <col min="1795" max="1795" width="11" customWidth="1"/>
    <col min="1796" max="1796" width="9.42578125" customWidth="1"/>
    <col min="1797" max="1798" width="9.28515625" customWidth="1"/>
    <col min="1799" max="1799" width="10.140625" customWidth="1"/>
    <col min="1800" max="1800" width="8.85546875" customWidth="1"/>
    <col min="1801" max="1801" width="10.5703125" customWidth="1"/>
    <col min="1802" max="1802" width="10.42578125" customWidth="1"/>
    <col min="1803" max="1803" width="8.85546875" customWidth="1"/>
    <col min="1804" max="1804" width="7.28515625" customWidth="1"/>
    <col min="1805" max="1805" width="11.28515625" customWidth="1"/>
    <col min="1806" max="1806" width="15.7109375" customWidth="1"/>
    <col min="1807" max="1807" width="17.140625" bestFit="1" customWidth="1"/>
    <col min="1808" max="1808" width="13.7109375" bestFit="1" customWidth="1"/>
    <col min="1809" max="1809" width="7.85546875" bestFit="1" customWidth="1"/>
    <col min="2049" max="2049" width="13.5703125" bestFit="1" customWidth="1"/>
    <col min="2050" max="2050" width="38.42578125" customWidth="1"/>
    <col min="2051" max="2051" width="11" customWidth="1"/>
    <col min="2052" max="2052" width="9.42578125" customWidth="1"/>
    <col min="2053" max="2054" width="9.28515625" customWidth="1"/>
    <col min="2055" max="2055" width="10.140625" customWidth="1"/>
    <col min="2056" max="2056" width="8.85546875" customWidth="1"/>
    <col min="2057" max="2057" width="10.5703125" customWidth="1"/>
    <col min="2058" max="2058" width="10.42578125" customWidth="1"/>
    <col min="2059" max="2059" width="8.85546875" customWidth="1"/>
    <col min="2060" max="2060" width="7.28515625" customWidth="1"/>
    <col min="2061" max="2061" width="11.28515625" customWidth="1"/>
    <col min="2062" max="2062" width="15.7109375" customWidth="1"/>
    <col min="2063" max="2063" width="17.140625" bestFit="1" customWidth="1"/>
    <col min="2064" max="2064" width="13.7109375" bestFit="1" customWidth="1"/>
    <col min="2065" max="2065" width="7.85546875" bestFit="1" customWidth="1"/>
    <col min="2305" max="2305" width="13.5703125" bestFit="1" customWidth="1"/>
    <col min="2306" max="2306" width="38.42578125" customWidth="1"/>
    <col min="2307" max="2307" width="11" customWidth="1"/>
    <col min="2308" max="2308" width="9.42578125" customWidth="1"/>
    <col min="2309" max="2310" width="9.28515625" customWidth="1"/>
    <col min="2311" max="2311" width="10.140625" customWidth="1"/>
    <col min="2312" max="2312" width="8.85546875" customWidth="1"/>
    <col min="2313" max="2313" width="10.5703125" customWidth="1"/>
    <col min="2314" max="2314" width="10.42578125" customWidth="1"/>
    <col min="2315" max="2315" width="8.85546875" customWidth="1"/>
    <col min="2316" max="2316" width="7.28515625" customWidth="1"/>
    <col min="2317" max="2317" width="11.28515625" customWidth="1"/>
    <col min="2318" max="2318" width="15.7109375" customWidth="1"/>
    <col min="2319" max="2319" width="17.140625" bestFit="1" customWidth="1"/>
    <col min="2320" max="2320" width="13.7109375" bestFit="1" customWidth="1"/>
    <col min="2321" max="2321" width="7.85546875" bestFit="1" customWidth="1"/>
    <col min="2561" max="2561" width="13.5703125" bestFit="1" customWidth="1"/>
    <col min="2562" max="2562" width="38.42578125" customWidth="1"/>
    <col min="2563" max="2563" width="11" customWidth="1"/>
    <col min="2564" max="2564" width="9.42578125" customWidth="1"/>
    <col min="2565" max="2566" width="9.28515625" customWidth="1"/>
    <col min="2567" max="2567" width="10.140625" customWidth="1"/>
    <col min="2568" max="2568" width="8.85546875" customWidth="1"/>
    <col min="2569" max="2569" width="10.5703125" customWidth="1"/>
    <col min="2570" max="2570" width="10.42578125" customWidth="1"/>
    <col min="2571" max="2571" width="8.85546875" customWidth="1"/>
    <col min="2572" max="2572" width="7.28515625" customWidth="1"/>
    <col min="2573" max="2573" width="11.28515625" customWidth="1"/>
    <col min="2574" max="2574" width="15.7109375" customWidth="1"/>
    <col min="2575" max="2575" width="17.140625" bestFit="1" customWidth="1"/>
    <col min="2576" max="2576" width="13.7109375" bestFit="1" customWidth="1"/>
    <col min="2577" max="2577" width="7.85546875" bestFit="1" customWidth="1"/>
    <col min="2817" max="2817" width="13.5703125" bestFit="1" customWidth="1"/>
    <col min="2818" max="2818" width="38.42578125" customWidth="1"/>
    <col min="2819" max="2819" width="11" customWidth="1"/>
    <col min="2820" max="2820" width="9.42578125" customWidth="1"/>
    <col min="2821" max="2822" width="9.28515625" customWidth="1"/>
    <col min="2823" max="2823" width="10.140625" customWidth="1"/>
    <col min="2824" max="2824" width="8.85546875" customWidth="1"/>
    <col min="2825" max="2825" width="10.5703125" customWidth="1"/>
    <col min="2826" max="2826" width="10.42578125" customWidth="1"/>
    <col min="2827" max="2827" width="8.85546875" customWidth="1"/>
    <col min="2828" max="2828" width="7.28515625" customWidth="1"/>
    <col min="2829" max="2829" width="11.28515625" customWidth="1"/>
    <col min="2830" max="2830" width="15.7109375" customWidth="1"/>
    <col min="2831" max="2831" width="17.140625" bestFit="1" customWidth="1"/>
    <col min="2832" max="2832" width="13.7109375" bestFit="1" customWidth="1"/>
    <col min="2833" max="2833" width="7.85546875" bestFit="1" customWidth="1"/>
    <col min="3073" max="3073" width="13.5703125" bestFit="1" customWidth="1"/>
    <col min="3074" max="3074" width="38.42578125" customWidth="1"/>
    <col min="3075" max="3075" width="11" customWidth="1"/>
    <col min="3076" max="3076" width="9.42578125" customWidth="1"/>
    <col min="3077" max="3078" width="9.28515625" customWidth="1"/>
    <col min="3079" max="3079" width="10.140625" customWidth="1"/>
    <col min="3080" max="3080" width="8.85546875" customWidth="1"/>
    <col min="3081" max="3081" width="10.5703125" customWidth="1"/>
    <col min="3082" max="3082" width="10.42578125" customWidth="1"/>
    <col min="3083" max="3083" width="8.85546875" customWidth="1"/>
    <col min="3084" max="3084" width="7.28515625" customWidth="1"/>
    <col min="3085" max="3085" width="11.28515625" customWidth="1"/>
    <col min="3086" max="3086" width="15.7109375" customWidth="1"/>
    <col min="3087" max="3087" width="17.140625" bestFit="1" customWidth="1"/>
    <col min="3088" max="3088" width="13.7109375" bestFit="1" customWidth="1"/>
    <col min="3089" max="3089" width="7.85546875" bestFit="1" customWidth="1"/>
    <col min="3329" max="3329" width="13.5703125" bestFit="1" customWidth="1"/>
    <col min="3330" max="3330" width="38.42578125" customWidth="1"/>
    <col min="3331" max="3331" width="11" customWidth="1"/>
    <col min="3332" max="3332" width="9.42578125" customWidth="1"/>
    <col min="3333" max="3334" width="9.28515625" customWidth="1"/>
    <col min="3335" max="3335" width="10.140625" customWidth="1"/>
    <col min="3336" max="3336" width="8.85546875" customWidth="1"/>
    <col min="3337" max="3337" width="10.5703125" customWidth="1"/>
    <col min="3338" max="3338" width="10.42578125" customWidth="1"/>
    <col min="3339" max="3339" width="8.85546875" customWidth="1"/>
    <col min="3340" max="3340" width="7.28515625" customWidth="1"/>
    <col min="3341" max="3341" width="11.28515625" customWidth="1"/>
    <col min="3342" max="3342" width="15.7109375" customWidth="1"/>
    <col min="3343" max="3343" width="17.140625" bestFit="1" customWidth="1"/>
    <col min="3344" max="3344" width="13.7109375" bestFit="1" customWidth="1"/>
    <col min="3345" max="3345" width="7.85546875" bestFit="1" customWidth="1"/>
    <col min="3585" max="3585" width="13.5703125" bestFit="1" customWidth="1"/>
    <col min="3586" max="3586" width="38.42578125" customWidth="1"/>
    <col min="3587" max="3587" width="11" customWidth="1"/>
    <col min="3588" max="3588" width="9.42578125" customWidth="1"/>
    <col min="3589" max="3590" width="9.28515625" customWidth="1"/>
    <col min="3591" max="3591" width="10.140625" customWidth="1"/>
    <col min="3592" max="3592" width="8.85546875" customWidth="1"/>
    <col min="3593" max="3593" width="10.5703125" customWidth="1"/>
    <col min="3594" max="3594" width="10.42578125" customWidth="1"/>
    <col min="3595" max="3595" width="8.85546875" customWidth="1"/>
    <col min="3596" max="3596" width="7.28515625" customWidth="1"/>
    <col min="3597" max="3597" width="11.28515625" customWidth="1"/>
    <col min="3598" max="3598" width="15.7109375" customWidth="1"/>
    <col min="3599" max="3599" width="17.140625" bestFit="1" customWidth="1"/>
    <col min="3600" max="3600" width="13.7109375" bestFit="1" customWidth="1"/>
    <col min="3601" max="3601" width="7.85546875" bestFit="1" customWidth="1"/>
    <col min="3841" max="3841" width="13.5703125" bestFit="1" customWidth="1"/>
    <col min="3842" max="3842" width="38.42578125" customWidth="1"/>
    <col min="3843" max="3843" width="11" customWidth="1"/>
    <col min="3844" max="3844" width="9.42578125" customWidth="1"/>
    <col min="3845" max="3846" width="9.28515625" customWidth="1"/>
    <col min="3847" max="3847" width="10.140625" customWidth="1"/>
    <col min="3848" max="3848" width="8.85546875" customWidth="1"/>
    <col min="3849" max="3849" width="10.5703125" customWidth="1"/>
    <col min="3850" max="3850" width="10.42578125" customWidth="1"/>
    <col min="3851" max="3851" width="8.85546875" customWidth="1"/>
    <col min="3852" max="3852" width="7.28515625" customWidth="1"/>
    <col min="3853" max="3853" width="11.28515625" customWidth="1"/>
    <col min="3854" max="3854" width="15.7109375" customWidth="1"/>
    <col min="3855" max="3855" width="17.140625" bestFit="1" customWidth="1"/>
    <col min="3856" max="3856" width="13.7109375" bestFit="1" customWidth="1"/>
    <col min="3857" max="3857" width="7.85546875" bestFit="1" customWidth="1"/>
    <col min="4097" max="4097" width="13.5703125" bestFit="1" customWidth="1"/>
    <col min="4098" max="4098" width="38.42578125" customWidth="1"/>
    <col min="4099" max="4099" width="11" customWidth="1"/>
    <col min="4100" max="4100" width="9.42578125" customWidth="1"/>
    <col min="4101" max="4102" width="9.28515625" customWidth="1"/>
    <col min="4103" max="4103" width="10.140625" customWidth="1"/>
    <col min="4104" max="4104" width="8.85546875" customWidth="1"/>
    <col min="4105" max="4105" width="10.5703125" customWidth="1"/>
    <col min="4106" max="4106" width="10.42578125" customWidth="1"/>
    <col min="4107" max="4107" width="8.85546875" customWidth="1"/>
    <col min="4108" max="4108" width="7.28515625" customWidth="1"/>
    <col min="4109" max="4109" width="11.28515625" customWidth="1"/>
    <col min="4110" max="4110" width="15.7109375" customWidth="1"/>
    <col min="4111" max="4111" width="17.140625" bestFit="1" customWidth="1"/>
    <col min="4112" max="4112" width="13.7109375" bestFit="1" customWidth="1"/>
    <col min="4113" max="4113" width="7.85546875" bestFit="1" customWidth="1"/>
    <col min="4353" max="4353" width="13.5703125" bestFit="1" customWidth="1"/>
    <col min="4354" max="4354" width="38.42578125" customWidth="1"/>
    <col min="4355" max="4355" width="11" customWidth="1"/>
    <col min="4356" max="4356" width="9.42578125" customWidth="1"/>
    <col min="4357" max="4358" width="9.28515625" customWidth="1"/>
    <col min="4359" max="4359" width="10.140625" customWidth="1"/>
    <col min="4360" max="4360" width="8.85546875" customWidth="1"/>
    <col min="4361" max="4361" width="10.5703125" customWidth="1"/>
    <col min="4362" max="4362" width="10.42578125" customWidth="1"/>
    <col min="4363" max="4363" width="8.85546875" customWidth="1"/>
    <col min="4364" max="4364" width="7.28515625" customWidth="1"/>
    <col min="4365" max="4365" width="11.28515625" customWidth="1"/>
    <col min="4366" max="4366" width="15.7109375" customWidth="1"/>
    <col min="4367" max="4367" width="17.140625" bestFit="1" customWidth="1"/>
    <col min="4368" max="4368" width="13.7109375" bestFit="1" customWidth="1"/>
    <col min="4369" max="4369" width="7.85546875" bestFit="1" customWidth="1"/>
    <col min="4609" max="4609" width="13.5703125" bestFit="1" customWidth="1"/>
    <col min="4610" max="4610" width="38.42578125" customWidth="1"/>
    <col min="4611" max="4611" width="11" customWidth="1"/>
    <col min="4612" max="4612" width="9.42578125" customWidth="1"/>
    <col min="4613" max="4614" width="9.28515625" customWidth="1"/>
    <col min="4615" max="4615" width="10.140625" customWidth="1"/>
    <col min="4616" max="4616" width="8.85546875" customWidth="1"/>
    <col min="4617" max="4617" width="10.5703125" customWidth="1"/>
    <col min="4618" max="4618" width="10.42578125" customWidth="1"/>
    <col min="4619" max="4619" width="8.85546875" customWidth="1"/>
    <col min="4620" max="4620" width="7.28515625" customWidth="1"/>
    <col min="4621" max="4621" width="11.28515625" customWidth="1"/>
    <col min="4622" max="4622" width="15.7109375" customWidth="1"/>
    <col min="4623" max="4623" width="17.140625" bestFit="1" customWidth="1"/>
    <col min="4624" max="4624" width="13.7109375" bestFit="1" customWidth="1"/>
    <col min="4625" max="4625" width="7.85546875" bestFit="1" customWidth="1"/>
    <col min="4865" max="4865" width="13.5703125" bestFit="1" customWidth="1"/>
    <col min="4866" max="4866" width="38.42578125" customWidth="1"/>
    <col min="4867" max="4867" width="11" customWidth="1"/>
    <col min="4868" max="4868" width="9.42578125" customWidth="1"/>
    <col min="4869" max="4870" width="9.28515625" customWidth="1"/>
    <col min="4871" max="4871" width="10.140625" customWidth="1"/>
    <col min="4872" max="4872" width="8.85546875" customWidth="1"/>
    <col min="4873" max="4873" width="10.5703125" customWidth="1"/>
    <col min="4874" max="4874" width="10.42578125" customWidth="1"/>
    <col min="4875" max="4875" width="8.85546875" customWidth="1"/>
    <col min="4876" max="4876" width="7.28515625" customWidth="1"/>
    <col min="4877" max="4877" width="11.28515625" customWidth="1"/>
    <col min="4878" max="4878" width="15.7109375" customWidth="1"/>
    <col min="4879" max="4879" width="17.140625" bestFit="1" customWidth="1"/>
    <col min="4880" max="4880" width="13.7109375" bestFit="1" customWidth="1"/>
    <col min="4881" max="4881" width="7.85546875" bestFit="1" customWidth="1"/>
    <col min="5121" max="5121" width="13.5703125" bestFit="1" customWidth="1"/>
    <col min="5122" max="5122" width="38.42578125" customWidth="1"/>
    <col min="5123" max="5123" width="11" customWidth="1"/>
    <col min="5124" max="5124" width="9.42578125" customWidth="1"/>
    <col min="5125" max="5126" width="9.28515625" customWidth="1"/>
    <col min="5127" max="5127" width="10.140625" customWidth="1"/>
    <col min="5128" max="5128" width="8.85546875" customWidth="1"/>
    <col min="5129" max="5129" width="10.5703125" customWidth="1"/>
    <col min="5130" max="5130" width="10.42578125" customWidth="1"/>
    <col min="5131" max="5131" width="8.85546875" customWidth="1"/>
    <col min="5132" max="5132" width="7.28515625" customWidth="1"/>
    <col min="5133" max="5133" width="11.28515625" customWidth="1"/>
    <col min="5134" max="5134" width="15.7109375" customWidth="1"/>
    <col min="5135" max="5135" width="17.140625" bestFit="1" customWidth="1"/>
    <col min="5136" max="5136" width="13.7109375" bestFit="1" customWidth="1"/>
    <col min="5137" max="5137" width="7.85546875" bestFit="1" customWidth="1"/>
    <col min="5377" max="5377" width="13.5703125" bestFit="1" customWidth="1"/>
    <col min="5378" max="5378" width="38.42578125" customWidth="1"/>
    <col min="5379" max="5379" width="11" customWidth="1"/>
    <col min="5380" max="5380" width="9.42578125" customWidth="1"/>
    <col min="5381" max="5382" width="9.28515625" customWidth="1"/>
    <col min="5383" max="5383" width="10.140625" customWidth="1"/>
    <col min="5384" max="5384" width="8.85546875" customWidth="1"/>
    <col min="5385" max="5385" width="10.5703125" customWidth="1"/>
    <col min="5386" max="5386" width="10.42578125" customWidth="1"/>
    <col min="5387" max="5387" width="8.85546875" customWidth="1"/>
    <col min="5388" max="5388" width="7.28515625" customWidth="1"/>
    <col min="5389" max="5389" width="11.28515625" customWidth="1"/>
    <col min="5390" max="5390" width="15.7109375" customWidth="1"/>
    <col min="5391" max="5391" width="17.140625" bestFit="1" customWidth="1"/>
    <col min="5392" max="5392" width="13.7109375" bestFit="1" customWidth="1"/>
    <col min="5393" max="5393" width="7.85546875" bestFit="1" customWidth="1"/>
    <col min="5633" max="5633" width="13.5703125" bestFit="1" customWidth="1"/>
    <col min="5634" max="5634" width="38.42578125" customWidth="1"/>
    <col min="5635" max="5635" width="11" customWidth="1"/>
    <col min="5636" max="5636" width="9.42578125" customWidth="1"/>
    <col min="5637" max="5638" width="9.28515625" customWidth="1"/>
    <col min="5639" max="5639" width="10.140625" customWidth="1"/>
    <col min="5640" max="5640" width="8.85546875" customWidth="1"/>
    <col min="5641" max="5641" width="10.5703125" customWidth="1"/>
    <col min="5642" max="5642" width="10.42578125" customWidth="1"/>
    <col min="5643" max="5643" width="8.85546875" customWidth="1"/>
    <col min="5644" max="5644" width="7.28515625" customWidth="1"/>
    <col min="5645" max="5645" width="11.28515625" customWidth="1"/>
    <col min="5646" max="5646" width="15.7109375" customWidth="1"/>
    <col min="5647" max="5647" width="17.140625" bestFit="1" customWidth="1"/>
    <col min="5648" max="5648" width="13.7109375" bestFit="1" customWidth="1"/>
    <col min="5649" max="5649" width="7.85546875" bestFit="1" customWidth="1"/>
    <col min="5889" max="5889" width="13.5703125" bestFit="1" customWidth="1"/>
    <col min="5890" max="5890" width="38.42578125" customWidth="1"/>
    <col min="5891" max="5891" width="11" customWidth="1"/>
    <col min="5892" max="5892" width="9.42578125" customWidth="1"/>
    <col min="5893" max="5894" width="9.28515625" customWidth="1"/>
    <col min="5895" max="5895" width="10.140625" customWidth="1"/>
    <col min="5896" max="5896" width="8.85546875" customWidth="1"/>
    <col min="5897" max="5897" width="10.5703125" customWidth="1"/>
    <col min="5898" max="5898" width="10.42578125" customWidth="1"/>
    <col min="5899" max="5899" width="8.85546875" customWidth="1"/>
    <col min="5900" max="5900" width="7.28515625" customWidth="1"/>
    <col min="5901" max="5901" width="11.28515625" customWidth="1"/>
    <col min="5902" max="5902" width="15.7109375" customWidth="1"/>
    <col min="5903" max="5903" width="17.140625" bestFit="1" customWidth="1"/>
    <col min="5904" max="5904" width="13.7109375" bestFit="1" customWidth="1"/>
    <col min="5905" max="5905" width="7.85546875" bestFit="1" customWidth="1"/>
    <col min="6145" max="6145" width="13.5703125" bestFit="1" customWidth="1"/>
    <col min="6146" max="6146" width="38.42578125" customWidth="1"/>
    <col min="6147" max="6147" width="11" customWidth="1"/>
    <col min="6148" max="6148" width="9.42578125" customWidth="1"/>
    <col min="6149" max="6150" width="9.28515625" customWidth="1"/>
    <col min="6151" max="6151" width="10.140625" customWidth="1"/>
    <col min="6152" max="6152" width="8.85546875" customWidth="1"/>
    <col min="6153" max="6153" width="10.5703125" customWidth="1"/>
    <col min="6154" max="6154" width="10.42578125" customWidth="1"/>
    <col min="6155" max="6155" width="8.85546875" customWidth="1"/>
    <col min="6156" max="6156" width="7.28515625" customWidth="1"/>
    <col min="6157" max="6157" width="11.28515625" customWidth="1"/>
    <col min="6158" max="6158" width="15.7109375" customWidth="1"/>
    <col min="6159" max="6159" width="17.140625" bestFit="1" customWidth="1"/>
    <col min="6160" max="6160" width="13.7109375" bestFit="1" customWidth="1"/>
    <col min="6161" max="6161" width="7.85546875" bestFit="1" customWidth="1"/>
    <col min="6401" max="6401" width="13.5703125" bestFit="1" customWidth="1"/>
    <col min="6402" max="6402" width="38.42578125" customWidth="1"/>
    <col min="6403" max="6403" width="11" customWidth="1"/>
    <col min="6404" max="6404" width="9.42578125" customWidth="1"/>
    <col min="6405" max="6406" width="9.28515625" customWidth="1"/>
    <col min="6407" max="6407" width="10.140625" customWidth="1"/>
    <col min="6408" max="6408" width="8.85546875" customWidth="1"/>
    <col min="6409" max="6409" width="10.5703125" customWidth="1"/>
    <col min="6410" max="6410" width="10.42578125" customWidth="1"/>
    <col min="6411" max="6411" width="8.85546875" customWidth="1"/>
    <col min="6412" max="6412" width="7.28515625" customWidth="1"/>
    <col min="6413" max="6413" width="11.28515625" customWidth="1"/>
    <col min="6414" max="6414" width="15.7109375" customWidth="1"/>
    <col min="6415" max="6415" width="17.140625" bestFit="1" customWidth="1"/>
    <col min="6416" max="6416" width="13.7109375" bestFit="1" customWidth="1"/>
    <col min="6417" max="6417" width="7.85546875" bestFit="1" customWidth="1"/>
    <col min="6657" max="6657" width="13.5703125" bestFit="1" customWidth="1"/>
    <col min="6658" max="6658" width="38.42578125" customWidth="1"/>
    <col min="6659" max="6659" width="11" customWidth="1"/>
    <col min="6660" max="6660" width="9.42578125" customWidth="1"/>
    <col min="6661" max="6662" width="9.28515625" customWidth="1"/>
    <col min="6663" max="6663" width="10.140625" customWidth="1"/>
    <col min="6664" max="6664" width="8.85546875" customWidth="1"/>
    <col min="6665" max="6665" width="10.5703125" customWidth="1"/>
    <col min="6666" max="6666" width="10.42578125" customWidth="1"/>
    <col min="6667" max="6667" width="8.85546875" customWidth="1"/>
    <col min="6668" max="6668" width="7.28515625" customWidth="1"/>
    <col min="6669" max="6669" width="11.28515625" customWidth="1"/>
    <col min="6670" max="6670" width="15.7109375" customWidth="1"/>
    <col min="6671" max="6671" width="17.140625" bestFit="1" customWidth="1"/>
    <col min="6672" max="6672" width="13.7109375" bestFit="1" customWidth="1"/>
    <col min="6673" max="6673" width="7.85546875" bestFit="1" customWidth="1"/>
    <col min="6913" max="6913" width="13.5703125" bestFit="1" customWidth="1"/>
    <col min="6914" max="6914" width="38.42578125" customWidth="1"/>
    <col min="6915" max="6915" width="11" customWidth="1"/>
    <col min="6916" max="6916" width="9.42578125" customWidth="1"/>
    <col min="6917" max="6918" width="9.28515625" customWidth="1"/>
    <col min="6919" max="6919" width="10.140625" customWidth="1"/>
    <col min="6920" max="6920" width="8.85546875" customWidth="1"/>
    <col min="6921" max="6921" width="10.5703125" customWidth="1"/>
    <col min="6922" max="6922" width="10.42578125" customWidth="1"/>
    <col min="6923" max="6923" width="8.85546875" customWidth="1"/>
    <col min="6924" max="6924" width="7.28515625" customWidth="1"/>
    <col min="6925" max="6925" width="11.28515625" customWidth="1"/>
    <col min="6926" max="6926" width="15.7109375" customWidth="1"/>
    <col min="6927" max="6927" width="17.140625" bestFit="1" customWidth="1"/>
    <col min="6928" max="6928" width="13.7109375" bestFit="1" customWidth="1"/>
    <col min="6929" max="6929" width="7.85546875" bestFit="1" customWidth="1"/>
    <col min="7169" max="7169" width="13.5703125" bestFit="1" customWidth="1"/>
    <col min="7170" max="7170" width="38.42578125" customWidth="1"/>
    <col min="7171" max="7171" width="11" customWidth="1"/>
    <col min="7172" max="7172" width="9.42578125" customWidth="1"/>
    <col min="7173" max="7174" width="9.28515625" customWidth="1"/>
    <col min="7175" max="7175" width="10.140625" customWidth="1"/>
    <col min="7176" max="7176" width="8.85546875" customWidth="1"/>
    <col min="7177" max="7177" width="10.5703125" customWidth="1"/>
    <col min="7178" max="7178" width="10.42578125" customWidth="1"/>
    <col min="7179" max="7179" width="8.85546875" customWidth="1"/>
    <col min="7180" max="7180" width="7.28515625" customWidth="1"/>
    <col min="7181" max="7181" width="11.28515625" customWidth="1"/>
    <col min="7182" max="7182" width="15.7109375" customWidth="1"/>
    <col min="7183" max="7183" width="17.140625" bestFit="1" customWidth="1"/>
    <col min="7184" max="7184" width="13.7109375" bestFit="1" customWidth="1"/>
    <col min="7185" max="7185" width="7.85546875" bestFit="1" customWidth="1"/>
    <col min="7425" max="7425" width="13.5703125" bestFit="1" customWidth="1"/>
    <col min="7426" max="7426" width="38.42578125" customWidth="1"/>
    <col min="7427" max="7427" width="11" customWidth="1"/>
    <col min="7428" max="7428" width="9.42578125" customWidth="1"/>
    <col min="7429" max="7430" width="9.28515625" customWidth="1"/>
    <col min="7431" max="7431" width="10.140625" customWidth="1"/>
    <col min="7432" max="7432" width="8.85546875" customWidth="1"/>
    <col min="7433" max="7433" width="10.5703125" customWidth="1"/>
    <col min="7434" max="7434" width="10.42578125" customWidth="1"/>
    <col min="7435" max="7435" width="8.85546875" customWidth="1"/>
    <col min="7436" max="7436" width="7.28515625" customWidth="1"/>
    <col min="7437" max="7437" width="11.28515625" customWidth="1"/>
    <col min="7438" max="7438" width="15.7109375" customWidth="1"/>
    <col min="7439" max="7439" width="17.140625" bestFit="1" customWidth="1"/>
    <col min="7440" max="7440" width="13.7109375" bestFit="1" customWidth="1"/>
    <col min="7441" max="7441" width="7.85546875" bestFit="1" customWidth="1"/>
    <col min="7681" max="7681" width="13.5703125" bestFit="1" customWidth="1"/>
    <col min="7682" max="7682" width="38.42578125" customWidth="1"/>
    <col min="7683" max="7683" width="11" customWidth="1"/>
    <col min="7684" max="7684" width="9.42578125" customWidth="1"/>
    <col min="7685" max="7686" width="9.28515625" customWidth="1"/>
    <col min="7687" max="7687" width="10.140625" customWidth="1"/>
    <col min="7688" max="7688" width="8.85546875" customWidth="1"/>
    <col min="7689" max="7689" width="10.5703125" customWidth="1"/>
    <col min="7690" max="7690" width="10.42578125" customWidth="1"/>
    <col min="7691" max="7691" width="8.85546875" customWidth="1"/>
    <col min="7692" max="7692" width="7.28515625" customWidth="1"/>
    <col min="7693" max="7693" width="11.28515625" customWidth="1"/>
    <col min="7694" max="7694" width="15.7109375" customWidth="1"/>
    <col min="7695" max="7695" width="17.140625" bestFit="1" customWidth="1"/>
    <col min="7696" max="7696" width="13.7109375" bestFit="1" customWidth="1"/>
    <col min="7697" max="7697" width="7.85546875" bestFit="1" customWidth="1"/>
    <col min="7937" max="7937" width="13.5703125" bestFit="1" customWidth="1"/>
    <col min="7938" max="7938" width="38.42578125" customWidth="1"/>
    <col min="7939" max="7939" width="11" customWidth="1"/>
    <col min="7940" max="7940" width="9.42578125" customWidth="1"/>
    <col min="7941" max="7942" width="9.28515625" customWidth="1"/>
    <col min="7943" max="7943" width="10.140625" customWidth="1"/>
    <col min="7944" max="7944" width="8.85546875" customWidth="1"/>
    <col min="7945" max="7945" width="10.5703125" customWidth="1"/>
    <col min="7946" max="7946" width="10.42578125" customWidth="1"/>
    <col min="7947" max="7947" width="8.85546875" customWidth="1"/>
    <col min="7948" max="7948" width="7.28515625" customWidth="1"/>
    <col min="7949" max="7949" width="11.28515625" customWidth="1"/>
    <col min="7950" max="7950" width="15.7109375" customWidth="1"/>
    <col min="7951" max="7951" width="17.140625" bestFit="1" customWidth="1"/>
    <col min="7952" max="7952" width="13.7109375" bestFit="1" customWidth="1"/>
    <col min="7953" max="7953" width="7.85546875" bestFit="1" customWidth="1"/>
    <col min="8193" max="8193" width="13.5703125" bestFit="1" customWidth="1"/>
    <col min="8194" max="8194" width="38.42578125" customWidth="1"/>
    <col min="8195" max="8195" width="11" customWidth="1"/>
    <col min="8196" max="8196" width="9.42578125" customWidth="1"/>
    <col min="8197" max="8198" width="9.28515625" customWidth="1"/>
    <col min="8199" max="8199" width="10.140625" customWidth="1"/>
    <col min="8200" max="8200" width="8.85546875" customWidth="1"/>
    <col min="8201" max="8201" width="10.5703125" customWidth="1"/>
    <col min="8202" max="8202" width="10.42578125" customWidth="1"/>
    <col min="8203" max="8203" width="8.85546875" customWidth="1"/>
    <col min="8204" max="8204" width="7.28515625" customWidth="1"/>
    <col min="8205" max="8205" width="11.28515625" customWidth="1"/>
    <col min="8206" max="8206" width="15.7109375" customWidth="1"/>
    <col min="8207" max="8207" width="17.140625" bestFit="1" customWidth="1"/>
    <col min="8208" max="8208" width="13.7109375" bestFit="1" customWidth="1"/>
    <col min="8209" max="8209" width="7.85546875" bestFit="1" customWidth="1"/>
    <col min="8449" max="8449" width="13.5703125" bestFit="1" customWidth="1"/>
    <col min="8450" max="8450" width="38.42578125" customWidth="1"/>
    <col min="8451" max="8451" width="11" customWidth="1"/>
    <col min="8452" max="8452" width="9.42578125" customWidth="1"/>
    <col min="8453" max="8454" width="9.28515625" customWidth="1"/>
    <col min="8455" max="8455" width="10.140625" customWidth="1"/>
    <col min="8456" max="8456" width="8.85546875" customWidth="1"/>
    <col min="8457" max="8457" width="10.5703125" customWidth="1"/>
    <col min="8458" max="8458" width="10.42578125" customWidth="1"/>
    <col min="8459" max="8459" width="8.85546875" customWidth="1"/>
    <col min="8460" max="8460" width="7.28515625" customWidth="1"/>
    <col min="8461" max="8461" width="11.28515625" customWidth="1"/>
    <col min="8462" max="8462" width="15.7109375" customWidth="1"/>
    <col min="8463" max="8463" width="17.140625" bestFit="1" customWidth="1"/>
    <col min="8464" max="8464" width="13.7109375" bestFit="1" customWidth="1"/>
    <col min="8465" max="8465" width="7.85546875" bestFit="1" customWidth="1"/>
    <col min="8705" max="8705" width="13.5703125" bestFit="1" customWidth="1"/>
    <col min="8706" max="8706" width="38.42578125" customWidth="1"/>
    <col min="8707" max="8707" width="11" customWidth="1"/>
    <col min="8708" max="8708" width="9.42578125" customWidth="1"/>
    <col min="8709" max="8710" width="9.28515625" customWidth="1"/>
    <col min="8711" max="8711" width="10.140625" customWidth="1"/>
    <col min="8712" max="8712" width="8.85546875" customWidth="1"/>
    <col min="8713" max="8713" width="10.5703125" customWidth="1"/>
    <col min="8714" max="8714" width="10.42578125" customWidth="1"/>
    <col min="8715" max="8715" width="8.85546875" customWidth="1"/>
    <col min="8716" max="8716" width="7.28515625" customWidth="1"/>
    <col min="8717" max="8717" width="11.28515625" customWidth="1"/>
    <col min="8718" max="8718" width="15.7109375" customWidth="1"/>
    <col min="8719" max="8719" width="17.140625" bestFit="1" customWidth="1"/>
    <col min="8720" max="8720" width="13.7109375" bestFit="1" customWidth="1"/>
    <col min="8721" max="8721" width="7.85546875" bestFit="1" customWidth="1"/>
    <col min="8961" max="8961" width="13.5703125" bestFit="1" customWidth="1"/>
    <col min="8962" max="8962" width="38.42578125" customWidth="1"/>
    <col min="8963" max="8963" width="11" customWidth="1"/>
    <col min="8964" max="8964" width="9.42578125" customWidth="1"/>
    <col min="8965" max="8966" width="9.28515625" customWidth="1"/>
    <col min="8967" max="8967" width="10.140625" customWidth="1"/>
    <col min="8968" max="8968" width="8.85546875" customWidth="1"/>
    <col min="8969" max="8969" width="10.5703125" customWidth="1"/>
    <col min="8970" max="8970" width="10.42578125" customWidth="1"/>
    <col min="8971" max="8971" width="8.85546875" customWidth="1"/>
    <col min="8972" max="8972" width="7.28515625" customWidth="1"/>
    <col min="8973" max="8973" width="11.28515625" customWidth="1"/>
    <col min="8974" max="8974" width="15.7109375" customWidth="1"/>
    <col min="8975" max="8975" width="17.140625" bestFit="1" customWidth="1"/>
    <col min="8976" max="8976" width="13.7109375" bestFit="1" customWidth="1"/>
    <col min="8977" max="8977" width="7.85546875" bestFit="1" customWidth="1"/>
    <col min="9217" max="9217" width="13.5703125" bestFit="1" customWidth="1"/>
    <col min="9218" max="9218" width="38.42578125" customWidth="1"/>
    <col min="9219" max="9219" width="11" customWidth="1"/>
    <col min="9220" max="9220" width="9.42578125" customWidth="1"/>
    <col min="9221" max="9222" width="9.28515625" customWidth="1"/>
    <col min="9223" max="9223" width="10.140625" customWidth="1"/>
    <col min="9224" max="9224" width="8.85546875" customWidth="1"/>
    <col min="9225" max="9225" width="10.5703125" customWidth="1"/>
    <col min="9226" max="9226" width="10.42578125" customWidth="1"/>
    <col min="9227" max="9227" width="8.85546875" customWidth="1"/>
    <col min="9228" max="9228" width="7.28515625" customWidth="1"/>
    <col min="9229" max="9229" width="11.28515625" customWidth="1"/>
    <col min="9230" max="9230" width="15.7109375" customWidth="1"/>
    <col min="9231" max="9231" width="17.140625" bestFit="1" customWidth="1"/>
    <col min="9232" max="9232" width="13.7109375" bestFit="1" customWidth="1"/>
    <col min="9233" max="9233" width="7.85546875" bestFit="1" customWidth="1"/>
    <col min="9473" max="9473" width="13.5703125" bestFit="1" customWidth="1"/>
    <col min="9474" max="9474" width="38.42578125" customWidth="1"/>
    <col min="9475" max="9475" width="11" customWidth="1"/>
    <col min="9476" max="9476" width="9.42578125" customWidth="1"/>
    <col min="9477" max="9478" width="9.28515625" customWidth="1"/>
    <col min="9479" max="9479" width="10.140625" customWidth="1"/>
    <col min="9480" max="9480" width="8.85546875" customWidth="1"/>
    <col min="9481" max="9481" width="10.5703125" customWidth="1"/>
    <col min="9482" max="9482" width="10.42578125" customWidth="1"/>
    <col min="9483" max="9483" width="8.85546875" customWidth="1"/>
    <col min="9484" max="9484" width="7.28515625" customWidth="1"/>
    <col min="9485" max="9485" width="11.28515625" customWidth="1"/>
    <col min="9486" max="9486" width="15.7109375" customWidth="1"/>
    <col min="9487" max="9487" width="17.140625" bestFit="1" customWidth="1"/>
    <col min="9488" max="9488" width="13.7109375" bestFit="1" customWidth="1"/>
    <col min="9489" max="9489" width="7.85546875" bestFit="1" customWidth="1"/>
    <col min="9729" max="9729" width="13.5703125" bestFit="1" customWidth="1"/>
    <col min="9730" max="9730" width="38.42578125" customWidth="1"/>
    <col min="9731" max="9731" width="11" customWidth="1"/>
    <col min="9732" max="9732" width="9.42578125" customWidth="1"/>
    <col min="9733" max="9734" width="9.28515625" customWidth="1"/>
    <col min="9735" max="9735" width="10.140625" customWidth="1"/>
    <col min="9736" max="9736" width="8.85546875" customWidth="1"/>
    <col min="9737" max="9737" width="10.5703125" customWidth="1"/>
    <col min="9738" max="9738" width="10.42578125" customWidth="1"/>
    <col min="9739" max="9739" width="8.85546875" customWidth="1"/>
    <col min="9740" max="9740" width="7.28515625" customWidth="1"/>
    <col min="9741" max="9741" width="11.28515625" customWidth="1"/>
    <col min="9742" max="9742" width="15.7109375" customWidth="1"/>
    <col min="9743" max="9743" width="17.140625" bestFit="1" customWidth="1"/>
    <col min="9744" max="9744" width="13.7109375" bestFit="1" customWidth="1"/>
    <col min="9745" max="9745" width="7.85546875" bestFit="1" customWidth="1"/>
    <col min="9985" max="9985" width="13.5703125" bestFit="1" customWidth="1"/>
    <col min="9986" max="9986" width="38.42578125" customWidth="1"/>
    <col min="9987" max="9987" width="11" customWidth="1"/>
    <col min="9988" max="9988" width="9.42578125" customWidth="1"/>
    <col min="9989" max="9990" width="9.28515625" customWidth="1"/>
    <col min="9991" max="9991" width="10.140625" customWidth="1"/>
    <col min="9992" max="9992" width="8.85546875" customWidth="1"/>
    <col min="9993" max="9993" width="10.5703125" customWidth="1"/>
    <col min="9994" max="9994" width="10.42578125" customWidth="1"/>
    <col min="9995" max="9995" width="8.85546875" customWidth="1"/>
    <col min="9996" max="9996" width="7.28515625" customWidth="1"/>
    <col min="9997" max="9997" width="11.28515625" customWidth="1"/>
    <col min="9998" max="9998" width="15.7109375" customWidth="1"/>
    <col min="9999" max="9999" width="17.140625" bestFit="1" customWidth="1"/>
    <col min="10000" max="10000" width="13.7109375" bestFit="1" customWidth="1"/>
    <col min="10001" max="10001" width="7.85546875" bestFit="1" customWidth="1"/>
    <col min="10241" max="10241" width="13.5703125" bestFit="1" customWidth="1"/>
    <col min="10242" max="10242" width="38.42578125" customWidth="1"/>
    <col min="10243" max="10243" width="11" customWidth="1"/>
    <col min="10244" max="10244" width="9.42578125" customWidth="1"/>
    <col min="10245" max="10246" width="9.28515625" customWidth="1"/>
    <col min="10247" max="10247" width="10.140625" customWidth="1"/>
    <col min="10248" max="10248" width="8.85546875" customWidth="1"/>
    <col min="10249" max="10249" width="10.5703125" customWidth="1"/>
    <col min="10250" max="10250" width="10.42578125" customWidth="1"/>
    <col min="10251" max="10251" width="8.85546875" customWidth="1"/>
    <col min="10252" max="10252" width="7.28515625" customWidth="1"/>
    <col min="10253" max="10253" width="11.28515625" customWidth="1"/>
    <col min="10254" max="10254" width="15.7109375" customWidth="1"/>
    <col min="10255" max="10255" width="17.140625" bestFit="1" customWidth="1"/>
    <col min="10256" max="10256" width="13.7109375" bestFit="1" customWidth="1"/>
    <col min="10257" max="10257" width="7.85546875" bestFit="1" customWidth="1"/>
    <col min="10497" max="10497" width="13.5703125" bestFit="1" customWidth="1"/>
    <col min="10498" max="10498" width="38.42578125" customWidth="1"/>
    <col min="10499" max="10499" width="11" customWidth="1"/>
    <col min="10500" max="10500" width="9.42578125" customWidth="1"/>
    <col min="10501" max="10502" width="9.28515625" customWidth="1"/>
    <col min="10503" max="10503" width="10.140625" customWidth="1"/>
    <col min="10504" max="10504" width="8.85546875" customWidth="1"/>
    <col min="10505" max="10505" width="10.5703125" customWidth="1"/>
    <col min="10506" max="10506" width="10.42578125" customWidth="1"/>
    <col min="10507" max="10507" width="8.85546875" customWidth="1"/>
    <col min="10508" max="10508" width="7.28515625" customWidth="1"/>
    <col min="10509" max="10509" width="11.28515625" customWidth="1"/>
    <col min="10510" max="10510" width="15.7109375" customWidth="1"/>
    <col min="10511" max="10511" width="17.140625" bestFit="1" customWidth="1"/>
    <col min="10512" max="10512" width="13.7109375" bestFit="1" customWidth="1"/>
    <col min="10513" max="10513" width="7.85546875" bestFit="1" customWidth="1"/>
    <col min="10753" max="10753" width="13.5703125" bestFit="1" customWidth="1"/>
    <col min="10754" max="10754" width="38.42578125" customWidth="1"/>
    <col min="10755" max="10755" width="11" customWidth="1"/>
    <col min="10756" max="10756" width="9.42578125" customWidth="1"/>
    <col min="10757" max="10758" width="9.28515625" customWidth="1"/>
    <col min="10759" max="10759" width="10.140625" customWidth="1"/>
    <col min="10760" max="10760" width="8.85546875" customWidth="1"/>
    <col min="10761" max="10761" width="10.5703125" customWidth="1"/>
    <col min="10762" max="10762" width="10.42578125" customWidth="1"/>
    <col min="10763" max="10763" width="8.85546875" customWidth="1"/>
    <col min="10764" max="10764" width="7.28515625" customWidth="1"/>
    <col min="10765" max="10765" width="11.28515625" customWidth="1"/>
    <col min="10766" max="10766" width="15.7109375" customWidth="1"/>
    <col min="10767" max="10767" width="17.140625" bestFit="1" customWidth="1"/>
    <col min="10768" max="10768" width="13.7109375" bestFit="1" customWidth="1"/>
    <col min="10769" max="10769" width="7.85546875" bestFit="1" customWidth="1"/>
    <col min="11009" max="11009" width="13.5703125" bestFit="1" customWidth="1"/>
    <col min="11010" max="11010" width="38.42578125" customWidth="1"/>
    <col min="11011" max="11011" width="11" customWidth="1"/>
    <col min="11012" max="11012" width="9.42578125" customWidth="1"/>
    <col min="11013" max="11014" width="9.28515625" customWidth="1"/>
    <col min="11015" max="11015" width="10.140625" customWidth="1"/>
    <col min="11016" max="11016" width="8.85546875" customWidth="1"/>
    <col min="11017" max="11017" width="10.5703125" customWidth="1"/>
    <col min="11018" max="11018" width="10.42578125" customWidth="1"/>
    <col min="11019" max="11019" width="8.85546875" customWidth="1"/>
    <col min="11020" max="11020" width="7.28515625" customWidth="1"/>
    <col min="11021" max="11021" width="11.28515625" customWidth="1"/>
    <col min="11022" max="11022" width="15.7109375" customWidth="1"/>
    <col min="11023" max="11023" width="17.140625" bestFit="1" customWidth="1"/>
    <col min="11024" max="11024" width="13.7109375" bestFit="1" customWidth="1"/>
    <col min="11025" max="11025" width="7.85546875" bestFit="1" customWidth="1"/>
    <col min="11265" max="11265" width="13.5703125" bestFit="1" customWidth="1"/>
    <col min="11266" max="11266" width="38.42578125" customWidth="1"/>
    <col min="11267" max="11267" width="11" customWidth="1"/>
    <col min="11268" max="11268" width="9.42578125" customWidth="1"/>
    <col min="11269" max="11270" width="9.28515625" customWidth="1"/>
    <col min="11271" max="11271" width="10.140625" customWidth="1"/>
    <col min="11272" max="11272" width="8.85546875" customWidth="1"/>
    <col min="11273" max="11273" width="10.5703125" customWidth="1"/>
    <col min="11274" max="11274" width="10.42578125" customWidth="1"/>
    <col min="11275" max="11275" width="8.85546875" customWidth="1"/>
    <col min="11276" max="11276" width="7.28515625" customWidth="1"/>
    <col min="11277" max="11277" width="11.28515625" customWidth="1"/>
    <col min="11278" max="11278" width="15.7109375" customWidth="1"/>
    <col min="11279" max="11279" width="17.140625" bestFit="1" customWidth="1"/>
    <col min="11280" max="11280" width="13.7109375" bestFit="1" customWidth="1"/>
    <col min="11281" max="11281" width="7.85546875" bestFit="1" customWidth="1"/>
    <col min="11521" max="11521" width="13.5703125" bestFit="1" customWidth="1"/>
    <col min="11522" max="11522" width="38.42578125" customWidth="1"/>
    <col min="11523" max="11523" width="11" customWidth="1"/>
    <col min="11524" max="11524" width="9.42578125" customWidth="1"/>
    <col min="11525" max="11526" width="9.28515625" customWidth="1"/>
    <col min="11527" max="11527" width="10.140625" customWidth="1"/>
    <col min="11528" max="11528" width="8.85546875" customWidth="1"/>
    <col min="11529" max="11529" width="10.5703125" customWidth="1"/>
    <col min="11530" max="11530" width="10.42578125" customWidth="1"/>
    <col min="11531" max="11531" width="8.85546875" customWidth="1"/>
    <col min="11532" max="11532" width="7.28515625" customWidth="1"/>
    <col min="11533" max="11533" width="11.28515625" customWidth="1"/>
    <col min="11534" max="11534" width="15.7109375" customWidth="1"/>
    <col min="11535" max="11535" width="17.140625" bestFit="1" customWidth="1"/>
    <col min="11536" max="11536" width="13.7109375" bestFit="1" customWidth="1"/>
    <col min="11537" max="11537" width="7.85546875" bestFit="1" customWidth="1"/>
    <col min="11777" max="11777" width="13.5703125" bestFit="1" customWidth="1"/>
    <col min="11778" max="11778" width="38.42578125" customWidth="1"/>
    <col min="11779" max="11779" width="11" customWidth="1"/>
    <col min="11780" max="11780" width="9.42578125" customWidth="1"/>
    <col min="11781" max="11782" width="9.28515625" customWidth="1"/>
    <col min="11783" max="11783" width="10.140625" customWidth="1"/>
    <col min="11784" max="11784" width="8.85546875" customWidth="1"/>
    <col min="11785" max="11785" width="10.5703125" customWidth="1"/>
    <col min="11786" max="11786" width="10.42578125" customWidth="1"/>
    <col min="11787" max="11787" width="8.85546875" customWidth="1"/>
    <col min="11788" max="11788" width="7.28515625" customWidth="1"/>
    <col min="11789" max="11789" width="11.28515625" customWidth="1"/>
    <col min="11790" max="11790" width="15.7109375" customWidth="1"/>
    <col min="11791" max="11791" width="17.140625" bestFit="1" customWidth="1"/>
    <col min="11792" max="11792" width="13.7109375" bestFit="1" customWidth="1"/>
    <col min="11793" max="11793" width="7.85546875" bestFit="1" customWidth="1"/>
    <col min="12033" max="12033" width="13.5703125" bestFit="1" customWidth="1"/>
    <col min="12034" max="12034" width="38.42578125" customWidth="1"/>
    <col min="12035" max="12035" width="11" customWidth="1"/>
    <col min="12036" max="12036" width="9.42578125" customWidth="1"/>
    <col min="12037" max="12038" width="9.28515625" customWidth="1"/>
    <col min="12039" max="12039" width="10.140625" customWidth="1"/>
    <col min="12040" max="12040" width="8.85546875" customWidth="1"/>
    <col min="12041" max="12041" width="10.5703125" customWidth="1"/>
    <col min="12042" max="12042" width="10.42578125" customWidth="1"/>
    <col min="12043" max="12043" width="8.85546875" customWidth="1"/>
    <col min="12044" max="12044" width="7.28515625" customWidth="1"/>
    <col min="12045" max="12045" width="11.28515625" customWidth="1"/>
    <col min="12046" max="12046" width="15.7109375" customWidth="1"/>
    <col min="12047" max="12047" width="17.140625" bestFit="1" customWidth="1"/>
    <col min="12048" max="12048" width="13.7109375" bestFit="1" customWidth="1"/>
    <col min="12049" max="12049" width="7.85546875" bestFit="1" customWidth="1"/>
    <col min="12289" max="12289" width="13.5703125" bestFit="1" customWidth="1"/>
    <col min="12290" max="12290" width="38.42578125" customWidth="1"/>
    <col min="12291" max="12291" width="11" customWidth="1"/>
    <col min="12292" max="12292" width="9.42578125" customWidth="1"/>
    <col min="12293" max="12294" width="9.28515625" customWidth="1"/>
    <col min="12295" max="12295" width="10.140625" customWidth="1"/>
    <col min="12296" max="12296" width="8.85546875" customWidth="1"/>
    <col min="12297" max="12297" width="10.5703125" customWidth="1"/>
    <col min="12298" max="12298" width="10.42578125" customWidth="1"/>
    <col min="12299" max="12299" width="8.85546875" customWidth="1"/>
    <col min="12300" max="12300" width="7.28515625" customWidth="1"/>
    <col min="12301" max="12301" width="11.28515625" customWidth="1"/>
    <col min="12302" max="12302" width="15.7109375" customWidth="1"/>
    <col min="12303" max="12303" width="17.140625" bestFit="1" customWidth="1"/>
    <col min="12304" max="12304" width="13.7109375" bestFit="1" customWidth="1"/>
    <col min="12305" max="12305" width="7.85546875" bestFit="1" customWidth="1"/>
    <col min="12545" max="12545" width="13.5703125" bestFit="1" customWidth="1"/>
    <col min="12546" max="12546" width="38.42578125" customWidth="1"/>
    <col min="12547" max="12547" width="11" customWidth="1"/>
    <col min="12548" max="12548" width="9.42578125" customWidth="1"/>
    <col min="12549" max="12550" width="9.28515625" customWidth="1"/>
    <col min="12551" max="12551" width="10.140625" customWidth="1"/>
    <col min="12552" max="12552" width="8.85546875" customWidth="1"/>
    <col min="12553" max="12553" width="10.5703125" customWidth="1"/>
    <col min="12554" max="12554" width="10.42578125" customWidth="1"/>
    <col min="12555" max="12555" width="8.85546875" customWidth="1"/>
    <col min="12556" max="12556" width="7.28515625" customWidth="1"/>
    <col min="12557" max="12557" width="11.28515625" customWidth="1"/>
    <col min="12558" max="12558" width="15.7109375" customWidth="1"/>
    <col min="12559" max="12559" width="17.140625" bestFit="1" customWidth="1"/>
    <col min="12560" max="12560" width="13.7109375" bestFit="1" customWidth="1"/>
    <col min="12561" max="12561" width="7.85546875" bestFit="1" customWidth="1"/>
    <col min="12801" max="12801" width="13.5703125" bestFit="1" customWidth="1"/>
    <col min="12802" max="12802" width="38.42578125" customWidth="1"/>
    <col min="12803" max="12803" width="11" customWidth="1"/>
    <col min="12804" max="12804" width="9.42578125" customWidth="1"/>
    <col min="12805" max="12806" width="9.28515625" customWidth="1"/>
    <col min="12807" max="12807" width="10.140625" customWidth="1"/>
    <col min="12808" max="12808" width="8.85546875" customWidth="1"/>
    <col min="12809" max="12809" width="10.5703125" customWidth="1"/>
    <col min="12810" max="12810" width="10.42578125" customWidth="1"/>
    <col min="12811" max="12811" width="8.85546875" customWidth="1"/>
    <col min="12812" max="12812" width="7.28515625" customWidth="1"/>
    <col min="12813" max="12813" width="11.28515625" customWidth="1"/>
    <col min="12814" max="12814" width="15.7109375" customWidth="1"/>
    <col min="12815" max="12815" width="17.140625" bestFit="1" customWidth="1"/>
    <col min="12816" max="12816" width="13.7109375" bestFit="1" customWidth="1"/>
    <col min="12817" max="12817" width="7.85546875" bestFit="1" customWidth="1"/>
    <col min="13057" max="13057" width="13.5703125" bestFit="1" customWidth="1"/>
    <col min="13058" max="13058" width="38.42578125" customWidth="1"/>
    <col min="13059" max="13059" width="11" customWidth="1"/>
    <col min="13060" max="13060" width="9.42578125" customWidth="1"/>
    <col min="13061" max="13062" width="9.28515625" customWidth="1"/>
    <col min="13063" max="13063" width="10.140625" customWidth="1"/>
    <col min="13064" max="13064" width="8.85546875" customWidth="1"/>
    <col min="13065" max="13065" width="10.5703125" customWidth="1"/>
    <col min="13066" max="13066" width="10.42578125" customWidth="1"/>
    <col min="13067" max="13067" width="8.85546875" customWidth="1"/>
    <col min="13068" max="13068" width="7.28515625" customWidth="1"/>
    <col min="13069" max="13069" width="11.28515625" customWidth="1"/>
    <col min="13070" max="13070" width="15.7109375" customWidth="1"/>
    <col min="13071" max="13071" width="17.140625" bestFit="1" customWidth="1"/>
    <col min="13072" max="13072" width="13.7109375" bestFit="1" customWidth="1"/>
    <col min="13073" max="13073" width="7.85546875" bestFit="1" customWidth="1"/>
    <col min="13313" max="13313" width="13.5703125" bestFit="1" customWidth="1"/>
    <col min="13314" max="13314" width="38.42578125" customWidth="1"/>
    <col min="13315" max="13315" width="11" customWidth="1"/>
    <col min="13316" max="13316" width="9.42578125" customWidth="1"/>
    <col min="13317" max="13318" width="9.28515625" customWidth="1"/>
    <col min="13319" max="13319" width="10.140625" customWidth="1"/>
    <col min="13320" max="13320" width="8.85546875" customWidth="1"/>
    <col min="13321" max="13321" width="10.5703125" customWidth="1"/>
    <col min="13322" max="13322" width="10.42578125" customWidth="1"/>
    <col min="13323" max="13323" width="8.85546875" customWidth="1"/>
    <col min="13324" max="13324" width="7.28515625" customWidth="1"/>
    <col min="13325" max="13325" width="11.28515625" customWidth="1"/>
    <col min="13326" max="13326" width="15.7109375" customWidth="1"/>
    <col min="13327" max="13327" width="17.140625" bestFit="1" customWidth="1"/>
    <col min="13328" max="13328" width="13.7109375" bestFit="1" customWidth="1"/>
    <col min="13329" max="13329" width="7.85546875" bestFit="1" customWidth="1"/>
    <col min="13569" max="13569" width="13.5703125" bestFit="1" customWidth="1"/>
    <col min="13570" max="13570" width="38.42578125" customWidth="1"/>
    <col min="13571" max="13571" width="11" customWidth="1"/>
    <col min="13572" max="13572" width="9.42578125" customWidth="1"/>
    <col min="13573" max="13574" width="9.28515625" customWidth="1"/>
    <col min="13575" max="13575" width="10.140625" customWidth="1"/>
    <col min="13576" max="13576" width="8.85546875" customWidth="1"/>
    <col min="13577" max="13577" width="10.5703125" customWidth="1"/>
    <col min="13578" max="13578" width="10.42578125" customWidth="1"/>
    <col min="13579" max="13579" width="8.85546875" customWidth="1"/>
    <col min="13580" max="13580" width="7.28515625" customWidth="1"/>
    <col min="13581" max="13581" width="11.28515625" customWidth="1"/>
    <col min="13582" max="13582" width="15.7109375" customWidth="1"/>
    <col min="13583" max="13583" width="17.140625" bestFit="1" customWidth="1"/>
    <col min="13584" max="13584" width="13.7109375" bestFit="1" customWidth="1"/>
    <col min="13585" max="13585" width="7.85546875" bestFit="1" customWidth="1"/>
    <col min="13825" max="13825" width="13.5703125" bestFit="1" customWidth="1"/>
    <col min="13826" max="13826" width="38.42578125" customWidth="1"/>
    <col min="13827" max="13827" width="11" customWidth="1"/>
    <col min="13828" max="13828" width="9.42578125" customWidth="1"/>
    <col min="13829" max="13830" width="9.28515625" customWidth="1"/>
    <col min="13831" max="13831" width="10.140625" customWidth="1"/>
    <col min="13832" max="13832" width="8.85546875" customWidth="1"/>
    <col min="13833" max="13833" width="10.5703125" customWidth="1"/>
    <col min="13834" max="13834" width="10.42578125" customWidth="1"/>
    <col min="13835" max="13835" width="8.85546875" customWidth="1"/>
    <col min="13836" max="13836" width="7.28515625" customWidth="1"/>
    <col min="13837" max="13837" width="11.28515625" customWidth="1"/>
    <col min="13838" max="13838" width="15.7109375" customWidth="1"/>
    <col min="13839" max="13839" width="17.140625" bestFit="1" customWidth="1"/>
    <col min="13840" max="13840" width="13.7109375" bestFit="1" customWidth="1"/>
    <col min="13841" max="13841" width="7.85546875" bestFit="1" customWidth="1"/>
    <col min="14081" max="14081" width="13.5703125" bestFit="1" customWidth="1"/>
    <col min="14082" max="14082" width="38.42578125" customWidth="1"/>
    <col min="14083" max="14083" width="11" customWidth="1"/>
    <col min="14084" max="14084" width="9.42578125" customWidth="1"/>
    <col min="14085" max="14086" width="9.28515625" customWidth="1"/>
    <col min="14087" max="14087" width="10.140625" customWidth="1"/>
    <col min="14088" max="14088" width="8.85546875" customWidth="1"/>
    <col min="14089" max="14089" width="10.5703125" customWidth="1"/>
    <col min="14090" max="14090" width="10.42578125" customWidth="1"/>
    <col min="14091" max="14091" width="8.85546875" customWidth="1"/>
    <col min="14092" max="14092" width="7.28515625" customWidth="1"/>
    <col min="14093" max="14093" width="11.28515625" customWidth="1"/>
    <col min="14094" max="14094" width="15.7109375" customWidth="1"/>
    <col min="14095" max="14095" width="17.140625" bestFit="1" customWidth="1"/>
    <col min="14096" max="14096" width="13.7109375" bestFit="1" customWidth="1"/>
    <col min="14097" max="14097" width="7.85546875" bestFit="1" customWidth="1"/>
    <col min="14337" max="14337" width="13.5703125" bestFit="1" customWidth="1"/>
    <col min="14338" max="14338" width="38.42578125" customWidth="1"/>
    <col min="14339" max="14339" width="11" customWidth="1"/>
    <col min="14340" max="14340" width="9.42578125" customWidth="1"/>
    <col min="14341" max="14342" width="9.28515625" customWidth="1"/>
    <col min="14343" max="14343" width="10.140625" customWidth="1"/>
    <col min="14344" max="14344" width="8.85546875" customWidth="1"/>
    <col min="14345" max="14345" width="10.5703125" customWidth="1"/>
    <col min="14346" max="14346" width="10.42578125" customWidth="1"/>
    <col min="14347" max="14347" width="8.85546875" customWidth="1"/>
    <col min="14348" max="14348" width="7.28515625" customWidth="1"/>
    <col min="14349" max="14349" width="11.28515625" customWidth="1"/>
    <col min="14350" max="14350" width="15.7109375" customWidth="1"/>
    <col min="14351" max="14351" width="17.140625" bestFit="1" customWidth="1"/>
    <col min="14352" max="14352" width="13.7109375" bestFit="1" customWidth="1"/>
    <col min="14353" max="14353" width="7.85546875" bestFit="1" customWidth="1"/>
    <col min="14593" max="14593" width="13.5703125" bestFit="1" customWidth="1"/>
    <col min="14594" max="14594" width="38.42578125" customWidth="1"/>
    <col min="14595" max="14595" width="11" customWidth="1"/>
    <col min="14596" max="14596" width="9.42578125" customWidth="1"/>
    <col min="14597" max="14598" width="9.28515625" customWidth="1"/>
    <col min="14599" max="14599" width="10.140625" customWidth="1"/>
    <col min="14600" max="14600" width="8.85546875" customWidth="1"/>
    <col min="14601" max="14601" width="10.5703125" customWidth="1"/>
    <col min="14602" max="14602" width="10.42578125" customWidth="1"/>
    <col min="14603" max="14603" width="8.85546875" customWidth="1"/>
    <col min="14604" max="14604" width="7.28515625" customWidth="1"/>
    <col min="14605" max="14605" width="11.28515625" customWidth="1"/>
    <col min="14606" max="14606" width="15.7109375" customWidth="1"/>
    <col min="14607" max="14607" width="17.140625" bestFit="1" customWidth="1"/>
    <col min="14608" max="14608" width="13.7109375" bestFit="1" customWidth="1"/>
    <col min="14609" max="14609" width="7.85546875" bestFit="1" customWidth="1"/>
    <col min="14849" max="14849" width="13.5703125" bestFit="1" customWidth="1"/>
    <col min="14850" max="14850" width="38.42578125" customWidth="1"/>
    <col min="14851" max="14851" width="11" customWidth="1"/>
    <col min="14852" max="14852" width="9.42578125" customWidth="1"/>
    <col min="14853" max="14854" width="9.28515625" customWidth="1"/>
    <col min="14855" max="14855" width="10.140625" customWidth="1"/>
    <col min="14856" max="14856" width="8.85546875" customWidth="1"/>
    <col min="14857" max="14857" width="10.5703125" customWidth="1"/>
    <col min="14858" max="14858" width="10.42578125" customWidth="1"/>
    <col min="14859" max="14859" width="8.85546875" customWidth="1"/>
    <col min="14860" max="14860" width="7.28515625" customWidth="1"/>
    <col min="14861" max="14861" width="11.28515625" customWidth="1"/>
    <col min="14862" max="14862" width="15.7109375" customWidth="1"/>
    <col min="14863" max="14863" width="17.140625" bestFit="1" customWidth="1"/>
    <col min="14864" max="14864" width="13.7109375" bestFit="1" customWidth="1"/>
    <col min="14865" max="14865" width="7.85546875" bestFit="1" customWidth="1"/>
    <col min="15105" max="15105" width="13.5703125" bestFit="1" customWidth="1"/>
    <col min="15106" max="15106" width="38.42578125" customWidth="1"/>
    <col min="15107" max="15107" width="11" customWidth="1"/>
    <col min="15108" max="15108" width="9.42578125" customWidth="1"/>
    <col min="15109" max="15110" width="9.28515625" customWidth="1"/>
    <col min="15111" max="15111" width="10.140625" customWidth="1"/>
    <col min="15112" max="15112" width="8.85546875" customWidth="1"/>
    <col min="15113" max="15113" width="10.5703125" customWidth="1"/>
    <col min="15114" max="15114" width="10.42578125" customWidth="1"/>
    <col min="15115" max="15115" width="8.85546875" customWidth="1"/>
    <col min="15116" max="15116" width="7.28515625" customWidth="1"/>
    <col min="15117" max="15117" width="11.28515625" customWidth="1"/>
    <col min="15118" max="15118" width="15.7109375" customWidth="1"/>
    <col min="15119" max="15119" width="17.140625" bestFit="1" customWidth="1"/>
    <col min="15120" max="15120" width="13.7109375" bestFit="1" customWidth="1"/>
    <col min="15121" max="15121" width="7.85546875" bestFit="1" customWidth="1"/>
    <col min="15361" max="15361" width="13.5703125" bestFit="1" customWidth="1"/>
    <col min="15362" max="15362" width="38.42578125" customWidth="1"/>
    <col min="15363" max="15363" width="11" customWidth="1"/>
    <col min="15364" max="15364" width="9.42578125" customWidth="1"/>
    <col min="15365" max="15366" width="9.28515625" customWidth="1"/>
    <col min="15367" max="15367" width="10.140625" customWidth="1"/>
    <col min="15368" max="15368" width="8.85546875" customWidth="1"/>
    <col min="15369" max="15369" width="10.5703125" customWidth="1"/>
    <col min="15370" max="15370" width="10.42578125" customWidth="1"/>
    <col min="15371" max="15371" width="8.85546875" customWidth="1"/>
    <col min="15372" max="15372" width="7.28515625" customWidth="1"/>
    <col min="15373" max="15373" width="11.28515625" customWidth="1"/>
    <col min="15374" max="15374" width="15.7109375" customWidth="1"/>
    <col min="15375" max="15375" width="17.140625" bestFit="1" customWidth="1"/>
    <col min="15376" max="15376" width="13.7109375" bestFit="1" customWidth="1"/>
    <col min="15377" max="15377" width="7.85546875" bestFit="1" customWidth="1"/>
    <col min="15617" max="15617" width="13.5703125" bestFit="1" customWidth="1"/>
    <col min="15618" max="15618" width="38.42578125" customWidth="1"/>
    <col min="15619" max="15619" width="11" customWidth="1"/>
    <col min="15620" max="15620" width="9.42578125" customWidth="1"/>
    <col min="15621" max="15622" width="9.28515625" customWidth="1"/>
    <col min="15623" max="15623" width="10.140625" customWidth="1"/>
    <col min="15624" max="15624" width="8.85546875" customWidth="1"/>
    <col min="15625" max="15625" width="10.5703125" customWidth="1"/>
    <col min="15626" max="15626" width="10.42578125" customWidth="1"/>
    <col min="15627" max="15627" width="8.85546875" customWidth="1"/>
    <col min="15628" max="15628" width="7.28515625" customWidth="1"/>
    <col min="15629" max="15629" width="11.28515625" customWidth="1"/>
    <col min="15630" max="15630" width="15.7109375" customWidth="1"/>
    <col min="15631" max="15631" width="17.140625" bestFit="1" customWidth="1"/>
    <col min="15632" max="15632" width="13.7109375" bestFit="1" customWidth="1"/>
    <col min="15633" max="15633" width="7.85546875" bestFit="1" customWidth="1"/>
    <col min="15873" max="15873" width="13.5703125" bestFit="1" customWidth="1"/>
    <col min="15874" max="15874" width="38.42578125" customWidth="1"/>
    <col min="15875" max="15875" width="11" customWidth="1"/>
    <col min="15876" max="15876" width="9.42578125" customWidth="1"/>
    <col min="15877" max="15878" width="9.28515625" customWidth="1"/>
    <col min="15879" max="15879" width="10.140625" customWidth="1"/>
    <col min="15880" max="15880" width="8.85546875" customWidth="1"/>
    <col min="15881" max="15881" width="10.5703125" customWidth="1"/>
    <col min="15882" max="15882" width="10.42578125" customWidth="1"/>
    <col min="15883" max="15883" width="8.85546875" customWidth="1"/>
    <col min="15884" max="15884" width="7.28515625" customWidth="1"/>
    <col min="15885" max="15885" width="11.28515625" customWidth="1"/>
    <col min="15886" max="15886" width="15.7109375" customWidth="1"/>
    <col min="15887" max="15887" width="17.140625" bestFit="1" customWidth="1"/>
    <col min="15888" max="15888" width="13.7109375" bestFit="1" customWidth="1"/>
    <col min="15889" max="15889" width="7.85546875" bestFit="1" customWidth="1"/>
    <col min="16129" max="16129" width="13.5703125" bestFit="1" customWidth="1"/>
    <col min="16130" max="16130" width="38.42578125" customWidth="1"/>
    <col min="16131" max="16131" width="11" customWidth="1"/>
    <col min="16132" max="16132" width="9.42578125" customWidth="1"/>
    <col min="16133" max="16134" width="9.28515625" customWidth="1"/>
    <col min="16135" max="16135" width="10.140625" customWidth="1"/>
    <col min="16136" max="16136" width="8.85546875" customWidth="1"/>
    <col min="16137" max="16137" width="10.5703125" customWidth="1"/>
    <col min="16138" max="16138" width="10.42578125" customWidth="1"/>
    <col min="16139" max="16139" width="8.85546875" customWidth="1"/>
    <col min="16140" max="16140" width="7.28515625" customWidth="1"/>
    <col min="16141" max="16141" width="11.28515625" customWidth="1"/>
    <col min="16142" max="16142" width="15.7109375" customWidth="1"/>
    <col min="16143" max="16143" width="17.140625" bestFit="1" customWidth="1"/>
    <col min="16144" max="16144" width="13.7109375" bestFit="1" customWidth="1"/>
    <col min="16145" max="16145" width="7.85546875" bestFit="1" customWidth="1"/>
  </cols>
  <sheetData>
    <row r="1" spans="1:17" ht="15" x14ac:dyDescent="0.25">
      <c r="A1" s="698" t="s">
        <v>574</v>
      </c>
      <c r="B1" s="698">
        <v>1703</v>
      </c>
      <c r="M1" s="698" t="s">
        <v>575</v>
      </c>
    </row>
    <row r="2" spans="1:17" ht="15" x14ac:dyDescent="0.25">
      <c r="A2" s="699" t="s">
        <v>574</v>
      </c>
      <c r="B2" s="698">
        <v>1703</v>
      </c>
      <c r="M2" s="700" t="s">
        <v>575</v>
      </c>
      <c r="N2" s="701"/>
      <c r="O2" s="702"/>
    </row>
    <row r="3" spans="1:17" ht="15" x14ac:dyDescent="0.25">
      <c r="A3" s="697"/>
      <c r="M3" s="703"/>
      <c r="N3" s="701"/>
      <c r="O3" s="704"/>
      <c r="Q3" s="705"/>
    </row>
    <row r="4" spans="1:17" ht="15" x14ac:dyDescent="0.25">
      <c r="A4" s="697"/>
      <c r="M4" s="703"/>
      <c r="N4" s="701"/>
      <c r="P4" s="704"/>
    </row>
    <row r="5" spans="1:17" ht="26.25" x14ac:dyDescent="0.4">
      <c r="A5" s="697"/>
      <c r="B5" s="706" t="s">
        <v>576</v>
      </c>
      <c r="D5" s="697"/>
      <c r="E5" s="697"/>
      <c r="F5" s="697"/>
      <c r="G5" s="697"/>
      <c r="H5" s="697"/>
      <c r="I5" s="697"/>
      <c r="J5" s="697"/>
      <c r="K5" s="697"/>
      <c r="L5" s="697"/>
      <c r="M5" s="697"/>
      <c r="O5" s="707"/>
    </row>
    <row r="6" spans="1:17" ht="26.25" x14ac:dyDescent="0.4">
      <c r="A6" s="697"/>
      <c r="B6" s="706" t="s">
        <v>577</v>
      </c>
      <c r="D6" s="697"/>
      <c r="E6" s="697"/>
      <c r="F6" s="697"/>
      <c r="G6" s="697"/>
      <c r="H6" s="697"/>
      <c r="I6" s="697"/>
      <c r="J6" s="697"/>
      <c r="K6" s="697"/>
      <c r="L6" s="697"/>
      <c r="M6" s="697"/>
      <c r="O6" s="707"/>
    </row>
    <row r="7" spans="1:17" ht="26.25" x14ac:dyDescent="0.4">
      <c r="A7" s="697"/>
      <c r="B7" s="706"/>
      <c r="D7" s="697"/>
      <c r="E7" s="697"/>
      <c r="F7" s="697"/>
      <c r="G7" s="697"/>
      <c r="H7" s="697"/>
      <c r="I7" s="697"/>
      <c r="J7" s="697"/>
      <c r="K7" s="697"/>
      <c r="L7" s="697"/>
      <c r="M7" s="697"/>
      <c r="O7" s="707"/>
    </row>
    <row r="8" spans="1:17" ht="18.75" x14ac:dyDescent="0.3">
      <c r="A8" s="699"/>
      <c r="B8" s="708" t="s">
        <v>578</v>
      </c>
      <c r="D8" s="697"/>
      <c r="E8" s="697"/>
      <c r="F8" s="697"/>
      <c r="G8" s="697"/>
      <c r="H8" s="697"/>
      <c r="I8" s="709"/>
      <c r="J8" s="697"/>
      <c r="K8" s="697"/>
      <c r="L8" s="697"/>
      <c r="M8" s="697"/>
      <c r="O8" s="707"/>
    </row>
    <row r="9" spans="1:17" ht="18.75" x14ac:dyDescent="0.3">
      <c r="A9" s="697"/>
      <c r="B9" s="708" t="s">
        <v>579</v>
      </c>
      <c r="D9" s="697"/>
      <c r="E9" s="697"/>
      <c r="F9" s="697"/>
      <c r="G9" s="697"/>
      <c r="H9" s="697"/>
      <c r="I9" s="709"/>
      <c r="J9" s="697"/>
      <c r="K9" s="697"/>
      <c r="L9" s="697"/>
      <c r="M9" s="697"/>
      <c r="O9" s="707"/>
    </row>
    <row r="10" spans="1:17" ht="18.75" x14ac:dyDescent="0.3">
      <c r="B10" s="710"/>
    </row>
    <row r="11" spans="1:17" x14ac:dyDescent="0.2">
      <c r="M11" s="735"/>
    </row>
    <row r="12" spans="1:17" s="698" customFormat="1" ht="27" customHeight="1" x14ac:dyDescent="0.25">
      <c r="A12" s="711" t="s">
        <v>476</v>
      </c>
      <c r="B12" s="712" t="s">
        <v>580</v>
      </c>
      <c r="C12" s="713" t="s">
        <v>581</v>
      </c>
      <c r="D12" s="712" t="s">
        <v>582</v>
      </c>
      <c r="E12" s="712" t="s">
        <v>583</v>
      </c>
      <c r="F12" s="712" t="s">
        <v>584</v>
      </c>
      <c r="G12" s="714" t="s">
        <v>585</v>
      </c>
      <c r="H12" s="714" t="s">
        <v>586</v>
      </c>
      <c r="I12" s="714" t="s">
        <v>587</v>
      </c>
      <c r="J12" s="714" t="s">
        <v>588</v>
      </c>
      <c r="K12" s="712" t="s">
        <v>589</v>
      </c>
      <c r="L12" s="712" t="s">
        <v>590</v>
      </c>
      <c r="M12" s="714" t="s">
        <v>591</v>
      </c>
      <c r="N12" s="715" t="s">
        <v>592</v>
      </c>
      <c r="O12" s="1144" t="s">
        <v>10062</v>
      </c>
    </row>
    <row r="13" spans="1:17" ht="15" x14ac:dyDescent="0.25">
      <c r="A13" s="716" t="s">
        <v>593</v>
      </c>
      <c r="B13" s="717" t="s">
        <v>594</v>
      </c>
      <c r="C13" s="718">
        <v>1915.9</v>
      </c>
      <c r="D13" s="717">
        <v>47.52</v>
      </c>
      <c r="E13" s="717">
        <v>0.3</v>
      </c>
      <c r="F13" s="717">
        <v>622.29</v>
      </c>
      <c r="G13" s="717">
        <v>112.589</v>
      </c>
      <c r="H13" s="717">
        <v>0</v>
      </c>
      <c r="I13" s="717">
        <v>0</v>
      </c>
      <c r="J13" s="717">
        <v>0</v>
      </c>
      <c r="K13" s="717">
        <v>0</v>
      </c>
      <c r="L13" s="717">
        <v>0</v>
      </c>
      <c r="M13" s="719">
        <v>1322.92</v>
      </c>
      <c r="N13" s="720">
        <f>M13*(1+$O$2)</f>
        <v>1322.92</v>
      </c>
      <c r="O13" s="1142">
        <f>Tabla1[[#This Row],[Tarifa 2012 (Mx$/ton)]]*(1+IncrementoTarifa)</f>
        <v>1388.9337080000003</v>
      </c>
    </row>
    <row r="14" spans="1:17" ht="15" x14ac:dyDescent="0.25">
      <c r="A14" s="716" t="s">
        <v>595</v>
      </c>
      <c r="B14" s="717" t="s">
        <v>596</v>
      </c>
      <c r="C14" s="718">
        <v>450</v>
      </c>
      <c r="D14" s="717">
        <v>47.52</v>
      </c>
      <c r="E14" s="717">
        <v>0.3</v>
      </c>
      <c r="F14" s="717">
        <v>182.52</v>
      </c>
      <c r="G14" s="717">
        <v>112.589</v>
      </c>
      <c r="H14" s="717">
        <v>0</v>
      </c>
      <c r="I14" s="717">
        <v>0</v>
      </c>
      <c r="J14" s="717">
        <v>0</v>
      </c>
      <c r="K14" s="717">
        <v>0</v>
      </c>
      <c r="L14" s="717">
        <v>0</v>
      </c>
      <c r="M14" s="719">
        <v>388.02</v>
      </c>
      <c r="N14" s="720">
        <f t="shared" ref="N14:N77" si="0">M14*(1+$O$2)</f>
        <v>388.02</v>
      </c>
      <c r="O14" s="1141">
        <f>Tabla1[[#This Row],[Tarifa 2012 (Mx$/ton)]]*(1+IncrementoTarifa)</f>
        <v>407.38219800000002</v>
      </c>
    </row>
    <row r="15" spans="1:17" ht="15" x14ac:dyDescent="0.25">
      <c r="A15" s="716" t="s">
        <v>597</v>
      </c>
      <c r="B15" s="717" t="s">
        <v>598</v>
      </c>
      <c r="C15" s="718">
        <v>720</v>
      </c>
      <c r="D15" s="717">
        <v>47.52</v>
      </c>
      <c r="E15" s="717">
        <v>0.3</v>
      </c>
      <c r="F15" s="717">
        <v>263.52</v>
      </c>
      <c r="G15" s="717">
        <v>112.589</v>
      </c>
      <c r="H15" s="717">
        <v>0</v>
      </c>
      <c r="I15" s="717">
        <v>0</v>
      </c>
      <c r="J15" s="717">
        <v>0</v>
      </c>
      <c r="K15" s="717">
        <v>0</v>
      </c>
      <c r="L15" s="717">
        <v>0</v>
      </c>
      <c r="M15" s="719">
        <v>560.21</v>
      </c>
      <c r="N15" s="720">
        <f t="shared" si="0"/>
        <v>560.21</v>
      </c>
      <c r="O15" s="1141">
        <f>Tabla1[[#This Row],[Tarifa 2012 (Mx$/ton)]]*(1+IncrementoTarifa)</f>
        <v>588.16447900000003</v>
      </c>
    </row>
    <row r="16" spans="1:17" ht="15" x14ac:dyDescent="0.25">
      <c r="A16" s="716" t="s">
        <v>599</v>
      </c>
      <c r="B16" s="717" t="s">
        <v>600</v>
      </c>
      <c r="C16" s="718">
        <v>145</v>
      </c>
      <c r="D16" s="717">
        <v>47.52</v>
      </c>
      <c r="E16" s="717">
        <v>0.3</v>
      </c>
      <c r="F16" s="717">
        <v>91.02</v>
      </c>
      <c r="G16" s="717">
        <v>112.589</v>
      </c>
      <c r="H16" s="717">
        <v>0</v>
      </c>
      <c r="I16" s="717">
        <v>0</v>
      </c>
      <c r="J16" s="717">
        <v>0</v>
      </c>
      <c r="K16" s="717">
        <v>0</v>
      </c>
      <c r="L16" s="717">
        <v>0</v>
      </c>
      <c r="M16" s="719">
        <v>193.5</v>
      </c>
      <c r="N16" s="720">
        <f t="shared" si="0"/>
        <v>193.5</v>
      </c>
      <c r="O16" s="1141">
        <f>Tabla1[[#This Row],[Tarifa 2012 (Mx$/ton)]]*(1+IncrementoTarifa)</f>
        <v>203.15565000000001</v>
      </c>
    </row>
    <row r="17" spans="1:15" ht="15" x14ac:dyDescent="0.25">
      <c r="A17" s="716" t="s">
        <v>477</v>
      </c>
      <c r="B17" s="717" t="s">
        <v>601</v>
      </c>
      <c r="C17" s="718">
        <v>1E-3</v>
      </c>
      <c r="D17" s="717">
        <v>47.52</v>
      </c>
      <c r="E17" s="717">
        <v>0.3</v>
      </c>
      <c r="F17" s="717">
        <v>47.52</v>
      </c>
      <c r="G17" s="717">
        <v>112.589</v>
      </c>
      <c r="H17" s="717">
        <v>0</v>
      </c>
      <c r="I17" s="717">
        <v>0</v>
      </c>
      <c r="J17" s="717">
        <v>0</v>
      </c>
      <c r="K17" s="717">
        <v>0</v>
      </c>
      <c r="L17" s="717">
        <v>0</v>
      </c>
      <c r="M17" s="719">
        <v>101.02</v>
      </c>
      <c r="N17" s="720">
        <f t="shared" si="0"/>
        <v>101.02</v>
      </c>
      <c r="O17" s="1141">
        <f>Tabla1[[#This Row],[Tarifa 2012 (Mx$/ton)]]*(1+IncrementoTarifa)</f>
        <v>106.06089799999999</v>
      </c>
    </row>
    <row r="18" spans="1:15" ht="15" x14ac:dyDescent="0.25">
      <c r="A18" s="716" t="s">
        <v>479</v>
      </c>
      <c r="B18" s="717" t="s">
        <v>602</v>
      </c>
      <c r="C18" s="718">
        <v>84</v>
      </c>
      <c r="D18" s="717">
        <v>47.52</v>
      </c>
      <c r="E18" s="717">
        <v>0.3</v>
      </c>
      <c r="F18" s="717">
        <v>72.72</v>
      </c>
      <c r="G18" s="717">
        <v>112.589</v>
      </c>
      <c r="H18" s="717">
        <v>0</v>
      </c>
      <c r="I18" s="717">
        <v>0</v>
      </c>
      <c r="J18" s="717">
        <v>0</v>
      </c>
      <c r="K18" s="717">
        <v>0</v>
      </c>
      <c r="L18" s="717">
        <v>0</v>
      </c>
      <c r="M18" s="719">
        <v>154.59</v>
      </c>
      <c r="N18" s="720">
        <f t="shared" si="0"/>
        <v>154.59</v>
      </c>
      <c r="O18" s="1141">
        <f>Tabla1[[#This Row],[Tarifa 2012 (Mx$/ton)]]*(1+IncrementoTarifa)</f>
        <v>162.30404100000001</v>
      </c>
    </row>
    <row r="19" spans="1:15" ht="15" x14ac:dyDescent="0.25">
      <c r="A19" s="716" t="s">
        <v>603</v>
      </c>
      <c r="B19" s="717" t="s">
        <v>604</v>
      </c>
      <c r="C19" s="718">
        <v>105</v>
      </c>
      <c r="D19" s="717">
        <v>47.52</v>
      </c>
      <c r="E19" s="717">
        <v>0.3</v>
      </c>
      <c r="F19" s="717">
        <v>79.02</v>
      </c>
      <c r="G19" s="717">
        <v>112.589</v>
      </c>
      <c r="H19" s="717">
        <v>0</v>
      </c>
      <c r="I19" s="717">
        <v>0</v>
      </c>
      <c r="J19" s="717">
        <v>0</v>
      </c>
      <c r="K19" s="717">
        <v>0</v>
      </c>
      <c r="L19" s="717">
        <v>0</v>
      </c>
      <c r="M19" s="719">
        <v>167.99</v>
      </c>
      <c r="N19" s="720">
        <f t="shared" si="0"/>
        <v>167.99</v>
      </c>
      <c r="O19" s="1141">
        <f>Tabla1[[#This Row],[Tarifa 2012 (Mx$/ton)]]*(1+IncrementoTarifa)</f>
        <v>176.37270100000001</v>
      </c>
    </row>
    <row r="20" spans="1:15" ht="15" x14ac:dyDescent="0.25">
      <c r="A20" s="716" t="s">
        <v>605</v>
      </c>
      <c r="B20" s="717" t="s">
        <v>606</v>
      </c>
      <c r="C20" s="718">
        <v>235</v>
      </c>
      <c r="D20" s="717">
        <v>47.52</v>
      </c>
      <c r="E20" s="717">
        <v>0.3</v>
      </c>
      <c r="F20" s="717">
        <v>118.02</v>
      </c>
      <c r="G20" s="717">
        <v>112.589</v>
      </c>
      <c r="H20" s="717">
        <v>0</v>
      </c>
      <c r="I20" s="717">
        <v>0</v>
      </c>
      <c r="J20" s="717">
        <v>0</v>
      </c>
      <c r="K20" s="717">
        <v>0</v>
      </c>
      <c r="L20" s="717">
        <v>0</v>
      </c>
      <c r="M20" s="719">
        <v>250.9</v>
      </c>
      <c r="N20" s="720">
        <f t="shared" si="0"/>
        <v>250.9</v>
      </c>
      <c r="O20" s="1141">
        <f>Tabla1[[#This Row],[Tarifa 2012 (Mx$/ton)]]*(1+IncrementoTarifa)</f>
        <v>263.41991000000002</v>
      </c>
    </row>
    <row r="21" spans="1:15" ht="15" x14ac:dyDescent="0.25">
      <c r="A21" s="716" t="s">
        <v>607</v>
      </c>
      <c r="B21" s="717" t="s">
        <v>608</v>
      </c>
      <c r="C21" s="718">
        <v>372</v>
      </c>
      <c r="D21" s="717">
        <v>47.52</v>
      </c>
      <c r="E21" s="717">
        <v>0.3</v>
      </c>
      <c r="F21" s="717">
        <v>159.12</v>
      </c>
      <c r="G21" s="717">
        <v>112.589</v>
      </c>
      <c r="H21" s="717">
        <v>0</v>
      </c>
      <c r="I21" s="717">
        <v>0</v>
      </c>
      <c r="J21" s="717">
        <v>0</v>
      </c>
      <c r="K21" s="717">
        <v>0</v>
      </c>
      <c r="L21" s="717">
        <v>0</v>
      </c>
      <c r="M21" s="719">
        <v>338.27</v>
      </c>
      <c r="N21" s="720">
        <f t="shared" si="0"/>
        <v>338.27</v>
      </c>
      <c r="O21" s="1141">
        <f>Tabla1[[#This Row],[Tarifa 2012 (Mx$/ton)]]*(1+IncrementoTarifa)</f>
        <v>355.14967300000001</v>
      </c>
    </row>
    <row r="22" spans="1:15" ht="15" x14ac:dyDescent="0.25">
      <c r="A22" s="716" t="s">
        <v>609</v>
      </c>
      <c r="B22" s="717" t="s">
        <v>610</v>
      </c>
      <c r="C22" s="718">
        <v>352</v>
      </c>
      <c r="D22" s="717">
        <v>47.52</v>
      </c>
      <c r="E22" s="717">
        <v>0.3</v>
      </c>
      <c r="F22" s="717">
        <v>153.12</v>
      </c>
      <c r="G22" s="717">
        <v>112.589</v>
      </c>
      <c r="H22" s="717">
        <v>0</v>
      </c>
      <c r="I22" s="717">
        <v>0</v>
      </c>
      <c r="J22" s="717">
        <v>0</v>
      </c>
      <c r="K22" s="717">
        <v>0</v>
      </c>
      <c r="L22" s="717">
        <v>0</v>
      </c>
      <c r="M22" s="719">
        <v>325.52</v>
      </c>
      <c r="N22" s="720">
        <f t="shared" si="0"/>
        <v>325.52</v>
      </c>
      <c r="O22" s="1141">
        <f>Tabla1[[#This Row],[Tarifa 2012 (Mx$/ton)]]*(1+IncrementoTarifa)</f>
        <v>341.76344799999998</v>
      </c>
    </row>
    <row r="23" spans="1:15" ht="15" x14ac:dyDescent="0.25">
      <c r="A23" s="716" t="s">
        <v>611</v>
      </c>
      <c r="B23" s="717" t="s">
        <v>612</v>
      </c>
      <c r="C23" s="718">
        <v>220</v>
      </c>
      <c r="D23" s="717">
        <v>47.52</v>
      </c>
      <c r="E23" s="717">
        <v>0.3</v>
      </c>
      <c r="F23" s="717">
        <v>113.52</v>
      </c>
      <c r="G23" s="717">
        <v>112.589</v>
      </c>
      <c r="H23" s="717">
        <v>0</v>
      </c>
      <c r="I23" s="717">
        <v>0</v>
      </c>
      <c r="J23" s="717">
        <v>0</v>
      </c>
      <c r="K23" s="717">
        <v>0</v>
      </c>
      <c r="L23" s="717">
        <v>0</v>
      </c>
      <c r="M23" s="719">
        <v>241.33</v>
      </c>
      <c r="N23" s="720">
        <f t="shared" si="0"/>
        <v>241.33</v>
      </c>
      <c r="O23" s="1141">
        <f>Tabla1[[#This Row],[Tarifa 2012 (Mx$/ton)]]*(1+IncrementoTarifa)</f>
        <v>253.37236700000003</v>
      </c>
    </row>
    <row r="24" spans="1:15" ht="15" x14ac:dyDescent="0.25">
      <c r="A24" s="716" t="s">
        <v>613</v>
      </c>
      <c r="B24" s="717" t="s">
        <v>614</v>
      </c>
      <c r="C24" s="718">
        <v>215</v>
      </c>
      <c r="D24" s="717">
        <v>47.52</v>
      </c>
      <c r="E24" s="717">
        <v>0.3</v>
      </c>
      <c r="F24" s="717">
        <v>112.02</v>
      </c>
      <c r="G24" s="717">
        <v>112.589</v>
      </c>
      <c r="H24" s="717">
        <v>0</v>
      </c>
      <c r="I24" s="717">
        <v>0</v>
      </c>
      <c r="J24" s="717">
        <v>0</v>
      </c>
      <c r="K24" s="717">
        <v>0</v>
      </c>
      <c r="L24" s="717">
        <v>0</v>
      </c>
      <c r="M24" s="719">
        <v>238.14</v>
      </c>
      <c r="N24" s="720">
        <f t="shared" si="0"/>
        <v>238.14</v>
      </c>
      <c r="O24" s="1141">
        <f>Tabla1[[#This Row],[Tarifa 2012 (Mx$/ton)]]*(1+IncrementoTarifa)</f>
        <v>250.02318600000001</v>
      </c>
    </row>
    <row r="25" spans="1:15" ht="15" x14ac:dyDescent="0.25">
      <c r="A25" s="716" t="s">
        <v>615</v>
      </c>
      <c r="B25" s="717" t="s">
        <v>616</v>
      </c>
      <c r="C25" s="718">
        <v>365</v>
      </c>
      <c r="D25" s="717">
        <v>47.52</v>
      </c>
      <c r="E25" s="717">
        <v>0.3</v>
      </c>
      <c r="F25" s="717">
        <v>157.02000000000001</v>
      </c>
      <c r="G25" s="717">
        <v>112.589</v>
      </c>
      <c r="H25" s="717">
        <v>0</v>
      </c>
      <c r="I25" s="717">
        <v>0</v>
      </c>
      <c r="J25" s="717">
        <v>0</v>
      </c>
      <c r="K25" s="717">
        <v>0</v>
      </c>
      <c r="L25" s="717">
        <v>0</v>
      </c>
      <c r="M25" s="719">
        <v>333.81</v>
      </c>
      <c r="N25" s="720">
        <f t="shared" si="0"/>
        <v>333.81</v>
      </c>
      <c r="O25" s="1141">
        <f>Tabla1[[#This Row],[Tarifa 2012 (Mx$/ton)]]*(1+IncrementoTarifa)</f>
        <v>350.46711900000003</v>
      </c>
    </row>
    <row r="26" spans="1:15" ht="15" x14ac:dyDescent="0.25">
      <c r="A26" s="716" t="s">
        <v>480</v>
      </c>
      <c r="B26" s="717" t="s">
        <v>617</v>
      </c>
      <c r="C26" s="718">
        <v>305</v>
      </c>
      <c r="D26" s="717">
        <v>47.52</v>
      </c>
      <c r="E26" s="717">
        <v>0.3</v>
      </c>
      <c r="F26" s="717">
        <v>139.02000000000001</v>
      </c>
      <c r="G26" s="717">
        <v>112.589</v>
      </c>
      <c r="H26" s="717">
        <v>0</v>
      </c>
      <c r="I26" s="717">
        <v>0</v>
      </c>
      <c r="J26" s="717">
        <v>0</v>
      </c>
      <c r="K26" s="717">
        <v>0</v>
      </c>
      <c r="L26" s="717">
        <v>0</v>
      </c>
      <c r="M26" s="719">
        <v>295.54000000000002</v>
      </c>
      <c r="N26" s="720">
        <f t="shared" si="0"/>
        <v>295.54000000000002</v>
      </c>
      <c r="O26" s="1141">
        <f>Tabla1[[#This Row],[Tarifa 2012 (Mx$/ton)]]*(1+IncrementoTarifa)</f>
        <v>310.28744600000005</v>
      </c>
    </row>
    <row r="27" spans="1:15" ht="15" x14ac:dyDescent="0.25">
      <c r="A27" s="716" t="s">
        <v>618</v>
      </c>
      <c r="B27" s="717" t="s">
        <v>619</v>
      </c>
      <c r="C27" s="718">
        <v>447</v>
      </c>
      <c r="D27" s="717">
        <v>47.52</v>
      </c>
      <c r="E27" s="717">
        <v>0.3</v>
      </c>
      <c r="F27" s="717">
        <v>181.62</v>
      </c>
      <c r="G27" s="717">
        <v>112.589</v>
      </c>
      <c r="H27" s="717">
        <v>0</v>
      </c>
      <c r="I27" s="717">
        <v>0</v>
      </c>
      <c r="J27" s="717">
        <v>0</v>
      </c>
      <c r="K27" s="717">
        <v>0</v>
      </c>
      <c r="L27" s="717">
        <v>0</v>
      </c>
      <c r="M27" s="719">
        <v>386.1</v>
      </c>
      <c r="N27" s="720">
        <f t="shared" si="0"/>
        <v>386.1</v>
      </c>
      <c r="O27" s="1141">
        <f>Tabla1[[#This Row],[Tarifa 2012 (Mx$/ton)]]*(1+IncrementoTarifa)</f>
        <v>405.36639000000002</v>
      </c>
    </row>
    <row r="28" spans="1:15" ht="15" x14ac:dyDescent="0.25">
      <c r="A28" s="716" t="s">
        <v>620</v>
      </c>
      <c r="B28" s="717" t="s">
        <v>621</v>
      </c>
      <c r="C28" s="718">
        <v>238</v>
      </c>
      <c r="D28" s="717">
        <v>47.52</v>
      </c>
      <c r="E28" s="717">
        <v>0.3</v>
      </c>
      <c r="F28" s="717">
        <v>118.92</v>
      </c>
      <c r="G28" s="717">
        <v>112.589</v>
      </c>
      <c r="H28" s="717">
        <v>0</v>
      </c>
      <c r="I28" s="717">
        <v>0</v>
      </c>
      <c r="J28" s="717">
        <v>0</v>
      </c>
      <c r="K28" s="717">
        <v>0</v>
      </c>
      <c r="L28" s="717">
        <v>0</v>
      </c>
      <c r="M28" s="719">
        <v>252.81</v>
      </c>
      <c r="N28" s="720">
        <f t="shared" si="0"/>
        <v>252.81</v>
      </c>
      <c r="O28" s="1141">
        <f>Tabla1[[#This Row],[Tarifa 2012 (Mx$/ton)]]*(1+IncrementoTarifa)</f>
        <v>265.42521900000003</v>
      </c>
    </row>
    <row r="29" spans="1:15" ht="15" x14ac:dyDescent="0.25">
      <c r="A29" s="716" t="s">
        <v>622</v>
      </c>
      <c r="B29" s="717" t="s">
        <v>623</v>
      </c>
      <c r="C29" s="718">
        <v>158</v>
      </c>
      <c r="D29" s="717">
        <v>47.52</v>
      </c>
      <c r="E29" s="717">
        <v>0.3</v>
      </c>
      <c r="F29" s="717">
        <v>0</v>
      </c>
      <c r="G29" s="717">
        <v>112.589</v>
      </c>
      <c r="H29" s="717">
        <v>0</v>
      </c>
      <c r="I29" s="717">
        <v>0</v>
      </c>
      <c r="J29" s="717">
        <v>0</v>
      </c>
      <c r="K29" s="717">
        <v>0</v>
      </c>
      <c r="L29" s="717">
        <v>0</v>
      </c>
      <c r="M29" s="719">
        <v>201.78947880000001</v>
      </c>
      <c r="N29" s="720">
        <f t="shared" si="0"/>
        <v>201.78947880000001</v>
      </c>
      <c r="O29" s="1141">
        <f>Tabla1[[#This Row],[Tarifa 2012 (Mx$/ton)]]*(1+IncrementoTarifa)</f>
        <v>211.85877379212002</v>
      </c>
    </row>
    <row r="30" spans="1:15" ht="15" x14ac:dyDescent="0.25">
      <c r="A30" s="716" t="s">
        <v>624</v>
      </c>
      <c r="B30" s="717" t="s">
        <v>625</v>
      </c>
      <c r="C30" s="718">
        <v>380</v>
      </c>
      <c r="D30" s="717">
        <v>47.52</v>
      </c>
      <c r="E30" s="717">
        <v>0.3</v>
      </c>
      <c r="F30" s="717">
        <v>161.52000000000001</v>
      </c>
      <c r="G30" s="717">
        <v>112.589</v>
      </c>
      <c r="H30" s="717">
        <v>0</v>
      </c>
      <c r="I30" s="717">
        <v>0</v>
      </c>
      <c r="J30" s="717">
        <v>0</v>
      </c>
      <c r="K30" s="717">
        <v>0</v>
      </c>
      <c r="L30" s="717">
        <v>0</v>
      </c>
      <c r="M30" s="719">
        <v>343.37</v>
      </c>
      <c r="N30" s="720">
        <f t="shared" si="0"/>
        <v>343.37</v>
      </c>
      <c r="O30" s="1141">
        <f>Tabla1[[#This Row],[Tarifa 2012 (Mx$/ton)]]*(1+IncrementoTarifa)</f>
        <v>360.50416300000001</v>
      </c>
    </row>
    <row r="31" spans="1:15" ht="15" x14ac:dyDescent="0.25">
      <c r="A31" s="716" t="s">
        <v>626</v>
      </c>
      <c r="B31" s="717" t="s">
        <v>627</v>
      </c>
      <c r="C31" s="718">
        <v>155</v>
      </c>
      <c r="D31" s="717">
        <v>47.52</v>
      </c>
      <c r="E31" s="717">
        <v>0.3</v>
      </c>
      <c r="F31" s="717">
        <v>94.02</v>
      </c>
      <c r="G31" s="717">
        <v>112.589</v>
      </c>
      <c r="H31" s="717">
        <v>0</v>
      </c>
      <c r="I31" s="717">
        <v>0</v>
      </c>
      <c r="J31" s="717">
        <v>0</v>
      </c>
      <c r="K31" s="717">
        <v>0</v>
      </c>
      <c r="L31" s="717">
        <v>0</v>
      </c>
      <c r="M31" s="719">
        <v>199.88</v>
      </c>
      <c r="N31" s="720">
        <f t="shared" si="0"/>
        <v>199.88</v>
      </c>
      <c r="O31" s="1141">
        <f>Tabla1[[#This Row],[Tarifa 2012 (Mx$/ton)]]*(1+IncrementoTarifa)</f>
        <v>209.85401200000001</v>
      </c>
    </row>
    <row r="32" spans="1:15" ht="15" x14ac:dyDescent="0.25">
      <c r="A32" s="716" t="s">
        <v>628</v>
      </c>
      <c r="B32" s="717" t="s">
        <v>629</v>
      </c>
      <c r="C32" s="718">
        <v>340</v>
      </c>
      <c r="D32" s="717">
        <v>47.52</v>
      </c>
      <c r="E32" s="717">
        <v>0.3</v>
      </c>
      <c r="F32" s="717">
        <v>149.52000000000001</v>
      </c>
      <c r="G32" s="717">
        <v>112.589</v>
      </c>
      <c r="H32" s="717">
        <v>0</v>
      </c>
      <c r="I32" s="717">
        <v>45.76</v>
      </c>
      <c r="J32" s="717">
        <v>0</v>
      </c>
      <c r="K32" s="717">
        <v>0</v>
      </c>
      <c r="L32" s="717">
        <v>0</v>
      </c>
      <c r="M32" s="719">
        <v>386.28</v>
      </c>
      <c r="N32" s="720">
        <f t="shared" si="0"/>
        <v>386.28</v>
      </c>
      <c r="O32" s="1141">
        <f>Tabla1[[#This Row],[Tarifa 2012 (Mx$/ton)]]*(1+IncrementoTarifa)</f>
        <v>405.55537199999998</v>
      </c>
    </row>
    <row r="33" spans="1:15" ht="15" x14ac:dyDescent="0.25">
      <c r="A33" s="716" t="s">
        <v>630</v>
      </c>
      <c r="B33" s="717" t="s">
        <v>631</v>
      </c>
      <c r="C33" s="718">
        <v>204</v>
      </c>
      <c r="D33" s="717">
        <v>47.52</v>
      </c>
      <c r="E33" s="717">
        <v>0.3</v>
      </c>
      <c r="F33" s="717">
        <v>108.72</v>
      </c>
      <c r="G33" s="717">
        <v>112.589</v>
      </c>
      <c r="H33" s="717">
        <v>0</v>
      </c>
      <c r="I33" s="717">
        <v>0</v>
      </c>
      <c r="J33" s="717">
        <v>0</v>
      </c>
      <c r="K33" s="717">
        <v>0</v>
      </c>
      <c r="L33" s="717">
        <v>0</v>
      </c>
      <c r="M33" s="719">
        <v>231.13</v>
      </c>
      <c r="N33" s="720">
        <f t="shared" si="0"/>
        <v>231.13</v>
      </c>
      <c r="O33" s="1141">
        <f>Tabla1[[#This Row],[Tarifa 2012 (Mx$/ton)]]*(1+IncrementoTarifa)</f>
        <v>242.663387</v>
      </c>
    </row>
    <row r="34" spans="1:15" ht="15" x14ac:dyDescent="0.25">
      <c r="A34" s="716" t="s">
        <v>481</v>
      </c>
      <c r="B34" s="717" t="s">
        <v>632</v>
      </c>
      <c r="C34" s="718">
        <v>195</v>
      </c>
      <c r="D34" s="717">
        <v>47.52</v>
      </c>
      <c r="E34" s="717">
        <v>0.3</v>
      </c>
      <c r="F34" s="717">
        <v>106.02</v>
      </c>
      <c r="G34" s="717">
        <v>112.589</v>
      </c>
      <c r="H34" s="717">
        <v>0</v>
      </c>
      <c r="I34" s="717">
        <v>0</v>
      </c>
      <c r="J34" s="717">
        <v>0</v>
      </c>
      <c r="K34" s="717">
        <v>0</v>
      </c>
      <c r="L34" s="717">
        <v>0</v>
      </c>
      <c r="M34" s="719">
        <v>225.39</v>
      </c>
      <c r="N34" s="720">
        <f t="shared" si="0"/>
        <v>225.39</v>
      </c>
      <c r="O34" s="1141">
        <f>Tabla1[[#This Row],[Tarifa 2012 (Mx$/ton)]]*(1+IncrementoTarifa)</f>
        <v>236.63696099999999</v>
      </c>
    </row>
    <row r="35" spans="1:15" ht="15" x14ac:dyDescent="0.25">
      <c r="A35" s="716" t="s">
        <v>633</v>
      </c>
      <c r="B35" s="717" t="s">
        <v>634</v>
      </c>
      <c r="C35" s="718">
        <v>268</v>
      </c>
      <c r="D35" s="717">
        <v>47.52</v>
      </c>
      <c r="E35" s="717">
        <v>0.3</v>
      </c>
      <c r="F35" s="717">
        <v>127.92</v>
      </c>
      <c r="G35" s="717">
        <v>112.589</v>
      </c>
      <c r="H35" s="717">
        <v>0</v>
      </c>
      <c r="I35" s="717">
        <v>10</v>
      </c>
      <c r="J35" s="717">
        <v>0</v>
      </c>
      <c r="K35" s="717">
        <v>0</v>
      </c>
      <c r="L35" s="717">
        <v>0</v>
      </c>
      <c r="M35" s="719">
        <v>284.74</v>
      </c>
      <c r="N35" s="720">
        <f t="shared" si="0"/>
        <v>284.74</v>
      </c>
      <c r="O35" s="1141">
        <f>Tabla1[[#This Row],[Tarifa 2012 (Mx$/ton)]]*(1+IncrementoTarifa)</f>
        <v>298.94852600000002</v>
      </c>
    </row>
    <row r="36" spans="1:15" ht="15" x14ac:dyDescent="0.25">
      <c r="A36" s="716" t="s">
        <v>635</v>
      </c>
      <c r="B36" s="717" t="s">
        <v>604</v>
      </c>
      <c r="C36" s="718">
        <v>103</v>
      </c>
      <c r="D36" s="717">
        <v>47.52</v>
      </c>
      <c r="E36" s="717">
        <v>0.3</v>
      </c>
      <c r="F36" s="717">
        <v>78.42</v>
      </c>
      <c r="G36" s="717">
        <v>112.589</v>
      </c>
      <c r="H36" s="717">
        <v>0</v>
      </c>
      <c r="I36" s="717">
        <v>0</v>
      </c>
      <c r="J36" s="717">
        <v>0</v>
      </c>
      <c r="K36" s="717">
        <v>0</v>
      </c>
      <c r="L36" s="717">
        <v>0</v>
      </c>
      <c r="M36" s="719">
        <v>166.71</v>
      </c>
      <c r="N36" s="720">
        <f t="shared" si="0"/>
        <v>166.71</v>
      </c>
      <c r="O36" s="1141">
        <f>Tabla1[[#This Row],[Tarifa 2012 (Mx$/ton)]]*(1+IncrementoTarifa)</f>
        <v>175.02882900000003</v>
      </c>
    </row>
    <row r="37" spans="1:15" ht="15" x14ac:dyDescent="0.25">
      <c r="A37" s="716" t="s">
        <v>636</v>
      </c>
      <c r="B37" s="717" t="s">
        <v>637</v>
      </c>
      <c r="C37" s="718">
        <v>103</v>
      </c>
      <c r="D37" s="717">
        <v>47.52</v>
      </c>
      <c r="E37" s="717">
        <v>0.3</v>
      </c>
      <c r="F37" s="717">
        <v>78.42</v>
      </c>
      <c r="G37" s="717">
        <v>112.589</v>
      </c>
      <c r="H37" s="717">
        <v>0</v>
      </c>
      <c r="I37" s="717">
        <v>0</v>
      </c>
      <c r="J37" s="717">
        <v>0</v>
      </c>
      <c r="K37" s="717">
        <v>0</v>
      </c>
      <c r="L37" s="717">
        <v>0</v>
      </c>
      <c r="M37" s="719">
        <v>166.71</v>
      </c>
      <c r="N37" s="720">
        <f t="shared" si="0"/>
        <v>166.71</v>
      </c>
      <c r="O37" s="1141">
        <f>Tabla1[[#This Row],[Tarifa 2012 (Mx$/ton)]]*(1+IncrementoTarifa)</f>
        <v>175.02882900000003</v>
      </c>
    </row>
    <row r="38" spans="1:15" ht="15" x14ac:dyDescent="0.25">
      <c r="A38" s="716" t="s">
        <v>638</v>
      </c>
      <c r="B38" s="717" t="s">
        <v>639</v>
      </c>
      <c r="C38" s="718">
        <v>730</v>
      </c>
      <c r="D38" s="717">
        <v>47.52</v>
      </c>
      <c r="E38" s="717">
        <v>0.3</v>
      </c>
      <c r="F38" s="717">
        <v>266.52</v>
      </c>
      <c r="G38" s="717">
        <v>112.589</v>
      </c>
      <c r="H38" s="717">
        <v>0</v>
      </c>
      <c r="I38" s="717">
        <v>0</v>
      </c>
      <c r="J38" s="717">
        <v>0</v>
      </c>
      <c r="K38" s="717">
        <v>0</v>
      </c>
      <c r="L38" s="717">
        <v>0</v>
      </c>
      <c r="M38" s="719">
        <v>566.59</v>
      </c>
      <c r="N38" s="720">
        <f t="shared" si="0"/>
        <v>566.59</v>
      </c>
      <c r="O38" s="1141">
        <f>Tabla1[[#This Row],[Tarifa 2012 (Mx$/ton)]]*(1+IncrementoTarifa)</f>
        <v>594.86284100000012</v>
      </c>
    </row>
    <row r="39" spans="1:15" ht="15" x14ac:dyDescent="0.25">
      <c r="A39" s="716" t="s">
        <v>640</v>
      </c>
      <c r="B39" s="717" t="s">
        <v>641</v>
      </c>
      <c r="C39" s="718">
        <v>372</v>
      </c>
      <c r="D39" s="717">
        <v>47.52</v>
      </c>
      <c r="E39" s="717">
        <v>0.3</v>
      </c>
      <c r="F39" s="717">
        <v>159.12</v>
      </c>
      <c r="G39" s="717">
        <v>112.589</v>
      </c>
      <c r="H39" s="717">
        <v>0</v>
      </c>
      <c r="I39" s="717">
        <v>0</v>
      </c>
      <c r="J39" s="717">
        <v>0</v>
      </c>
      <c r="K39" s="717">
        <v>0</v>
      </c>
      <c r="L39" s="717">
        <v>0</v>
      </c>
      <c r="M39" s="719">
        <v>338.27</v>
      </c>
      <c r="N39" s="720">
        <f t="shared" si="0"/>
        <v>338.27</v>
      </c>
      <c r="O39" s="1141">
        <f>Tabla1[[#This Row],[Tarifa 2012 (Mx$/ton)]]*(1+IncrementoTarifa)</f>
        <v>355.14967300000001</v>
      </c>
    </row>
    <row r="40" spans="1:15" ht="15" x14ac:dyDescent="0.25">
      <c r="A40" s="716" t="s">
        <v>482</v>
      </c>
      <c r="B40" s="717" t="s">
        <v>642</v>
      </c>
      <c r="C40" s="718">
        <v>1E-3</v>
      </c>
      <c r="D40" s="717">
        <v>47.52</v>
      </c>
      <c r="E40" s="717">
        <v>0.3</v>
      </c>
      <c r="F40" s="717">
        <v>47.52</v>
      </c>
      <c r="G40" s="717">
        <v>112.589</v>
      </c>
      <c r="H40" s="717">
        <v>0</v>
      </c>
      <c r="I40" s="717">
        <v>0</v>
      </c>
      <c r="J40" s="717">
        <v>0</v>
      </c>
      <c r="K40" s="717">
        <v>0</v>
      </c>
      <c r="L40" s="717">
        <v>0</v>
      </c>
      <c r="M40" s="719">
        <v>101.02</v>
      </c>
      <c r="N40" s="720">
        <f t="shared" si="0"/>
        <v>101.02</v>
      </c>
      <c r="O40" s="1141">
        <f>Tabla1[[#This Row],[Tarifa 2012 (Mx$/ton)]]*(1+IncrementoTarifa)</f>
        <v>106.06089799999999</v>
      </c>
    </row>
    <row r="41" spans="1:15" ht="15" x14ac:dyDescent="0.25">
      <c r="A41" s="716" t="s">
        <v>643</v>
      </c>
      <c r="B41" s="717" t="s">
        <v>644</v>
      </c>
      <c r="C41" s="718">
        <v>277</v>
      </c>
      <c r="D41" s="717">
        <v>47.52</v>
      </c>
      <c r="E41" s="717">
        <v>0.3</v>
      </c>
      <c r="F41" s="717">
        <v>130.62</v>
      </c>
      <c r="G41" s="717">
        <v>112.589</v>
      </c>
      <c r="H41" s="717">
        <v>0</v>
      </c>
      <c r="I41" s="717">
        <v>0</v>
      </c>
      <c r="J41" s="717">
        <v>0</v>
      </c>
      <c r="K41" s="717">
        <v>0</v>
      </c>
      <c r="L41" s="717">
        <v>0</v>
      </c>
      <c r="M41" s="719">
        <v>277.68</v>
      </c>
      <c r="N41" s="720">
        <f t="shared" si="0"/>
        <v>277.68</v>
      </c>
      <c r="O41" s="1141">
        <f>Tabla1[[#This Row],[Tarifa 2012 (Mx$/ton)]]*(1+IncrementoTarifa)</f>
        <v>291.53623200000004</v>
      </c>
    </row>
    <row r="42" spans="1:15" ht="15" x14ac:dyDescent="0.25">
      <c r="A42" s="716" t="s">
        <v>645</v>
      </c>
      <c r="B42" s="717" t="s">
        <v>646</v>
      </c>
      <c r="C42" s="718">
        <v>184</v>
      </c>
      <c r="D42" s="717">
        <v>47.52</v>
      </c>
      <c r="E42" s="717">
        <v>0.3</v>
      </c>
      <c r="F42" s="717">
        <v>102.72</v>
      </c>
      <c r="G42" s="717">
        <v>112.589</v>
      </c>
      <c r="H42" s="717">
        <v>0</v>
      </c>
      <c r="I42" s="717">
        <v>0</v>
      </c>
      <c r="J42" s="717">
        <v>0</v>
      </c>
      <c r="K42" s="717">
        <v>0</v>
      </c>
      <c r="L42" s="717">
        <v>0</v>
      </c>
      <c r="M42" s="719">
        <v>218.37</v>
      </c>
      <c r="N42" s="720">
        <f t="shared" si="0"/>
        <v>218.37</v>
      </c>
      <c r="O42" s="1141">
        <f>Tabla1[[#This Row],[Tarifa 2012 (Mx$/ton)]]*(1+IncrementoTarifa)</f>
        <v>229.26666300000002</v>
      </c>
    </row>
    <row r="43" spans="1:15" ht="15" x14ac:dyDescent="0.25">
      <c r="A43" s="716" t="s">
        <v>647</v>
      </c>
      <c r="B43" s="717" t="s">
        <v>648</v>
      </c>
      <c r="C43" s="718">
        <v>130</v>
      </c>
      <c r="D43" s="717">
        <v>47.52</v>
      </c>
      <c r="E43" s="717">
        <v>0.3</v>
      </c>
      <c r="F43" s="717">
        <v>86.52</v>
      </c>
      <c r="G43" s="717">
        <v>112.589</v>
      </c>
      <c r="H43" s="717">
        <v>0</v>
      </c>
      <c r="I43" s="717">
        <v>0</v>
      </c>
      <c r="J43" s="717">
        <v>0</v>
      </c>
      <c r="K43" s="717">
        <v>0</v>
      </c>
      <c r="L43" s="717">
        <v>0</v>
      </c>
      <c r="M43" s="719">
        <v>183.93</v>
      </c>
      <c r="N43" s="720">
        <f t="shared" si="0"/>
        <v>183.93</v>
      </c>
      <c r="O43" s="1141">
        <f>Tabla1[[#This Row],[Tarifa 2012 (Mx$/ton)]]*(1+IncrementoTarifa)</f>
        <v>193.10810700000002</v>
      </c>
    </row>
    <row r="44" spans="1:15" ht="15" x14ac:dyDescent="0.25">
      <c r="A44" s="716" t="s">
        <v>649</v>
      </c>
      <c r="B44" s="717" t="s">
        <v>650</v>
      </c>
      <c r="C44" s="718">
        <v>384</v>
      </c>
      <c r="D44" s="717">
        <v>47.52</v>
      </c>
      <c r="E44" s="717">
        <v>0.3</v>
      </c>
      <c r="F44" s="717">
        <v>162.72</v>
      </c>
      <c r="G44" s="717">
        <v>112.589</v>
      </c>
      <c r="H44" s="717">
        <v>0</v>
      </c>
      <c r="I44" s="717">
        <v>0</v>
      </c>
      <c r="J44" s="717">
        <v>0</v>
      </c>
      <c r="K44" s="717">
        <v>0</v>
      </c>
      <c r="L44" s="717">
        <v>0</v>
      </c>
      <c r="M44" s="719">
        <v>345.92</v>
      </c>
      <c r="N44" s="720">
        <f t="shared" si="0"/>
        <v>345.92</v>
      </c>
      <c r="O44" s="1141">
        <f>Tabla1[[#This Row],[Tarifa 2012 (Mx$/ton)]]*(1+IncrementoTarifa)</f>
        <v>363.18140800000003</v>
      </c>
    </row>
    <row r="45" spans="1:15" ht="15" x14ac:dyDescent="0.25">
      <c r="A45" s="716" t="s">
        <v>651</v>
      </c>
      <c r="B45" s="717" t="s">
        <v>652</v>
      </c>
      <c r="C45" s="718">
        <v>247</v>
      </c>
      <c r="D45" s="717">
        <v>47.52</v>
      </c>
      <c r="E45" s="717">
        <v>0.33</v>
      </c>
      <c r="F45" s="717">
        <v>129.03</v>
      </c>
      <c r="G45" s="717">
        <v>112.589</v>
      </c>
      <c r="H45" s="717">
        <v>0</v>
      </c>
      <c r="I45" s="717">
        <v>0</v>
      </c>
      <c r="J45" s="717">
        <v>0</v>
      </c>
      <c r="K45" s="717">
        <v>0</v>
      </c>
      <c r="L45" s="717">
        <v>0</v>
      </c>
      <c r="M45" s="719">
        <v>274.3</v>
      </c>
      <c r="N45" s="720">
        <f t="shared" si="0"/>
        <v>274.3</v>
      </c>
      <c r="O45" s="1141">
        <f>Tabla1[[#This Row],[Tarifa 2012 (Mx$/ton)]]*(1+IncrementoTarifa)</f>
        <v>287.98757000000001</v>
      </c>
    </row>
    <row r="46" spans="1:15" ht="15" x14ac:dyDescent="0.25">
      <c r="A46" s="716" t="s">
        <v>653</v>
      </c>
      <c r="B46" s="717" t="s">
        <v>654</v>
      </c>
      <c r="C46" s="718">
        <v>1932</v>
      </c>
      <c r="D46" s="717">
        <v>47.52</v>
      </c>
      <c r="E46" s="717">
        <v>0.33</v>
      </c>
      <c r="F46" s="717">
        <v>685.08</v>
      </c>
      <c r="G46" s="717">
        <v>112.589</v>
      </c>
      <c r="H46" s="717">
        <v>0</v>
      </c>
      <c r="I46" s="717">
        <v>0</v>
      </c>
      <c r="J46" s="717">
        <v>0</v>
      </c>
      <c r="K46" s="717">
        <v>0</v>
      </c>
      <c r="L46" s="717">
        <v>0</v>
      </c>
      <c r="M46" s="719">
        <v>1456.4</v>
      </c>
      <c r="N46" s="720">
        <f t="shared" si="0"/>
        <v>1456.4</v>
      </c>
      <c r="O46" s="1141">
        <f>Tabla1[[#This Row],[Tarifa 2012 (Mx$/ton)]]*(1+IncrementoTarifa)</f>
        <v>1529.0743600000001</v>
      </c>
    </row>
    <row r="47" spans="1:15" ht="15" x14ac:dyDescent="0.25">
      <c r="A47" s="716" t="s">
        <v>655</v>
      </c>
      <c r="B47" s="717" t="s">
        <v>656</v>
      </c>
      <c r="C47" s="718">
        <v>1807</v>
      </c>
      <c r="D47" s="717">
        <v>47.52</v>
      </c>
      <c r="E47" s="717">
        <v>0.33</v>
      </c>
      <c r="F47" s="717">
        <v>643.83000000000004</v>
      </c>
      <c r="G47" s="717">
        <v>112.589</v>
      </c>
      <c r="H47" s="717">
        <v>0</v>
      </c>
      <c r="I47" s="717">
        <v>10</v>
      </c>
      <c r="J47" s="717">
        <v>0</v>
      </c>
      <c r="K47" s="717">
        <v>0</v>
      </c>
      <c r="L47" s="717">
        <v>0</v>
      </c>
      <c r="M47" s="719">
        <v>1433.09</v>
      </c>
      <c r="N47" s="720">
        <f t="shared" si="0"/>
        <v>1433.09</v>
      </c>
      <c r="O47" s="1141">
        <f>Tabla1[[#This Row],[Tarifa 2012 (Mx$/ton)]]*(1+IncrementoTarifa)</f>
        <v>1504.601191</v>
      </c>
    </row>
    <row r="48" spans="1:15" ht="15" x14ac:dyDescent="0.25">
      <c r="A48" s="716" t="s">
        <v>657</v>
      </c>
      <c r="B48" s="717" t="s">
        <v>658</v>
      </c>
      <c r="C48" s="718">
        <v>1591</v>
      </c>
      <c r="D48" s="717">
        <v>47.52</v>
      </c>
      <c r="E48" s="717">
        <v>0.33</v>
      </c>
      <c r="F48" s="717">
        <v>572.54999999999995</v>
      </c>
      <c r="G48" s="717">
        <v>112.589</v>
      </c>
      <c r="H48" s="717">
        <v>0</v>
      </c>
      <c r="I48" s="717">
        <v>0</v>
      </c>
      <c r="J48" s="717">
        <v>0</v>
      </c>
      <c r="K48" s="717">
        <v>0</v>
      </c>
      <c r="L48" s="717">
        <v>0</v>
      </c>
      <c r="M48" s="719">
        <v>1217.18</v>
      </c>
      <c r="N48" s="720">
        <f t="shared" si="0"/>
        <v>1217.18</v>
      </c>
      <c r="O48" s="1141">
        <f>Tabla1[[#This Row],[Tarifa 2012 (Mx$/ton)]]*(1+IncrementoTarifa)</f>
        <v>1277.9172820000001</v>
      </c>
    </row>
    <row r="49" spans="1:15" ht="15" x14ac:dyDescent="0.25">
      <c r="A49" s="716" t="s">
        <v>659</v>
      </c>
      <c r="B49" s="717" t="s">
        <v>660</v>
      </c>
      <c r="C49" s="718">
        <v>1083.27</v>
      </c>
      <c r="D49" s="717">
        <v>47.52</v>
      </c>
      <c r="E49" s="717">
        <v>0.33</v>
      </c>
      <c r="F49" s="717">
        <v>405</v>
      </c>
      <c r="G49" s="717">
        <v>112.589</v>
      </c>
      <c r="H49" s="717">
        <v>0</v>
      </c>
      <c r="I49" s="717">
        <v>0</v>
      </c>
      <c r="J49" s="717">
        <v>0</v>
      </c>
      <c r="K49" s="717">
        <v>0</v>
      </c>
      <c r="L49" s="717">
        <v>0</v>
      </c>
      <c r="M49" s="719">
        <v>860.99</v>
      </c>
      <c r="N49" s="720">
        <f t="shared" si="0"/>
        <v>860.99</v>
      </c>
      <c r="O49" s="1141">
        <f>Tabla1[[#This Row],[Tarifa 2012 (Mx$/ton)]]*(1+IncrementoTarifa)</f>
        <v>903.9534010000001</v>
      </c>
    </row>
    <row r="50" spans="1:15" ht="15" x14ac:dyDescent="0.25">
      <c r="A50" s="716" t="s">
        <v>661</v>
      </c>
      <c r="B50" s="717" t="s">
        <v>662</v>
      </c>
      <c r="C50" s="718">
        <v>1105</v>
      </c>
      <c r="D50" s="717">
        <v>47.52</v>
      </c>
      <c r="E50" s="717">
        <v>0.33</v>
      </c>
      <c r="F50" s="717">
        <v>412.17</v>
      </c>
      <c r="G50" s="717">
        <v>112.589</v>
      </c>
      <c r="H50" s="717">
        <v>0</v>
      </c>
      <c r="I50" s="717">
        <v>0</v>
      </c>
      <c r="J50" s="717">
        <v>0</v>
      </c>
      <c r="K50" s="717">
        <v>0</v>
      </c>
      <c r="L50" s="717">
        <v>0</v>
      </c>
      <c r="M50" s="719">
        <v>876.23</v>
      </c>
      <c r="N50" s="720">
        <f t="shared" si="0"/>
        <v>876.23</v>
      </c>
      <c r="O50" s="1141">
        <f>Tabla1[[#This Row],[Tarifa 2012 (Mx$/ton)]]*(1+IncrementoTarifa)</f>
        <v>919.95387700000003</v>
      </c>
    </row>
    <row r="51" spans="1:15" ht="15" x14ac:dyDescent="0.25">
      <c r="A51" s="716" t="s">
        <v>663</v>
      </c>
      <c r="B51" s="717" t="s">
        <v>664</v>
      </c>
      <c r="C51" s="718">
        <v>1020</v>
      </c>
      <c r="D51" s="717">
        <v>47.52</v>
      </c>
      <c r="E51" s="717">
        <v>0.33</v>
      </c>
      <c r="F51" s="717">
        <v>384.12</v>
      </c>
      <c r="G51" s="717">
        <v>112.589</v>
      </c>
      <c r="H51" s="717">
        <v>0</v>
      </c>
      <c r="I51" s="717">
        <v>0</v>
      </c>
      <c r="J51" s="717">
        <v>0</v>
      </c>
      <c r="K51" s="717">
        <v>0</v>
      </c>
      <c r="L51" s="717">
        <v>0</v>
      </c>
      <c r="M51" s="719">
        <v>816.6</v>
      </c>
      <c r="N51" s="720">
        <f t="shared" si="0"/>
        <v>816.6</v>
      </c>
      <c r="O51" s="1141">
        <f>Tabla1[[#This Row],[Tarifa 2012 (Mx$/ton)]]*(1+IncrementoTarifa)</f>
        <v>857.34834000000012</v>
      </c>
    </row>
    <row r="52" spans="1:15" ht="15" x14ac:dyDescent="0.25">
      <c r="A52" s="716" t="s">
        <v>665</v>
      </c>
      <c r="B52" s="717" t="s">
        <v>666</v>
      </c>
      <c r="C52" s="718">
        <v>1258</v>
      </c>
      <c r="D52" s="717">
        <v>47.52</v>
      </c>
      <c r="E52" s="717">
        <v>0.33</v>
      </c>
      <c r="F52" s="717">
        <v>462.66</v>
      </c>
      <c r="G52" s="717">
        <v>112.589</v>
      </c>
      <c r="H52" s="717">
        <v>0</v>
      </c>
      <c r="I52" s="717">
        <v>0</v>
      </c>
      <c r="J52" s="717">
        <v>0</v>
      </c>
      <c r="K52" s="717">
        <v>0</v>
      </c>
      <c r="L52" s="717">
        <v>0</v>
      </c>
      <c r="M52" s="719">
        <v>983.56</v>
      </c>
      <c r="N52" s="720">
        <f t="shared" si="0"/>
        <v>983.56</v>
      </c>
      <c r="O52" s="1141">
        <f>Tabla1[[#This Row],[Tarifa 2012 (Mx$/ton)]]*(1+IncrementoTarifa)</f>
        <v>1032.6396440000001</v>
      </c>
    </row>
    <row r="53" spans="1:15" ht="15" x14ac:dyDescent="0.25">
      <c r="A53" s="716" t="s">
        <v>667</v>
      </c>
      <c r="B53" s="717" t="s">
        <v>668</v>
      </c>
      <c r="C53" s="718">
        <v>675</v>
      </c>
      <c r="D53" s="717">
        <v>47.52</v>
      </c>
      <c r="E53" s="717">
        <v>0.33</v>
      </c>
      <c r="F53" s="717">
        <v>270.27</v>
      </c>
      <c r="G53" s="717">
        <v>112.589</v>
      </c>
      <c r="H53" s="717">
        <v>0</v>
      </c>
      <c r="I53" s="717">
        <v>0</v>
      </c>
      <c r="J53" s="717">
        <v>0</v>
      </c>
      <c r="K53" s="717">
        <v>0</v>
      </c>
      <c r="L53" s="717">
        <v>0</v>
      </c>
      <c r="M53" s="719">
        <v>574.55999999999995</v>
      </c>
      <c r="N53" s="720">
        <f t="shared" si="0"/>
        <v>574.55999999999995</v>
      </c>
      <c r="O53" s="1141">
        <f>Tabla1[[#This Row],[Tarifa 2012 (Mx$/ton)]]*(1+IncrementoTarifa)</f>
        <v>603.23054400000001</v>
      </c>
    </row>
    <row r="54" spans="1:15" ht="15" x14ac:dyDescent="0.25">
      <c r="A54" s="716" t="s">
        <v>669</v>
      </c>
      <c r="B54" s="717" t="s">
        <v>670</v>
      </c>
      <c r="C54" s="718">
        <v>831</v>
      </c>
      <c r="D54" s="717">
        <v>47.52</v>
      </c>
      <c r="E54" s="717">
        <v>0.33</v>
      </c>
      <c r="F54" s="717">
        <v>321.75</v>
      </c>
      <c r="G54" s="717">
        <v>112.589</v>
      </c>
      <c r="H54" s="717">
        <v>0</v>
      </c>
      <c r="I54" s="717">
        <v>0</v>
      </c>
      <c r="J54" s="717">
        <v>0</v>
      </c>
      <c r="K54" s="717">
        <v>0</v>
      </c>
      <c r="L54" s="717">
        <v>0</v>
      </c>
      <c r="M54" s="719">
        <v>684.01</v>
      </c>
      <c r="N54" s="720">
        <f t="shared" si="0"/>
        <v>684.01</v>
      </c>
      <c r="O54" s="1141">
        <f>Tabla1[[#This Row],[Tarifa 2012 (Mx$/ton)]]*(1+IncrementoTarifa)</f>
        <v>718.14209900000003</v>
      </c>
    </row>
    <row r="55" spans="1:15" ht="15" x14ac:dyDescent="0.25">
      <c r="A55" s="716" t="s">
        <v>671</v>
      </c>
      <c r="B55" s="717" t="s">
        <v>672</v>
      </c>
      <c r="C55" s="718">
        <v>831</v>
      </c>
      <c r="D55" s="717">
        <v>47.52</v>
      </c>
      <c r="E55" s="717">
        <v>0.33</v>
      </c>
      <c r="F55" s="717">
        <v>321.75</v>
      </c>
      <c r="G55" s="717">
        <v>112.589</v>
      </c>
      <c r="H55" s="717">
        <v>0</v>
      </c>
      <c r="I55" s="717">
        <v>0</v>
      </c>
      <c r="J55" s="717">
        <v>0</v>
      </c>
      <c r="K55" s="717">
        <v>0</v>
      </c>
      <c r="L55" s="717">
        <v>0</v>
      </c>
      <c r="M55" s="719">
        <v>684.01</v>
      </c>
      <c r="N55" s="720">
        <f t="shared" si="0"/>
        <v>684.01</v>
      </c>
      <c r="O55" s="1141">
        <f>Tabla1[[#This Row],[Tarifa 2012 (Mx$/ton)]]*(1+IncrementoTarifa)</f>
        <v>718.14209900000003</v>
      </c>
    </row>
    <row r="56" spans="1:15" ht="15" x14ac:dyDescent="0.25">
      <c r="A56" s="716" t="s">
        <v>673</v>
      </c>
      <c r="B56" s="717" t="s">
        <v>674</v>
      </c>
      <c r="C56" s="718">
        <v>831</v>
      </c>
      <c r="D56" s="717">
        <v>47.52</v>
      </c>
      <c r="E56" s="717">
        <v>0.33</v>
      </c>
      <c r="F56" s="717">
        <v>321.75</v>
      </c>
      <c r="G56" s="717">
        <v>112.589</v>
      </c>
      <c r="H56" s="717">
        <v>0</v>
      </c>
      <c r="I56" s="717">
        <v>0</v>
      </c>
      <c r="J56" s="717">
        <v>0</v>
      </c>
      <c r="K56" s="717">
        <v>0</v>
      </c>
      <c r="L56" s="717">
        <v>0</v>
      </c>
      <c r="M56" s="719">
        <v>684.01</v>
      </c>
      <c r="N56" s="720">
        <f t="shared" si="0"/>
        <v>684.01</v>
      </c>
      <c r="O56" s="1141">
        <f>Tabla1[[#This Row],[Tarifa 2012 (Mx$/ton)]]*(1+IncrementoTarifa)</f>
        <v>718.14209900000003</v>
      </c>
    </row>
    <row r="57" spans="1:15" ht="15" x14ac:dyDescent="0.25">
      <c r="A57" s="716" t="s">
        <v>675</v>
      </c>
      <c r="B57" s="717" t="s">
        <v>676</v>
      </c>
      <c r="C57" s="718">
        <v>831</v>
      </c>
      <c r="D57" s="717">
        <v>47.52</v>
      </c>
      <c r="E57" s="717">
        <v>0.33</v>
      </c>
      <c r="F57" s="717">
        <v>321.75</v>
      </c>
      <c r="G57" s="717">
        <v>112.589</v>
      </c>
      <c r="H57" s="717">
        <v>0</v>
      </c>
      <c r="I57" s="717">
        <v>0</v>
      </c>
      <c r="J57" s="717">
        <v>0</v>
      </c>
      <c r="K57" s="717">
        <v>0</v>
      </c>
      <c r="L57" s="717">
        <v>0</v>
      </c>
      <c r="M57" s="719">
        <v>684.01</v>
      </c>
      <c r="N57" s="720">
        <f t="shared" si="0"/>
        <v>684.01</v>
      </c>
      <c r="O57" s="1141">
        <f>Tabla1[[#This Row],[Tarifa 2012 (Mx$/ton)]]*(1+IncrementoTarifa)</f>
        <v>718.14209900000003</v>
      </c>
    </row>
    <row r="58" spans="1:15" ht="15" x14ac:dyDescent="0.25">
      <c r="A58" s="716" t="s">
        <v>677</v>
      </c>
      <c r="B58" s="717" t="s">
        <v>678</v>
      </c>
      <c r="C58" s="718">
        <v>881</v>
      </c>
      <c r="D58" s="717">
        <v>47.52</v>
      </c>
      <c r="E58" s="717">
        <v>0.33</v>
      </c>
      <c r="F58" s="717">
        <v>338.25</v>
      </c>
      <c r="G58" s="717">
        <v>112.589</v>
      </c>
      <c r="H58" s="717">
        <v>0</v>
      </c>
      <c r="I58" s="717">
        <v>0</v>
      </c>
      <c r="J58" s="717">
        <v>0</v>
      </c>
      <c r="K58" s="717">
        <v>0</v>
      </c>
      <c r="L58" s="717">
        <v>0</v>
      </c>
      <c r="M58" s="719">
        <v>719.08</v>
      </c>
      <c r="N58" s="720">
        <f t="shared" si="0"/>
        <v>719.08</v>
      </c>
      <c r="O58" s="1141">
        <f>Tabla1[[#This Row],[Tarifa 2012 (Mx$/ton)]]*(1+IncrementoTarifa)</f>
        <v>754.9620920000001</v>
      </c>
    </row>
    <row r="59" spans="1:15" ht="15" x14ac:dyDescent="0.25">
      <c r="A59" s="716" t="s">
        <v>679</v>
      </c>
      <c r="B59" s="717" t="s">
        <v>680</v>
      </c>
      <c r="C59" s="718">
        <v>831</v>
      </c>
      <c r="D59" s="717">
        <v>47.52</v>
      </c>
      <c r="E59" s="717">
        <v>0.33</v>
      </c>
      <c r="F59" s="717">
        <v>321.75</v>
      </c>
      <c r="G59" s="717">
        <v>112.589</v>
      </c>
      <c r="H59" s="717">
        <v>0</v>
      </c>
      <c r="I59" s="717">
        <v>0</v>
      </c>
      <c r="J59" s="717">
        <v>0</v>
      </c>
      <c r="K59" s="717">
        <v>0</v>
      </c>
      <c r="L59" s="717">
        <v>0</v>
      </c>
      <c r="M59" s="719">
        <v>684.01</v>
      </c>
      <c r="N59" s="720">
        <f t="shared" si="0"/>
        <v>684.01</v>
      </c>
      <c r="O59" s="1141">
        <f>Tabla1[[#This Row],[Tarifa 2012 (Mx$/ton)]]*(1+IncrementoTarifa)</f>
        <v>718.14209900000003</v>
      </c>
    </row>
    <row r="60" spans="1:15" ht="15" x14ac:dyDescent="0.25">
      <c r="A60" s="716" t="s">
        <v>681</v>
      </c>
      <c r="B60" s="717" t="s">
        <v>682</v>
      </c>
      <c r="C60" s="718">
        <v>883</v>
      </c>
      <c r="D60" s="717">
        <v>47.52</v>
      </c>
      <c r="E60" s="717">
        <v>0.33</v>
      </c>
      <c r="F60" s="717">
        <v>338.91</v>
      </c>
      <c r="G60" s="717">
        <v>112.589</v>
      </c>
      <c r="H60" s="717">
        <v>0</v>
      </c>
      <c r="I60" s="717">
        <v>0</v>
      </c>
      <c r="J60" s="717">
        <v>0</v>
      </c>
      <c r="K60" s="717">
        <v>0</v>
      </c>
      <c r="L60" s="717">
        <v>0</v>
      </c>
      <c r="M60" s="719">
        <v>720.49</v>
      </c>
      <c r="N60" s="720">
        <f t="shared" si="0"/>
        <v>720.49</v>
      </c>
      <c r="O60" s="1141">
        <f>Tabla1[[#This Row],[Tarifa 2012 (Mx$/ton)]]*(1+IncrementoTarifa)</f>
        <v>756.44245100000001</v>
      </c>
    </row>
    <row r="61" spans="1:15" ht="15" x14ac:dyDescent="0.25">
      <c r="A61" s="716" t="s">
        <v>683</v>
      </c>
      <c r="B61" s="717" t="s">
        <v>684</v>
      </c>
      <c r="C61" s="718">
        <v>1048</v>
      </c>
      <c r="D61" s="717">
        <v>47.52</v>
      </c>
      <c r="E61" s="717">
        <v>0.33</v>
      </c>
      <c r="F61" s="717">
        <v>393.36</v>
      </c>
      <c r="G61" s="717">
        <v>112.589</v>
      </c>
      <c r="H61" s="717">
        <v>0</v>
      </c>
      <c r="I61" s="717">
        <v>0</v>
      </c>
      <c r="J61" s="717">
        <v>0</v>
      </c>
      <c r="K61" s="717">
        <v>0</v>
      </c>
      <c r="L61" s="717">
        <v>0</v>
      </c>
      <c r="M61" s="719">
        <v>836.24</v>
      </c>
      <c r="N61" s="720">
        <f t="shared" si="0"/>
        <v>836.24</v>
      </c>
      <c r="O61" s="1141">
        <f>Tabla1[[#This Row],[Tarifa 2012 (Mx$/ton)]]*(1+IncrementoTarifa)</f>
        <v>877.96837600000003</v>
      </c>
    </row>
    <row r="62" spans="1:15" ht="15" x14ac:dyDescent="0.25">
      <c r="A62" s="716" t="s">
        <v>685</v>
      </c>
      <c r="B62" s="717" t="s">
        <v>686</v>
      </c>
      <c r="C62" s="718">
        <v>1036</v>
      </c>
      <c r="D62" s="717">
        <v>47.52</v>
      </c>
      <c r="E62" s="717">
        <v>0.33</v>
      </c>
      <c r="F62" s="717">
        <v>389.4</v>
      </c>
      <c r="G62" s="717">
        <v>112.589</v>
      </c>
      <c r="H62" s="717">
        <v>0</v>
      </c>
      <c r="I62" s="717">
        <v>0</v>
      </c>
      <c r="J62" s="717">
        <v>0</v>
      </c>
      <c r="K62" s="717">
        <v>0</v>
      </c>
      <c r="L62" s="717">
        <v>0</v>
      </c>
      <c r="M62" s="719">
        <v>827.82</v>
      </c>
      <c r="N62" s="720">
        <f t="shared" si="0"/>
        <v>827.82</v>
      </c>
      <c r="O62" s="1141">
        <f>Tabla1[[#This Row],[Tarifa 2012 (Mx$/ton)]]*(1+IncrementoTarifa)</f>
        <v>869.12821800000006</v>
      </c>
    </row>
    <row r="63" spans="1:15" ht="15" x14ac:dyDescent="0.25">
      <c r="A63" s="716" t="s">
        <v>687</v>
      </c>
      <c r="B63" s="717" t="s">
        <v>688</v>
      </c>
      <c r="C63" s="718">
        <v>1161</v>
      </c>
      <c r="D63" s="717">
        <v>47.52</v>
      </c>
      <c r="E63" s="717">
        <v>0.33</v>
      </c>
      <c r="F63" s="717">
        <v>430.65</v>
      </c>
      <c r="G63" s="717">
        <v>112.589</v>
      </c>
      <c r="H63" s="717">
        <v>0</v>
      </c>
      <c r="I63" s="717">
        <v>0</v>
      </c>
      <c r="J63" s="717">
        <v>0</v>
      </c>
      <c r="K63" s="717">
        <v>0</v>
      </c>
      <c r="L63" s="717">
        <v>0</v>
      </c>
      <c r="M63" s="719">
        <v>915.51</v>
      </c>
      <c r="N63" s="720">
        <f t="shared" si="0"/>
        <v>915.51</v>
      </c>
      <c r="O63" s="1141">
        <f>Tabla1[[#This Row],[Tarifa 2012 (Mx$/ton)]]*(1+IncrementoTarifa)</f>
        <v>961.19394900000009</v>
      </c>
    </row>
    <row r="64" spans="1:15" ht="15" x14ac:dyDescent="0.25">
      <c r="A64" s="716" t="s">
        <v>689</v>
      </c>
      <c r="B64" s="717" t="s">
        <v>690</v>
      </c>
      <c r="C64" s="718">
        <v>916</v>
      </c>
      <c r="D64" s="717">
        <v>47.52</v>
      </c>
      <c r="E64" s="717">
        <v>0.33</v>
      </c>
      <c r="F64" s="717">
        <v>349.8</v>
      </c>
      <c r="G64" s="717">
        <v>112.589</v>
      </c>
      <c r="H64" s="717">
        <v>0</v>
      </c>
      <c r="I64" s="717">
        <v>0</v>
      </c>
      <c r="J64" s="717">
        <v>0</v>
      </c>
      <c r="K64" s="717">
        <v>0</v>
      </c>
      <c r="L64" s="717">
        <v>0</v>
      </c>
      <c r="M64" s="719">
        <v>743.64</v>
      </c>
      <c r="N64" s="720">
        <f t="shared" si="0"/>
        <v>743.64</v>
      </c>
      <c r="O64" s="1141">
        <f>Tabla1[[#This Row],[Tarifa 2012 (Mx$/ton)]]*(1+IncrementoTarifa)</f>
        <v>780.74763600000006</v>
      </c>
    </row>
    <row r="65" spans="1:15" ht="15" x14ac:dyDescent="0.25">
      <c r="A65" s="716" t="s">
        <v>691</v>
      </c>
      <c r="B65" s="717" t="s">
        <v>692</v>
      </c>
      <c r="C65" s="718">
        <v>974</v>
      </c>
      <c r="D65" s="717">
        <v>47.52</v>
      </c>
      <c r="E65" s="717">
        <v>0.33</v>
      </c>
      <c r="F65" s="717">
        <v>368.94</v>
      </c>
      <c r="G65" s="717">
        <v>112.589</v>
      </c>
      <c r="H65" s="717">
        <v>0</v>
      </c>
      <c r="I65" s="717">
        <v>0</v>
      </c>
      <c r="J65" s="717">
        <v>0</v>
      </c>
      <c r="K65" s="717">
        <v>0</v>
      </c>
      <c r="L65" s="717">
        <v>0</v>
      </c>
      <c r="M65" s="719">
        <v>784.33</v>
      </c>
      <c r="N65" s="720">
        <f t="shared" si="0"/>
        <v>784.33</v>
      </c>
      <c r="O65" s="1141">
        <f>Tabla1[[#This Row],[Tarifa 2012 (Mx$/ton)]]*(1+IncrementoTarifa)</f>
        <v>823.46806700000013</v>
      </c>
    </row>
    <row r="66" spans="1:15" ht="15" x14ac:dyDescent="0.25">
      <c r="A66" s="716" t="s">
        <v>693</v>
      </c>
      <c r="B66" s="717" t="s">
        <v>694</v>
      </c>
      <c r="C66" s="718">
        <v>934</v>
      </c>
      <c r="D66" s="717">
        <v>47.52</v>
      </c>
      <c r="E66" s="717">
        <v>0.33</v>
      </c>
      <c r="F66" s="717">
        <v>355.74</v>
      </c>
      <c r="G66" s="717">
        <v>112.589</v>
      </c>
      <c r="H66" s="717">
        <v>0</v>
      </c>
      <c r="I66" s="717">
        <v>0</v>
      </c>
      <c r="J66" s="717">
        <v>0</v>
      </c>
      <c r="K66" s="717">
        <v>0</v>
      </c>
      <c r="L66" s="717">
        <v>0</v>
      </c>
      <c r="M66" s="719">
        <v>756.26</v>
      </c>
      <c r="N66" s="720">
        <f t="shared" si="0"/>
        <v>756.26</v>
      </c>
      <c r="O66" s="1141">
        <f>Tabla1[[#This Row],[Tarifa 2012 (Mx$/ton)]]*(1+IncrementoTarifa)</f>
        <v>793.99737400000004</v>
      </c>
    </row>
    <row r="67" spans="1:15" ht="15" x14ac:dyDescent="0.25">
      <c r="A67" s="716" t="s">
        <v>695</v>
      </c>
      <c r="B67" s="717" t="s">
        <v>696</v>
      </c>
      <c r="C67" s="718">
        <v>1028</v>
      </c>
      <c r="D67" s="717">
        <v>47.52</v>
      </c>
      <c r="E67" s="717">
        <v>0.33</v>
      </c>
      <c r="F67" s="717">
        <v>386.76</v>
      </c>
      <c r="G67" s="717">
        <v>112.589</v>
      </c>
      <c r="H67" s="717">
        <v>0</v>
      </c>
      <c r="I67" s="717">
        <v>0</v>
      </c>
      <c r="J67" s="717">
        <v>0</v>
      </c>
      <c r="K67" s="717">
        <v>0</v>
      </c>
      <c r="L67" s="717">
        <v>0</v>
      </c>
      <c r="M67" s="719">
        <v>822.21</v>
      </c>
      <c r="N67" s="720">
        <f t="shared" si="0"/>
        <v>822.21</v>
      </c>
      <c r="O67" s="1141">
        <f>Tabla1[[#This Row],[Tarifa 2012 (Mx$/ton)]]*(1+IncrementoTarifa)</f>
        <v>863.23827900000003</v>
      </c>
    </row>
    <row r="68" spans="1:15" ht="15" x14ac:dyDescent="0.25">
      <c r="A68" s="716" t="s">
        <v>697</v>
      </c>
      <c r="B68" s="717" t="s">
        <v>698</v>
      </c>
      <c r="C68" s="718">
        <v>938</v>
      </c>
      <c r="D68" s="717">
        <v>47.52</v>
      </c>
      <c r="E68" s="717">
        <v>0.33</v>
      </c>
      <c r="F68" s="717">
        <v>357.06</v>
      </c>
      <c r="G68" s="717">
        <v>112.589</v>
      </c>
      <c r="H68" s="717">
        <v>0</v>
      </c>
      <c r="I68" s="717">
        <v>10</v>
      </c>
      <c r="J68" s="717">
        <v>0</v>
      </c>
      <c r="K68" s="717">
        <v>0</v>
      </c>
      <c r="L68" s="717">
        <v>0</v>
      </c>
      <c r="M68" s="719">
        <v>794.78</v>
      </c>
      <c r="N68" s="720">
        <f t="shared" si="0"/>
        <v>794.78</v>
      </c>
      <c r="O68" s="1141">
        <f>Tabla1[[#This Row],[Tarifa 2012 (Mx$/ton)]]*(1+IncrementoTarifa)</f>
        <v>834.43952200000001</v>
      </c>
    </row>
    <row r="69" spans="1:15" ht="15" x14ac:dyDescent="0.25">
      <c r="A69" s="716" t="s">
        <v>699</v>
      </c>
      <c r="B69" s="717" t="s">
        <v>700</v>
      </c>
      <c r="C69" s="718">
        <v>970</v>
      </c>
      <c r="D69" s="717">
        <v>47.52</v>
      </c>
      <c r="E69" s="717">
        <v>0.33</v>
      </c>
      <c r="F69" s="717">
        <v>367.62</v>
      </c>
      <c r="G69" s="717">
        <v>112.589</v>
      </c>
      <c r="H69" s="717">
        <v>0</v>
      </c>
      <c r="I69" s="717">
        <v>10</v>
      </c>
      <c r="J69" s="717">
        <v>0</v>
      </c>
      <c r="K69" s="717">
        <v>0</v>
      </c>
      <c r="L69" s="717">
        <v>0</v>
      </c>
      <c r="M69" s="719">
        <v>818.28</v>
      </c>
      <c r="N69" s="720">
        <f t="shared" si="0"/>
        <v>818.28</v>
      </c>
      <c r="O69" s="1141">
        <f>Tabla1[[#This Row],[Tarifa 2012 (Mx$/ton)]]*(1+IncrementoTarifa)</f>
        <v>859.11217199999999</v>
      </c>
    </row>
    <row r="70" spans="1:15" ht="15" x14ac:dyDescent="0.25">
      <c r="A70" s="716" t="s">
        <v>701</v>
      </c>
      <c r="B70" s="717" t="s">
        <v>702</v>
      </c>
      <c r="C70" s="718">
        <v>857</v>
      </c>
      <c r="D70" s="717">
        <v>47.52</v>
      </c>
      <c r="E70" s="717">
        <v>0.33</v>
      </c>
      <c r="F70" s="717">
        <v>330.33</v>
      </c>
      <c r="G70" s="717">
        <v>112.589</v>
      </c>
      <c r="H70" s="717">
        <v>0</v>
      </c>
      <c r="I70" s="717">
        <v>10</v>
      </c>
      <c r="J70" s="717">
        <v>0</v>
      </c>
      <c r="K70" s="717">
        <v>0</v>
      </c>
      <c r="L70" s="717">
        <v>0</v>
      </c>
      <c r="M70" s="719">
        <v>735.28</v>
      </c>
      <c r="N70" s="720">
        <f t="shared" si="0"/>
        <v>735.28</v>
      </c>
      <c r="O70" s="1141">
        <f>Tabla1[[#This Row],[Tarifa 2012 (Mx$/ton)]]*(1+IncrementoTarifa)</f>
        <v>771.97047199999997</v>
      </c>
    </row>
    <row r="71" spans="1:15" ht="15" x14ac:dyDescent="0.25">
      <c r="A71" s="716" t="s">
        <v>703</v>
      </c>
      <c r="B71" s="717" t="s">
        <v>704</v>
      </c>
      <c r="C71" s="718">
        <v>878</v>
      </c>
      <c r="D71" s="717">
        <v>47.52</v>
      </c>
      <c r="E71" s="717">
        <v>0.33</v>
      </c>
      <c r="F71" s="717">
        <v>337.26</v>
      </c>
      <c r="G71" s="717">
        <v>112.589</v>
      </c>
      <c r="H71" s="717">
        <v>0</v>
      </c>
      <c r="I71" s="717">
        <v>10</v>
      </c>
      <c r="J71" s="717">
        <v>0</v>
      </c>
      <c r="K71" s="717">
        <v>0</v>
      </c>
      <c r="L71" s="717">
        <v>0</v>
      </c>
      <c r="M71" s="719">
        <v>750.7</v>
      </c>
      <c r="N71" s="720">
        <f t="shared" si="0"/>
        <v>750.7</v>
      </c>
      <c r="O71" s="1141">
        <f>Tabla1[[#This Row],[Tarifa 2012 (Mx$/ton)]]*(1+IncrementoTarifa)</f>
        <v>788.15993000000014</v>
      </c>
    </row>
    <row r="72" spans="1:15" ht="15" x14ac:dyDescent="0.25">
      <c r="A72" s="716" t="s">
        <v>705</v>
      </c>
      <c r="B72" s="717" t="s">
        <v>706</v>
      </c>
      <c r="C72" s="718">
        <v>1007</v>
      </c>
      <c r="D72" s="717">
        <v>47.52</v>
      </c>
      <c r="E72" s="717">
        <v>0.33</v>
      </c>
      <c r="F72" s="717">
        <v>379.83</v>
      </c>
      <c r="G72" s="717">
        <v>112.589</v>
      </c>
      <c r="H72" s="717">
        <v>0</v>
      </c>
      <c r="I72" s="717">
        <v>0</v>
      </c>
      <c r="J72" s="717">
        <v>0</v>
      </c>
      <c r="K72" s="717">
        <v>0</v>
      </c>
      <c r="L72" s="717">
        <v>0</v>
      </c>
      <c r="M72" s="719">
        <v>807.48</v>
      </c>
      <c r="N72" s="720">
        <f t="shared" si="0"/>
        <v>807.48</v>
      </c>
      <c r="O72" s="1141">
        <f>Tabla1[[#This Row],[Tarifa 2012 (Mx$/ton)]]*(1+IncrementoTarifa)</f>
        <v>847.77325200000007</v>
      </c>
    </row>
    <row r="73" spans="1:15" ht="15" x14ac:dyDescent="0.25">
      <c r="A73" s="716" t="s">
        <v>707</v>
      </c>
      <c r="B73" s="717" t="s">
        <v>708</v>
      </c>
      <c r="C73" s="718">
        <v>1028</v>
      </c>
      <c r="D73" s="717">
        <v>47.52</v>
      </c>
      <c r="E73" s="717">
        <v>0.33</v>
      </c>
      <c r="F73" s="717">
        <v>386.76</v>
      </c>
      <c r="G73" s="717">
        <v>112.589</v>
      </c>
      <c r="H73" s="717">
        <v>0</v>
      </c>
      <c r="I73" s="717">
        <v>0</v>
      </c>
      <c r="J73" s="717">
        <v>0</v>
      </c>
      <c r="K73" s="717">
        <v>0</v>
      </c>
      <c r="L73" s="717">
        <v>0</v>
      </c>
      <c r="M73" s="719">
        <v>822.21</v>
      </c>
      <c r="N73" s="720">
        <f t="shared" si="0"/>
        <v>822.21</v>
      </c>
      <c r="O73" s="1141">
        <f>Tabla1[[#This Row],[Tarifa 2012 (Mx$/ton)]]*(1+IncrementoTarifa)</f>
        <v>863.23827900000003</v>
      </c>
    </row>
    <row r="74" spans="1:15" ht="15" x14ac:dyDescent="0.25">
      <c r="A74" s="716" t="s">
        <v>709</v>
      </c>
      <c r="B74" s="717" t="s">
        <v>710</v>
      </c>
      <c r="C74" s="718">
        <v>1100</v>
      </c>
      <c r="D74" s="717">
        <v>47.52</v>
      </c>
      <c r="E74" s="717">
        <v>0.33</v>
      </c>
      <c r="F74" s="717">
        <v>410.52</v>
      </c>
      <c r="G74" s="717">
        <v>112.589</v>
      </c>
      <c r="H74" s="717">
        <v>0</v>
      </c>
      <c r="I74" s="717">
        <v>10</v>
      </c>
      <c r="J74" s="717">
        <v>0</v>
      </c>
      <c r="K74" s="717">
        <v>0</v>
      </c>
      <c r="L74" s="717">
        <v>0</v>
      </c>
      <c r="M74" s="719">
        <v>913.77</v>
      </c>
      <c r="N74" s="720">
        <f t="shared" si="0"/>
        <v>913.77</v>
      </c>
      <c r="O74" s="1141">
        <f>Tabla1[[#This Row],[Tarifa 2012 (Mx$/ton)]]*(1+IncrementoTarifa)</f>
        <v>959.36712299999999</v>
      </c>
    </row>
    <row r="75" spans="1:15" ht="15" x14ac:dyDescent="0.25">
      <c r="A75" s="716" t="s">
        <v>711</v>
      </c>
      <c r="B75" s="717" t="s">
        <v>712</v>
      </c>
      <c r="C75" s="718">
        <v>1155</v>
      </c>
      <c r="D75" s="717">
        <v>47.52</v>
      </c>
      <c r="E75" s="717">
        <v>0.33</v>
      </c>
      <c r="F75" s="717">
        <v>428.67</v>
      </c>
      <c r="G75" s="717">
        <v>112.589</v>
      </c>
      <c r="H75" s="717">
        <v>0</v>
      </c>
      <c r="I75" s="717">
        <v>0</v>
      </c>
      <c r="J75" s="717">
        <v>0</v>
      </c>
      <c r="K75" s="717">
        <v>0</v>
      </c>
      <c r="L75" s="717">
        <v>0</v>
      </c>
      <c r="M75" s="719">
        <v>911.31</v>
      </c>
      <c r="N75" s="720">
        <f t="shared" si="0"/>
        <v>911.31</v>
      </c>
      <c r="O75" s="1141">
        <f>Tabla1[[#This Row],[Tarifa 2012 (Mx$/ton)]]*(1+IncrementoTarifa)</f>
        <v>956.78436899999997</v>
      </c>
    </row>
    <row r="76" spans="1:15" ht="15" x14ac:dyDescent="0.25">
      <c r="A76" s="716" t="s">
        <v>713</v>
      </c>
      <c r="B76" s="717" t="s">
        <v>714</v>
      </c>
      <c r="C76" s="718">
        <v>1194</v>
      </c>
      <c r="D76" s="717">
        <v>47.52</v>
      </c>
      <c r="E76" s="717">
        <v>0.33</v>
      </c>
      <c r="F76" s="717">
        <v>441.54</v>
      </c>
      <c r="G76" s="717">
        <v>112.589</v>
      </c>
      <c r="H76" s="717">
        <v>0</v>
      </c>
      <c r="I76" s="717">
        <v>0</v>
      </c>
      <c r="J76" s="717">
        <v>0</v>
      </c>
      <c r="K76" s="717">
        <v>0</v>
      </c>
      <c r="L76" s="717">
        <v>0</v>
      </c>
      <c r="M76" s="719">
        <v>938.67</v>
      </c>
      <c r="N76" s="720">
        <f t="shared" si="0"/>
        <v>938.67</v>
      </c>
      <c r="O76" s="1141">
        <f>Tabla1[[#This Row],[Tarifa 2012 (Mx$/ton)]]*(1+IncrementoTarifa)</f>
        <v>985.50963300000001</v>
      </c>
    </row>
    <row r="77" spans="1:15" ht="15" x14ac:dyDescent="0.25">
      <c r="A77" s="716" t="s">
        <v>715</v>
      </c>
      <c r="B77" s="717" t="s">
        <v>716</v>
      </c>
      <c r="C77" s="718">
        <v>1074</v>
      </c>
      <c r="D77" s="717">
        <v>47.52</v>
      </c>
      <c r="E77" s="717">
        <v>0.33</v>
      </c>
      <c r="F77" s="717">
        <v>401.94</v>
      </c>
      <c r="G77" s="717">
        <v>112.589</v>
      </c>
      <c r="H77" s="717">
        <v>0</v>
      </c>
      <c r="I77" s="717">
        <v>10</v>
      </c>
      <c r="J77" s="717">
        <v>0</v>
      </c>
      <c r="K77" s="717">
        <v>0</v>
      </c>
      <c r="L77" s="717">
        <v>0</v>
      </c>
      <c r="M77" s="719">
        <v>894.67</v>
      </c>
      <c r="N77" s="720">
        <f t="shared" si="0"/>
        <v>894.67</v>
      </c>
      <c r="O77" s="1141">
        <f>Tabla1[[#This Row],[Tarifa 2012 (Mx$/ton)]]*(1+IncrementoTarifa)</f>
        <v>939.31403299999999</v>
      </c>
    </row>
    <row r="78" spans="1:15" ht="15" x14ac:dyDescent="0.25">
      <c r="A78" s="716" t="s">
        <v>717</v>
      </c>
      <c r="B78" s="717" t="s">
        <v>718</v>
      </c>
      <c r="C78" s="718">
        <v>743</v>
      </c>
      <c r="D78" s="717">
        <v>47.52</v>
      </c>
      <c r="E78" s="717">
        <v>0.33</v>
      </c>
      <c r="F78" s="717">
        <v>292.70999999999998</v>
      </c>
      <c r="G78" s="717">
        <v>112.589</v>
      </c>
      <c r="H78" s="717">
        <v>0</v>
      </c>
      <c r="I78" s="717">
        <v>0</v>
      </c>
      <c r="J78" s="717">
        <v>0</v>
      </c>
      <c r="K78" s="717">
        <v>0</v>
      </c>
      <c r="L78" s="717">
        <v>0</v>
      </c>
      <c r="M78" s="719">
        <v>622.27</v>
      </c>
      <c r="N78" s="720">
        <f t="shared" ref="N78:N143" si="1">M78*(1+$O$2)</f>
        <v>622.27</v>
      </c>
      <c r="O78" s="1141">
        <f>Tabla1[[#This Row],[Tarifa 2012 (Mx$/ton)]]*(1+IncrementoTarifa)</f>
        <v>653.32127300000002</v>
      </c>
    </row>
    <row r="79" spans="1:15" ht="15" x14ac:dyDescent="0.25">
      <c r="A79" s="716" t="s">
        <v>719</v>
      </c>
      <c r="B79" s="717" t="s">
        <v>720</v>
      </c>
      <c r="C79" s="718">
        <v>467</v>
      </c>
      <c r="D79" s="717">
        <v>47.52</v>
      </c>
      <c r="E79" s="717">
        <v>0.33</v>
      </c>
      <c r="F79" s="717">
        <v>201.63</v>
      </c>
      <c r="G79" s="717">
        <v>112.589</v>
      </c>
      <c r="H79" s="717">
        <v>0</v>
      </c>
      <c r="I79" s="717">
        <v>0</v>
      </c>
      <c r="J79" s="717">
        <v>0</v>
      </c>
      <c r="K79" s="717">
        <v>0</v>
      </c>
      <c r="L79" s="717">
        <v>0</v>
      </c>
      <c r="M79" s="719">
        <v>428.64</v>
      </c>
      <c r="N79" s="720">
        <f t="shared" si="1"/>
        <v>428.64</v>
      </c>
      <c r="O79" s="1141">
        <f>Tabla1[[#This Row],[Tarifa 2012 (Mx$/ton)]]*(1+IncrementoTarifa)</f>
        <v>450.02913599999999</v>
      </c>
    </row>
    <row r="80" spans="1:15" ht="15" x14ac:dyDescent="0.25">
      <c r="A80" s="716" t="s">
        <v>721</v>
      </c>
      <c r="B80" s="717" t="s">
        <v>722</v>
      </c>
      <c r="C80" s="718">
        <v>391</v>
      </c>
      <c r="D80" s="717">
        <v>47.52</v>
      </c>
      <c r="E80" s="717">
        <v>0.33</v>
      </c>
      <c r="F80" s="717">
        <v>176.55</v>
      </c>
      <c r="G80" s="717">
        <v>112.589</v>
      </c>
      <c r="H80" s="717">
        <v>0</v>
      </c>
      <c r="I80" s="717">
        <v>0</v>
      </c>
      <c r="J80" s="717">
        <v>0</v>
      </c>
      <c r="K80" s="717">
        <v>0</v>
      </c>
      <c r="L80" s="717">
        <v>0</v>
      </c>
      <c r="M80" s="719">
        <v>375.33</v>
      </c>
      <c r="N80" s="720">
        <f t="shared" si="1"/>
        <v>375.33</v>
      </c>
      <c r="O80" s="1141">
        <f>Tabla1[[#This Row],[Tarifa 2012 (Mx$/ton)]]*(1+IncrementoTarifa)</f>
        <v>394.058967</v>
      </c>
    </row>
    <row r="81" spans="1:15" ht="15" x14ac:dyDescent="0.25">
      <c r="A81" s="716" t="s">
        <v>484</v>
      </c>
      <c r="B81" s="717" t="s">
        <v>723</v>
      </c>
      <c r="C81" s="718">
        <v>1E-3</v>
      </c>
      <c r="D81" s="717">
        <v>47.52</v>
      </c>
      <c r="E81" s="717">
        <v>0.33</v>
      </c>
      <c r="F81" s="717">
        <v>47.52</v>
      </c>
      <c r="G81" s="717">
        <v>112.589</v>
      </c>
      <c r="H81" s="717">
        <v>0</v>
      </c>
      <c r="I81" s="717">
        <v>0</v>
      </c>
      <c r="J81" s="717">
        <v>0</v>
      </c>
      <c r="K81" s="717">
        <v>0</v>
      </c>
      <c r="L81" s="717">
        <v>0</v>
      </c>
      <c r="M81" s="719">
        <v>101.02</v>
      </c>
      <c r="N81" s="720">
        <f t="shared" si="1"/>
        <v>101.02</v>
      </c>
      <c r="O81" s="1141">
        <f>Tabla1[[#This Row],[Tarifa 2012 (Mx$/ton)]]*(1+IncrementoTarifa)</f>
        <v>106.06089799999999</v>
      </c>
    </row>
    <row r="82" spans="1:15" ht="15" x14ac:dyDescent="0.25">
      <c r="A82" s="716" t="s">
        <v>724</v>
      </c>
      <c r="B82" s="717" t="s">
        <v>725</v>
      </c>
      <c r="C82" s="718">
        <v>160</v>
      </c>
      <c r="D82" s="717">
        <v>47.52</v>
      </c>
      <c r="E82" s="717">
        <v>0.33</v>
      </c>
      <c r="F82" s="717">
        <v>100.32</v>
      </c>
      <c r="G82" s="717">
        <v>112.589</v>
      </c>
      <c r="H82" s="717">
        <v>0</v>
      </c>
      <c r="I82" s="717">
        <v>0</v>
      </c>
      <c r="J82" s="717">
        <v>0</v>
      </c>
      <c r="K82" s="717">
        <v>0</v>
      </c>
      <c r="L82" s="717">
        <v>0</v>
      </c>
      <c r="M82" s="719">
        <v>213.27</v>
      </c>
      <c r="N82" s="720">
        <f t="shared" si="1"/>
        <v>213.27</v>
      </c>
      <c r="O82" s="1141">
        <f>Tabla1[[#This Row],[Tarifa 2012 (Mx$/ton)]]*(1+IncrementoTarifa)</f>
        <v>223.91217300000002</v>
      </c>
    </row>
    <row r="83" spans="1:15" ht="15" x14ac:dyDescent="0.25">
      <c r="A83" s="716" t="s">
        <v>486</v>
      </c>
      <c r="B83" s="717" t="s">
        <v>726</v>
      </c>
      <c r="C83" s="718">
        <v>212</v>
      </c>
      <c r="D83" s="717">
        <v>47.52</v>
      </c>
      <c r="E83" s="717">
        <v>0.33</v>
      </c>
      <c r="F83" s="717">
        <v>117.48</v>
      </c>
      <c r="G83" s="717">
        <v>112.589</v>
      </c>
      <c r="H83" s="717">
        <v>0</v>
      </c>
      <c r="I83" s="717">
        <v>0</v>
      </c>
      <c r="J83" s="717">
        <v>0</v>
      </c>
      <c r="K83" s="717">
        <v>0</v>
      </c>
      <c r="L83" s="717">
        <v>0</v>
      </c>
      <c r="M83" s="719">
        <v>249.75</v>
      </c>
      <c r="N83" s="720">
        <f t="shared" si="1"/>
        <v>249.75</v>
      </c>
      <c r="O83" s="1141">
        <f>Tabla1[[#This Row],[Tarifa 2012 (Mx$/ton)]]*(1+IncrementoTarifa)</f>
        <v>262.21252500000003</v>
      </c>
    </row>
    <row r="84" spans="1:15" ht="15" x14ac:dyDescent="0.25">
      <c r="A84" s="716" t="s">
        <v>727</v>
      </c>
      <c r="B84" s="717" t="s">
        <v>728</v>
      </c>
      <c r="C84" s="718">
        <v>200</v>
      </c>
      <c r="D84" s="717">
        <v>47.52</v>
      </c>
      <c r="E84" s="717">
        <v>0.33</v>
      </c>
      <c r="F84" s="717">
        <v>113.52</v>
      </c>
      <c r="G84" s="717">
        <v>112.589</v>
      </c>
      <c r="H84" s="717">
        <v>0</v>
      </c>
      <c r="I84" s="717">
        <v>0</v>
      </c>
      <c r="J84" s="717">
        <v>0</v>
      </c>
      <c r="K84" s="717">
        <v>0</v>
      </c>
      <c r="L84" s="717">
        <v>0</v>
      </c>
      <c r="M84" s="719">
        <v>241.33</v>
      </c>
      <c r="N84" s="720">
        <f t="shared" si="1"/>
        <v>241.33</v>
      </c>
      <c r="O84" s="1141">
        <f>Tabla1[[#This Row],[Tarifa 2012 (Mx$/ton)]]*(1+IncrementoTarifa)</f>
        <v>253.37236700000003</v>
      </c>
    </row>
    <row r="85" spans="1:15" ht="15" x14ac:dyDescent="0.25">
      <c r="A85" s="716" t="s">
        <v>729</v>
      </c>
      <c r="B85" s="717" t="s">
        <v>730</v>
      </c>
      <c r="C85" s="718">
        <v>114</v>
      </c>
      <c r="D85" s="717">
        <v>47.52</v>
      </c>
      <c r="E85" s="717">
        <v>0.33</v>
      </c>
      <c r="F85" s="717">
        <v>85.14</v>
      </c>
      <c r="G85" s="717">
        <v>112.589</v>
      </c>
      <c r="H85" s="717">
        <v>0</v>
      </c>
      <c r="I85" s="717">
        <v>0</v>
      </c>
      <c r="J85" s="717">
        <v>0</v>
      </c>
      <c r="K85" s="717">
        <v>0</v>
      </c>
      <c r="L85" s="717">
        <v>0</v>
      </c>
      <c r="M85" s="719">
        <v>181</v>
      </c>
      <c r="N85" s="720">
        <f t="shared" si="1"/>
        <v>181</v>
      </c>
      <c r="O85" s="1141">
        <f>Tabla1[[#This Row],[Tarifa 2012 (Mx$/ton)]]*(1+IncrementoTarifa)</f>
        <v>190.03190000000001</v>
      </c>
    </row>
    <row r="86" spans="1:15" ht="15" x14ac:dyDescent="0.25">
      <c r="A86" s="716" t="s">
        <v>731</v>
      </c>
      <c r="B86" s="717" t="s">
        <v>732</v>
      </c>
      <c r="C86" s="718">
        <v>337</v>
      </c>
      <c r="D86" s="717">
        <v>47.52</v>
      </c>
      <c r="E86" s="717">
        <v>0.33</v>
      </c>
      <c r="F86" s="717">
        <v>158.72999999999999</v>
      </c>
      <c r="G86" s="717">
        <v>112.589</v>
      </c>
      <c r="H86" s="717">
        <v>0</v>
      </c>
      <c r="I86" s="717">
        <v>10</v>
      </c>
      <c r="J86" s="717">
        <v>0</v>
      </c>
      <c r="K86" s="717">
        <v>0</v>
      </c>
      <c r="L86" s="717">
        <v>0</v>
      </c>
      <c r="M86" s="719">
        <v>353.32</v>
      </c>
      <c r="N86" s="720">
        <f t="shared" si="1"/>
        <v>353.32</v>
      </c>
      <c r="O86" s="1141">
        <f>Tabla1[[#This Row],[Tarifa 2012 (Mx$/ton)]]*(1+IncrementoTarifa)</f>
        <v>370.95066800000001</v>
      </c>
    </row>
    <row r="87" spans="1:15" ht="15" x14ac:dyDescent="0.25">
      <c r="A87" s="716" t="s">
        <v>733</v>
      </c>
      <c r="B87" s="717" t="s">
        <v>734</v>
      </c>
      <c r="C87" s="718">
        <v>223</v>
      </c>
      <c r="D87" s="717">
        <v>47.52</v>
      </c>
      <c r="E87" s="717">
        <v>0.33</v>
      </c>
      <c r="F87" s="717">
        <v>121.11</v>
      </c>
      <c r="G87" s="717">
        <v>112.589</v>
      </c>
      <c r="H87" s="717">
        <v>0</v>
      </c>
      <c r="I87" s="717">
        <v>0</v>
      </c>
      <c r="J87" s="717">
        <v>0</v>
      </c>
      <c r="K87" s="717">
        <v>0</v>
      </c>
      <c r="L87" s="717">
        <v>0</v>
      </c>
      <c r="M87" s="719">
        <v>257.47000000000003</v>
      </c>
      <c r="N87" s="720">
        <f t="shared" si="1"/>
        <v>257.47000000000003</v>
      </c>
      <c r="O87" s="1141">
        <f>Tabla1[[#This Row],[Tarifa 2012 (Mx$/ton)]]*(1+IncrementoTarifa)</f>
        <v>270.31775300000004</v>
      </c>
    </row>
    <row r="88" spans="1:15" ht="15" x14ac:dyDescent="0.25">
      <c r="A88" s="716" t="s">
        <v>735</v>
      </c>
      <c r="B88" s="717" t="s">
        <v>736</v>
      </c>
      <c r="C88" s="718">
        <v>298</v>
      </c>
      <c r="D88" s="717">
        <v>47.52</v>
      </c>
      <c r="E88" s="717">
        <v>0.33</v>
      </c>
      <c r="F88" s="717">
        <v>145.86000000000001</v>
      </c>
      <c r="G88" s="717">
        <v>112.589</v>
      </c>
      <c r="H88" s="717">
        <v>0</v>
      </c>
      <c r="I88" s="717">
        <v>10</v>
      </c>
      <c r="J88" s="717">
        <v>0</v>
      </c>
      <c r="K88" s="717">
        <v>0</v>
      </c>
      <c r="L88" s="717">
        <v>0</v>
      </c>
      <c r="M88" s="719">
        <v>324.67</v>
      </c>
      <c r="N88" s="720">
        <f t="shared" si="1"/>
        <v>324.67</v>
      </c>
      <c r="O88" s="1141">
        <f>Tabla1[[#This Row],[Tarifa 2012 (Mx$/ton)]]*(1+IncrementoTarifa)</f>
        <v>340.87103300000001</v>
      </c>
    </row>
    <row r="89" spans="1:15" ht="15" x14ac:dyDescent="0.25">
      <c r="A89" s="716" t="s">
        <v>737</v>
      </c>
      <c r="B89" s="717" t="s">
        <v>738</v>
      </c>
      <c r="C89" s="718">
        <v>313</v>
      </c>
      <c r="D89" s="717">
        <v>47.52</v>
      </c>
      <c r="E89" s="717">
        <v>0.33</v>
      </c>
      <c r="F89" s="717">
        <v>150.81</v>
      </c>
      <c r="G89" s="717">
        <v>112.589</v>
      </c>
      <c r="H89" s="717">
        <v>0</v>
      </c>
      <c r="I89" s="717">
        <v>0</v>
      </c>
      <c r="J89" s="717">
        <v>0</v>
      </c>
      <c r="K89" s="717">
        <v>0</v>
      </c>
      <c r="L89" s="717">
        <v>0</v>
      </c>
      <c r="M89" s="719">
        <v>320.61</v>
      </c>
      <c r="N89" s="720">
        <f t="shared" si="1"/>
        <v>320.61</v>
      </c>
      <c r="O89" s="1141">
        <f>Tabla1[[#This Row],[Tarifa 2012 (Mx$/ton)]]*(1+IncrementoTarifa)</f>
        <v>336.60843900000003</v>
      </c>
    </row>
    <row r="90" spans="1:15" ht="15" x14ac:dyDescent="0.25">
      <c r="A90" s="716" t="s">
        <v>739</v>
      </c>
      <c r="B90" s="717" t="s">
        <v>740</v>
      </c>
      <c r="C90" s="718">
        <v>184</v>
      </c>
      <c r="D90" s="717">
        <v>47.52</v>
      </c>
      <c r="E90" s="717">
        <v>0.33</v>
      </c>
      <c r="F90" s="717">
        <v>108.24</v>
      </c>
      <c r="G90" s="717">
        <v>112.589</v>
      </c>
      <c r="H90" s="717">
        <v>0</v>
      </c>
      <c r="I90" s="717">
        <v>0</v>
      </c>
      <c r="J90" s="717">
        <v>0</v>
      </c>
      <c r="K90" s="717">
        <v>0</v>
      </c>
      <c r="L90" s="717">
        <v>0</v>
      </c>
      <c r="M90" s="719">
        <v>230.11</v>
      </c>
      <c r="N90" s="720">
        <f t="shared" si="1"/>
        <v>230.11</v>
      </c>
      <c r="O90" s="1141">
        <f>Tabla1[[#This Row],[Tarifa 2012 (Mx$/ton)]]*(1+IncrementoTarifa)</f>
        <v>241.59248900000003</v>
      </c>
    </row>
    <row r="91" spans="1:15" ht="15" x14ac:dyDescent="0.25">
      <c r="A91" s="716" t="s">
        <v>741</v>
      </c>
      <c r="B91" s="717" t="s">
        <v>742</v>
      </c>
      <c r="C91" s="718">
        <v>60</v>
      </c>
      <c r="D91" s="717">
        <v>47.52</v>
      </c>
      <c r="E91" s="717">
        <v>0.33</v>
      </c>
      <c r="F91" s="717">
        <v>67.319999999999993</v>
      </c>
      <c r="G91" s="717">
        <v>112.589</v>
      </c>
      <c r="H91" s="717">
        <v>0</v>
      </c>
      <c r="I91" s="717">
        <v>0</v>
      </c>
      <c r="J91" s="717">
        <v>0</v>
      </c>
      <c r="K91" s="717">
        <v>0</v>
      </c>
      <c r="L91" s="717">
        <v>0</v>
      </c>
      <c r="M91" s="719">
        <v>143.11000000000001</v>
      </c>
      <c r="N91" s="720">
        <f t="shared" si="1"/>
        <v>143.11000000000001</v>
      </c>
      <c r="O91" s="1141">
        <f>Tabla1[[#This Row],[Tarifa 2012 (Mx$/ton)]]*(1+IncrementoTarifa)</f>
        <v>150.25118900000001</v>
      </c>
    </row>
    <row r="92" spans="1:15" ht="15" x14ac:dyDescent="0.25">
      <c r="A92" s="716" t="s">
        <v>743</v>
      </c>
      <c r="B92" s="717" t="s">
        <v>744</v>
      </c>
      <c r="C92" s="718">
        <v>433</v>
      </c>
      <c r="D92" s="717">
        <v>47.52</v>
      </c>
      <c r="E92" s="717">
        <v>0.33</v>
      </c>
      <c r="F92" s="717">
        <v>190.41</v>
      </c>
      <c r="G92" s="717">
        <v>112.589</v>
      </c>
      <c r="H92" s="717">
        <v>-28.716000000000001</v>
      </c>
      <c r="I92" s="717">
        <v>0</v>
      </c>
      <c r="J92" s="717">
        <v>0</v>
      </c>
      <c r="K92" s="717">
        <v>54.68</v>
      </c>
      <c r="L92" s="717">
        <v>0</v>
      </c>
      <c r="M92" s="719">
        <v>404.79</v>
      </c>
      <c r="N92" s="720">
        <f t="shared" si="1"/>
        <v>404.79</v>
      </c>
      <c r="O92" s="1141">
        <f>Tabla1[[#This Row],[Tarifa 2012 (Mx$/ton)]]*(1+IncrementoTarifa)</f>
        <v>424.98902100000004</v>
      </c>
    </row>
    <row r="93" spans="1:15" ht="15" x14ac:dyDescent="0.25">
      <c r="A93" s="716" t="s">
        <v>745</v>
      </c>
      <c r="B93" s="717" t="s">
        <v>746</v>
      </c>
      <c r="C93" s="718">
        <v>570</v>
      </c>
      <c r="D93" s="717">
        <v>47.52</v>
      </c>
      <c r="E93" s="717">
        <v>0.33</v>
      </c>
      <c r="F93" s="717">
        <v>235.62</v>
      </c>
      <c r="G93" s="717">
        <v>112.589</v>
      </c>
      <c r="H93" s="717">
        <v>0</v>
      </c>
      <c r="I93" s="717">
        <v>0</v>
      </c>
      <c r="J93" s="717">
        <v>0</v>
      </c>
      <c r="K93" s="717">
        <v>58.67</v>
      </c>
      <c r="L93" s="717">
        <v>0</v>
      </c>
      <c r="M93" s="719">
        <v>559.57000000000005</v>
      </c>
      <c r="N93" s="720">
        <f t="shared" si="1"/>
        <v>559.57000000000005</v>
      </c>
      <c r="O93" s="1141">
        <f>Tabla1[[#This Row],[Tarifa 2012 (Mx$/ton)]]*(1+IncrementoTarifa)</f>
        <v>587.49254300000007</v>
      </c>
    </row>
    <row r="94" spans="1:15" ht="15" x14ac:dyDescent="0.25">
      <c r="A94" s="716" t="s">
        <v>747</v>
      </c>
      <c r="B94" s="717" t="s">
        <v>748</v>
      </c>
      <c r="C94" s="718">
        <v>365</v>
      </c>
      <c r="D94" s="717">
        <v>47.52</v>
      </c>
      <c r="E94" s="717">
        <v>0.33</v>
      </c>
      <c r="F94" s="717">
        <v>167.97</v>
      </c>
      <c r="G94" s="717">
        <v>112.589</v>
      </c>
      <c r="H94" s="717">
        <v>-27.359000000000002</v>
      </c>
      <c r="I94" s="717">
        <v>10</v>
      </c>
      <c r="J94" s="717">
        <v>0</v>
      </c>
      <c r="K94" s="717">
        <v>45.95</v>
      </c>
      <c r="L94" s="717">
        <v>0</v>
      </c>
      <c r="M94" s="719">
        <v>373.88</v>
      </c>
      <c r="N94" s="720">
        <f t="shared" si="1"/>
        <v>373.88</v>
      </c>
      <c r="O94" s="1141">
        <f>Tabla1[[#This Row],[Tarifa 2012 (Mx$/ton)]]*(1+IncrementoTarifa)</f>
        <v>392.53661199999999</v>
      </c>
    </row>
    <row r="95" spans="1:15" ht="15" x14ac:dyDescent="0.25">
      <c r="A95" s="716" t="s">
        <v>749</v>
      </c>
      <c r="B95" s="717" t="s">
        <v>750</v>
      </c>
      <c r="C95" s="718">
        <v>692</v>
      </c>
      <c r="D95" s="717">
        <v>47.52</v>
      </c>
      <c r="E95" s="717">
        <v>0.33</v>
      </c>
      <c r="F95" s="717">
        <v>275.88</v>
      </c>
      <c r="G95" s="717">
        <v>112.589</v>
      </c>
      <c r="H95" s="717">
        <v>0</v>
      </c>
      <c r="I95" s="717">
        <v>0</v>
      </c>
      <c r="J95" s="717">
        <v>0</v>
      </c>
      <c r="K95" s="717">
        <v>58.67</v>
      </c>
      <c r="L95" s="717">
        <v>0</v>
      </c>
      <c r="M95" s="719">
        <v>645.16</v>
      </c>
      <c r="N95" s="720">
        <f t="shared" si="1"/>
        <v>645.16</v>
      </c>
      <c r="O95" s="1141">
        <f>Tabla1[[#This Row],[Tarifa 2012 (Mx$/ton)]]*(1+IncrementoTarifa)</f>
        <v>677.35348399999998</v>
      </c>
    </row>
    <row r="96" spans="1:15" ht="15" x14ac:dyDescent="0.25">
      <c r="A96" s="716" t="s">
        <v>751</v>
      </c>
      <c r="B96" s="717" t="s">
        <v>752</v>
      </c>
      <c r="C96" s="718">
        <v>1032</v>
      </c>
      <c r="D96" s="717">
        <v>47.52</v>
      </c>
      <c r="E96" s="717">
        <v>0.33</v>
      </c>
      <c r="F96" s="717">
        <v>388.08</v>
      </c>
      <c r="G96" s="717">
        <v>112.589</v>
      </c>
      <c r="H96" s="717">
        <v>0</v>
      </c>
      <c r="I96" s="717">
        <v>0</v>
      </c>
      <c r="J96" s="717">
        <v>0</v>
      </c>
      <c r="K96" s="717">
        <v>0</v>
      </c>
      <c r="L96" s="717">
        <v>0</v>
      </c>
      <c r="M96" s="719">
        <v>825.02</v>
      </c>
      <c r="N96" s="720">
        <f t="shared" si="1"/>
        <v>825.02</v>
      </c>
      <c r="O96" s="1141">
        <f>Tabla1[[#This Row],[Tarifa 2012 (Mx$/ton)]]*(1+IncrementoTarifa)</f>
        <v>866.18849799999998</v>
      </c>
    </row>
    <row r="97" spans="1:15" ht="15" x14ac:dyDescent="0.25">
      <c r="A97" s="716" t="s">
        <v>753</v>
      </c>
      <c r="B97" s="717" t="s">
        <v>754</v>
      </c>
      <c r="C97" s="718">
        <v>1109</v>
      </c>
      <c r="D97" s="717">
        <v>47.52</v>
      </c>
      <c r="E97" s="717">
        <v>0.33</v>
      </c>
      <c r="F97" s="717">
        <v>413.49</v>
      </c>
      <c r="G97" s="717">
        <v>112.589</v>
      </c>
      <c r="H97" s="717">
        <v>0</v>
      </c>
      <c r="I97" s="717">
        <v>0</v>
      </c>
      <c r="J97" s="717">
        <v>0</v>
      </c>
      <c r="K97" s="717">
        <v>0</v>
      </c>
      <c r="L97" s="717">
        <v>0</v>
      </c>
      <c r="M97" s="719">
        <v>879.03</v>
      </c>
      <c r="N97" s="720">
        <f t="shared" si="1"/>
        <v>879.03</v>
      </c>
      <c r="O97" s="1141">
        <f>Tabla1[[#This Row],[Tarifa 2012 (Mx$/ton)]]*(1+IncrementoTarifa)</f>
        <v>922.893597</v>
      </c>
    </row>
    <row r="98" spans="1:15" ht="15" x14ac:dyDescent="0.25">
      <c r="A98" s="716" t="s">
        <v>755</v>
      </c>
      <c r="B98" s="717" t="s">
        <v>756</v>
      </c>
      <c r="C98" s="718">
        <v>1032</v>
      </c>
      <c r="D98" s="717">
        <v>47.52</v>
      </c>
      <c r="E98" s="717">
        <v>0.33</v>
      </c>
      <c r="F98" s="717">
        <v>388.08</v>
      </c>
      <c r="G98" s="717">
        <v>112.589</v>
      </c>
      <c r="H98" s="717">
        <v>0</v>
      </c>
      <c r="I98" s="717">
        <v>0</v>
      </c>
      <c r="J98" s="717">
        <v>0</v>
      </c>
      <c r="K98" s="717">
        <v>58.67</v>
      </c>
      <c r="L98" s="717">
        <v>0</v>
      </c>
      <c r="M98" s="719">
        <v>883.69</v>
      </c>
      <c r="N98" s="720">
        <f t="shared" si="1"/>
        <v>883.69</v>
      </c>
      <c r="O98" s="1141">
        <f>Tabla1[[#This Row],[Tarifa 2012 (Mx$/ton)]]*(1+IncrementoTarifa)</f>
        <v>927.78613100000007</v>
      </c>
    </row>
    <row r="99" spans="1:15" ht="15" x14ac:dyDescent="0.25">
      <c r="A99" s="716" t="s">
        <v>757</v>
      </c>
      <c r="B99" s="717" t="s">
        <v>758</v>
      </c>
      <c r="C99" s="718">
        <v>1127</v>
      </c>
      <c r="D99" s="717">
        <v>47.52</v>
      </c>
      <c r="E99" s="717">
        <v>0.33</v>
      </c>
      <c r="F99" s="717">
        <v>419.43</v>
      </c>
      <c r="G99" s="717">
        <v>112.589</v>
      </c>
      <c r="H99" s="717">
        <v>0</v>
      </c>
      <c r="I99" s="717">
        <v>0</v>
      </c>
      <c r="J99" s="717">
        <v>0</v>
      </c>
      <c r="K99" s="717">
        <v>0</v>
      </c>
      <c r="L99" s="717">
        <v>0</v>
      </c>
      <c r="M99" s="719">
        <v>891.66</v>
      </c>
      <c r="N99" s="720">
        <f t="shared" si="1"/>
        <v>891.66</v>
      </c>
      <c r="O99" s="1141">
        <f>Tabla1[[#This Row],[Tarifa 2012 (Mx$/ton)]]*(1+IncrementoTarifa)</f>
        <v>936.15383399999996</v>
      </c>
    </row>
    <row r="100" spans="1:15" ht="15" x14ac:dyDescent="0.25">
      <c r="A100" s="716" t="s">
        <v>759</v>
      </c>
      <c r="B100" s="717" t="s">
        <v>760</v>
      </c>
      <c r="C100" s="718">
        <v>1205</v>
      </c>
      <c r="D100" s="717">
        <v>47.52</v>
      </c>
      <c r="E100" s="717">
        <v>0.33</v>
      </c>
      <c r="F100" s="717">
        <v>445.17</v>
      </c>
      <c r="G100" s="717">
        <v>112.589</v>
      </c>
      <c r="H100" s="717">
        <v>0</v>
      </c>
      <c r="I100" s="717">
        <v>0</v>
      </c>
      <c r="J100" s="717">
        <v>0</v>
      </c>
      <c r="K100" s="717">
        <v>0</v>
      </c>
      <c r="L100" s="717">
        <v>0</v>
      </c>
      <c r="M100" s="719">
        <v>946.38</v>
      </c>
      <c r="N100" s="720">
        <f t="shared" si="1"/>
        <v>946.38</v>
      </c>
      <c r="O100" s="1141">
        <f>Tabla1[[#This Row],[Tarifa 2012 (Mx$/ton)]]*(1+IncrementoTarifa)</f>
        <v>993.60436200000004</v>
      </c>
    </row>
    <row r="101" spans="1:15" ht="15" x14ac:dyDescent="0.25">
      <c r="A101" s="716" t="s">
        <v>761</v>
      </c>
      <c r="B101" s="717" t="s">
        <v>762</v>
      </c>
      <c r="C101" s="718">
        <v>944</v>
      </c>
      <c r="D101" s="717">
        <v>47.52</v>
      </c>
      <c r="E101" s="717">
        <v>0.33</v>
      </c>
      <c r="F101" s="717">
        <v>359.04</v>
      </c>
      <c r="G101" s="717">
        <v>112.589</v>
      </c>
      <c r="H101" s="717">
        <v>0</v>
      </c>
      <c r="I101" s="717">
        <v>0</v>
      </c>
      <c r="J101" s="717">
        <v>0</v>
      </c>
      <c r="K101" s="717">
        <v>0</v>
      </c>
      <c r="L101" s="717">
        <v>0</v>
      </c>
      <c r="M101" s="719">
        <v>763.28</v>
      </c>
      <c r="N101" s="720">
        <f t="shared" si="1"/>
        <v>763.28</v>
      </c>
      <c r="O101" s="1141">
        <f>Tabla1[[#This Row],[Tarifa 2012 (Mx$/ton)]]*(1+IncrementoTarifa)</f>
        <v>801.36767199999997</v>
      </c>
    </row>
    <row r="102" spans="1:15" ht="15" x14ac:dyDescent="0.25">
      <c r="A102" s="716" t="s">
        <v>763</v>
      </c>
      <c r="B102" s="717" t="s">
        <v>764</v>
      </c>
      <c r="C102" s="718">
        <v>1498</v>
      </c>
      <c r="D102" s="717">
        <v>47.52</v>
      </c>
      <c r="E102" s="717">
        <v>0.33</v>
      </c>
      <c r="F102" s="717">
        <v>541.86</v>
      </c>
      <c r="G102" s="717">
        <v>112.589</v>
      </c>
      <c r="H102" s="717">
        <v>0</v>
      </c>
      <c r="I102" s="717">
        <v>0</v>
      </c>
      <c r="J102" s="717">
        <v>0</v>
      </c>
      <c r="K102" s="717">
        <v>0</v>
      </c>
      <c r="L102" s="717">
        <v>0</v>
      </c>
      <c r="M102" s="719">
        <v>1151.93</v>
      </c>
      <c r="N102" s="720">
        <f t="shared" si="1"/>
        <v>1151.93</v>
      </c>
      <c r="O102" s="1141">
        <f>Tabla1[[#This Row],[Tarifa 2012 (Mx$/ton)]]*(1+IncrementoTarifa)</f>
        <v>1209.4113070000001</v>
      </c>
    </row>
    <row r="103" spans="1:15" ht="15" x14ac:dyDescent="0.25">
      <c r="A103" s="716" t="s">
        <v>765</v>
      </c>
      <c r="B103" s="717" t="s">
        <v>766</v>
      </c>
      <c r="C103" s="718">
        <v>1002</v>
      </c>
      <c r="D103" s="717">
        <v>47.52</v>
      </c>
      <c r="E103" s="717">
        <v>0.33</v>
      </c>
      <c r="F103" s="717">
        <v>378.18</v>
      </c>
      <c r="G103" s="717">
        <v>112.589</v>
      </c>
      <c r="H103" s="717">
        <v>0</v>
      </c>
      <c r="I103" s="717">
        <v>10</v>
      </c>
      <c r="J103" s="717">
        <v>0</v>
      </c>
      <c r="K103" s="717">
        <v>0</v>
      </c>
      <c r="L103" s="717">
        <v>0</v>
      </c>
      <c r="M103" s="719">
        <v>841.79</v>
      </c>
      <c r="N103" s="720">
        <f t="shared" si="1"/>
        <v>841.79</v>
      </c>
      <c r="O103" s="1141">
        <f>Tabla1[[#This Row],[Tarifa 2012 (Mx$/ton)]]*(1+IncrementoTarifa)</f>
        <v>883.79532100000006</v>
      </c>
    </row>
    <row r="104" spans="1:15" ht="15" x14ac:dyDescent="0.25">
      <c r="A104" s="716" t="s">
        <v>767</v>
      </c>
      <c r="B104" s="717" t="s">
        <v>768</v>
      </c>
      <c r="C104" s="718">
        <v>393</v>
      </c>
      <c r="D104" s="717">
        <v>47.52</v>
      </c>
      <c r="E104" s="717">
        <v>0.33</v>
      </c>
      <c r="F104" s="717">
        <v>177.21</v>
      </c>
      <c r="G104" s="717">
        <v>112.589</v>
      </c>
      <c r="H104" s="717">
        <v>0</v>
      </c>
      <c r="I104" s="717">
        <v>0</v>
      </c>
      <c r="J104" s="717">
        <v>0</v>
      </c>
      <c r="K104" s="717">
        <v>0</v>
      </c>
      <c r="L104" s="717">
        <v>0</v>
      </c>
      <c r="M104" s="719">
        <v>376.73</v>
      </c>
      <c r="N104" s="720">
        <f t="shared" si="1"/>
        <v>376.73</v>
      </c>
      <c r="O104" s="1141">
        <f>Tabla1[[#This Row],[Tarifa 2012 (Mx$/ton)]]*(1+IncrementoTarifa)</f>
        <v>395.52882700000004</v>
      </c>
    </row>
    <row r="105" spans="1:15" ht="15.75" thickBot="1" x14ac:dyDescent="0.3">
      <c r="A105" s="716" t="s">
        <v>769</v>
      </c>
      <c r="B105" s="717" t="s">
        <v>770</v>
      </c>
      <c r="C105" s="718">
        <v>300</v>
      </c>
      <c r="D105" s="717">
        <v>47.52</v>
      </c>
      <c r="E105" s="717">
        <v>0.33</v>
      </c>
      <c r="F105" s="717">
        <v>146.52000000000001</v>
      </c>
      <c r="G105" s="717">
        <v>112.589</v>
      </c>
      <c r="H105" s="717">
        <v>0</v>
      </c>
      <c r="I105" s="717">
        <v>0</v>
      </c>
      <c r="J105" s="717">
        <v>0</v>
      </c>
      <c r="K105" s="717">
        <v>0</v>
      </c>
      <c r="L105" s="717">
        <v>0</v>
      </c>
      <c r="M105" s="719">
        <v>311.49</v>
      </c>
      <c r="N105" s="720">
        <f t="shared" si="1"/>
        <v>311.49</v>
      </c>
      <c r="O105" s="1141">
        <f>Tabla1[[#This Row],[Tarifa 2012 (Mx$/ton)]]*(1+IncrementoTarifa)</f>
        <v>327.03335100000004</v>
      </c>
    </row>
    <row r="106" spans="1:15" ht="15.75" thickBot="1" x14ac:dyDescent="0.3">
      <c r="A106" s="721" t="s">
        <v>487</v>
      </c>
      <c r="B106" s="722" t="s">
        <v>771</v>
      </c>
      <c r="C106" s="718">
        <v>45</v>
      </c>
      <c r="D106" s="717"/>
      <c r="E106" s="717"/>
      <c r="F106" s="717"/>
      <c r="G106" s="717"/>
      <c r="H106" s="717"/>
      <c r="I106" s="717"/>
      <c r="J106" s="717"/>
      <c r="K106" s="717"/>
      <c r="L106" s="717"/>
      <c r="M106" s="723">
        <v>132.59</v>
      </c>
      <c r="N106" s="720">
        <f>M106*(1+$O$2)</f>
        <v>132.59</v>
      </c>
      <c r="O106" s="1141">
        <f>Tabla1[[#This Row],[Tarifa 2012 (Mx$/ton)]]*(1+IncrementoTarifa)</f>
        <v>139.20624100000001</v>
      </c>
    </row>
    <row r="107" spans="1:15" ht="15" x14ac:dyDescent="0.25">
      <c r="A107" s="724" t="s">
        <v>488</v>
      </c>
      <c r="B107" s="724" t="s">
        <v>772</v>
      </c>
      <c r="C107" s="718">
        <v>155</v>
      </c>
      <c r="D107" s="717"/>
      <c r="E107" s="717"/>
      <c r="F107" s="717"/>
      <c r="G107" s="717"/>
      <c r="H107" s="717"/>
      <c r="I107" s="717"/>
      <c r="J107" s="717"/>
      <c r="K107" s="717"/>
      <c r="L107" s="717"/>
      <c r="M107" s="723">
        <v>228.87</v>
      </c>
      <c r="N107" s="720">
        <f>M107*(1+$O$2)</f>
        <v>228.87</v>
      </c>
      <c r="O107" s="1141">
        <f>Tabla1[[#This Row],[Tarifa 2012 (Mx$/ton)]]*(1+IncrementoTarifa)</f>
        <v>240.29061300000001</v>
      </c>
    </row>
    <row r="108" spans="1:15" ht="15" x14ac:dyDescent="0.25">
      <c r="A108" s="716" t="s">
        <v>773</v>
      </c>
      <c r="B108" s="717" t="s">
        <v>774</v>
      </c>
      <c r="C108" s="718">
        <v>1131</v>
      </c>
      <c r="D108" s="717">
        <v>47.52</v>
      </c>
      <c r="E108" s="717">
        <v>0.33</v>
      </c>
      <c r="F108" s="717">
        <v>420.75</v>
      </c>
      <c r="G108" s="717">
        <v>112.589</v>
      </c>
      <c r="H108" s="717">
        <v>0</v>
      </c>
      <c r="I108" s="717">
        <v>0</v>
      </c>
      <c r="J108" s="717">
        <v>0</v>
      </c>
      <c r="K108" s="717">
        <v>0</v>
      </c>
      <c r="L108" s="717">
        <v>0</v>
      </c>
      <c r="M108" s="719">
        <v>894.47</v>
      </c>
      <c r="N108" s="720">
        <f t="shared" si="1"/>
        <v>894.47</v>
      </c>
      <c r="O108" s="1141">
        <f>Tabla1[[#This Row],[Tarifa 2012 (Mx$/ton)]]*(1+IncrementoTarifa)</f>
        <v>939.10405300000002</v>
      </c>
    </row>
    <row r="109" spans="1:15" ht="15" x14ac:dyDescent="0.25">
      <c r="A109" s="716" t="s">
        <v>775</v>
      </c>
      <c r="B109" s="717" t="s">
        <v>776</v>
      </c>
      <c r="C109" s="718">
        <v>1032</v>
      </c>
      <c r="D109" s="717">
        <v>47.52</v>
      </c>
      <c r="E109" s="717">
        <v>0.33</v>
      </c>
      <c r="F109" s="717">
        <v>388.08</v>
      </c>
      <c r="G109" s="717">
        <v>112.589</v>
      </c>
      <c r="H109" s="717">
        <v>0</v>
      </c>
      <c r="I109" s="717">
        <v>0</v>
      </c>
      <c r="J109" s="717">
        <v>0</v>
      </c>
      <c r="K109" s="717">
        <v>0</v>
      </c>
      <c r="L109" s="717">
        <v>0</v>
      </c>
      <c r="M109" s="719">
        <v>825.02</v>
      </c>
      <c r="N109" s="720">
        <f t="shared" si="1"/>
        <v>825.02</v>
      </c>
      <c r="O109" s="1141">
        <f>Tabla1[[#This Row],[Tarifa 2012 (Mx$/ton)]]*(1+IncrementoTarifa)</f>
        <v>866.18849799999998</v>
      </c>
    </row>
    <row r="110" spans="1:15" ht="15" x14ac:dyDescent="0.25">
      <c r="A110" s="716" t="s">
        <v>777</v>
      </c>
      <c r="B110" s="717" t="s">
        <v>778</v>
      </c>
      <c r="C110" s="718">
        <v>845</v>
      </c>
      <c r="D110" s="717">
        <v>47.52</v>
      </c>
      <c r="E110" s="717">
        <v>0.33</v>
      </c>
      <c r="F110" s="717">
        <v>326.37</v>
      </c>
      <c r="G110" s="717">
        <v>112.589</v>
      </c>
      <c r="H110" s="717">
        <v>0</v>
      </c>
      <c r="I110" s="717">
        <v>0</v>
      </c>
      <c r="J110" s="717">
        <v>0</v>
      </c>
      <c r="K110" s="717">
        <v>0</v>
      </c>
      <c r="L110" s="717">
        <v>0</v>
      </c>
      <c r="M110" s="719">
        <v>693.83</v>
      </c>
      <c r="N110" s="720">
        <f t="shared" si="1"/>
        <v>693.83</v>
      </c>
      <c r="O110" s="1141">
        <f>Tabla1[[#This Row],[Tarifa 2012 (Mx$/ton)]]*(1+IncrementoTarifa)</f>
        <v>728.45211700000004</v>
      </c>
    </row>
    <row r="111" spans="1:15" ht="15" x14ac:dyDescent="0.25">
      <c r="A111" s="716" t="s">
        <v>779</v>
      </c>
      <c r="B111" s="717" t="s">
        <v>780</v>
      </c>
      <c r="C111" s="718">
        <v>570</v>
      </c>
      <c r="D111" s="717">
        <v>47.52</v>
      </c>
      <c r="E111" s="717">
        <v>0.33</v>
      </c>
      <c r="F111" s="717">
        <v>235.62</v>
      </c>
      <c r="G111" s="717">
        <v>112.589</v>
      </c>
      <c r="H111" s="717">
        <v>0</v>
      </c>
      <c r="I111" s="717">
        <v>0</v>
      </c>
      <c r="J111" s="717">
        <v>0</v>
      </c>
      <c r="K111" s="717">
        <v>58.67</v>
      </c>
      <c r="L111" s="717">
        <v>0</v>
      </c>
      <c r="M111" s="719">
        <v>559.57000000000005</v>
      </c>
      <c r="N111" s="720">
        <f t="shared" si="1"/>
        <v>559.57000000000005</v>
      </c>
      <c r="O111" s="1141">
        <f>Tabla1[[#This Row],[Tarifa 2012 (Mx$/ton)]]*(1+IncrementoTarifa)</f>
        <v>587.49254300000007</v>
      </c>
    </row>
    <row r="112" spans="1:15" ht="15" x14ac:dyDescent="0.25">
      <c r="A112" s="716" t="s">
        <v>781</v>
      </c>
      <c r="B112" s="717" t="s">
        <v>782</v>
      </c>
      <c r="C112" s="718">
        <v>353.7</v>
      </c>
      <c r="D112" s="717">
        <v>47.52</v>
      </c>
      <c r="E112" s="717">
        <v>0.33</v>
      </c>
      <c r="F112" s="717">
        <v>164.24</v>
      </c>
      <c r="G112" s="717">
        <v>112.589</v>
      </c>
      <c r="H112" s="717">
        <v>0</v>
      </c>
      <c r="I112" s="717">
        <v>0</v>
      </c>
      <c r="J112" s="717">
        <v>0</v>
      </c>
      <c r="K112" s="717">
        <v>0</v>
      </c>
      <c r="L112" s="717">
        <v>0</v>
      </c>
      <c r="M112" s="719">
        <v>349.16</v>
      </c>
      <c r="N112" s="720">
        <f t="shared" si="1"/>
        <v>349.16</v>
      </c>
      <c r="O112" s="1141">
        <f>Tabla1[[#This Row],[Tarifa 2012 (Mx$/ton)]]*(1+IncrementoTarifa)</f>
        <v>366.58308400000004</v>
      </c>
    </row>
    <row r="113" spans="1:15" ht="15" x14ac:dyDescent="0.25">
      <c r="A113" s="716" t="s">
        <v>783</v>
      </c>
      <c r="B113" s="717" t="s">
        <v>784</v>
      </c>
      <c r="C113" s="718">
        <v>127</v>
      </c>
      <c r="D113" s="717">
        <v>47.52</v>
      </c>
      <c r="E113" s="717">
        <v>0.33</v>
      </c>
      <c r="F113" s="717">
        <v>89.43</v>
      </c>
      <c r="G113" s="717">
        <v>112.589</v>
      </c>
      <c r="H113" s="717">
        <v>0</v>
      </c>
      <c r="I113" s="717">
        <v>0</v>
      </c>
      <c r="J113" s="717">
        <v>0</v>
      </c>
      <c r="K113" s="717">
        <v>0</v>
      </c>
      <c r="L113" s="717">
        <v>0</v>
      </c>
      <c r="M113" s="719">
        <v>190.12</v>
      </c>
      <c r="N113" s="720">
        <f t="shared" si="1"/>
        <v>190.12</v>
      </c>
      <c r="O113" s="1141">
        <f>Tabla1[[#This Row],[Tarifa 2012 (Mx$/ton)]]*(1+IncrementoTarifa)</f>
        <v>199.606988</v>
      </c>
    </row>
    <row r="114" spans="1:15" ht="15" x14ac:dyDescent="0.25">
      <c r="A114" s="716" t="s">
        <v>785</v>
      </c>
      <c r="B114" s="717" t="s">
        <v>786</v>
      </c>
      <c r="C114" s="718">
        <v>1E-3</v>
      </c>
      <c r="D114" s="717">
        <v>47.52</v>
      </c>
      <c r="E114" s="717">
        <v>0.33</v>
      </c>
      <c r="F114" s="717">
        <v>47.52</v>
      </c>
      <c r="G114" s="717">
        <v>112.589</v>
      </c>
      <c r="H114" s="717">
        <v>0</v>
      </c>
      <c r="I114" s="717">
        <v>0</v>
      </c>
      <c r="J114" s="717">
        <v>0</v>
      </c>
      <c r="K114" s="717">
        <v>0</v>
      </c>
      <c r="L114" s="717">
        <v>0</v>
      </c>
      <c r="M114" s="719">
        <v>101.02</v>
      </c>
      <c r="N114" s="720">
        <f t="shared" si="1"/>
        <v>101.02</v>
      </c>
      <c r="O114" s="1141">
        <f>Tabla1[[#This Row],[Tarifa 2012 (Mx$/ton)]]*(1+IncrementoTarifa)</f>
        <v>106.06089799999999</v>
      </c>
    </row>
    <row r="115" spans="1:15" ht="15" x14ac:dyDescent="0.25">
      <c r="A115" s="716" t="s">
        <v>787</v>
      </c>
      <c r="B115" s="717" t="s">
        <v>788</v>
      </c>
      <c r="C115" s="718">
        <v>194</v>
      </c>
      <c r="D115" s="717">
        <v>47.52</v>
      </c>
      <c r="E115" s="717">
        <v>0.33</v>
      </c>
      <c r="F115" s="717">
        <v>111.54</v>
      </c>
      <c r="G115" s="717">
        <v>112.589</v>
      </c>
      <c r="H115" s="717">
        <v>0</v>
      </c>
      <c r="I115" s="717">
        <v>10</v>
      </c>
      <c r="J115" s="717">
        <v>0</v>
      </c>
      <c r="K115" s="717">
        <v>0</v>
      </c>
      <c r="L115" s="717">
        <v>0</v>
      </c>
      <c r="M115" s="719">
        <v>248.28</v>
      </c>
      <c r="N115" s="720">
        <f t="shared" si="1"/>
        <v>248.28</v>
      </c>
      <c r="O115" s="1141">
        <f>Tabla1[[#This Row],[Tarifa 2012 (Mx$/ton)]]*(1+IncrementoTarifa)</f>
        <v>260.669172</v>
      </c>
    </row>
    <row r="116" spans="1:15" ht="15" x14ac:dyDescent="0.25">
      <c r="A116" s="716" t="s">
        <v>789</v>
      </c>
      <c r="B116" s="717" t="s">
        <v>790</v>
      </c>
      <c r="C116" s="718">
        <v>143</v>
      </c>
      <c r="D116" s="717">
        <v>47.52</v>
      </c>
      <c r="E116" s="717">
        <v>0.33</v>
      </c>
      <c r="F116" s="717">
        <v>94.71</v>
      </c>
      <c r="G116" s="717">
        <v>112.589</v>
      </c>
      <c r="H116" s="717">
        <v>0</v>
      </c>
      <c r="I116" s="717">
        <v>0</v>
      </c>
      <c r="J116" s="717">
        <v>0</v>
      </c>
      <c r="K116" s="717">
        <v>0</v>
      </c>
      <c r="L116" s="717">
        <v>0</v>
      </c>
      <c r="M116" s="719">
        <v>201.34</v>
      </c>
      <c r="N116" s="720">
        <f t="shared" si="1"/>
        <v>201.34</v>
      </c>
      <c r="O116" s="1141">
        <f>Tabla1[[#This Row],[Tarifa 2012 (Mx$/ton)]]*(1+IncrementoTarifa)</f>
        <v>211.38686600000003</v>
      </c>
    </row>
    <row r="117" spans="1:15" ht="15" x14ac:dyDescent="0.25">
      <c r="A117" s="716" t="s">
        <v>791</v>
      </c>
      <c r="B117" s="717" t="s">
        <v>792</v>
      </c>
      <c r="C117" s="718">
        <v>419</v>
      </c>
      <c r="D117" s="717">
        <v>47.52</v>
      </c>
      <c r="E117" s="717">
        <v>0.33</v>
      </c>
      <c r="F117" s="717">
        <v>185.79</v>
      </c>
      <c r="G117" s="717">
        <v>112.589</v>
      </c>
      <c r="H117" s="717">
        <v>0</v>
      </c>
      <c r="I117" s="717">
        <v>0</v>
      </c>
      <c r="J117" s="717">
        <v>0</v>
      </c>
      <c r="K117" s="717">
        <v>0</v>
      </c>
      <c r="L117" s="717">
        <v>0</v>
      </c>
      <c r="M117" s="719">
        <v>394.97</v>
      </c>
      <c r="N117" s="720">
        <f t="shared" si="1"/>
        <v>394.97</v>
      </c>
      <c r="O117" s="1141">
        <f>Tabla1[[#This Row],[Tarifa 2012 (Mx$/ton)]]*(1+IncrementoTarifa)</f>
        <v>414.67900300000002</v>
      </c>
    </row>
    <row r="118" spans="1:15" ht="15" x14ac:dyDescent="0.25">
      <c r="A118" s="716" t="s">
        <v>793</v>
      </c>
      <c r="B118" s="717" t="s">
        <v>794</v>
      </c>
      <c r="C118" s="718">
        <v>487</v>
      </c>
      <c r="D118" s="717">
        <v>47.52</v>
      </c>
      <c r="E118" s="717">
        <v>0.33</v>
      </c>
      <c r="F118" s="717">
        <v>208.23</v>
      </c>
      <c r="G118" s="717">
        <v>112.589</v>
      </c>
      <c r="H118" s="717">
        <v>0</v>
      </c>
      <c r="I118" s="717">
        <v>10</v>
      </c>
      <c r="J118" s="717">
        <v>0</v>
      </c>
      <c r="K118" s="717">
        <v>0</v>
      </c>
      <c r="L118" s="717">
        <v>0</v>
      </c>
      <c r="M118" s="719">
        <v>463.5</v>
      </c>
      <c r="N118" s="720">
        <f t="shared" si="1"/>
        <v>463.5</v>
      </c>
      <c r="O118" s="1141">
        <f>Tabla1[[#This Row],[Tarifa 2012 (Mx$/ton)]]*(1+IncrementoTarifa)</f>
        <v>486.62865000000005</v>
      </c>
    </row>
    <row r="119" spans="1:15" ht="15" x14ac:dyDescent="0.25">
      <c r="A119" s="716" t="s">
        <v>795</v>
      </c>
      <c r="B119" s="717" t="s">
        <v>796</v>
      </c>
      <c r="C119" s="718">
        <v>440</v>
      </c>
      <c r="D119" s="717">
        <v>47.52</v>
      </c>
      <c r="E119" s="717">
        <v>0.33</v>
      </c>
      <c r="F119" s="717">
        <v>192.72</v>
      </c>
      <c r="G119" s="717">
        <v>112.589</v>
      </c>
      <c r="H119" s="717">
        <v>0</v>
      </c>
      <c r="I119" s="717">
        <v>0</v>
      </c>
      <c r="J119" s="717">
        <v>0</v>
      </c>
      <c r="K119" s="717">
        <v>0</v>
      </c>
      <c r="L119" s="717">
        <v>0</v>
      </c>
      <c r="M119" s="719">
        <v>409.7</v>
      </c>
      <c r="N119" s="720">
        <f t="shared" si="1"/>
        <v>409.7</v>
      </c>
      <c r="O119" s="1141">
        <f>Tabla1[[#This Row],[Tarifa 2012 (Mx$/ton)]]*(1+IncrementoTarifa)</f>
        <v>430.14402999999999</v>
      </c>
    </row>
    <row r="120" spans="1:15" ht="15" x14ac:dyDescent="0.25">
      <c r="A120" s="716" t="s">
        <v>797</v>
      </c>
      <c r="B120" s="717" t="s">
        <v>798</v>
      </c>
      <c r="C120" s="718">
        <v>412</v>
      </c>
      <c r="D120" s="717">
        <v>47.52</v>
      </c>
      <c r="E120" s="717">
        <v>0.33</v>
      </c>
      <c r="F120" s="717">
        <v>183.48</v>
      </c>
      <c r="G120" s="717">
        <v>112.589</v>
      </c>
      <c r="H120" s="717">
        <v>0</v>
      </c>
      <c r="I120" s="717">
        <v>0</v>
      </c>
      <c r="J120" s="717">
        <v>0</v>
      </c>
      <c r="K120" s="717">
        <v>0</v>
      </c>
      <c r="L120" s="717">
        <v>0</v>
      </c>
      <c r="M120" s="719">
        <v>390.06</v>
      </c>
      <c r="N120" s="720">
        <f t="shared" si="1"/>
        <v>390.06</v>
      </c>
      <c r="O120" s="1141">
        <f>Tabla1[[#This Row],[Tarifa 2012 (Mx$/ton)]]*(1+IncrementoTarifa)</f>
        <v>409.52399400000002</v>
      </c>
    </row>
    <row r="121" spans="1:15" ht="15" x14ac:dyDescent="0.25">
      <c r="A121" s="716" t="s">
        <v>799</v>
      </c>
      <c r="B121" s="717" t="s">
        <v>800</v>
      </c>
      <c r="C121" s="718">
        <v>388</v>
      </c>
      <c r="D121" s="717">
        <v>47.52</v>
      </c>
      <c r="E121" s="717">
        <v>0.33</v>
      </c>
      <c r="F121" s="717">
        <v>175.56</v>
      </c>
      <c r="G121" s="717">
        <v>112.589</v>
      </c>
      <c r="H121" s="717">
        <v>0</v>
      </c>
      <c r="I121" s="717">
        <v>10</v>
      </c>
      <c r="J121" s="717">
        <v>0</v>
      </c>
      <c r="K121" s="717">
        <v>0</v>
      </c>
      <c r="L121" s="717">
        <v>0</v>
      </c>
      <c r="M121" s="719">
        <v>390.78</v>
      </c>
      <c r="N121" s="720">
        <f t="shared" si="1"/>
        <v>390.78</v>
      </c>
      <c r="O121" s="1141">
        <f>Tabla1[[#This Row],[Tarifa 2012 (Mx$/ton)]]*(1+IncrementoTarifa)</f>
        <v>410.279922</v>
      </c>
    </row>
    <row r="122" spans="1:15" ht="15" x14ac:dyDescent="0.25">
      <c r="A122" s="716" t="s">
        <v>489</v>
      </c>
      <c r="B122" s="717" t="s">
        <v>801</v>
      </c>
      <c r="C122" s="718">
        <v>657</v>
      </c>
      <c r="D122" s="717">
        <v>47.52</v>
      </c>
      <c r="E122" s="717">
        <v>0.33</v>
      </c>
      <c r="F122" s="717">
        <v>264.33</v>
      </c>
      <c r="G122" s="717">
        <v>112.589</v>
      </c>
      <c r="H122" s="717">
        <v>0</v>
      </c>
      <c r="I122" s="717">
        <v>10</v>
      </c>
      <c r="J122" s="717">
        <v>0</v>
      </c>
      <c r="K122" s="717">
        <v>0</v>
      </c>
      <c r="L122" s="717">
        <v>0</v>
      </c>
      <c r="M122" s="719">
        <v>588.37</v>
      </c>
      <c r="N122" s="720">
        <f t="shared" si="1"/>
        <v>588.37</v>
      </c>
      <c r="O122" s="1141">
        <f>Tabla1[[#This Row],[Tarifa 2012 (Mx$/ton)]]*(1+IncrementoTarifa)</f>
        <v>617.72966300000007</v>
      </c>
    </row>
    <row r="123" spans="1:15" ht="15" x14ac:dyDescent="0.25">
      <c r="A123" s="716" t="s">
        <v>802</v>
      </c>
      <c r="B123" s="717" t="s">
        <v>803</v>
      </c>
      <c r="C123" s="718">
        <v>351</v>
      </c>
      <c r="D123" s="717">
        <v>47.52</v>
      </c>
      <c r="E123" s="717">
        <v>0.33</v>
      </c>
      <c r="F123" s="717">
        <v>163.35</v>
      </c>
      <c r="G123" s="717">
        <v>112.589</v>
      </c>
      <c r="H123" s="717">
        <v>0</v>
      </c>
      <c r="I123" s="717">
        <v>0</v>
      </c>
      <c r="J123" s="717">
        <v>0</v>
      </c>
      <c r="K123" s="717">
        <v>0</v>
      </c>
      <c r="L123" s="717">
        <v>0</v>
      </c>
      <c r="M123" s="719">
        <v>347.26</v>
      </c>
      <c r="N123" s="720">
        <f t="shared" si="1"/>
        <v>347.26</v>
      </c>
      <c r="O123" s="1141">
        <f>Tabla1[[#This Row],[Tarifa 2012 (Mx$/ton)]]*(1+IncrementoTarifa)</f>
        <v>364.58827400000001</v>
      </c>
    </row>
    <row r="124" spans="1:15" ht="15" x14ac:dyDescent="0.25">
      <c r="A124" s="716" t="s">
        <v>804</v>
      </c>
      <c r="B124" s="717" t="s">
        <v>805</v>
      </c>
      <c r="C124" s="718">
        <v>432</v>
      </c>
      <c r="D124" s="717">
        <v>47.52</v>
      </c>
      <c r="E124" s="717">
        <v>0.33</v>
      </c>
      <c r="F124" s="717">
        <v>190.08</v>
      </c>
      <c r="G124" s="717">
        <v>112.589</v>
      </c>
      <c r="H124" s="717">
        <v>0</v>
      </c>
      <c r="I124" s="717">
        <v>10</v>
      </c>
      <c r="J124" s="717">
        <v>0</v>
      </c>
      <c r="K124" s="717">
        <v>0</v>
      </c>
      <c r="L124" s="717">
        <v>0</v>
      </c>
      <c r="M124" s="719">
        <v>423.1</v>
      </c>
      <c r="N124" s="720">
        <f t="shared" si="1"/>
        <v>423.1</v>
      </c>
      <c r="O124" s="1141">
        <f>Tabla1[[#This Row],[Tarifa 2012 (Mx$/ton)]]*(1+IncrementoTarifa)</f>
        <v>444.21269000000007</v>
      </c>
    </row>
    <row r="125" spans="1:15" ht="15" x14ac:dyDescent="0.25">
      <c r="A125" s="716" t="s">
        <v>806</v>
      </c>
      <c r="B125" s="717" t="s">
        <v>807</v>
      </c>
      <c r="C125" s="718">
        <v>442</v>
      </c>
      <c r="D125" s="717">
        <v>47.52</v>
      </c>
      <c r="E125" s="717">
        <v>0.33</v>
      </c>
      <c r="F125" s="717">
        <v>193.38</v>
      </c>
      <c r="G125" s="717">
        <v>112.589</v>
      </c>
      <c r="H125" s="717">
        <v>0</v>
      </c>
      <c r="I125" s="717">
        <v>20</v>
      </c>
      <c r="J125" s="717">
        <v>0</v>
      </c>
      <c r="K125" s="717">
        <v>0</v>
      </c>
      <c r="L125" s="717">
        <v>0</v>
      </c>
      <c r="M125" s="719">
        <v>449.78</v>
      </c>
      <c r="N125" s="720">
        <f t="shared" si="1"/>
        <v>449.78</v>
      </c>
      <c r="O125" s="1141">
        <f>Tabla1[[#This Row],[Tarifa 2012 (Mx$/ton)]]*(1+IncrementoTarifa)</f>
        <v>472.22402199999999</v>
      </c>
    </row>
    <row r="126" spans="1:15" ht="15" x14ac:dyDescent="0.25">
      <c r="A126" s="716" t="s">
        <v>808</v>
      </c>
      <c r="B126" s="717" t="s">
        <v>809</v>
      </c>
      <c r="C126" s="718">
        <v>350</v>
      </c>
      <c r="D126" s="717">
        <v>47.52</v>
      </c>
      <c r="E126" s="717">
        <v>0.33</v>
      </c>
      <c r="F126" s="717">
        <v>163.02000000000001</v>
      </c>
      <c r="G126" s="717">
        <v>112.589</v>
      </c>
      <c r="H126" s="717">
        <v>0</v>
      </c>
      <c r="I126" s="717">
        <v>20</v>
      </c>
      <c r="J126" s="717">
        <v>0</v>
      </c>
      <c r="K126" s="717">
        <v>0</v>
      </c>
      <c r="L126" s="717">
        <v>0</v>
      </c>
      <c r="M126" s="719">
        <v>379.17</v>
      </c>
      <c r="N126" s="720">
        <f t="shared" si="1"/>
        <v>379.17</v>
      </c>
      <c r="O126" s="1141">
        <f>Tabla1[[#This Row],[Tarifa 2012 (Mx$/ton)]]*(1+IncrementoTarifa)</f>
        <v>398.09058300000004</v>
      </c>
    </row>
    <row r="127" spans="1:15" ht="15" x14ac:dyDescent="0.25">
      <c r="A127" s="716" t="s">
        <v>810</v>
      </c>
      <c r="B127" s="717" t="s">
        <v>811</v>
      </c>
      <c r="C127" s="718">
        <v>405</v>
      </c>
      <c r="D127" s="717">
        <v>47.52</v>
      </c>
      <c r="E127" s="717">
        <v>0.33</v>
      </c>
      <c r="F127" s="717">
        <v>181.17</v>
      </c>
      <c r="G127" s="717">
        <v>112.589</v>
      </c>
      <c r="H127" s="717">
        <v>0</v>
      </c>
      <c r="I127" s="717">
        <v>20</v>
      </c>
      <c r="J127" s="717">
        <v>0</v>
      </c>
      <c r="K127" s="717">
        <v>0</v>
      </c>
      <c r="L127" s="717">
        <v>0</v>
      </c>
      <c r="M127" s="719">
        <v>421.38</v>
      </c>
      <c r="N127" s="720">
        <f t="shared" si="1"/>
        <v>421.38</v>
      </c>
      <c r="O127" s="1141">
        <f>Tabla1[[#This Row],[Tarifa 2012 (Mx$/ton)]]*(1+IncrementoTarifa)</f>
        <v>442.40686200000005</v>
      </c>
    </row>
    <row r="128" spans="1:15" ht="15" x14ac:dyDescent="0.25">
      <c r="A128" s="716" t="s">
        <v>812</v>
      </c>
      <c r="B128" s="717" t="s">
        <v>813</v>
      </c>
      <c r="C128" s="718">
        <v>269</v>
      </c>
      <c r="D128" s="717">
        <v>47.52</v>
      </c>
      <c r="E128" s="717">
        <v>0.33</v>
      </c>
      <c r="F128" s="717">
        <v>136.29</v>
      </c>
      <c r="G128" s="717">
        <v>112.589</v>
      </c>
      <c r="H128" s="717">
        <v>0</v>
      </c>
      <c r="I128" s="717">
        <v>10</v>
      </c>
      <c r="J128" s="717">
        <v>0</v>
      </c>
      <c r="K128" s="717">
        <v>0</v>
      </c>
      <c r="L128" s="717">
        <v>0</v>
      </c>
      <c r="M128" s="719">
        <v>303.37</v>
      </c>
      <c r="N128" s="720">
        <f t="shared" si="1"/>
        <v>303.37</v>
      </c>
      <c r="O128" s="1141">
        <f>Tabla1[[#This Row],[Tarifa 2012 (Mx$/ton)]]*(1+IncrementoTarifa)</f>
        <v>318.50816300000002</v>
      </c>
    </row>
    <row r="129" spans="1:15" ht="15" x14ac:dyDescent="0.25">
      <c r="A129" s="716" t="s">
        <v>490</v>
      </c>
      <c r="B129" s="717" t="s">
        <v>814</v>
      </c>
      <c r="C129" s="718">
        <v>298</v>
      </c>
      <c r="D129" s="717">
        <v>47.52</v>
      </c>
      <c r="E129" s="717">
        <v>0.33</v>
      </c>
      <c r="F129" s="717">
        <v>145.86000000000001</v>
      </c>
      <c r="G129" s="717">
        <v>112.589</v>
      </c>
      <c r="H129" s="717">
        <v>0</v>
      </c>
      <c r="I129" s="717">
        <v>10</v>
      </c>
      <c r="J129" s="717">
        <v>0</v>
      </c>
      <c r="K129" s="717">
        <v>0</v>
      </c>
      <c r="L129" s="717">
        <v>0</v>
      </c>
      <c r="M129" s="719">
        <v>324.67</v>
      </c>
      <c r="N129" s="720">
        <f t="shared" si="1"/>
        <v>324.67</v>
      </c>
      <c r="O129" s="1141">
        <f>Tabla1[[#This Row],[Tarifa 2012 (Mx$/ton)]]*(1+IncrementoTarifa)</f>
        <v>340.87103300000001</v>
      </c>
    </row>
    <row r="130" spans="1:15" ht="15" x14ac:dyDescent="0.25">
      <c r="A130" s="716" t="s">
        <v>815</v>
      </c>
      <c r="B130" s="717" t="s">
        <v>816</v>
      </c>
      <c r="C130" s="718">
        <v>610</v>
      </c>
      <c r="D130" s="717">
        <v>47.52</v>
      </c>
      <c r="E130" s="717">
        <v>0.33</v>
      </c>
      <c r="F130" s="717">
        <v>248.82</v>
      </c>
      <c r="G130" s="717">
        <v>112.589</v>
      </c>
      <c r="H130" s="717">
        <v>0</v>
      </c>
      <c r="I130" s="717">
        <v>10</v>
      </c>
      <c r="J130" s="717">
        <v>0</v>
      </c>
      <c r="K130" s="717">
        <v>0</v>
      </c>
      <c r="L130" s="717">
        <v>0</v>
      </c>
      <c r="M130" s="719">
        <v>553.85</v>
      </c>
      <c r="N130" s="720">
        <f t="shared" si="1"/>
        <v>553.85</v>
      </c>
      <c r="O130" s="1141">
        <f>Tabla1[[#This Row],[Tarifa 2012 (Mx$/ton)]]*(1+IncrementoTarifa)</f>
        <v>581.48711500000002</v>
      </c>
    </row>
    <row r="131" spans="1:15" ht="15" x14ac:dyDescent="0.25">
      <c r="A131" s="716" t="s">
        <v>817</v>
      </c>
      <c r="B131" s="717" t="s">
        <v>818</v>
      </c>
      <c r="C131" s="718">
        <v>542</v>
      </c>
      <c r="D131" s="717">
        <v>47.52</v>
      </c>
      <c r="E131" s="717">
        <v>0.33</v>
      </c>
      <c r="F131" s="717">
        <v>226.38</v>
      </c>
      <c r="G131" s="717">
        <v>112.589</v>
      </c>
      <c r="H131" s="717">
        <v>0</v>
      </c>
      <c r="I131" s="717">
        <v>10</v>
      </c>
      <c r="J131" s="717">
        <v>0</v>
      </c>
      <c r="K131" s="717">
        <v>0</v>
      </c>
      <c r="L131" s="717">
        <v>0</v>
      </c>
      <c r="M131" s="719">
        <v>503.9</v>
      </c>
      <c r="N131" s="720">
        <f t="shared" si="1"/>
        <v>503.9</v>
      </c>
      <c r="O131" s="1141">
        <f>Tabla1[[#This Row],[Tarifa 2012 (Mx$/ton)]]*(1+IncrementoTarifa)</f>
        <v>529.04461000000003</v>
      </c>
    </row>
    <row r="132" spans="1:15" ht="15" x14ac:dyDescent="0.25">
      <c r="A132" s="716" t="s">
        <v>819</v>
      </c>
      <c r="B132" s="717" t="s">
        <v>820</v>
      </c>
      <c r="C132" s="718">
        <v>465</v>
      </c>
      <c r="D132" s="717">
        <v>47.52</v>
      </c>
      <c r="E132" s="717">
        <v>0.33</v>
      </c>
      <c r="F132" s="717">
        <v>200.97</v>
      </c>
      <c r="G132" s="717">
        <v>112.589</v>
      </c>
      <c r="H132" s="717">
        <v>0</v>
      </c>
      <c r="I132" s="717">
        <v>10</v>
      </c>
      <c r="J132" s="717">
        <v>0</v>
      </c>
      <c r="K132" s="717">
        <v>0</v>
      </c>
      <c r="L132" s="717">
        <v>0</v>
      </c>
      <c r="M132" s="719">
        <v>447.34</v>
      </c>
      <c r="N132" s="720">
        <f t="shared" si="1"/>
        <v>447.34</v>
      </c>
      <c r="O132" s="1141">
        <f>Tabla1[[#This Row],[Tarifa 2012 (Mx$/ton)]]*(1+IncrementoTarifa)</f>
        <v>469.66226599999999</v>
      </c>
    </row>
    <row r="133" spans="1:15" ht="15" x14ac:dyDescent="0.25">
      <c r="A133" s="716" t="s">
        <v>821</v>
      </c>
      <c r="B133" s="717" t="s">
        <v>822</v>
      </c>
      <c r="C133" s="718">
        <v>297</v>
      </c>
      <c r="D133" s="717">
        <v>47.52</v>
      </c>
      <c r="E133" s="717">
        <v>0.33</v>
      </c>
      <c r="F133" s="717">
        <v>145.53</v>
      </c>
      <c r="G133" s="717">
        <v>112.589</v>
      </c>
      <c r="H133" s="717">
        <v>0</v>
      </c>
      <c r="I133" s="717">
        <v>10</v>
      </c>
      <c r="J133" s="717">
        <v>0</v>
      </c>
      <c r="K133" s="717">
        <v>0</v>
      </c>
      <c r="L133" s="717">
        <v>0</v>
      </c>
      <c r="M133" s="719">
        <v>323.93</v>
      </c>
      <c r="N133" s="720">
        <f t="shared" si="1"/>
        <v>323.93</v>
      </c>
      <c r="O133" s="1141">
        <f>Tabla1[[#This Row],[Tarifa 2012 (Mx$/ton)]]*(1+IncrementoTarifa)</f>
        <v>340.09410700000001</v>
      </c>
    </row>
    <row r="134" spans="1:15" ht="15" x14ac:dyDescent="0.25">
      <c r="A134" s="716" t="s">
        <v>823</v>
      </c>
      <c r="B134" s="717" t="s">
        <v>824</v>
      </c>
      <c r="C134" s="718">
        <v>395</v>
      </c>
      <c r="D134" s="717">
        <v>47.52</v>
      </c>
      <c r="E134" s="717">
        <v>0.33</v>
      </c>
      <c r="F134" s="717">
        <v>177.87</v>
      </c>
      <c r="G134" s="717">
        <v>112.589</v>
      </c>
      <c r="H134" s="717">
        <v>0</v>
      </c>
      <c r="I134" s="717">
        <v>10</v>
      </c>
      <c r="J134" s="717">
        <v>0</v>
      </c>
      <c r="K134" s="717">
        <v>0</v>
      </c>
      <c r="L134" s="717">
        <v>0</v>
      </c>
      <c r="M134" s="719">
        <v>395.92</v>
      </c>
      <c r="N134" s="720">
        <f t="shared" si="1"/>
        <v>395.92</v>
      </c>
      <c r="O134" s="1141">
        <f>Tabla1[[#This Row],[Tarifa 2012 (Mx$/ton)]]*(1+IncrementoTarifa)</f>
        <v>415.67640800000004</v>
      </c>
    </row>
    <row r="135" spans="1:15" ht="15" x14ac:dyDescent="0.25">
      <c r="A135" s="716" t="s">
        <v>825</v>
      </c>
      <c r="B135" s="717" t="s">
        <v>826</v>
      </c>
      <c r="C135" s="718">
        <v>425</v>
      </c>
      <c r="D135" s="717">
        <v>47.52</v>
      </c>
      <c r="E135" s="717">
        <v>0.33</v>
      </c>
      <c r="F135" s="717">
        <v>187.77</v>
      </c>
      <c r="G135" s="717">
        <v>112.589</v>
      </c>
      <c r="H135" s="717">
        <v>0</v>
      </c>
      <c r="I135" s="717">
        <v>10</v>
      </c>
      <c r="J135" s="717">
        <v>0</v>
      </c>
      <c r="K135" s="717">
        <v>0</v>
      </c>
      <c r="L135" s="717">
        <v>0</v>
      </c>
      <c r="M135" s="719">
        <v>417.96</v>
      </c>
      <c r="N135" s="720">
        <f t="shared" si="1"/>
        <v>417.96</v>
      </c>
      <c r="O135" s="1141">
        <f>Tabla1[[#This Row],[Tarifa 2012 (Mx$/ton)]]*(1+IncrementoTarifa)</f>
        <v>438.81620400000003</v>
      </c>
    </row>
    <row r="136" spans="1:15" ht="15" x14ac:dyDescent="0.25">
      <c r="A136" s="716" t="s">
        <v>827</v>
      </c>
      <c r="B136" s="717" t="s">
        <v>828</v>
      </c>
      <c r="C136" s="718">
        <v>332</v>
      </c>
      <c r="D136" s="717">
        <v>47.52</v>
      </c>
      <c r="E136" s="717">
        <v>0.33</v>
      </c>
      <c r="F136" s="717">
        <v>157.08000000000001</v>
      </c>
      <c r="G136" s="717">
        <v>112.589</v>
      </c>
      <c r="H136" s="717">
        <v>0</v>
      </c>
      <c r="I136" s="717">
        <v>10</v>
      </c>
      <c r="J136" s="717">
        <v>0</v>
      </c>
      <c r="K136" s="717">
        <v>0</v>
      </c>
      <c r="L136" s="717">
        <v>0</v>
      </c>
      <c r="M136" s="719">
        <v>349.64</v>
      </c>
      <c r="N136" s="720">
        <f t="shared" si="1"/>
        <v>349.64</v>
      </c>
      <c r="O136" s="1141">
        <f>Tabla1[[#This Row],[Tarifa 2012 (Mx$/ton)]]*(1+IncrementoTarifa)</f>
        <v>367.08703600000001</v>
      </c>
    </row>
    <row r="137" spans="1:15" ht="15" x14ac:dyDescent="0.25">
      <c r="A137" s="716" t="s">
        <v>829</v>
      </c>
      <c r="B137" s="717" t="s">
        <v>830</v>
      </c>
      <c r="C137" s="718">
        <v>268</v>
      </c>
      <c r="D137" s="717">
        <v>47.52</v>
      </c>
      <c r="E137" s="717">
        <v>0.33</v>
      </c>
      <c r="F137" s="717">
        <v>135.96</v>
      </c>
      <c r="G137" s="717">
        <v>112.589</v>
      </c>
      <c r="H137" s="717">
        <v>0</v>
      </c>
      <c r="I137" s="717">
        <v>10</v>
      </c>
      <c r="J137" s="717">
        <v>0</v>
      </c>
      <c r="K137" s="717">
        <v>0</v>
      </c>
      <c r="L137" s="717">
        <v>0</v>
      </c>
      <c r="M137" s="719">
        <v>302.63</v>
      </c>
      <c r="N137" s="720">
        <f t="shared" si="1"/>
        <v>302.63</v>
      </c>
      <c r="O137" s="1141">
        <f>Tabla1[[#This Row],[Tarifa 2012 (Mx$/ton)]]*(1+IncrementoTarifa)</f>
        <v>317.73123700000002</v>
      </c>
    </row>
    <row r="138" spans="1:15" ht="15" x14ac:dyDescent="0.25">
      <c r="A138" s="716" t="s">
        <v>831</v>
      </c>
      <c r="B138" s="717" t="s">
        <v>832</v>
      </c>
      <c r="C138" s="718">
        <v>238</v>
      </c>
      <c r="D138" s="717">
        <v>47.52</v>
      </c>
      <c r="E138" s="717">
        <v>0.33</v>
      </c>
      <c r="F138" s="717">
        <v>126.06</v>
      </c>
      <c r="G138" s="717">
        <v>112.589</v>
      </c>
      <c r="H138" s="717">
        <v>0</v>
      </c>
      <c r="I138" s="717">
        <v>10</v>
      </c>
      <c r="J138" s="717">
        <v>0</v>
      </c>
      <c r="K138" s="717">
        <v>0</v>
      </c>
      <c r="L138" s="717">
        <v>0</v>
      </c>
      <c r="M138" s="719">
        <v>280.60000000000002</v>
      </c>
      <c r="N138" s="720">
        <f t="shared" si="1"/>
        <v>280.60000000000002</v>
      </c>
      <c r="O138" s="1141">
        <f>Tabla1[[#This Row],[Tarifa 2012 (Mx$/ton)]]*(1+IncrementoTarifa)</f>
        <v>294.60194000000001</v>
      </c>
    </row>
    <row r="139" spans="1:15" ht="15" x14ac:dyDescent="0.25">
      <c r="A139" s="716" t="s">
        <v>833</v>
      </c>
      <c r="B139" s="717" t="s">
        <v>834</v>
      </c>
      <c r="C139" s="718">
        <v>227</v>
      </c>
      <c r="D139" s="717">
        <v>47.52</v>
      </c>
      <c r="E139" s="717">
        <v>0.33</v>
      </c>
      <c r="F139" s="717">
        <v>122.43</v>
      </c>
      <c r="G139" s="717">
        <v>112.589</v>
      </c>
      <c r="H139" s="717">
        <v>0</v>
      </c>
      <c r="I139" s="717">
        <v>10</v>
      </c>
      <c r="J139" s="717">
        <v>0</v>
      </c>
      <c r="K139" s="717">
        <v>0</v>
      </c>
      <c r="L139" s="717">
        <v>0</v>
      </c>
      <c r="M139" s="719">
        <v>272.52</v>
      </c>
      <c r="N139" s="720">
        <f t="shared" si="1"/>
        <v>272.52</v>
      </c>
      <c r="O139" s="1141">
        <f>Tabla1[[#This Row],[Tarifa 2012 (Mx$/ton)]]*(1+IncrementoTarifa)</f>
        <v>286.11874799999998</v>
      </c>
    </row>
    <row r="140" spans="1:15" ht="15" x14ac:dyDescent="0.25">
      <c r="A140" s="716" t="s">
        <v>835</v>
      </c>
      <c r="B140" s="717" t="s">
        <v>836</v>
      </c>
      <c r="C140" s="718">
        <v>280</v>
      </c>
      <c r="D140" s="717">
        <v>47.52</v>
      </c>
      <c r="E140" s="717">
        <v>0.33</v>
      </c>
      <c r="F140" s="717">
        <v>139.91999999999999</v>
      </c>
      <c r="G140" s="717">
        <v>112.589</v>
      </c>
      <c r="H140" s="717">
        <v>0</v>
      </c>
      <c r="I140" s="717">
        <v>10</v>
      </c>
      <c r="J140" s="717">
        <v>0</v>
      </c>
      <c r="K140" s="717">
        <v>0</v>
      </c>
      <c r="L140" s="717">
        <v>0</v>
      </c>
      <c r="M140" s="719">
        <v>311.45</v>
      </c>
      <c r="N140" s="720">
        <f t="shared" si="1"/>
        <v>311.45</v>
      </c>
      <c r="O140" s="1141">
        <f>Tabla1[[#This Row],[Tarifa 2012 (Mx$/ton)]]*(1+IncrementoTarifa)</f>
        <v>326.991355</v>
      </c>
    </row>
    <row r="141" spans="1:15" ht="15" x14ac:dyDescent="0.25">
      <c r="A141" s="716" t="s">
        <v>837</v>
      </c>
      <c r="B141" s="717" t="s">
        <v>838</v>
      </c>
      <c r="C141" s="718">
        <v>370</v>
      </c>
      <c r="D141" s="717">
        <v>47.52</v>
      </c>
      <c r="E141" s="717">
        <v>0.33</v>
      </c>
      <c r="F141" s="717">
        <v>169.62</v>
      </c>
      <c r="G141" s="717">
        <v>112.589</v>
      </c>
      <c r="H141" s="717">
        <v>0</v>
      </c>
      <c r="I141" s="717">
        <v>10</v>
      </c>
      <c r="J141" s="717">
        <v>0</v>
      </c>
      <c r="K141" s="717">
        <v>0</v>
      </c>
      <c r="L141" s="717">
        <v>0</v>
      </c>
      <c r="M141" s="719">
        <v>377.56</v>
      </c>
      <c r="N141" s="720">
        <f t="shared" si="1"/>
        <v>377.56</v>
      </c>
      <c r="O141" s="1141">
        <f>Tabla1[[#This Row],[Tarifa 2012 (Mx$/ton)]]*(1+IncrementoTarifa)</f>
        <v>396.40024400000004</v>
      </c>
    </row>
    <row r="142" spans="1:15" ht="15" x14ac:dyDescent="0.25">
      <c r="A142" s="716" t="s">
        <v>839</v>
      </c>
      <c r="B142" s="717" t="s">
        <v>840</v>
      </c>
      <c r="C142" s="718">
        <v>238</v>
      </c>
      <c r="D142" s="717">
        <v>47.52</v>
      </c>
      <c r="E142" s="717">
        <v>0.33</v>
      </c>
      <c r="F142" s="717">
        <v>126.06</v>
      </c>
      <c r="G142" s="717">
        <v>112.589</v>
      </c>
      <c r="H142" s="717">
        <v>0</v>
      </c>
      <c r="I142" s="717">
        <v>0</v>
      </c>
      <c r="J142" s="717">
        <v>0</v>
      </c>
      <c r="K142" s="717">
        <v>0</v>
      </c>
      <c r="L142" s="717">
        <v>0</v>
      </c>
      <c r="M142" s="719">
        <v>267.99</v>
      </c>
      <c r="N142" s="720">
        <f t="shared" si="1"/>
        <v>267.99</v>
      </c>
      <c r="O142" s="1141">
        <f>Tabla1[[#This Row],[Tarifa 2012 (Mx$/ton)]]*(1+IncrementoTarifa)</f>
        <v>281.36270100000002</v>
      </c>
    </row>
    <row r="143" spans="1:15" ht="15" x14ac:dyDescent="0.25">
      <c r="A143" s="716" t="s">
        <v>841</v>
      </c>
      <c r="B143" s="717" t="s">
        <v>842</v>
      </c>
      <c r="C143" s="718">
        <v>153</v>
      </c>
      <c r="D143" s="717">
        <v>47.52</v>
      </c>
      <c r="E143" s="717">
        <v>0.33</v>
      </c>
      <c r="F143" s="717">
        <v>98.01</v>
      </c>
      <c r="G143" s="717">
        <v>112.589</v>
      </c>
      <c r="H143" s="717">
        <v>0</v>
      </c>
      <c r="I143" s="717">
        <v>10</v>
      </c>
      <c r="J143" s="717">
        <v>0</v>
      </c>
      <c r="K143" s="717">
        <v>0</v>
      </c>
      <c r="L143" s="717">
        <v>0</v>
      </c>
      <c r="M143" s="719">
        <v>218.16</v>
      </c>
      <c r="N143" s="720">
        <f t="shared" si="1"/>
        <v>218.16</v>
      </c>
      <c r="O143" s="1141">
        <f>Tabla1[[#This Row],[Tarifa 2012 (Mx$/ton)]]*(1+IncrementoTarifa)</f>
        <v>229.04618400000001</v>
      </c>
    </row>
    <row r="144" spans="1:15" ht="15" x14ac:dyDescent="0.25">
      <c r="A144" s="716" t="s">
        <v>843</v>
      </c>
      <c r="B144" s="717" t="s">
        <v>844</v>
      </c>
      <c r="C144" s="718">
        <v>702</v>
      </c>
      <c r="D144" s="717">
        <v>47.52</v>
      </c>
      <c r="E144" s="717">
        <v>0.33</v>
      </c>
      <c r="F144" s="717">
        <v>279.18</v>
      </c>
      <c r="G144" s="717">
        <v>112.589</v>
      </c>
      <c r="H144" s="717">
        <v>0</v>
      </c>
      <c r="I144" s="717">
        <v>0</v>
      </c>
      <c r="J144" s="717">
        <v>0</v>
      </c>
      <c r="K144" s="717">
        <v>0</v>
      </c>
      <c r="L144" s="717">
        <v>0</v>
      </c>
      <c r="M144" s="719">
        <v>593.51</v>
      </c>
      <c r="N144" s="720">
        <f t="shared" ref="N144:N207" si="2">M144*(1+$O$2)</f>
        <v>593.51</v>
      </c>
      <c r="O144" s="1141">
        <f>Tabla1[[#This Row],[Tarifa 2012 (Mx$/ton)]]*(1+IncrementoTarifa)</f>
        <v>623.12614900000005</v>
      </c>
    </row>
    <row r="145" spans="1:15" ht="15" x14ac:dyDescent="0.25">
      <c r="A145" s="716" t="s">
        <v>845</v>
      </c>
      <c r="B145" s="717" t="s">
        <v>846</v>
      </c>
      <c r="C145" s="718">
        <v>700</v>
      </c>
      <c r="D145" s="717">
        <v>47.52</v>
      </c>
      <c r="E145" s="717">
        <v>0.33</v>
      </c>
      <c r="F145" s="717">
        <v>278.52</v>
      </c>
      <c r="G145" s="717">
        <v>112.589</v>
      </c>
      <c r="H145" s="717">
        <v>0</v>
      </c>
      <c r="I145" s="717">
        <v>0</v>
      </c>
      <c r="J145" s="717">
        <v>0</v>
      </c>
      <c r="K145" s="717">
        <v>0</v>
      </c>
      <c r="L145" s="717">
        <v>0</v>
      </c>
      <c r="M145" s="719">
        <v>592.1</v>
      </c>
      <c r="N145" s="720">
        <f t="shared" si="2"/>
        <v>592.1</v>
      </c>
      <c r="O145" s="1141">
        <f>Tabla1[[#This Row],[Tarifa 2012 (Mx$/ton)]]*(1+IncrementoTarifa)</f>
        <v>621.64579000000003</v>
      </c>
    </row>
    <row r="146" spans="1:15" ht="15" x14ac:dyDescent="0.25">
      <c r="A146" s="716" t="s">
        <v>491</v>
      </c>
      <c r="B146" s="717" t="s">
        <v>847</v>
      </c>
      <c r="C146" s="718">
        <v>510</v>
      </c>
      <c r="D146" s="717">
        <v>47.52</v>
      </c>
      <c r="E146" s="717">
        <v>0.33</v>
      </c>
      <c r="F146" s="717">
        <v>215.82</v>
      </c>
      <c r="G146" s="717">
        <v>112.589</v>
      </c>
      <c r="H146" s="717">
        <v>0</v>
      </c>
      <c r="I146" s="717">
        <v>0</v>
      </c>
      <c r="J146" s="717">
        <v>0</v>
      </c>
      <c r="K146" s="717">
        <v>0</v>
      </c>
      <c r="L146" s="717">
        <v>0</v>
      </c>
      <c r="M146" s="719">
        <v>458.81</v>
      </c>
      <c r="N146" s="720">
        <f t="shared" si="2"/>
        <v>458.81</v>
      </c>
      <c r="O146" s="1141">
        <f>Tabla1[[#This Row],[Tarifa 2012 (Mx$/ton)]]*(1+IncrementoTarifa)</f>
        <v>481.70461900000004</v>
      </c>
    </row>
    <row r="147" spans="1:15" ht="15" x14ac:dyDescent="0.25">
      <c r="A147" s="716" t="s">
        <v>492</v>
      </c>
      <c r="B147" s="717" t="s">
        <v>848</v>
      </c>
      <c r="C147" s="718">
        <v>270</v>
      </c>
      <c r="D147" s="717">
        <v>47.52</v>
      </c>
      <c r="E147" s="717">
        <v>0.33</v>
      </c>
      <c r="F147" s="717">
        <v>136.62</v>
      </c>
      <c r="G147" s="717">
        <v>112.589</v>
      </c>
      <c r="H147" s="717">
        <v>0</v>
      </c>
      <c r="I147" s="717">
        <v>0</v>
      </c>
      <c r="J147" s="717">
        <v>0</v>
      </c>
      <c r="K147" s="717">
        <v>0</v>
      </c>
      <c r="L147" s="717">
        <v>0</v>
      </c>
      <c r="M147" s="719">
        <v>290.44</v>
      </c>
      <c r="N147" s="720">
        <f t="shared" si="2"/>
        <v>290.44</v>
      </c>
      <c r="O147" s="1141">
        <f>Tabla1[[#This Row],[Tarifa 2012 (Mx$/ton)]]*(1+IncrementoTarifa)</f>
        <v>304.93295599999999</v>
      </c>
    </row>
    <row r="148" spans="1:15" ht="15" x14ac:dyDescent="0.25">
      <c r="A148" s="716" t="s">
        <v>493</v>
      </c>
      <c r="B148" s="717" t="s">
        <v>849</v>
      </c>
      <c r="C148" s="718">
        <v>168</v>
      </c>
      <c r="D148" s="717">
        <v>47.52</v>
      </c>
      <c r="E148" s="717">
        <v>0.33</v>
      </c>
      <c r="F148" s="717">
        <v>102.96</v>
      </c>
      <c r="G148" s="717">
        <v>112.589</v>
      </c>
      <c r="H148" s="717">
        <v>0</v>
      </c>
      <c r="I148" s="717">
        <v>0</v>
      </c>
      <c r="J148" s="717">
        <v>0</v>
      </c>
      <c r="K148" s="717">
        <v>0</v>
      </c>
      <c r="L148" s="717">
        <v>0</v>
      </c>
      <c r="M148" s="719">
        <v>218.88</v>
      </c>
      <c r="N148" s="720">
        <f t="shared" si="2"/>
        <v>218.88</v>
      </c>
      <c r="O148" s="1141">
        <f>Tabla1[[#This Row],[Tarifa 2012 (Mx$/ton)]]*(1+IncrementoTarifa)</f>
        <v>229.80211199999999</v>
      </c>
    </row>
    <row r="149" spans="1:15" ht="15" x14ac:dyDescent="0.25">
      <c r="A149" s="716" t="s">
        <v>850</v>
      </c>
      <c r="B149" s="717" t="s">
        <v>851</v>
      </c>
      <c r="C149" s="718">
        <v>323</v>
      </c>
      <c r="D149" s="717">
        <v>47.52</v>
      </c>
      <c r="E149" s="717">
        <v>0.33</v>
      </c>
      <c r="F149" s="717">
        <v>154.11000000000001</v>
      </c>
      <c r="G149" s="717">
        <v>112.589</v>
      </c>
      <c r="H149" s="717">
        <v>0</v>
      </c>
      <c r="I149" s="717">
        <v>0</v>
      </c>
      <c r="J149" s="717">
        <v>0</v>
      </c>
      <c r="K149" s="717">
        <v>0</v>
      </c>
      <c r="L149" s="717">
        <v>0</v>
      </c>
      <c r="M149" s="719">
        <v>327.62</v>
      </c>
      <c r="N149" s="720">
        <f t="shared" si="2"/>
        <v>327.62</v>
      </c>
      <c r="O149" s="1141">
        <f>Tabla1[[#This Row],[Tarifa 2012 (Mx$/ton)]]*(1+IncrementoTarifa)</f>
        <v>343.96823800000004</v>
      </c>
    </row>
    <row r="150" spans="1:15" ht="15" x14ac:dyDescent="0.25">
      <c r="A150" s="716" t="s">
        <v>494</v>
      </c>
      <c r="B150" s="717" t="s">
        <v>852</v>
      </c>
      <c r="C150" s="718">
        <v>35</v>
      </c>
      <c r="D150" s="717">
        <v>47.52</v>
      </c>
      <c r="E150" s="717">
        <v>0.33</v>
      </c>
      <c r="F150" s="717">
        <v>59.07</v>
      </c>
      <c r="G150" s="717">
        <v>112.589</v>
      </c>
      <c r="H150" s="717">
        <v>0</v>
      </c>
      <c r="I150" s="717">
        <v>0</v>
      </c>
      <c r="J150" s="717">
        <v>0</v>
      </c>
      <c r="K150" s="717">
        <v>0</v>
      </c>
      <c r="L150" s="717">
        <v>0</v>
      </c>
      <c r="M150" s="719">
        <v>125.58</v>
      </c>
      <c r="N150" s="720">
        <f t="shared" si="2"/>
        <v>125.58</v>
      </c>
      <c r="O150" s="1141">
        <f>Tabla1[[#This Row],[Tarifa 2012 (Mx$/ton)]]*(1+IncrementoTarifa)</f>
        <v>131.846442</v>
      </c>
    </row>
    <row r="151" spans="1:15" ht="15" x14ac:dyDescent="0.25">
      <c r="A151" s="716" t="s">
        <v>853</v>
      </c>
      <c r="B151" s="717" t="s">
        <v>854</v>
      </c>
      <c r="C151" s="718">
        <v>301</v>
      </c>
      <c r="D151" s="717">
        <v>47.52</v>
      </c>
      <c r="E151" s="717">
        <v>0.33</v>
      </c>
      <c r="F151" s="717">
        <v>146.85</v>
      </c>
      <c r="G151" s="717">
        <v>112.589</v>
      </c>
      <c r="H151" s="717">
        <v>0</v>
      </c>
      <c r="I151" s="717">
        <v>0</v>
      </c>
      <c r="J151" s="717">
        <v>0</v>
      </c>
      <c r="K151" s="717">
        <v>0</v>
      </c>
      <c r="L151" s="717">
        <v>0</v>
      </c>
      <c r="M151" s="719">
        <v>312.19</v>
      </c>
      <c r="N151" s="720">
        <f t="shared" si="2"/>
        <v>312.19</v>
      </c>
      <c r="O151" s="1141">
        <f>Tabla1[[#This Row],[Tarifa 2012 (Mx$/ton)]]*(1+IncrementoTarifa)</f>
        <v>327.768281</v>
      </c>
    </row>
    <row r="152" spans="1:15" ht="15" x14ac:dyDescent="0.25">
      <c r="A152" s="716" t="s">
        <v>855</v>
      </c>
      <c r="B152" s="717" t="s">
        <v>856</v>
      </c>
      <c r="C152" s="718">
        <v>400</v>
      </c>
      <c r="D152" s="717">
        <v>47.52</v>
      </c>
      <c r="E152" s="717">
        <v>0.33</v>
      </c>
      <c r="F152" s="717">
        <v>179.52</v>
      </c>
      <c r="G152" s="717">
        <v>112.589</v>
      </c>
      <c r="H152" s="717">
        <v>0</v>
      </c>
      <c r="I152" s="717">
        <v>10</v>
      </c>
      <c r="J152" s="717">
        <v>0</v>
      </c>
      <c r="K152" s="717">
        <v>0</v>
      </c>
      <c r="L152" s="717">
        <v>0</v>
      </c>
      <c r="M152" s="719">
        <v>399.59</v>
      </c>
      <c r="N152" s="720">
        <f t="shared" si="2"/>
        <v>399.59</v>
      </c>
      <c r="O152" s="1141">
        <f>Tabla1[[#This Row],[Tarifa 2012 (Mx$/ton)]]*(1+IncrementoTarifa)</f>
        <v>419.52954099999999</v>
      </c>
    </row>
    <row r="153" spans="1:15" ht="15" x14ac:dyDescent="0.25">
      <c r="A153" s="716" t="s">
        <v>495</v>
      </c>
      <c r="B153" s="717" t="s">
        <v>857</v>
      </c>
      <c r="C153" s="718">
        <v>317</v>
      </c>
      <c r="D153" s="717">
        <v>47.52</v>
      </c>
      <c r="E153" s="717">
        <v>0.33</v>
      </c>
      <c r="F153" s="717">
        <v>152.13</v>
      </c>
      <c r="G153" s="717">
        <v>112.589</v>
      </c>
      <c r="H153" s="717">
        <v>0</v>
      </c>
      <c r="I153" s="717">
        <v>10</v>
      </c>
      <c r="J153" s="717">
        <v>0</v>
      </c>
      <c r="K153" s="717">
        <v>0</v>
      </c>
      <c r="L153" s="717">
        <v>0</v>
      </c>
      <c r="M153" s="719">
        <v>338.62</v>
      </c>
      <c r="N153" s="720">
        <f t="shared" si="2"/>
        <v>338.62</v>
      </c>
      <c r="O153" s="1141">
        <f>Tabla1[[#This Row],[Tarifa 2012 (Mx$/ton)]]*(1+IncrementoTarifa)</f>
        <v>355.51713800000005</v>
      </c>
    </row>
    <row r="154" spans="1:15" ht="15" x14ac:dyDescent="0.25">
      <c r="A154" s="716" t="s">
        <v>496</v>
      </c>
      <c r="B154" s="717" t="s">
        <v>858</v>
      </c>
      <c r="C154" s="718">
        <v>294</v>
      </c>
      <c r="D154" s="717">
        <v>47.52</v>
      </c>
      <c r="E154" s="717">
        <v>0.33</v>
      </c>
      <c r="F154" s="717">
        <v>144.54</v>
      </c>
      <c r="G154" s="717">
        <v>112.589</v>
      </c>
      <c r="H154" s="717">
        <v>0</v>
      </c>
      <c r="I154" s="717">
        <v>0</v>
      </c>
      <c r="J154" s="717">
        <v>0</v>
      </c>
      <c r="K154" s="717">
        <v>10</v>
      </c>
      <c r="L154" s="717">
        <v>0</v>
      </c>
      <c r="M154" s="719">
        <v>317.27999999999997</v>
      </c>
      <c r="N154" s="720">
        <f t="shared" si="2"/>
        <v>317.27999999999997</v>
      </c>
      <c r="O154" s="1141">
        <f>Tabla1[[#This Row],[Tarifa 2012 (Mx$/ton)]]*(1+IncrementoTarifa)</f>
        <v>333.11227199999996</v>
      </c>
    </row>
    <row r="155" spans="1:15" ht="15" x14ac:dyDescent="0.25">
      <c r="A155" s="716" t="s">
        <v>859</v>
      </c>
      <c r="B155" s="717" t="s">
        <v>860</v>
      </c>
      <c r="C155" s="718">
        <v>277</v>
      </c>
      <c r="D155" s="717">
        <v>47.52</v>
      </c>
      <c r="E155" s="717">
        <v>0.33</v>
      </c>
      <c r="F155" s="717">
        <v>138.93</v>
      </c>
      <c r="G155" s="717">
        <v>112.589</v>
      </c>
      <c r="H155" s="717">
        <v>0</v>
      </c>
      <c r="I155" s="717">
        <v>10</v>
      </c>
      <c r="J155" s="717">
        <v>0</v>
      </c>
      <c r="K155" s="717">
        <v>0</v>
      </c>
      <c r="L155" s="717">
        <v>0</v>
      </c>
      <c r="M155" s="719">
        <v>309.24</v>
      </c>
      <c r="N155" s="720">
        <f t="shared" si="2"/>
        <v>309.24</v>
      </c>
      <c r="O155" s="1141">
        <f>Tabla1[[#This Row],[Tarifa 2012 (Mx$/ton)]]*(1+IncrementoTarifa)</f>
        <v>324.67107600000003</v>
      </c>
    </row>
    <row r="156" spans="1:15" ht="15" x14ac:dyDescent="0.25">
      <c r="A156" s="716" t="s">
        <v>861</v>
      </c>
      <c r="B156" s="717" t="s">
        <v>862</v>
      </c>
      <c r="C156" s="718">
        <v>567</v>
      </c>
      <c r="D156" s="717">
        <v>47.52</v>
      </c>
      <c r="E156" s="717">
        <v>0.33</v>
      </c>
      <c r="F156" s="717">
        <v>234.63</v>
      </c>
      <c r="G156" s="717">
        <v>112.589</v>
      </c>
      <c r="H156" s="717">
        <v>0</v>
      </c>
      <c r="I156" s="717">
        <v>10</v>
      </c>
      <c r="J156" s="717">
        <v>0</v>
      </c>
      <c r="K156" s="717">
        <v>0</v>
      </c>
      <c r="L156" s="717">
        <v>0</v>
      </c>
      <c r="M156" s="719">
        <v>522.26</v>
      </c>
      <c r="N156" s="720">
        <f t="shared" si="2"/>
        <v>522.26</v>
      </c>
      <c r="O156" s="1141">
        <f>Tabla1[[#This Row],[Tarifa 2012 (Mx$/ton)]]*(1+IncrementoTarifa)</f>
        <v>548.32077400000003</v>
      </c>
    </row>
    <row r="157" spans="1:15" ht="15" x14ac:dyDescent="0.25">
      <c r="A157" s="716" t="s">
        <v>863</v>
      </c>
      <c r="B157" s="717" t="s">
        <v>864</v>
      </c>
      <c r="C157" s="718">
        <v>233</v>
      </c>
      <c r="D157" s="717">
        <v>47.52</v>
      </c>
      <c r="E157" s="717">
        <v>0.33</v>
      </c>
      <c r="F157" s="717">
        <v>124.41</v>
      </c>
      <c r="G157" s="717">
        <v>112.589</v>
      </c>
      <c r="H157" s="717">
        <v>0</v>
      </c>
      <c r="I157" s="717">
        <v>0</v>
      </c>
      <c r="J157" s="717">
        <v>0</v>
      </c>
      <c r="K157" s="717">
        <v>0</v>
      </c>
      <c r="L157" s="717">
        <v>0</v>
      </c>
      <c r="M157" s="719">
        <v>264.48</v>
      </c>
      <c r="N157" s="720">
        <f t="shared" si="2"/>
        <v>264.48</v>
      </c>
      <c r="O157" s="1141">
        <f>Tabla1[[#This Row],[Tarifa 2012 (Mx$/ton)]]*(1+IncrementoTarifa)</f>
        <v>277.67755200000005</v>
      </c>
    </row>
    <row r="158" spans="1:15" ht="15" x14ac:dyDescent="0.25">
      <c r="A158" s="716" t="s">
        <v>865</v>
      </c>
      <c r="B158" s="717" t="s">
        <v>866</v>
      </c>
      <c r="C158" s="718">
        <v>317</v>
      </c>
      <c r="D158" s="717">
        <v>47.52</v>
      </c>
      <c r="E158" s="717">
        <v>0.33</v>
      </c>
      <c r="F158" s="717">
        <v>152.13</v>
      </c>
      <c r="G158" s="717">
        <v>112.589</v>
      </c>
      <c r="H158" s="717">
        <v>0</v>
      </c>
      <c r="I158" s="717">
        <v>0</v>
      </c>
      <c r="J158" s="717">
        <v>0</v>
      </c>
      <c r="K158" s="717">
        <v>0</v>
      </c>
      <c r="L158" s="717">
        <v>0</v>
      </c>
      <c r="M158" s="719">
        <v>323.41000000000003</v>
      </c>
      <c r="N158" s="720">
        <f t="shared" si="2"/>
        <v>323.41000000000003</v>
      </c>
      <c r="O158" s="1141">
        <f>Tabla1[[#This Row],[Tarifa 2012 (Mx$/ton)]]*(1+IncrementoTarifa)</f>
        <v>339.54815900000006</v>
      </c>
    </row>
    <row r="159" spans="1:15" ht="15" x14ac:dyDescent="0.25">
      <c r="A159" s="716" t="s">
        <v>867</v>
      </c>
      <c r="B159" s="717" t="s">
        <v>868</v>
      </c>
      <c r="C159" s="718">
        <v>332</v>
      </c>
      <c r="D159" s="717">
        <v>47.52</v>
      </c>
      <c r="E159" s="717">
        <v>0.33</v>
      </c>
      <c r="F159" s="717">
        <v>157.08000000000001</v>
      </c>
      <c r="G159" s="717">
        <v>112.589</v>
      </c>
      <c r="H159" s="717">
        <v>0</v>
      </c>
      <c r="I159" s="717">
        <v>30</v>
      </c>
      <c r="J159" s="717">
        <v>0</v>
      </c>
      <c r="K159" s="717">
        <v>0</v>
      </c>
      <c r="L159" s="717">
        <v>0</v>
      </c>
      <c r="M159" s="719">
        <v>381.06</v>
      </c>
      <c r="N159" s="720">
        <f t="shared" si="2"/>
        <v>381.06</v>
      </c>
      <c r="O159" s="1141">
        <f>Tabla1[[#This Row],[Tarifa 2012 (Mx$/ton)]]*(1+IncrementoTarifa)</f>
        <v>400.07489400000003</v>
      </c>
    </row>
    <row r="160" spans="1:15" ht="15" x14ac:dyDescent="0.25">
      <c r="A160" s="716" t="s">
        <v>869</v>
      </c>
      <c r="B160" s="717" t="s">
        <v>870</v>
      </c>
      <c r="C160" s="718">
        <v>188</v>
      </c>
      <c r="D160" s="717">
        <v>47.52</v>
      </c>
      <c r="E160" s="717">
        <v>0.33</v>
      </c>
      <c r="F160" s="717">
        <v>109.56</v>
      </c>
      <c r="G160" s="717">
        <v>112.589</v>
      </c>
      <c r="H160" s="717">
        <v>0</v>
      </c>
      <c r="I160" s="717">
        <v>0</v>
      </c>
      <c r="J160" s="717">
        <v>0</v>
      </c>
      <c r="K160" s="717">
        <v>0</v>
      </c>
      <c r="L160" s="717">
        <v>0</v>
      </c>
      <c r="M160" s="719">
        <v>232.91</v>
      </c>
      <c r="N160" s="720">
        <f t="shared" si="2"/>
        <v>232.91</v>
      </c>
      <c r="O160" s="1141">
        <f>Tabla1[[#This Row],[Tarifa 2012 (Mx$/ton)]]*(1+IncrementoTarifa)</f>
        <v>244.53220900000002</v>
      </c>
    </row>
    <row r="161" spans="1:15" ht="15" x14ac:dyDescent="0.25">
      <c r="A161" s="716" t="s">
        <v>871</v>
      </c>
      <c r="B161" s="717" t="s">
        <v>872</v>
      </c>
      <c r="C161" s="718">
        <v>236</v>
      </c>
      <c r="D161" s="717">
        <v>47.52</v>
      </c>
      <c r="E161" s="717">
        <v>0.33</v>
      </c>
      <c r="F161" s="717">
        <v>125.4</v>
      </c>
      <c r="G161" s="717">
        <v>112.589</v>
      </c>
      <c r="H161" s="717">
        <v>0</v>
      </c>
      <c r="I161" s="717">
        <v>30</v>
      </c>
      <c r="J161" s="717">
        <v>0</v>
      </c>
      <c r="K161" s="717">
        <v>0</v>
      </c>
      <c r="L161" s="717">
        <v>0</v>
      </c>
      <c r="M161" s="719">
        <v>304.20999999999998</v>
      </c>
      <c r="N161" s="720">
        <f t="shared" si="2"/>
        <v>304.20999999999998</v>
      </c>
      <c r="O161" s="1141">
        <f>Tabla1[[#This Row],[Tarifa 2012 (Mx$/ton)]]*(1+IncrementoTarifa)</f>
        <v>319.39007900000001</v>
      </c>
    </row>
    <row r="162" spans="1:15" ht="15" x14ac:dyDescent="0.25">
      <c r="A162" s="716" t="s">
        <v>873</v>
      </c>
      <c r="B162" s="717" t="s">
        <v>874</v>
      </c>
      <c r="C162" s="718">
        <v>193</v>
      </c>
      <c r="D162" s="717">
        <v>47.52</v>
      </c>
      <c r="E162" s="717">
        <v>0.33</v>
      </c>
      <c r="F162" s="717">
        <v>111.21</v>
      </c>
      <c r="G162" s="717">
        <v>112.589</v>
      </c>
      <c r="H162" s="717">
        <v>0</v>
      </c>
      <c r="I162" s="717">
        <v>10</v>
      </c>
      <c r="J162" s="717">
        <v>0</v>
      </c>
      <c r="K162" s="717">
        <v>0</v>
      </c>
      <c r="L162" s="717">
        <v>0</v>
      </c>
      <c r="M162" s="719">
        <v>247.54</v>
      </c>
      <c r="N162" s="720">
        <f t="shared" si="2"/>
        <v>247.54</v>
      </c>
      <c r="O162" s="1141">
        <f>Tabla1[[#This Row],[Tarifa 2012 (Mx$/ton)]]*(1+IncrementoTarifa)</f>
        <v>259.892246</v>
      </c>
    </row>
    <row r="163" spans="1:15" ht="15" x14ac:dyDescent="0.25">
      <c r="A163" s="716" t="s">
        <v>875</v>
      </c>
      <c r="B163" s="717" t="s">
        <v>876</v>
      </c>
      <c r="C163" s="718">
        <v>505</v>
      </c>
      <c r="D163" s="717">
        <v>47.52</v>
      </c>
      <c r="E163" s="717">
        <v>0.33</v>
      </c>
      <c r="F163" s="717">
        <v>214.17</v>
      </c>
      <c r="G163" s="717">
        <v>112.589</v>
      </c>
      <c r="H163" s="717">
        <v>0</v>
      </c>
      <c r="I163" s="717">
        <v>10</v>
      </c>
      <c r="J163" s="717">
        <v>0</v>
      </c>
      <c r="K163" s="717">
        <v>0</v>
      </c>
      <c r="L163" s="717">
        <v>0</v>
      </c>
      <c r="M163" s="719">
        <v>476.72</v>
      </c>
      <c r="N163" s="720">
        <f t="shared" si="2"/>
        <v>476.72</v>
      </c>
      <c r="O163" s="1141">
        <f>Tabla1[[#This Row],[Tarifa 2012 (Mx$/ton)]]*(1+IncrementoTarifa)</f>
        <v>500.50832800000006</v>
      </c>
    </row>
    <row r="164" spans="1:15" ht="15" x14ac:dyDescent="0.25">
      <c r="A164" s="716" t="s">
        <v>877</v>
      </c>
      <c r="B164" s="717" t="s">
        <v>878</v>
      </c>
      <c r="C164" s="718">
        <v>437</v>
      </c>
      <c r="D164" s="717">
        <v>47.52</v>
      </c>
      <c r="E164" s="717">
        <v>0.33</v>
      </c>
      <c r="F164" s="717">
        <v>191.73</v>
      </c>
      <c r="G164" s="717">
        <v>112.589</v>
      </c>
      <c r="H164" s="717">
        <v>0</v>
      </c>
      <c r="I164" s="717">
        <v>10</v>
      </c>
      <c r="J164" s="717">
        <v>0</v>
      </c>
      <c r="K164" s="717">
        <v>0</v>
      </c>
      <c r="L164" s="717">
        <v>0</v>
      </c>
      <c r="M164" s="719">
        <v>426.77</v>
      </c>
      <c r="N164" s="720">
        <f t="shared" si="2"/>
        <v>426.77</v>
      </c>
      <c r="O164" s="1141">
        <f>Tabla1[[#This Row],[Tarifa 2012 (Mx$/ton)]]*(1+IncrementoTarifa)</f>
        <v>448.06582300000002</v>
      </c>
    </row>
    <row r="165" spans="1:15" ht="15" x14ac:dyDescent="0.25">
      <c r="A165" s="716" t="s">
        <v>879</v>
      </c>
      <c r="B165" s="717" t="s">
        <v>880</v>
      </c>
      <c r="C165" s="718">
        <v>360</v>
      </c>
      <c r="D165" s="717">
        <v>47.52</v>
      </c>
      <c r="E165" s="717">
        <v>0.33</v>
      </c>
      <c r="F165" s="717">
        <v>166.32</v>
      </c>
      <c r="G165" s="717">
        <v>112.589</v>
      </c>
      <c r="H165" s="717">
        <v>0</v>
      </c>
      <c r="I165" s="717">
        <v>10</v>
      </c>
      <c r="J165" s="717">
        <v>0</v>
      </c>
      <c r="K165" s="717">
        <v>0</v>
      </c>
      <c r="L165" s="717">
        <v>0</v>
      </c>
      <c r="M165" s="719">
        <v>370.21</v>
      </c>
      <c r="N165" s="720">
        <f t="shared" si="2"/>
        <v>370.21</v>
      </c>
      <c r="O165" s="1141">
        <f>Tabla1[[#This Row],[Tarifa 2012 (Mx$/ton)]]*(1+IncrementoTarifa)</f>
        <v>388.68347899999998</v>
      </c>
    </row>
    <row r="166" spans="1:15" ht="15" x14ac:dyDescent="0.25">
      <c r="A166" s="716" t="s">
        <v>881</v>
      </c>
      <c r="B166" s="717" t="s">
        <v>882</v>
      </c>
      <c r="C166" s="718">
        <v>192</v>
      </c>
      <c r="D166" s="717">
        <v>47.52</v>
      </c>
      <c r="E166" s="717">
        <v>0.33</v>
      </c>
      <c r="F166" s="717">
        <v>110.88</v>
      </c>
      <c r="G166" s="717">
        <v>112.589</v>
      </c>
      <c r="H166" s="717">
        <v>0</v>
      </c>
      <c r="I166" s="717">
        <v>10</v>
      </c>
      <c r="J166" s="717">
        <v>0</v>
      </c>
      <c r="K166" s="717">
        <v>0</v>
      </c>
      <c r="L166" s="717">
        <v>0</v>
      </c>
      <c r="M166" s="719">
        <v>246.81</v>
      </c>
      <c r="N166" s="720">
        <f t="shared" si="2"/>
        <v>246.81</v>
      </c>
      <c r="O166" s="1141">
        <f>Tabla1[[#This Row],[Tarifa 2012 (Mx$/ton)]]*(1+IncrementoTarifa)</f>
        <v>259.12581900000004</v>
      </c>
    </row>
    <row r="167" spans="1:15" ht="15" x14ac:dyDescent="0.25">
      <c r="A167" s="716" t="s">
        <v>883</v>
      </c>
      <c r="B167" s="717" t="s">
        <v>884</v>
      </c>
      <c r="C167" s="718">
        <v>318</v>
      </c>
      <c r="D167" s="717">
        <v>47.52</v>
      </c>
      <c r="E167" s="717">
        <v>0.33</v>
      </c>
      <c r="F167" s="717">
        <v>152.46</v>
      </c>
      <c r="G167" s="717">
        <v>112.589</v>
      </c>
      <c r="H167" s="717">
        <v>0</v>
      </c>
      <c r="I167" s="717">
        <v>10</v>
      </c>
      <c r="J167" s="717">
        <v>0</v>
      </c>
      <c r="K167" s="717">
        <v>0</v>
      </c>
      <c r="L167" s="717">
        <v>0</v>
      </c>
      <c r="M167" s="719">
        <v>339.36</v>
      </c>
      <c r="N167" s="720">
        <f t="shared" si="2"/>
        <v>339.36</v>
      </c>
      <c r="O167" s="1141">
        <f>Tabla1[[#This Row],[Tarifa 2012 (Mx$/ton)]]*(1+IncrementoTarifa)</f>
        <v>356.29406400000005</v>
      </c>
    </row>
    <row r="168" spans="1:15" ht="15" x14ac:dyDescent="0.25">
      <c r="A168" s="716" t="s">
        <v>885</v>
      </c>
      <c r="B168" s="717" t="s">
        <v>886</v>
      </c>
      <c r="C168" s="718">
        <v>288</v>
      </c>
      <c r="D168" s="717">
        <v>47.52</v>
      </c>
      <c r="E168" s="717">
        <v>0.33</v>
      </c>
      <c r="F168" s="717">
        <v>142.56</v>
      </c>
      <c r="G168" s="717">
        <v>112.589</v>
      </c>
      <c r="H168" s="717">
        <v>0</v>
      </c>
      <c r="I168" s="717">
        <v>30</v>
      </c>
      <c r="J168" s="717">
        <v>0</v>
      </c>
      <c r="K168" s="717">
        <v>0</v>
      </c>
      <c r="L168" s="717">
        <v>0</v>
      </c>
      <c r="M168" s="719">
        <v>345.83</v>
      </c>
      <c r="N168" s="720">
        <f t="shared" si="2"/>
        <v>345.83</v>
      </c>
      <c r="O168" s="1141">
        <f>Tabla1[[#This Row],[Tarifa 2012 (Mx$/ton)]]*(1+IncrementoTarifa)</f>
        <v>363.08691700000003</v>
      </c>
    </row>
    <row r="169" spans="1:15" ht="15" x14ac:dyDescent="0.25">
      <c r="A169" s="716" t="s">
        <v>887</v>
      </c>
      <c r="B169" s="717" t="s">
        <v>888</v>
      </c>
      <c r="C169" s="718">
        <v>177</v>
      </c>
      <c r="D169" s="717">
        <v>47.52</v>
      </c>
      <c r="E169" s="717">
        <v>0.33</v>
      </c>
      <c r="F169" s="717">
        <v>105.93</v>
      </c>
      <c r="G169" s="717">
        <v>112.589</v>
      </c>
      <c r="H169" s="717">
        <v>0</v>
      </c>
      <c r="I169" s="717">
        <v>10</v>
      </c>
      <c r="J169" s="717">
        <v>0</v>
      </c>
      <c r="K169" s="717">
        <v>0</v>
      </c>
      <c r="L169" s="717">
        <v>0</v>
      </c>
      <c r="M169" s="719">
        <v>235.79</v>
      </c>
      <c r="N169" s="720">
        <f t="shared" si="2"/>
        <v>235.79</v>
      </c>
      <c r="O169" s="1141">
        <f>Tabla1[[#This Row],[Tarifa 2012 (Mx$/ton)]]*(1+IncrementoTarifa)</f>
        <v>247.55592100000001</v>
      </c>
    </row>
    <row r="170" spans="1:15" ht="15" x14ac:dyDescent="0.25">
      <c r="A170" s="716" t="s">
        <v>889</v>
      </c>
      <c r="B170" s="717" t="s">
        <v>890</v>
      </c>
      <c r="C170" s="718">
        <v>163</v>
      </c>
      <c r="D170" s="717">
        <v>47.52</v>
      </c>
      <c r="E170" s="717">
        <v>0.33</v>
      </c>
      <c r="F170" s="717">
        <v>101.31</v>
      </c>
      <c r="G170" s="717">
        <v>112.589</v>
      </c>
      <c r="H170" s="717">
        <v>0</v>
      </c>
      <c r="I170" s="717">
        <v>10</v>
      </c>
      <c r="J170" s="717">
        <v>0</v>
      </c>
      <c r="K170" s="717">
        <v>0</v>
      </c>
      <c r="L170" s="717">
        <v>0</v>
      </c>
      <c r="M170" s="719">
        <v>225.5</v>
      </c>
      <c r="N170" s="720">
        <f t="shared" si="2"/>
        <v>225.5</v>
      </c>
      <c r="O170" s="1141">
        <f>Tabla1[[#This Row],[Tarifa 2012 (Mx$/ton)]]*(1+IncrementoTarifa)</f>
        <v>236.75245000000001</v>
      </c>
    </row>
    <row r="171" spans="1:15" ht="15" x14ac:dyDescent="0.25">
      <c r="A171" s="716" t="s">
        <v>891</v>
      </c>
      <c r="B171" s="717" t="s">
        <v>892</v>
      </c>
      <c r="C171" s="718">
        <v>133</v>
      </c>
      <c r="D171" s="717">
        <v>47.52</v>
      </c>
      <c r="E171" s="717">
        <v>0.33</v>
      </c>
      <c r="F171" s="717">
        <v>91.41</v>
      </c>
      <c r="G171" s="717">
        <v>112.589</v>
      </c>
      <c r="H171" s="717">
        <v>0</v>
      </c>
      <c r="I171" s="717">
        <v>10</v>
      </c>
      <c r="J171" s="717">
        <v>0</v>
      </c>
      <c r="K171" s="717">
        <v>0</v>
      </c>
      <c r="L171" s="717">
        <v>0</v>
      </c>
      <c r="M171" s="719">
        <v>203.47</v>
      </c>
      <c r="N171" s="720">
        <f t="shared" si="2"/>
        <v>203.47</v>
      </c>
      <c r="O171" s="1141">
        <f>Tabla1[[#This Row],[Tarifa 2012 (Mx$/ton)]]*(1+IncrementoTarifa)</f>
        <v>213.623153</v>
      </c>
    </row>
    <row r="172" spans="1:15" ht="15" x14ac:dyDescent="0.25">
      <c r="A172" s="716" t="s">
        <v>893</v>
      </c>
      <c r="B172" s="717" t="s">
        <v>894</v>
      </c>
      <c r="C172" s="718">
        <v>300</v>
      </c>
      <c r="D172" s="717">
        <v>47.52</v>
      </c>
      <c r="E172" s="717">
        <v>0.33</v>
      </c>
      <c r="F172" s="717">
        <v>146.52000000000001</v>
      </c>
      <c r="G172" s="717">
        <v>112.589</v>
      </c>
      <c r="H172" s="717">
        <v>0</v>
      </c>
      <c r="I172" s="717">
        <v>10</v>
      </c>
      <c r="J172" s="717">
        <v>0</v>
      </c>
      <c r="K172" s="717">
        <v>0</v>
      </c>
      <c r="L172" s="717">
        <v>0</v>
      </c>
      <c r="M172" s="719">
        <v>326.14</v>
      </c>
      <c r="N172" s="720">
        <f t="shared" si="2"/>
        <v>326.14</v>
      </c>
      <c r="O172" s="1141">
        <f>Tabla1[[#This Row],[Tarifa 2012 (Mx$/ton)]]*(1+IncrementoTarifa)</f>
        <v>342.41438599999998</v>
      </c>
    </row>
    <row r="173" spans="1:15" ht="15" x14ac:dyDescent="0.25">
      <c r="A173" s="716" t="s">
        <v>895</v>
      </c>
      <c r="B173" s="717" t="s">
        <v>896</v>
      </c>
      <c r="C173" s="718">
        <v>443</v>
      </c>
      <c r="D173" s="717">
        <v>47.52</v>
      </c>
      <c r="E173" s="717">
        <v>0.33</v>
      </c>
      <c r="F173" s="717">
        <v>193.71</v>
      </c>
      <c r="G173" s="717">
        <v>112.589</v>
      </c>
      <c r="H173" s="717">
        <v>0</v>
      </c>
      <c r="I173" s="717">
        <v>10</v>
      </c>
      <c r="J173" s="717">
        <v>0</v>
      </c>
      <c r="K173" s="717">
        <v>0</v>
      </c>
      <c r="L173" s="717">
        <v>0</v>
      </c>
      <c r="M173" s="719">
        <v>431.18</v>
      </c>
      <c r="N173" s="720">
        <f t="shared" si="2"/>
        <v>431.18</v>
      </c>
      <c r="O173" s="1141">
        <f>Tabla1[[#This Row],[Tarifa 2012 (Mx$/ton)]]*(1+IncrementoTarifa)</f>
        <v>452.69588200000004</v>
      </c>
    </row>
    <row r="174" spans="1:15" ht="15" x14ac:dyDescent="0.25">
      <c r="A174" s="716" t="s">
        <v>897</v>
      </c>
      <c r="B174" s="717" t="s">
        <v>898</v>
      </c>
      <c r="C174" s="718">
        <v>265</v>
      </c>
      <c r="D174" s="717">
        <v>47.52</v>
      </c>
      <c r="E174" s="717">
        <v>0.33</v>
      </c>
      <c r="F174" s="717">
        <v>134.97</v>
      </c>
      <c r="G174" s="717">
        <v>112.589</v>
      </c>
      <c r="H174" s="717">
        <v>0</v>
      </c>
      <c r="I174" s="717">
        <v>10</v>
      </c>
      <c r="J174" s="717">
        <v>0</v>
      </c>
      <c r="K174" s="717">
        <v>0</v>
      </c>
      <c r="L174" s="717">
        <v>0</v>
      </c>
      <c r="M174" s="719">
        <v>300.43</v>
      </c>
      <c r="N174" s="720">
        <f t="shared" si="2"/>
        <v>300.43</v>
      </c>
      <c r="O174" s="1141">
        <f>Tabla1[[#This Row],[Tarifa 2012 (Mx$/ton)]]*(1+IncrementoTarifa)</f>
        <v>315.42145700000003</v>
      </c>
    </row>
    <row r="175" spans="1:15" ht="15" x14ac:dyDescent="0.25">
      <c r="A175" s="716" t="s">
        <v>899</v>
      </c>
      <c r="B175" s="717" t="s">
        <v>900</v>
      </c>
      <c r="C175" s="718">
        <v>133</v>
      </c>
      <c r="D175" s="717">
        <v>47.52</v>
      </c>
      <c r="E175" s="717">
        <v>0.33</v>
      </c>
      <c r="F175" s="717">
        <v>91.41</v>
      </c>
      <c r="G175" s="717">
        <v>112.589</v>
      </c>
      <c r="H175" s="717">
        <v>0</v>
      </c>
      <c r="I175" s="717">
        <v>0</v>
      </c>
      <c r="J175" s="717">
        <v>0</v>
      </c>
      <c r="K175" s="717">
        <v>0</v>
      </c>
      <c r="L175" s="717">
        <v>0</v>
      </c>
      <c r="M175" s="719">
        <v>194.33</v>
      </c>
      <c r="N175" s="720">
        <f t="shared" si="2"/>
        <v>194.33</v>
      </c>
      <c r="O175" s="1141">
        <f>Tabla1[[#This Row],[Tarifa 2012 (Mx$/ton)]]*(1+IncrementoTarifa)</f>
        <v>204.02706700000002</v>
      </c>
    </row>
    <row r="176" spans="1:15" ht="15" x14ac:dyDescent="0.25">
      <c r="A176" s="716" t="s">
        <v>901</v>
      </c>
      <c r="B176" s="717" t="s">
        <v>902</v>
      </c>
      <c r="C176" s="718">
        <v>1E-3</v>
      </c>
      <c r="D176" s="717">
        <v>47.52</v>
      </c>
      <c r="E176" s="717">
        <v>0.33</v>
      </c>
      <c r="F176" s="717">
        <v>47.52</v>
      </c>
      <c r="G176" s="717">
        <v>112.589</v>
      </c>
      <c r="H176" s="717">
        <v>0</v>
      </c>
      <c r="I176" s="717">
        <v>0</v>
      </c>
      <c r="J176" s="717">
        <v>0</v>
      </c>
      <c r="K176" s="717">
        <v>0</v>
      </c>
      <c r="L176" s="717">
        <v>0</v>
      </c>
      <c r="M176" s="719">
        <v>101.02</v>
      </c>
      <c r="N176" s="720">
        <f t="shared" si="2"/>
        <v>101.02</v>
      </c>
      <c r="O176" s="1141">
        <f>Tabla1[[#This Row],[Tarifa 2012 (Mx$/ton)]]*(1+IncrementoTarifa)</f>
        <v>106.06089799999999</v>
      </c>
    </row>
    <row r="177" spans="1:15" ht="15" x14ac:dyDescent="0.25">
      <c r="A177" s="716" t="s">
        <v>903</v>
      </c>
      <c r="B177" s="717" t="s">
        <v>904</v>
      </c>
      <c r="C177" s="718">
        <v>217</v>
      </c>
      <c r="D177" s="717">
        <v>47.52</v>
      </c>
      <c r="E177" s="717">
        <v>0.3</v>
      </c>
      <c r="F177" s="717">
        <v>112.62</v>
      </c>
      <c r="G177" s="717">
        <v>112.589</v>
      </c>
      <c r="H177" s="717">
        <v>0</v>
      </c>
      <c r="I177" s="717">
        <v>0</v>
      </c>
      <c r="J177" s="717">
        <v>0</v>
      </c>
      <c r="K177" s="717">
        <v>0</v>
      </c>
      <c r="L177" s="717">
        <v>0</v>
      </c>
      <c r="M177" s="719">
        <v>239.42</v>
      </c>
      <c r="N177" s="720">
        <f t="shared" si="2"/>
        <v>239.42</v>
      </c>
      <c r="O177" s="1141">
        <f>Tabla1[[#This Row],[Tarifa 2012 (Mx$/ton)]]*(1+IncrementoTarifa)</f>
        <v>251.36705800000001</v>
      </c>
    </row>
    <row r="178" spans="1:15" ht="15" x14ac:dyDescent="0.25">
      <c r="A178" s="716" t="s">
        <v>905</v>
      </c>
      <c r="B178" s="717" t="s">
        <v>906</v>
      </c>
      <c r="C178" s="718">
        <v>70</v>
      </c>
      <c r="D178" s="717">
        <v>47.52</v>
      </c>
      <c r="E178" s="717">
        <v>0.3</v>
      </c>
      <c r="F178" s="717">
        <v>68.52</v>
      </c>
      <c r="G178" s="717">
        <v>112.589</v>
      </c>
      <c r="H178" s="717">
        <v>0</v>
      </c>
      <c r="I178" s="717">
        <v>0</v>
      </c>
      <c r="J178" s="717">
        <v>0</v>
      </c>
      <c r="K178" s="717">
        <v>0</v>
      </c>
      <c r="L178" s="717">
        <v>0</v>
      </c>
      <c r="M178" s="719">
        <v>145.66999999999999</v>
      </c>
      <c r="N178" s="720">
        <f t="shared" si="2"/>
        <v>145.66999999999999</v>
      </c>
      <c r="O178" s="1141">
        <f>Tabla1[[#This Row],[Tarifa 2012 (Mx$/ton)]]*(1+IncrementoTarifa)</f>
        <v>152.93893299999999</v>
      </c>
    </row>
    <row r="179" spans="1:15" ht="15" x14ac:dyDescent="0.25">
      <c r="A179" s="716" t="s">
        <v>907</v>
      </c>
      <c r="B179" s="717" t="s">
        <v>908</v>
      </c>
      <c r="C179" s="718">
        <v>115</v>
      </c>
      <c r="D179" s="717">
        <v>47.52</v>
      </c>
      <c r="E179" s="717">
        <v>0.3</v>
      </c>
      <c r="F179" s="717">
        <v>82.02</v>
      </c>
      <c r="G179" s="717">
        <v>112.589</v>
      </c>
      <c r="H179" s="717">
        <v>0</v>
      </c>
      <c r="I179" s="717">
        <v>0</v>
      </c>
      <c r="J179" s="717">
        <v>0</v>
      </c>
      <c r="K179" s="717">
        <v>0</v>
      </c>
      <c r="L179" s="717">
        <v>0</v>
      </c>
      <c r="M179" s="719">
        <v>174.37</v>
      </c>
      <c r="N179" s="720">
        <f t="shared" si="2"/>
        <v>174.37</v>
      </c>
      <c r="O179" s="1141">
        <f>Tabla1[[#This Row],[Tarifa 2012 (Mx$/ton)]]*(1+IncrementoTarifa)</f>
        <v>183.07106300000001</v>
      </c>
    </row>
    <row r="180" spans="1:15" ht="15" x14ac:dyDescent="0.25">
      <c r="A180" s="716" t="s">
        <v>909</v>
      </c>
      <c r="B180" s="717" t="s">
        <v>910</v>
      </c>
      <c r="C180" s="718">
        <v>816</v>
      </c>
      <c r="D180" s="717">
        <v>47.52</v>
      </c>
      <c r="E180" s="717">
        <v>0.3</v>
      </c>
      <c r="F180" s="717">
        <v>292.32</v>
      </c>
      <c r="G180" s="717">
        <v>112.589</v>
      </c>
      <c r="H180" s="717">
        <v>0</v>
      </c>
      <c r="I180" s="717">
        <v>0</v>
      </c>
      <c r="J180" s="717">
        <v>0</v>
      </c>
      <c r="K180" s="717">
        <v>0</v>
      </c>
      <c r="L180" s="717">
        <v>0</v>
      </c>
      <c r="M180" s="719">
        <v>621.44000000000005</v>
      </c>
      <c r="N180" s="720">
        <f t="shared" si="2"/>
        <v>621.44000000000005</v>
      </c>
      <c r="O180" s="1141">
        <f>Tabla1[[#This Row],[Tarifa 2012 (Mx$/ton)]]*(1+IncrementoTarifa)</f>
        <v>652.44985600000007</v>
      </c>
    </row>
    <row r="181" spans="1:15" ht="15" x14ac:dyDescent="0.25">
      <c r="A181" s="716" t="s">
        <v>911</v>
      </c>
      <c r="B181" s="717" t="s">
        <v>912</v>
      </c>
      <c r="C181" s="718">
        <v>361</v>
      </c>
      <c r="D181" s="717">
        <v>47.52</v>
      </c>
      <c r="E181" s="717">
        <v>0.3</v>
      </c>
      <c r="F181" s="717">
        <v>155.82</v>
      </c>
      <c r="G181" s="717">
        <v>112.589</v>
      </c>
      <c r="H181" s="717">
        <v>0</v>
      </c>
      <c r="I181" s="717">
        <v>0</v>
      </c>
      <c r="J181" s="717">
        <v>0</v>
      </c>
      <c r="K181" s="717">
        <v>0</v>
      </c>
      <c r="L181" s="717">
        <v>0</v>
      </c>
      <c r="M181" s="719">
        <v>331.26</v>
      </c>
      <c r="N181" s="720">
        <f t="shared" si="2"/>
        <v>331.26</v>
      </c>
      <c r="O181" s="1141">
        <f>Tabla1[[#This Row],[Tarifa 2012 (Mx$/ton)]]*(1+IncrementoTarifa)</f>
        <v>347.789874</v>
      </c>
    </row>
    <row r="182" spans="1:15" ht="15" x14ac:dyDescent="0.25">
      <c r="A182" s="716" t="s">
        <v>497</v>
      </c>
      <c r="B182" s="717" t="s">
        <v>913</v>
      </c>
      <c r="C182" s="718">
        <v>28</v>
      </c>
      <c r="D182" s="717">
        <v>47.52</v>
      </c>
      <c r="E182" s="717">
        <v>0.3</v>
      </c>
      <c r="F182" s="717">
        <v>55.92</v>
      </c>
      <c r="G182" s="717">
        <v>112.589</v>
      </c>
      <c r="H182" s="717">
        <v>-25.893999999999998</v>
      </c>
      <c r="I182" s="717">
        <v>0</v>
      </c>
      <c r="J182" s="717">
        <v>0</v>
      </c>
      <c r="K182" s="717">
        <v>0</v>
      </c>
      <c r="L182" s="717">
        <v>0</v>
      </c>
      <c r="M182" s="719">
        <v>104.4</v>
      </c>
      <c r="N182" s="720">
        <f t="shared" si="2"/>
        <v>104.4</v>
      </c>
      <c r="O182" s="1141">
        <f>Tabla1[[#This Row],[Tarifa 2012 (Mx$/ton)]]*(1+IncrementoTarifa)</f>
        <v>109.60956000000002</v>
      </c>
    </row>
    <row r="183" spans="1:15" ht="15" x14ac:dyDescent="0.25">
      <c r="A183" s="716" t="s">
        <v>498</v>
      </c>
      <c r="B183" s="717" t="s">
        <v>914</v>
      </c>
      <c r="C183" s="718">
        <v>36</v>
      </c>
      <c r="D183" s="717">
        <v>47.52</v>
      </c>
      <c r="E183" s="717">
        <v>0.3</v>
      </c>
      <c r="F183" s="717">
        <v>58.32</v>
      </c>
      <c r="G183" s="717">
        <v>112.589</v>
      </c>
      <c r="H183" s="717">
        <v>-31.917999999999999</v>
      </c>
      <c r="I183" s="717">
        <v>0</v>
      </c>
      <c r="J183" s="717">
        <v>0</v>
      </c>
      <c r="K183" s="717">
        <v>0</v>
      </c>
      <c r="L183" s="717">
        <v>0</v>
      </c>
      <c r="M183" s="719">
        <v>105.37</v>
      </c>
      <c r="N183" s="720">
        <f t="shared" si="2"/>
        <v>105.37</v>
      </c>
      <c r="O183" s="1141">
        <f>Tabla1[[#This Row],[Tarifa 2012 (Mx$/ton)]]*(1+IncrementoTarifa)</f>
        <v>110.62796300000001</v>
      </c>
    </row>
    <row r="184" spans="1:15" ht="15" x14ac:dyDescent="0.25">
      <c r="A184" s="716" t="s">
        <v>915</v>
      </c>
      <c r="B184" s="717" t="s">
        <v>916</v>
      </c>
      <c r="C184" s="718">
        <v>30</v>
      </c>
      <c r="D184" s="717">
        <v>47.52</v>
      </c>
      <c r="E184" s="717">
        <v>0.3</v>
      </c>
      <c r="F184" s="717">
        <v>56.52</v>
      </c>
      <c r="G184" s="717">
        <v>112.589</v>
      </c>
      <c r="H184" s="717">
        <v>-27.448</v>
      </c>
      <c r="I184" s="717">
        <v>0</v>
      </c>
      <c r="J184" s="717">
        <v>0</v>
      </c>
      <c r="K184" s="717">
        <v>0</v>
      </c>
      <c r="L184" s="717">
        <v>0</v>
      </c>
      <c r="M184" s="719">
        <v>104.64</v>
      </c>
      <c r="N184" s="720">
        <f t="shared" si="2"/>
        <v>104.64</v>
      </c>
      <c r="O184" s="1141">
        <f>Tabla1[[#This Row],[Tarifa 2012 (Mx$/ton)]]*(1+IncrementoTarifa)</f>
        <v>109.861536</v>
      </c>
    </row>
    <row r="185" spans="1:15" ht="15" x14ac:dyDescent="0.25">
      <c r="A185" s="716" t="s">
        <v>499</v>
      </c>
      <c r="B185" s="717" t="s">
        <v>917</v>
      </c>
      <c r="C185" s="718">
        <v>1E-3</v>
      </c>
      <c r="D185" s="717">
        <v>47.52</v>
      </c>
      <c r="E185" s="717">
        <v>0.3</v>
      </c>
      <c r="F185" s="717">
        <v>47.52</v>
      </c>
      <c r="G185" s="717">
        <v>112.589</v>
      </c>
      <c r="H185" s="717">
        <v>-1.7999999999999999E-2</v>
      </c>
      <c r="I185" s="717">
        <v>0</v>
      </c>
      <c r="J185" s="717">
        <v>0</v>
      </c>
      <c r="K185" s="717">
        <v>0</v>
      </c>
      <c r="L185" s="717">
        <v>0</v>
      </c>
      <c r="M185" s="719">
        <v>101.01</v>
      </c>
      <c r="N185" s="720">
        <f t="shared" si="2"/>
        <v>101.01</v>
      </c>
      <c r="O185" s="1141">
        <f>Tabla1[[#This Row],[Tarifa 2012 (Mx$/ton)]]*(1+IncrementoTarifa)</f>
        <v>106.05039900000001</v>
      </c>
    </row>
    <row r="186" spans="1:15" ht="15" x14ac:dyDescent="0.25">
      <c r="A186" s="716" t="s">
        <v>918</v>
      </c>
      <c r="B186" s="717" t="s">
        <v>919</v>
      </c>
      <c r="C186" s="718">
        <v>144</v>
      </c>
      <c r="D186" s="717">
        <v>47.52</v>
      </c>
      <c r="E186" s="717">
        <v>0.3</v>
      </c>
      <c r="F186" s="717">
        <v>90.72</v>
      </c>
      <c r="G186" s="717">
        <v>112.589</v>
      </c>
      <c r="H186" s="717">
        <v>0</v>
      </c>
      <c r="I186" s="717">
        <v>0</v>
      </c>
      <c r="J186" s="717">
        <v>0</v>
      </c>
      <c r="K186" s="717">
        <v>0</v>
      </c>
      <c r="L186" s="717">
        <v>0</v>
      </c>
      <c r="M186" s="719">
        <v>192.86</v>
      </c>
      <c r="N186" s="720">
        <f t="shared" si="2"/>
        <v>192.86</v>
      </c>
      <c r="O186" s="1141">
        <f>Tabla1[[#This Row],[Tarifa 2012 (Mx$/ton)]]*(1+IncrementoTarifa)</f>
        <v>202.48371400000002</v>
      </c>
    </row>
    <row r="187" spans="1:15" ht="15" x14ac:dyDescent="0.25">
      <c r="A187" s="716" t="s">
        <v>920</v>
      </c>
      <c r="B187" s="717" t="s">
        <v>921</v>
      </c>
      <c r="C187" s="718">
        <v>120</v>
      </c>
      <c r="D187" s="717">
        <v>47.52</v>
      </c>
      <c r="E187" s="717">
        <v>0.3</v>
      </c>
      <c r="F187" s="717">
        <v>83.52</v>
      </c>
      <c r="G187" s="717">
        <v>112.589</v>
      </c>
      <c r="H187" s="717">
        <v>-7.2910000000000004</v>
      </c>
      <c r="I187" s="717">
        <v>0</v>
      </c>
      <c r="J187" s="717">
        <v>0</v>
      </c>
      <c r="K187" s="717">
        <v>0</v>
      </c>
      <c r="L187" s="717">
        <v>0</v>
      </c>
      <c r="M187" s="719">
        <v>171.46</v>
      </c>
      <c r="N187" s="720">
        <f t="shared" si="2"/>
        <v>171.46</v>
      </c>
      <c r="O187" s="1141">
        <f>Tabla1[[#This Row],[Tarifa 2012 (Mx$/ton)]]*(1+IncrementoTarifa)</f>
        <v>180.01585400000002</v>
      </c>
    </row>
    <row r="188" spans="1:15" ht="15" x14ac:dyDescent="0.25">
      <c r="A188" s="716" t="s">
        <v>922</v>
      </c>
      <c r="B188" s="717" t="s">
        <v>923</v>
      </c>
      <c r="C188" s="718">
        <v>196</v>
      </c>
      <c r="D188" s="717">
        <v>47.52</v>
      </c>
      <c r="E188" s="717">
        <v>0.3</v>
      </c>
      <c r="F188" s="717">
        <v>106.32</v>
      </c>
      <c r="G188" s="717">
        <v>112.589</v>
      </c>
      <c r="H188" s="717">
        <v>0</v>
      </c>
      <c r="I188" s="717">
        <v>0</v>
      </c>
      <c r="J188" s="717">
        <v>0</v>
      </c>
      <c r="K188" s="717">
        <v>0</v>
      </c>
      <c r="L188" s="717">
        <v>0</v>
      </c>
      <c r="M188" s="719">
        <v>226.02</v>
      </c>
      <c r="N188" s="720">
        <f t="shared" si="2"/>
        <v>226.02</v>
      </c>
      <c r="O188" s="1141">
        <f>Tabla1[[#This Row],[Tarifa 2012 (Mx$/ton)]]*(1+IncrementoTarifa)</f>
        <v>237.29839800000002</v>
      </c>
    </row>
    <row r="189" spans="1:15" ht="15" x14ac:dyDescent="0.25">
      <c r="A189" s="716" t="s">
        <v>924</v>
      </c>
      <c r="B189" s="717" t="s">
        <v>925</v>
      </c>
      <c r="C189" s="718">
        <v>150</v>
      </c>
      <c r="D189" s="717">
        <v>47.52</v>
      </c>
      <c r="E189" s="717">
        <v>0.3</v>
      </c>
      <c r="F189" s="717">
        <v>92.52</v>
      </c>
      <c r="G189" s="717">
        <v>112.589</v>
      </c>
      <c r="H189" s="717">
        <v>0</v>
      </c>
      <c r="I189" s="717">
        <v>0</v>
      </c>
      <c r="J189" s="717">
        <v>0</v>
      </c>
      <c r="K189" s="717">
        <v>0</v>
      </c>
      <c r="L189" s="717">
        <v>0</v>
      </c>
      <c r="M189" s="719">
        <v>196.69</v>
      </c>
      <c r="N189" s="720">
        <f t="shared" si="2"/>
        <v>196.69</v>
      </c>
      <c r="O189" s="1141">
        <f>Tabla1[[#This Row],[Tarifa 2012 (Mx$/ton)]]*(1+IncrementoTarifa)</f>
        <v>206.504831</v>
      </c>
    </row>
    <row r="190" spans="1:15" ht="15" x14ac:dyDescent="0.25">
      <c r="A190" s="716" t="s">
        <v>926</v>
      </c>
      <c r="B190" s="717" t="s">
        <v>927</v>
      </c>
      <c r="C190" s="718">
        <v>660</v>
      </c>
      <c r="D190" s="717">
        <v>47.52</v>
      </c>
      <c r="E190" s="717">
        <v>0.3</v>
      </c>
      <c r="F190" s="717">
        <v>245.52</v>
      </c>
      <c r="G190" s="717">
        <v>112.589</v>
      </c>
      <c r="H190" s="717">
        <v>0</v>
      </c>
      <c r="I190" s="717">
        <v>0</v>
      </c>
      <c r="J190" s="717">
        <v>0</v>
      </c>
      <c r="K190" s="717">
        <v>0</v>
      </c>
      <c r="L190" s="717">
        <v>0</v>
      </c>
      <c r="M190" s="719">
        <v>521.95000000000005</v>
      </c>
      <c r="N190" s="720">
        <f t="shared" si="2"/>
        <v>521.95000000000005</v>
      </c>
      <c r="O190" s="1141">
        <f>Tabla1[[#This Row],[Tarifa 2012 (Mx$/ton)]]*(1+IncrementoTarifa)</f>
        <v>547.99530500000003</v>
      </c>
    </row>
    <row r="191" spans="1:15" ht="15" x14ac:dyDescent="0.25">
      <c r="A191" s="716" t="s">
        <v>928</v>
      </c>
      <c r="B191" s="717" t="s">
        <v>929</v>
      </c>
      <c r="C191" s="718">
        <v>450</v>
      </c>
      <c r="D191" s="717">
        <v>47.52</v>
      </c>
      <c r="E191" s="717">
        <v>0.3</v>
      </c>
      <c r="F191" s="717">
        <v>182.52</v>
      </c>
      <c r="G191" s="717">
        <v>112.589</v>
      </c>
      <c r="H191" s="717">
        <v>0</v>
      </c>
      <c r="I191" s="717">
        <v>0</v>
      </c>
      <c r="J191" s="717">
        <v>0</v>
      </c>
      <c r="K191" s="717">
        <v>0</v>
      </c>
      <c r="L191" s="717">
        <v>0</v>
      </c>
      <c r="M191" s="719">
        <v>388.02</v>
      </c>
      <c r="N191" s="720">
        <f t="shared" si="2"/>
        <v>388.02</v>
      </c>
      <c r="O191" s="1141">
        <f>Tabla1[[#This Row],[Tarifa 2012 (Mx$/ton)]]*(1+IncrementoTarifa)</f>
        <v>407.38219800000002</v>
      </c>
    </row>
    <row r="192" spans="1:15" ht="15" x14ac:dyDescent="0.25">
      <c r="A192" s="716" t="s">
        <v>930</v>
      </c>
      <c r="B192" s="717" t="s">
        <v>931</v>
      </c>
      <c r="C192" s="718">
        <v>314</v>
      </c>
      <c r="D192" s="717">
        <v>47.52</v>
      </c>
      <c r="E192" s="717">
        <v>0.3</v>
      </c>
      <c r="F192" s="717">
        <v>141.72</v>
      </c>
      <c r="G192" s="717">
        <v>112.589</v>
      </c>
      <c r="H192" s="717">
        <v>0</v>
      </c>
      <c r="I192" s="717">
        <v>0</v>
      </c>
      <c r="J192" s="717">
        <v>0</v>
      </c>
      <c r="K192" s="717">
        <v>0</v>
      </c>
      <c r="L192" s="717">
        <v>0</v>
      </c>
      <c r="M192" s="719">
        <v>301.27999999999997</v>
      </c>
      <c r="N192" s="720">
        <f t="shared" si="2"/>
        <v>301.27999999999997</v>
      </c>
      <c r="O192" s="1141">
        <f>Tabla1[[#This Row],[Tarifa 2012 (Mx$/ton)]]*(1+IncrementoTarifa)</f>
        <v>316.313872</v>
      </c>
    </row>
    <row r="193" spans="1:15" ht="15" x14ac:dyDescent="0.25">
      <c r="A193" s="716" t="s">
        <v>932</v>
      </c>
      <c r="B193" s="717" t="s">
        <v>933</v>
      </c>
      <c r="C193" s="718">
        <v>220</v>
      </c>
      <c r="D193" s="717">
        <v>47.52</v>
      </c>
      <c r="E193" s="717">
        <v>0.3</v>
      </c>
      <c r="F193" s="717">
        <v>113.52</v>
      </c>
      <c r="G193" s="717">
        <v>112.589</v>
      </c>
      <c r="H193" s="717">
        <v>-4.7809999999999997</v>
      </c>
      <c r="I193" s="717">
        <v>0</v>
      </c>
      <c r="J193" s="717">
        <v>0</v>
      </c>
      <c r="K193" s="717">
        <v>0</v>
      </c>
      <c r="L193" s="717">
        <v>0</v>
      </c>
      <c r="M193" s="719">
        <v>235.9</v>
      </c>
      <c r="N193" s="720">
        <f t="shared" si="2"/>
        <v>235.9</v>
      </c>
      <c r="O193" s="1141">
        <f>Tabla1[[#This Row],[Tarifa 2012 (Mx$/ton)]]*(1+IncrementoTarifa)</f>
        <v>247.67141000000001</v>
      </c>
    </row>
    <row r="194" spans="1:15" ht="15" x14ac:dyDescent="0.25">
      <c r="A194" s="716" t="s">
        <v>934</v>
      </c>
      <c r="B194" s="717" t="s">
        <v>935</v>
      </c>
      <c r="C194" s="718">
        <v>224</v>
      </c>
      <c r="D194" s="717">
        <v>47.52</v>
      </c>
      <c r="E194" s="717">
        <v>0.3</v>
      </c>
      <c r="F194" s="717">
        <v>114.72</v>
      </c>
      <c r="G194" s="717">
        <v>112.589</v>
      </c>
      <c r="H194" s="717">
        <v>0</v>
      </c>
      <c r="I194" s="717">
        <v>0</v>
      </c>
      <c r="J194" s="717">
        <v>0</v>
      </c>
      <c r="K194" s="717">
        <v>0</v>
      </c>
      <c r="L194" s="717">
        <v>0</v>
      </c>
      <c r="M194" s="719">
        <v>243.88</v>
      </c>
      <c r="N194" s="720">
        <f t="shared" si="2"/>
        <v>243.88</v>
      </c>
      <c r="O194" s="1141">
        <f>Tabla1[[#This Row],[Tarifa 2012 (Mx$/ton)]]*(1+IncrementoTarifa)</f>
        <v>256.04961200000002</v>
      </c>
    </row>
    <row r="195" spans="1:15" ht="15" x14ac:dyDescent="0.25">
      <c r="A195" s="716" t="s">
        <v>936</v>
      </c>
      <c r="B195" s="717" t="s">
        <v>937</v>
      </c>
      <c r="C195" s="718">
        <v>240</v>
      </c>
      <c r="D195" s="717">
        <v>47.52</v>
      </c>
      <c r="E195" s="717">
        <v>0.3</v>
      </c>
      <c r="F195" s="717">
        <v>119.52</v>
      </c>
      <c r="G195" s="717">
        <v>112.589</v>
      </c>
      <c r="H195" s="717">
        <v>-17.088000000000001</v>
      </c>
      <c r="I195" s="717">
        <v>0</v>
      </c>
      <c r="J195" s="717">
        <v>0</v>
      </c>
      <c r="K195" s="717">
        <v>0</v>
      </c>
      <c r="L195" s="717">
        <v>0</v>
      </c>
      <c r="M195" s="719">
        <v>233.66</v>
      </c>
      <c r="N195" s="720">
        <f t="shared" si="2"/>
        <v>233.66</v>
      </c>
      <c r="O195" s="1141">
        <f>Tabla1[[#This Row],[Tarifa 2012 (Mx$/ton)]]*(1+IncrementoTarifa)</f>
        <v>245.31963400000001</v>
      </c>
    </row>
    <row r="196" spans="1:15" ht="15" x14ac:dyDescent="0.25">
      <c r="A196" s="716" t="s">
        <v>938</v>
      </c>
      <c r="B196" s="717" t="s">
        <v>939</v>
      </c>
      <c r="C196" s="718">
        <v>339</v>
      </c>
      <c r="D196" s="717">
        <v>47.52</v>
      </c>
      <c r="E196" s="717">
        <v>0.3</v>
      </c>
      <c r="F196" s="717">
        <v>149.22</v>
      </c>
      <c r="G196" s="717">
        <v>112.589</v>
      </c>
      <c r="H196" s="717">
        <v>0</v>
      </c>
      <c r="I196" s="717">
        <v>0</v>
      </c>
      <c r="J196" s="717">
        <v>0</v>
      </c>
      <c r="K196" s="717">
        <v>0</v>
      </c>
      <c r="L196" s="717">
        <v>0</v>
      </c>
      <c r="M196" s="719">
        <v>317.23</v>
      </c>
      <c r="N196" s="720">
        <f t="shared" si="2"/>
        <v>317.23</v>
      </c>
      <c r="O196" s="1141">
        <f>Tabla1[[#This Row],[Tarifa 2012 (Mx$/ton)]]*(1+IncrementoTarifa)</f>
        <v>333.05977700000005</v>
      </c>
    </row>
    <row r="197" spans="1:15" ht="15" x14ac:dyDescent="0.25">
      <c r="A197" s="716" t="s">
        <v>940</v>
      </c>
      <c r="B197" s="717" t="s">
        <v>941</v>
      </c>
      <c r="C197" s="718">
        <v>387</v>
      </c>
      <c r="D197" s="717">
        <v>47.52</v>
      </c>
      <c r="E197" s="717">
        <v>0.3</v>
      </c>
      <c r="F197" s="717">
        <v>163.62</v>
      </c>
      <c r="G197" s="717">
        <v>112.589</v>
      </c>
      <c r="H197" s="717">
        <v>0</v>
      </c>
      <c r="I197" s="717">
        <v>0</v>
      </c>
      <c r="J197" s="717">
        <v>0</v>
      </c>
      <c r="K197" s="717">
        <v>0</v>
      </c>
      <c r="L197" s="717">
        <v>0</v>
      </c>
      <c r="M197" s="719">
        <v>347.84</v>
      </c>
      <c r="N197" s="720">
        <f t="shared" si="2"/>
        <v>347.84</v>
      </c>
      <c r="O197" s="1141">
        <f>Tabla1[[#This Row],[Tarifa 2012 (Mx$/ton)]]*(1+IncrementoTarifa)</f>
        <v>365.19721599999997</v>
      </c>
    </row>
    <row r="198" spans="1:15" ht="15" x14ac:dyDescent="0.25">
      <c r="A198" s="716" t="s">
        <v>942</v>
      </c>
      <c r="B198" s="717" t="s">
        <v>943</v>
      </c>
      <c r="C198" s="718">
        <v>537</v>
      </c>
      <c r="D198" s="717">
        <v>47.52</v>
      </c>
      <c r="E198" s="717">
        <v>0.3</v>
      </c>
      <c r="F198" s="717">
        <v>208.62</v>
      </c>
      <c r="G198" s="717">
        <v>112.589</v>
      </c>
      <c r="H198" s="717">
        <v>0</v>
      </c>
      <c r="I198" s="717">
        <v>0</v>
      </c>
      <c r="J198" s="717">
        <v>0</v>
      </c>
      <c r="K198" s="717">
        <v>0</v>
      </c>
      <c r="L198" s="717">
        <v>0</v>
      </c>
      <c r="M198" s="719">
        <v>443.5</v>
      </c>
      <c r="N198" s="720">
        <f t="shared" si="2"/>
        <v>443.5</v>
      </c>
      <c r="O198" s="1141">
        <f>Tabla1[[#This Row],[Tarifa 2012 (Mx$/ton)]]*(1+IncrementoTarifa)</f>
        <v>465.63065</v>
      </c>
    </row>
    <row r="199" spans="1:15" ht="15" x14ac:dyDescent="0.25">
      <c r="A199" s="716" t="s">
        <v>944</v>
      </c>
      <c r="B199" s="717" t="s">
        <v>945</v>
      </c>
      <c r="C199" s="718">
        <v>458</v>
      </c>
      <c r="D199" s="717">
        <v>47.52</v>
      </c>
      <c r="E199" s="717">
        <v>0.3</v>
      </c>
      <c r="F199" s="717">
        <v>184.92</v>
      </c>
      <c r="G199" s="717">
        <v>112.589</v>
      </c>
      <c r="H199" s="717">
        <v>0</v>
      </c>
      <c r="I199" s="717">
        <v>0</v>
      </c>
      <c r="J199" s="717">
        <v>0</v>
      </c>
      <c r="K199" s="717">
        <v>0</v>
      </c>
      <c r="L199" s="717">
        <v>0</v>
      </c>
      <c r="M199" s="719">
        <v>393.12</v>
      </c>
      <c r="N199" s="720">
        <f t="shared" si="2"/>
        <v>393.12</v>
      </c>
      <c r="O199" s="1141">
        <f>Tabla1[[#This Row],[Tarifa 2012 (Mx$/ton)]]*(1+IncrementoTarifa)</f>
        <v>412.73668800000002</v>
      </c>
    </row>
    <row r="200" spans="1:15" ht="15" x14ac:dyDescent="0.25">
      <c r="A200" s="716" t="s">
        <v>946</v>
      </c>
      <c r="B200" s="717" t="s">
        <v>947</v>
      </c>
      <c r="C200" s="718">
        <v>345</v>
      </c>
      <c r="D200" s="717">
        <v>47.52</v>
      </c>
      <c r="E200" s="717">
        <v>0.3</v>
      </c>
      <c r="F200" s="717">
        <v>151.02000000000001</v>
      </c>
      <c r="G200" s="717">
        <v>112.589</v>
      </c>
      <c r="H200" s="717">
        <v>0</v>
      </c>
      <c r="I200" s="717">
        <v>0</v>
      </c>
      <c r="J200" s="717">
        <v>0</v>
      </c>
      <c r="K200" s="717">
        <v>0</v>
      </c>
      <c r="L200" s="717">
        <v>0</v>
      </c>
      <c r="M200" s="719">
        <v>321.05</v>
      </c>
      <c r="N200" s="720">
        <f t="shared" si="2"/>
        <v>321.05</v>
      </c>
      <c r="O200" s="1141">
        <f>Tabla1[[#This Row],[Tarifa 2012 (Mx$/ton)]]*(1+IncrementoTarifa)</f>
        <v>337.07039500000002</v>
      </c>
    </row>
    <row r="201" spans="1:15" ht="15" x14ac:dyDescent="0.25">
      <c r="A201" s="716" t="s">
        <v>500</v>
      </c>
      <c r="B201" s="717" t="s">
        <v>948</v>
      </c>
      <c r="C201" s="718">
        <v>257</v>
      </c>
      <c r="D201" s="717">
        <v>47.52</v>
      </c>
      <c r="E201" s="717">
        <v>0.33</v>
      </c>
      <c r="F201" s="717">
        <v>132.33000000000001</v>
      </c>
      <c r="G201" s="717">
        <v>112.589</v>
      </c>
      <c r="H201" s="717">
        <v>0</v>
      </c>
      <c r="I201" s="717">
        <v>16.035</v>
      </c>
      <c r="J201" s="717">
        <v>0</v>
      </c>
      <c r="K201" s="717">
        <v>0</v>
      </c>
      <c r="L201" s="717">
        <v>0</v>
      </c>
      <c r="M201" s="719">
        <v>302.54000000000002</v>
      </c>
      <c r="N201" s="720">
        <f t="shared" si="2"/>
        <v>302.54000000000002</v>
      </c>
      <c r="O201" s="1141">
        <f>Tabla1[[#This Row],[Tarifa 2012 (Mx$/ton)]]*(1+IncrementoTarifa)</f>
        <v>317.63674600000002</v>
      </c>
    </row>
    <row r="202" spans="1:15" ht="15" x14ac:dyDescent="0.25">
      <c r="A202" s="716" t="s">
        <v>501</v>
      </c>
      <c r="B202" s="717" t="s">
        <v>949</v>
      </c>
      <c r="C202" s="718">
        <v>189</v>
      </c>
      <c r="D202" s="717">
        <v>47.52</v>
      </c>
      <c r="E202" s="717">
        <v>0.33</v>
      </c>
      <c r="F202" s="717">
        <v>109.89</v>
      </c>
      <c r="G202" s="717">
        <v>112.589</v>
      </c>
      <c r="H202" s="717">
        <v>0</v>
      </c>
      <c r="I202" s="717">
        <v>10</v>
      </c>
      <c r="J202" s="717">
        <v>0</v>
      </c>
      <c r="K202" s="717">
        <v>0</v>
      </c>
      <c r="L202" s="717">
        <v>0</v>
      </c>
      <c r="M202" s="719">
        <v>244.6</v>
      </c>
      <c r="N202" s="720">
        <f t="shared" si="2"/>
        <v>244.6</v>
      </c>
      <c r="O202" s="1141">
        <f>Tabla1[[#This Row],[Tarifa 2012 (Mx$/ton)]]*(1+IncrementoTarifa)</f>
        <v>256.80554000000001</v>
      </c>
    </row>
    <row r="203" spans="1:15" ht="15" x14ac:dyDescent="0.25">
      <c r="A203" s="716" t="s">
        <v>502</v>
      </c>
      <c r="B203" s="717" t="s">
        <v>950</v>
      </c>
      <c r="C203" s="718">
        <v>1E-3</v>
      </c>
      <c r="D203" s="717">
        <v>47.52</v>
      </c>
      <c r="E203" s="717">
        <v>0.33</v>
      </c>
      <c r="F203" s="717">
        <v>47.52</v>
      </c>
      <c r="G203" s="717">
        <v>112.589</v>
      </c>
      <c r="H203" s="717">
        <v>0</v>
      </c>
      <c r="I203" s="717">
        <v>0</v>
      </c>
      <c r="J203" s="717">
        <v>0</v>
      </c>
      <c r="K203" s="717">
        <v>0</v>
      </c>
      <c r="L203" s="717">
        <v>0</v>
      </c>
      <c r="M203" s="719">
        <v>101.02</v>
      </c>
      <c r="N203" s="720">
        <f t="shared" si="2"/>
        <v>101.02</v>
      </c>
      <c r="O203" s="1141">
        <f>Tabla1[[#This Row],[Tarifa 2012 (Mx$/ton)]]*(1+IncrementoTarifa)</f>
        <v>106.06089799999999</v>
      </c>
    </row>
    <row r="204" spans="1:15" ht="15" x14ac:dyDescent="0.25">
      <c r="A204" s="716" t="s">
        <v>951</v>
      </c>
      <c r="B204" s="717" t="s">
        <v>952</v>
      </c>
      <c r="C204" s="718">
        <v>229</v>
      </c>
      <c r="D204" s="717">
        <v>47.52</v>
      </c>
      <c r="E204" s="717">
        <v>0.33</v>
      </c>
      <c r="F204" s="717">
        <v>123.09</v>
      </c>
      <c r="G204" s="717">
        <v>112.589</v>
      </c>
      <c r="H204" s="717">
        <v>0</v>
      </c>
      <c r="I204" s="717">
        <v>10</v>
      </c>
      <c r="J204" s="717">
        <v>0</v>
      </c>
      <c r="K204" s="717">
        <v>0</v>
      </c>
      <c r="L204" s="717">
        <v>0</v>
      </c>
      <c r="M204" s="719">
        <v>273.98</v>
      </c>
      <c r="N204" s="720">
        <f t="shared" si="2"/>
        <v>273.98</v>
      </c>
      <c r="O204" s="1141">
        <f>Tabla1[[#This Row],[Tarifa 2012 (Mx$/ton)]]*(1+IncrementoTarifa)</f>
        <v>287.65160200000003</v>
      </c>
    </row>
    <row r="205" spans="1:15" ht="15" x14ac:dyDescent="0.25">
      <c r="A205" s="716" t="s">
        <v>953</v>
      </c>
      <c r="B205" s="717" t="s">
        <v>954</v>
      </c>
      <c r="C205" s="718">
        <v>195</v>
      </c>
      <c r="D205" s="717">
        <v>47.52</v>
      </c>
      <c r="E205" s="717">
        <v>0.33</v>
      </c>
      <c r="F205" s="717">
        <v>111.87</v>
      </c>
      <c r="G205" s="717">
        <v>112.589</v>
      </c>
      <c r="H205" s="717">
        <v>0</v>
      </c>
      <c r="I205" s="717">
        <v>0</v>
      </c>
      <c r="J205" s="717">
        <v>0</v>
      </c>
      <c r="K205" s="717">
        <v>0</v>
      </c>
      <c r="L205" s="717">
        <v>0</v>
      </c>
      <c r="M205" s="719">
        <v>237.82</v>
      </c>
      <c r="N205" s="720">
        <f t="shared" si="2"/>
        <v>237.82</v>
      </c>
      <c r="O205" s="1141">
        <f>Tabla1[[#This Row],[Tarifa 2012 (Mx$/ton)]]*(1+IncrementoTarifa)</f>
        <v>249.687218</v>
      </c>
    </row>
    <row r="206" spans="1:15" ht="15" x14ac:dyDescent="0.25">
      <c r="A206" s="716" t="s">
        <v>955</v>
      </c>
      <c r="B206" s="717" t="s">
        <v>956</v>
      </c>
      <c r="C206" s="718">
        <v>463</v>
      </c>
      <c r="D206" s="717">
        <v>47.52</v>
      </c>
      <c r="E206" s="717">
        <v>0.33</v>
      </c>
      <c r="F206" s="717">
        <v>200.31</v>
      </c>
      <c r="G206" s="717">
        <v>112.589</v>
      </c>
      <c r="H206" s="717">
        <v>0</v>
      </c>
      <c r="I206" s="717">
        <v>10</v>
      </c>
      <c r="J206" s="717">
        <v>0</v>
      </c>
      <c r="K206" s="717">
        <v>0</v>
      </c>
      <c r="L206" s="717">
        <v>0</v>
      </c>
      <c r="M206" s="719">
        <v>445.87</v>
      </c>
      <c r="N206" s="720">
        <f t="shared" si="2"/>
        <v>445.87</v>
      </c>
      <c r="O206" s="1141">
        <f>Tabla1[[#This Row],[Tarifa 2012 (Mx$/ton)]]*(1+IncrementoTarifa)</f>
        <v>468.11891300000002</v>
      </c>
    </row>
    <row r="207" spans="1:15" ht="15" x14ac:dyDescent="0.25">
      <c r="A207" s="716" t="s">
        <v>957</v>
      </c>
      <c r="B207" s="717" t="s">
        <v>958</v>
      </c>
      <c r="C207" s="718">
        <v>843</v>
      </c>
      <c r="D207" s="717">
        <v>47.52</v>
      </c>
      <c r="E207" s="717">
        <v>0.33</v>
      </c>
      <c r="F207" s="717">
        <v>325.70999999999998</v>
      </c>
      <c r="G207" s="717">
        <v>112.589</v>
      </c>
      <c r="H207" s="717">
        <v>0</v>
      </c>
      <c r="I207" s="717">
        <v>0</v>
      </c>
      <c r="J207" s="717">
        <v>0</v>
      </c>
      <c r="K207" s="717">
        <v>0</v>
      </c>
      <c r="L207" s="717">
        <v>0</v>
      </c>
      <c r="M207" s="719">
        <v>692.42</v>
      </c>
      <c r="N207" s="720">
        <f t="shared" si="2"/>
        <v>692.42</v>
      </c>
      <c r="O207" s="1141">
        <f>Tabla1[[#This Row],[Tarifa 2012 (Mx$/ton)]]*(1+IncrementoTarifa)</f>
        <v>726.97175800000002</v>
      </c>
    </row>
    <row r="208" spans="1:15" ht="15" x14ac:dyDescent="0.25">
      <c r="A208" s="716" t="s">
        <v>959</v>
      </c>
      <c r="B208" s="717" t="s">
        <v>960</v>
      </c>
      <c r="C208" s="718">
        <v>60</v>
      </c>
      <c r="D208" s="717">
        <v>47.52</v>
      </c>
      <c r="E208" s="717">
        <v>0.33</v>
      </c>
      <c r="F208" s="717">
        <v>67.319999999999993</v>
      </c>
      <c r="G208" s="717">
        <v>112.589</v>
      </c>
      <c r="H208" s="717">
        <v>0</v>
      </c>
      <c r="I208" s="717">
        <v>0</v>
      </c>
      <c r="J208" s="717">
        <v>0</v>
      </c>
      <c r="K208" s="717">
        <v>0</v>
      </c>
      <c r="L208" s="717">
        <v>0</v>
      </c>
      <c r="M208" s="719">
        <v>143.11000000000001</v>
      </c>
      <c r="N208" s="720">
        <f t="shared" ref="N208:N271" si="3">M208*(1+$O$2)</f>
        <v>143.11000000000001</v>
      </c>
      <c r="O208" s="1141">
        <f>Tabla1[[#This Row],[Tarifa 2012 (Mx$/ton)]]*(1+IncrementoTarifa)</f>
        <v>150.25118900000001</v>
      </c>
    </row>
    <row r="209" spans="1:15" ht="15" x14ac:dyDescent="0.25">
      <c r="A209" s="716" t="s">
        <v>961</v>
      </c>
      <c r="B209" s="717" t="s">
        <v>962</v>
      </c>
      <c r="C209" s="718">
        <v>871</v>
      </c>
      <c r="D209" s="717">
        <v>47.52</v>
      </c>
      <c r="E209" s="717">
        <v>0.33</v>
      </c>
      <c r="F209" s="717">
        <v>334.95</v>
      </c>
      <c r="G209" s="717">
        <v>112.589</v>
      </c>
      <c r="H209" s="717">
        <v>0</v>
      </c>
      <c r="I209" s="717">
        <v>10</v>
      </c>
      <c r="J209" s="717">
        <v>0</v>
      </c>
      <c r="K209" s="717">
        <v>0</v>
      </c>
      <c r="L209" s="717">
        <v>0</v>
      </c>
      <c r="M209" s="719">
        <v>745.56</v>
      </c>
      <c r="N209" s="720">
        <f t="shared" si="3"/>
        <v>745.56</v>
      </c>
      <c r="O209" s="1141">
        <f>Tabla1[[#This Row],[Tarifa 2012 (Mx$/ton)]]*(1+IncrementoTarifa)</f>
        <v>782.76344399999994</v>
      </c>
    </row>
    <row r="210" spans="1:15" ht="15" x14ac:dyDescent="0.25">
      <c r="A210" s="716" t="s">
        <v>963</v>
      </c>
      <c r="B210" s="717" t="s">
        <v>964</v>
      </c>
      <c r="C210" s="718">
        <v>1181</v>
      </c>
      <c r="D210" s="717">
        <v>47.52</v>
      </c>
      <c r="E210" s="717">
        <v>0.33</v>
      </c>
      <c r="F210" s="717">
        <v>437.25</v>
      </c>
      <c r="G210" s="717">
        <v>112.589</v>
      </c>
      <c r="H210" s="717">
        <v>0</v>
      </c>
      <c r="I210" s="717">
        <v>10</v>
      </c>
      <c r="J210" s="717">
        <v>0</v>
      </c>
      <c r="K210" s="717">
        <v>0</v>
      </c>
      <c r="L210" s="717">
        <v>0</v>
      </c>
      <c r="M210" s="719">
        <v>973.27</v>
      </c>
      <c r="N210" s="720">
        <f t="shared" si="3"/>
        <v>973.27</v>
      </c>
      <c r="O210" s="1141">
        <f>Tabla1[[#This Row],[Tarifa 2012 (Mx$/ton)]]*(1+IncrementoTarifa)</f>
        <v>1021.836173</v>
      </c>
    </row>
    <row r="211" spans="1:15" ht="15" x14ac:dyDescent="0.25">
      <c r="A211" s="716" t="s">
        <v>965</v>
      </c>
      <c r="B211" s="717" t="s">
        <v>966</v>
      </c>
      <c r="C211" s="718">
        <v>702</v>
      </c>
      <c r="D211" s="717">
        <v>47.52</v>
      </c>
      <c r="E211" s="717">
        <v>0.33</v>
      </c>
      <c r="F211" s="717">
        <v>279.18</v>
      </c>
      <c r="G211" s="717">
        <v>112.589</v>
      </c>
      <c r="H211" s="717">
        <v>0</v>
      </c>
      <c r="I211" s="717">
        <v>0</v>
      </c>
      <c r="J211" s="717">
        <v>0</v>
      </c>
      <c r="K211" s="717">
        <v>0</v>
      </c>
      <c r="L211" s="717">
        <v>0</v>
      </c>
      <c r="M211" s="719">
        <v>593.51</v>
      </c>
      <c r="N211" s="720">
        <f t="shared" si="3"/>
        <v>593.51</v>
      </c>
      <c r="O211" s="1141">
        <f>Tabla1[[#This Row],[Tarifa 2012 (Mx$/ton)]]*(1+IncrementoTarifa)</f>
        <v>623.12614900000005</v>
      </c>
    </row>
    <row r="212" spans="1:15" ht="15" x14ac:dyDescent="0.25">
      <c r="A212" s="716" t="s">
        <v>967</v>
      </c>
      <c r="B212" s="717" t="s">
        <v>968</v>
      </c>
      <c r="C212" s="718">
        <v>371</v>
      </c>
      <c r="D212" s="717">
        <v>47.52</v>
      </c>
      <c r="E212" s="717">
        <v>0.33</v>
      </c>
      <c r="F212" s="717">
        <v>169.95</v>
      </c>
      <c r="G212" s="717">
        <v>112.589</v>
      </c>
      <c r="H212" s="717">
        <v>0</v>
      </c>
      <c r="I212" s="717">
        <v>0</v>
      </c>
      <c r="J212" s="717">
        <v>0</v>
      </c>
      <c r="K212" s="717">
        <v>0</v>
      </c>
      <c r="L212" s="717">
        <v>0</v>
      </c>
      <c r="M212" s="719">
        <v>361.3</v>
      </c>
      <c r="N212" s="720">
        <f t="shared" si="3"/>
        <v>361.3</v>
      </c>
      <c r="O212" s="1141">
        <f>Tabla1[[#This Row],[Tarifa 2012 (Mx$/ton)]]*(1+IncrementoTarifa)</f>
        <v>379.32887000000005</v>
      </c>
    </row>
    <row r="213" spans="1:15" ht="15" x14ac:dyDescent="0.25">
      <c r="A213" s="716" t="s">
        <v>503</v>
      </c>
      <c r="B213" s="717" t="s">
        <v>969</v>
      </c>
      <c r="C213" s="718">
        <v>71</v>
      </c>
      <c r="D213" s="717">
        <v>47.52</v>
      </c>
      <c r="E213" s="717">
        <v>0.33</v>
      </c>
      <c r="F213" s="717">
        <v>70.95</v>
      </c>
      <c r="G213" s="717">
        <v>112.589</v>
      </c>
      <c r="H213" s="717">
        <v>0</v>
      </c>
      <c r="I213" s="717">
        <v>0</v>
      </c>
      <c r="J213" s="717">
        <v>0</v>
      </c>
      <c r="K213" s="717">
        <v>0</v>
      </c>
      <c r="L213" s="717">
        <v>0</v>
      </c>
      <c r="M213" s="719">
        <v>150.83000000000001</v>
      </c>
      <c r="N213" s="720">
        <f t="shared" si="3"/>
        <v>150.83000000000001</v>
      </c>
      <c r="O213" s="1141">
        <f>Tabla1[[#This Row],[Tarifa 2012 (Mx$/ton)]]*(1+IncrementoTarifa)</f>
        <v>158.35641700000002</v>
      </c>
    </row>
    <row r="214" spans="1:15" ht="15" x14ac:dyDescent="0.25">
      <c r="A214" s="716" t="s">
        <v>970</v>
      </c>
      <c r="B214" s="717" t="s">
        <v>971</v>
      </c>
      <c r="C214" s="718">
        <v>848</v>
      </c>
      <c r="D214" s="717">
        <v>40.659999999999997</v>
      </c>
      <c r="E214" s="717">
        <v>0.36</v>
      </c>
      <c r="F214" s="717">
        <v>345.94</v>
      </c>
      <c r="G214" s="717">
        <v>112.589</v>
      </c>
      <c r="H214" s="717">
        <v>0</v>
      </c>
      <c r="I214" s="717">
        <v>0</v>
      </c>
      <c r="J214" s="717">
        <v>0</v>
      </c>
      <c r="K214" s="717">
        <v>0</v>
      </c>
      <c r="L214" s="717">
        <v>0</v>
      </c>
      <c r="M214" s="719">
        <v>735.43</v>
      </c>
      <c r="N214" s="720">
        <f t="shared" si="3"/>
        <v>735.43</v>
      </c>
      <c r="O214" s="1141">
        <f>Tabla1[[#This Row],[Tarifa 2012 (Mx$/ton)]]*(1+IncrementoTarifa)</f>
        <v>772.12795700000004</v>
      </c>
    </row>
    <row r="215" spans="1:15" ht="15" x14ac:dyDescent="0.25">
      <c r="A215" s="716" t="s">
        <v>972</v>
      </c>
      <c r="B215" s="717" t="s">
        <v>973</v>
      </c>
      <c r="C215" s="718">
        <v>785</v>
      </c>
      <c r="D215" s="717">
        <v>40.659999999999997</v>
      </c>
      <c r="E215" s="717">
        <v>0.36</v>
      </c>
      <c r="F215" s="717">
        <v>323.26</v>
      </c>
      <c r="G215" s="717">
        <v>112.589</v>
      </c>
      <c r="H215" s="717">
        <v>0</v>
      </c>
      <c r="I215" s="717">
        <v>0</v>
      </c>
      <c r="J215" s="717">
        <v>0</v>
      </c>
      <c r="K215" s="717">
        <v>0</v>
      </c>
      <c r="L215" s="717">
        <v>0</v>
      </c>
      <c r="M215" s="719">
        <v>687.22</v>
      </c>
      <c r="N215" s="720">
        <f t="shared" si="3"/>
        <v>687.22</v>
      </c>
      <c r="O215" s="1141">
        <f>Tabla1[[#This Row],[Tarifa 2012 (Mx$/ton)]]*(1+IncrementoTarifa)</f>
        <v>721.51227800000004</v>
      </c>
    </row>
    <row r="216" spans="1:15" ht="15" x14ac:dyDescent="0.25">
      <c r="A216" s="716" t="s">
        <v>974</v>
      </c>
      <c r="B216" s="717" t="s">
        <v>975</v>
      </c>
      <c r="C216" s="718">
        <v>810</v>
      </c>
      <c r="D216" s="717">
        <v>40.659999999999997</v>
      </c>
      <c r="E216" s="717">
        <v>0.36</v>
      </c>
      <c r="F216" s="717">
        <v>332.26</v>
      </c>
      <c r="G216" s="717">
        <v>112.589</v>
      </c>
      <c r="H216" s="717">
        <v>0</v>
      </c>
      <c r="I216" s="717">
        <v>0</v>
      </c>
      <c r="J216" s="717">
        <v>0</v>
      </c>
      <c r="K216" s="717">
        <v>0</v>
      </c>
      <c r="L216" s="717">
        <v>0</v>
      </c>
      <c r="M216" s="719">
        <v>706.35</v>
      </c>
      <c r="N216" s="720">
        <f t="shared" si="3"/>
        <v>706.35</v>
      </c>
      <c r="O216" s="1141">
        <f>Tabla1[[#This Row],[Tarifa 2012 (Mx$/ton)]]*(1+IncrementoTarifa)</f>
        <v>741.59686500000009</v>
      </c>
    </row>
    <row r="217" spans="1:15" ht="15" x14ac:dyDescent="0.25">
      <c r="A217" s="716" t="s">
        <v>976</v>
      </c>
      <c r="B217" s="717" t="s">
        <v>977</v>
      </c>
      <c r="C217" s="718">
        <v>850</v>
      </c>
      <c r="D217" s="717">
        <v>40.659999999999997</v>
      </c>
      <c r="E217" s="717">
        <v>0.36</v>
      </c>
      <c r="F217" s="717">
        <v>346.66</v>
      </c>
      <c r="G217" s="717">
        <v>112.589</v>
      </c>
      <c r="H217" s="717">
        <v>0</v>
      </c>
      <c r="I217" s="717">
        <v>0</v>
      </c>
      <c r="J217" s="717">
        <v>0</v>
      </c>
      <c r="K217" s="717">
        <v>0</v>
      </c>
      <c r="L217" s="717">
        <v>0</v>
      </c>
      <c r="M217" s="719">
        <v>736.96</v>
      </c>
      <c r="N217" s="720">
        <f t="shared" si="3"/>
        <v>736.96</v>
      </c>
      <c r="O217" s="1141">
        <f>Tabla1[[#This Row],[Tarifa 2012 (Mx$/ton)]]*(1+IncrementoTarifa)</f>
        <v>773.73430400000007</v>
      </c>
    </row>
    <row r="218" spans="1:15" ht="15" x14ac:dyDescent="0.25">
      <c r="A218" s="716" t="s">
        <v>978</v>
      </c>
      <c r="B218" s="717" t="s">
        <v>979</v>
      </c>
      <c r="C218" s="718">
        <v>930</v>
      </c>
      <c r="D218" s="717">
        <v>40.659999999999997</v>
      </c>
      <c r="E218" s="717">
        <v>0.36</v>
      </c>
      <c r="F218" s="717">
        <v>375.46</v>
      </c>
      <c r="G218" s="717">
        <v>112.589</v>
      </c>
      <c r="H218" s="717">
        <v>0</v>
      </c>
      <c r="I218" s="717">
        <v>0</v>
      </c>
      <c r="J218" s="717">
        <v>0</v>
      </c>
      <c r="K218" s="717">
        <v>0</v>
      </c>
      <c r="L218" s="717">
        <v>0</v>
      </c>
      <c r="M218" s="719">
        <v>798.19</v>
      </c>
      <c r="N218" s="720">
        <f t="shared" si="3"/>
        <v>798.19</v>
      </c>
      <c r="O218" s="1141">
        <f>Tabla1[[#This Row],[Tarifa 2012 (Mx$/ton)]]*(1+IncrementoTarifa)</f>
        <v>838.01968100000011</v>
      </c>
    </row>
    <row r="219" spans="1:15" ht="15" x14ac:dyDescent="0.25">
      <c r="A219" s="716" t="s">
        <v>980</v>
      </c>
      <c r="B219" s="717" t="s">
        <v>981</v>
      </c>
      <c r="C219" s="718">
        <v>894</v>
      </c>
      <c r="D219" s="717">
        <v>40.659999999999997</v>
      </c>
      <c r="E219" s="717">
        <v>0.36</v>
      </c>
      <c r="F219" s="717">
        <v>362.5</v>
      </c>
      <c r="G219" s="717">
        <v>112.589</v>
      </c>
      <c r="H219" s="717">
        <v>0</v>
      </c>
      <c r="I219" s="717">
        <v>0</v>
      </c>
      <c r="J219" s="717">
        <v>0</v>
      </c>
      <c r="K219" s="717">
        <v>0</v>
      </c>
      <c r="L219" s="717">
        <v>0</v>
      </c>
      <c r="M219" s="719">
        <v>770.64</v>
      </c>
      <c r="N219" s="720">
        <f t="shared" si="3"/>
        <v>770.64</v>
      </c>
      <c r="O219" s="1141">
        <f>Tabla1[[#This Row],[Tarifa 2012 (Mx$/ton)]]*(1+IncrementoTarifa)</f>
        <v>809.09493600000008</v>
      </c>
    </row>
    <row r="220" spans="1:15" ht="15" x14ac:dyDescent="0.25">
      <c r="A220" s="716" t="s">
        <v>982</v>
      </c>
      <c r="B220" s="717" t="s">
        <v>983</v>
      </c>
      <c r="C220" s="718">
        <v>1110</v>
      </c>
      <c r="D220" s="717">
        <v>40.659999999999997</v>
      </c>
      <c r="E220" s="717">
        <v>0.36</v>
      </c>
      <c r="F220" s="717">
        <v>440.26</v>
      </c>
      <c r="G220" s="717">
        <v>112.589</v>
      </c>
      <c r="H220" s="717">
        <v>0</v>
      </c>
      <c r="I220" s="717">
        <v>0</v>
      </c>
      <c r="J220" s="717">
        <v>0</v>
      </c>
      <c r="K220" s="717">
        <v>0</v>
      </c>
      <c r="L220" s="717">
        <v>0</v>
      </c>
      <c r="M220" s="719">
        <v>935.94</v>
      </c>
      <c r="N220" s="720">
        <f t="shared" si="3"/>
        <v>935.94</v>
      </c>
      <c r="O220" s="1141">
        <f>Tabla1[[#This Row],[Tarifa 2012 (Mx$/ton)]]*(1+IncrementoTarifa)</f>
        <v>982.64340600000014</v>
      </c>
    </row>
    <row r="221" spans="1:15" ht="15" x14ac:dyDescent="0.25">
      <c r="A221" s="716" t="s">
        <v>984</v>
      </c>
      <c r="B221" s="717" t="s">
        <v>985</v>
      </c>
      <c r="C221" s="718">
        <v>1268</v>
      </c>
      <c r="D221" s="717">
        <v>40.659999999999997</v>
      </c>
      <c r="E221" s="717">
        <v>0.36</v>
      </c>
      <c r="F221" s="717">
        <v>497.14</v>
      </c>
      <c r="G221" s="717">
        <v>112.589</v>
      </c>
      <c r="H221" s="717">
        <v>0</v>
      </c>
      <c r="I221" s="717">
        <v>0</v>
      </c>
      <c r="J221" s="717">
        <v>0</v>
      </c>
      <c r="K221" s="717">
        <v>0</v>
      </c>
      <c r="L221" s="717">
        <v>0</v>
      </c>
      <c r="M221" s="719">
        <v>1056.8599999999999</v>
      </c>
      <c r="N221" s="720">
        <f t="shared" si="3"/>
        <v>1056.8599999999999</v>
      </c>
      <c r="O221" s="1141">
        <f>Tabla1[[#This Row],[Tarifa 2012 (Mx$/ton)]]*(1+IncrementoTarifa)</f>
        <v>1109.5973139999999</v>
      </c>
    </row>
    <row r="222" spans="1:15" ht="15" x14ac:dyDescent="0.25">
      <c r="A222" s="716" t="s">
        <v>986</v>
      </c>
      <c r="B222" s="717" t="s">
        <v>987</v>
      </c>
      <c r="C222" s="718">
        <v>1171</v>
      </c>
      <c r="D222" s="717">
        <v>40.659999999999997</v>
      </c>
      <c r="E222" s="717">
        <v>0.36</v>
      </c>
      <c r="F222" s="717">
        <v>462.22</v>
      </c>
      <c r="G222" s="717">
        <v>112.589</v>
      </c>
      <c r="H222" s="717">
        <v>0</v>
      </c>
      <c r="I222" s="717">
        <v>0</v>
      </c>
      <c r="J222" s="717">
        <v>0</v>
      </c>
      <c r="K222" s="717">
        <v>0</v>
      </c>
      <c r="L222" s="717">
        <v>0</v>
      </c>
      <c r="M222" s="719">
        <v>982.63</v>
      </c>
      <c r="N222" s="720">
        <f t="shared" si="3"/>
        <v>982.63</v>
      </c>
      <c r="O222" s="1141">
        <f>Tabla1[[#This Row],[Tarifa 2012 (Mx$/ton)]]*(1+IncrementoTarifa)</f>
        <v>1031.663237</v>
      </c>
    </row>
    <row r="223" spans="1:15" ht="15" x14ac:dyDescent="0.25">
      <c r="A223" s="716" t="s">
        <v>988</v>
      </c>
      <c r="B223" s="717" t="s">
        <v>989</v>
      </c>
      <c r="C223" s="718">
        <v>680</v>
      </c>
      <c r="D223" s="717">
        <v>40.659999999999997</v>
      </c>
      <c r="E223" s="717">
        <v>0.36</v>
      </c>
      <c r="F223" s="717">
        <v>285.45999999999998</v>
      </c>
      <c r="G223" s="717">
        <v>112.589</v>
      </c>
      <c r="H223" s="717">
        <v>0</v>
      </c>
      <c r="I223" s="717">
        <v>0</v>
      </c>
      <c r="J223" s="717">
        <v>0</v>
      </c>
      <c r="K223" s="717">
        <v>0</v>
      </c>
      <c r="L223" s="717">
        <v>0</v>
      </c>
      <c r="M223" s="719">
        <v>606.86</v>
      </c>
      <c r="N223" s="720">
        <f t="shared" si="3"/>
        <v>606.86</v>
      </c>
      <c r="O223" s="1141">
        <f>Tabla1[[#This Row],[Tarifa 2012 (Mx$/ton)]]*(1+IncrementoTarifa)</f>
        <v>637.14231400000006</v>
      </c>
    </row>
    <row r="224" spans="1:15" ht="15" x14ac:dyDescent="0.25">
      <c r="A224" s="716" t="s">
        <v>990</v>
      </c>
      <c r="B224" s="717" t="s">
        <v>991</v>
      </c>
      <c r="C224" s="718">
        <v>640</v>
      </c>
      <c r="D224" s="717">
        <v>40.659999999999997</v>
      </c>
      <c r="E224" s="717">
        <v>0.36</v>
      </c>
      <c r="F224" s="717">
        <v>271.06</v>
      </c>
      <c r="G224" s="717">
        <v>112.589</v>
      </c>
      <c r="H224" s="717">
        <v>0</v>
      </c>
      <c r="I224" s="717">
        <v>0</v>
      </c>
      <c r="J224" s="717">
        <v>0</v>
      </c>
      <c r="K224" s="717">
        <v>0</v>
      </c>
      <c r="L224" s="717">
        <v>0</v>
      </c>
      <c r="M224" s="719">
        <v>576.24</v>
      </c>
      <c r="N224" s="720">
        <f t="shared" si="3"/>
        <v>576.24</v>
      </c>
      <c r="O224" s="1141">
        <f>Tabla1[[#This Row],[Tarifa 2012 (Mx$/ton)]]*(1+IncrementoTarifa)</f>
        <v>604.99437599999999</v>
      </c>
    </row>
    <row r="225" spans="1:15" ht="15" x14ac:dyDescent="0.25">
      <c r="A225" s="716" t="s">
        <v>504</v>
      </c>
      <c r="B225" s="717" t="s">
        <v>992</v>
      </c>
      <c r="C225" s="718">
        <v>900</v>
      </c>
      <c r="D225" s="717">
        <v>40.659999999999997</v>
      </c>
      <c r="E225" s="717">
        <v>0.36</v>
      </c>
      <c r="F225" s="717">
        <v>364.66</v>
      </c>
      <c r="G225" s="717">
        <v>112.589</v>
      </c>
      <c r="H225" s="717">
        <v>0</v>
      </c>
      <c r="I225" s="717">
        <v>0</v>
      </c>
      <c r="J225" s="717">
        <v>0</v>
      </c>
      <c r="K225" s="717">
        <v>0</v>
      </c>
      <c r="L225" s="717">
        <v>0</v>
      </c>
      <c r="M225" s="719">
        <v>775.23</v>
      </c>
      <c r="N225" s="720">
        <f t="shared" si="3"/>
        <v>775.23</v>
      </c>
      <c r="O225" s="1141">
        <f>Tabla1[[#This Row],[Tarifa 2012 (Mx$/ton)]]*(1+IncrementoTarifa)</f>
        <v>813.91397700000005</v>
      </c>
    </row>
    <row r="226" spans="1:15" ht="15" x14ac:dyDescent="0.25">
      <c r="A226" s="716" t="s">
        <v>993</v>
      </c>
      <c r="B226" s="717" t="s">
        <v>994</v>
      </c>
      <c r="C226" s="718">
        <v>950</v>
      </c>
      <c r="D226" s="717">
        <v>40.659999999999997</v>
      </c>
      <c r="E226" s="717">
        <v>0.36</v>
      </c>
      <c r="F226" s="717">
        <v>382.66</v>
      </c>
      <c r="G226" s="717">
        <v>112.589</v>
      </c>
      <c r="H226" s="717">
        <v>0</v>
      </c>
      <c r="I226" s="717">
        <v>10</v>
      </c>
      <c r="J226" s="717">
        <v>0</v>
      </c>
      <c r="K226" s="717">
        <v>0</v>
      </c>
      <c r="L226" s="717">
        <v>0</v>
      </c>
      <c r="M226" s="719">
        <v>851.76</v>
      </c>
      <c r="N226" s="720">
        <f t="shared" si="3"/>
        <v>851.76</v>
      </c>
      <c r="O226" s="1141">
        <f>Tabla1[[#This Row],[Tarifa 2012 (Mx$/ton)]]*(1+IncrementoTarifa)</f>
        <v>894.26282400000002</v>
      </c>
    </row>
    <row r="227" spans="1:15" ht="15" x14ac:dyDescent="0.25">
      <c r="A227" s="716" t="s">
        <v>995</v>
      </c>
      <c r="B227" s="717" t="s">
        <v>996</v>
      </c>
      <c r="C227" s="718">
        <v>870</v>
      </c>
      <c r="D227" s="717">
        <v>40.659999999999997</v>
      </c>
      <c r="E227" s="717">
        <v>0.36</v>
      </c>
      <c r="F227" s="717">
        <v>353.86</v>
      </c>
      <c r="G227" s="717">
        <v>112.589</v>
      </c>
      <c r="H227" s="717">
        <v>0</v>
      </c>
      <c r="I227" s="717">
        <v>10</v>
      </c>
      <c r="J227" s="717">
        <v>0</v>
      </c>
      <c r="K227" s="717">
        <v>0</v>
      </c>
      <c r="L227" s="717">
        <v>0</v>
      </c>
      <c r="M227" s="719">
        <v>787.65</v>
      </c>
      <c r="N227" s="720">
        <f t="shared" si="3"/>
        <v>787.65</v>
      </c>
      <c r="O227" s="1141">
        <f>Tabla1[[#This Row],[Tarifa 2012 (Mx$/ton)]]*(1+IncrementoTarifa)</f>
        <v>826.95373500000005</v>
      </c>
    </row>
    <row r="228" spans="1:15" ht="15" x14ac:dyDescent="0.25">
      <c r="A228" s="716" t="s">
        <v>997</v>
      </c>
      <c r="B228" s="717" t="s">
        <v>998</v>
      </c>
      <c r="C228" s="718">
        <v>641</v>
      </c>
      <c r="D228" s="717">
        <v>40.659999999999997</v>
      </c>
      <c r="E228" s="717">
        <v>0.36</v>
      </c>
      <c r="F228" s="717">
        <v>271.42</v>
      </c>
      <c r="G228" s="717">
        <v>112.589</v>
      </c>
      <c r="H228" s="717">
        <v>0</v>
      </c>
      <c r="I228" s="717">
        <v>0</v>
      </c>
      <c r="J228" s="717">
        <v>0</v>
      </c>
      <c r="K228" s="717">
        <v>0</v>
      </c>
      <c r="L228" s="717">
        <v>0</v>
      </c>
      <c r="M228" s="719">
        <v>577.01</v>
      </c>
      <c r="N228" s="720">
        <f t="shared" si="3"/>
        <v>577.01</v>
      </c>
      <c r="O228" s="1141">
        <f>Tabla1[[#This Row],[Tarifa 2012 (Mx$/ton)]]*(1+IncrementoTarifa)</f>
        <v>605.80279900000005</v>
      </c>
    </row>
    <row r="229" spans="1:15" ht="15" x14ac:dyDescent="0.25">
      <c r="A229" s="716" t="s">
        <v>999</v>
      </c>
      <c r="B229" s="717" t="s">
        <v>1000</v>
      </c>
      <c r="C229" s="718">
        <v>960</v>
      </c>
      <c r="D229" s="717">
        <v>40.659999999999997</v>
      </c>
      <c r="E229" s="717">
        <v>0.36</v>
      </c>
      <c r="F229" s="717">
        <v>386.26</v>
      </c>
      <c r="G229" s="717">
        <v>112.589</v>
      </c>
      <c r="H229" s="717">
        <v>0</v>
      </c>
      <c r="I229" s="717">
        <v>10</v>
      </c>
      <c r="J229" s="717">
        <v>0</v>
      </c>
      <c r="K229" s="717">
        <v>0</v>
      </c>
      <c r="L229" s="717">
        <v>0</v>
      </c>
      <c r="M229" s="719">
        <v>859.77</v>
      </c>
      <c r="N229" s="720">
        <f t="shared" si="3"/>
        <v>859.77</v>
      </c>
      <c r="O229" s="1141">
        <f>Tabla1[[#This Row],[Tarifa 2012 (Mx$/ton)]]*(1+IncrementoTarifa)</f>
        <v>902.67252300000007</v>
      </c>
    </row>
    <row r="230" spans="1:15" ht="15" x14ac:dyDescent="0.25">
      <c r="A230" s="716" t="s">
        <v>1001</v>
      </c>
      <c r="B230" s="717" t="s">
        <v>1002</v>
      </c>
      <c r="C230" s="718">
        <v>750</v>
      </c>
      <c r="D230" s="717">
        <v>40.659999999999997</v>
      </c>
      <c r="E230" s="717">
        <v>0.36</v>
      </c>
      <c r="F230" s="717">
        <v>310.66000000000003</v>
      </c>
      <c r="G230" s="717">
        <v>112.589</v>
      </c>
      <c r="H230" s="717">
        <v>0</v>
      </c>
      <c r="I230" s="717">
        <v>0</v>
      </c>
      <c r="J230" s="717">
        <v>0</v>
      </c>
      <c r="K230" s="717">
        <v>0</v>
      </c>
      <c r="L230" s="717">
        <v>0</v>
      </c>
      <c r="M230" s="719">
        <v>660.43</v>
      </c>
      <c r="N230" s="720">
        <f t="shared" si="3"/>
        <v>660.43</v>
      </c>
      <c r="O230" s="1141">
        <f>Tabla1[[#This Row],[Tarifa 2012 (Mx$/ton)]]*(1+IncrementoTarifa)</f>
        <v>693.38545699999997</v>
      </c>
    </row>
    <row r="231" spans="1:15" ht="15" x14ac:dyDescent="0.25">
      <c r="A231" s="716" t="s">
        <v>1003</v>
      </c>
      <c r="B231" s="717" t="s">
        <v>1004</v>
      </c>
      <c r="C231" s="718">
        <v>778</v>
      </c>
      <c r="D231" s="717">
        <v>40.659999999999997</v>
      </c>
      <c r="E231" s="717">
        <v>0.36</v>
      </c>
      <c r="F231" s="717">
        <v>320.74</v>
      </c>
      <c r="G231" s="717">
        <v>112.589</v>
      </c>
      <c r="H231" s="717">
        <v>0</v>
      </c>
      <c r="I231" s="717">
        <v>10</v>
      </c>
      <c r="J231" s="717">
        <v>0</v>
      </c>
      <c r="K231" s="717">
        <v>0</v>
      </c>
      <c r="L231" s="717">
        <v>0</v>
      </c>
      <c r="M231" s="719">
        <v>713.93</v>
      </c>
      <c r="N231" s="720">
        <f t="shared" si="3"/>
        <v>713.93</v>
      </c>
      <c r="O231" s="1141">
        <f>Tabla1[[#This Row],[Tarifa 2012 (Mx$/ton)]]*(1+IncrementoTarifa)</f>
        <v>749.55510700000002</v>
      </c>
    </row>
    <row r="232" spans="1:15" ht="15" x14ac:dyDescent="0.25">
      <c r="A232" s="716" t="s">
        <v>1005</v>
      </c>
      <c r="B232" s="717" t="s">
        <v>1006</v>
      </c>
      <c r="C232" s="718">
        <v>590</v>
      </c>
      <c r="D232" s="717">
        <v>40.659999999999997</v>
      </c>
      <c r="E232" s="717">
        <v>0.36</v>
      </c>
      <c r="F232" s="717">
        <v>253.06</v>
      </c>
      <c r="G232" s="717">
        <v>112.589</v>
      </c>
      <c r="H232" s="717">
        <v>0</v>
      </c>
      <c r="I232" s="717">
        <v>0</v>
      </c>
      <c r="J232" s="717">
        <v>0</v>
      </c>
      <c r="K232" s="717">
        <v>0</v>
      </c>
      <c r="L232" s="717">
        <v>0</v>
      </c>
      <c r="M232" s="719">
        <v>537.98</v>
      </c>
      <c r="N232" s="720">
        <f t="shared" si="3"/>
        <v>537.98</v>
      </c>
      <c r="O232" s="1141">
        <f>Tabla1[[#This Row],[Tarifa 2012 (Mx$/ton)]]*(1+IncrementoTarifa)</f>
        <v>564.8252020000001</v>
      </c>
    </row>
    <row r="233" spans="1:15" ht="15" x14ac:dyDescent="0.25">
      <c r="A233" s="716" t="s">
        <v>1007</v>
      </c>
      <c r="B233" s="717" t="s">
        <v>1008</v>
      </c>
      <c r="C233" s="718">
        <v>849</v>
      </c>
      <c r="D233" s="717">
        <v>40.659999999999997</v>
      </c>
      <c r="E233" s="717">
        <v>0.36</v>
      </c>
      <c r="F233" s="717">
        <v>346.3</v>
      </c>
      <c r="G233" s="717">
        <v>112.589</v>
      </c>
      <c r="H233" s="717">
        <v>0</v>
      </c>
      <c r="I233" s="717">
        <v>0</v>
      </c>
      <c r="J233" s="717">
        <v>0</v>
      </c>
      <c r="K233" s="717">
        <v>0</v>
      </c>
      <c r="L233" s="717">
        <v>0</v>
      </c>
      <c r="M233" s="719">
        <v>736.2</v>
      </c>
      <c r="N233" s="720">
        <f t="shared" si="3"/>
        <v>736.2</v>
      </c>
      <c r="O233" s="1141">
        <f>Tabla1[[#This Row],[Tarifa 2012 (Mx$/ton)]]*(1+IncrementoTarifa)</f>
        <v>772.9363800000001</v>
      </c>
    </row>
    <row r="234" spans="1:15" ht="15" x14ac:dyDescent="0.25">
      <c r="A234" s="716" t="s">
        <v>1009</v>
      </c>
      <c r="B234" s="717" t="s">
        <v>1010</v>
      </c>
      <c r="C234" s="718">
        <v>803</v>
      </c>
      <c r="D234" s="717">
        <v>40.659999999999997</v>
      </c>
      <c r="E234" s="717">
        <v>0.36</v>
      </c>
      <c r="F234" s="717">
        <v>329.74</v>
      </c>
      <c r="G234" s="717">
        <v>112.589</v>
      </c>
      <c r="H234" s="717">
        <v>0</v>
      </c>
      <c r="I234" s="717">
        <v>10</v>
      </c>
      <c r="J234" s="717">
        <v>0</v>
      </c>
      <c r="K234" s="717">
        <v>0</v>
      </c>
      <c r="L234" s="717">
        <v>0</v>
      </c>
      <c r="M234" s="719">
        <v>733.96</v>
      </c>
      <c r="N234" s="720">
        <f t="shared" si="3"/>
        <v>733.96</v>
      </c>
      <c r="O234" s="1141">
        <f>Tabla1[[#This Row],[Tarifa 2012 (Mx$/ton)]]*(1+IncrementoTarifa)</f>
        <v>770.58460400000013</v>
      </c>
    </row>
    <row r="235" spans="1:15" ht="15" x14ac:dyDescent="0.25">
      <c r="A235" s="716" t="s">
        <v>1011</v>
      </c>
      <c r="B235" s="717" t="s">
        <v>1012</v>
      </c>
      <c r="C235" s="718">
        <v>788</v>
      </c>
      <c r="D235" s="717">
        <v>40.659999999999997</v>
      </c>
      <c r="E235" s="717">
        <v>0.36</v>
      </c>
      <c r="F235" s="717">
        <v>324.33999999999997</v>
      </c>
      <c r="G235" s="717">
        <v>112.589</v>
      </c>
      <c r="H235" s="717">
        <v>0</v>
      </c>
      <c r="I235" s="717">
        <v>0</v>
      </c>
      <c r="J235" s="717">
        <v>0</v>
      </c>
      <c r="K235" s="717">
        <v>0</v>
      </c>
      <c r="L235" s="717">
        <v>0</v>
      </c>
      <c r="M235" s="719">
        <v>689.51</v>
      </c>
      <c r="N235" s="720">
        <f t="shared" si="3"/>
        <v>689.51</v>
      </c>
      <c r="O235" s="1141">
        <f>Tabla1[[#This Row],[Tarifa 2012 (Mx$/ton)]]*(1+IncrementoTarifa)</f>
        <v>723.91654900000003</v>
      </c>
    </row>
    <row r="236" spans="1:15" ht="15" x14ac:dyDescent="0.25">
      <c r="A236" s="716" t="s">
        <v>1013</v>
      </c>
      <c r="B236" s="717" t="s">
        <v>1014</v>
      </c>
      <c r="C236" s="718">
        <v>858</v>
      </c>
      <c r="D236" s="717">
        <v>40.659999999999997</v>
      </c>
      <c r="E236" s="717">
        <v>0.36</v>
      </c>
      <c r="F236" s="717">
        <v>349.54</v>
      </c>
      <c r="G236" s="717">
        <v>112.589</v>
      </c>
      <c r="H236" s="717">
        <v>0</v>
      </c>
      <c r="I236" s="717">
        <v>0</v>
      </c>
      <c r="J236" s="717">
        <v>0</v>
      </c>
      <c r="K236" s="717">
        <v>0</v>
      </c>
      <c r="L236" s="717">
        <v>0</v>
      </c>
      <c r="M236" s="719">
        <v>743.08</v>
      </c>
      <c r="N236" s="720">
        <f t="shared" si="3"/>
        <v>743.08</v>
      </c>
      <c r="O236" s="1141">
        <f>Tabla1[[#This Row],[Tarifa 2012 (Mx$/ton)]]*(1+IncrementoTarifa)</f>
        <v>780.15969200000006</v>
      </c>
    </row>
    <row r="237" spans="1:15" ht="15" x14ac:dyDescent="0.25">
      <c r="A237" s="716" t="s">
        <v>1015</v>
      </c>
      <c r="B237" s="717" t="s">
        <v>1016</v>
      </c>
      <c r="C237" s="718">
        <v>826</v>
      </c>
      <c r="D237" s="717">
        <v>40.659999999999997</v>
      </c>
      <c r="E237" s="717">
        <v>0.36</v>
      </c>
      <c r="F237" s="717">
        <v>338.02</v>
      </c>
      <c r="G237" s="717">
        <v>112.589</v>
      </c>
      <c r="H237" s="717">
        <v>0</v>
      </c>
      <c r="I237" s="717">
        <v>10</v>
      </c>
      <c r="J237" s="717">
        <v>0</v>
      </c>
      <c r="K237" s="717">
        <v>0</v>
      </c>
      <c r="L237" s="717">
        <v>0</v>
      </c>
      <c r="M237" s="719">
        <v>752.4</v>
      </c>
      <c r="N237" s="720">
        <f t="shared" si="3"/>
        <v>752.4</v>
      </c>
      <c r="O237" s="1141">
        <f>Tabla1[[#This Row],[Tarifa 2012 (Mx$/ton)]]*(1+IncrementoTarifa)</f>
        <v>789.94475999999997</v>
      </c>
    </row>
    <row r="238" spans="1:15" ht="15" x14ac:dyDescent="0.25">
      <c r="A238" s="716" t="s">
        <v>1017</v>
      </c>
      <c r="B238" s="717" t="s">
        <v>1018</v>
      </c>
      <c r="C238" s="718">
        <v>920</v>
      </c>
      <c r="D238" s="717">
        <v>40.659999999999997</v>
      </c>
      <c r="E238" s="717">
        <v>0.36</v>
      </c>
      <c r="F238" s="717">
        <v>371.86</v>
      </c>
      <c r="G238" s="717">
        <v>112.589</v>
      </c>
      <c r="H238" s="717">
        <v>0</v>
      </c>
      <c r="I238" s="717">
        <v>0</v>
      </c>
      <c r="J238" s="717">
        <v>0</v>
      </c>
      <c r="K238" s="717">
        <v>0</v>
      </c>
      <c r="L238" s="717">
        <v>0</v>
      </c>
      <c r="M238" s="719">
        <v>790.53</v>
      </c>
      <c r="N238" s="720">
        <f t="shared" si="3"/>
        <v>790.53</v>
      </c>
      <c r="O238" s="1141">
        <f>Tabla1[[#This Row],[Tarifa 2012 (Mx$/ton)]]*(1+IncrementoTarifa)</f>
        <v>829.97744699999998</v>
      </c>
    </row>
    <row r="239" spans="1:15" ht="15" x14ac:dyDescent="0.25">
      <c r="A239" s="716" t="s">
        <v>1019</v>
      </c>
      <c r="B239" s="717" t="s">
        <v>1020</v>
      </c>
      <c r="C239" s="718">
        <v>1030</v>
      </c>
      <c r="D239" s="717">
        <v>40.659999999999997</v>
      </c>
      <c r="E239" s="717">
        <v>0.36</v>
      </c>
      <c r="F239" s="717">
        <v>411.46</v>
      </c>
      <c r="G239" s="717">
        <v>112.589</v>
      </c>
      <c r="H239" s="717">
        <v>0</v>
      </c>
      <c r="I239" s="717">
        <v>0</v>
      </c>
      <c r="J239" s="717">
        <v>0</v>
      </c>
      <c r="K239" s="717">
        <v>0</v>
      </c>
      <c r="L239" s="717">
        <v>0</v>
      </c>
      <c r="M239" s="719">
        <v>874.72</v>
      </c>
      <c r="N239" s="720">
        <f t="shared" si="3"/>
        <v>874.72</v>
      </c>
      <c r="O239" s="1141">
        <f>Tabla1[[#This Row],[Tarifa 2012 (Mx$/ton)]]*(1+IncrementoTarifa)</f>
        <v>918.36852800000008</v>
      </c>
    </row>
    <row r="240" spans="1:15" ht="15" x14ac:dyDescent="0.25">
      <c r="A240" s="716" t="s">
        <v>1021</v>
      </c>
      <c r="B240" s="717" t="s">
        <v>1022</v>
      </c>
      <c r="C240" s="718">
        <v>894</v>
      </c>
      <c r="D240" s="717">
        <v>40.659999999999997</v>
      </c>
      <c r="E240" s="717">
        <v>0.36</v>
      </c>
      <c r="F240" s="717">
        <v>362.5</v>
      </c>
      <c r="G240" s="717">
        <v>112.589</v>
      </c>
      <c r="H240" s="717">
        <v>0</v>
      </c>
      <c r="I240" s="717">
        <v>0</v>
      </c>
      <c r="J240" s="717">
        <v>0</v>
      </c>
      <c r="K240" s="717">
        <v>0</v>
      </c>
      <c r="L240" s="717">
        <v>0</v>
      </c>
      <c r="M240" s="719">
        <v>770.64</v>
      </c>
      <c r="N240" s="720">
        <f t="shared" si="3"/>
        <v>770.64</v>
      </c>
      <c r="O240" s="1141">
        <f>Tabla1[[#This Row],[Tarifa 2012 (Mx$/ton)]]*(1+IncrementoTarifa)</f>
        <v>809.09493600000008</v>
      </c>
    </row>
    <row r="241" spans="1:15" ht="15" x14ac:dyDescent="0.25">
      <c r="A241" s="716" t="s">
        <v>1023</v>
      </c>
      <c r="B241" s="717" t="s">
        <v>1024</v>
      </c>
      <c r="C241" s="718">
        <v>1011</v>
      </c>
      <c r="D241" s="717">
        <v>40.659999999999997</v>
      </c>
      <c r="E241" s="717">
        <v>0.36</v>
      </c>
      <c r="F241" s="717">
        <v>404.62</v>
      </c>
      <c r="G241" s="717">
        <v>112.589</v>
      </c>
      <c r="H241" s="717">
        <v>0</v>
      </c>
      <c r="I241" s="717">
        <v>10</v>
      </c>
      <c r="J241" s="717">
        <v>0</v>
      </c>
      <c r="K241" s="717">
        <v>0</v>
      </c>
      <c r="L241" s="717">
        <v>0</v>
      </c>
      <c r="M241" s="719">
        <v>900.64</v>
      </c>
      <c r="N241" s="720">
        <f t="shared" si="3"/>
        <v>900.64</v>
      </c>
      <c r="O241" s="1141">
        <f>Tabla1[[#This Row],[Tarifa 2012 (Mx$/ton)]]*(1+IncrementoTarifa)</f>
        <v>945.58193600000004</v>
      </c>
    </row>
    <row r="242" spans="1:15" ht="15" x14ac:dyDescent="0.25">
      <c r="A242" s="716" t="s">
        <v>1025</v>
      </c>
      <c r="B242" s="717" t="s">
        <v>1026</v>
      </c>
      <c r="C242" s="718">
        <v>1061</v>
      </c>
      <c r="D242" s="717">
        <v>40.659999999999997</v>
      </c>
      <c r="E242" s="717">
        <v>0.36</v>
      </c>
      <c r="F242" s="717">
        <v>422.62</v>
      </c>
      <c r="G242" s="717">
        <v>112.589</v>
      </c>
      <c r="H242" s="717">
        <v>0</v>
      </c>
      <c r="I242" s="717">
        <v>0</v>
      </c>
      <c r="J242" s="717">
        <v>0</v>
      </c>
      <c r="K242" s="717">
        <v>0</v>
      </c>
      <c r="L242" s="717">
        <v>0</v>
      </c>
      <c r="M242" s="719">
        <v>898.44</v>
      </c>
      <c r="N242" s="720">
        <f t="shared" si="3"/>
        <v>898.44</v>
      </c>
      <c r="O242" s="1141">
        <f>Tabla1[[#This Row],[Tarifa 2012 (Mx$/ton)]]*(1+IncrementoTarifa)</f>
        <v>943.27215600000011</v>
      </c>
    </row>
    <row r="243" spans="1:15" ht="15" x14ac:dyDescent="0.25">
      <c r="A243" s="716" t="s">
        <v>1027</v>
      </c>
      <c r="B243" s="717" t="s">
        <v>1028</v>
      </c>
      <c r="C243" s="718">
        <v>853</v>
      </c>
      <c r="D243" s="717">
        <v>40.659999999999997</v>
      </c>
      <c r="E243" s="717">
        <v>0.36</v>
      </c>
      <c r="F243" s="717">
        <v>347.74</v>
      </c>
      <c r="G243" s="717">
        <v>112.589</v>
      </c>
      <c r="H243" s="717">
        <v>0</v>
      </c>
      <c r="I243" s="717">
        <v>0</v>
      </c>
      <c r="J243" s="717">
        <v>0</v>
      </c>
      <c r="K243" s="717">
        <v>0</v>
      </c>
      <c r="L243" s="717">
        <v>0</v>
      </c>
      <c r="M243" s="719">
        <v>739.26</v>
      </c>
      <c r="N243" s="720">
        <f t="shared" si="3"/>
        <v>739.26</v>
      </c>
      <c r="O243" s="1141">
        <f>Tabla1[[#This Row],[Tarifa 2012 (Mx$/ton)]]*(1+IncrementoTarifa)</f>
        <v>776.14907400000004</v>
      </c>
    </row>
    <row r="244" spans="1:15" ht="15" x14ac:dyDescent="0.25">
      <c r="A244" s="716" t="s">
        <v>1029</v>
      </c>
      <c r="B244" s="717" t="s">
        <v>1030</v>
      </c>
      <c r="C244" s="718">
        <v>770</v>
      </c>
      <c r="D244" s="717">
        <v>40.659999999999997</v>
      </c>
      <c r="E244" s="717">
        <v>0.36</v>
      </c>
      <c r="F244" s="717">
        <v>317.86</v>
      </c>
      <c r="G244" s="717">
        <v>112.589</v>
      </c>
      <c r="H244" s="717">
        <v>0</v>
      </c>
      <c r="I244" s="717">
        <v>0</v>
      </c>
      <c r="J244" s="717">
        <v>0</v>
      </c>
      <c r="K244" s="717">
        <v>0</v>
      </c>
      <c r="L244" s="717">
        <v>0</v>
      </c>
      <c r="M244" s="719">
        <v>675.74</v>
      </c>
      <c r="N244" s="720">
        <f t="shared" si="3"/>
        <v>675.74</v>
      </c>
      <c r="O244" s="1141">
        <f>Tabla1[[#This Row],[Tarifa 2012 (Mx$/ton)]]*(1+IncrementoTarifa)</f>
        <v>709.45942600000001</v>
      </c>
    </row>
    <row r="245" spans="1:15" ht="15" x14ac:dyDescent="0.25">
      <c r="A245" s="716" t="s">
        <v>1031</v>
      </c>
      <c r="B245" s="717" t="s">
        <v>1032</v>
      </c>
      <c r="C245" s="718">
        <v>834</v>
      </c>
      <c r="D245" s="717">
        <v>40.659999999999997</v>
      </c>
      <c r="E245" s="717">
        <v>0.36</v>
      </c>
      <c r="F245" s="717">
        <v>340.9</v>
      </c>
      <c r="G245" s="717">
        <v>112.589</v>
      </c>
      <c r="H245" s="717">
        <v>0</v>
      </c>
      <c r="I245" s="717">
        <v>0</v>
      </c>
      <c r="J245" s="717">
        <v>0</v>
      </c>
      <c r="K245" s="717">
        <v>0</v>
      </c>
      <c r="L245" s="717">
        <v>0</v>
      </c>
      <c r="M245" s="719">
        <v>724.72</v>
      </c>
      <c r="N245" s="720">
        <f t="shared" si="3"/>
        <v>724.72</v>
      </c>
      <c r="O245" s="1141">
        <f>Tabla1[[#This Row],[Tarifa 2012 (Mx$/ton)]]*(1+IncrementoTarifa)</f>
        <v>760.88352800000007</v>
      </c>
    </row>
    <row r="246" spans="1:15" ht="15" x14ac:dyDescent="0.25">
      <c r="A246" s="716" t="s">
        <v>1033</v>
      </c>
      <c r="B246" s="717" t="s">
        <v>1034</v>
      </c>
      <c r="C246" s="718">
        <v>678</v>
      </c>
      <c r="D246" s="717">
        <v>40.659999999999997</v>
      </c>
      <c r="E246" s="717">
        <v>0.36</v>
      </c>
      <c r="F246" s="717">
        <v>284.74</v>
      </c>
      <c r="G246" s="717">
        <v>112.589</v>
      </c>
      <c r="H246" s="717">
        <v>0</v>
      </c>
      <c r="I246" s="717">
        <v>0</v>
      </c>
      <c r="J246" s="717">
        <v>0</v>
      </c>
      <c r="K246" s="717">
        <v>0</v>
      </c>
      <c r="L246" s="717">
        <v>0</v>
      </c>
      <c r="M246" s="719">
        <v>605.33000000000004</v>
      </c>
      <c r="N246" s="720">
        <f t="shared" si="3"/>
        <v>605.33000000000004</v>
      </c>
      <c r="O246" s="1141">
        <f>Tabla1[[#This Row],[Tarifa 2012 (Mx$/ton)]]*(1+IncrementoTarifa)</f>
        <v>635.53596700000003</v>
      </c>
    </row>
    <row r="247" spans="1:15" ht="15" x14ac:dyDescent="0.25">
      <c r="A247" s="716" t="s">
        <v>1035</v>
      </c>
      <c r="B247" s="717" t="s">
        <v>1036</v>
      </c>
      <c r="C247" s="718">
        <v>271</v>
      </c>
      <c r="D247" s="717">
        <v>40.659999999999997</v>
      </c>
      <c r="E247" s="717">
        <v>0.36</v>
      </c>
      <c r="F247" s="717">
        <v>138.22</v>
      </c>
      <c r="G247" s="717">
        <v>112.589</v>
      </c>
      <c r="H247" s="717">
        <v>0</v>
      </c>
      <c r="I247" s="717">
        <v>0</v>
      </c>
      <c r="J247" s="717">
        <v>0</v>
      </c>
      <c r="K247" s="717">
        <v>0</v>
      </c>
      <c r="L247" s="717">
        <v>0</v>
      </c>
      <c r="M247" s="719">
        <v>293.83999999999997</v>
      </c>
      <c r="N247" s="720">
        <f t="shared" si="3"/>
        <v>293.83999999999997</v>
      </c>
      <c r="O247" s="1141">
        <f>Tabla1[[#This Row],[Tarifa 2012 (Mx$/ton)]]*(1+IncrementoTarifa)</f>
        <v>308.50261599999999</v>
      </c>
    </row>
    <row r="248" spans="1:15" ht="15" x14ac:dyDescent="0.25">
      <c r="A248" s="716" t="s">
        <v>1037</v>
      </c>
      <c r="B248" s="717" t="s">
        <v>1038</v>
      </c>
      <c r="C248" s="718">
        <v>360</v>
      </c>
      <c r="D248" s="717">
        <v>40.659999999999997</v>
      </c>
      <c r="E248" s="717">
        <v>0.36</v>
      </c>
      <c r="F248" s="717">
        <v>170.26</v>
      </c>
      <c r="G248" s="717">
        <v>112.589</v>
      </c>
      <c r="H248" s="717">
        <v>0</v>
      </c>
      <c r="I248" s="717">
        <v>0</v>
      </c>
      <c r="J248" s="717">
        <v>0</v>
      </c>
      <c r="K248" s="717">
        <v>0</v>
      </c>
      <c r="L248" s="717">
        <v>0</v>
      </c>
      <c r="M248" s="719">
        <v>361.95</v>
      </c>
      <c r="N248" s="720">
        <f t="shared" si="3"/>
        <v>361.95</v>
      </c>
      <c r="O248" s="1141">
        <f>Tabla1[[#This Row],[Tarifa 2012 (Mx$/ton)]]*(1+IncrementoTarifa)</f>
        <v>380.01130499999999</v>
      </c>
    </row>
    <row r="249" spans="1:15" ht="15" x14ac:dyDescent="0.25">
      <c r="A249" s="716" t="s">
        <v>1039</v>
      </c>
      <c r="B249" s="717" t="s">
        <v>1040</v>
      </c>
      <c r="C249" s="718">
        <v>360</v>
      </c>
      <c r="D249" s="717">
        <v>40.659999999999997</v>
      </c>
      <c r="E249" s="717">
        <v>0.36</v>
      </c>
      <c r="F249" s="717">
        <v>170.26</v>
      </c>
      <c r="G249" s="717">
        <v>112.589</v>
      </c>
      <c r="H249" s="717">
        <v>0</v>
      </c>
      <c r="I249" s="717">
        <v>0</v>
      </c>
      <c r="J249" s="717">
        <v>0</v>
      </c>
      <c r="K249" s="717">
        <v>0</v>
      </c>
      <c r="L249" s="717">
        <v>0</v>
      </c>
      <c r="M249" s="719">
        <v>361.95</v>
      </c>
      <c r="N249" s="720">
        <f t="shared" si="3"/>
        <v>361.95</v>
      </c>
      <c r="O249" s="1141">
        <f>Tabla1[[#This Row],[Tarifa 2012 (Mx$/ton)]]*(1+IncrementoTarifa)</f>
        <v>380.01130499999999</v>
      </c>
    </row>
    <row r="250" spans="1:15" ht="15" x14ac:dyDescent="0.25">
      <c r="A250" s="716" t="s">
        <v>1041</v>
      </c>
      <c r="B250" s="717" t="s">
        <v>1042</v>
      </c>
      <c r="C250" s="718">
        <v>248</v>
      </c>
      <c r="D250" s="717">
        <v>40.659999999999997</v>
      </c>
      <c r="E250" s="717">
        <v>0.36</v>
      </c>
      <c r="F250" s="717">
        <v>129.94</v>
      </c>
      <c r="G250" s="717">
        <v>112.589</v>
      </c>
      <c r="H250" s="717">
        <v>0</v>
      </c>
      <c r="I250" s="717">
        <v>0</v>
      </c>
      <c r="J250" s="717">
        <v>0</v>
      </c>
      <c r="K250" s="717">
        <v>0</v>
      </c>
      <c r="L250" s="717">
        <v>0</v>
      </c>
      <c r="M250" s="719">
        <v>276.24</v>
      </c>
      <c r="N250" s="720">
        <f t="shared" si="3"/>
        <v>276.24</v>
      </c>
      <c r="O250" s="1141">
        <f>Tabla1[[#This Row],[Tarifa 2012 (Mx$/ton)]]*(1+IncrementoTarifa)</f>
        <v>290.02437600000002</v>
      </c>
    </row>
    <row r="251" spans="1:15" ht="15" x14ac:dyDescent="0.25">
      <c r="A251" s="716" t="s">
        <v>1043</v>
      </c>
      <c r="B251" s="717" t="s">
        <v>1044</v>
      </c>
      <c r="C251" s="718">
        <v>360</v>
      </c>
      <c r="D251" s="717">
        <v>40.659999999999997</v>
      </c>
      <c r="E251" s="717">
        <v>0.36</v>
      </c>
      <c r="F251" s="717">
        <v>170.26</v>
      </c>
      <c r="G251" s="717">
        <v>112.589</v>
      </c>
      <c r="H251" s="717">
        <v>0</v>
      </c>
      <c r="I251" s="717">
        <v>0</v>
      </c>
      <c r="J251" s="717">
        <v>0</v>
      </c>
      <c r="K251" s="717">
        <v>0</v>
      </c>
      <c r="L251" s="717">
        <v>0</v>
      </c>
      <c r="M251" s="719">
        <v>361.95</v>
      </c>
      <c r="N251" s="720">
        <f t="shared" si="3"/>
        <v>361.95</v>
      </c>
      <c r="O251" s="1141">
        <f>Tabla1[[#This Row],[Tarifa 2012 (Mx$/ton)]]*(1+IncrementoTarifa)</f>
        <v>380.01130499999999</v>
      </c>
    </row>
    <row r="252" spans="1:15" ht="15" x14ac:dyDescent="0.25">
      <c r="A252" s="716" t="s">
        <v>1045</v>
      </c>
      <c r="B252" s="717" t="s">
        <v>1046</v>
      </c>
      <c r="C252" s="718">
        <v>793</v>
      </c>
      <c r="D252" s="717">
        <v>40.659999999999997</v>
      </c>
      <c r="E252" s="717">
        <v>0.36</v>
      </c>
      <c r="F252" s="717">
        <v>326.14</v>
      </c>
      <c r="G252" s="717">
        <v>112.589</v>
      </c>
      <c r="H252" s="717">
        <v>0</v>
      </c>
      <c r="I252" s="717">
        <v>0</v>
      </c>
      <c r="J252" s="717">
        <v>0</v>
      </c>
      <c r="K252" s="717">
        <v>0</v>
      </c>
      <c r="L252" s="717">
        <v>0</v>
      </c>
      <c r="M252" s="719">
        <v>693.34</v>
      </c>
      <c r="N252" s="720">
        <f t="shared" si="3"/>
        <v>693.34</v>
      </c>
      <c r="O252" s="1141">
        <f>Tabla1[[#This Row],[Tarifa 2012 (Mx$/ton)]]*(1+IncrementoTarifa)</f>
        <v>727.93766600000004</v>
      </c>
    </row>
    <row r="253" spans="1:15" ht="15" x14ac:dyDescent="0.25">
      <c r="A253" s="716" t="s">
        <v>1047</v>
      </c>
      <c r="B253" s="717" t="s">
        <v>1048</v>
      </c>
      <c r="C253" s="718">
        <v>711</v>
      </c>
      <c r="D253" s="717">
        <v>40.659999999999997</v>
      </c>
      <c r="E253" s="717">
        <v>0.36</v>
      </c>
      <c r="F253" s="717">
        <v>296.62</v>
      </c>
      <c r="G253" s="717">
        <v>112.589</v>
      </c>
      <c r="H253" s="717">
        <v>0</v>
      </c>
      <c r="I253" s="717">
        <v>0</v>
      </c>
      <c r="J253" s="717">
        <v>0</v>
      </c>
      <c r="K253" s="717">
        <v>0</v>
      </c>
      <c r="L253" s="717">
        <v>0</v>
      </c>
      <c r="M253" s="719">
        <v>630.58000000000004</v>
      </c>
      <c r="N253" s="720">
        <f t="shared" si="3"/>
        <v>630.58000000000004</v>
      </c>
      <c r="O253" s="1141">
        <f>Tabla1[[#This Row],[Tarifa 2012 (Mx$/ton)]]*(1+IncrementoTarifa)</f>
        <v>662.04594200000008</v>
      </c>
    </row>
    <row r="254" spans="1:15" ht="15" x14ac:dyDescent="0.25">
      <c r="A254" s="716" t="s">
        <v>1049</v>
      </c>
      <c r="B254" s="717" t="s">
        <v>1050</v>
      </c>
      <c r="C254" s="718">
        <v>766</v>
      </c>
      <c r="D254" s="717">
        <v>40.659999999999997</v>
      </c>
      <c r="E254" s="717">
        <v>0.36</v>
      </c>
      <c r="F254" s="717">
        <v>316.42</v>
      </c>
      <c r="G254" s="717">
        <v>112.589</v>
      </c>
      <c r="H254" s="717">
        <v>0</v>
      </c>
      <c r="I254" s="717">
        <v>0</v>
      </c>
      <c r="J254" s="717">
        <v>0</v>
      </c>
      <c r="K254" s="717">
        <v>0</v>
      </c>
      <c r="L254" s="717">
        <v>0</v>
      </c>
      <c r="M254" s="719">
        <v>672.67</v>
      </c>
      <c r="N254" s="720">
        <f t="shared" si="3"/>
        <v>672.67</v>
      </c>
      <c r="O254" s="1141">
        <f>Tabla1[[#This Row],[Tarifa 2012 (Mx$/ton)]]*(1+IncrementoTarifa)</f>
        <v>706.23623299999997</v>
      </c>
    </row>
    <row r="255" spans="1:15" ht="15" x14ac:dyDescent="0.25">
      <c r="A255" s="716" t="s">
        <v>1051</v>
      </c>
      <c r="B255" s="717" t="s">
        <v>1052</v>
      </c>
      <c r="C255" s="718">
        <v>746</v>
      </c>
      <c r="D255" s="717">
        <v>40.659999999999997</v>
      </c>
      <c r="E255" s="717">
        <v>0.36</v>
      </c>
      <c r="F255" s="717">
        <v>309.22000000000003</v>
      </c>
      <c r="G255" s="717">
        <v>112.589</v>
      </c>
      <c r="H255" s="717">
        <v>0</v>
      </c>
      <c r="I255" s="717">
        <v>0</v>
      </c>
      <c r="J255" s="717">
        <v>0</v>
      </c>
      <c r="K255" s="717">
        <v>0</v>
      </c>
      <c r="L255" s="717">
        <v>0</v>
      </c>
      <c r="M255" s="719">
        <v>657.37</v>
      </c>
      <c r="N255" s="720">
        <f t="shared" si="3"/>
        <v>657.37</v>
      </c>
      <c r="O255" s="1141">
        <f>Tabla1[[#This Row],[Tarifa 2012 (Mx$/ton)]]*(1+IncrementoTarifa)</f>
        <v>690.17276300000003</v>
      </c>
    </row>
    <row r="256" spans="1:15" ht="15" x14ac:dyDescent="0.25">
      <c r="A256" s="716" t="s">
        <v>1053</v>
      </c>
      <c r="B256" s="717" t="s">
        <v>1054</v>
      </c>
      <c r="C256" s="718">
        <v>761</v>
      </c>
      <c r="D256" s="717">
        <v>40.659999999999997</v>
      </c>
      <c r="E256" s="717">
        <v>0.36</v>
      </c>
      <c r="F256" s="717">
        <v>314.62</v>
      </c>
      <c r="G256" s="717">
        <v>112.589</v>
      </c>
      <c r="H256" s="717">
        <v>0</v>
      </c>
      <c r="I256" s="717">
        <v>0</v>
      </c>
      <c r="J256" s="717">
        <v>0</v>
      </c>
      <c r="K256" s="717">
        <v>0</v>
      </c>
      <c r="L256" s="717">
        <v>0</v>
      </c>
      <c r="M256" s="719">
        <v>668.85</v>
      </c>
      <c r="N256" s="720">
        <f t="shared" si="3"/>
        <v>668.85</v>
      </c>
      <c r="O256" s="1141">
        <f>Tabla1[[#This Row],[Tarifa 2012 (Mx$/ton)]]*(1+IncrementoTarifa)</f>
        <v>702.22561500000006</v>
      </c>
    </row>
    <row r="257" spans="1:15" ht="15" x14ac:dyDescent="0.25">
      <c r="A257" s="716" t="s">
        <v>1055</v>
      </c>
      <c r="B257" s="717" t="s">
        <v>1056</v>
      </c>
      <c r="C257" s="718">
        <v>390</v>
      </c>
      <c r="D257" s="717">
        <v>40.659999999999997</v>
      </c>
      <c r="E257" s="717">
        <v>0.36</v>
      </c>
      <c r="F257" s="717">
        <v>181.06</v>
      </c>
      <c r="G257" s="717">
        <v>112.589</v>
      </c>
      <c r="H257" s="717">
        <v>0</v>
      </c>
      <c r="I257" s="717">
        <v>10</v>
      </c>
      <c r="J257" s="717">
        <v>0</v>
      </c>
      <c r="K257" s="717">
        <v>0</v>
      </c>
      <c r="L257" s="717">
        <v>0</v>
      </c>
      <c r="M257" s="719">
        <v>403.02</v>
      </c>
      <c r="N257" s="720">
        <f t="shared" si="3"/>
        <v>403.02</v>
      </c>
      <c r="O257" s="1141">
        <f>Tabla1[[#This Row],[Tarifa 2012 (Mx$/ton)]]*(1+IncrementoTarifa)</f>
        <v>423.130698</v>
      </c>
    </row>
    <row r="258" spans="1:15" ht="15" x14ac:dyDescent="0.25">
      <c r="A258" s="716" t="s">
        <v>1057</v>
      </c>
      <c r="B258" s="717" t="s">
        <v>1058</v>
      </c>
      <c r="C258" s="718">
        <v>355</v>
      </c>
      <c r="D258" s="717">
        <v>40.659999999999997</v>
      </c>
      <c r="E258" s="717">
        <v>0.36</v>
      </c>
      <c r="F258" s="717">
        <v>168.46</v>
      </c>
      <c r="G258" s="717">
        <v>112.589</v>
      </c>
      <c r="H258" s="717">
        <v>0</v>
      </c>
      <c r="I258" s="717">
        <v>0</v>
      </c>
      <c r="J258" s="717">
        <v>0</v>
      </c>
      <c r="K258" s="717">
        <v>0</v>
      </c>
      <c r="L258" s="717">
        <v>0</v>
      </c>
      <c r="M258" s="719">
        <v>358.13</v>
      </c>
      <c r="N258" s="720">
        <f t="shared" si="3"/>
        <v>358.13</v>
      </c>
      <c r="O258" s="1141">
        <f>Tabla1[[#This Row],[Tarifa 2012 (Mx$/ton)]]*(1+IncrementoTarifa)</f>
        <v>376.00068700000003</v>
      </c>
    </row>
    <row r="259" spans="1:15" ht="15" x14ac:dyDescent="0.25">
      <c r="A259" s="716" t="s">
        <v>1059</v>
      </c>
      <c r="B259" s="717" t="s">
        <v>1060</v>
      </c>
      <c r="C259" s="718">
        <v>280</v>
      </c>
      <c r="D259" s="717">
        <v>40.659999999999997</v>
      </c>
      <c r="E259" s="717">
        <v>0.36</v>
      </c>
      <c r="F259" s="717">
        <v>141.46</v>
      </c>
      <c r="G259" s="717">
        <v>112.589</v>
      </c>
      <c r="H259" s="717">
        <v>0</v>
      </c>
      <c r="I259" s="717">
        <v>0</v>
      </c>
      <c r="J259" s="717">
        <v>0</v>
      </c>
      <c r="K259" s="717">
        <v>0</v>
      </c>
      <c r="L259" s="717">
        <v>0</v>
      </c>
      <c r="M259" s="719">
        <v>300.73</v>
      </c>
      <c r="N259" s="720">
        <f t="shared" si="3"/>
        <v>300.73</v>
      </c>
      <c r="O259" s="1141">
        <f>Tabla1[[#This Row],[Tarifa 2012 (Mx$/ton)]]*(1+IncrementoTarifa)</f>
        <v>315.73642700000005</v>
      </c>
    </row>
    <row r="260" spans="1:15" ht="15" x14ac:dyDescent="0.25">
      <c r="A260" s="716" t="s">
        <v>1061</v>
      </c>
      <c r="B260" s="717" t="s">
        <v>1062</v>
      </c>
      <c r="C260" s="718">
        <v>400</v>
      </c>
      <c r="D260" s="717">
        <v>40.659999999999997</v>
      </c>
      <c r="E260" s="717">
        <v>0.36</v>
      </c>
      <c r="F260" s="717">
        <v>184.66</v>
      </c>
      <c r="G260" s="717">
        <v>112.589</v>
      </c>
      <c r="H260" s="717">
        <v>0</v>
      </c>
      <c r="I260" s="717">
        <v>0</v>
      </c>
      <c r="J260" s="717">
        <v>0</v>
      </c>
      <c r="K260" s="717">
        <v>0</v>
      </c>
      <c r="L260" s="717">
        <v>0</v>
      </c>
      <c r="M260" s="719">
        <v>392.57</v>
      </c>
      <c r="N260" s="720">
        <f t="shared" si="3"/>
        <v>392.57</v>
      </c>
      <c r="O260" s="1141">
        <f>Tabla1[[#This Row],[Tarifa 2012 (Mx$/ton)]]*(1+IncrementoTarifa)</f>
        <v>412.159243</v>
      </c>
    </row>
    <row r="261" spans="1:15" ht="15" x14ac:dyDescent="0.25">
      <c r="A261" s="716" t="s">
        <v>1063</v>
      </c>
      <c r="B261" s="717" t="s">
        <v>1064</v>
      </c>
      <c r="C261" s="718">
        <v>440</v>
      </c>
      <c r="D261" s="717">
        <v>40.659999999999997</v>
      </c>
      <c r="E261" s="717">
        <v>0.36</v>
      </c>
      <c r="F261" s="717">
        <v>199.06</v>
      </c>
      <c r="G261" s="717">
        <v>112.589</v>
      </c>
      <c r="H261" s="717">
        <v>0</v>
      </c>
      <c r="I261" s="717">
        <v>0</v>
      </c>
      <c r="J261" s="717">
        <v>0</v>
      </c>
      <c r="K261" s="717">
        <v>0</v>
      </c>
      <c r="L261" s="717">
        <v>0</v>
      </c>
      <c r="M261" s="719">
        <v>423.18</v>
      </c>
      <c r="N261" s="720">
        <f t="shared" si="3"/>
        <v>423.18</v>
      </c>
      <c r="O261" s="1141">
        <f>Tabla1[[#This Row],[Tarifa 2012 (Mx$/ton)]]*(1+IncrementoTarifa)</f>
        <v>444.29668200000003</v>
      </c>
    </row>
    <row r="262" spans="1:15" ht="15" x14ac:dyDescent="0.25">
      <c r="A262" s="716" t="s">
        <v>1065</v>
      </c>
      <c r="B262" s="717" t="s">
        <v>1066</v>
      </c>
      <c r="C262" s="718">
        <v>842</v>
      </c>
      <c r="D262" s="717">
        <v>40.659999999999997</v>
      </c>
      <c r="E262" s="717">
        <v>0.36</v>
      </c>
      <c r="F262" s="717">
        <v>343.78</v>
      </c>
      <c r="G262" s="717">
        <v>112.589</v>
      </c>
      <c r="H262" s="717">
        <v>0</v>
      </c>
      <c r="I262" s="717">
        <v>0</v>
      </c>
      <c r="J262" s="717">
        <v>0</v>
      </c>
      <c r="K262" s="717">
        <v>0</v>
      </c>
      <c r="L262" s="717">
        <v>0</v>
      </c>
      <c r="M262" s="719">
        <v>730.84</v>
      </c>
      <c r="N262" s="720">
        <f t="shared" si="3"/>
        <v>730.84</v>
      </c>
      <c r="O262" s="1141">
        <f>Tabla1[[#This Row],[Tarifa 2012 (Mx$/ton)]]*(1+IncrementoTarifa)</f>
        <v>767.30891600000007</v>
      </c>
    </row>
    <row r="263" spans="1:15" ht="15" x14ac:dyDescent="0.25">
      <c r="A263" s="716" t="s">
        <v>1067</v>
      </c>
      <c r="B263" s="717" t="s">
        <v>1068</v>
      </c>
      <c r="C263" s="718">
        <v>430</v>
      </c>
      <c r="D263" s="717">
        <v>40.659999999999997</v>
      </c>
      <c r="E263" s="717">
        <v>0.36</v>
      </c>
      <c r="F263" s="717">
        <v>195.46</v>
      </c>
      <c r="G263" s="717">
        <v>112.589</v>
      </c>
      <c r="H263" s="717">
        <v>0</v>
      </c>
      <c r="I263" s="717">
        <v>0</v>
      </c>
      <c r="J263" s="717">
        <v>0</v>
      </c>
      <c r="K263" s="717">
        <v>0</v>
      </c>
      <c r="L263" s="717">
        <v>0</v>
      </c>
      <c r="M263" s="719">
        <v>415.53</v>
      </c>
      <c r="N263" s="720">
        <f t="shared" si="3"/>
        <v>415.53</v>
      </c>
      <c r="O263" s="1141">
        <f>Tabla1[[#This Row],[Tarifa 2012 (Mx$/ton)]]*(1+IncrementoTarifa)</f>
        <v>436.26494700000001</v>
      </c>
    </row>
    <row r="264" spans="1:15" ht="15" x14ac:dyDescent="0.25">
      <c r="A264" s="716" t="s">
        <v>1069</v>
      </c>
      <c r="B264" s="717" t="s">
        <v>1070</v>
      </c>
      <c r="C264" s="718">
        <v>360</v>
      </c>
      <c r="D264" s="717">
        <v>40.659999999999997</v>
      </c>
      <c r="E264" s="717">
        <v>0.36</v>
      </c>
      <c r="F264" s="717">
        <v>170.26</v>
      </c>
      <c r="G264" s="717">
        <v>112.589</v>
      </c>
      <c r="H264" s="717">
        <v>0</v>
      </c>
      <c r="I264" s="717">
        <v>0</v>
      </c>
      <c r="J264" s="717">
        <v>0</v>
      </c>
      <c r="K264" s="717">
        <v>0</v>
      </c>
      <c r="L264" s="717">
        <v>0</v>
      </c>
      <c r="M264" s="719">
        <v>361.95</v>
      </c>
      <c r="N264" s="720">
        <f t="shared" si="3"/>
        <v>361.95</v>
      </c>
      <c r="O264" s="1141">
        <f>Tabla1[[#This Row],[Tarifa 2012 (Mx$/ton)]]*(1+IncrementoTarifa)</f>
        <v>380.01130499999999</v>
      </c>
    </row>
    <row r="265" spans="1:15" ht="15" x14ac:dyDescent="0.25">
      <c r="A265" s="716" t="s">
        <v>1071</v>
      </c>
      <c r="B265" s="717" t="s">
        <v>1072</v>
      </c>
      <c r="C265" s="718">
        <v>360</v>
      </c>
      <c r="D265" s="717">
        <v>40.659999999999997</v>
      </c>
      <c r="E265" s="717">
        <v>0.36</v>
      </c>
      <c r="F265" s="717">
        <v>170.26</v>
      </c>
      <c r="G265" s="717">
        <v>112.589</v>
      </c>
      <c r="H265" s="717">
        <v>0</v>
      </c>
      <c r="I265" s="717">
        <v>0</v>
      </c>
      <c r="J265" s="717">
        <v>0</v>
      </c>
      <c r="K265" s="717">
        <v>0</v>
      </c>
      <c r="L265" s="717">
        <v>0</v>
      </c>
      <c r="M265" s="719">
        <v>361.95</v>
      </c>
      <c r="N265" s="720">
        <f t="shared" si="3"/>
        <v>361.95</v>
      </c>
      <c r="O265" s="1141">
        <f>Tabla1[[#This Row],[Tarifa 2012 (Mx$/ton)]]*(1+IncrementoTarifa)</f>
        <v>380.01130499999999</v>
      </c>
    </row>
    <row r="266" spans="1:15" ht="15" x14ac:dyDescent="0.25">
      <c r="A266" s="716" t="s">
        <v>1073</v>
      </c>
      <c r="B266" s="717" t="s">
        <v>1074</v>
      </c>
      <c r="C266" s="718">
        <v>320</v>
      </c>
      <c r="D266" s="717">
        <v>40.659999999999997</v>
      </c>
      <c r="E266" s="717">
        <v>0.36</v>
      </c>
      <c r="F266" s="717">
        <v>155.86000000000001</v>
      </c>
      <c r="G266" s="717">
        <v>112.589</v>
      </c>
      <c r="H266" s="717">
        <v>0</v>
      </c>
      <c r="I266" s="717">
        <v>0</v>
      </c>
      <c r="J266" s="717">
        <v>0</v>
      </c>
      <c r="K266" s="717">
        <v>0</v>
      </c>
      <c r="L266" s="717">
        <v>0</v>
      </c>
      <c r="M266" s="719">
        <v>331.34</v>
      </c>
      <c r="N266" s="720">
        <f t="shared" si="3"/>
        <v>331.34</v>
      </c>
      <c r="O266" s="1141">
        <f>Tabla1[[#This Row],[Tarifa 2012 (Mx$/ton)]]*(1+IncrementoTarifa)</f>
        <v>347.87386599999996</v>
      </c>
    </row>
    <row r="267" spans="1:15" ht="15" x14ac:dyDescent="0.25">
      <c r="A267" s="716" t="s">
        <v>1075</v>
      </c>
      <c r="B267" s="717" t="s">
        <v>1076</v>
      </c>
      <c r="C267" s="718">
        <v>360</v>
      </c>
      <c r="D267" s="717">
        <v>40.659999999999997</v>
      </c>
      <c r="E267" s="717">
        <v>0.36</v>
      </c>
      <c r="F267" s="717">
        <v>170.26</v>
      </c>
      <c r="G267" s="717">
        <v>112.589</v>
      </c>
      <c r="H267" s="717">
        <v>0</v>
      </c>
      <c r="I267" s="717">
        <v>0</v>
      </c>
      <c r="J267" s="717">
        <v>0</v>
      </c>
      <c r="K267" s="717">
        <v>0</v>
      </c>
      <c r="L267" s="717">
        <v>0</v>
      </c>
      <c r="M267" s="719">
        <v>361.95</v>
      </c>
      <c r="N267" s="720">
        <f t="shared" si="3"/>
        <v>361.95</v>
      </c>
      <c r="O267" s="1141">
        <f>Tabla1[[#This Row],[Tarifa 2012 (Mx$/ton)]]*(1+IncrementoTarifa)</f>
        <v>380.01130499999999</v>
      </c>
    </row>
    <row r="268" spans="1:15" ht="15" x14ac:dyDescent="0.25">
      <c r="A268" s="716" t="s">
        <v>1077</v>
      </c>
      <c r="B268" s="717" t="s">
        <v>1078</v>
      </c>
      <c r="C268" s="718">
        <v>360</v>
      </c>
      <c r="D268" s="717">
        <v>40.659999999999997</v>
      </c>
      <c r="E268" s="717">
        <v>0.36</v>
      </c>
      <c r="F268" s="717">
        <v>170.26</v>
      </c>
      <c r="G268" s="717">
        <v>112.589</v>
      </c>
      <c r="H268" s="717">
        <v>0</v>
      </c>
      <c r="I268" s="717">
        <v>0</v>
      </c>
      <c r="J268" s="717">
        <v>0</v>
      </c>
      <c r="K268" s="717">
        <v>0</v>
      </c>
      <c r="L268" s="717">
        <v>0</v>
      </c>
      <c r="M268" s="719">
        <v>361.95</v>
      </c>
      <c r="N268" s="720">
        <f t="shared" si="3"/>
        <v>361.95</v>
      </c>
      <c r="O268" s="1141">
        <f>Tabla1[[#This Row],[Tarifa 2012 (Mx$/ton)]]*(1+IncrementoTarifa)</f>
        <v>380.01130499999999</v>
      </c>
    </row>
    <row r="269" spans="1:15" ht="15" x14ac:dyDescent="0.25">
      <c r="A269" s="716" t="s">
        <v>1079</v>
      </c>
      <c r="B269" s="717" t="s">
        <v>1080</v>
      </c>
      <c r="C269" s="718">
        <v>360</v>
      </c>
      <c r="D269" s="717">
        <v>40.659999999999997</v>
      </c>
      <c r="E269" s="717">
        <v>0.36</v>
      </c>
      <c r="F269" s="717">
        <v>170.26</v>
      </c>
      <c r="G269" s="717">
        <v>112.589</v>
      </c>
      <c r="H269" s="717">
        <v>0</v>
      </c>
      <c r="I269" s="717">
        <v>0</v>
      </c>
      <c r="J269" s="717">
        <v>0</v>
      </c>
      <c r="K269" s="717">
        <v>0</v>
      </c>
      <c r="L269" s="717">
        <v>0</v>
      </c>
      <c r="M269" s="719">
        <v>361.95</v>
      </c>
      <c r="N269" s="720">
        <f t="shared" si="3"/>
        <v>361.95</v>
      </c>
      <c r="O269" s="1141">
        <f>Tabla1[[#This Row],[Tarifa 2012 (Mx$/ton)]]*(1+IncrementoTarifa)</f>
        <v>380.01130499999999</v>
      </c>
    </row>
    <row r="270" spans="1:15" ht="15" x14ac:dyDescent="0.25">
      <c r="A270" s="716" t="s">
        <v>1081</v>
      </c>
      <c r="B270" s="717" t="s">
        <v>1082</v>
      </c>
      <c r="C270" s="718">
        <v>844</v>
      </c>
      <c r="D270" s="717">
        <v>40.659999999999997</v>
      </c>
      <c r="E270" s="717">
        <v>0.36</v>
      </c>
      <c r="F270" s="717">
        <v>344.5</v>
      </c>
      <c r="G270" s="717">
        <v>112.589</v>
      </c>
      <c r="H270" s="717">
        <v>0</v>
      </c>
      <c r="I270" s="717">
        <v>0</v>
      </c>
      <c r="J270" s="717">
        <v>0</v>
      </c>
      <c r="K270" s="717">
        <v>0</v>
      </c>
      <c r="L270" s="717">
        <v>0</v>
      </c>
      <c r="M270" s="719">
        <v>732.37</v>
      </c>
      <c r="N270" s="720">
        <f t="shared" si="3"/>
        <v>732.37</v>
      </c>
      <c r="O270" s="1141">
        <f>Tabla1[[#This Row],[Tarifa 2012 (Mx$/ton)]]*(1+IncrementoTarifa)</f>
        <v>768.9152630000001</v>
      </c>
    </row>
    <row r="271" spans="1:15" ht="15" x14ac:dyDescent="0.25">
      <c r="A271" s="716" t="s">
        <v>1083</v>
      </c>
      <c r="B271" s="717" t="s">
        <v>1084</v>
      </c>
      <c r="C271" s="718">
        <v>522</v>
      </c>
      <c r="D271" s="717">
        <v>40.659999999999997</v>
      </c>
      <c r="E271" s="717">
        <v>0.36</v>
      </c>
      <c r="F271" s="717">
        <v>228.58</v>
      </c>
      <c r="G271" s="717">
        <v>112.589</v>
      </c>
      <c r="H271" s="717">
        <v>0</v>
      </c>
      <c r="I271" s="717">
        <v>0</v>
      </c>
      <c r="J271" s="717">
        <v>0</v>
      </c>
      <c r="K271" s="717">
        <v>0</v>
      </c>
      <c r="L271" s="717">
        <v>0</v>
      </c>
      <c r="M271" s="719">
        <v>485.94</v>
      </c>
      <c r="N271" s="720">
        <f t="shared" si="3"/>
        <v>485.94</v>
      </c>
      <c r="O271" s="1141">
        <f>Tabla1[[#This Row],[Tarifa 2012 (Mx$/ton)]]*(1+IncrementoTarifa)</f>
        <v>510.18840600000004</v>
      </c>
    </row>
    <row r="272" spans="1:15" ht="15" x14ac:dyDescent="0.25">
      <c r="A272" s="716" t="s">
        <v>1085</v>
      </c>
      <c r="B272" s="717" t="s">
        <v>1086</v>
      </c>
      <c r="C272" s="718">
        <v>460</v>
      </c>
      <c r="D272" s="717">
        <v>40.659999999999997</v>
      </c>
      <c r="E272" s="717">
        <v>0.36</v>
      </c>
      <c r="F272" s="717">
        <v>206.26</v>
      </c>
      <c r="G272" s="717">
        <v>112.589</v>
      </c>
      <c r="H272" s="717">
        <v>0</v>
      </c>
      <c r="I272" s="717">
        <v>0</v>
      </c>
      <c r="J272" s="717">
        <v>0</v>
      </c>
      <c r="K272" s="717">
        <v>0</v>
      </c>
      <c r="L272" s="717">
        <v>0</v>
      </c>
      <c r="M272" s="719">
        <v>438.49</v>
      </c>
      <c r="N272" s="720">
        <f t="shared" ref="N272:N335" si="4">M272*(1+$O$2)</f>
        <v>438.49</v>
      </c>
      <c r="O272" s="1141">
        <f>Tabla1[[#This Row],[Tarifa 2012 (Mx$/ton)]]*(1+IncrementoTarifa)</f>
        <v>460.37065100000001</v>
      </c>
    </row>
    <row r="273" spans="1:16" ht="15" x14ac:dyDescent="0.25">
      <c r="A273" s="716" t="s">
        <v>1087</v>
      </c>
      <c r="B273" s="717" t="s">
        <v>1088</v>
      </c>
      <c r="C273" s="718">
        <v>320</v>
      </c>
      <c r="D273" s="717">
        <v>40.659999999999997</v>
      </c>
      <c r="E273" s="717">
        <v>0.36</v>
      </c>
      <c r="F273" s="717">
        <v>155.86000000000001</v>
      </c>
      <c r="G273" s="717">
        <v>112.589</v>
      </c>
      <c r="H273" s="717">
        <v>0</v>
      </c>
      <c r="I273" s="717">
        <v>0</v>
      </c>
      <c r="J273" s="717">
        <v>0</v>
      </c>
      <c r="K273" s="717">
        <v>0</v>
      </c>
      <c r="L273" s="717">
        <v>0</v>
      </c>
      <c r="M273" s="719">
        <v>331.34</v>
      </c>
      <c r="N273" s="720">
        <f t="shared" si="4"/>
        <v>331.34</v>
      </c>
      <c r="O273" s="1141">
        <f>Tabla1[[#This Row],[Tarifa 2012 (Mx$/ton)]]*(1+IncrementoTarifa)</f>
        <v>347.87386599999996</v>
      </c>
    </row>
    <row r="274" spans="1:16" ht="15" x14ac:dyDescent="0.25">
      <c r="A274" s="716" t="s">
        <v>1089</v>
      </c>
      <c r="B274" s="717" t="s">
        <v>1090</v>
      </c>
      <c r="C274" s="718">
        <v>1228</v>
      </c>
      <c r="D274" s="717">
        <v>40.659999999999997</v>
      </c>
      <c r="E274" s="717">
        <v>0.36</v>
      </c>
      <c r="F274" s="717">
        <v>482.74</v>
      </c>
      <c r="G274" s="717">
        <v>112.589</v>
      </c>
      <c r="H274" s="717">
        <v>0</v>
      </c>
      <c r="I274" s="717">
        <v>0</v>
      </c>
      <c r="J274" s="717">
        <v>0</v>
      </c>
      <c r="K274" s="717">
        <v>0</v>
      </c>
      <c r="L274" s="717">
        <v>0</v>
      </c>
      <c r="M274" s="719">
        <v>1026.25</v>
      </c>
      <c r="N274" s="720">
        <f t="shared" si="4"/>
        <v>1026.25</v>
      </c>
      <c r="O274" s="1141">
        <f>Tabla1[[#This Row],[Tarifa 2012 (Mx$/ton)]]*(1+IncrementoTarifa)</f>
        <v>1077.459875</v>
      </c>
    </row>
    <row r="275" spans="1:16" ht="15" x14ac:dyDescent="0.25">
      <c r="A275" s="716" t="s">
        <v>506</v>
      </c>
      <c r="B275" s="717" t="s">
        <v>1091</v>
      </c>
      <c r="C275" s="718">
        <v>390</v>
      </c>
      <c r="D275" s="717">
        <v>40.659999999999997</v>
      </c>
      <c r="E275" s="717">
        <v>0.36</v>
      </c>
      <c r="F275" s="717">
        <v>181.06</v>
      </c>
      <c r="G275" s="717">
        <v>112.589</v>
      </c>
      <c r="H275" s="717">
        <v>0</v>
      </c>
      <c r="I275" s="717">
        <v>10</v>
      </c>
      <c r="J275" s="717">
        <v>0</v>
      </c>
      <c r="K275" s="717">
        <v>0</v>
      </c>
      <c r="L275" s="717">
        <v>0</v>
      </c>
      <c r="M275" s="719">
        <v>403.02</v>
      </c>
      <c r="N275" s="720">
        <f t="shared" si="4"/>
        <v>403.02</v>
      </c>
      <c r="O275" s="1141">
        <f>Tabla1[[#This Row],[Tarifa 2012 (Mx$/ton)]]*(1+IncrementoTarifa)</f>
        <v>423.130698</v>
      </c>
    </row>
    <row r="276" spans="1:16" ht="15" x14ac:dyDescent="0.25">
      <c r="A276" s="716" t="s">
        <v>1092</v>
      </c>
      <c r="B276" s="717" t="s">
        <v>1093</v>
      </c>
      <c r="C276" s="718">
        <v>190</v>
      </c>
      <c r="D276" s="717">
        <v>40.659999999999997</v>
      </c>
      <c r="E276" s="717">
        <v>0.36</v>
      </c>
      <c r="F276" s="717">
        <v>109.06</v>
      </c>
      <c r="G276" s="717">
        <v>112.589</v>
      </c>
      <c r="H276" s="717">
        <v>0</v>
      </c>
      <c r="I276" s="717">
        <v>10</v>
      </c>
      <c r="J276" s="717">
        <v>0</v>
      </c>
      <c r="K276" s="717">
        <v>0</v>
      </c>
      <c r="L276" s="717">
        <v>0</v>
      </c>
      <c r="M276" s="719">
        <v>242.76</v>
      </c>
      <c r="N276" s="720">
        <f t="shared" si="4"/>
        <v>242.76</v>
      </c>
      <c r="O276" s="1141">
        <f>Tabla1[[#This Row],[Tarifa 2012 (Mx$/ton)]]*(1+IncrementoTarifa)</f>
        <v>254.87372400000001</v>
      </c>
    </row>
    <row r="277" spans="1:16" ht="15" x14ac:dyDescent="0.25">
      <c r="A277" s="716" t="s">
        <v>1094</v>
      </c>
      <c r="B277" s="717" t="s">
        <v>1095</v>
      </c>
      <c r="C277" s="718">
        <v>420</v>
      </c>
      <c r="D277" s="717">
        <v>40.659999999999997</v>
      </c>
      <c r="E277" s="717">
        <v>0.36</v>
      </c>
      <c r="F277" s="717">
        <v>191.86</v>
      </c>
      <c r="G277" s="717">
        <v>112.589</v>
      </c>
      <c r="H277" s="717">
        <v>0</v>
      </c>
      <c r="I277" s="717">
        <v>10</v>
      </c>
      <c r="J277" s="717">
        <v>0</v>
      </c>
      <c r="K277" s="717">
        <v>0</v>
      </c>
      <c r="L277" s="717">
        <v>0</v>
      </c>
      <c r="M277" s="719">
        <v>427.06</v>
      </c>
      <c r="N277" s="720">
        <f t="shared" si="4"/>
        <v>427.06</v>
      </c>
      <c r="O277" s="1141">
        <f>Tabla1[[#This Row],[Tarifa 2012 (Mx$/ton)]]*(1+IncrementoTarifa)</f>
        <v>448.370294</v>
      </c>
    </row>
    <row r="278" spans="1:16" ht="15" x14ac:dyDescent="0.25">
      <c r="A278" s="716" t="s">
        <v>1096</v>
      </c>
      <c r="B278" s="717" t="s">
        <v>1097</v>
      </c>
      <c r="C278" s="718">
        <v>570</v>
      </c>
      <c r="D278" s="717">
        <v>40.659999999999997</v>
      </c>
      <c r="E278" s="717">
        <v>0.36</v>
      </c>
      <c r="F278" s="717">
        <v>245.86</v>
      </c>
      <c r="G278" s="717">
        <v>112.589</v>
      </c>
      <c r="H278" s="717">
        <v>0</v>
      </c>
      <c r="I278" s="717">
        <v>0</v>
      </c>
      <c r="J278" s="717">
        <v>0</v>
      </c>
      <c r="K278" s="717">
        <v>0</v>
      </c>
      <c r="L278" s="717">
        <v>0</v>
      </c>
      <c r="M278" s="719">
        <v>522.66999999999996</v>
      </c>
      <c r="N278" s="720">
        <f t="shared" si="4"/>
        <v>522.66999999999996</v>
      </c>
      <c r="O278" s="1141">
        <f>Tabla1[[#This Row],[Tarifa 2012 (Mx$/ton)]]*(1+IncrementoTarifa)</f>
        <v>548.75123299999996</v>
      </c>
    </row>
    <row r="279" spans="1:16" ht="15" x14ac:dyDescent="0.25">
      <c r="A279" s="716" t="s">
        <v>1098</v>
      </c>
      <c r="B279" s="717" t="s">
        <v>1099</v>
      </c>
      <c r="C279" s="718">
        <v>660</v>
      </c>
      <c r="D279" s="717">
        <v>40.659999999999997</v>
      </c>
      <c r="E279" s="717">
        <v>0.36</v>
      </c>
      <c r="F279" s="717">
        <v>278.26</v>
      </c>
      <c r="G279" s="717">
        <v>112.589</v>
      </c>
      <c r="H279" s="717">
        <v>0</v>
      </c>
      <c r="I279" s="717">
        <v>10</v>
      </c>
      <c r="J279" s="717">
        <v>0</v>
      </c>
      <c r="K279" s="717">
        <v>0</v>
      </c>
      <c r="L279" s="717">
        <v>0</v>
      </c>
      <c r="M279" s="719">
        <v>619.38</v>
      </c>
      <c r="N279" s="720">
        <f t="shared" si="4"/>
        <v>619.38</v>
      </c>
      <c r="O279" s="1141">
        <f>Tabla1[[#This Row],[Tarifa 2012 (Mx$/ton)]]*(1+IncrementoTarifa)</f>
        <v>650.28706199999999</v>
      </c>
    </row>
    <row r="280" spans="1:16" ht="15" x14ac:dyDescent="0.25">
      <c r="A280" s="716" t="s">
        <v>1100</v>
      </c>
      <c r="B280" s="717" t="s">
        <v>1101</v>
      </c>
      <c r="C280" s="718">
        <v>790</v>
      </c>
      <c r="D280" s="717">
        <v>40.659999999999997</v>
      </c>
      <c r="E280" s="717">
        <v>0.36</v>
      </c>
      <c r="F280" s="717">
        <v>325.06</v>
      </c>
      <c r="G280" s="717">
        <v>112.589</v>
      </c>
      <c r="H280" s="717">
        <v>0</v>
      </c>
      <c r="I280" s="717">
        <v>10</v>
      </c>
      <c r="J280" s="717">
        <v>0</v>
      </c>
      <c r="K280" s="717">
        <v>0</v>
      </c>
      <c r="L280" s="717">
        <v>0</v>
      </c>
      <c r="M280" s="719">
        <v>723.55</v>
      </c>
      <c r="N280" s="720">
        <f t="shared" si="4"/>
        <v>723.55</v>
      </c>
      <c r="O280" s="1141">
        <f>Tabla1[[#This Row],[Tarifa 2012 (Mx$/ton)]]*(1+IncrementoTarifa)</f>
        <v>759.65514499999995</v>
      </c>
    </row>
    <row r="281" spans="1:16" ht="15" x14ac:dyDescent="0.25">
      <c r="A281" s="716" t="s">
        <v>1102</v>
      </c>
      <c r="B281" s="717" t="s">
        <v>1103</v>
      </c>
      <c r="C281" s="718">
        <v>550</v>
      </c>
      <c r="D281" s="717">
        <v>40.659999999999997</v>
      </c>
      <c r="E281" s="717">
        <v>0.36</v>
      </c>
      <c r="F281" s="717">
        <v>238.66</v>
      </c>
      <c r="G281" s="717">
        <v>112.589</v>
      </c>
      <c r="H281" s="717">
        <v>0</v>
      </c>
      <c r="I281" s="717">
        <v>10</v>
      </c>
      <c r="J281" s="717">
        <v>0</v>
      </c>
      <c r="K281" s="717">
        <v>0</v>
      </c>
      <c r="L281" s="717">
        <v>0</v>
      </c>
      <c r="M281" s="719">
        <v>531.23</v>
      </c>
      <c r="N281" s="720">
        <f t="shared" si="4"/>
        <v>531.23</v>
      </c>
      <c r="O281" s="1141">
        <f>Tabla1[[#This Row],[Tarifa 2012 (Mx$/ton)]]*(1+IncrementoTarifa)</f>
        <v>557.73837700000001</v>
      </c>
      <c r="P281" s="725"/>
    </row>
    <row r="282" spans="1:16" ht="15" x14ac:dyDescent="0.25">
      <c r="A282" s="716" t="s">
        <v>1104</v>
      </c>
      <c r="B282" s="717" t="s">
        <v>1105</v>
      </c>
      <c r="C282" s="718">
        <v>180</v>
      </c>
      <c r="D282" s="717">
        <v>40.659999999999997</v>
      </c>
      <c r="E282" s="717">
        <v>0.36</v>
      </c>
      <c r="F282" s="717">
        <v>105.46</v>
      </c>
      <c r="G282" s="717">
        <v>112.589</v>
      </c>
      <c r="H282" s="717">
        <v>0</v>
      </c>
      <c r="I282" s="717">
        <v>0</v>
      </c>
      <c r="J282" s="717">
        <v>0</v>
      </c>
      <c r="K282" s="717">
        <v>0</v>
      </c>
      <c r="L282" s="717">
        <v>0</v>
      </c>
      <c r="M282" s="719">
        <v>224.2</v>
      </c>
      <c r="N282" s="720">
        <f t="shared" si="4"/>
        <v>224.2</v>
      </c>
      <c r="O282" s="1141">
        <f>Tabla1[[#This Row],[Tarifa 2012 (Mx$/ton)]]*(1+IncrementoTarifa)</f>
        <v>235.38758000000001</v>
      </c>
      <c r="P282" s="725"/>
    </row>
    <row r="283" spans="1:16" ht="15" x14ac:dyDescent="0.25">
      <c r="A283" s="716" t="s">
        <v>1106</v>
      </c>
      <c r="B283" s="717" t="s">
        <v>1107</v>
      </c>
      <c r="C283" s="718">
        <v>422</v>
      </c>
      <c r="D283" s="717">
        <v>40.659999999999997</v>
      </c>
      <c r="E283" s="717">
        <v>0.36</v>
      </c>
      <c r="F283" s="717">
        <v>192.58</v>
      </c>
      <c r="G283" s="717">
        <v>112.589</v>
      </c>
      <c r="H283" s="717">
        <v>0</v>
      </c>
      <c r="I283" s="717">
        <v>0</v>
      </c>
      <c r="J283" s="717">
        <v>0</v>
      </c>
      <c r="K283" s="717">
        <v>0</v>
      </c>
      <c r="L283" s="717">
        <v>0</v>
      </c>
      <c r="M283" s="719">
        <v>409.4</v>
      </c>
      <c r="N283" s="720">
        <f t="shared" si="4"/>
        <v>409.4</v>
      </c>
      <c r="O283" s="1141">
        <f>Tabla1[[#This Row],[Tarifa 2012 (Mx$/ton)]]*(1+IncrementoTarifa)</f>
        <v>429.82906000000003</v>
      </c>
      <c r="P283" s="725"/>
    </row>
    <row r="284" spans="1:16" ht="15" x14ac:dyDescent="0.25">
      <c r="A284" s="716" t="s">
        <v>1108</v>
      </c>
      <c r="B284" s="717" t="s">
        <v>1109</v>
      </c>
      <c r="C284" s="718">
        <v>443</v>
      </c>
      <c r="D284" s="717">
        <v>40.659999999999997</v>
      </c>
      <c r="E284" s="717">
        <v>0.36</v>
      </c>
      <c r="F284" s="717">
        <v>200.14</v>
      </c>
      <c r="G284" s="717">
        <v>112.589</v>
      </c>
      <c r="H284" s="717">
        <v>0</v>
      </c>
      <c r="I284" s="717">
        <v>0</v>
      </c>
      <c r="J284" s="717">
        <v>0</v>
      </c>
      <c r="K284" s="717">
        <v>0</v>
      </c>
      <c r="L284" s="717">
        <v>0</v>
      </c>
      <c r="M284" s="719">
        <v>425.48</v>
      </c>
      <c r="N284" s="720">
        <f t="shared" si="4"/>
        <v>425.48</v>
      </c>
      <c r="O284" s="1141">
        <f>Tabla1[[#This Row],[Tarifa 2012 (Mx$/ton)]]*(1+IncrementoTarifa)</f>
        <v>446.71145200000007</v>
      </c>
      <c r="P284" s="725"/>
    </row>
    <row r="285" spans="1:16" ht="15" x14ac:dyDescent="0.25">
      <c r="A285" s="716" t="s">
        <v>1110</v>
      </c>
      <c r="B285" s="717" t="s">
        <v>1111</v>
      </c>
      <c r="C285" s="718">
        <v>429</v>
      </c>
      <c r="D285" s="717">
        <v>40.659999999999997</v>
      </c>
      <c r="E285" s="717">
        <v>0.36</v>
      </c>
      <c r="F285" s="717">
        <v>195.1</v>
      </c>
      <c r="G285" s="717">
        <v>112.589</v>
      </c>
      <c r="H285" s="717">
        <v>0</v>
      </c>
      <c r="I285" s="717">
        <v>0</v>
      </c>
      <c r="J285" s="717">
        <v>0</v>
      </c>
      <c r="K285" s="717">
        <v>0</v>
      </c>
      <c r="L285" s="717">
        <v>0</v>
      </c>
      <c r="M285" s="719">
        <v>414.76</v>
      </c>
      <c r="N285" s="720">
        <f t="shared" si="4"/>
        <v>414.76</v>
      </c>
      <c r="O285" s="1141">
        <f>Tabla1[[#This Row],[Tarifa 2012 (Mx$/ton)]]*(1+IncrementoTarifa)</f>
        <v>435.456524</v>
      </c>
      <c r="P285" s="725"/>
    </row>
    <row r="286" spans="1:16" ht="15" x14ac:dyDescent="0.25">
      <c r="A286" s="716" t="s">
        <v>1112</v>
      </c>
      <c r="B286" s="717" t="s">
        <v>1113</v>
      </c>
      <c r="C286" s="718">
        <v>450</v>
      </c>
      <c r="D286" s="717">
        <v>40.659999999999997</v>
      </c>
      <c r="E286" s="717">
        <v>0.36</v>
      </c>
      <c r="F286" s="717">
        <v>202.66</v>
      </c>
      <c r="G286" s="717">
        <v>112.589</v>
      </c>
      <c r="H286" s="717">
        <v>0</v>
      </c>
      <c r="I286" s="717">
        <v>0</v>
      </c>
      <c r="J286" s="717">
        <v>0</v>
      </c>
      <c r="K286" s="717">
        <v>0</v>
      </c>
      <c r="L286" s="717">
        <v>0</v>
      </c>
      <c r="M286" s="719">
        <v>430.83</v>
      </c>
      <c r="N286" s="720">
        <f t="shared" si="4"/>
        <v>430.83</v>
      </c>
      <c r="O286" s="1141">
        <f>Tabla1[[#This Row],[Tarifa 2012 (Mx$/ton)]]*(1+IncrementoTarifa)</f>
        <v>452.328417</v>
      </c>
      <c r="P286" s="725"/>
    </row>
    <row r="287" spans="1:16" ht="15" x14ac:dyDescent="0.25">
      <c r="A287" s="716" t="s">
        <v>1114</v>
      </c>
      <c r="B287" s="717" t="s">
        <v>1115</v>
      </c>
      <c r="C287" s="718">
        <v>485</v>
      </c>
      <c r="D287" s="717">
        <v>40.659999999999997</v>
      </c>
      <c r="E287" s="717">
        <v>0.36</v>
      </c>
      <c r="F287" s="717">
        <v>251.26</v>
      </c>
      <c r="G287" s="717">
        <v>112.589</v>
      </c>
      <c r="H287" s="717">
        <v>0</v>
      </c>
      <c r="I287" s="717">
        <v>10</v>
      </c>
      <c r="J287" s="717">
        <v>0</v>
      </c>
      <c r="K287" s="717">
        <v>0</v>
      </c>
      <c r="L287" s="717">
        <v>0</v>
      </c>
      <c r="M287" s="719">
        <v>559.28</v>
      </c>
      <c r="N287" s="720">
        <f t="shared" si="4"/>
        <v>559.28</v>
      </c>
      <c r="O287" s="1141">
        <f>Tabla1[[#This Row],[Tarifa 2012 (Mx$/ton)]]*(1+IncrementoTarifa)</f>
        <v>587.18807200000003</v>
      </c>
      <c r="P287" s="725"/>
    </row>
    <row r="288" spans="1:16" ht="15" x14ac:dyDescent="0.25">
      <c r="A288" s="716" t="s">
        <v>1116</v>
      </c>
      <c r="B288" s="717" t="s">
        <v>1117</v>
      </c>
      <c r="C288" s="718">
        <v>522</v>
      </c>
      <c r="D288" s="717">
        <v>40.659999999999997</v>
      </c>
      <c r="E288" s="717">
        <v>0.36</v>
      </c>
      <c r="F288" s="717">
        <v>236.86</v>
      </c>
      <c r="G288" s="717">
        <v>112.589</v>
      </c>
      <c r="H288" s="717">
        <v>0</v>
      </c>
      <c r="I288" s="717">
        <v>10</v>
      </c>
      <c r="J288" s="717">
        <v>0</v>
      </c>
      <c r="K288" s="717">
        <v>0</v>
      </c>
      <c r="L288" s="717">
        <v>0</v>
      </c>
      <c r="M288" s="719">
        <v>527.22</v>
      </c>
      <c r="N288" s="720">
        <f t="shared" si="4"/>
        <v>527.22</v>
      </c>
      <c r="O288" s="1141">
        <f>Tabla1[[#This Row],[Tarifa 2012 (Mx$/ton)]]*(1+IncrementoTarifa)</f>
        <v>553.52827800000011</v>
      </c>
      <c r="P288" s="725"/>
    </row>
    <row r="289" spans="1:16" ht="15" x14ac:dyDescent="0.25">
      <c r="A289" s="716" t="s">
        <v>1118</v>
      </c>
      <c r="B289" s="717" t="s">
        <v>1119</v>
      </c>
      <c r="C289" s="718">
        <v>330</v>
      </c>
      <c r="D289" s="717">
        <v>40.659999999999997</v>
      </c>
      <c r="E289" s="717">
        <v>0.36</v>
      </c>
      <c r="F289" s="717">
        <v>159.46</v>
      </c>
      <c r="G289" s="717">
        <v>112.589</v>
      </c>
      <c r="H289" s="717">
        <v>0</v>
      </c>
      <c r="I289" s="717">
        <v>0</v>
      </c>
      <c r="J289" s="717">
        <v>0</v>
      </c>
      <c r="K289" s="717">
        <v>0</v>
      </c>
      <c r="L289" s="717">
        <v>0</v>
      </c>
      <c r="M289" s="719">
        <v>338.99</v>
      </c>
      <c r="N289" s="720">
        <f t="shared" si="4"/>
        <v>338.99</v>
      </c>
      <c r="O289" s="1141">
        <f>Tabla1[[#This Row],[Tarifa 2012 (Mx$/ton)]]*(1+IncrementoTarifa)</f>
        <v>355.90560100000005</v>
      </c>
      <c r="P289" s="725"/>
    </row>
    <row r="290" spans="1:16" ht="15" x14ac:dyDescent="0.25">
      <c r="A290" s="716" t="s">
        <v>1120</v>
      </c>
      <c r="B290" s="717" t="s">
        <v>1121</v>
      </c>
      <c r="C290" s="718">
        <v>300</v>
      </c>
      <c r="D290" s="717">
        <v>40.659999999999997</v>
      </c>
      <c r="E290" s="717">
        <v>0.36</v>
      </c>
      <c r="F290" s="717">
        <v>148.66</v>
      </c>
      <c r="G290" s="717">
        <v>112.589</v>
      </c>
      <c r="H290" s="717">
        <v>0</v>
      </c>
      <c r="I290" s="717">
        <v>0</v>
      </c>
      <c r="J290" s="717">
        <v>0</v>
      </c>
      <c r="K290" s="717">
        <v>0</v>
      </c>
      <c r="L290" s="717">
        <v>0</v>
      </c>
      <c r="M290" s="719">
        <v>316.02999999999997</v>
      </c>
      <c r="N290" s="720">
        <f t="shared" si="4"/>
        <v>316.02999999999997</v>
      </c>
      <c r="O290" s="1141">
        <f>Tabla1[[#This Row],[Tarifa 2012 (Mx$/ton)]]*(1+IncrementoTarifa)</f>
        <v>331.79989699999999</v>
      </c>
      <c r="P290" s="725"/>
    </row>
    <row r="291" spans="1:16" ht="15" x14ac:dyDescent="0.25">
      <c r="A291" s="716" t="s">
        <v>1122</v>
      </c>
      <c r="B291" s="717" t="s">
        <v>1123</v>
      </c>
      <c r="C291" s="718">
        <v>220</v>
      </c>
      <c r="D291" s="717">
        <v>40.659999999999997</v>
      </c>
      <c r="E291" s="717">
        <v>0.36</v>
      </c>
      <c r="F291" s="717">
        <v>119.86</v>
      </c>
      <c r="G291" s="717">
        <v>112.589</v>
      </c>
      <c r="H291" s="717">
        <v>0</v>
      </c>
      <c r="I291" s="717">
        <v>0</v>
      </c>
      <c r="J291" s="717">
        <v>0</v>
      </c>
      <c r="K291" s="717">
        <v>0</v>
      </c>
      <c r="L291" s="717">
        <v>0</v>
      </c>
      <c r="M291" s="719">
        <v>254.81</v>
      </c>
      <c r="N291" s="720">
        <f t="shared" si="4"/>
        <v>254.81</v>
      </c>
      <c r="O291" s="1141">
        <f>Tabla1[[#This Row],[Tarifa 2012 (Mx$/ton)]]*(1+IncrementoTarifa)</f>
        <v>267.52501900000004</v>
      </c>
      <c r="P291" s="725"/>
    </row>
    <row r="292" spans="1:16" ht="15" x14ac:dyDescent="0.25">
      <c r="A292" s="716" t="s">
        <v>1124</v>
      </c>
      <c r="B292" s="717" t="s">
        <v>1125</v>
      </c>
      <c r="C292" s="718">
        <v>260</v>
      </c>
      <c r="D292" s="717">
        <v>40.659999999999997</v>
      </c>
      <c r="E292" s="717">
        <v>0.36</v>
      </c>
      <c r="F292" s="717">
        <v>134.26</v>
      </c>
      <c r="G292" s="717">
        <v>112.589</v>
      </c>
      <c r="H292" s="717">
        <v>0</v>
      </c>
      <c r="I292" s="717">
        <v>0</v>
      </c>
      <c r="J292" s="717">
        <v>0</v>
      </c>
      <c r="K292" s="717">
        <v>0</v>
      </c>
      <c r="L292" s="717">
        <v>0</v>
      </c>
      <c r="M292" s="719">
        <v>285.42</v>
      </c>
      <c r="N292" s="720">
        <f t="shared" si="4"/>
        <v>285.42</v>
      </c>
      <c r="O292" s="1141">
        <f>Tabla1[[#This Row],[Tarifa 2012 (Mx$/ton)]]*(1+IncrementoTarifa)</f>
        <v>299.66245800000002</v>
      </c>
      <c r="P292" s="725"/>
    </row>
    <row r="293" spans="1:16" ht="15" x14ac:dyDescent="0.25">
      <c r="A293" s="716" t="s">
        <v>1126</v>
      </c>
      <c r="B293" s="717" t="s">
        <v>1127</v>
      </c>
      <c r="C293" s="718">
        <v>395</v>
      </c>
      <c r="D293" s="717">
        <v>40.659999999999997</v>
      </c>
      <c r="E293" s="717">
        <v>0.36</v>
      </c>
      <c r="F293" s="717">
        <v>182.86</v>
      </c>
      <c r="G293" s="717">
        <v>112.589</v>
      </c>
      <c r="H293" s="717">
        <v>0</v>
      </c>
      <c r="I293" s="717">
        <v>0</v>
      </c>
      <c r="J293" s="717">
        <v>0</v>
      </c>
      <c r="K293" s="717">
        <v>0</v>
      </c>
      <c r="L293" s="717">
        <v>0</v>
      </c>
      <c r="M293" s="719">
        <v>388.74</v>
      </c>
      <c r="N293" s="720">
        <f t="shared" si="4"/>
        <v>388.74</v>
      </c>
      <c r="O293" s="1141">
        <f>Tabla1[[#This Row],[Tarifa 2012 (Mx$/ton)]]*(1+IncrementoTarifa)</f>
        <v>408.13812600000006</v>
      </c>
      <c r="P293" s="725"/>
    </row>
    <row r="294" spans="1:16" ht="15" x14ac:dyDescent="0.25">
      <c r="A294" s="716" t="s">
        <v>1128</v>
      </c>
      <c r="B294" s="717" t="s">
        <v>1129</v>
      </c>
      <c r="C294" s="718">
        <v>420</v>
      </c>
      <c r="D294" s="717">
        <v>40.659999999999997</v>
      </c>
      <c r="E294" s="717">
        <v>0.36</v>
      </c>
      <c r="F294" s="717">
        <v>191.86</v>
      </c>
      <c r="G294" s="717">
        <v>112.589</v>
      </c>
      <c r="H294" s="717">
        <v>0</v>
      </c>
      <c r="I294" s="717">
        <v>0</v>
      </c>
      <c r="J294" s="717">
        <v>0</v>
      </c>
      <c r="K294" s="717">
        <v>0</v>
      </c>
      <c r="L294" s="717">
        <v>0</v>
      </c>
      <c r="M294" s="719">
        <v>407.87</v>
      </c>
      <c r="N294" s="720">
        <f t="shared" si="4"/>
        <v>407.87</v>
      </c>
      <c r="O294" s="1141">
        <f>Tabla1[[#This Row],[Tarifa 2012 (Mx$/ton)]]*(1+IncrementoTarifa)</f>
        <v>428.22271300000006</v>
      </c>
      <c r="P294" s="725"/>
    </row>
    <row r="295" spans="1:16" ht="15" x14ac:dyDescent="0.25">
      <c r="A295" s="716" t="s">
        <v>1130</v>
      </c>
      <c r="B295" s="717" t="s">
        <v>1131</v>
      </c>
      <c r="C295" s="718">
        <v>470</v>
      </c>
      <c r="D295" s="717">
        <v>40.659999999999997</v>
      </c>
      <c r="E295" s="717">
        <v>0.36</v>
      </c>
      <c r="F295" s="717">
        <v>209.86</v>
      </c>
      <c r="G295" s="717">
        <v>112.589</v>
      </c>
      <c r="H295" s="717">
        <v>0</v>
      </c>
      <c r="I295" s="717">
        <v>0</v>
      </c>
      <c r="J295" s="717">
        <v>0</v>
      </c>
      <c r="K295" s="717">
        <v>0</v>
      </c>
      <c r="L295" s="717">
        <v>0</v>
      </c>
      <c r="M295" s="719">
        <v>446.14</v>
      </c>
      <c r="N295" s="720">
        <f t="shared" si="4"/>
        <v>446.14</v>
      </c>
      <c r="O295" s="1141">
        <f>Tabla1[[#This Row],[Tarifa 2012 (Mx$/ton)]]*(1+IncrementoTarifa)</f>
        <v>468.40238600000004</v>
      </c>
      <c r="P295" s="725"/>
    </row>
    <row r="296" spans="1:16" ht="15" x14ac:dyDescent="0.25">
      <c r="A296" s="716" t="s">
        <v>1132</v>
      </c>
      <c r="B296" s="717" t="s">
        <v>1133</v>
      </c>
      <c r="C296" s="718">
        <v>452</v>
      </c>
      <c r="D296" s="717">
        <v>40.659999999999997</v>
      </c>
      <c r="E296" s="717">
        <v>0.36</v>
      </c>
      <c r="F296" s="717">
        <v>203.38</v>
      </c>
      <c r="G296" s="717">
        <v>112.589</v>
      </c>
      <c r="H296" s="717">
        <v>0</v>
      </c>
      <c r="I296" s="717">
        <v>0</v>
      </c>
      <c r="J296" s="717">
        <v>0</v>
      </c>
      <c r="K296" s="717">
        <v>0</v>
      </c>
      <c r="L296" s="717">
        <v>0</v>
      </c>
      <c r="M296" s="719">
        <v>432.36</v>
      </c>
      <c r="N296" s="720">
        <f t="shared" si="4"/>
        <v>432.36</v>
      </c>
      <c r="O296" s="1141">
        <f>Tabla1[[#This Row],[Tarifa 2012 (Mx$/ton)]]*(1+IncrementoTarifa)</f>
        <v>453.93476400000003</v>
      </c>
      <c r="P296" s="725"/>
    </row>
    <row r="297" spans="1:16" ht="15" x14ac:dyDescent="0.25">
      <c r="A297" s="716" t="s">
        <v>1134</v>
      </c>
      <c r="B297" s="717" t="s">
        <v>1135</v>
      </c>
      <c r="C297" s="718">
        <v>220</v>
      </c>
      <c r="D297" s="717">
        <v>40.659999999999997</v>
      </c>
      <c r="E297" s="717">
        <v>0.36</v>
      </c>
      <c r="F297" s="717">
        <v>119.86</v>
      </c>
      <c r="G297" s="717">
        <v>112.589</v>
      </c>
      <c r="H297" s="717">
        <v>0</v>
      </c>
      <c r="I297" s="717">
        <v>37</v>
      </c>
      <c r="J297" s="717">
        <v>0</v>
      </c>
      <c r="K297" s="717">
        <v>0</v>
      </c>
      <c r="L297" s="717">
        <v>0</v>
      </c>
      <c r="M297" s="719">
        <v>299.16000000000003</v>
      </c>
      <c r="N297" s="720">
        <f t="shared" si="4"/>
        <v>299.16000000000003</v>
      </c>
      <c r="O297" s="1141">
        <f>Tabla1[[#This Row],[Tarifa 2012 (Mx$/ton)]]*(1+IncrementoTarifa)</f>
        <v>314.08808400000004</v>
      </c>
      <c r="P297" s="725"/>
    </row>
    <row r="298" spans="1:16" ht="15" x14ac:dyDescent="0.25">
      <c r="A298" s="716" t="s">
        <v>1136</v>
      </c>
      <c r="B298" s="717" t="s">
        <v>1137</v>
      </c>
      <c r="C298" s="718">
        <v>85</v>
      </c>
      <c r="D298" s="717">
        <v>40.659999999999997</v>
      </c>
      <c r="E298" s="717">
        <v>0.36</v>
      </c>
      <c r="F298" s="717">
        <v>71.260000000000005</v>
      </c>
      <c r="G298" s="717">
        <v>112.589</v>
      </c>
      <c r="H298" s="717">
        <v>0</v>
      </c>
      <c r="I298" s="717">
        <v>0</v>
      </c>
      <c r="J298" s="717">
        <v>0</v>
      </c>
      <c r="K298" s="717">
        <v>0</v>
      </c>
      <c r="L298" s="717">
        <v>0</v>
      </c>
      <c r="M298" s="719">
        <v>151.49</v>
      </c>
      <c r="N298" s="720">
        <f t="shared" si="4"/>
        <v>151.49</v>
      </c>
      <c r="O298" s="1141">
        <f>Tabla1[[#This Row],[Tarifa 2012 (Mx$/ton)]]*(1+IncrementoTarifa)</f>
        <v>159.04935100000003</v>
      </c>
      <c r="P298" s="725"/>
    </row>
    <row r="299" spans="1:16" ht="15" x14ac:dyDescent="0.25">
      <c r="A299" s="716" t="s">
        <v>1138</v>
      </c>
      <c r="B299" s="717" t="s">
        <v>1139</v>
      </c>
      <c r="C299" s="718">
        <v>250</v>
      </c>
      <c r="D299" s="717">
        <v>40.659999999999997</v>
      </c>
      <c r="E299" s="717">
        <v>0.36</v>
      </c>
      <c r="F299" s="717">
        <v>130.66</v>
      </c>
      <c r="G299" s="717">
        <v>112.589</v>
      </c>
      <c r="H299" s="717">
        <v>0</v>
      </c>
      <c r="I299" s="717">
        <v>10</v>
      </c>
      <c r="J299" s="717">
        <v>0</v>
      </c>
      <c r="K299" s="717">
        <v>0</v>
      </c>
      <c r="L299" s="717">
        <v>0</v>
      </c>
      <c r="M299" s="719">
        <v>290.83</v>
      </c>
      <c r="N299" s="720">
        <f t="shared" si="4"/>
        <v>290.83</v>
      </c>
      <c r="O299" s="1141">
        <f>Tabla1[[#This Row],[Tarifa 2012 (Mx$/ton)]]*(1+IncrementoTarifa)</f>
        <v>305.34241700000001</v>
      </c>
      <c r="P299" s="725"/>
    </row>
    <row r="300" spans="1:16" ht="15" x14ac:dyDescent="0.25">
      <c r="A300" s="716" t="s">
        <v>1140</v>
      </c>
      <c r="B300" s="717" t="s">
        <v>1141</v>
      </c>
      <c r="C300" s="718">
        <v>230</v>
      </c>
      <c r="D300" s="717">
        <v>40.659999999999997</v>
      </c>
      <c r="E300" s="717">
        <v>0.36</v>
      </c>
      <c r="F300" s="717">
        <v>123.46</v>
      </c>
      <c r="G300" s="717">
        <v>112.589</v>
      </c>
      <c r="H300" s="717">
        <v>0</v>
      </c>
      <c r="I300" s="717">
        <v>0</v>
      </c>
      <c r="J300" s="717">
        <v>0</v>
      </c>
      <c r="K300" s="717">
        <v>0</v>
      </c>
      <c r="L300" s="717">
        <v>0</v>
      </c>
      <c r="M300" s="719">
        <v>262.45999999999998</v>
      </c>
      <c r="N300" s="720">
        <f t="shared" si="4"/>
        <v>262.45999999999998</v>
      </c>
      <c r="O300" s="1141">
        <f>Tabla1[[#This Row],[Tarifa 2012 (Mx$/ton)]]*(1+IncrementoTarifa)</f>
        <v>275.55675400000001</v>
      </c>
      <c r="P300" s="725"/>
    </row>
    <row r="301" spans="1:16" ht="15" x14ac:dyDescent="0.25">
      <c r="A301" s="716" t="s">
        <v>1142</v>
      </c>
      <c r="B301" s="717" t="s">
        <v>1143</v>
      </c>
      <c r="C301" s="718">
        <v>210</v>
      </c>
      <c r="D301" s="717">
        <v>40.659999999999997</v>
      </c>
      <c r="E301" s="717">
        <v>0.36</v>
      </c>
      <c r="F301" s="717">
        <v>116.26</v>
      </c>
      <c r="G301" s="717">
        <v>112.589</v>
      </c>
      <c r="H301" s="717">
        <v>0</v>
      </c>
      <c r="I301" s="717">
        <v>0</v>
      </c>
      <c r="J301" s="717">
        <v>0</v>
      </c>
      <c r="K301" s="717">
        <v>0</v>
      </c>
      <c r="L301" s="717">
        <v>0</v>
      </c>
      <c r="M301" s="719">
        <v>247.16</v>
      </c>
      <c r="N301" s="720">
        <f t="shared" si="4"/>
        <v>247.16</v>
      </c>
      <c r="O301" s="1141">
        <f>Tabla1[[#This Row],[Tarifa 2012 (Mx$/ton)]]*(1+IncrementoTarifa)</f>
        <v>259.49328400000002</v>
      </c>
      <c r="P301" s="725"/>
    </row>
    <row r="302" spans="1:16" ht="15" x14ac:dyDescent="0.25">
      <c r="A302" s="716" t="s">
        <v>1144</v>
      </c>
      <c r="B302" s="717" t="s">
        <v>1137</v>
      </c>
      <c r="C302" s="718">
        <v>340</v>
      </c>
      <c r="D302" s="717">
        <v>40.659999999999997</v>
      </c>
      <c r="E302" s="717">
        <v>0.36</v>
      </c>
      <c r="F302" s="717">
        <v>163.06</v>
      </c>
      <c r="G302" s="717">
        <v>112.589</v>
      </c>
      <c r="H302" s="717">
        <v>0</v>
      </c>
      <c r="I302" s="717">
        <v>10</v>
      </c>
      <c r="J302" s="717">
        <v>0</v>
      </c>
      <c r="K302" s="717">
        <v>0</v>
      </c>
      <c r="L302" s="717">
        <v>0</v>
      </c>
      <c r="M302" s="719">
        <v>362.95</v>
      </c>
      <c r="N302" s="720">
        <f t="shared" si="4"/>
        <v>362.95</v>
      </c>
      <c r="O302" s="1141">
        <f>Tabla1[[#This Row],[Tarifa 2012 (Mx$/ton)]]*(1+IncrementoTarifa)</f>
        <v>381.06120500000003</v>
      </c>
      <c r="P302" s="725"/>
    </row>
    <row r="303" spans="1:16" ht="15" x14ac:dyDescent="0.25">
      <c r="A303" s="716" t="s">
        <v>507</v>
      </c>
      <c r="B303" s="717" t="s">
        <v>1145</v>
      </c>
      <c r="C303" s="718">
        <v>180</v>
      </c>
      <c r="D303" s="717">
        <v>40.659999999999997</v>
      </c>
      <c r="E303" s="717">
        <v>0.36</v>
      </c>
      <c r="F303" s="717">
        <v>105.46</v>
      </c>
      <c r="G303" s="717">
        <v>112.589</v>
      </c>
      <c r="H303" s="717">
        <v>0</v>
      </c>
      <c r="I303" s="717">
        <v>0</v>
      </c>
      <c r="J303" s="717">
        <v>0</v>
      </c>
      <c r="K303" s="717">
        <v>22.92</v>
      </c>
      <c r="L303" s="717">
        <v>0</v>
      </c>
      <c r="M303" s="719">
        <v>247.12</v>
      </c>
      <c r="N303" s="720">
        <f t="shared" si="4"/>
        <v>247.12</v>
      </c>
      <c r="O303" s="1141">
        <f>Tabla1[[#This Row],[Tarifa 2012 (Mx$/ton)]]*(1+IncrementoTarifa)</f>
        <v>259.45128800000003</v>
      </c>
      <c r="P303" s="725"/>
    </row>
    <row r="304" spans="1:16" ht="15" x14ac:dyDescent="0.25">
      <c r="A304" s="716" t="s">
        <v>1146</v>
      </c>
      <c r="B304" s="717" t="s">
        <v>1147</v>
      </c>
      <c r="C304" s="718">
        <v>90</v>
      </c>
      <c r="D304" s="717">
        <v>40.659999999999997</v>
      </c>
      <c r="E304" s="717">
        <v>0.36</v>
      </c>
      <c r="F304" s="717">
        <v>73.06</v>
      </c>
      <c r="G304" s="717">
        <v>112.589</v>
      </c>
      <c r="H304" s="717">
        <v>0</v>
      </c>
      <c r="I304" s="717">
        <v>0</v>
      </c>
      <c r="J304" s="717">
        <v>0</v>
      </c>
      <c r="K304" s="717">
        <v>0</v>
      </c>
      <c r="L304" s="717">
        <v>0</v>
      </c>
      <c r="M304" s="719">
        <v>155.32</v>
      </c>
      <c r="N304" s="720">
        <f t="shared" si="4"/>
        <v>155.32</v>
      </c>
      <c r="O304" s="1141">
        <f>Tabla1[[#This Row],[Tarifa 2012 (Mx$/ton)]]*(1+IncrementoTarifa)</f>
        <v>163.07046800000001</v>
      </c>
      <c r="P304" s="725"/>
    </row>
    <row r="305" spans="1:16" ht="15" x14ac:dyDescent="0.25">
      <c r="A305" s="716" t="s">
        <v>1148</v>
      </c>
      <c r="B305" s="717" t="s">
        <v>1149</v>
      </c>
      <c r="C305" s="718">
        <v>140</v>
      </c>
      <c r="D305" s="717">
        <v>40.659999999999997</v>
      </c>
      <c r="E305" s="717">
        <v>0.36</v>
      </c>
      <c r="F305" s="717">
        <v>91.06</v>
      </c>
      <c r="G305" s="717">
        <v>112.589</v>
      </c>
      <c r="H305" s="717">
        <v>0</v>
      </c>
      <c r="I305" s="717">
        <v>0</v>
      </c>
      <c r="J305" s="717">
        <v>0</v>
      </c>
      <c r="K305" s="717">
        <v>0</v>
      </c>
      <c r="L305" s="717">
        <v>0</v>
      </c>
      <c r="M305" s="719">
        <v>193.58</v>
      </c>
      <c r="N305" s="720">
        <f t="shared" si="4"/>
        <v>193.58</v>
      </c>
      <c r="O305" s="1141">
        <f>Tabla1[[#This Row],[Tarifa 2012 (Mx$/ton)]]*(1+IncrementoTarifa)</f>
        <v>203.23964200000003</v>
      </c>
      <c r="P305" s="725"/>
    </row>
    <row r="306" spans="1:16" ht="15" x14ac:dyDescent="0.25">
      <c r="A306" s="716" t="s">
        <v>1150</v>
      </c>
      <c r="B306" s="717" t="s">
        <v>1151</v>
      </c>
      <c r="C306" s="718">
        <v>150</v>
      </c>
      <c r="D306" s="717">
        <v>40.659999999999997</v>
      </c>
      <c r="E306" s="717">
        <v>0.36</v>
      </c>
      <c r="F306" s="717">
        <v>94.66</v>
      </c>
      <c r="G306" s="717">
        <v>112.589</v>
      </c>
      <c r="H306" s="717">
        <v>0</v>
      </c>
      <c r="I306" s="717">
        <v>0</v>
      </c>
      <c r="J306" s="717">
        <v>0</v>
      </c>
      <c r="K306" s="717">
        <v>0</v>
      </c>
      <c r="L306" s="717">
        <v>0</v>
      </c>
      <c r="M306" s="719">
        <v>201.24</v>
      </c>
      <c r="N306" s="720">
        <f t="shared" si="4"/>
        <v>201.24</v>
      </c>
      <c r="O306" s="1141">
        <f>Tabla1[[#This Row],[Tarifa 2012 (Mx$/ton)]]*(1+IncrementoTarifa)</f>
        <v>211.28187600000001</v>
      </c>
      <c r="P306" s="725"/>
    </row>
    <row r="307" spans="1:16" ht="15" x14ac:dyDescent="0.25">
      <c r="A307" s="716" t="s">
        <v>1152</v>
      </c>
      <c r="B307" s="717" t="s">
        <v>1153</v>
      </c>
      <c r="C307" s="718">
        <v>80</v>
      </c>
      <c r="D307" s="717">
        <v>40.659999999999997</v>
      </c>
      <c r="E307" s="717">
        <v>0.36</v>
      </c>
      <c r="F307" s="717">
        <v>69.459999999999994</v>
      </c>
      <c r="G307" s="717">
        <v>112.589</v>
      </c>
      <c r="H307" s="717">
        <v>0</v>
      </c>
      <c r="I307" s="717">
        <v>0</v>
      </c>
      <c r="J307" s="717">
        <v>0</v>
      </c>
      <c r="K307" s="717">
        <v>0</v>
      </c>
      <c r="L307" s="717">
        <v>0</v>
      </c>
      <c r="M307" s="719">
        <v>147.66</v>
      </c>
      <c r="N307" s="720">
        <f t="shared" si="4"/>
        <v>147.66</v>
      </c>
      <c r="O307" s="1141">
        <f>Tabla1[[#This Row],[Tarifa 2012 (Mx$/ton)]]*(1+IncrementoTarifa)</f>
        <v>155.028234</v>
      </c>
      <c r="P307" s="725"/>
    </row>
    <row r="308" spans="1:16" ht="15" x14ac:dyDescent="0.25">
      <c r="A308" s="716" t="s">
        <v>508</v>
      </c>
      <c r="B308" s="717" t="s">
        <v>1154</v>
      </c>
      <c r="C308" s="718">
        <v>240</v>
      </c>
      <c r="D308" s="717">
        <v>40.659999999999997</v>
      </c>
      <c r="E308" s="717">
        <v>0.36</v>
      </c>
      <c r="F308" s="717">
        <v>127.06</v>
      </c>
      <c r="G308" s="717">
        <v>112.589</v>
      </c>
      <c r="H308" s="717">
        <v>0</v>
      </c>
      <c r="I308" s="717">
        <v>10</v>
      </c>
      <c r="J308" s="717">
        <v>0</v>
      </c>
      <c r="K308" s="717">
        <v>0</v>
      </c>
      <c r="L308" s="717">
        <v>0</v>
      </c>
      <c r="M308" s="719">
        <v>282.82</v>
      </c>
      <c r="N308" s="720">
        <f t="shared" si="4"/>
        <v>282.82</v>
      </c>
      <c r="O308" s="1141">
        <f>Tabla1[[#This Row],[Tarifa 2012 (Mx$/ton)]]*(1+IncrementoTarifa)</f>
        <v>296.93271800000002</v>
      </c>
      <c r="P308" s="725"/>
    </row>
    <row r="309" spans="1:16" ht="15" x14ac:dyDescent="0.25">
      <c r="A309" s="716" t="s">
        <v>1155</v>
      </c>
      <c r="B309" s="717" t="s">
        <v>1156</v>
      </c>
      <c r="C309" s="718">
        <v>220</v>
      </c>
      <c r="D309" s="717">
        <v>40.659999999999997</v>
      </c>
      <c r="E309" s="717">
        <v>0.36</v>
      </c>
      <c r="F309" s="717">
        <v>119.86</v>
      </c>
      <c r="G309" s="717">
        <v>112.589</v>
      </c>
      <c r="H309" s="717">
        <v>0</v>
      </c>
      <c r="I309" s="717">
        <v>10</v>
      </c>
      <c r="J309" s="717">
        <v>0</v>
      </c>
      <c r="K309" s="717">
        <v>0</v>
      </c>
      <c r="L309" s="717">
        <v>0</v>
      </c>
      <c r="M309" s="719">
        <v>266.8</v>
      </c>
      <c r="N309" s="720">
        <f t="shared" si="4"/>
        <v>266.8</v>
      </c>
      <c r="O309" s="1141">
        <f>Tabla1[[#This Row],[Tarifa 2012 (Mx$/ton)]]*(1+IncrementoTarifa)</f>
        <v>280.11332000000004</v>
      </c>
      <c r="P309" s="725"/>
    </row>
    <row r="310" spans="1:16" ht="15" x14ac:dyDescent="0.25">
      <c r="A310" s="716" t="s">
        <v>1157</v>
      </c>
      <c r="B310" s="717" t="s">
        <v>1158</v>
      </c>
      <c r="C310" s="718">
        <v>160</v>
      </c>
      <c r="D310" s="717">
        <v>40.659999999999997</v>
      </c>
      <c r="E310" s="717">
        <v>0.36</v>
      </c>
      <c r="F310" s="717">
        <v>98.26</v>
      </c>
      <c r="G310" s="717">
        <v>112.589</v>
      </c>
      <c r="H310" s="717">
        <v>0</v>
      </c>
      <c r="I310" s="717">
        <v>0</v>
      </c>
      <c r="J310" s="717">
        <v>0</v>
      </c>
      <c r="K310" s="717">
        <v>0</v>
      </c>
      <c r="L310" s="717">
        <v>0</v>
      </c>
      <c r="M310" s="719">
        <v>208.89</v>
      </c>
      <c r="N310" s="720">
        <f t="shared" si="4"/>
        <v>208.89</v>
      </c>
      <c r="O310" s="1141">
        <f>Tabla1[[#This Row],[Tarifa 2012 (Mx$/ton)]]*(1+IncrementoTarifa)</f>
        <v>219.31361100000001</v>
      </c>
      <c r="P310" s="725"/>
    </row>
    <row r="311" spans="1:16" ht="15" x14ac:dyDescent="0.25">
      <c r="A311" s="716" t="s">
        <v>1159</v>
      </c>
      <c r="B311" s="717" t="s">
        <v>1160</v>
      </c>
      <c r="C311" s="718">
        <v>160</v>
      </c>
      <c r="D311" s="717">
        <v>40.659999999999997</v>
      </c>
      <c r="E311" s="717">
        <v>0.36</v>
      </c>
      <c r="F311" s="717">
        <v>98.26</v>
      </c>
      <c r="G311" s="717">
        <v>112.589</v>
      </c>
      <c r="H311" s="717">
        <v>0</v>
      </c>
      <c r="I311" s="717">
        <v>0</v>
      </c>
      <c r="J311" s="717">
        <v>0</v>
      </c>
      <c r="K311" s="717">
        <v>0</v>
      </c>
      <c r="L311" s="717">
        <v>0</v>
      </c>
      <c r="M311" s="719">
        <v>208.89</v>
      </c>
      <c r="N311" s="720">
        <f t="shared" si="4"/>
        <v>208.89</v>
      </c>
      <c r="O311" s="1141">
        <f>Tabla1[[#This Row],[Tarifa 2012 (Mx$/ton)]]*(1+IncrementoTarifa)</f>
        <v>219.31361100000001</v>
      </c>
      <c r="P311" s="725"/>
    </row>
    <row r="312" spans="1:16" ht="15" x14ac:dyDescent="0.25">
      <c r="A312" s="716" t="s">
        <v>1161</v>
      </c>
      <c r="B312" s="717" t="s">
        <v>1162</v>
      </c>
      <c r="C312" s="718">
        <v>390</v>
      </c>
      <c r="D312" s="717">
        <v>40.659999999999997</v>
      </c>
      <c r="E312" s="717">
        <v>0.36</v>
      </c>
      <c r="F312" s="717">
        <v>181.06</v>
      </c>
      <c r="G312" s="717">
        <v>112.589</v>
      </c>
      <c r="H312" s="717">
        <v>0</v>
      </c>
      <c r="I312" s="717">
        <v>10</v>
      </c>
      <c r="J312" s="717">
        <v>0</v>
      </c>
      <c r="K312" s="717">
        <v>0</v>
      </c>
      <c r="L312" s="717">
        <v>0</v>
      </c>
      <c r="M312" s="719">
        <v>403.02</v>
      </c>
      <c r="N312" s="720">
        <f t="shared" si="4"/>
        <v>403.02</v>
      </c>
      <c r="O312" s="1141">
        <f>Tabla1[[#This Row],[Tarifa 2012 (Mx$/ton)]]*(1+IncrementoTarifa)</f>
        <v>423.130698</v>
      </c>
      <c r="P312" s="725"/>
    </row>
    <row r="313" spans="1:16" ht="15" x14ac:dyDescent="0.25">
      <c r="A313" s="716" t="s">
        <v>1163</v>
      </c>
      <c r="B313" s="717" t="s">
        <v>1164</v>
      </c>
      <c r="C313" s="718">
        <v>280</v>
      </c>
      <c r="D313" s="717">
        <v>40.659999999999997</v>
      </c>
      <c r="E313" s="717">
        <v>0.36</v>
      </c>
      <c r="F313" s="717">
        <v>141.46</v>
      </c>
      <c r="G313" s="717">
        <v>112.589</v>
      </c>
      <c r="H313" s="717">
        <v>0</v>
      </c>
      <c r="I313" s="717">
        <v>0</v>
      </c>
      <c r="J313" s="717">
        <v>0</v>
      </c>
      <c r="K313" s="717">
        <v>0</v>
      </c>
      <c r="L313" s="717">
        <v>0</v>
      </c>
      <c r="M313" s="719">
        <v>300.73</v>
      </c>
      <c r="N313" s="720">
        <f t="shared" si="4"/>
        <v>300.73</v>
      </c>
      <c r="O313" s="1141">
        <f>Tabla1[[#This Row],[Tarifa 2012 (Mx$/ton)]]*(1+IncrementoTarifa)</f>
        <v>315.73642700000005</v>
      </c>
      <c r="P313" s="725"/>
    </row>
    <row r="314" spans="1:16" ht="15" x14ac:dyDescent="0.25">
      <c r="A314" s="716" t="s">
        <v>1165</v>
      </c>
      <c r="B314" s="717" t="s">
        <v>1166</v>
      </c>
      <c r="C314" s="718">
        <v>366</v>
      </c>
      <c r="D314" s="717">
        <v>40.659999999999997</v>
      </c>
      <c r="E314" s="717">
        <v>0.36</v>
      </c>
      <c r="F314" s="717">
        <v>172.42</v>
      </c>
      <c r="G314" s="717">
        <v>112.589</v>
      </c>
      <c r="H314" s="717">
        <v>0</v>
      </c>
      <c r="I314" s="717">
        <v>0</v>
      </c>
      <c r="J314" s="717">
        <v>0</v>
      </c>
      <c r="K314" s="717">
        <v>0</v>
      </c>
      <c r="L314" s="717">
        <v>0</v>
      </c>
      <c r="M314" s="719">
        <v>366.55</v>
      </c>
      <c r="N314" s="720">
        <f t="shared" si="4"/>
        <v>366.55</v>
      </c>
      <c r="O314" s="1141">
        <f>Tabla1[[#This Row],[Tarifa 2012 (Mx$/ton)]]*(1+IncrementoTarifa)</f>
        <v>384.84084500000006</v>
      </c>
      <c r="P314" s="725"/>
    </row>
    <row r="315" spans="1:16" ht="15" x14ac:dyDescent="0.25">
      <c r="A315" s="716" t="s">
        <v>1167</v>
      </c>
      <c r="B315" s="717" t="s">
        <v>1168</v>
      </c>
      <c r="C315" s="718">
        <v>200</v>
      </c>
      <c r="D315" s="717">
        <v>40.659999999999997</v>
      </c>
      <c r="E315" s="717">
        <v>0.36</v>
      </c>
      <c r="F315" s="717">
        <v>112.66</v>
      </c>
      <c r="G315" s="717">
        <v>112.589</v>
      </c>
      <c r="H315" s="717">
        <v>0</v>
      </c>
      <c r="I315" s="717">
        <v>10</v>
      </c>
      <c r="J315" s="717">
        <v>0</v>
      </c>
      <c r="K315" s="717">
        <v>0</v>
      </c>
      <c r="L315" s="717">
        <v>0</v>
      </c>
      <c r="M315" s="719">
        <v>250.77</v>
      </c>
      <c r="N315" s="720">
        <f t="shared" si="4"/>
        <v>250.77</v>
      </c>
      <c r="O315" s="1141">
        <f>Tabla1[[#This Row],[Tarifa 2012 (Mx$/ton)]]*(1+IncrementoTarifa)</f>
        <v>263.28342300000003</v>
      </c>
      <c r="P315" s="725"/>
    </row>
    <row r="316" spans="1:16" ht="15" x14ac:dyDescent="0.25">
      <c r="A316" s="716" t="s">
        <v>1169</v>
      </c>
      <c r="B316" s="717" t="s">
        <v>1170</v>
      </c>
      <c r="C316" s="718">
        <v>130</v>
      </c>
      <c r="D316" s="717">
        <v>40.659999999999997</v>
      </c>
      <c r="E316" s="717">
        <v>0.36</v>
      </c>
      <c r="F316" s="717">
        <v>87.46</v>
      </c>
      <c r="G316" s="717">
        <v>112.589</v>
      </c>
      <c r="H316" s="717">
        <v>0</v>
      </c>
      <c r="I316" s="717">
        <v>0</v>
      </c>
      <c r="J316" s="717">
        <v>0</v>
      </c>
      <c r="K316" s="717">
        <v>0</v>
      </c>
      <c r="L316" s="717">
        <v>0</v>
      </c>
      <c r="M316" s="719">
        <v>185.93</v>
      </c>
      <c r="N316" s="720">
        <f t="shared" si="4"/>
        <v>185.93</v>
      </c>
      <c r="O316" s="1141">
        <f>Tabla1[[#This Row],[Tarifa 2012 (Mx$/ton)]]*(1+IncrementoTarifa)</f>
        <v>195.20790700000001</v>
      </c>
      <c r="P316" s="725"/>
    </row>
    <row r="317" spans="1:16" ht="15" x14ac:dyDescent="0.25">
      <c r="A317" s="716" t="s">
        <v>1171</v>
      </c>
      <c r="B317" s="717" t="s">
        <v>1172</v>
      </c>
      <c r="C317" s="718">
        <v>260</v>
      </c>
      <c r="D317" s="717">
        <v>40.659999999999997</v>
      </c>
      <c r="E317" s="717">
        <v>0.36</v>
      </c>
      <c r="F317" s="717">
        <v>134.26</v>
      </c>
      <c r="G317" s="717">
        <v>112.589</v>
      </c>
      <c r="H317" s="717">
        <v>0</v>
      </c>
      <c r="I317" s="717">
        <v>10</v>
      </c>
      <c r="J317" s="717">
        <v>0</v>
      </c>
      <c r="K317" s="717">
        <v>0</v>
      </c>
      <c r="L317" s="717">
        <v>0</v>
      </c>
      <c r="M317" s="719">
        <v>298.85000000000002</v>
      </c>
      <c r="N317" s="720">
        <f t="shared" si="4"/>
        <v>298.85000000000002</v>
      </c>
      <c r="O317" s="1141">
        <f>Tabla1[[#This Row],[Tarifa 2012 (Mx$/ton)]]*(1+IncrementoTarifa)</f>
        <v>313.76261500000004</v>
      </c>
      <c r="P317" s="725"/>
    </row>
    <row r="318" spans="1:16" ht="15" x14ac:dyDescent="0.25">
      <c r="A318" s="716" t="s">
        <v>1173</v>
      </c>
      <c r="B318" s="717" t="s">
        <v>1174</v>
      </c>
      <c r="C318" s="718">
        <v>180</v>
      </c>
      <c r="D318" s="717">
        <v>40.659999999999997</v>
      </c>
      <c r="E318" s="717">
        <v>0.36</v>
      </c>
      <c r="F318" s="717">
        <v>105.46</v>
      </c>
      <c r="G318" s="717">
        <v>112.589</v>
      </c>
      <c r="H318" s="717">
        <v>0</v>
      </c>
      <c r="I318" s="717">
        <v>10</v>
      </c>
      <c r="J318" s="717">
        <v>0</v>
      </c>
      <c r="K318" s="717">
        <v>0</v>
      </c>
      <c r="L318" s="717">
        <v>0</v>
      </c>
      <c r="M318" s="719">
        <v>234.74</v>
      </c>
      <c r="N318" s="720">
        <f t="shared" si="4"/>
        <v>234.74</v>
      </c>
      <c r="O318" s="1141">
        <f>Tabla1[[#This Row],[Tarifa 2012 (Mx$/ton)]]*(1+IncrementoTarifa)</f>
        <v>246.45352600000001</v>
      </c>
      <c r="P318" s="725"/>
    </row>
    <row r="319" spans="1:16" ht="15" x14ac:dyDescent="0.25">
      <c r="A319" s="716" t="s">
        <v>1175</v>
      </c>
      <c r="B319" s="717" t="s">
        <v>1176</v>
      </c>
      <c r="C319" s="718">
        <v>295</v>
      </c>
      <c r="D319" s="717">
        <v>40.659999999999997</v>
      </c>
      <c r="E319" s="717">
        <v>0.36</v>
      </c>
      <c r="F319" s="717">
        <v>146.86000000000001</v>
      </c>
      <c r="G319" s="717">
        <v>112.589</v>
      </c>
      <c r="H319" s="717">
        <v>0</v>
      </c>
      <c r="I319" s="717">
        <v>10</v>
      </c>
      <c r="J319" s="717">
        <v>0</v>
      </c>
      <c r="K319" s="717">
        <v>0</v>
      </c>
      <c r="L319" s="717">
        <v>0</v>
      </c>
      <c r="M319" s="719">
        <v>326.89</v>
      </c>
      <c r="N319" s="720">
        <f t="shared" si="4"/>
        <v>326.89</v>
      </c>
      <c r="O319" s="1141">
        <f>Tabla1[[#This Row],[Tarifa 2012 (Mx$/ton)]]*(1+IncrementoTarifa)</f>
        <v>343.20181100000002</v>
      </c>
      <c r="P319" s="725"/>
    </row>
    <row r="320" spans="1:16" ht="15" x14ac:dyDescent="0.25">
      <c r="A320" s="716" t="s">
        <v>1177</v>
      </c>
      <c r="B320" s="717" t="s">
        <v>1178</v>
      </c>
      <c r="C320" s="718">
        <v>180</v>
      </c>
      <c r="D320" s="717">
        <v>40.659999999999997</v>
      </c>
      <c r="E320" s="717">
        <v>0.36</v>
      </c>
      <c r="F320" s="717">
        <v>105.46</v>
      </c>
      <c r="G320" s="717">
        <v>112.589</v>
      </c>
      <c r="H320" s="717">
        <v>-91.927000000000007</v>
      </c>
      <c r="I320" s="717">
        <v>0</v>
      </c>
      <c r="J320" s="717">
        <v>0</v>
      </c>
      <c r="K320" s="717">
        <v>0</v>
      </c>
      <c r="L320" s="717">
        <v>0</v>
      </c>
      <c r="M320" s="719">
        <v>127.25</v>
      </c>
      <c r="N320" s="720">
        <f t="shared" si="4"/>
        <v>127.25</v>
      </c>
      <c r="O320" s="1141">
        <f>Tabla1[[#This Row],[Tarifa 2012 (Mx$/ton)]]*(1+IncrementoTarifa)</f>
        <v>133.59977499999999</v>
      </c>
      <c r="P320" s="725"/>
    </row>
    <row r="321" spans="1:16" ht="15" x14ac:dyDescent="0.25">
      <c r="A321" s="716" t="s">
        <v>1179</v>
      </c>
      <c r="B321" s="717" t="s">
        <v>1180</v>
      </c>
      <c r="C321" s="718">
        <v>646</v>
      </c>
      <c r="D321" s="717">
        <v>40.659999999999997</v>
      </c>
      <c r="E321" s="717">
        <v>0.36</v>
      </c>
      <c r="F321" s="717">
        <v>273.22000000000003</v>
      </c>
      <c r="G321" s="717">
        <v>112.589</v>
      </c>
      <c r="H321" s="717">
        <v>0</v>
      </c>
      <c r="I321" s="717">
        <v>0</v>
      </c>
      <c r="J321" s="717">
        <v>0</v>
      </c>
      <c r="K321" s="717">
        <v>0</v>
      </c>
      <c r="L321" s="717">
        <v>0</v>
      </c>
      <c r="M321" s="719">
        <v>580.84</v>
      </c>
      <c r="N321" s="720">
        <f t="shared" si="4"/>
        <v>580.84</v>
      </c>
      <c r="O321" s="1141">
        <f>Tabla1[[#This Row],[Tarifa 2012 (Mx$/ton)]]*(1+IncrementoTarifa)</f>
        <v>609.82391600000005</v>
      </c>
      <c r="P321" s="725"/>
    </row>
    <row r="322" spans="1:16" ht="15" x14ac:dyDescent="0.25">
      <c r="A322" s="716" t="s">
        <v>1181</v>
      </c>
      <c r="B322" s="717" t="s">
        <v>1182</v>
      </c>
      <c r="C322" s="718">
        <v>440</v>
      </c>
      <c r="D322" s="717">
        <v>40.659999999999997</v>
      </c>
      <c r="E322" s="717">
        <v>0.36</v>
      </c>
      <c r="F322" s="717">
        <v>199.06</v>
      </c>
      <c r="G322" s="717">
        <v>112.589</v>
      </c>
      <c r="H322" s="717">
        <v>0</v>
      </c>
      <c r="I322" s="717">
        <v>0</v>
      </c>
      <c r="J322" s="717">
        <v>0</v>
      </c>
      <c r="K322" s="717">
        <v>0</v>
      </c>
      <c r="L322" s="717">
        <v>0</v>
      </c>
      <c r="M322" s="719">
        <v>423.18</v>
      </c>
      <c r="N322" s="720">
        <f t="shared" si="4"/>
        <v>423.18</v>
      </c>
      <c r="O322" s="1141">
        <f>Tabla1[[#This Row],[Tarifa 2012 (Mx$/ton)]]*(1+IncrementoTarifa)</f>
        <v>444.29668200000003</v>
      </c>
      <c r="P322" s="725"/>
    </row>
    <row r="323" spans="1:16" ht="15" x14ac:dyDescent="0.25">
      <c r="A323" s="716" t="s">
        <v>1183</v>
      </c>
      <c r="B323" s="717" t="s">
        <v>1184</v>
      </c>
      <c r="C323" s="718">
        <v>1330</v>
      </c>
      <c r="D323" s="717">
        <v>40.659999999999997</v>
      </c>
      <c r="E323" s="717">
        <v>0.36</v>
      </c>
      <c r="F323" s="717">
        <v>519.46</v>
      </c>
      <c r="G323" s="717">
        <v>112.589</v>
      </c>
      <c r="H323" s="717">
        <v>0</v>
      </c>
      <c r="I323" s="717">
        <v>0</v>
      </c>
      <c r="J323" s="717">
        <v>0</v>
      </c>
      <c r="K323" s="717">
        <v>0</v>
      </c>
      <c r="L323" s="717">
        <v>0</v>
      </c>
      <c r="M323" s="719">
        <v>1104.31</v>
      </c>
      <c r="N323" s="720">
        <f t="shared" si="4"/>
        <v>1104.31</v>
      </c>
      <c r="O323" s="1141">
        <f>Tabla1[[#This Row],[Tarifa 2012 (Mx$/ton)]]*(1+IncrementoTarifa)</f>
        <v>1159.4150689999999</v>
      </c>
      <c r="P323" s="725"/>
    </row>
    <row r="324" spans="1:16" ht="15" x14ac:dyDescent="0.25">
      <c r="A324" s="716" t="s">
        <v>1185</v>
      </c>
      <c r="B324" s="717" t="s">
        <v>1186</v>
      </c>
      <c r="C324" s="718">
        <v>1399</v>
      </c>
      <c r="D324" s="717">
        <v>40.659999999999997</v>
      </c>
      <c r="E324" s="717">
        <v>0.36</v>
      </c>
      <c r="F324" s="717">
        <v>544.29999999999995</v>
      </c>
      <c r="G324" s="717">
        <v>112.589</v>
      </c>
      <c r="H324" s="717">
        <v>0</v>
      </c>
      <c r="I324" s="717">
        <v>0</v>
      </c>
      <c r="J324" s="717">
        <v>0</v>
      </c>
      <c r="K324" s="717">
        <v>0</v>
      </c>
      <c r="L324" s="717">
        <v>0</v>
      </c>
      <c r="M324" s="719">
        <v>1157.1199999999999</v>
      </c>
      <c r="N324" s="720">
        <f t="shared" si="4"/>
        <v>1157.1199999999999</v>
      </c>
      <c r="O324" s="1141">
        <f>Tabla1[[#This Row],[Tarifa 2012 (Mx$/ton)]]*(1+IncrementoTarifa)</f>
        <v>1214.8602879999999</v>
      </c>
      <c r="P324" s="725"/>
    </row>
    <row r="325" spans="1:16" ht="15" x14ac:dyDescent="0.25">
      <c r="A325" s="716" t="s">
        <v>1187</v>
      </c>
      <c r="B325" s="717" t="s">
        <v>1188</v>
      </c>
      <c r="C325" s="718">
        <v>1126</v>
      </c>
      <c r="D325" s="717">
        <v>40.659999999999997</v>
      </c>
      <c r="E325" s="717">
        <v>0.36</v>
      </c>
      <c r="F325" s="717">
        <v>446.02</v>
      </c>
      <c r="G325" s="717">
        <v>112.589</v>
      </c>
      <c r="H325" s="717">
        <v>0</v>
      </c>
      <c r="I325" s="717">
        <v>0</v>
      </c>
      <c r="J325" s="717">
        <v>0</v>
      </c>
      <c r="K325" s="717">
        <v>0</v>
      </c>
      <c r="L325" s="717">
        <v>0</v>
      </c>
      <c r="M325" s="719">
        <v>948.19</v>
      </c>
      <c r="N325" s="720">
        <f t="shared" si="4"/>
        <v>948.19</v>
      </c>
      <c r="O325" s="1141">
        <f>Tabla1[[#This Row],[Tarifa 2012 (Mx$/ton)]]*(1+IncrementoTarifa)</f>
        <v>995.50468100000012</v>
      </c>
      <c r="P325" s="725"/>
    </row>
    <row r="326" spans="1:16" ht="15" x14ac:dyDescent="0.25">
      <c r="A326" s="716" t="s">
        <v>1189</v>
      </c>
      <c r="B326" s="717" t="s">
        <v>1190</v>
      </c>
      <c r="C326" s="718">
        <v>1457</v>
      </c>
      <c r="D326" s="717">
        <v>40.659999999999997</v>
      </c>
      <c r="E326" s="717">
        <v>0.36</v>
      </c>
      <c r="F326" s="717">
        <v>565.17999999999995</v>
      </c>
      <c r="G326" s="717">
        <v>112.589</v>
      </c>
      <c r="H326" s="717">
        <v>0</v>
      </c>
      <c r="I326" s="717">
        <v>0</v>
      </c>
      <c r="J326" s="717">
        <v>0</v>
      </c>
      <c r="K326" s="717">
        <v>0</v>
      </c>
      <c r="L326" s="717">
        <v>0</v>
      </c>
      <c r="M326" s="719">
        <v>1201.51</v>
      </c>
      <c r="N326" s="720">
        <f t="shared" si="4"/>
        <v>1201.51</v>
      </c>
      <c r="O326" s="1141">
        <f>Tabla1[[#This Row],[Tarifa 2012 (Mx$/ton)]]*(1+IncrementoTarifa)</f>
        <v>1261.4653490000001</v>
      </c>
      <c r="P326" s="725"/>
    </row>
    <row r="327" spans="1:16" ht="15" x14ac:dyDescent="0.25">
      <c r="A327" s="716" t="s">
        <v>1191</v>
      </c>
      <c r="B327" s="717" t="s">
        <v>1192</v>
      </c>
      <c r="C327" s="718">
        <v>1545</v>
      </c>
      <c r="D327" s="717">
        <v>40.659999999999997</v>
      </c>
      <c r="E327" s="717">
        <v>0.36</v>
      </c>
      <c r="F327" s="717">
        <v>596.86</v>
      </c>
      <c r="G327" s="717">
        <v>112.589</v>
      </c>
      <c r="H327" s="717">
        <v>0</v>
      </c>
      <c r="I327" s="717">
        <v>0</v>
      </c>
      <c r="J327" s="717">
        <v>0</v>
      </c>
      <c r="K327" s="717">
        <v>0</v>
      </c>
      <c r="L327" s="717">
        <v>0</v>
      </c>
      <c r="M327" s="719">
        <v>1268.8599999999999</v>
      </c>
      <c r="N327" s="720">
        <f t="shared" si="4"/>
        <v>1268.8599999999999</v>
      </c>
      <c r="O327" s="1141">
        <f>Tabla1[[#This Row],[Tarifa 2012 (Mx$/ton)]]*(1+IncrementoTarifa)</f>
        <v>1332.1761139999999</v>
      </c>
      <c r="P327" s="725"/>
    </row>
    <row r="328" spans="1:16" ht="15" x14ac:dyDescent="0.25">
      <c r="A328" s="716" t="s">
        <v>1193</v>
      </c>
      <c r="B328" s="717" t="s">
        <v>1194</v>
      </c>
      <c r="C328" s="718">
        <v>924</v>
      </c>
      <c r="D328" s="717">
        <v>40.659999999999997</v>
      </c>
      <c r="E328" s="717">
        <v>0.36</v>
      </c>
      <c r="F328" s="717">
        <v>373.3</v>
      </c>
      <c r="G328" s="717">
        <v>112.589</v>
      </c>
      <c r="H328" s="717">
        <v>0</v>
      </c>
      <c r="I328" s="717">
        <v>0</v>
      </c>
      <c r="J328" s="717">
        <v>0</v>
      </c>
      <c r="K328" s="717">
        <v>0</v>
      </c>
      <c r="L328" s="717">
        <v>0</v>
      </c>
      <c r="M328" s="719">
        <v>793.59</v>
      </c>
      <c r="N328" s="720">
        <f t="shared" si="4"/>
        <v>793.59</v>
      </c>
      <c r="O328" s="1141">
        <f>Tabla1[[#This Row],[Tarifa 2012 (Mx$/ton)]]*(1+IncrementoTarifa)</f>
        <v>833.19014100000004</v>
      </c>
      <c r="P328" s="725"/>
    </row>
    <row r="329" spans="1:16" ht="15" x14ac:dyDescent="0.25">
      <c r="A329" s="716" t="s">
        <v>1195</v>
      </c>
      <c r="B329" s="717" t="s">
        <v>1196</v>
      </c>
      <c r="C329" s="718">
        <v>790</v>
      </c>
      <c r="D329" s="717">
        <v>40.659999999999997</v>
      </c>
      <c r="E329" s="717">
        <v>0.36</v>
      </c>
      <c r="F329" s="717">
        <v>325.06</v>
      </c>
      <c r="G329" s="717">
        <v>112.589</v>
      </c>
      <c r="H329" s="717">
        <v>0</v>
      </c>
      <c r="I329" s="717">
        <v>0</v>
      </c>
      <c r="J329" s="717">
        <v>0</v>
      </c>
      <c r="K329" s="717">
        <v>0</v>
      </c>
      <c r="L329" s="717">
        <v>0</v>
      </c>
      <c r="M329" s="719">
        <v>691.04</v>
      </c>
      <c r="N329" s="720">
        <f t="shared" si="4"/>
        <v>691.04</v>
      </c>
      <c r="O329" s="1141">
        <f>Tabla1[[#This Row],[Tarifa 2012 (Mx$/ton)]]*(1+IncrementoTarifa)</f>
        <v>725.52289599999995</v>
      </c>
      <c r="P329" s="725"/>
    </row>
    <row r="330" spans="1:16" ht="15" x14ac:dyDescent="0.25">
      <c r="A330" s="716" t="s">
        <v>1197</v>
      </c>
      <c r="B330" s="717" t="s">
        <v>1198</v>
      </c>
      <c r="C330" s="718">
        <v>649</v>
      </c>
      <c r="D330" s="717">
        <v>40.659999999999997</v>
      </c>
      <c r="E330" s="717">
        <v>0.36</v>
      </c>
      <c r="F330" s="717">
        <v>274.3</v>
      </c>
      <c r="G330" s="717">
        <v>112.589</v>
      </c>
      <c r="H330" s="717">
        <v>0</v>
      </c>
      <c r="I330" s="717">
        <v>0</v>
      </c>
      <c r="J330" s="717">
        <v>0</v>
      </c>
      <c r="K330" s="717">
        <v>0</v>
      </c>
      <c r="L330" s="717">
        <v>0</v>
      </c>
      <c r="M330" s="719">
        <v>583.13</v>
      </c>
      <c r="N330" s="720">
        <f t="shared" si="4"/>
        <v>583.13</v>
      </c>
      <c r="O330" s="1141">
        <f>Tabla1[[#This Row],[Tarifa 2012 (Mx$/ton)]]*(1+IncrementoTarifa)</f>
        <v>612.22818700000005</v>
      </c>
      <c r="P330" s="725"/>
    </row>
    <row r="331" spans="1:16" ht="15" x14ac:dyDescent="0.25">
      <c r="A331" s="716" t="s">
        <v>1199</v>
      </c>
      <c r="B331" s="717" t="s">
        <v>1200</v>
      </c>
      <c r="C331" s="718">
        <v>431</v>
      </c>
      <c r="D331" s="717">
        <v>40.659999999999997</v>
      </c>
      <c r="E331" s="717">
        <v>0.36</v>
      </c>
      <c r="F331" s="717">
        <v>195.82</v>
      </c>
      <c r="G331" s="717">
        <v>112.589</v>
      </c>
      <c r="H331" s="717">
        <v>0</v>
      </c>
      <c r="I331" s="717">
        <v>0</v>
      </c>
      <c r="J331" s="717">
        <v>0</v>
      </c>
      <c r="K331" s="717">
        <v>0</v>
      </c>
      <c r="L331" s="717">
        <v>0</v>
      </c>
      <c r="M331" s="719">
        <v>416.29</v>
      </c>
      <c r="N331" s="720">
        <f t="shared" si="4"/>
        <v>416.29</v>
      </c>
      <c r="O331" s="1141">
        <f>Tabla1[[#This Row],[Tarifa 2012 (Mx$/ton)]]*(1+IncrementoTarifa)</f>
        <v>437.06287100000003</v>
      </c>
      <c r="P331" s="725"/>
    </row>
    <row r="332" spans="1:16" ht="15" x14ac:dyDescent="0.25">
      <c r="A332" s="716" t="s">
        <v>1201</v>
      </c>
      <c r="B332" s="717" t="s">
        <v>1202</v>
      </c>
      <c r="C332" s="718">
        <v>640</v>
      </c>
      <c r="D332" s="717">
        <v>40.659999999999997</v>
      </c>
      <c r="E332" s="717">
        <v>0.36</v>
      </c>
      <c r="F332" s="717">
        <v>271.06</v>
      </c>
      <c r="G332" s="717">
        <v>112.589</v>
      </c>
      <c r="H332" s="717">
        <v>0</v>
      </c>
      <c r="I332" s="717">
        <v>0</v>
      </c>
      <c r="J332" s="717">
        <v>0</v>
      </c>
      <c r="K332" s="717">
        <v>0</v>
      </c>
      <c r="L332" s="717">
        <v>0</v>
      </c>
      <c r="M332" s="719">
        <v>576.24</v>
      </c>
      <c r="N332" s="720">
        <f t="shared" si="4"/>
        <v>576.24</v>
      </c>
      <c r="O332" s="1141">
        <f>Tabla1[[#This Row],[Tarifa 2012 (Mx$/ton)]]*(1+IncrementoTarifa)</f>
        <v>604.99437599999999</v>
      </c>
      <c r="P332" s="725"/>
    </row>
    <row r="333" spans="1:16" ht="15" x14ac:dyDescent="0.25">
      <c r="A333" s="716" t="s">
        <v>1203</v>
      </c>
      <c r="B333" s="717" t="s">
        <v>1204</v>
      </c>
      <c r="C333" s="718">
        <v>694</v>
      </c>
      <c r="D333" s="717">
        <v>40.659999999999997</v>
      </c>
      <c r="E333" s="717">
        <v>0.36</v>
      </c>
      <c r="F333" s="717">
        <v>290.5</v>
      </c>
      <c r="G333" s="717">
        <v>112.589</v>
      </c>
      <c r="H333" s="717">
        <v>0</v>
      </c>
      <c r="I333" s="717">
        <v>0</v>
      </c>
      <c r="J333" s="717">
        <v>0</v>
      </c>
      <c r="K333" s="717">
        <v>0</v>
      </c>
      <c r="L333" s="717">
        <v>0</v>
      </c>
      <c r="M333" s="719">
        <v>617.57000000000005</v>
      </c>
      <c r="N333" s="720">
        <f t="shared" si="4"/>
        <v>617.57000000000005</v>
      </c>
      <c r="O333" s="1141">
        <f>Tabla1[[#This Row],[Tarifa 2012 (Mx$/ton)]]*(1+IncrementoTarifa)</f>
        <v>648.38674300000014</v>
      </c>
      <c r="P333" s="725"/>
    </row>
    <row r="334" spans="1:16" ht="15" x14ac:dyDescent="0.25">
      <c r="A334" s="716" t="s">
        <v>1205</v>
      </c>
      <c r="B334" s="717" t="s">
        <v>1206</v>
      </c>
      <c r="C334" s="718">
        <v>778</v>
      </c>
      <c r="D334" s="717">
        <v>40.659999999999997</v>
      </c>
      <c r="E334" s="717">
        <v>0.36</v>
      </c>
      <c r="F334" s="717">
        <v>320.74</v>
      </c>
      <c r="G334" s="717">
        <v>112.589</v>
      </c>
      <c r="H334" s="717">
        <v>0</v>
      </c>
      <c r="I334" s="717">
        <v>0</v>
      </c>
      <c r="J334" s="717">
        <v>0</v>
      </c>
      <c r="K334" s="717">
        <v>0</v>
      </c>
      <c r="L334" s="717">
        <v>0</v>
      </c>
      <c r="M334" s="719">
        <v>681.86</v>
      </c>
      <c r="N334" s="720">
        <f t="shared" si="4"/>
        <v>681.86</v>
      </c>
      <c r="O334" s="1141">
        <f>Tabla1[[#This Row],[Tarifa 2012 (Mx$/ton)]]*(1+IncrementoTarifa)</f>
        <v>715.88481400000001</v>
      </c>
      <c r="P334" s="725"/>
    </row>
    <row r="335" spans="1:16" ht="15" x14ac:dyDescent="0.25">
      <c r="A335" s="716" t="s">
        <v>509</v>
      </c>
      <c r="B335" s="717" t="s">
        <v>1207</v>
      </c>
      <c r="C335" s="718">
        <v>570</v>
      </c>
      <c r="D335" s="717">
        <v>40.659999999999997</v>
      </c>
      <c r="E335" s="717">
        <v>0.36</v>
      </c>
      <c r="F335" s="717">
        <v>245.86</v>
      </c>
      <c r="G335" s="717">
        <v>112.589</v>
      </c>
      <c r="H335" s="717">
        <v>0</v>
      </c>
      <c r="I335" s="717">
        <v>0</v>
      </c>
      <c r="J335" s="717">
        <v>0</v>
      </c>
      <c r="K335" s="717">
        <v>0</v>
      </c>
      <c r="L335" s="717">
        <v>0</v>
      </c>
      <c r="M335" s="719">
        <v>522.66999999999996</v>
      </c>
      <c r="N335" s="720">
        <f t="shared" si="4"/>
        <v>522.66999999999996</v>
      </c>
      <c r="O335" s="1141">
        <f>Tabla1[[#This Row],[Tarifa 2012 (Mx$/ton)]]*(1+IncrementoTarifa)</f>
        <v>548.75123299999996</v>
      </c>
      <c r="P335" s="725"/>
    </row>
    <row r="336" spans="1:16" ht="15" x14ac:dyDescent="0.25">
      <c r="A336" s="716" t="s">
        <v>510</v>
      </c>
      <c r="B336" s="717" t="s">
        <v>1208</v>
      </c>
      <c r="C336" s="718">
        <v>560</v>
      </c>
      <c r="D336" s="717">
        <v>40.659999999999997</v>
      </c>
      <c r="E336" s="717">
        <v>0.36</v>
      </c>
      <c r="F336" s="717">
        <v>242.26</v>
      </c>
      <c r="G336" s="717">
        <v>112.589</v>
      </c>
      <c r="H336" s="717">
        <v>0</v>
      </c>
      <c r="I336" s="717">
        <v>0</v>
      </c>
      <c r="J336" s="717">
        <v>0</v>
      </c>
      <c r="K336" s="717">
        <v>0</v>
      </c>
      <c r="L336" s="717">
        <v>0</v>
      </c>
      <c r="M336" s="719">
        <v>515.02</v>
      </c>
      <c r="N336" s="720">
        <f t="shared" ref="N336:N399" si="5">M336*(1+$O$2)</f>
        <v>515.02</v>
      </c>
      <c r="O336" s="1141">
        <f>Tabla1[[#This Row],[Tarifa 2012 (Mx$/ton)]]*(1+IncrementoTarifa)</f>
        <v>540.71949800000004</v>
      </c>
      <c r="P336" s="725"/>
    </row>
    <row r="337" spans="1:16" ht="15" x14ac:dyDescent="0.25">
      <c r="A337" s="716" t="s">
        <v>1209</v>
      </c>
      <c r="B337" s="717" t="s">
        <v>1210</v>
      </c>
      <c r="C337" s="718">
        <v>775</v>
      </c>
      <c r="D337" s="717">
        <v>40.659999999999997</v>
      </c>
      <c r="E337" s="717">
        <v>0.36</v>
      </c>
      <c r="F337" s="717">
        <v>319.66000000000003</v>
      </c>
      <c r="G337" s="717">
        <v>112.589</v>
      </c>
      <c r="H337" s="717">
        <v>0</v>
      </c>
      <c r="I337" s="717">
        <v>0</v>
      </c>
      <c r="J337" s="717">
        <v>0</v>
      </c>
      <c r="K337" s="717">
        <v>0</v>
      </c>
      <c r="L337" s="717">
        <v>0</v>
      </c>
      <c r="M337" s="719">
        <v>679.56</v>
      </c>
      <c r="N337" s="720">
        <f t="shared" si="5"/>
        <v>679.56</v>
      </c>
      <c r="O337" s="1141">
        <f>Tabla1[[#This Row],[Tarifa 2012 (Mx$/ton)]]*(1+IncrementoTarifa)</f>
        <v>713.47004400000003</v>
      </c>
      <c r="P337" s="725"/>
    </row>
    <row r="338" spans="1:16" ht="15" x14ac:dyDescent="0.25">
      <c r="A338" s="716" t="s">
        <v>1211</v>
      </c>
      <c r="B338" s="717" t="s">
        <v>1212</v>
      </c>
      <c r="C338" s="718">
        <v>762</v>
      </c>
      <c r="D338" s="717">
        <v>40.659999999999997</v>
      </c>
      <c r="E338" s="717">
        <v>0.36</v>
      </c>
      <c r="F338" s="717">
        <v>314.98</v>
      </c>
      <c r="G338" s="717">
        <v>112.589</v>
      </c>
      <c r="H338" s="717">
        <v>0</v>
      </c>
      <c r="I338" s="717">
        <v>0</v>
      </c>
      <c r="J338" s="717">
        <v>0</v>
      </c>
      <c r="K338" s="717">
        <v>0</v>
      </c>
      <c r="L338" s="717">
        <v>0</v>
      </c>
      <c r="M338" s="719">
        <v>669.61</v>
      </c>
      <c r="N338" s="720">
        <f t="shared" si="5"/>
        <v>669.61</v>
      </c>
      <c r="O338" s="1141">
        <f>Tabla1[[#This Row],[Tarifa 2012 (Mx$/ton)]]*(1+IncrementoTarifa)</f>
        <v>703.02353900000003</v>
      </c>
      <c r="P338" s="725"/>
    </row>
    <row r="339" spans="1:16" ht="15" x14ac:dyDescent="0.25">
      <c r="A339" s="716" t="s">
        <v>1213</v>
      </c>
      <c r="B339" s="717" t="s">
        <v>1214</v>
      </c>
      <c r="C339" s="718">
        <v>765</v>
      </c>
      <c r="D339" s="717">
        <v>40.659999999999997</v>
      </c>
      <c r="E339" s="717">
        <v>0.36</v>
      </c>
      <c r="F339" s="717">
        <v>316.06</v>
      </c>
      <c r="G339" s="717">
        <v>112.589</v>
      </c>
      <c r="H339" s="717">
        <v>0</v>
      </c>
      <c r="I339" s="717">
        <v>0</v>
      </c>
      <c r="J339" s="717">
        <v>0</v>
      </c>
      <c r="K339" s="717">
        <v>0</v>
      </c>
      <c r="L339" s="717">
        <v>0</v>
      </c>
      <c r="M339" s="719">
        <v>671.91</v>
      </c>
      <c r="N339" s="720">
        <f t="shared" si="5"/>
        <v>671.91</v>
      </c>
      <c r="O339" s="1141">
        <f>Tabla1[[#This Row],[Tarifa 2012 (Mx$/ton)]]*(1+IncrementoTarifa)</f>
        <v>705.438309</v>
      </c>
      <c r="P339" s="725"/>
    </row>
    <row r="340" spans="1:16" ht="15" x14ac:dyDescent="0.25">
      <c r="A340" s="716" t="s">
        <v>1215</v>
      </c>
      <c r="B340" s="717" t="s">
        <v>1216</v>
      </c>
      <c r="C340" s="718">
        <v>705</v>
      </c>
      <c r="D340" s="717">
        <v>40.659999999999997</v>
      </c>
      <c r="E340" s="717">
        <v>0.36</v>
      </c>
      <c r="F340" s="717">
        <v>294.45999999999998</v>
      </c>
      <c r="G340" s="717">
        <v>112.589</v>
      </c>
      <c r="H340" s="717">
        <v>0</v>
      </c>
      <c r="I340" s="717">
        <v>0</v>
      </c>
      <c r="J340" s="717">
        <v>0</v>
      </c>
      <c r="K340" s="717">
        <v>0</v>
      </c>
      <c r="L340" s="717">
        <v>0</v>
      </c>
      <c r="M340" s="719">
        <v>625.99</v>
      </c>
      <c r="N340" s="720">
        <f t="shared" si="5"/>
        <v>625.99</v>
      </c>
      <c r="O340" s="1141">
        <f>Tabla1[[#This Row],[Tarifa 2012 (Mx$/ton)]]*(1+IncrementoTarifa)</f>
        <v>657.226901</v>
      </c>
      <c r="P340" s="725"/>
    </row>
    <row r="341" spans="1:16" ht="15" x14ac:dyDescent="0.25">
      <c r="A341" s="716" t="s">
        <v>1217</v>
      </c>
      <c r="B341" s="717" t="s">
        <v>1218</v>
      </c>
      <c r="C341" s="718">
        <v>715</v>
      </c>
      <c r="D341" s="717">
        <v>40.659999999999997</v>
      </c>
      <c r="E341" s="717">
        <v>0.36</v>
      </c>
      <c r="F341" s="717">
        <v>298.06</v>
      </c>
      <c r="G341" s="717">
        <v>112.589</v>
      </c>
      <c r="H341" s="717">
        <v>0</v>
      </c>
      <c r="I341" s="717">
        <v>0</v>
      </c>
      <c r="J341" s="717">
        <v>0</v>
      </c>
      <c r="K341" s="717">
        <v>0</v>
      </c>
      <c r="L341" s="717">
        <v>0</v>
      </c>
      <c r="M341" s="719">
        <v>633.64</v>
      </c>
      <c r="N341" s="720">
        <f t="shared" si="5"/>
        <v>633.64</v>
      </c>
      <c r="O341" s="1141">
        <f>Tabla1[[#This Row],[Tarifa 2012 (Mx$/ton)]]*(1+IncrementoTarifa)</f>
        <v>665.25863600000002</v>
      </c>
      <c r="P341" s="725"/>
    </row>
    <row r="342" spans="1:16" ht="15" x14ac:dyDescent="0.25">
      <c r="A342" s="716" t="s">
        <v>1219</v>
      </c>
      <c r="B342" s="717" t="s">
        <v>1220</v>
      </c>
      <c r="C342" s="718">
        <v>750</v>
      </c>
      <c r="D342" s="717">
        <v>40.659999999999997</v>
      </c>
      <c r="E342" s="717">
        <v>0.36</v>
      </c>
      <c r="F342" s="717">
        <v>310.66000000000003</v>
      </c>
      <c r="G342" s="717">
        <v>112.589</v>
      </c>
      <c r="H342" s="717">
        <v>0</v>
      </c>
      <c r="I342" s="717">
        <v>0</v>
      </c>
      <c r="J342" s="717">
        <v>0</v>
      </c>
      <c r="K342" s="717">
        <v>0</v>
      </c>
      <c r="L342" s="717">
        <v>0</v>
      </c>
      <c r="M342" s="719">
        <v>660.43</v>
      </c>
      <c r="N342" s="720">
        <f t="shared" si="5"/>
        <v>660.43</v>
      </c>
      <c r="O342" s="1141">
        <f>Tabla1[[#This Row],[Tarifa 2012 (Mx$/ton)]]*(1+IncrementoTarifa)</f>
        <v>693.38545699999997</v>
      </c>
      <c r="P342" s="725"/>
    </row>
    <row r="343" spans="1:16" ht="15" x14ac:dyDescent="0.25">
      <c r="A343" s="716" t="s">
        <v>1221</v>
      </c>
      <c r="B343" s="717" t="s">
        <v>1222</v>
      </c>
      <c r="C343" s="718">
        <v>778</v>
      </c>
      <c r="D343" s="717">
        <v>40.659999999999997</v>
      </c>
      <c r="E343" s="717">
        <v>0.36</v>
      </c>
      <c r="F343" s="717">
        <v>320.74</v>
      </c>
      <c r="G343" s="717">
        <v>112.589</v>
      </c>
      <c r="H343" s="717">
        <v>0</v>
      </c>
      <c r="I343" s="717">
        <v>0</v>
      </c>
      <c r="J343" s="717">
        <v>0</v>
      </c>
      <c r="K343" s="717">
        <v>0</v>
      </c>
      <c r="L343" s="717">
        <v>0</v>
      </c>
      <c r="M343" s="719">
        <v>681.86</v>
      </c>
      <c r="N343" s="720">
        <f t="shared" si="5"/>
        <v>681.86</v>
      </c>
      <c r="O343" s="1141">
        <f>Tabla1[[#This Row],[Tarifa 2012 (Mx$/ton)]]*(1+IncrementoTarifa)</f>
        <v>715.88481400000001</v>
      </c>
      <c r="P343" s="725"/>
    </row>
    <row r="344" spans="1:16" ht="15" x14ac:dyDescent="0.25">
      <c r="A344" s="716" t="s">
        <v>511</v>
      </c>
      <c r="B344" s="717" t="s">
        <v>1223</v>
      </c>
      <c r="C344" s="718">
        <v>1250</v>
      </c>
      <c r="D344" s="717">
        <v>40.659999999999997</v>
      </c>
      <c r="E344" s="717">
        <v>0.36</v>
      </c>
      <c r="F344" s="717">
        <v>490.66</v>
      </c>
      <c r="G344" s="717">
        <v>112.589</v>
      </c>
      <c r="H344" s="717">
        <v>0</v>
      </c>
      <c r="I344" s="717">
        <v>0</v>
      </c>
      <c r="J344" s="717">
        <v>0</v>
      </c>
      <c r="K344" s="717">
        <v>0</v>
      </c>
      <c r="L344" s="717">
        <v>0</v>
      </c>
      <c r="M344" s="719">
        <v>1043.0899999999999</v>
      </c>
      <c r="N344" s="720">
        <f t="shared" si="5"/>
        <v>1043.0899999999999</v>
      </c>
      <c r="O344" s="1141">
        <f>Tabla1[[#This Row],[Tarifa 2012 (Mx$/ton)]]*(1+IncrementoTarifa)</f>
        <v>1095.140191</v>
      </c>
      <c r="P344" s="725"/>
    </row>
    <row r="345" spans="1:16" ht="15" x14ac:dyDescent="0.25">
      <c r="A345" s="716" t="s">
        <v>1224</v>
      </c>
      <c r="B345" s="717" t="s">
        <v>1225</v>
      </c>
      <c r="C345" s="718">
        <v>1027</v>
      </c>
      <c r="D345" s="717">
        <v>40.659999999999997</v>
      </c>
      <c r="E345" s="717">
        <v>0.36</v>
      </c>
      <c r="F345" s="717">
        <v>410.38</v>
      </c>
      <c r="G345" s="717">
        <v>112.589</v>
      </c>
      <c r="H345" s="717">
        <v>0</v>
      </c>
      <c r="I345" s="717">
        <v>0</v>
      </c>
      <c r="J345" s="717">
        <v>0</v>
      </c>
      <c r="K345" s="717">
        <v>0</v>
      </c>
      <c r="L345" s="717">
        <v>0</v>
      </c>
      <c r="M345" s="719">
        <v>872.42</v>
      </c>
      <c r="N345" s="720">
        <f t="shared" si="5"/>
        <v>872.42</v>
      </c>
      <c r="O345" s="1141">
        <f>Tabla1[[#This Row],[Tarifa 2012 (Mx$/ton)]]*(1+IncrementoTarifa)</f>
        <v>915.95375799999999</v>
      </c>
      <c r="P345" s="725"/>
    </row>
    <row r="346" spans="1:16" ht="15" x14ac:dyDescent="0.25">
      <c r="A346" s="716" t="s">
        <v>512</v>
      </c>
      <c r="B346" s="717" t="s">
        <v>1226</v>
      </c>
      <c r="C346" s="718">
        <v>660</v>
      </c>
      <c r="D346" s="717">
        <v>40.659999999999997</v>
      </c>
      <c r="E346" s="717">
        <v>0.36</v>
      </c>
      <c r="F346" s="717">
        <v>278.26</v>
      </c>
      <c r="G346" s="717">
        <v>112.589</v>
      </c>
      <c r="H346" s="717">
        <v>-57.698</v>
      </c>
      <c r="I346" s="717">
        <v>0</v>
      </c>
      <c r="J346" s="717">
        <v>0</v>
      </c>
      <c r="K346" s="717">
        <v>0</v>
      </c>
      <c r="L346" s="717">
        <v>0</v>
      </c>
      <c r="M346" s="719">
        <v>431</v>
      </c>
      <c r="N346" s="720">
        <f t="shared" si="5"/>
        <v>431</v>
      </c>
      <c r="O346" s="1141">
        <f>Tabla1[[#This Row],[Tarifa 2012 (Mx$/ton)]]*(1+IncrementoTarifa)</f>
        <v>452.50690000000003</v>
      </c>
      <c r="P346" s="725"/>
    </row>
    <row r="347" spans="1:16" ht="15" x14ac:dyDescent="0.25">
      <c r="A347" s="716" t="s">
        <v>1227</v>
      </c>
      <c r="B347" s="717" t="s">
        <v>1228</v>
      </c>
      <c r="C347" s="718">
        <v>210</v>
      </c>
      <c r="D347" s="717">
        <v>40.659999999999997</v>
      </c>
      <c r="E347" s="717">
        <v>0.36</v>
      </c>
      <c r="F347" s="717">
        <v>116.26</v>
      </c>
      <c r="G347" s="717">
        <v>112.589</v>
      </c>
      <c r="H347" s="717">
        <v>0</v>
      </c>
      <c r="I347" s="717">
        <v>0</v>
      </c>
      <c r="J347" s="717">
        <v>0</v>
      </c>
      <c r="K347" s="717">
        <v>0</v>
      </c>
      <c r="L347" s="717">
        <v>0</v>
      </c>
      <c r="M347" s="719">
        <v>247.16</v>
      </c>
      <c r="N347" s="720">
        <f t="shared" si="5"/>
        <v>247.16</v>
      </c>
      <c r="O347" s="1141">
        <f>Tabla1[[#This Row],[Tarifa 2012 (Mx$/ton)]]*(1+IncrementoTarifa)</f>
        <v>259.49328400000002</v>
      </c>
      <c r="P347" s="725"/>
    </row>
    <row r="348" spans="1:16" ht="15" x14ac:dyDescent="0.25">
      <c r="A348" s="716" t="s">
        <v>513</v>
      </c>
      <c r="B348" s="717" t="s">
        <v>1229</v>
      </c>
      <c r="C348" s="718">
        <v>230</v>
      </c>
      <c r="D348" s="717">
        <v>40.659999999999997</v>
      </c>
      <c r="E348" s="717">
        <v>0.36</v>
      </c>
      <c r="F348" s="717">
        <v>123.46</v>
      </c>
      <c r="G348" s="717">
        <v>112.589</v>
      </c>
      <c r="H348" s="717">
        <v>0</v>
      </c>
      <c r="I348" s="717">
        <v>0</v>
      </c>
      <c r="J348" s="717">
        <v>0</v>
      </c>
      <c r="K348" s="717">
        <v>0</v>
      </c>
      <c r="L348" s="717">
        <v>0</v>
      </c>
      <c r="M348" s="719">
        <v>262.45999999999998</v>
      </c>
      <c r="N348" s="720">
        <f t="shared" si="5"/>
        <v>262.45999999999998</v>
      </c>
      <c r="O348" s="1141">
        <f>Tabla1[[#This Row],[Tarifa 2012 (Mx$/ton)]]*(1+IncrementoTarifa)</f>
        <v>275.55675400000001</v>
      </c>
      <c r="P348" s="725"/>
    </row>
    <row r="349" spans="1:16" ht="15" x14ac:dyDescent="0.25">
      <c r="A349" s="716" t="s">
        <v>1230</v>
      </c>
      <c r="B349" s="717" t="s">
        <v>1231</v>
      </c>
      <c r="C349" s="718">
        <v>180</v>
      </c>
      <c r="D349" s="717">
        <v>40.659999999999997</v>
      </c>
      <c r="E349" s="717">
        <v>0.36</v>
      </c>
      <c r="F349" s="717">
        <v>105.46</v>
      </c>
      <c r="G349" s="717">
        <v>112.589</v>
      </c>
      <c r="H349" s="717">
        <v>0</v>
      </c>
      <c r="I349" s="717">
        <v>0</v>
      </c>
      <c r="J349" s="717">
        <v>0</v>
      </c>
      <c r="K349" s="717">
        <v>0</v>
      </c>
      <c r="L349" s="717">
        <v>0</v>
      </c>
      <c r="M349" s="719">
        <v>224.2</v>
      </c>
      <c r="N349" s="720">
        <f t="shared" si="5"/>
        <v>224.2</v>
      </c>
      <c r="O349" s="1141">
        <f>Tabla1[[#This Row],[Tarifa 2012 (Mx$/ton)]]*(1+IncrementoTarifa)</f>
        <v>235.38758000000001</v>
      </c>
      <c r="P349" s="725"/>
    </row>
    <row r="350" spans="1:16" ht="15" x14ac:dyDescent="0.25">
      <c r="A350" s="716" t="s">
        <v>1232</v>
      </c>
      <c r="B350" s="717" t="s">
        <v>1233</v>
      </c>
      <c r="C350" s="718">
        <v>260</v>
      </c>
      <c r="D350" s="717">
        <v>40.659999999999997</v>
      </c>
      <c r="E350" s="717">
        <v>0.36</v>
      </c>
      <c r="F350" s="717">
        <v>134.26</v>
      </c>
      <c r="G350" s="717">
        <v>112.589</v>
      </c>
      <c r="H350" s="717">
        <v>0</v>
      </c>
      <c r="I350" s="717">
        <v>0</v>
      </c>
      <c r="J350" s="717">
        <v>0</v>
      </c>
      <c r="K350" s="717">
        <v>0</v>
      </c>
      <c r="L350" s="717">
        <v>0</v>
      </c>
      <c r="M350" s="719">
        <v>285.42</v>
      </c>
      <c r="N350" s="720">
        <f t="shared" si="5"/>
        <v>285.42</v>
      </c>
      <c r="O350" s="1141">
        <f>Tabla1[[#This Row],[Tarifa 2012 (Mx$/ton)]]*(1+IncrementoTarifa)</f>
        <v>299.66245800000002</v>
      </c>
      <c r="P350" s="725"/>
    </row>
    <row r="351" spans="1:16" ht="15" x14ac:dyDescent="0.25">
      <c r="A351" s="716" t="s">
        <v>1234</v>
      </c>
      <c r="B351" s="717" t="s">
        <v>1235</v>
      </c>
      <c r="C351" s="718">
        <v>390</v>
      </c>
      <c r="D351" s="717">
        <v>40.659999999999997</v>
      </c>
      <c r="E351" s="717">
        <v>0.36</v>
      </c>
      <c r="F351" s="717">
        <v>181.06</v>
      </c>
      <c r="G351" s="717">
        <v>112.589</v>
      </c>
      <c r="H351" s="717">
        <v>0</v>
      </c>
      <c r="I351" s="717">
        <v>0</v>
      </c>
      <c r="J351" s="717">
        <v>0</v>
      </c>
      <c r="K351" s="717">
        <v>0</v>
      </c>
      <c r="L351" s="717">
        <v>0</v>
      </c>
      <c r="M351" s="719">
        <v>384.91</v>
      </c>
      <c r="N351" s="720">
        <f t="shared" si="5"/>
        <v>384.91</v>
      </c>
      <c r="O351" s="1141">
        <f>Tabla1[[#This Row],[Tarifa 2012 (Mx$/ton)]]*(1+IncrementoTarifa)</f>
        <v>404.11700900000005</v>
      </c>
      <c r="P351" s="725"/>
    </row>
    <row r="352" spans="1:16" ht="15" x14ac:dyDescent="0.25">
      <c r="A352" s="716" t="s">
        <v>1236</v>
      </c>
      <c r="B352" s="717" t="s">
        <v>1237</v>
      </c>
      <c r="C352" s="718">
        <v>330</v>
      </c>
      <c r="D352" s="717">
        <v>40.659999999999997</v>
      </c>
      <c r="E352" s="717">
        <v>0.36</v>
      </c>
      <c r="F352" s="717">
        <v>159.46</v>
      </c>
      <c r="G352" s="717">
        <v>112.589</v>
      </c>
      <c r="H352" s="717">
        <v>0</v>
      </c>
      <c r="I352" s="717">
        <v>0</v>
      </c>
      <c r="J352" s="717">
        <v>0</v>
      </c>
      <c r="K352" s="717">
        <v>0</v>
      </c>
      <c r="L352" s="717">
        <v>0</v>
      </c>
      <c r="M352" s="719">
        <v>338.99</v>
      </c>
      <c r="N352" s="720">
        <f t="shared" si="5"/>
        <v>338.99</v>
      </c>
      <c r="O352" s="1141">
        <f>Tabla1[[#This Row],[Tarifa 2012 (Mx$/ton)]]*(1+IncrementoTarifa)</f>
        <v>355.90560100000005</v>
      </c>
      <c r="P352" s="725"/>
    </row>
    <row r="353" spans="1:16" ht="15" x14ac:dyDescent="0.25">
      <c r="A353" s="716" t="s">
        <v>514</v>
      </c>
      <c r="B353" s="717" t="s">
        <v>1238</v>
      </c>
      <c r="C353" s="718">
        <v>1E-3</v>
      </c>
      <c r="D353" s="717">
        <v>40.659999999999997</v>
      </c>
      <c r="E353" s="717">
        <v>0.36</v>
      </c>
      <c r="F353" s="717">
        <v>40.659999999999997</v>
      </c>
      <c r="G353" s="717">
        <v>112.589</v>
      </c>
      <c r="H353" s="717">
        <v>0</v>
      </c>
      <c r="I353" s="717">
        <v>0</v>
      </c>
      <c r="J353" s="717">
        <v>0</v>
      </c>
      <c r="K353" s="717">
        <v>0</v>
      </c>
      <c r="L353" s="717">
        <v>0</v>
      </c>
      <c r="M353" s="719">
        <v>86.44</v>
      </c>
      <c r="N353" s="720">
        <f t="shared" si="5"/>
        <v>86.44</v>
      </c>
      <c r="O353" s="1141">
        <f>Tabla1[[#This Row],[Tarifa 2012 (Mx$/ton)]]*(1+IncrementoTarifa)</f>
        <v>90.753355999999997</v>
      </c>
      <c r="P353" s="725"/>
    </row>
    <row r="354" spans="1:16" ht="15" x14ac:dyDescent="0.25">
      <c r="A354" s="716" t="s">
        <v>515</v>
      </c>
      <c r="B354" s="717" t="s">
        <v>1239</v>
      </c>
      <c r="C354" s="718">
        <v>1E-3</v>
      </c>
      <c r="D354" s="717">
        <v>40.659999999999997</v>
      </c>
      <c r="E354" s="717">
        <v>0.36</v>
      </c>
      <c r="F354" s="717">
        <v>40.659999999999997</v>
      </c>
      <c r="G354" s="717">
        <v>112.589</v>
      </c>
      <c r="H354" s="717">
        <v>0</v>
      </c>
      <c r="I354" s="717">
        <v>0</v>
      </c>
      <c r="J354" s="717">
        <v>0</v>
      </c>
      <c r="K354" s="717">
        <v>0</v>
      </c>
      <c r="L354" s="717">
        <v>0</v>
      </c>
      <c r="M354" s="719">
        <v>86.44</v>
      </c>
      <c r="N354" s="720">
        <f t="shared" si="5"/>
        <v>86.44</v>
      </c>
      <c r="O354" s="1141">
        <f>Tabla1[[#This Row],[Tarifa 2012 (Mx$/ton)]]*(1+IncrementoTarifa)</f>
        <v>90.753355999999997</v>
      </c>
      <c r="P354" s="725"/>
    </row>
    <row r="355" spans="1:16" ht="15" x14ac:dyDescent="0.25">
      <c r="A355" s="716" t="s">
        <v>516</v>
      </c>
      <c r="B355" s="717" t="s">
        <v>1240</v>
      </c>
      <c r="C355" s="718">
        <v>400</v>
      </c>
      <c r="D355" s="717">
        <v>40.659999999999997</v>
      </c>
      <c r="E355" s="717">
        <v>0.36</v>
      </c>
      <c r="F355" s="717">
        <v>184.66</v>
      </c>
      <c r="G355" s="717">
        <v>112.589</v>
      </c>
      <c r="H355" s="717">
        <v>0</v>
      </c>
      <c r="I355" s="717">
        <v>0</v>
      </c>
      <c r="J355" s="717">
        <v>0</v>
      </c>
      <c r="K355" s="717">
        <v>0</v>
      </c>
      <c r="L355" s="717">
        <v>0</v>
      </c>
      <c r="M355" s="719">
        <v>392.57</v>
      </c>
      <c r="N355" s="720">
        <f t="shared" si="5"/>
        <v>392.57</v>
      </c>
      <c r="O355" s="1141">
        <f>Tabla1[[#This Row],[Tarifa 2012 (Mx$/ton)]]*(1+IncrementoTarifa)</f>
        <v>412.159243</v>
      </c>
      <c r="P355" s="725"/>
    </row>
    <row r="356" spans="1:16" ht="15" x14ac:dyDescent="0.25">
      <c r="A356" s="716" t="s">
        <v>517</v>
      </c>
      <c r="B356" s="717" t="s">
        <v>1241</v>
      </c>
      <c r="C356" s="718">
        <v>480</v>
      </c>
      <c r="D356" s="717">
        <v>40.659999999999997</v>
      </c>
      <c r="E356" s="717">
        <v>0.36</v>
      </c>
      <c r="F356" s="717">
        <v>213.46</v>
      </c>
      <c r="G356" s="717">
        <v>112.589</v>
      </c>
      <c r="H356" s="717">
        <v>0</v>
      </c>
      <c r="I356" s="717">
        <v>0</v>
      </c>
      <c r="J356" s="717">
        <v>0</v>
      </c>
      <c r="K356" s="717">
        <v>0</v>
      </c>
      <c r="L356" s="717">
        <v>0</v>
      </c>
      <c r="M356" s="719">
        <v>453.79</v>
      </c>
      <c r="N356" s="720">
        <f t="shared" si="5"/>
        <v>453.79</v>
      </c>
      <c r="O356" s="1141">
        <f>Tabla1[[#This Row],[Tarifa 2012 (Mx$/ton)]]*(1+IncrementoTarifa)</f>
        <v>476.43412100000006</v>
      </c>
      <c r="P356" s="725"/>
    </row>
    <row r="357" spans="1:16" ht="15" x14ac:dyDescent="0.25">
      <c r="A357" s="716" t="s">
        <v>1242</v>
      </c>
      <c r="B357" s="717" t="s">
        <v>1243</v>
      </c>
      <c r="C357" s="718">
        <v>260</v>
      </c>
      <c r="D357" s="717">
        <v>40.659999999999997</v>
      </c>
      <c r="E357" s="717">
        <v>0.36</v>
      </c>
      <c r="F357" s="717">
        <v>134.26</v>
      </c>
      <c r="G357" s="717">
        <v>112.589</v>
      </c>
      <c r="H357" s="717">
        <v>0</v>
      </c>
      <c r="I357" s="717">
        <v>0</v>
      </c>
      <c r="J357" s="717">
        <v>0</v>
      </c>
      <c r="K357" s="717">
        <v>0</v>
      </c>
      <c r="L357" s="717">
        <v>0</v>
      </c>
      <c r="M357" s="719">
        <v>285.42</v>
      </c>
      <c r="N357" s="720">
        <f t="shared" si="5"/>
        <v>285.42</v>
      </c>
      <c r="O357" s="1141">
        <f>Tabla1[[#This Row],[Tarifa 2012 (Mx$/ton)]]*(1+IncrementoTarifa)</f>
        <v>299.66245800000002</v>
      </c>
      <c r="P357" s="725"/>
    </row>
    <row r="358" spans="1:16" ht="15" x14ac:dyDescent="0.25">
      <c r="A358" s="716" t="s">
        <v>1244</v>
      </c>
      <c r="B358" s="717" t="s">
        <v>1245</v>
      </c>
      <c r="C358" s="718">
        <v>210</v>
      </c>
      <c r="D358" s="717">
        <v>40.659999999999997</v>
      </c>
      <c r="E358" s="717">
        <v>0.36</v>
      </c>
      <c r="F358" s="717">
        <v>116.26</v>
      </c>
      <c r="G358" s="717">
        <v>112.589</v>
      </c>
      <c r="H358" s="717">
        <v>0</v>
      </c>
      <c r="I358" s="717">
        <v>0</v>
      </c>
      <c r="J358" s="717">
        <v>0</v>
      </c>
      <c r="K358" s="717">
        <v>0</v>
      </c>
      <c r="L358" s="717">
        <v>0</v>
      </c>
      <c r="M358" s="719">
        <v>247.16</v>
      </c>
      <c r="N358" s="720">
        <f t="shared" si="5"/>
        <v>247.16</v>
      </c>
      <c r="O358" s="1141">
        <f>Tabla1[[#This Row],[Tarifa 2012 (Mx$/ton)]]*(1+IncrementoTarifa)</f>
        <v>259.49328400000002</v>
      </c>
      <c r="P358" s="725"/>
    </row>
    <row r="359" spans="1:16" ht="15" x14ac:dyDescent="0.25">
      <c r="A359" s="716" t="s">
        <v>1246</v>
      </c>
      <c r="B359" s="717" t="s">
        <v>1247</v>
      </c>
      <c r="C359" s="718">
        <v>120</v>
      </c>
      <c r="D359" s="717">
        <v>40.659999999999997</v>
      </c>
      <c r="E359" s="717">
        <v>0.36</v>
      </c>
      <c r="F359" s="717">
        <v>83.86</v>
      </c>
      <c r="G359" s="717">
        <v>112.589</v>
      </c>
      <c r="H359" s="717">
        <v>0</v>
      </c>
      <c r="I359" s="717">
        <v>0</v>
      </c>
      <c r="J359" s="717">
        <v>0</v>
      </c>
      <c r="K359" s="717">
        <v>0</v>
      </c>
      <c r="L359" s="717">
        <v>0</v>
      </c>
      <c r="M359" s="719">
        <v>178.28</v>
      </c>
      <c r="N359" s="720">
        <f t="shared" si="5"/>
        <v>178.28</v>
      </c>
      <c r="O359" s="1141">
        <f>Tabla1[[#This Row],[Tarifa 2012 (Mx$/ton)]]*(1+IncrementoTarifa)</f>
        <v>187.17617200000001</v>
      </c>
      <c r="P359" s="725"/>
    </row>
    <row r="360" spans="1:16" ht="15" x14ac:dyDescent="0.25">
      <c r="A360" s="716" t="s">
        <v>518</v>
      </c>
      <c r="B360" s="717" t="s">
        <v>1248</v>
      </c>
      <c r="C360" s="718">
        <v>150</v>
      </c>
      <c r="D360" s="717">
        <v>40.659999999999997</v>
      </c>
      <c r="E360" s="717">
        <v>0.36</v>
      </c>
      <c r="F360" s="717">
        <v>94.66</v>
      </c>
      <c r="G360" s="717">
        <v>112.589</v>
      </c>
      <c r="H360" s="717">
        <v>0</v>
      </c>
      <c r="I360" s="717">
        <v>0</v>
      </c>
      <c r="J360" s="717">
        <v>0</v>
      </c>
      <c r="K360" s="717">
        <v>0</v>
      </c>
      <c r="L360" s="717">
        <v>0</v>
      </c>
      <c r="M360" s="719">
        <v>201.24</v>
      </c>
      <c r="N360" s="720">
        <f t="shared" si="5"/>
        <v>201.24</v>
      </c>
      <c r="O360" s="1141">
        <f>Tabla1[[#This Row],[Tarifa 2012 (Mx$/ton)]]*(1+IncrementoTarifa)</f>
        <v>211.28187600000001</v>
      </c>
      <c r="P360" s="725"/>
    </row>
    <row r="361" spans="1:16" ht="15" x14ac:dyDescent="0.25">
      <c r="A361" s="716" t="s">
        <v>519</v>
      </c>
      <c r="B361" s="717" t="s">
        <v>1249</v>
      </c>
      <c r="C361" s="718">
        <v>150</v>
      </c>
      <c r="D361" s="717">
        <v>40.659999999999997</v>
      </c>
      <c r="E361" s="717">
        <v>0.36</v>
      </c>
      <c r="F361" s="717">
        <v>94.66</v>
      </c>
      <c r="G361" s="717">
        <v>112.589</v>
      </c>
      <c r="H361" s="717">
        <v>0</v>
      </c>
      <c r="I361" s="717">
        <v>0</v>
      </c>
      <c r="J361" s="717">
        <v>0</v>
      </c>
      <c r="K361" s="717">
        <v>0</v>
      </c>
      <c r="L361" s="717">
        <v>0</v>
      </c>
      <c r="M361" s="719">
        <v>201.24</v>
      </c>
      <c r="N361" s="720">
        <f t="shared" si="5"/>
        <v>201.24</v>
      </c>
      <c r="O361" s="1141">
        <f>Tabla1[[#This Row],[Tarifa 2012 (Mx$/ton)]]*(1+IncrementoTarifa)</f>
        <v>211.28187600000001</v>
      </c>
      <c r="P361" s="725"/>
    </row>
    <row r="362" spans="1:16" ht="15" x14ac:dyDescent="0.25">
      <c r="A362" s="716" t="s">
        <v>520</v>
      </c>
      <c r="B362" s="717" t="s">
        <v>1250</v>
      </c>
      <c r="C362" s="718">
        <v>250</v>
      </c>
      <c r="D362" s="717">
        <v>40.659999999999997</v>
      </c>
      <c r="E362" s="717">
        <v>0.36</v>
      </c>
      <c r="F362" s="717">
        <v>130.66</v>
      </c>
      <c r="G362" s="717">
        <v>112.589</v>
      </c>
      <c r="H362" s="717">
        <v>0</v>
      </c>
      <c r="I362" s="717">
        <v>0</v>
      </c>
      <c r="J362" s="717">
        <v>0</v>
      </c>
      <c r="K362" s="717">
        <v>0</v>
      </c>
      <c r="L362" s="717">
        <v>0</v>
      </c>
      <c r="M362" s="719">
        <v>277.77</v>
      </c>
      <c r="N362" s="720">
        <f t="shared" si="5"/>
        <v>277.77</v>
      </c>
      <c r="O362" s="1141">
        <f>Tabla1[[#This Row],[Tarifa 2012 (Mx$/ton)]]*(1+IncrementoTarifa)</f>
        <v>291.63072299999999</v>
      </c>
      <c r="P362" s="725"/>
    </row>
    <row r="363" spans="1:16" ht="15" x14ac:dyDescent="0.25">
      <c r="A363" s="716" t="s">
        <v>521</v>
      </c>
      <c r="B363" s="717" t="s">
        <v>1251</v>
      </c>
      <c r="C363" s="718">
        <v>340</v>
      </c>
      <c r="D363" s="717">
        <v>40.659999999999997</v>
      </c>
      <c r="E363" s="717">
        <v>0.36</v>
      </c>
      <c r="F363" s="717">
        <v>163.06</v>
      </c>
      <c r="G363" s="717">
        <v>112.589</v>
      </c>
      <c r="H363" s="717">
        <v>0</v>
      </c>
      <c r="I363" s="717">
        <v>0</v>
      </c>
      <c r="J363" s="717">
        <v>0</v>
      </c>
      <c r="K363" s="717">
        <v>0</v>
      </c>
      <c r="L363" s="717">
        <v>0</v>
      </c>
      <c r="M363" s="719">
        <v>346.65</v>
      </c>
      <c r="N363" s="720">
        <f t="shared" si="5"/>
        <v>346.65</v>
      </c>
      <c r="O363" s="1141">
        <f>Tabla1[[#This Row],[Tarifa 2012 (Mx$/ton)]]*(1+IncrementoTarifa)</f>
        <v>363.947835</v>
      </c>
      <c r="P363" s="725"/>
    </row>
    <row r="364" spans="1:16" ht="15" x14ac:dyDescent="0.25">
      <c r="A364" s="716" t="s">
        <v>1252</v>
      </c>
      <c r="B364" s="717" t="s">
        <v>1253</v>
      </c>
      <c r="C364" s="718">
        <v>460</v>
      </c>
      <c r="D364" s="717">
        <v>40.659999999999997</v>
      </c>
      <c r="E364" s="717">
        <v>0.36</v>
      </c>
      <c r="F364" s="717">
        <v>206.26</v>
      </c>
      <c r="G364" s="717">
        <v>112.589</v>
      </c>
      <c r="H364" s="717">
        <v>0</v>
      </c>
      <c r="I364" s="717">
        <v>0</v>
      </c>
      <c r="J364" s="717">
        <v>0</v>
      </c>
      <c r="K364" s="717">
        <v>0</v>
      </c>
      <c r="L364" s="717">
        <v>0</v>
      </c>
      <c r="M364" s="719">
        <v>438.49</v>
      </c>
      <c r="N364" s="720">
        <f t="shared" si="5"/>
        <v>438.49</v>
      </c>
      <c r="O364" s="1141">
        <f>Tabla1[[#This Row],[Tarifa 2012 (Mx$/ton)]]*(1+IncrementoTarifa)</f>
        <v>460.37065100000001</v>
      </c>
      <c r="P364" s="725"/>
    </row>
    <row r="365" spans="1:16" ht="15" x14ac:dyDescent="0.25">
      <c r="A365" s="716" t="s">
        <v>1254</v>
      </c>
      <c r="B365" s="717" t="s">
        <v>1255</v>
      </c>
      <c r="C365" s="718">
        <v>710</v>
      </c>
      <c r="D365" s="717">
        <v>40.659999999999997</v>
      </c>
      <c r="E365" s="717">
        <v>0.36</v>
      </c>
      <c r="F365" s="717">
        <v>296.26</v>
      </c>
      <c r="G365" s="717">
        <v>112.589</v>
      </c>
      <c r="H365" s="717">
        <v>0</v>
      </c>
      <c r="I365" s="717">
        <v>0</v>
      </c>
      <c r="J365" s="717">
        <v>0</v>
      </c>
      <c r="K365" s="717">
        <v>0</v>
      </c>
      <c r="L365" s="717">
        <v>0</v>
      </c>
      <c r="M365" s="719">
        <v>629.82000000000005</v>
      </c>
      <c r="N365" s="720">
        <f t="shared" si="5"/>
        <v>629.82000000000005</v>
      </c>
      <c r="O365" s="1141">
        <f>Tabla1[[#This Row],[Tarifa 2012 (Mx$/ton)]]*(1+IncrementoTarifa)</f>
        <v>661.24801800000012</v>
      </c>
      <c r="P365" s="725"/>
    </row>
    <row r="366" spans="1:16" ht="15" x14ac:dyDescent="0.25">
      <c r="A366" s="716" t="s">
        <v>1256</v>
      </c>
      <c r="B366" s="717" t="s">
        <v>1257</v>
      </c>
      <c r="C366" s="718">
        <v>630</v>
      </c>
      <c r="D366" s="717">
        <v>40.659999999999997</v>
      </c>
      <c r="E366" s="717">
        <v>0.36</v>
      </c>
      <c r="F366" s="717">
        <v>267.45999999999998</v>
      </c>
      <c r="G366" s="717">
        <v>112.589</v>
      </c>
      <c r="H366" s="717">
        <v>0</v>
      </c>
      <c r="I366" s="717">
        <v>0</v>
      </c>
      <c r="J366" s="717">
        <v>0</v>
      </c>
      <c r="K366" s="717">
        <v>0</v>
      </c>
      <c r="L366" s="717">
        <v>0</v>
      </c>
      <c r="M366" s="719">
        <v>568.59</v>
      </c>
      <c r="N366" s="720">
        <f t="shared" si="5"/>
        <v>568.59</v>
      </c>
      <c r="O366" s="1141">
        <f>Tabla1[[#This Row],[Tarifa 2012 (Mx$/ton)]]*(1+IncrementoTarifa)</f>
        <v>596.96264100000008</v>
      </c>
      <c r="P366" s="725"/>
    </row>
    <row r="367" spans="1:16" ht="15" x14ac:dyDescent="0.25">
      <c r="A367" s="716" t="s">
        <v>1258</v>
      </c>
      <c r="B367" s="717" t="s">
        <v>1259</v>
      </c>
      <c r="C367" s="718">
        <v>670</v>
      </c>
      <c r="D367" s="717">
        <v>40.659999999999997</v>
      </c>
      <c r="E367" s="717">
        <v>0.36</v>
      </c>
      <c r="F367" s="717">
        <v>281.86</v>
      </c>
      <c r="G367" s="717">
        <v>112.589</v>
      </c>
      <c r="H367" s="717">
        <v>0</v>
      </c>
      <c r="I367" s="717">
        <v>0</v>
      </c>
      <c r="J367" s="717">
        <v>0</v>
      </c>
      <c r="K367" s="717">
        <v>0</v>
      </c>
      <c r="L367" s="717">
        <v>0</v>
      </c>
      <c r="M367" s="719">
        <v>599.20000000000005</v>
      </c>
      <c r="N367" s="720">
        <f t="shared" si="5"/>
        <v>599.20000000000005</v>
      </c>
      <c r="O367" s="1141">
        <f>Tabla1[[#This Row],[Tarifa 2012 (Mx$/ton)]]*(1+IncrementoTarifa)</f>
        <v>629.10008000000005</v>
      </c>
      <c r="P367" s="725"/>
    </row>
    <row r="368" spans="1:16" ht="15" x14ac:dyDescent="0.25">
      <c r="A368" s="716" t="s">
        <v>522</v>
      </c>
      <c r="B368" s="717" t="s">
        <v>1260</v>
      </c>
      <c r="C368" s="718">
        <v>510</v>
      </c>
      <c r="D368" s="717">
        <v>40.659999999999997</v>
      </c>
      <c r="E368" s="717">
        <v>0.36</v>
      </c>
      <c r="F368" s="717">
        <v>224.26</v>
      </c>
      <c r="G368" s="717">
        <v>112.589</v>
      </c>
      <c r="H368" s="717">
        <v>0</v>
      </c>
      <c r="I368" s="717">
        <v>0</v>
      </c>
      <c r="J368" s="717">
        <v>0</v>
      </c>
      <c r="K368" s="717">
        <v>0</v>
      </c>
      <c r="L368" s="717">
        <v>0</v>
      </c>
      <c r="M368" s="719">
        <v>476.75</v>
      </c>
      <c r="N368" s="720">
        <f t="shared" si="5"/>
        <v>476.75</v>
      </c>
      <c r="O368" s="1141">
        <f>Tabla1[[#This Row],[Tarifa 2012 (Mx$/ton)]]*(1+IncrementoTarifa)</f>
        <v>500.53982500000001</v>
      </c>
      <c r="P368" s="725"/>
    </row>
    <row r="369" spans="1:16" ht="15" x14ac:dyDescent="0.25">
      <c r="A369" s="716" t="s">
        <v>1261</v>
      </c>
      <c r="B369" s="717" t="s">
        <v>1262</v>
      </c>
      <c r="C369" s="718">
        <v>570</v>
      </c>
      <c r="D369" s="717">
        <v>40.659999999999997</v>
      </c>
      <c r="E369" s="717">
        <v>0.36</v>
      </c>
      <c r="F369" s="717">
        <v>245.86</v>
      </c>
      <c r="G369" s="717">
        <v>112.589</v>
      </c>
      <c r="H369" s="717">
        <v>0</v>
      </c>
      <c r="I369" s="717">
        <v>0</v>
      </c>
      <c r="J369" s="717">
        <v>0</v>
      </c>
      <c r="K369" s="717">
        <v>0</v>
      </c>
      <c r="L369" s="717">
        <v>0</v>
      </c>
      <c r="M369" s="719">
        <v>522.66999999999996</v>
      </c>
      <c r="N369" s="720">
        <f t="shared" si="5"/>
        <v>522.66999999999996</v>
      </c>
      <c r="O369" s="1141">
        <f>Tabla1[[#This Row],[Tarifa 2012 (Mx$/ton)]]*(1+IncrementoTarifa)</f>
        <v>548.75123299999996</v>
      </c>
      <c r="P369" s="725"/>
    </row>
    <row r="370" spans="1:16" ht="15" x14ac:dyDescent="0.25">
      <c r="A370" s="716" t="s">
        <v>1263</v>
      </c>
      <c r="B370" s="717" t="s">
        <v>1264</v>
      </c>
      <c r="C370" s="718">
        <v>600</v>
      </c>
      <c r="D370" s="717">
        <v>40.659999999999997</v>
      </c>
      <c r="E370" s="717">
        <v>0.36</v>
      </c>
      <c r="F370" s="717">
        <v>256.66000000000003</v>
      </c>
      <c r="G370" s="717">
        <v>112.589</v>
      </c>
      <c r="H370" s="717">
        <v>0</v>
      </c>
      <c r="I370" s="717">
        <v>0</v>
      </c>
      <c r="J370" s="717">
        <v>0</v>
      </c>
      <c r="K370" s="717">
        <v>0</v>
      </c>
      <c r="L370" s="717">
        <v>0</v>
      </c>
      <c r="M370" s="719">
        <v>545.63</v>
      </c>
      <c r="N370" s="720">
        <f t="shared" si="5"/>
        <v>545.63</v>
      </c>
      <c r="O370" s="1141">
        <f>Tabla1[[#This Row],[Tarifa 2012 (Mx$/ton)]]*(1+IncrementoTarifa)</f>
        <v>572.85693700000002</v>
      </c>
      <c r="P370" s="725"/>
    </row>
    <row r="371" spans="1:16" ht="15" x14ac:dyDescent="0.25">
      <c r="A371" s="716" t="s">
        <v>1265</v>
      </c>
      <c r="B371" s="717" t="s">
        <v>1266</v>
      </c>
      <c r="C371" s="718">
        <v>530</v>
      </c>
      <c r="D371" s="717">
        <v>40.659999999999997</v>
      </c>
      <c r="E371" s="717">
        <v>0.36</v>
      </c>
      <c r="F371" s="717">
        <v>231.46</v>
      </c>
      <c r="G371" s="717">
        <v>112.589</v>
      </c>
      <c r="H371" s="717">
        <v>0</v>
      </c>
      <c r="I371" s="717">
        <v>0</v>
      </c>
      <c r="J371" s="717">
        <v>0</v>
      </c>
      <c r="K371" s="717">
        <v>0</v>
      </c>
      <c r="L371" s="717">
        <v>0</v>
      </c>
      <c r="M371" s="719">
        <v>492.06</v>
      </c>
      <c r="N371" s="720">
        <f t="shared" si="5"/>
        <v>492.06</v>
      </c>
      <c r="O371" s="1141">
        <f>Tabla1[[#This Row],[Tarifa 2012 (Mx$/ton)]]*(1+IncrementoTarifa)</f>
        <v>516.61379399999998</v>
      </c>
      <c r="P371" s="725"/>
    </row>
    <row r="372" spans="1:16" ht="15" x14ac:dyDescent="0.25">
      <c r="A372" s="716" t="s">
        <v>523</v>
      </c>
      <c r="B372" s="717" t="s">
        <v>1267</v>
      </c>
      <c r="C372" s="718">
        <v>440</v>
      </c>
      <c r="D372" s="717">
        <v>40.659999999999997</v>
      </c>
      <c r="E372" s="717">
        <v>0.36</v>
      </c>
      <c r="F372" s="717">
        <v>199.06</v>
      </c>
      <c r="G372" s="717">
        <v>112.589</v>
      </c>
      <c r="H372" s="717">
        <v>0</v>
      </c>
      <c r="I372" s="717">
        <v>0</v>
      </c>
      <c r="J372" s="717">
        <v>0</v>
      </c>
      <c r="K372" s="717">
        <v>0</v>
      </c>
      <c r="L372" s="717">
        <v>0</v>
      </c>
      <c r="M372" s="719">
        <v>423.18</v>
      </c>
      <c r="N372" s="720">
        <f t="shared" si="5"/>
        <v>423.18</v>
      </c>
      <c r="O372" s="1141">
        <f>Tabla1[[#This Row],[Tarifa 2012 (Mx$/ton)]]*(1+IncrementoTarifa)</f>
        <v>444.29668200000003</v>
      </c>
      <c r="P372" s="725"/>
    </row>
    <row r="373" spans="1:16" ht="15" x14ac:dyDescent="0.25">
      <c r="A373" s="716" t="s">
        <v>1268</v>
      </c>
      <c r="B373" s="717" t="s">
        <v>1269</v>
      </c>
      <c r="C373" s="718">
        <v>200</v>
      </c>
      <c r="D373" s="717">
        <v>40.659999999999997</v>
      </c>
      <c r="E373" s="717">
        <v>0.36</v>
      </c>
      <c r="F373" s="717">
        <v>112.66</v>
      </c>
      <c r="G373" s="717">
        <v>112.589</v>
      </c>
      <c r="H373" s="717">
        <v>0</v>
      </c>
      <c r="I373" s="717">
        <v>0</v>
      </c>
      <c r="J373" s="717">
        <v>0</v>
      </c>
      <c r="K373" s="717">
        <v>0</v>
      </c>
      <c r="L373" s="717">
        <v>0</v>
      </c>
      <c r="M373" s="719">
        <v>239.5</v>
      </c>
      <c r="N373" s="720">
        <f t="shared" si="5"/>
        <v>239.5</v>
      </c>
      <c r="O373" s="1141">
        <f>Tabla1[[#This Row],[Tarifa 2012 (Mx$/ton)]]*(1+IncrementoTarifa)</f>
        <v>251.45105000000001</v>
      </c>
      <c r="P373" s="725"/>
    </row>
    <row r="374" spans="1:16" ht="15" x14ac:dyDescent="0.25">
      <c r="A374" s="716" t="s">
        <v>1270</v>
      </c>
      <c r="B374" s="717" t="s">
        <v>1271</v>
      </c>
      <c r="C374" s="718">
        <v>40</v>
      </c>
      <c r="D374" s="717">
        <v>40.659999999999997</v>
      </c>
      <c r="E374" s="717">
        <v>0.36</v>
      </c>
      <c r="F374" s="717">
        <v>55.06</v>
      </c>
      <c r="G374" s="717">
        <v>112.589</v>
      </c>
      <c r="H374" s="717">
        <v>0</v>
      </c>
      <c r="I374" s="717">
        <v>0</v>
      </c>
      <c r="J374" s="717">
        <v>0</v>
      </c>
      <c r="K374" s="717">
        <v>0</v>
      </c>
      <c r="L374" s="717">
        <v>0</v>
      </c>
      <c r="M374" s="719">
        <v>117.05</v>
      </c>
      <c r="N374" s="720">
        <f t="shared" si="5"/>
        <v>117.05</v>
      </c>
      <c r="O374" s="1141">
        <f>Tabla1[[#This Row],[Tarifa 2012 (Mx$/ton)]]*(1+IncrementoTarifa)</f>
        <v>122.890795</v>
      </c>
      <c r="P374" s="725"/>
    </row>
    <row r="375" spans="1:16" ht="15" x14ac:dyDescent="0.25">
      <c r="A375" s="716" t="s">
        <v>1272</v>
      </c>
      <c r="B375" s="717" t="s">
        <v>1273</v>
      </c>
      <c r="C375" s="718">
        <v>60</v>
      </c>
      <c r="D375" s="717">
        <v>40.659999999999997</v>
      </c>
      <c r="E375" s="717">
        <v>0.36</v>
      </c>
      <c r="F375" s="717">
        <v>62.26</v>
      </c>
      <c r="G375" s="717">
        <v>112.589</v>
      </c>
      <c r="H375" s="717">
        <v>0</v>
      </c>
      <c r="I375" s="717">
        <v>10</v>
      </c>
      <c r="J375" s="717">
        <v>0</v>
      </c>
      <c r="K375" s="717">
        <v>0</v>
      </c>
      <c r="L375" s="717">
        <v>0</v>
      </c>
      <c r="M375" s="719">
        <v>138.58000000000001</v>
      </c>
      <c r="N375" s="720">
        <f t="shared" si="5"/>
        <v>138.58000000000001</v>
      </c>
      <c r="O375" s="1141">
        <f>Tabla1[[#This Row],[Tarifa 2012 (Mx$/ton)]]*(1+IncrementoTarifa)</f>
        <v>145.49514200000002</v>
      </c>
      <c r="P375" s="725"/>
    </row>
    <row r="376" spans="1:16" ht="15" x14ac:dyDescent="0.25">
      <c r="A376" s="716" t="s">
        <v>1274</v>
      </c>
      <c r="B376" s="717" t="s">
        <v>1275</v>
      </c>
      <c r="C376" s="718">
        <v>50</v>
      </c>
      <c r="D376" s="717">
        <v>40.659999999999997</v>
      </c>
      <c r="E376" s="717">
        <v>0.36</v>
      </c>
      <c r="F376" s="717">
        <v>58.66</v>
      </c>
      <c r="G376" s="717">
        <v>112.589</v>
      </c>
      <c r="H376" s="717">
        <v>0</v>
      </c>
      <c r="I376" s="717">
        <v>10</v>
      </c>
      <c r="J376" s="717">
        <v>0</v>
      </c>
      <c r="K376" s="717">
        <v>0</v>
      </c>
      <c r="L376" s="717">
        <v>0</v>
      </c>
      <c r="M376" s="719">
        <v>130.57</v>
      </c>
      <c r="N376" s="720">
        <f t="shared" si="5"/>
        <v>130.57</v>
      </c>
      <c r="O376" s="1141">
        <f>Tabla1[[#This Row],[Tarifa 2012 (Mx$/ton)]]*(1+IncrementoTarifa)</f>
        <v>137.085443</v>
      </c>
      <c r="P376" s="725"/>
    </row>
    <row r="377" spans="1:16" ht="15" x14ac:dyDescent="0.25">
      <c r="A377" s="716" t="s">
        <v>1276</v>
      </c>
      <c r="B377" s="717" t="s">
        <v>1277</v>
      </c>
      <c r="C377" s="718">
        <v>60</v>
      </c>
      <c r="D377" s="717">
        <v>40.659999999999997</v>
      </c>
      <c r="E377" s="717">
        <v>0.36</v>
      </c>
      <c r="F377" s="717">
        <v>62.26</v>
      </c>
      <c r="G377" s="717">
        <v>112.589</v>
      </c>
      <c r="H377" s="717">
        <v>0</v>
      </c>
      <c r="I377" s="717">
        <v>10</v>
      </c>
      <c r="J377" s="717">
        <v>0</v>
      </c>
      <c r="K377" s="717">
        <v>0</v>
      </c>
      <c r="L377" s="717">
        <v>0</v>
      </c>
      <c r="M377" s="719">
        <v>138.58000000000001</v>
      </c>
      <c r="N377" s="720">
        <f t="shared" si="5"/>
        <v>138.58000000000001</v>
      </c>
      <c r="O377" s="1141">
        <f>Tabla1[[#This Row],[Tarifa 2012 (Mx$/ton)]]*(1+IncrementoTarifa)</f>
        <v>145.49514200000002</v>
      </c>
      <c r="P377" s="725"/>
    </row>
    <row r="378" spans="1:16" ht="15" x14ac:dyDescent="0.25">
      <c r="A378" s="716" t="s">
        <v>524</v>
      </c>
      <c r="B378" s="717" t="s">
        <v>1278</v>
      </c>
      <c r="C378" s="718">
        <v>50</v>
      </c>
      <c r="D378" s="717">
        <v>40.659999999999997</v>
      </c>
      <c r="E378" s="717">
        <v>0.36</v>
      </c>
      <c r="F378" s="717">
        <v>58.66</v>
      </c>
      <c r="G378" s="717">
        <v>112.589</v>
      </c>
      <c r="H378" s="717">
        <v>0</v>
      </c>
      <c r="I378" s="717">
        <v>0</v>
      </c>
      <c r="J378" s="717">
        <v>0</v>
      </c>
      <c r="K378" s="717">
        <v>0</v>
      </c>
      <c r="L378" s="717">
        <v>0</v>
      </c>
      <c r="M378" s="719">
        <v>124.7</v>
      </c>
      <c r="N378" s="720">
        <f t="shared" si="5"/>
        <v>124.7</v>
      </c>
      <c r="O378" s="1141">
        <f>Tabla1[[#This Row],[Tarifa 2012 (Mx$/ton)]]*(1+IncrementoTarifa)</f>
        <v>130.92253000000002</v>
      </c>
      <c r="P378" s="725"/>
    </row>
    <row r="379" spans="1:16" ht="15" x14ac:dyDescent="0.25">
      <c r="A379" s="716" t="s">
        <v>1279</v>
      </c>
      <c r="B379" s="717" t="s">
        <v>1280</v>
      </c>
      <c r="C379" s="718">
        <v>75</v>
      </c>
      <c r="D379" s="717">
        <v>40.659999999999997</v>
      </c>
      <c r="E379" s="717">
        <v>0.36</v>
      </c>
      <c r="F379" s="717">
        <v>67.66</v>
      </c>
      <c r="G379" s="717">
        <v>112.589</v>
      </c>
      <c r="H379" s="717">
        <v>0</v>
      </c>
      <c r="I379" s="717">
        <v>0</v>
      </c>
      <c r="J379" s="717">
        <v>0</v>
      </c>
      <c r="K379" s="717">
        <v>0</v>
      </c>
      <c r="L379" s="717">
        <v>0</v>
      </c>
      <c r="M379" s="719">
        <v>143.84</v>
      </c>
      <c r="N379" s="720">
        <f t="shared" si="5"/>
        <v>143.84</v>
      </c>
      <c r="O379" s="1141">
        <f>Tabla1[[#This Row],[Tarifa 2012 (Mx$/ton)]]*(1+IncrementoTarifa)</f>
        <v>151.017616</v>
      </c>
      <c r="P379" s="725"/>
    </row>
    <row r="380" spans="1:16" ht="15" x14ac:dyDescent="0.25">
      <c r="A380" s="716" t="s">
        <v>1281</v>
      </c>
      <c r="B380" s="717" t="s">
        <v>1282</v>
      </c>
      <c r="C380" s="718">
        <v>404</v>
      </c>
      <c r="D380" s="717">
        <v>40.659999999999997</v>
      </c>
      <c r="E380" s="717">
        <v>0.36</v>
      </c>
      <c r="F380" s="717">
        <v>186.1</v>
      </c>
      <c r="G380" s="717">
        <v>112.589</v>
      </c>
      <c r="H380" s="717">
        <v>0</v>
      </c>
      <c r="I380" s="717">
        <v>0</v>
      </c>
      <c r="J380" s="717">
        <v>0</v>
      </c>
      <c r="K380" s="717">
        <v>0</v>
      </c>
      <c r="L380" s="717">
        <v>0</v>
      </c>
      <c r="M380" s="719">
        <v>395.63</v>
      </c>
      <c r="N380" s="720">
        <f t="shared" si="5"/>
        <v>395.63</v>
      </c>
      <c r="O380" s="1141">
        <f>Tabla1[[#This Row],[Tarifa 2012 (Mx$/ton)]]*(1+IncrementoTarifa)</f>
        <v>415.371937</v>
      </c>
      <c r="P380" s="725"/>
    </row>
    <row r="381" spans="1:16" ht="15" x14ac:dyDescent="0.25">
      <c r="A381" s="716" t="s">
        <v>1283</v>
      </c>
      <c r="B381" s="717" t="s">
        <v>1284</v>
      </c>
      <c r="C381" s="718">
        <v>80</v>
      </c>
      <c r="D381" s="717">
        <v>40.659999999999997</v>
      </c>
      <c r="E381" s="717">
        <v>0.36</v>
      </c>
      <c r="F381" s="717">
        <v>69.459999999999994</v>
      </c>
      <c r="G381" s="717">
        <v>112.589</v>
      </c>
      <c r="H381" s="717">
        <v>0</v>
      </c>
      <c r="I381" s="717">
        <v>0</v>
      </c>
      <c r="J381" s="717">
        <v>0</v>
      </c>
      <c r="K381" s="717">
        <v>0</v>
      </c>
      <c r="L381" s="717">
        <v>0</v>
      </c>
      <c r="M381" s="719">
        <v>147.66</v>
      </c>
      <c r="N381" s="720">
        <f t="shared" si="5"/>
        <v>147.66</v>
      </c>
      <c r="O381" s="1141">
        <f>Tabla1[[#This Row],[Tarifa 2012 (Mx$/ton)]]*(1+IncrementoTarifa)</f>
        <v>155.028234</v>
      </c>
      <c r="P381" s="725"/>
    </row>
    <row r="382" spans="1:16" ht="15" x14ac:dyDescent="0.25">
      <c r="A382" s="716" t="s">
        <v>1285</v>
      </c>
      <c r="B382" s="717" t="s">
        <v>1286</v>
      </c>
      <c r="C382" s="718">
        <v>123</v>
      </c>
      <c r="D382" s="717">
        <v>40.659999999999997</v>
      </c>
      <c r="E382" s="717">
        <v>0.36</v>
      </c>
      <c r="F382" s="717">
        <v>84.94</v>
      </c>
      <c r="G382" s="717">
        <v>112.589</v>
      </c>
      <c r="H382" s="717">
        <v>0</v>
      </c>
      <c r="I382" s="717">
        <v>0</v>
      </c>
      <c r="J382" s="717">
        <v>0</v>
      </c>
      <c r="K382" s="717">
        <v>0</v>
      </c>
      <c r="L382" s="717">
        <v>0</v>
      </c>
      <c r="M382" s="719">
        <v>180.57</v>
      </c>
      <c r="N382" s="720">
        <f t="shared" si="5"/>
        <v>180.57</v>
      </c>
      <c r="O382" s="1141">
        <f>Tabla1[[#This Row],[Tarifa 2012 (Mx$/ton)]]*(1+IncrementoTarifa)</f>
        <v>189.580443</v>
      </c>
      <c r="P382" s="725"/>
    </row>
    <row r="383" spans="1:16" ht="15" x14ac:dyDescent="0.25">
      <c r="A383" s="716" t="s">
        <v>1287</v>
      </c>
      <c r="B383" s="717" t="s">
        <v>1288</v>
      </c>
      <c r="C383" s="718">
        <v>270</v>
      </c>
      <c r="D383" s="717">
        <v>40.659999999999997</v>
      </c>
      <c r="E383" s="717">
        <v>0.36</v>
      </c>
      <c r="F383" s="717">
        <v>137.86000000000001</v>
      </c>
      <c r="G383" s="717">
        <v>112.589</v>
      </c>
      <c r="H383" s="717">
        <v>0</v>
      </c>
      <c r="I383" s="717">
        <v>0</v>
      </c>
      <c r="J383" s="717">
        <v>0</v>
      </c>
      <c r="K383" s="717">
        <v>0</v>
      </c>
      <c r="L383" s="717">
        <v>0</v>
      </c>
      <c r="M383" s="719">
        <v>293.08</v>
      </c>
      <c r="N383" s="720">
        <f t="shared" si="5"/>
        <v>293.08</v>
      </c>
      <c r="O383" s="1141">
        <f>Tabla1[[#This Row],[Tarifa 2012 (Mx$/ton)]]*(1+IncrementoTarifa)</f>
        <v>307.70469200000002</v>
      </c>
      <c r="P383" s="725"/>
    </row>
    <row r="384" spans="1:16" ht="15" x14ac:dyDescent="0.25">
      <c r="A384" s="716" t="s">
        <v>1289</v>
      </c>
      <c r="B384" s="717" t="s">
        <v>1290</v>
      </c>
      <c r="C384" s="718">
        <v>460</v>
      </c>
      <c r="D384" s="717">
        <v>40.659999999999997</v>
      </c>
      <c r="E384" s="717">
        <v>0.36</v>
      </c>
      <c r="F384" s="717">
        <v>206.26</v>
      </c>
      <c r="G384" s="717">
        <v>112.589</v>
      </c>
      <c r="H384" s="717">
        <v>0</v>
      </c>
      <c r="I384" s="717">
        <v>0</v>
      </c>
      <c r="J384" s="717">
        <v>0</v>
      </c>
      <c r="K384" s="717">
        <v>0</v>
      </c>
      <c r="L384" s="717">
        <v>0</v>
      </c>
      <c r="M384" s="719">
        <v>438.49</v>
      </c>
      <c r="N384" s="720">
        <f t="shared" si="5"/>
        <v>438.49</v>
      </c>
      <c r="O384" s="1141">
        <f>Tabla1[[#This Row],[Tarifa 2012 (Mx$/ton)]]*(1+IncrementoTarifa)</f>
        <v>460.37065100000001</v>
      </c>
      <c r="P384" s="725"/>
    </row>
    <row r="385" spans="1:16" ht="15" x14ac:dyDescent="0.25">
      <c r="A385" s="716" t="s">
        <v>1291</v>
      </c>
      <c r="B385" s="717" t="s">
        <v>1292</v>
      </c>
      <c r="C385" s="718">
        <v>135</v>
      </c>
      <c r="D385" s="717">
        <v>40.659999999999997</v>
      </c>
      <c r="E385" s="717">
        <v>0.36</v>
      </c>
      <c r="F385" s="717">
        <v>89.26</v>
      </c>
      <c r="G385" s="717">
        <v>112.589</v>
      </c>
      <c r="H385" s="717">
        <v>0</v>
      </c>
      <c r="I385" s="717">
        <v>20</v>
      </c>
      <c r="J385" s="717">
        <v>0</v>
      </c>
      <c r="K385" s="717">
        <v>0</v>
      </c>
      <c r="L385" s="717">
        <v>0</v>
      </c>
      <c r="M385" s="719">
        <v>207.61</v>
      </c>
      <c r="N385" s="720">
        <f t="shared" si="5"/>
        <v>207.61</v>
      </c>
      <c r="O385" s="1141">
        <f>Tabla1[[#This Row],[Tarifa 2012 (Mx$/ton)]]*(1+IncrementoTarifa)</f>
        <v>217.96973900000003</v>
      </c>
      <c r="P385" s="725"/>
    </row>
    <row r="386" spans="1:16" ht="15" x14ac:dyDescent="0.25">
      <c r="A386" s="716" t="s">
        <v>1293</v>
      </c>
      <c r="B386" s="717" t="s">
        <v>1294</v>
      </c>
      <c r="C386" s="718">
        <v>270</v>
      </c>
      <c r="D386" s="717">
        <v>40.659999999999997</v>
      </c>
      <c r="E386" s="717">
        <v>0.36</v>
      </c>
      <c r="F386" s="717">
        <v>137.86000000000001</v>
      </c>
      <c r="G386" s="717">
        <v>112.589</v>
      </c>
      <c r="H386" s="717">
        <v>0</v>
      </c>
      <c r="I386" s="717">
        <v>20</v>
      </c>
      <c r="J386" s="717">
        <v>0</v>
      </c>
      <c r="K386" s="717">
        <v>0</v>
      </c>
      <c r="L386" s="717">
        <v>0</v>
      </c>
      <c r="M386" s="719">
        <v>320.64999999999998</v>
      </c>
      <c r="N386" s="720">
        <f t="shared" si="5"/>
        <v>320.64999999999998</v>
      </c>
      <c r="O386" s="1141">
        <f>Tabla1[[#This Row],[Tarifa 2012 (Mx$/ton)]]*(1+IncrementoTarifa)</f>
        <v>336.65043500000002</v>
      </c>
      <c r="P386" s="725"/>
    </row>
    <row r="387" spans="1:16" ht="15" x14ac:dyDescent="0.25">
      <c r="A387" s="716" t="s">
        <v>1295</v>
      </c>
      <c r="B387" s="717" t="s">
        <v>1296</v>
      </c>
      <c r="C387" s="718">
        <v>310</v>
      </c>
      <c r="D387" s="717">
        <v>40.659999999999997</v>
      </c>
      <c r="E387" s="717">
        <v>0.36</v>
      </c>
      <c r="F387" s="717">
        <v>152.26</v>
      </c>
      <c r="G387" s="717">
        <v>112.589</v>
      </c>
      <c r="H387" s="717">
        <v>0</v>
      </c>
      <c r="I387" s="717">
        <v>20</v>
      </c>
      <c r="J387" s="717">
        <v>0</v>
      </c>
      <c r="K387" s="717">
        <v>0</v>
      </c>
      <c r="L387" s="717">
        <v>0</v>
      </c>
      <c r="M387" s="719">
        <v>354.14</v>
      </c>
      <c r="N387" s="720">
        <f t="shared" si="5"/>
        <v>354.14</v>
      </c>
      <c r="O387" s="1141">
        <f>Tabla1[[#This Row],[Tarifa 2012 (Mx$/ton)]]*(1+IncrementoTarifa)</f>
        <v>371.81158599999998</v>
      </c>
      <c r="P387" s="725"/>
    </row>
    <row r="388" spans="1:16" ht="15" x14ac:dyDescent="0.25">
      <c r="A388" s="716" t="s">
        <v>1297</v>
      </c>
      <c r="B388" s="717" t="s">
        <v>1298</v>
      </c>
      <c r="C388" s="718">
        <v>320</v>
      </c>
      <c r="D388" s="717">
        <v>40.659999999999997</v>
      </c>
      <c r="E388" s="717">
        <v>0.36</v>
      </c>
      <c r="F388" s="717">
        <v>155.86000000000001</v>
      </c>
      <c r="G388" s="717">
        <v>112.589</v>
      </c>
      <c r="H388" s="717">
        <v>0</v>
      </c>
      <c r="I388" s="717">
        <v>20</v>
      </c>
      <c r="J388" s="717">
        <v>0</v>
      </c>
      <c r="K388" s="717">
        <v>0</v>
      </c>
      <c r="L388" s="717">
        <v>0</v>
      </c>
      <c r="M388" s="719">
        <v>362.51</v>
      </c>
      <c r="N388" s="720">
        <f t="shared" si="5"/>
        <v>362.51</v>
      </c>
      <c r="O388" s="1141">
        <f>Tabla1[[#This Row],[Tarifa 2012 (Mx$/ton)]]*(1+IncrementoTarifa)</f>
        <v>380.59924899999999</v>
      </c>
      <c r="P388" s="725"/>
    </row>
    <row r="389" spans="1:16" ht="15" x14ac:dyDescent="0.25">
      <c r="A389" s="716" t="s">
        <v>1299</v>
      </c>
      <c r="B389" s="717" t="s">
        <v>1300</v>
      </c>
      <c r="C389" s="718">
        <v>350</v>
      </c>
      <c r="D389" s="717">
        <v>40.659999999999997</v>
      </c>
      <c r="E389" s="717">
        <v>0.36</v>
      </c>
      <c r="F389" s="717">
        <v>166.66</v>
      </c>
      <c r="G389" s="717">
        <v>112.589</v>
      </c>
      <c r="H389" s="717">
        <v>0</v>
      </c>
      <c r="I389" s="717">
        <v>20</v>
      </c>
      <c r="J389" s="717">
        <v>0</v>
      </c>
      <c r="K389" s="717">
        <v>0</v>
      </c>
      <c r="L389" s="717">
        <v>0</v>
      </c>
      <c r="M389" s="719">
        <v>387.63</v>
      </c>
      <c r="N389" s="720">
        <f t="shared" si="5"/>
        <v>387.63</v>
      </c>
      <c r="O389" s="1141">
        <f>Tabla1[[#This Row],[Tarifa 2012 (Mx$/ton)]]*(1+IncrementoTarifa)</f>
        <v>406.972737</v>
      </c>
      <c r="P389" s="725"/>
    </row>
    <row r="390" spans="1:16" ht="15" x14ac:dyDescent="0.25">
      <c r="A390" s="716" t="s">
        <v>1301</v>
      </c>
      <c r="B390" s="717" t="s">
        <v>1302</v>
      </c>
      <c r="C390" s="718">
        <v>1250</v>
      </c>
      <c r="D390" s="717">
        <v>40.659999999999997</v>
      </c>
      <c r="E390" s="717">
        <v>0.36</v>
      </c>
      <c r="F390" s="717">
        <v>490.66</v>
      </c>
      <c r="G390" s="717">
        <v>112.589</v>
      </c>
      <c r="H390" s="717">
        <v>0</v>
      </c>
      <c r="I390" s="717">
        <v>0</v>
      </c>
      <c r="J390" s="717">
        <v>0</v>
      </c>
      <c r="K390" s="717">
        <v>0</v>
      </c>
      <c r="L390" s="717">
        <v>0</v>
      </c>
      <c r="M390" s="719">
        <v>1043.0899999999999</v>
      </c>
      <c r="N390" s="720">
        <f t="shared" si="5"/>
        <v>1043.0899999999999</v>
      </c>
      <c r="O390" s="1141">
        <f>Tabla1[[#This Row],[Tarifa 2012 (Mx$/ton)]]*(1+IncrementoTarifa)</f>
        <v>1095.140191</v>
      </c>
      <c r="P390" s="725"/>
    </row>
    <row r="391" spans="1:16" ht="15" x14ac:dyDescent="0.25">
      <c r="A391" s="716" t="s">
        <v>1303</v>
      </c>
      <c r="B391" s="717" t="s">
        <v>1304</v>
      </c>
      <c r="C391" s="718">
        <v>1037</v>
      </c>
      <c r="D391" s="717">
        <v>40.659999999999997</v>
      </c>
      <c r="E391" s="717">
        <v>0.36</v>
      </c>
      <c r="F391" s="717">
        <v>413.98</v>
      </c>
      <c r="G391" s="717">
        <v>112.589</v>
      </c>
      <c r="H391" s="717">
        <v>0</v>
      </c>
      <c r="I391" s="717">
        <v>0</v>
      </c>
      <c r="J391" s="717">
        <v>0</v>
      </c>
      <c r="K391" s="717">
        <v>0</v>
      </c>
      <c r="L391" s="717">
        <v>0</v>
      </c>
      <c r="M391" s="719">
        <v>880.08</v>
      </c>
      <c r="N391" s="720">
        <f t="shared" si="5"/>
        <v>880.08</v>
      </c>
      <c r="O391" s="1141">
        <f>Tabla1[[#This Row],[Tarifa 2012 (Mx$/ton)]]*(1+IncrementoTarifa)</f>
        <v>923.99599200000011</v>
      </c>
      <c r="P391" s="725"/>
    </row>
    <row r="392" spans="1:16" ht="15" x14ac:dyDescent="0.25">
      <c r="A392" s="716" t="s">
        <v>1305</v>
      </c>
      <c r="B392" s="717" t="s">
        <v>1306</v>
      </c>
      <c r="C392" s="718">
        <v>1250</v>
      </c>
      <c r="D392" s="717">
        <v>40.659999999999997</v>
      </c>
      <c r="E392" s="717">
        <v>0.36</v>
      </c>
      <c r="F392" s="717">
        <v>490.66</v>
      </c>
      <c r="G392" s="717">
        <v>112.589</v>
      </c>
      <c r="H392" s="717">
        <v>0</v>
      </c>
      <c r="I392" s="717">
        <v>0</v>
      </c>
      <c r="J392" s="717">
        <v>0</v>
      </c>
      <c r="K392" s="717">
        <v>0</v>
      </c>
      <c r="L392" s="717">
        <v>0</v>
      </c>
      <c r="M392" s="719">
        <v>1043.0899999999999</v>
      </c>
      <c r="N392" s="720">
        <f t="shared" si="5"/>
        <v>1043.0899999999999</v>
      </c>
      <c r="O392" s="1141">
        <f>Tabla1[[#This Row],[Tarifa 2012 (Mx$/ton)]]*(1+IncrementoTarifa)</f>
        <v>1095.140191</v>
      </c>
      <c r="P392" s="725"/>
    </row>
    <row r="393" spans="1:16" ht="15" x14ac:dyDescent="0.25">
      <c r="A393" s="716" t="s">
        <v>1307</v>
      </c>
      <c r="B393" s="717" t="s">
        <v>1308</v>
      </c>
      <c r="C393" s="718">
        <v>1227</v>
      </c>
      <c r="D393" s="717">
        <v>40.659999999999997</v>
      </c>
      <c r="E393" s="717">
        <v>0.36</v>
      </c>
      <c r="F393" s="717">
        <v>482.38</v>
      </c>
      <c r="G393" s="717">
        <v>112.589</v>
      </c>
      <c r="H393" s="717">
        <v>0</v>
      </c>
      <c r="I393" s="717">
        <v>0</v>
      </c>
      <c r="J393" s="717">
        <v>0</v>
      </c>
      <c r="K393" s="717">
        <v>0</v>
      </c>
      <c r="L393" s="717">
        <v>0</v>
      </c>
      <c r="M393" s="719">
        <v>1025.49</v>
      </c>
      <c r="N393" s="720">
        <f t="shared" si="5"/>
        <v>1025.49</v>
      </c>
      <c r="O393" s="1141">
        <f>Tabla1[[#This Row],[Tarifa 2012 (Mx$/ton)]]*(1+IncrementoTarifa)</f>
        <v>1076.661951</v>
      </c>
      <c r="P393" s="725"/>
    </row>
    <row r="394" spans="1:16" ht="15" x14ac:dyDescent="0.25">
      <c r="A394" s="716" t="s">
        <v>1309</v>
      </c>
      <c r="B394" s="717" t="s">
        <v>1310</v>
      </c>
      <c r="C394" s="718">
        <v>1167</v>
      </c>
      <c r="D394" s="717">
        <v>40.659999999999997</v>
      </c>
      <c r="E394" s="717">
        <v>0.36</v>
      </c>
      <c r="F394" s="717">
        <v>460.78</v>
      </c>
      <c r="G394" s="717">
        <v>112.589</v>
      </c>
      <c r="H394" s="717">
        <v>0</v>
      </c>
      <c r="I394" s="717">
        <v>0</v>
      </c>
      <c r="J394" s="717">
        <v>0</v>
      </c>
      <c r="K394" s="717">
        <v>0</v>
      </c>
      <c r="L394" s="717">
        <v>0</v>
      </c>
      <c r="M394" s="719">
        <v>979.57</v>
      </c>
      <c r="N394" s="720">
        <f t="shared" si="5"/>
        <v>979.57</v>
      </c>
      <c r="O394" s="1141">
        <f>Tabla1[[#This Row],[Tarifa 2012 (Mx$/ton)]]*(1+IncrementoTarifa)</f>
        <v>1028.4505430000002</v>
      </c>
      <c r="P394" s="725"/>
    </row>
    <row r="395" spans="1:16" ht="15" x14ac:dyDescent="0.25">
      <c r="A395" s="716" t="s">
        <v>1311</v>
      </c>
      <c r="B395" s="717" t="s">
        <v>1312</v>
      </c>
      <c r="C395" s="718">
        <v>1038</v>
      </c>
      <c r="D395" s="717">
        <v>40.659999999999997</v>
      </c>
      <c r="E395" s="717">
        <v>0.36</v>
      </c>
      <c r="F395" s="717">
        <v>414.34</v>
      </c>
      <c r="G395" s="717">
        <v>112.589</v>
      </c>
      <c r="H395" s="717">
        <v>0</v>
      </c>
      <c r="I395" s="717">
        <v>0</v>
      </c>
      <c r="J395" s="717">
        <v>0</v>
      </c>
      <c r="K395" s="717">
        <v>0</v>
      </c>
      <c r="L395" s="717">
        <v>0</v>
      </c>
      <c r="M395" s="719">
        <v>880.84</v>
      </c>
      <c r="N395" s="720">
        <f t="shared" si="5"/>
        <v>880.84</v>
      </c>
      <c r="O395" s="1141">
        <f>Tabla1[[#This Row],[Tarifa 2012 (Mx$/ton)]]*(1+IncrementoTarifa)</f>
        <v>924.79391600000008</v>
      </c>
      <c r="P395" s="725"/>
    </row>
    <row r="396" spans="1:16" ht="15" x14ac:dyDescent="0.25">
      <c r="A396" s="716" t="s">
        <v>1313</v>
      </c>
      <c r="B396" s="717" t="s">
        <v>1314</v>
      </c>
      <c r="C396" s="718">
        <v>952</v>
      </c>
      <c r="D396" s="717">
        <v>40.659999999999997</v>
      </c>
      <c r="E396" s="717">
        <v>0.36</v>
      </c>
      <c r="F396" s="717">
        <v>383.38</v>
      </c>
      <c r="G396" s="717">
        <v>112.589</v>
      </c>
      <c r="H396" s="717">
        <v>0</v>
      </c>
      <c r="I396" s="717">
        <v>0</v>
      </c>
      <c r="J396" s="717">
        <v>0</v>
      </c>
      <c r="K396" s="717">
        <v>0</v>
      </c>
      <c r="L396" s="717">
        <v>0</v>
      </c>
      <c r="M396" s="719">
        <v>815.02</v>
      </c>
      <c r="N396" s="720">
        <f t="shared" si="5"/>
        <v>815.02</v>
      </c>
      <c r="O396" s="1141">
        <f>Tabla1[[#This Row],[Tarifa 2012 (Mx$/ton)]]*(1+IncrementoTarifa)</f>
        <v>855.68949800000007</v>
      </c>
      <c r="P396" s="725"/>
    </row>
    <row r="397" spans="1:16" ht="15" x14ac:dyDescent="0.25">
      <c r="A397" s="716" t="s">
        <v>1315</v>
      </c>
      <c r="B397" s="717" t="s">
        <v>1316</v>
      </c>
      <c r="C397" s="718">
        <v>1166</v>
      </c>
      <c r="D397" s="717">
        <v>40.659999999999997</v>
      </c>
      <c r="E397" s="717">
        <v>0.36</v>
      </c>
      <c r="F397" s="717">
        <v>460.42</v>
      </c>
      <c r="G397" s="717">
        <v>112.589</v>
      </c>
      <c r="H397" s="717">
        <v>0</v>
      </c>
      <c r="I397" s="717">
        <v>0</v>
      </c>
      <c r="J397" s="717">
        <v>0</v>
      </c>
      <c r="K397" s="717">
        <v>0</v>
      </c>
      <c r="L397" s="717">
        <v>0</v>
      </c>
      <c r="M397" s="719">
        <v>978.8</v>
      </c>
      <c r="N397" s="720">
        <f t="shared" si="5"/>
        <v>978.8</v>
      </c>
      <c r="O397" s="1141">
        <f>Tabla1[[#This Row],[Tarifa 2012 (Mx$/ton)]]*(1+IncrementoTarifa)</f>
        <v>1027.64212</v>
      </c>
      <c r="P397" s="725"/>
    </row>
    <row r="398" spans="1:16" ht="15" x14ac:dyDescent="0.25">
      <c r="A398" s="716" t="s">
        <v>1317</v>
      </c>
      <c r="B398" s="717" t="s">
        <v>1318</v>
      </c>
      <c r="C398" s="718">
        <v>1120</v>
      </c>
      <c r="D398" s="717">
        <v>47.52</v>
      </c>
      <c r="E398" s="717">
        <v>0.33</v>
      </c>
      <c r="F398" s="717">
        <v>417.12</v>
      </c>
      <c r="G398" s="717">
        <v>112.589</v>
      </c>
      <c r="H398" s="717">
        <v>0</v>
      </c>
      <c r="I398" s="717">
        <v>0</v>
      </c>
      <c r="J398" s="717">
        <v>0</v>
      </c>
      <c r="K398" s="717">
        <v>0</v>
      </c>
      <c r="L398" s="717">
        <v>0</v>
      </c>
      <c r="M398" s="719">
        <v>886.75</v>
      </c>
      <c r="N398" s="720">
        <f t="shared" si="5"/>
        <v>886.75</v>
      </c>
      <c r="O398" s="1141">
        <f>Tabla1[[#This Row],[Tarifa 2012 (Mx$/ton)]]*(1+IncrementoTarifa)</f>
        <v>930.99882500000001</v>
      </c>
      <c r="P398" s="725"/>
    </row>
    <row r="399" spans="1:16" ht="15" x14ac:dyDescent="0.25">
      <c r="A399" s="716" t="s">
        <v>1319</v>
      </c>
      <c r="B399" s="717" t="s">
        <v>1320</v>
      </c>
      <c r="C399" s="718">
        <v>553</v>
      </c>
      <c r="D399" s="717">
        <v>47.52</v>
      </c>
      <c r="E399" s="717">
        <v>0.33</v>
      </c>
      <c r="F399" s="717">
        <v>230.01</v>
      </c>
      <c r="G399" s="717">
        <v>112.589</v>
      </c>
      <c r="H399" s="717">
        <v>0</v>
      </c>
      <c r="I399" s="717">
        <v>10</v>
      </c>
      <c r="J399" s="717">
        <v>0</v>
      </c>
      <c r="K399" s="717">
        <v>0</v>
      </c>
      <c r="L399" s="717">
        <v>0</v>
      </c>
      <c r="M399" s="719">
        <v>511.98</v>
      </c>
      <c r="N399" s="720">
        <f t="shared" si="5"/>
        <v>511.98</v>
      </c>
      <c r="O399" s="1141">
        <f>Tabla1[[#This Row],[Tarifa 2012 (Mx$/ton)]]*(1+IncrementoTarifa)</f>
        <v>537.52780200000007</v>
      </c>
      <c r="P399" s="725"/>
    </row>
    <row r="400" spans="1:16" ht="15" x14ac:dyDescent="0.25">
      <c r="A400" s="716" t="s">
        <v>1321</v>
      </c>
      <c r="B400" s="717" t="s">
        <v>1322</v>
      </c>
      <c r="C400" s="718">
        <v>773</v>
      </c>
      <c r="D400" s="717">
        <v>47.52</v>
      </c>
      <c r="E400" s="717">
        <v>0.33</v>
      </c>
      <c r="F400" s="717">
        <v>302.61</v>
      </c>
      <c r="G400" s="717">
        <v>112.589</v>
      </c>
      <c r="H400" s="717">
        <v>0</v>
      </c>
      <c r="I400" s="717">
        <v>0</v>
      </c>
      <c r="J400" s="717">
        <v>0</v>
      </c>
      <c r="K400" s="717">
        <v>0</v>
      </c>
      <c r="L400" s="717">
        <v>0</v>
      </c>
      <c r="M400" s="719">
        <v>643.32000000000005</v>
      </c>
      <c r="N400" s="720">
        <f t="shared" ref="N400:N464" si="6">M400*(1+$O$2)</f>
        <v>643.32000000000005</v>
      </c>
      <c r="O400" s="1141">
        <f>Tabla1[[#This Row],[Tarifa 2012 (Mx$/ton)]]*(1+IncrementoTarifa)</f>
        <v>675.42166800000007</v>
      </c>
      <c r="P400" s="725"/>
    </row>
    <row r="401" spans="1:16" ht="15" x14ac:dyDescent="0.25">
      <c r="A401" s="716" t="s">
        <v>1323</v>
      </c>
      <c r="B401" s="717" t="s">
        <v>1324</v>
      </c>
      <c r="C401" s="718">
        <v>553</v>
      </c>
      <c r="D401" s="717">
        <v>47.52</v>
      </c>
      <c r="E401" s="717">
        <v>0.33</v>
      </c>
      <c r="F401" s="717">
        <v>230.01</v>
      </c>
      <c r="G401" s="717">
        <v>112.589</v>
      </c>
      <c r="H401" s="717">
        <v>0</v>
      </c>
      <c r="I401" s="717">
        <v>10</v>
      </c>
      <c r="J401" s="717">
        <v>0</v>
      </c>
      <c r="K401" s="717">
        <v>0</v>
      </c>
      <c r="L401" s="717">
        <v>0</v>
      </c>
      <c r="M401" s="719">
        <v>511.98</v>
      </c>
      <c r="N401" s="720">
        <f t="shared" si="6"/>
        <v>511.98</v>
      </c>
      <c r="O401" s="1141">
        <f>Tabla1[[#This Row],[Tarifa 2012 (Mx$/ton)]]*(1+IncrementoTarifa)</f>
        <v>537.52780200000007</v>
      </c>
      <c r="P401" s="725"/>
    </row>
    <row r="402" spans="1:16" ht="15" x14ac:dyDescent="0.25">
      <c r="A402" s="716" t="s">
        <v>1325</v>
      </c>
      <c r="B402" s="717" t="s">
        <v>1326</v>
      </c>
      <c r="C402" s="718">
        <v>490</v>
      </c>
      <c r="D402" s="717">
        <v>47.52</v>
      </c>
      <c r="E402" s="717">
        <v>0.33</v>
      </c>
      <c r="F402" s="717">
        <v>209.22</v>
      </c>
      <c r="G402" s="717">
        <v>112.589</v>
      </c>
      <c r="H402" s="717">
        <v>0</v>
      </c>
      <c r="I402" s="717">
        <v>0</v>
      </c>
      <c r="J402" s="717">
        <v>0</v>
      </c>
      <c r="K402" s="717">
        <v>0</v>
      </c>
      <c r="L402" s="717">
        <v>0</v>
      </c>
      <c r="M402" s="719">
        <v>444.78</v>
      </c>
      <c r="N402" s="720">
        <f t="shared" si="6"/>
        <v>444.78</v>
      </c>
      <c r="O402" s="1141">
        <f>Tabla1[[#This Row],[Tarifa 2012 (Mx$/ton)]]*(1+IncrementoTarifa)</f>
        <v>466.97452199999998</v>
      </c>
      <c r="P402" s="725"/>
    </row>
    <row r="403" spans="1:16" ht="15" x14ac:dyDescent="0.25">
      <c r="A403" s="716" t="s">
        <v>525</v>
      </c>
      <c r="B403" s="717" t="s">
        <v>1327</v>
      </c>
      <c r="C403" s="718">
        <v>356</v>
      </c>
      <c r="D403" s="717">
        <v>47.52</v>
      </c>
      <c r="E403" s="717">
        <v>0.33</v>
      </c>
      <c r="F403" s="717">
        <v>165</v>
      </c>
      <c r="G403" s="717">
        <v>112.589</v>
      </c>
      <c r="H403" s="717">
        <v>0</v>
      </c>
      <c r="I403" s="717">
        <v>10</v>
      </c>
      <c r="J403" s="717">
        <v>0</v>
      </c>
      <c r="K403" s="717">
        <v>0</v>
      </c>
      <c r="L403" s="717">
        <v>0</v>
      </c>
      <c r="M403" s="719">
        <v>367.27</v>
      </c>
      <c r="N403" s="720">
        <f t="shared" si="6"/>
        <v>367.27</v>
      </c>
      <c r="O403" s="1141">
        <f>Tabla1[[#This Row],[Tarifa 2012 (Mx$/ton)]]*(1+IncrementoTarifa)</f>
        <v>385.59677299999998</v>
      </c>
      <c r="P403" s="725"/>
    </row>
    <row r="404" spans="1:16" ht="15" x14ac:dyDescent="0.25">
      <c r="A404" s="716" t="s">
        <v>526</v>
      </c>
      <c r="B404" s="717" t="s">
        <v>1328</v>
      </c>
      <c r="C404" s="718">
        <v>1E-3</v>
      </c>
      <c r="D404" s="717">
        <v>47.52</v>
      </c>
      <c r="E404" s="717">
        <v>0.33</v>
      </c>
      <c r="F404" s="717">
        <v>47.52</v>
      </c>
      <c r="G404" s="717">
        <v>112.589</v>
      </c>
      <c r="H404" s="717">
        <v>0</v>
      </c>
      <c r="I404" s="717">
        <v>0</v>
      </c>
      <c r="J404" s="717">
        <v>0</v>
      </c>
      <c r="K404" s="717">
        <v>0</v>
      </c>
      <c r="L404" s="717">
        <v>0</v>
      </c>
      <c r="M404" s="719">
        <v>101.02</v>
      </c>
      <c r="N404" s="720">
        <f t="shared" si="6"/>
        <v>101.02</v>
      </c>
      <c r="O404" s="1141">
        <f>Tabla1[[#This Row],[Tarifa 2012 (Mx$/ton)]]*(1+IncrementoTarifa)</f>
        <v>106.06089799999999</v>
      </c>
      <c r="P404" s="725"/>
    </row>
    <row r="405" spans="1:16" ht="15" x14ac:dyDescent="0.25">
      <c r="A405" s="716" t="s">
        <v>527</v>
      </c>
      <c r="B405" s="717" t="s">
        <v>1329</v>
      </c>
      <c r="C405" s="718">
        <v>184</v>
      </c>
      <c r="D405" s="717">
        <v>47.52</v>
      </c>
      <c r="E405" s="717">
        <v>0.33</v>
      </c>
      <c r="F405" s="717">
        <v>108.24</v>
      </c>
      <c r="G405" s="717">
        <v>112.589</v>
      </c>
      <c r="H405" s="717">
        <v>0</v>
      </c>
      <c r="I405" s="717">
        <v>10</v>
      </c>
      <c r="J405" s="717">
        <v>0</v>
      </c>
      <c r="K405" s="717">
        <v>0</v>
      </c>
      <c r="L405" s="717">
        <v>0</v>
      </c>
      <c r="M405" s="719">
        <v>240.93</v>
      </c>
      <c r="N405" s="720">
        <f t="shared" si="6"/>
        <v>240.93</v>
      </c>
      <c r="O405" s="1141">
        <f>Tabla1[[#This Row],[Tarifa 2012 (Mx$/ton)]]*(1+IncrementoTarifa)</f>
        <v>252.95240700000002</v>
      </c>
      <c r="P405" s="725"/>
    </row>
    <row r="406" spans="1:16" ht="15" x14ac:dyDescent="0.25">
      <c r="A406" s="716" t="s">
        <v>1330</v>
      </c>
      <c r="B406" s="717" t="s">
        <v>1331</v>
      </c>
      <c r="C406" s="718">
        <v>347</v>
      </c>
      <c r="D406" s="717">
        <v>47.52</v>
      </c>
      <c r="E406" s="717">
        <v>0.33</v>
      </c>
      <c r="F406" s="717">
        <v>162.03</v>
      </c>
      <c r="G406" s="717">
        <v>112.589</v>
      </c>
      <c r="H406" s="717">
        <v>0</v>
      </c>
      <c r="I406" s="717">
        <v>10</v>
      </c>
      <c r="J406" s="717">
        <v>0</v>
      </c>
      <c r="K406" s="717">
        <v>0</v>
      </c>
      <c r="L406" s="717">
        <v>0</v>
      </c>
      <c r="M406" s="719">
        <v>360.66</v>
      </c>
      <c r="N406" s="720">
        <f t="shared" si="6"/>
        <v>360.66</v>
      </c>
      <c r="O406" s="1141">
        <f>Tabla1[[#This Row],[Tarifa 2012 (Mx$/ton)]]*(1+IncrementoTarifa)</f>
        <v>378.65693400000004</v>
      </c>
      <c r="P406" s="725"/>
    </row>
    <row r="407" spans="1:16" ht="15" x14ac:dyDescent="0.25">
      <c r="A407" s="716" t="s">
        <v>1332</v>
      </c>
      <c r="B407" s="717" t="s">
        <v>1333</v>
      </c>
      <c r="C407" s="718">
        <v>210</v>
      </c>
      <c r="D407" s="717">
        <v>47.52</v>
      </c>
      <c r="E407" s="717">
        <v>0.33</v>
      </c>
      <c r="F407" s="717">
        <v>116.82</v>
      </c>
      <c r="G407" s="717">
        <v>112.589</v>
      </c>
      <c r="H407" s="717">
        <v>0</v>
      </c>
      <c r="I407" s="717">
        <v>0</v>
      </c>
      <c r="J407" s="717">
        <v>0</v>
      </c>
      <c r="K407" s="717">
        <v>0</v>
      </c>
      <c r="L407" s="717">
        <v>0</v>
      </c>
      <c r="M407" s="719">
        <v>248.35</v>
      </c>
      <c r="N407" s="720">
        <f t="shared" si="6"/>
        <v>248.35</v>
      </c>
      <c r="O407" s="1141">
        <f>Tabla1[[#This Row],[Tarifa 2012 (Mx$/ton)]]*(1+IncrementoTarifa)</f>
        <v>260.74266499999999</v>
      </c>
      <c r="P407" s="725"/>
    </row>
    <row r="408" spans="1:16" ht="15" x14ac:dyDescent="0.25">
      <c r="A408" s="716" t="s">
        <v>1334</v>
      </c>
      <c r="B408" s="717" t="s">
        <v>1335</v>
      </c>
      <c r="C408" s="718">
        <v>863</v>
      </c>
      <c r="D408" s="717">
        <v>47.52</v>
      </c>
      <c r="E408" s="717">
        <v>0.33</v>
      </c>
      <c r="F408" s="717">
        <v>332.31</v>
      </c>
      <c r="G408" s="717">
        <v>112.589</v>
      </c>
      <c r="H408" s="717">
        <v>0</v>
      </c>
      <c r="I408" s="717">
        <v>10</v>
      </c>
      <c r="J408" s="717">
        <v>0</v>
      </c>
      <c r="K408" s="717">
        <v>0</v>
      </c>
      <c r="L408" s="717">
        <v>0</v>
      </c>
      <c r="M408" s="719">
        <v>739.69</v>
      </c>
      <c r="N408" s="720">
        <f t="shared" si="6"/>
        <v>739.69</v>
      </c>
      <c r="O408" s="1141">
        <f>Tabla1[[#This Row],[Tarifa 2012 (Mx$/ton)]]*(1+IncrementoTarifa)</f>
        <v>776.60053100000005</v>
      </c>
      <c r="P408" s="725"/>
    </row>
    <row r="409" spans="1:16" ht="15" x14ac:dyDescent="0.25">
      <c r="A409" s="723" t="s">
        <v>528</v>
      </c>
      <c r="B409" s="723" t="s">
        <v>1336</v>
      </c>
      <c r="C409" s="723">
        <v>31</v>
      </c>
      <c r="M409" s="723">
        <v>110.16</v>
      </c>
      <c r="N409" s="726">
        <f t="shared" si="6"/>
        <v>110.16</v>
      </c>
      <c r="O409" s="1141">
        <f>Tabla1[[#This Row],[Tarifa 2012 (Mx$/ton)]]*(1+IncrementoTarifa)</f>
        <v>115.65698400000001</v>
      </c>
      <c r="P409" s="725"/>
    </row>
    <row r="410" spans="1:16" ht="15" x14ac:dyDescent="0.25">
      <c r="A410" s="716" t="s">
        <v>1337</v>
      </c>
      <c r="B410" s="717" t="s">
        <v>1338</v>
      </c>
      <c r="C410" s="718">
        <v>441.6</v>
      </c>
      <c r="D410" s="717">
        <v>47.52</v>
      </c>
      <c r="E410" s="717">
        <v>0.3</v>
      </c>
      <c r="F410" s="717">
        <v>180</v>
      </c>
      <c r="G410" s="717">
        <v>112.589</v>
      </c>
      <c r="H410" s="717">
        <v>0</v>
      </c>
      <c r="I410" s="717">
        <v>0</v>
      </c>
      <c r="J410" s="717">
        <v>0</v>
      </c>
      <c r="K410" s="717">
        <v>0</v>
      </c>
      <c r="L410" s="717">
        <v>0</v>
      </c>
      <c r="M410" s="719">
        <v>382.66</v>
      </c>
      <c r="N410" s="720">
        <f t="shared" si="6"/>
        <v>382.66</v>
      </c>
      <c r="O410" s="1141">
        <f>Tabla1[[#This Row],[Tarifa 2012 (Mx$/ton)]]*(1+IncrementoTarifa)</f>
        <v>401.75473400000004</v>
      </c>
      <c r="P410" s="725"/>
    </row>
    <row r="411" spans="1:16" ht="15" x14ac:dyDescent="0.25">
      <c r="A411" s="716" t="s">
        <v>1339</v>
      </c>
      <c r="B411" s="717" t="s">
        <v>1340</v>
      </c>
      <c r="C411" s="718">
        <v>550</v>
      </c>
      <c r="D411" s="717">
        <v>47.52</v>
      </c>
      <c r="E411" s="717">
        <v>0.3</v>
      </c>
      <c r="F411" s="717">
        <v>212.52</v>
      </c>
      <c r="G411" s="717">
        <v>112.589</v>
      </c>
      <c r="H411" s="717">
        <v>0</v>
      </c>
      <c r="I411" s="717">
        <v>0</v>
      </c>
      <c r="J411" s="717">
        <v>0</v>
      </c>
      <c r="K411" s="717">
        <v>0</v>
      </c>
      <c r="L411" s="717">
        <v>0</v>
      </c>
      <c r="M411" s="719">
        <v>451.79</v>
      </c>
      <c r="N411" s="720">
        <f t="shared" si="6"/>
        <v>451.79</v>
      </c>
      <c r="O411" s="1141">
        <f>Tabla1[[#This Row],[Tarifa 2012 (Mx$/ton)]]*(1+IncrementoTarifa)</f>
        <v>474.33432100000005</v>
      </c>
      <c r="P411" s="725"/>
    </row>
    <row r="412" spans="1:16" ht="15" x14ac:dyDescent="0.25">
      <c r="A412" s="716" t="s">
        <v>529</v>
      </c>
      <c r="B412" s="717" t="s">
        <v>1341</v>
      </c>
      <c r="C412" s="718">
        <v>193</v>
      </c>
      <c r="D412" s="717">
        <v>47.52</v>
      </c>
      <c r="E412" s="717">
        <v>0.3</v>
      </c>
      <c r="F412" s="717">
        <v>105.42</v>
      </c>
      <c r="G412" s="717">
        <v>112.589</v>
      </c>
      <c r="H412" s="717">
        <v>0</v>
      </c>
      <c r="I412" s="717">
        <v>0</v>
      </c>
      <c r="J412" s="717">
        <v>0</v>
      </c>
      <c r="K412" s="717">
        <v>0</v>
      </c>
      <c r="L412" s="717">
        <v>0</v>
      </c>
      <c r="M412" s="719">
        <v>224.11</v>
      </c>
      <c r="N412" s="720">
        <f t="shared" si="6"/>
        <v>224.11</v>
      </c>
      <c r="O412" s="1141">
        <f>Tabla1[[#This Row],[Tarifa 2012 (Mx$/ton)]]*(1+IncrementoTarifa)</f>
        <v>235.29308900000004</v>
      </c>
      <c r="P412" s="725"/>
    </row>
    <row r="413" spans="1:16" ht="15" x14ac:dyDescent="0.25">
      <c r="A413" s="716" t="s">
        <v>530</v>
      </c>
      <c r="B413" s="717" t="s">
        <v>1342</v>
      </c>
      <c r="C413" s="718">
        <v>323</v>
      </c>
      <c r="D413" s="717">
        <v>47.52</v>
      </c>
      <c r="E413" s="717">
        <v>0.3</v>
      </c>
      <c r="F413" s="717">
        <v>144.41999999999999</v>
      </c>
      <c r="G413" s="717">
        <v>112.589</v>
      </c>
      <c r="H413" s="717">
        <v>0</v>
      </c>
      <c r="I413" s="717">
        <v>0</v>
      </c>
      <c r="J413" s="717">
        <v>0</v>
      </c>
      <c r="K413" s="717">
        <v>0</v>
      </c>
      <c r="L413" s="717">
        <v>0</v>
      </c>
      <c r="M413" s="719">
        <v>307.02</v>
      </c>
      <c r="N413" s="720">
        <f t="shared" si="6"/>
        <v>307.02</v>
      </c>
      <c r="O413" s="1141">
        <f>Tabla1[[#This Row],[Tarifa 2012 (Mx$/ton)]]*(1+IncrementoTarifa)</f>
        <v>322.34029800000002</v>
      </c>
      <c r="P413" s="725"/>
    </row>
    <row r="414" spans="1:16" ht="15" x14ac:dyDescent="0.25">
      <c r="A414" s="716" t="s">
        <v>1343</v>
      </c>
      <c r="B414" s="717" t="s">
        <v>1344</v>
      </c>
      <c r="C414" s="718">
        <v>351</v>
      </c>
      <c r="D414" s="717">
        <v>47.52</v>
      </c>
      <c r="E414" s="717">
        <v>0.3</v>
      </c>
      <c r="F414" s="717">
        <v>152.82</v>
      </c>
      <c r="G414" s="717">
        <v>112.589</v>
      </c>
      <c r="H414" s="717">
        <v>0</v>
      </c>
      <c r="I414" s="717">
        <v>0</v>
      </c>
      <c r="J414" s="717">
        <v>0</v>
      </c>
      <c r="K414" s="717">
        <v>0</v>
      </c>
      <c r="L414" s="717">
        <v>0</v>
      </c>
      <c r="M414" s="719">
        <v>324.88</v>
      </c>
      <c r="N414" s="720">
        <f t="shared" si="6"/>
        <v>324.88</v>
      </c>
      <c r="O414" s="1141">
        <f>Tabla1[[#This Row],[Tarifa 2012 (Mx$/ton)]]*(1+IncrementoTarifa)</f>
        <v>341.09151200000002</v>
      </c>
      <c r="P414" s="725"/>
    </row>
    <row r="415" spans="1:16" ht="15" x14ac:dyDescent="0.25">
      <c r="A415" s="716" t="s">
        <v>1345</v>
      </c>
      <c r="B415" s="717" t="s">
        <v>1346</v>
      </c>
      <c r="C415" s="718">
        <v>150</v>
      </c>
      <c r="D415" s="717">
        <v>47.52</v>
      </c>
      <c r="E415" s="717">
        <v>0.3</v>
      </c>
      <c r="F415" s="717">
        <v>92.52</v>
      </c>
      <c r="G415" s="717">
        <v>112.589</v>
      </c>
      <c r="H415" s="717">
        <v>0</v>
      </c>
      <c r="I415" s="717">
        <v>0</v>
      </c>
      <c r="J415" s="717">
        <v>0</v>
      </c>
      <c r="K415" s="717">
        <v>0</v>
      </c>
      <c r="L415" s="717">
        <v>0</v>
      </c>
      <c r="M415" s="719">
        <v>196.69</v>
      </c>
      <c r="N415" s="720">
        <f t="shared" si="6"/>
        <v>196.69</v>
      </c>
      <c r="O415" s="1141">
        <f>Tabla1[[#This Row],[Tarifa 2012 (Mx$/ton)]]*(1+IncrementoTarifa)</f>
        <v>206.504831</v>
      </c>
      <c r="P415" s="725"/>
    </row>
    <row r="416" spans="1:16" ht="15" x14ac:dyDescent="0.25">
      <c r="A416" s="716" t="s">
        <v>531</v>
      </c>
      <c r="B416" s="717" t="s">
        <v>1347</v>
      </c>
      <c r="C416" s="718">
        <v>290</v>
      </c>
      <c r="D416" s="717">
        <v>47.52</v>
      </c>
      <c r="E416" s="717">
        <v>0.3</v>
      </c>
      <c r="F416" s="717">
        <v>134.52000000000001</v>
      </c>
      <c r="G416" s="717">
        <v>112.589</v>
      </c>
      <c r="H416" s="717">
        <v>0</v>
      </c>
      <c r="I416" s="717">
        <v>0</v>
      </c>
      <c r="J416" s="717">
        <v>0</v>
      </c>
      <c r="K416" s="717">
        <v>0</v>
      </c>
      <c r="L416" s="717">
        <v>0</v>
      </c>
      <c r="M416" s="719">
        <v>285.97000000000003</v>
      </c>
      <c r="N416" s="720">
        <f t="shared" si="6"/>
        <v>285.97000000000003</v>
      </c>
      <c r="O416" s="1141">
        <f>Tabla1[[#This Row],[Tarifa 2012 (Mx$/ton)]]*(1+IncrementoTarifa)</f>
        <v>300.23990300000003</v>
      </c>
      <c r="P416" s="725"/>
    </row>
    <row r="417" spans="1:16" ht="15" x14ac:dyDescent="0.25">
      <c r="A417" s="716" t="s">
        <v>532</v>
      </c>
      <c r="B417" s="717" t="s">
        <v>1348</v>
      </c>
      <c r="C417" s="718">
        <v>450</v>
      </c>
      <c r="D417" s="717">
        <v>47.52</v>
      </c>
      <c r="E417" s="717">
        <v>0.3</v>
      </c>
      <c r="F417" s="717">
        <v>182.52</v>
      </c>
      <c r="G417" s="717">
        <v>112.589</v>
      </c>
      <c r="H417" s="717">
        <v>0</v>
      </c>
      <c r="I417" s="717">
        <v>0</v>
      </c>
      <c r="J417" s="717">
        <v>0</v>
      </c>
      <c r="K417" s="717">
        <v>0</v>
      </c>
      <c r="L417" s="717">
        <v>0</v>
      </c>
      <c r="M417" s="719">
        <v>388.02</v>
      </c>
      <c r="N417" s="720">
        <f t="shared" si="6"/>
        <v>388.02</v>
      </c>
      <c r="O417" s="1141">
        <f>Tabla1[[#This Row],[Tarifa 2012 (Mx$/ton)]]*(1+IncrementoTarifa)</f>
        <v>407.38219800000002</v>
      </c>
      <c r="P417" s="725"/>
    </row>
    <row r="418" spans="1:16" ht="15" x14ac:dyDescent="0.25">
      <c r="A418" s="716" t="s">
        <v>533</v>
      </c>
      <c r="B418" s="717" t="s">
        <v>1349</v>
      </c>
      <c r="C418" s="718">
        <v>500</v>
      </c>
      <c r="D418" s="717">
        <v>47.52</v>
      </c>
      <c r="E418" s="717">
        <v>0.3</v>
      </c>
      <c r="F418" s="717">
        <v>197.52</v>
      </c>
      <c r="G418" s="717">
        <v>112.589</v>
      </c>
      <c r="H418" s="717">
        <v>0</v>
      </c>
      <c r="I418" s="717">
        <v>0</v>
      </c>
      <c r="J418" s="717">
        <v>0</v>
      </c>
      <c r="K418" s="717">
        <v>0</v>
      </c>
      <c r="L418" s="717">
        <v>0</v>
      </c>
      <c r="M418" s="719">
        <v>419.91</v>
      </c>
      <c r="N418" s="720">
        <f t="shared" si="6"/>
        <v>419.91</v>
      </c>
      <c r="O418" s="1141">
        <f>Tabla1[[#This Row],[Tarifa 2012 (Mx$/ton)]]*(1+IncrementoTarifa)</f>
        <v>440.86350900000002</v>
      </c>
      <c r="P418" s="725"/>
    </row>
    <row r="419" spans="1:16" ht="15" x14ac:dyDescent="0.25">
      <c r="A419" s="716" t="s">
        <v>1350</v>
      </c>
      <c r="B419" s="717" t="s">
        <v>1351</v>
      </c>
      <c r="C419" s="718">
        <v>400</v>
      </c>
      <c r="D419" s="717">
        <v>47.52</v>
      </c>
      <c r="E419" s="717">
        <v>0.3</v>
      </c>
      <c r="F419" s="717">
        <v>167.52</v>
      </c>
      <c r="G419" s="717">
        <v>112.589</v>
      </c>
      <c r="H419" s="717">
        <v>0</v>
      </c>
      <c r="I419" s="717">
        <v>0</v>
      </c>
      <c r="J419" s="717">
        <v>0</v>
      </c>
      <c r="K419" s="717">
        <v>0</v>
      </c>
      <c r="L419" s="717">
        <v>0</v>
      </c>
      <c r="M419" s="719">
        <v>356.13</v>
      </c>
      <c r="N419" s="720">
        <f t="shared" si="6"/>
        <v>356.13</v>
      </c>
      <c r="O419" s="1141">
        <f>Tabla1[[#This Row],[Tarifa 2012 (Mx$/ton)]]*(1+IncrementoTarifa)</f>
        <v>373.90088700000001</v>
      </c>
      <c r="P419" s="725"/>
    </row>
    <row r="420" spans="1:16" ht="15" x14ac:dyDescent="0.25">
      <c r="A420" s="716" t="s">
        <v>534</v>
      </c>
      <c r="B420" s="717" t="s">
        <v>1352</v>
      </c>
      <c r="C420" s="718">
        <v>30</v>
      </c>
      <c r="D420" s="717">
        <v>47.52</v>
      </c>
      <c r="E420" s="717">
        <v>0.3</v>
      </c>
      <c r="F420" s="717">
        <v>56.52</v>
      </c>
      <c r="G420" s="717">
        <v>112.589</v>
      </c>
      <c r="H420" s="717">
        <v>0</v>
      </c>
      <c r="I420" s="717">
        <v>0</v>
      </c>
      <c r="J420" s="717">
        <v>0</v>
      </c>
      <c r="K420" s="717">
        <v>0</v>
      </c>
      <c r="L420" s="717">
        <v>0</v>
      </c>
      <c r="M420" s="719">
        <v>120.16</v>
      </c>
      <c r="N420" s="720">
        <f t="shared" si="6"/>
        <v>120.16</v>
      </c>
      <c r="O420" s="1141">
        <f>Tabla1[[#This Row],[Tarifa 2012 (Mx$/ton)]]*(1+IncrementoTarifa)</f>
        <v>126.155984</v>
      </c>
      <c r="P420" s="725"/>
    </row>
    <row r="421" spans="1:16" ht="15" x14ac:dyDescent="0.25">
      <c r="A421" s="716" t="s">
        <v>535</v>
      </c>
      <c r="B421" s="717" t="s">
        <v>1353</v>
      </c>
      <c r="C421" s="718">
        <v>799</v>
      </c>
      <c r="D421" s="717">
        <v>47.52</v>
      </c>
      <c r="E421" s="717">
        <v>0.3</v>
      </c>
      <c r="F421" s="717">
        <v>287.22000000000003</v>
      </c>
      <c r="G421" s="717">
        <v>112.589</v>
      </c>
      <c r="H421" s="717">
        <v>0</v>
      </c>
      <c r="I421" s="717">
        <v>10</v>
      </c>
      <c r="J421" s="717">
        <v>0</v>
      </c>
      <c r="K421" s="717">
        <v>0</v>
      </c>
      <c r="L421" s="717">
        <v>0</v>
      </c>
      <c r="M421" s="719">
        <v>639.32000000000005</v>
      </c>
      <c r="N421" s="720">
        <f t="shared" si="6"/>
        <v>639.32000000000005</v>
      </c>
      <c r="O421" s="1141">
        <f>Tabla1[[#This Row],[Tarifa 2012 (Mx$/ton)]]*(1+IncrementoTarifa)</f>
        <v>671.22206800000004</v>
      </c>
      <c r="P421" s="725"/>
    </row>
    <row r="422" spans="1:16" ht="15" x14ac:dyDescent="0.25">
      <c r="A422" s="716" t="s">
        <v>1354</v>
      </c>
      <c r="B422" s="717" t="s">
        <v>1355</v>
      </c>
      <c r="C422" s="718">
        <v>90</v>
      </c>
      <c r="D422" s="717">
        <v>47.52</v>
      </c>
      <c r="E422" s="717">
        <v>0.3</v>
      </c>
      <c r="F422" s="717">
        <v>74.52</v>
      </c>
      <c r="G422" s="717">
        <v>112.589</v>
      </c>
      <c r="H422" s="717">
        <v>0</v>
      </c>
      <c r="I422" s="717">
        <v>0</v>
      </c>
      <c r="J422" s="717">
        <v>0</v>
      </c>
      <c r="K422" s="717">
        <v>0</v>
      </c>
      <c r="L422" s="717">
        <v>0</v>
      </c>
      <c r="M422" s="719">
        <v>158.41999999999999</v>
      </c>
      <c r="N422" s="720">
        <f t="shared" si="6"/>
        <v>158.41999999999999</v>
      </c>
      <c r="O422" s="1141">
        <f>Tabla1[[#This Row],[Tarifa 2012 (Mx$/ton)]]*(1+IncrementoTarifa)</f>
        <v>166.32515799999999</v>
      </c>
      <c r="P422" s="725"/>
    </row>
    <row r="423" spans="1:16" ht="15" x14ac:dyDescent="0.25">
      <c r="A423" s="716" t="s">
        <v>536</v>
      </c>
      <c r="B423" s="717" t="s">
        <v>1356</v>
      </c>
      <c r="C423" s="718">
        <v>97</v>
      </c>
      <c r="D423" s="717">
        <v>47.52</v>
      </c>
      <c r="E423" s="717">
        <v>0.3</v>
      </c>
      <c r="F423" s="717">
        <v>76.62</v>
      </c>
      <c r="G423" s="717">
        <v>112.589</v>
      </c>
      <c r="H423" s="717">
        <v>0</v>
      </c>
      <c r="I423" s="717">
        <v>0</v>
      </c>
      <c r="J423" s="717">
        <v>0</v>
      </c>
      <c r="K423" s="717">
        <v>0</v>
      </c>
      <c r="L423" s="717">
        <v>0</v>
      </c>
      <c r="M423" s="719">
        <v>162.88999999999999</v>
      </c>
      <c r="N423" s="720">
        <f t="shared" si="6"/>
        <v>162.88999999999999</v>
      </c>
      <c r="O423" s="1141">
        <f>Tabla1[[#This Row],[Tarifa 2012 (Mx$/ton)]]*(1+IncrementoTarifa)</f>
        <v>171.01821100000001</v>
      </c>
      <c r="P423" s="725"/>
    </row>
    <row r="424" spans="1:16" ht="15" x14ac:dyDescent="0.25">
      <c r="A424" s="716" t="s">
        <v>1357</v>
      </c>
      <c r="B424" s="717" t="s">
        <v>1358</v>
      </c>
      <c r="C424" s="718">
        <v>342</v>
      </c>
      <c r="D424" s="717">
        <v>47.52</v>
      </c>
      <c r="E424" s="717">
        <v>0.3</v>
      </c>
      <c r="F424" s="717">
        <v>150.12</v>
      </c>
      <c r="G424" s="717">
        <v>112.589</v>
      </c>
      <c r="H424" s="717">
        <v>0</v>
      </c>
      <c r="I424" s="717">
        <v>0</v>
      </c>
      <c r="J424" s="717">
        <v>0</v>
      </c>
      <c r="K424" s="717">
        <v>0</v>
      </c>
      <c r="L424" s="717">
        <v>0</v>
      </c>
      <c r="M424" s="719">
        <v>319.14</v>
      </c>
      <c r="N424" s="720">
        <f t="shared" si="6"/>
        <v>319.14</v>
      </c>
      <c r="O424" s="1141">
        <f>Tabla1[[#This Row],[Tarifa 2012 (Mx$/ton)]]*(1+IncrementoTarifa)</f>
        <v>335.06508600000001</v>
      </c>
      <c r="P424" s="725"/>
    </row>
    <row r="425" spans="1:16" ht="15" x14ac:dyDescent="0.25">
      <c r="A425" s="716" t="s">
        <v>1359</v>
      </c>
      <c r="B425" s="717" t="s">
        <v>1360</v>
      </c>
      <c r="C425" s="718">
        <v>30</v>
      </c>
      <c r="D425" s="717">
        <v>47.52</v>
      </c>
      <c r="E425" s="717">
        <v>0.3</v>
      </c>
      <c r="F425" s="717">
        <v>56.52</v>
      </c>
      <c r="G425" s="717">
        <v>112.589</v>
      </c>
      <c r="H425" s="717">
        <v>0</v>
      </c>
      <c r="I425" s="717">
        <v>0</v>
      </c>
      <c r="J425" s="717">
        <v>0</v>
      </c>
      <c r="K425" s="717">
        <v>0</v>
      </c>
      <c r="L425" s="717">
        <v>0</v>
      </c>
      <c r="M425" s="719">
        <v>120.16</v>
      </c>
      <c r="N425" s="720">
        <f t="shared" si="6"/>
        <v>120.16</v>
      </c>
      <c r="O425" s="1141">
        <f>Tabla1[[#This Row],[Tarifa 2012 (Mx$/ton)]]*(1+IncrementoTarifa)</f>
        <v>126.155984</v>
      </c>
      <c r="P425" s="725"/>
    </row>
    <row r="426" spans="1:16" ht="15" x14ac:dyDescent="0.25">
      <c r="A426" s="716" t="s">
        <v>537</v>
      </c>
      <c r="B426" s="717" t="s">
        <v>1361</v>
      </c>
      <c r="C426" s="718">
        <v>620</v>
      </c>
      <c r="D426" s="717">
        <v>47.52</v>
      </c>
      <c r="E426" s="717">
        <v>0.3</v>
      </c>
      <c r="F426" s="717">
        <v>233.52</v>
      </c>
      <c r="G426" s="717">
        <v>112.589</v>
      </c>
      <c r="H426" s="717">
        <v>0</v>
      </c>
      <c r="I426" s="717">
        <v>0</v>
      </c>
      <c r="J426" s="717">
        <v>0</v>
      </c>
      <c r="K426" s="717">
        <v>0</v>
      </c>
      <c r="L426" s="717">
        <v>0</v>
      </c>
      <c r="M426" s="719">
        <v>496.44</v>
      </c>
      <c r="N426" s="720">
        <f t="shared" si="6"/>
        <v>496.44</v>
      </c>
      <c r="O426" s="1141">
        <f>Tabla1[[#This Row],[Tarifa 2012 (Mx$/ton)]]*(1+IncrementoTarifa)</f>
        <v>521.212356</v>
      </c>
      <c r="P426" s="725"/>
    </row>
    <row r="427" spans="1:16" ht="15" x14ac:dyDescent="0.25">
      <c r="A427" s="716" t="s">
        <v>1362</v>
      </c>
      <c r="B427" s="717" t="s">
        <v>1363</v>
      </c>
      <c r="C427" s="718">
        <v>740</v>
      </c>
      <c r="D427" s="717">
        <v>47.52</v>
      </c>
      <c r="E427" s="717">
        <v>0.3</v>
      </c>
      <c r="F427" s="717">
        <v>269.52</v>
      </c>
      <c r="G427" s="717">
        <v>112.589</v>
      </c>
      <c r="H427" s="717">
        <v>0</v>
      </c>
      <c r="I427" s="717">
        <v>0</v>
      </c>
      <c r="J427" s="717">
        <v>0</v>
      </c>
      <c r="K427" s="717">
        <v>0</v>
      </c>
      <c r="L427" s="717">
        <v>0</v>
      </c>
      <c r="M427" s="719">
        <v>572.97</v>
      </c>
      <c r="N427" s="720">
        <f t="shared" si="6"/>
        <v>572.97</v>
      </c>
      <c r="O427" s="1141">
        <f>Tabla1[[#This Row],[Tarifa 2012 (Mx$/ton)]]*(1+IncrementoTarifa)</f>
        <v>601.56120300000009</v>
      </c>
      <c r="P427" s="725"/>
    </row>
    <row r="428" spans="1:16" ht="15" x14ac:dyDescent="0.25">
      <c r="A428" s="716" t="s">
        <v>1364</v>
      </c>
      <c r="B428" s="717" t="s">
        <v>1365</v>
      </c>
      <c r="C428" s="718">
        <v>670</v>
      </c>
      <c r="D428" s="717">
        <v>47.52</v>
      </c>
      <c r="E428" s="717">
        <v>0.3</v>
      </c>
      <c r="F428" s="717">
        <v>248.52</v>
      </c>
      <c r="G428" s="717">
        <v>112.589</v>
      </c>
      <c r="H428" s="717">
        <v>0</v>
      </c>
      <c r="I428" s="717">
        <v>0</v>
      </c>
      <c r="J428" s="717">
        <v>0</v>
      </c>
      <c r="K428" s="717">
        <v>0</v>
      </c>
      <c r="L428" s="717">
        <v>0</v>
      </c>
      <c r="M428" s="719">
        <v>528.33000000000004</v>
      </c>
      <c r="N428" s="720">
        <f t="shared" si="6"/>
        <v>528.33000000000004</v>
      </c>
      <c r="O428" s="1141">
        <f>Tabla1[[#This Row],[Tarifa 2012 (Mx$/ton)]]*(1+IncrementoTarifa)</f>
        <v>554.69366700000012</v>
      </c>
      <c r="P428" s="725"/>
    </row>
    <row r="429" spans="1:16" ht="15" x14ac:dyDescent="0.25">
      <c r="A429" s="716" t="s">
        <v>538</v>
      </c>
      <c r="B429" s="717" t="s">
        <v>1366</v>
      </c>
      <c r="C429" s="718">
        <v>850</v>
      </c>
      <c r="D429" s="717">
        <v>47.52</v>
      </c>
      <c r="E429" s="717">
        <v>0.3</v>
      </c>
      <c r="F429" s="717">
        <v>302.52</v>
      </c>
      <c r="G429" s="717">
        <v>112.589</v>
      </c>
      <c r="H429" s="717">
        <v>0</v>
      </c>
      <c r="I429" s="717">
        <v>0</v>
      </c>
      <c r="J429" s="717">
        <v>0</v>
      </c>
      <c r="K429" s="717">
        <v>0</v>
      </c>
      <c r="L429" s="717">
        <v>0</v>
      </c>
      <c r="M429" s="719">
        <v>643.12</v>
      </c>
      <c r="N429" s="720">
        <f t="shared" si="6"/>
        <v>643.12</v>
      </c>
      <c r="O429" s="1141">
        <f>Tabla1[[#This Row],[Tarifa 2012 (Mx$/ton)]]*(1+IncrementoTarifa)</f>
        <v>675.21168800000009</v>
      </c>
      <c r="P429" s="725"/>
    </row>
    <row r="430" spans="1:16" ht="15" x14ac:dyDescent="0.25">
      <c r="A430" s="716" t="s">
        <v>539</v>
      </c>
      <c r="B430" s="717" t="s">
        <v>1367</v>
      </c>
      <c r="C430" s="718">
        <v>880</v>
      </c>
      <c r="D430" s="717">
        <v>47.52</v>
      </c>
      <c r="E430" s="717">
        <v>0.3</v>
      </c>
      <c r="F430" s="717">
        <v>311.52</v>
      </c>
      <c r="G430" s="717">
        <v>112.589</v>
      </c>
      <c r="H430" s="717">
        <v>0</v>
      </c>
      <c r="I430" s="717">
        <v>0</v>
      </c>
      <c r="J430" s="717">
        <v>0</v>
      </c>
      <c r="K430" s="717">
        <v>0</v>
      </c>
      <c r="L430" s="717">
        <v>0</v>
      </c>
      <c r="M430" s="719">
        <v>662.26</v>
      </c>
      <c r="N430" s="720">
        <f t="shared" si="6"/>
        <v>662.26</v>
      </c>
      <c r="O430" s="1141">
        <f>Tabla1[[#This Row],[Tarifa 2012 (Mx$/ton)]]*(1+IncrementoTarifa)</f>
        <v>695.30677400000002</v>
      </c>
      <c r="P430" s="725"/>
    </row>
    <row r="431" spans="1:16" ht="15" x14ac:dyDescent="0.25">
      <c r="A431" s="716" t="s">
        <v>1368</v>
      </c>
      <c r="B431" s="717" t="s">
        <v>1369</v>
      </c>
      <c r="C431" s="718">
        <v>1120</v>
      </c>
      <c r="D431" s="717">
        <v>47.52</v>
      </c>
      <c r="E431" s="717">
        <v>0.3</v>
      </c>
      <c r="F431" s="717">
        <v>383.52</v>
      </c>
      <c r="G431" s="717">
        <v>112.589</v>
      </c>
      <c r="H431" s="717">
        <v>0</v>
      </c>
      <c r="I431" s="717">
        <v>0</v>
      </c>
      <c r="J431" s="717">
        <v>0</v>
      </c>
      <c r="K431" s="717">
        <v>0</v>
      </c>
      <c r="L431" s="717">
        <v>0</v>
      </c>
      <c r="M431" s="719">
        <v>815.32</v>
      </c>
      <c r="N431" s="720">
        <f t="shared" si="6"/>
        <v>815.32</v>
      </c>
      <c r="O431" s="1141">
        <f>Tabla1[[#This Row],[Tarifa 2012 (Mx$/ton)]]*(1+IncrementoTarifa)</f>
        <v>856.00446800000009</v>
      </c>
      <c r="P431" s="725"/>
    </row>
    <row r="432" spans="1:16" ht="15" x14ac:dyDescent="0.25">
      <c r="A432" s="716" t="s">
        <v>1370</v>
      </c>
      <c r="B432" s="717" t="s">
        <v>1371</v>
      </c>
      <c r="C432" s="718">
        <v>1110</v>
      </c>
      <c r="D432" s="717">
        <v>47.52</v>
      </c>
      <c r="E432" s="717">
        <v>0.3</v>
      </c>
      <c r="F432" s="717">
        <v>380.52</v>
      </c>
      <c r="G432" s="717">
        <v>112.589</v>
      </c>
      <c r="H432" s="717">
        <v>0</v>
      </c>
      <c r="I432" s="717">
        <v>0</v>
      </c>
      <c r="J432" s="717">
        <v>0</v>
      </c>
      <c r="K432" s="717">
        <v>0</v>
      </c>
      <c r="L432" s="717">
        <v>0</v>
      </c>
      <c r="M432" s="719">
        <v>808.94</v>
      </c>
      <c r="N432" s="720">
        <f t="shared" si="6"/>
        <v>808.94</v>
      </c>
      <c r="O432" s="1141">
        <f>Tabla1[[#This Row],[Tarifa 2012 (Mx$/ton)]]*(1+IncrementoTarifa)</f>
        <v>849.30610600000011</v>
      </c>
      <c r="P432" s="725"/>
    </row>
    <row r="433" spans="1:16" ht="15" x14ac:dyDescent="0.25">
      <c r="A433" s="716" t="s">
        <v>540</v>
      </c>
      <c r="B433" s="717" t="s">
        <v>1372</v>
      </c>
      <c r="C433" s="718">
        <v>610</v>
      </c>
      <c r="D433" s="717">
        <v>47.52</v>
      </c>
      <c r="E433" s="717">
        <v>0.3</v>
      </c>
      <c r="F433" s="717">
        <v>230.52</v>
      </c>
      <c r="G433" s="717">
        <v>112.589</v>
      </c>
      <c r="H433" s="717">
        <v>0</v>
      </c>
      <c r="I433" s="717">
        <v>0</v>
      </c>
      <c r="J433" s="717">
        <v>0</v>
      </c>
      <c r="K433" s="717">
        <v>0</v>
      </c>
      <c r="L433" s="717">
        <v>0</v>
      </c>
      <c r="M433" s="719">
        <v>490.06</v>
      </c>
      <c r="N433" s="720">
        <f t="shared" si="6"/>
        <v>490.06</v>
      </c>
      <c r="O433" s="1141">
        <f>Tabla1[[#This Row],[Tarifa 2012 (Mx$/ton)]]*(1+IncrementoTarifa)</f>
        <v>514.51399400000003</v>
      </c>
      <c r="P433" s="725"/>
    </row>
    <row r="434" spans="1:16" ht="15" x14ac:dyDescent="0.25">
      <c r="A434" s="716" t="s">
        <v>541</v>
      </c>
      <c r="B434" s="717" t="s">
        <v>1373</v>
      </c>
      <c r="C434" s="718">
        <v>550</v>
      </c>
      <c r="D434" s="717">
        <v>47.52</v>
      </c>
      <c r="E434" s="717">
        <v>0.3</v>
      </c>
      <c r="F434" s="717">
        <v>212.52</v>
      </c>
      <c r="G434" s="717">
        <v>112.589</v>
      </c>
      <c r="H434" s="717">
        <v>0</v>
      </c>
      <c r="I434" s="717">
        <v>0</v>
      </c>
      <c r="J434" s="717">
        <v>0</v>
      </c>
      <c r="K434" s="717">
        <v>0</v>
      </c>
      <c r="L434" s="717">
        <v>0</v>
      </c>
      <c r="M434" s="719">
        <v>451.79</v>
      </c>
      <c r="N434" s="720">
        <f t="shared" si="6"/>
        <v>451.79</v>
      </c>
      <c r="O434" s="1141">
        <f>Tabla1[[#This Row],[Tarifa 2012 (Mx$/ton)]]*(1+IncrementoTarifa)</f>
        <v>474.33432100000005</v>
      </c>
      <c r="P434" s="725"/>
    </row>
    <row r="435" spans="1:16" ht="15" x14ac:dyDescent="0.25">
      <c r="A435" s="716" t="s">
        <v>1374</v>
      </c>
      <c r="B435" s="717" t="s">
        <v>1356</v>
      </c>
      <c r="C435" s="718">
        <v>1034</v>
      </c>
      <c r="D435" s="717">
        <v>47.52</v>
      </c>
      <c r="E435" s="717">
        <v>0.3</v>
      </c>
      <c r="F435" s="717">
        <v>357.72</v>
      </c>
      <c r="G435" s="717">
        <v>112.589</v>
      </c>
      <c r="H435" s="717">
        <v>0</v>
      </c>
      <c r="I435" s="717">
        <v>0</v>
      </c>
      <c r="J435" s="717">
        <v>0</v>
      </c>
      <c r="K435" s="717">
        <v>0</v>
      </c>
      <c r="L435" s="717">
        <v>0</v>
      </c>
      <c r="M435" s="719">
        <v>760.47</v>
      </c>
      <c r="N435" s="720">
        <f t="shared" si="6"/>
        <v>760.47</v>
      </c>
      <c r="O435" s="1141">
        <f>Tabla1[[#This Row],[Tarifa 2012 (Mx$/ton)]]*(1+IncrementoTarifa)</f>
        <v>798.41745300000002</v>
      </c>
      <c r="P435" s="725"/>
    </row>
    <row r="436" spans="1:16" ht="15" x14ac:dyDescent="0.25">
      <c r="A436" s="716" t="s">
        <v>1375</v>
      </c>
      <c r="B436" s="717" t="s">
        <v>1376</v>
      </c>
      <c r="C436" s="718">
        <v>998</v>
      </c>
      <c r="D436" s="717">
        <v>47.52</v>
      </c>
      <c r="E436" s="717">
        <v>0.3</v>
      </c>
      <c r="F436" s="717">
        <v>346.92</v>
      </c>
      <c r="G436" s="717">
        <v>112.589</v>
      </c>
      <c r="H436" s="717">
        <v>0</v>
      </c>
      <c r="I436" s="717">
        <v>0</v>
      </c>
      <c r="J436" s="717">
        <v>0</v>
      </c>
      <c r="K436" s="717">
        <v>0</v>
      </c>
      <c r="L436" s="717">
        <v>0</v>
      </c>
      <c r="M436" s="719">
        <v>737.51</v>
      </c>
      <c r="N436" s="720">
        <f t="shared" si="6"/>
        <v>737.51</v>
      </c>
      <c r="O436" s="1141">
        <f>Tabla1[[#This Row],[Tarifa 2012 (Mx$/ton)]]*(1+IncrementoTarifa)</f>
        <v>774.31174900000008</v>
      </c>
      <c r="P436" s="725"/>
    </row>
    <row r="437" spans="1:16" ht="15" x14ac:dyDescent="0.25">
      <c r="A437" s="716" t="s">
        <v>542</v>
      </c>
      <c r="B437" s="717" t="s">
        <v>1377</v>
      </c>
      <c r="C437" s="718">
        <v>840</v>
      </c>
      <c r="D437" s="717">
        <v>47.52</v>
      </c>
      <c r="E437" s="717">
        <v>0.3</v>
      </c>
      <c r="F437" s="717">
        <v>299.52</v>
      </c>
      <c r="G437" s="717">
        <v>112.589</v>
      </c>
      <c r="H437" s="717">
        <v>0</v>
      </c>
      <c r="I437" s="717">
        <v>10</v>
      </c>
      <c r="J437" s="717">
        <v>0</v>
      </c>
      <c r="K437" s="717">
        <v>0</v>
      </c>
      <c r="L437" s="717">
        <v>0</v>
      </c>
      <c r="M437" s="719">
        <v>666.7</v>
      </c>
      <c r="N437" s="720">
        <f t="shared" si="6"/>
        <v>666.7</v>
      </c>
      <c r="O437" s="1141">
        <f>Tabla1[[#This Row],[Tarifa 2012 (Mx$/ton)]]*(1+IncrementoTarifa)</f>
        <v>699.96833000000004</v>
      </c>
      <c r="P437" s="725"/>
    </row>
    <row r="438" spans="1:16" ht="15" x14ac:dyDescent="0.25">
      <c r="A438" s="716" t="s">
        <v>1378</v>
      </c>
      <c r="B438" s="717" t="s">
        <v>1379</v>
      </c>
      <c r="C438" s="718">
        <v>895</v>
      </c>
      <c r="D438" s="717">
        <v>47.52</v>
      </c>
      <c r="E438" s="717">
        <v>0.3</v>
      </c>
      <c r="F438" s="717">
        <v>316.02</v>
      </c>
      <c r="G438" s="717">
        <v>112.589</v>
      </c>
      <c r="H438" s="717">
        <v>0</v>
      </c>
      <c r="I438" s="717">
        <v>10</v>
      </c>
      <c r="J438" s="717">
        <v>0</v>
      </c>
      <c r="K438" s="717">
        <v>0</v>
      </c>
      <c r="L438" s="717">
        <v>0</v>
      </c>
      <c r="M438" s="719">
        <v>703.43</v>
      </c>
      <c r="N438" s="720">
        <f t="shared" si="6"/>
        <v>703.43</v>
      </c>
      <c r="O438" s="1141">
        <f>Tabla1[[#This Row],[Tarifa 2012 (Mx$/ton)]]*(1+IncrementoTarifa)</f>
        <v>738.53115700000001</v>
      </c>
      <c r="P438" s="725"/>
    </row>
    <row r="439" spans="1:16" ht="15" x14ac:dyDescent="0.25">
      <c r="A439" s="716" t="s">
        <v>1380</v>
      </c>
      <c r="B439" s="717" t="s">
        <v>1381</v>
      </c>
      <c r="C439" s="718">
        <v>1202</v>
      </c>
      <c r="D439" s="717">
        <v>47.52</v>
      </c>
      <c r="E439" s="717">
        <v>0.3</v>
      </c>
      <c r="F439" s="717">
        <v>408.12</v>
      </c>
      <c r="G439" s="717">
        <v>112.589</v>
      </c>
      <c r="H439" s="717">
        <v>0</v>
      </c>
      <c r="I439" s="717">
        <v>0</v>
      </c>
      <c r="J439" s="717">
        <v>0</v>
      </c>
      <c r="K439" s="717">
        <v>0</v>
      </c>
      <c r="L439" s="717">
        <v>0</v>
      </c>
      <c r="M439" s="719">
        <v>867.62</v>
      </c>
      <c r="N439" s="720">
        <f t="shared" si="6"/>
        <v>867.62</v>
      </c>
      <c r="O439" s="1141">
        <f>Tabla1[[#This Row],[Tarifa 2012 (Mx$/ton)]]*(1+IncrementoTarifa)</f>
        <v>910.91423800000007</v>
      </c>
      <c r="P439" s="725"/>
    </row>
    <row r="440" spans="1:16" ht="15" x14ac:dyDescent="0.25">
      <c r="A440" s="716" t="s">
        <v>1382</v>
      </c>
      <c r="B440" s="717" t="s">
        <v>1383</v>
      </c>
      <c r="C440" s="718">
        <v>1031</v>
      </c>
      <c r="D440" s="717">
        <v>47.52</v>
      </c>
      <c r="E440" s="717">
        <v>0.3</v>
      </c>
      <c r="F440" s="717">
        <v>356.82</v>
      </c>
      <c r="G440" s="717">
        <v>112.589</v>
      </c>
      <c r="H440" s="717">
        <v>0</v>
      </c>
      <c r="I440" s="717">
        <v>0</v>
      </c>
      <c r="J440" s="717">
        <v>0</v>
      </c>
      <c r="K440" s="717">
        <v>0</v>
      </c>
      <c r="L440" s="717">
        <v>0</v>
      </c>
      <c r="M440" s="719">
        <v>758.56</v>
      </c>
      <c r="N440" s="720">
        <f t="shared" si="6"/>
        <v>758.56</v>
      </c>
      <c r="O440" s="1141">
        <f>Tabla1[[#This Row],[Tarifa 2012 (Mx$/ton)]]*(1+IncrementoTarifa)</f>
        <v>796.41214400000001</v>
      </c>
      <c r="P440" s="725"/>
    </row>
    <row r="441" spans="1:16" ht="15" x14ac:dyDescent="0.25">
      <c r="A441" s="716" t="s">
        <v>1384</v>
      </c>
      <c r="B441" s="717" t="s">
        <v>1385</v>
      </c>
      <c r="C441" s="718">
        <v>1226</v>
      </c>
      <c r="D441" s="717">
        <v>47.52</v>
      </c>
      <c r="E441" s="717">
        <v>0.3</v>
      </c>
      <c r="F441" s="717">
        <v>415.32</v>
      </c>
      <c r="G441" s="717">
        <v>112.589</v>
      </c>
      <c r="H441" s="717">
        <v>0</v>
      </c>
      <c r="I441" s="717">
        <v>10</v>
      </c>
      <c r="J441" s="717">
        <v>0</v>
      </c>
      <c r="K441" s="717">
        <v>0</v>
      </c>
      <c r="L441" s="717">
        <v>0</v>
      </c>
      <c r="M441" s="719">
        <v>924.46</v>
      </c>
      <c r="N441" s="720">
        <f t="shared" si="6"/>
        <v>924.46</v>
      </c>
      <c r="O441" s="1141">
        <f>Tabla1[[#This Row],[Tarifa 2012 (Mx$/ton)]]*(1+IncrementoTarifa)</f>
        <v>970.59055400000011</v>
      </c>
      <c r="P441" s="725"/>
    </row>
    <row r="442" spans="1:16" ht="15" x14ac:dyDescent="0.25">
      <c r="A442" s="716" t="s">
        <v>1386</v>
      </c>
      <c r="B442" s="717" t="s">
        <v>1366</v>
      </c>
      <c r="C442" s="718">
        <v>850</v>
      </c>
      <c r="D442" s="717">
        <v>47.52</v>
      </c>
      <c r="E442" s="717">
        <v>0.3</v>
      </c>
      <c r="F442" s="717">
        <v>302.52</v>
      </c>
      <c r="G442" s="717">
        <v>112.589</v>
      </c>
      <c r="H442" s="717">
        <v>0</v>
      </c>
      <c r="I442" s="717">
        <v>0</v>
      </c>
      <c r="J442" s="717">
        <v>0</v>
      </c>
      <c r="K442" s="717">
        <v>0</v>
      </c>
      <c r="L442" s="717">
        <v>0</v>
      </c>
      <c r="M442" s="719">
        <v>643.12</v>
      </c>
      <c r="N442" s="720">
        <f t="shared" si="6"/>
        <v>643.12</v>
      </c>
      <c r="O442" s="1141">
        <f>Tabla1[[#This Row],[Tarifa 2012 (Mx$/ton)]]*(1+IncrementoTarifa)</f>
        <v>675.21168800000009</v>
      </c>
      <c r="P442" s="725"/>
    </row>
    <row r="443" spans="1:16" ht="15" x14ac:dyDescent="0.25">
      <c r="A443" s="716" t="s">
        <v>1387</v>
      </c>
      <c r="B443" s="717" t="s">
        <v>1388</v>
      </c>
      <c r="C443" s="718">
        <v>850</v>
      </c>
      <c r="D443" s="717">
        <v>47.52</v>
      </c>
      <c r="E443" s="717">
        <v>0.3</v>
      </c>
      <c r="F443" s="717">
        <v>302.52</v>
      </c>
      <c r="G443" s="717">
        <v>112.589</v>
      </c>
      <c r="H443" s="717">
        <v>0</v>
      </c>
      <c r="I443" s="717">
        <v>0</v>
      </c>
      <c r="J443" s="717">
        <v>0</v>
      </c>
      <c r="K443" s="717">
        <v>0</v>
      </c>
      <c r="L443" s="717">
        <v>0</v>
      </c>
      <c r="M443" s="719">
        <v>643.12</v>
      </c>
      <c r="N443" s="720">
        <f t="shared" si="6"/>
        <v>643.12</v>
      </c>
      <c r="O443" s="1141">
        <f>Tabla1[[#This Row],[Tarifa 2012 (Mx$/ton)]]*(1+IncrementoTarifa)</f>
        <v>675.21168800000009</v>
      </c>
      <c r="P443" s="725"/>
    </row>
    <row r="444" spans="1:16" ht="15" x14ac:dyDescent="0.25">
      <c r="A444" s="716" t="s">
        <v>543</v>
      </c>
      <c r="B444" s="717" t="s">
        <v>1389</v>
      </c>
      <c r="C444" s="718">
        <v>550</v>
      </c>
      <c r="D444" s="717">
        <v>47.52</v>
      </c>
      <c r="E444" s="717">
        <v>0.3</v>
      </c>
      <c r="F444" s="717">
        <v>212.52</v>
      </c>
      <c r="G444" s="717">
        <v>112.589</v>
      </c>
      <c r="H444" s="717">
        <v>0</v>
      </c>
      <c r="I444" s="717">
        <v>0</v>
      </c>
      <c r="J444" s="717">
        <v>0</v>
      </c>
      <c r="K444" s="717">
        <v>0</v>
      </c>
      <c r="L444" s="717">
        <v>0</v>
      </c>
      <c r="M444" s="719">
        <v>451.79</v>
      </c>
      <c r="N444" s="720">
        <f t="shared" si="6"/>
        <v>451.79</v>
      </c>
      <c r="O444" s="1141">
        <f>Tabla1[[#This Row],[Tarifa 2012 (Mx$/ton)]]*(1+IncrementoTarifa)</f>
        <v>474.33432100000005</v>
      </c>
      <c r="P444" s="725"/>
    </row>
    <row r="445" spans="1:16" ht="15" x14ac:dyDescent="0.25">
      <c r="A445" s="716" t="s">
        <v>1390</v>
      </c>
      <c r="B445" s="717" t="s">
        <v>1391</v>
      </c>
      <c r="C445" s="718">
        <v>720</v>
      </c>
      <c r="D445" s="717">
        <v>47.52</v>
      </c>
      <c r="E445" s="717">
        <v>0.3</v>
      </c>
      <c r="F445" s="717">
        <v>263.52</v>
      </c>
      <c r="G445" s="717">
        <v>112.589</v>
      </c>
      <c r="H445" s="717">
        <v>0</v>
      </c>
      <c r="I445" s="717">
        <v>0</v>
      </c>
      <c r="J445" s="717">
        <v>0</v>
      </c>
      <c r="K445" s="717">
        <v>0</v>
      </c>
      <c r="L445" s="717">
        <v>0</v>
      </c>
      <c r="M445" s="719">
        <v>560.21</v>
      </c>
      <c r="N445" s="720">
        <f t="shared" si="6"/>
        <v>560.21</v>
      </c>
      <c r="O445" s="1141">
        <f>Tabla1[[#This Row],[Tarifa 2012 (Mx$/ton)]]*(1+IncrementoTarifa)</f>
        <v>588.16447900000003</v>
      </c>
      <c r="P445" s="725"/>
    </row>
    <row r="446" spans="1:16" ht="15" x14ac:dyDescent="0.25">
      <c r="A446" s="716" t="s">
        <v>544</v>
      </c>
      <c r="B446" s="717" t="s">
        <v>1392</v>
      </c>
      <c r="C446" s="718">
        <v>450</v>
      </c>
      <c r="D446" s="717">
        <v>47.52</v>
      </c>
      <c r="E446" s="717">
        <v>0.3</v>
      </c>
      <c r="F446" s="717">
        <v>182.52</v>
      </c>
      <c r="G446" s="717">
        <v>112.589</v>
      </c>
      <c r="H446" s="717">
        <v>0</v>
      </c>
      <c r="I446" s="717">
        <v>0</v>
      </c>
      <c r="J446" s="717">
        <v>0</v>
      </c>
      <c r="K446" s="717">
        <v>0</v>
      </c>
      <c r="L446" s="717">
        <v>0</v>
      </c>
      <c r="M446" s="719">
        <v>388.02</v>
      </c>
      <c r="N446" s="720">
        <f t="shared" si="6"/>
        <v>388.02</v>
      </c>
      <c r="O446" s="1141">
        <f>Tabla1[[#This Row],[Tarifa 2012 (Mx$/ton)]]*(1+IncrementoTarifa)</f>
        <v>407.38219800000002</v>
      </c>
      <c r="P446" s="725"/>
    </row>
    <row r="447" spans="1:16" ht="15" x14ac:dyDescent="0.25">
      <c r="A447" s="716" t="s">
        <v>1393</v>
      </c>
      <c r="B447" s="717" t="s">
        <v>1394</v>
      </c>
      <c r="C447" s="718">
        <v>520</v>
      </c>
      <c r="D447" s="717">
        <v>47.52</v>
      </c>
      <c r="E447" s="717">
        <v>0.3</v>
      </c>
      <c r="F447" s="717">
        <v>203.52</v>
      </c>
      <c r="G447" s="717">
        <v>112.589</v>
      </c>
      <c r="H447" s="717">
        <v>0</v>
      </c>
      <c r="I447" s="717">
        <v>0</v>
      </c>
      <c r="J447" s="717">
        <v>0</v>
      </c>
      <c r="K447" s="717">
        <v>0</v>
      </c>
      <c r="L447" s="717">
        <v>0</v>
      </c>
      <c r="M447" s="719">
        <v>432.66</v>
      </c>
      <c r="N447" s="720">
        <f t="shared" si="6"/>
        <v>432.66</v>
      </c>
      <c r="O447" s="1141">
        <f>Tabla1[[#This Row],[Tarifa 2012 (Mx$/ton)]]*(1+IncrementoTarifa)</f>
        <v>454.24973400000005</v>
      </c>
      <c r="P447" s="725"/>
    </row>
    <row r="448" spans="1:16" ht="15" x14ac:dyDescent="0.25">
      <c r="A448" s="716" t="s">
        <v>545</v>
      </c>
      <c r="B448" s="717" t="s">
        <v>1395</v>
      </c>
      <c r="C448" s="718">
        <v>297</v>
      </c>
      <c r="D448" s="717">
        <v>47.52</v>
      </c>
      <c r="E448" s="717">
        <v>0.3</v>
      </c>
      <c r="F448" s="717">
        <v>136.62</v>
      </c>
      <c r="G448" s="717">
        <v>112.589</v>
      </c>
      <c r="H448" s="717">
        <v>0</v>
      </c>
      <c r="I448" s="717">
        <v>0</v>
      </c>
      <c r="J448" s="717">
        <v>0</v>
      </c>
      <c r="K448" s="717">
        <v>0</v>
      </c>
      <c r="L448" s="717">
        <v>0</v>
      </c>
      <c r="M448" s="719">
        <v>290.44</v>
      </c>
      <c r="N448" s="720">
        <f t="shared" si="6"/>
        <v>290.44</v>
      </c>
      <c r="O448" s="1141">
        <f>Tabla1[[#This Row],[Tarifa 2012 (Mx$/ton)]]*(1+IncrementoTarifa)</f>
        <v>304.93295599999999</v>
      </c>
      <c r="P448" s="725"/>
    </row>
    <row r="449" spans="1:16" ht="15" x14ac:dyDescent="0.25">
      <c r="A449" s="716" t="s">
        <v>546</v>
      </c>
      <c r="B449" s="717" t="s">
        <v>1396</v>
      </c>
      <c r="C449" s="718">
        <v>690</v>
      </c>
      <c r="D449" s="717">
        <v>47.52</v>
      </c>
      <c r="E449" s="717">
        <v>0.3</v>
      </c>
      <c r="F449" s="717">
        <v>254.52</v>
      </c>
      <c r="G449" s="717">
        <v>112.589</v>
      </c>
      <c r="H449" s="717">
        <v>106.294</v>
      </c>
      <c r="I449" s="717">
        <v>0</v>
      </c>
      <c r="J449" s="717">
        <v>0</v>
      </c>
      <c r="K449" s="717">
        <v>0</v>
      </c>
      <c r="L449" s="717">
        <v>0</v>
      </c>
      <c r="M449" s="719">
        <v>811.62</v>
      </c>
      <c r="N449" s="720">
        <f t="shared" si="6"/>
        <v>811.62</v>
      </c>
      <c r="O449" s="1141">
        <f>Tabla1[[#This Row],[Tarifa 2012 (Mx$/ton)]]*(1+IncrementoTarifa)</f>
        <v>852.11983800000007</v>
      </c>
      <c r="P449" s="725"/>
    </row>
    <row r="450" spans="1:16" ht="15" x14ac:dyDescent="0.25">
      <c r="A450" s="716" t="s">
        <v>1397</v>
      </c>
      <c r="B450" s="717" t="s">
        <v>1398</v>
      </c>
      <c r="C450" s="718">
        <v>570</v>
      </c>
      <c r="D450" s="717">
        <v>47.52</v>
      </c>
      <c r="E450" s="717">
        <v>0.3</v>
      </c>
      <c r="F450" s="717">
        <v>0</v>
      </c>
      <c r="G450" s="717">
        <v>112.589</v>
      </c>
      <c r="H450" s="717">
        <v>0</v>
      </c>
      <c r="I450" s="717">
        <v>0</v>
      </c>
      <c r="J450" s="717">
        <v>0</v>
      </c>
      <c r="K450" s="717">
        <v>0</v>
      </c>
      <c r="L450" s="717">
        <v>0</v>
      </c>
      <c r="M450" s="719">
        <v>464.54948280000002</v>
      </c>
      <c r="N450" s="720">
        <f t="shared" si="6"/>
        <v>464.54948280000002</v>
      </c>
      <c r="O450" s="1141">
        <f>Tabla1[[#This Row],[Tarifa 2012 (Mx$/ton)]]*(1+IncrementoTarifa)</f>
        <v>487.73050199172008</v>
      </c>
      <c r="P450" s="725"/>
    </row>
    <row r="451" spans="1:16" ht="15" x14ac:dyDescent="0.25">
      <c r="A451" s="716" t="s">
        <v>547</v>
      </c>
      <c r="B451" s="717" t="s">
        <v>1399</v>
      </c>
      <c r="C451" s="718">
        <v>297</v>
      </c>
      <c r="D451" s="717">
        <v>47.52</v>
      </c>
      <c r="E451" s="717">
        <v>0.3</v>
      </c>
      <c r="F451" s="717">
        <v>136.62</v>
      </c>
      <c r="G451" s="717">
        <v>112.589</v>
      </c>
      <c r="H451" s="717">
        <v>0</v>
      </c>
      <c r="I451" s="717">
        <v>0</v>
      </c>
      <c r="J451" s="717">
        <v>0</v>
      </c>
      <c r="K451" s="717">
        <v>0</v>
      </c>
      <c r="L451" s="717">
        <v>0</v>
      </c>
      <c r="M451" s="719">
        <v>290.44</v>
      </c>
      <c r="N451" s="720">
        <f t="shared" si="6"/>
        <v>290.44</v>
      </c>
      <c r="O451" s="1141">
        <f>Tabla1[[#This Row],[Tarifa 2012 (Mx$/ton)]]*(1+IncrementoTarifa)</f>
        <v>304.93295599999999</v>
      </c>
      <c r="P451" s="725"/>
    </row>
    <row r="452" spans="1:16" ht="15" x14ac:dyDescent="0.25">
      <c r="A452" s="716" t="s">
        <v>1400</v>
      </c>
      <c r="B452" s="717" t="s">
        <v>1401</v>
      </c>
      <c r="C452" s="718">
        <v>865</v>
      </c>
      <c r="D452" s="717">
        <v>47.52</v>
      </c>
      <c r="E452" s="717">
        <v>0.3</v>
      </c>
      <c r="F452" s="717">
        <v>307.02</v>
      </c>
      <c r="G452" s="717">
        <v>112.589</v>
      </c>
      <c r="H452" s="717">
        <v>0</v>
      </c>
      <c r="I452" s="717">
        <v>10</v>
      </c>
      <c r="J452" s="717">
        <v>0</v>
      </c>
      <c r="K452" s="717">
        <v>0</v>
      </c>
      <c r="L452" s="717">
        <v>0</v>
      </c>
      <c r="M452" s="719">
        <v>683.39</v>
      </c>
      <c r="N452" s="720">
        <f t="shared" si="6"/>
        <v>683.39</v>
      </c>
      <c r="O452" s="1141">
        <f>Tabla1[[#This Row],[Tarifa 2012 (Mx$/ton)]]*(1+IncrementoTarifa)</f>
        <v>717.49116100000003</v>
      </c>
      <c r="P452" s="725"/>
    </row>
    <row r="453" spans="1:16" ht="15" x14ac:dyDescent="0.25">
      <c r="A453" s="716" t="s">
        <v>1402</v>
      </c>
      <c r="B453" s="717" t="s">
        <v>1403</v>
      </c>
      <c r="C453" s="718">
        <v>786</v>
      </c>
      <c r="D453" s="717">
        <v>47.52</v>
      </c>
      <c r="E453" s="717">
        <v>0.3</v>
      </c>
      <c r="F453" s="717">
        <v>283.32</v>
      </c>
      <c r="G453" s="717">
        <v>112.589</v>
      </c>
      <c r="H453" s="717">
        <v>106.3</v>
      </c>
      <c r="I453" s="717">
        <v>0</v>
      </c>
      <c r="J453" s="717">
        <v>0</v>
      </c>
      <c r="K453" s="717">
        <v>0</v>
      </c>
      <c r="L453" s="717">
        <v>0</v>
      </c>
      <c r="M453" s="719">
        <v>903.48</v>
      </c>
      <c r="N453" s="720">
        <f t="shared" si="6"/>
        <v>903.48</v>
      </c>
      <c r="O453" s="1141">
        <f>Tabla1[[#This Row],[Tarifa 2012 (Mx$/ton)]]*(1+IncrementoTarifa)</f>
        <v>948.56365200000005</v>
      </c>
      <c r="P453" s="725"/>
    </row>
    <row r="454" spans="1:16" ht="15" x14ac:dyDescent="0.25">
      <c r="A454" s="716" t="s">
        <v>1404</v>
      </c>
      <c r="B454" s="717" t="s">
        <v>1405</v>
      </c>
      <c r="C454" s="718">
        <v>650</v>
      </c>
      <c r="D454" s="717">
        <v>47.52</v>
      </c>
      <c r="E454" s="717">
        <v>0.3</v>
      </c>
      <c r="F454" s="717">
        <v>0</v>
      </c>
      <c r="G454" s="717">
        <v>112.589</v>
      </c>
      <c r="H454" s="717">
        <v>0</v>
      </c>
      <c r="I454" s="717">
        <v>0</v>
      </c>
      <c r="J454" s="717">
        <v>0</v>
      </c>
      <c r="K454" s="717">
        <v>0</v>
      </c>
      <c r="L454" s="717">
        <v>0</v>
      </c>
      <c r="M454" s="719">
        <v>515.57084280000004</v>
      </c>
      <c r="N454" s="720">
        <f t="shared" si="6"/>
        <v>515.57084280000004</v>
      </c>
      <c r="O454" s="1141">
        <f>Tabla1[[#This Row],[Tarifa 2012 (Mx$/ton)]]*(1+IncrementoTarifa)</f>
        <v>541.29782785572002</v>
      </c>
      <c r="P454" s="725"/>
    </row>
    <row r="455" spans="1:16" ht="15" x14ac:dyDescent="0.25">
      <c r="A455" s="716" t="s">
        <v>1406</v>
      </c>
      <c r="B455" s="717" t="s">
        <v>1407</v>
      </c>
      <c r="C455" s="718">
        <v>650</v>
      </c>
      <c r="D455" s="717">
        <v>47.52</v>
      </c>
      <c r="E455" s="717">
        <v>0.3</v>
      </c>
      <c r="F455" s="717">
        <v>242.52</v>
      </c>
      <c r="G455" s="717">
        <v>112.589</v>
      </c>
      <c r="H455" s="717">
        <v>0</v>
      </c>
      <c r="I455" s="717">
        <v>0</v>
      </c>
      <c r="J455" s="717">
        <v>0</v>
      </c>
      <c r="K455" s="717">
        <v>0</v>
      </c>
      <c r="L455" s="717">
        <v>0</v>
      </c>
      <c r="M455" s="719">
        <v>515.57000000000005</v>
      </c>
      <c r="N455" s="720">
        <f t="shared" si="6"/>
        <v>515.57000000000005</v>
      </c>
      <c r="O455" s="1141">
        <f>Tabla1[[#This Row],[Tarifa 2012 (Mx$/ton)]]*(1+IncrementoTarifa)</f>
        <v>541.29694300000006</v>
      </c>
      <c r="P455" s="725"/>
    </row>
    <row r="456" spans="1:16" ht="15" x14ac:dyDescent="0.25">
      <c r="A456" s="716" t="s">
        <v>1408</v>
      </c>
      <c r="B456" s="717" t="s">
        <v>1409</v>
      </c>
      <c r="C456" s="718">
        <v>560</v>
      </c>
      <c r="D456" s="717">
        <v>47.52</v>
      </c>
      <c r="E456" s="717">
        <v>0.3</v>
      </c>
      <c r="F456" s="717">
        <v>215.52</v>
      </c>
      <c r="G456" s="717">
        <v>112.589</v>
      </c>
      <c r="H456" s="717">
        <v>0</v>
      </c>
      <c r="I456" s="717">
        <v>0</v>
      </c>
      <c r="J456" s="717">
        <v>0</v>
      </c>
      <c r="K456" s="717">
        <v>0</v>
      </c>
      <c r="L456" s="717">
        <v>0</v>
      </c>
      <c r="M456" s="719">
        <v>458.17</v>
      </c>
      <c r="N456" s="720">
        <f t="shared" si="6"/>
        <v>458.17</v>
      </c>
      <c r="O456" s="1141">
        <f>Tabla1[[#This Row],[Tarifa 2012 (Mx$/ton)]]*(1+IncrementoTarifa)</f>
        <v>481.03268300000002</v>
      </c>
      <c r="P456" s="725"/>
    </row>
    <row r="457" spans="1:16" ht="15" x14ac:dyDescent="0.25">
      <c r="A457" s="716" t="s">
        <v>1410</v>
      </c>
      <c r="B457" s="717" t="s">
        <v>1411</v>
      </c>
      <c r="C457" s="718">
        <v>710</v>
      </c>
      <c r="D457" s="717">
        <v>47.52</v>
      </c>
      <c r="E457" s="717">
        <v>0.3</v>
      </c>
      <c r="F457" s="717">
        <v>260.52</v>
      </c>
      <c r="G457" s="717">
        <v>112.589</v>
      </c>
      <c r="H457" s="717">
        <v>0</v>
      </c>
      <c r="I457" s="717">
        <v>0</v>
      </c>
      <c r="J457" s="717">
        <v>0</v>
      </c>
      <c r="K457" s="717">
        <v>0</v>
      </c>
      <c r="L457" s="717">
        <v>0</v>
      </c>
      <c r="M457" s="719">
        <v>553.84</v>
      </c>
      <c r="N457" s="720">
        <f t="shared" si="6"/>
        <v>553.84</v>
      </c>
      <c r="O457" s="1141">
        <f>Tabla1[[#This Row],[Tarifa 2012 (Mx$/ton)]]*(1+IncrementoTarifa)</f>
        <v>581.47661600000004</v>
      </c>
      <c r="P457" s="725"/>
    </row>
    <row r="458" spans="1:16" ht="15" x14ac:dyDescent="0.25">
      <c r="A458" s="716" t="s">
        <v>1412</v>
      </c>
      <c r="B458" s="717" t="s">
        <v>1413</v>
      </c>
      <c r="C458" s="718">
        <v>540</v>
      </c>
      <c r="D458" s="717">
        <v>47.52</v>
      </c>
      <c r="E458" s="717">
        <v>0.3</v>
      </c>
      <c r="F458" s="717">
        <v>209.52</v>
      </c>
      <c r="G458" s="717">
        <v>112.589</v>
      </c>
      <c r="H458" s="717">
        <v>0</v>
      </c>
      <c r="I458" s="717">
        <v>0</v>
      </c>
      <c r="J458" s="717">
        <v>0</v>
      </c>
      <c r="K458" s="717">
        <v>0</v>
      </c>
      <c r="L458" s="717">
        <v>0</v>
      </c>
      <c r="M458" s="719">
        <v>445.42</v>
      </c>
      <c r="N458" s="720">
        <f t="shared" si="6"/>
        <v>445.42</v>
      </c>
      <c r="O458" s="1141">
        <f>Tabla1[[#This Row],[Tarifa 2012 (Mx$/ton)]]*(1+IncrementoTarifa)</f>
        <v>467.64645800000005</v>
      </c>
      <c r="P458" s="725"/>
    </row>
    <row r="459" spans="1:16" ht="15" x14ac:dyDescent="0.25">
      <c r="A459" s="716" t="s">
        <v>1414</v>
      </c>
      <c r="B459" s="717" t="s">
        <v>1415</v>
      </c>
      <c r="C459" s="718">
        <v>850</v>
      </c>
      <c r="D459" s="717">
        <v>47.52</v>
      </c>
      <c r="E459" s="717">
        <v>0.3</v>
      </c>
      <c r="F459" s="717">
        <v>0</v>
      </c>
      <c r="G459" s="717">
        <v>112.589</v>
      </c>
      <c r="H459" s="717">
        <v>0</v>
      </c>
      <c r="I459" s="717">
        <v>0</v>
      </c>
      <c r="J459" s="717">
        <v>0</v>
      </c>
      <c r="K459" s="717">
        <v>0</v>
      </c>
      <c r="L459" s="717">
        <v>0</v>
      </c>
      <c r="M459" s="719">
        <v>643.12424279999993</v>
      </c>
      <c r="N459" s="720">
        <f t="shared" si="6"/>
        <v>643.12424279999993</v>
      </c>
      <c r="O459" s="1141">
        <f>Tabla1[[#This Row],[Tarifa 2012 (Mx$/ton)]]*(1+IncrementoTarifa)</f>
        <v>675.21614251571998</v>
      </c>
      <c r="P459" s="725"/>
    </row>
    <row r="460" spans="1:16" ht="15" x14ac:dyDescent="0.25">
      <c r="A460" s="716" t="s">
        <v>1416</v>
      </c>
      <c r="B460" s="717" t="s">
        <v>1417</v>
      </c>
      <c r="C460" s="718">
        <v>281</v>
      </c>
      <c r="D460" s="717">
        <v>47.52</v>
      </c>
      <c r="E460" s="717">
        <v>0.3</v>
      </c>
      <c r="F460" s="717">
        <v>131.82</v>
      </c>
      <c r="G460" s="717">
        <v>112.589</v>
      </c>
      <c r="H460" s="717">
        <v>0</v>
      </c>
      <c r="I460" s="717">
        <v>0</v>
      </c>
      <c r="J460" s="717">
        <v>0</v>
      </c>
      <c r="K460" s="717">
        <v>0</v>
      </c>
      <c r="L460" s="717">
        <v>0</v>
      </c>
      <c r="M460" s="719">
        <v>280.23</v>
      </c>
      <c r="N460" s="720">
        <f t="shared" si="6"/>
        <v>280.23</v>
      </c>
      <c r="O460" s="1141">
        <f>Tabla1[[#This Row],[Tarifa 2012 (Mx$/ton)]]*(1+IncrementoTarifa)</f>
        <v>294.21347700000001</v>
      </c>
      <c r="P460" s="725"/>
    </row>
    <row r="461" spans="1:16" ht="15" x14ac:dyDescent="0.25">
      <c r="A461" s="716" t="s">
        <v>1418</v>
      </c>
      <c r="B461" s="717" t="s">
        <v>1419</v>
      </c>
      <c r="C461" s="718">
        <v>76</v>
      </c>
      <c r="D461" s="717">
        <v>47.52</v>
      </c>
      <c r="E461" s="717">
        <v>0.3</v>
      </c>
      <c r="F461" s="717">
        <v>70.319999999999993</v>
      </c>
      <c r="G461" s="717">
        <v>112.589</v>
      </c>
      <c r="H461" s="717">
        <v>0</v>
      </c>
      <c r="I461" s="717">
        <v>0</v>
      </c>
      <c r="J461" s="717">
        <v>0</v>
      </c>
      <c r="K461" s="717">
        <v>0</v>
      </c>
      <c r="L461" s="717">
        <v>0</v>
      </c>
      <c r="M461" s="719">
        <v>149.49</v>
      </c>
      <c r="N461" s="720">
        <f t="shared" si="6"/>
        <v>149.49</v>
      </c>
      <c r="O461" s="1141">
        <f>Tabla1[[#This Row],[Tarifa 2012 (Mx$/ton)]]*(1+IncrementoTarifa)</f>
        <v>156.94955100000001</v>
      </c>
      <c r="P461" s="725"/>
    </row>
    <row r="462" spans="1:16" ht="15" x14ac:dyDescent="0.25">
      <c r="A462" s="716" t="s">
        <v>1420</v>
      </c>
      <c r="B462" s="717" t="s">
        <v>1421</v>
      </c>
      <c r="C462" s="718">
        <v>91</v>
      </c>
      <c r="D462" s="717">
        <v>47.52</v>
      </c>
      <c r="E462" s="717">
        <v>0.3</v>
      </c>
      <c r="F462" s="717">
        <v>74.819999999999993</v>
      </c>
      <c r="G462" s="717">
        <v>112.589</v>
      </c>
      <c r="H462" s="717">
        <v>0</v>
      </c>
      <c r="I462" s="717">
        <v>0</v>
      </c>
      <c r="J462" s="717">
        <v>0</v>
      </c>
      <c r="K462" s="717">
        <v>0</v>
      </c>
      <c r="L462" s="717">
        <v>0</v>
      </c>
      <c r="M462" s="719">
        <v>159.06</v>
      </c>
      <c r="N462" s="720">
        <f t="shared" si="6"/>
        <v>159.06</v>
      </c>
      <c r="O462" s="1141">
        <f>Tabla1[[#This Row],[Tarifa 2012 (Mx$/ton)]]*(1+IncrementoTarifa)</f>
        <v>166.997094</v>
      </c>
      <c r="P462" s="725"/>
    </row>
    <row r="463" spans="1:16" ht="15" x14ac:dyDescent="0.25">
      <c r="A463" s="716" t="s">
        <v>548</v>
      </c>
      <c r="B463" s="717" t="s">
        <v>1422</v>
      </c>
      <c r="C463" s="718">
        <v>70</v>
      </c>
      <c r="D463" s="717">
        <v>47.52</v>
      </c>
      <c r="E463" s="717">
        <v>0.3</v>
      </c>
      <c r="F463" s="717">
        <v>68.52</v>
      </c>
      <c r="G463" s="717">
        <v>112.589</v>
      </c>
      <c r="H463" s="717">
        <v>0</v>
      </c>
      <c r="I463" s="717">
        <v>0</v>
      </c>
      <c r="J463" s="717">
        <v>0</v>
      </c>
      <c r="K463" s="717">
        <v>0</v>
      </c>
      <c r="L463" s="717">
        <v>0</v>
      </c>
      <c r="M463" s="719">
        <v>145.66999999999999</v>
      </c>
      <c r="N463" s="720">
        <f t="shared" si="6"/>
        <v>145.66999999999999</v>
      </c>
      <c r="O463" s="1141">
        <f>Tabla1[[#This Row],[Tarifa 2012 (Mx$/ton)]]*(1+IncrementoTarifa)</f>
        <v>152.93893299999999</v>
      </c>
      <c r="P463" s="725"/>
    </row>
    <row r="464" spans="1:16" ht="15" x14ac:dyDescent="0.25">
      <c r="A464" s="716" t="s">
        <v>1423</v>
      </c>
      <c r="B464" s="717" t="s">
        <v>1424</v>
      </c>
      <c r="C464" s="718">
        <v>85</v>
      </c>
      <c r="D464" s="717">
        <v>47.52</v>
      </c>
      <c r="E464" s="717">
        <v>0.3</v>
      </c>
      <c r="F464" s="717">
        <v>73.02</v>
      </c>
      <c r="G464" s="717">
        <v>112.589</v>
      </c>
      <c r="H464" s="717">
        <v>0</v>
      </c>
      <c r="I464" s="717">
        <v>0</v>
      </c>
      <c r="J464" s="717">
        <v>0</v>
      </c>
      <c r="K464" s="717">
        <v>0</v>
      </c>
      <c r="L464" s="717">
        <v>0</v>
      </c>
      <c r="M464" s="719">
        <v>155.22999999999999</v>
      </c>
      <c r="N464" s="720">
        <f t="shared" si="6"/>
        <v>155.22999999999999</v>
      </c>
      <c r="O464" s="1141">
        <f>Tabla1[[#This Row],[Tarifa 2012 (Mx$/ton)]]*(1+IncrementoTarifa)</f>
        <v>162.975977</v>
      </c>
      <c r="P464" s="725"/>
    </row>
    <row r="465" spans="1:16" ht="15" x14ac:dyDescent="0.25">
      <c r="A465" s="716" t="s">
        <v>549</v>
      </c>
      <c r="B465" s="717" t="s">
        <v>1425</v>
      </c>
      <c r="C465" s="718">
        <v>120</v>
      </c>
      <c r="D465" s="717">
        <v>47.52</v>
      </c>
      <c r="E465" s="717">
        <v>0.3</v>
      </c>
      <c r="F465" s="717">
        <v>83.52</v>
      </c>
      <c r="G465" s="717">
        <v>112.589</v>
      </c>
      <c r="H465" s="717">
        <v>0</v>
      </c>
      <c r="I465" s="717">
        <v>0</v>
      </c>
      <c r="J465" s="717">
        <v>0</v>
      </c>
      <c r="K465" s="717">
        <v>0</v>
      </c>
      <c r="L465" s="717">
        <v>0</v>
      </c>
      <c r="M465" s="719">
        <v>177.55</v>
      </c>
      <c r="N465" s="720">
        <f t="shared" ref="N465:N528" si="7">M465*(1+$O$2)</f>
        <v>177.55</v>
      </c>
      <c r="O465" s="1141">
        <f>Tabla1[[#This Row],[Tarifa 2012 (Mx$/ton)]]*(1+IncrementoTarifa)</f>
        <v>186.40974500000002</v>
      </c>
      <c r="P465" s="725"/>
    </row>
    <row r="466" spans="1:16" ht="15" x14ac:dyDescent="0.25">
      <c r="A466" s="716" t="s">
        <v>1426</v>
      </c>
      <c r="B466" s="717" t="s">
        <v>1427</v>
      </c>
      <c r="C466" s="718">
        <v>227</v>
      </c>
      <c r="D466" s="717">
        <v>47.52</v>
      </c>
      <c r="E466" s="717">
        <v>0.3</v>
      </c>
      <c r="F466" s="717">
        <v>115.62</v>
      </c>
      <c r="G466" s="717">
        <v>112.589</v>
      </c>
      <c r="H466" s="717">
        <v>0</v>
      </c>
      <c r="I466" s="717">
        <v>0</v>
      </c>
      <c r="J466" s="717">
        <v>0</v>
      </c>
      <c r="K466" s="717">
        <v>0</v>
      </c>
      <c r="L466" s="717">
        <v>0</v>
      </c>
      <c r="M466" s="719">
        <v>245.8</v>
      </c>
      <c r="N466" s="720">
        <f t="shared" si="7"/>
        <v>245.8</v>
      </c>
      <c r="O466" s="1141">
        <f>Tabla1[[#This Row],[Tarifa 2012 (Mx$/ton)]]*(1+IncrementoTarifa)</f>
        <v>258.06542000000002</v>
      </c>
      <c r="P466" s="725"/>
    </row>
    <row r="467" spans="1:16" ht="15" x14ac:dyDescent="0.25">
      <c r="A467" s="716" t="s">
        <v>1428</v>
      </c>
      <c r="B467" s="717" t="s">
        <v>1429</v>
      </c>
      <c r="C467" s="718">
        <v>190</v>
      </c>
      <c r="D467" s="717">
        <v>47.52</v>
      </c>
      <c r="E467" s="717">
        <v>0.3</v>
      </c>
      <c r="F467" s="717">
        <v>104.52</v>
      </c>
      <c r="G467" s="717">
        <v>112.589</v>
      </c>
      <c r="H467" s="717">
        <v>0</v>
      </c>
      <c r="I467" s="717">
        <v>0</v>
      </c>
      <c r="J467" s="717">
        <v>0</v>
      </c>
      <c r="K467" s="717">
        <v>0</v>
      </c>
      <c r="L467" s="717">
        <v>0</v>
      </c>
      <c r="M467" s="719">
        <v>222.2</v>
      </c>
      <c r="N467" s="720">
        <f t="shared" si="7"/>
        <v>222.2</v>
      </c>
      <c r="O467" s="1141">
        <f>Tabla1[[#This Row],[Tarifa 2012 (Mx$/ton)]]*(1+IncrementoTarifa)</f>
        <v>233.28778</v>
      </c>
      <c r="P467" s="725"/>
    </row>
    <row r="468" spans="1:16" ht="15" x14ac:dyDescent="0.25">
      <c r="A468" s="716" t="s">
        <v>1430</v>
      </c>
      <c r="B468" s="717" t="s">
        <v>1431</v>
      </c>
      <c r="C468" s="718">
        <v>270</v>
      </c>
      <c r="D468" s="717">
        <v>47.52</v>
      </c>
      <c r="E468" s="717">
        <v>0.3</v>
      </c>
      <c r="F468" s="717">
        <v>128.52000000000001</v>
      </c>
      <c r="G468" s="717">
        <v>112.589</v>
      </c>
      <c r="H468" s="717">
        <v>0</v>
      </c>
      <c r="I468" s="717">
        <v>0</v>
      </c>
      <c r="J468" s="717">
        <v>0</v>
      </c>
      <c r="K468" s="717">
        <v>0</v>
      </c>
      <c r="L468" s="717">
        <v>0</v>
      </c>
      <c r="M468" s="719">
        <v>273.22000000000003</v>
      </c>
      <c r="N468" s="720">
        <f t="shared" si="7"/>
        <v>273.22000000000003</v>
      </c>
      <c r="O468" s="1141">
        <f>Tabla1[[#This Row],[Tarifa 2012 (Mx$/ton)]]*(1+IncrementoTarifa)</f>
        <v>286.85367800000006</v>
      </c>
      <c r="P468" s="725"/>
    </row>
    <row r="469" spans="1:16" ht="15" x14ac:dyDescent="0.25">
      <c r="A469" s="716" t="s">
        <v>1432</v>
      </c>
      <c r="B469" s="717" t="s">
        <v>1433</v>
      </c>
      <c r="C469" s="718">
        <v>200</v>
      </c>
      <c r="D469" s="717">
        <v>47.52</v>
      </c>
      <c r="E469" s="717">
        <v>0.3</v>
      </c>
      <c r="F469" s="717">
        <v>107.52</v>
      </c>
      <c r="G469" s="717">
        <v>112.589</v>
      </c>
      <c r="H469" s="717">
        <v>0</v>
      </c>
      <c r="I469" s="717">
        <v>0</v>
      </c>
      <c r="J469" s="717">
        <v>0</v>
      </c>
      <c r="K469" s="717">
        <v>0</v>
      </c>
      <c r="L469" s="717">
        <v>0</v>
      </c>
      <c r="M469" s="719">
        <v>228.58</v>
      </c>
      <c r="N469" s="720">
        <f t="shared" si="7"/>
        <v>228.58</v>
      </c>
      <c r="O469" s="1141">
        <f>Tabla1[[#This Row],[Tarifa 2012 (Mx$/ton)]]*(1+IncrementoTarifa)</f>
        <v>239.98614200000003</v>
      </c>
      <c r="P469" s="725"/>
    </row>
    <row r="470" spans="1:16" ht="15" x14ac:dyDescent="0.25">
      <c r="A470" s="716" t="s">
        <v>1434</v>
      </c>
      <c r="B470" s="717" t="s">
        <v>1435</v>
      </c>
      <c r="C470" s="718">
        <v>190</v>
      </c>
      <c r="D470" s="717">
        <v>47.52</v>
      </c>
      <c r="E470" s="717">
        <v>0.3</v>
      </c>
      <c r="F470" s="717">
        <v>104.52</v>
      </c>
      <c r="G470" s="717">
        <v>112.589</v>
      </c>
      <c r="H470" s="717">
        <v>0</v>
      </c>
      <c r="I470" s="717">
        <v>0</v>
      </c>
      <c r="J470" s="717">
        <v>0</v>
      </c>
      <c r="K470" s="717">
        <v>0</v>
      </c>
      <c r="L470" s="717">
        <v>0</v>
      </c>
      <c r="M470" s="719">
        <v>222.2</v>
      </c>
      <c r="N470" s="720">
        <f t="shared" si="7"/>
        <v>222.2</v>
      </c>
      <c r="O470" s="1141">
        <f>Tabla1[[#This Row],[Tarifa 2012 (Mx$/ton)]]*(1+IncrementoTarifa)</f>
        <v>233.28778</v>
      </c>
      <c r="P470" s="725"/>
    </row>
    <row r="471" spans="1:16" ht="15" x14ac:dyDescent="0.25">
      <c r="A471" s="716" t="s">
        <v>1436</v>
      </c>
      <c r="B471" s="717" t="s">
        <v>1437</v>
      </c>
      <c r="C471" s="718">
        <v>76</v>
      </c>
      <c r="D471" s="717">
        <v>47.52</v>
      </c>
      <c r="E471" s="717">
        <v>0.3</v>
      </c>
      <c r="F471" s="717">
        <v>70.319999999999993</v>
      </c>
      <c r="G471" s="717">
        <v>112.589</v>
      </c>
      <c r="H471" s="717">
        <v>0</v>
      </c>
      <c r="I471" s="717">
        <v>0</v>
      </c>
      <c r="J471" s="717">
        <v>0</v>
      </c>
      <c r="K471" s="717">
        <v>0</v>
      </c>
      <c r="L471" s="717">
        <v>0</v>
      </c>
      <c r="M471" s="719">
        <v>149.49</v>
      </c>
      <c r="N471" s="720">
        <f t="shared" si="7"/>
        <v>149.49</v>
      </c>
      <c r="O471" s="1141">
        <f>Tabla1[[#This Row],[Tarifa 2012 (Mx$/ton)]]*(1+IncrementoTarifa)</f>
        <v>156.94955100000001</v>
      </c>
      <c r="P471" s="725"/>
    </row>
    <row r="472" spans="1:16" ht="15" x14ac:dyDescent="0.25">
      <c r="A472" s="716" t="s">
        <v>1438</v>
      </c>
      <c r="B472" s="717" t="s">
        <v>1439</v>
      </c>
      <c r="C472" s="718">
        <v>470</v>
      </c>
      <c r="D472" s="717">
        <v>47.52</v>
      </c>
      <c r="E472" s="717">
        <v>0.3</v>
      </c>
      <c r="F472" s="717">
        <v>188.52</v>
      </c>
      <c r="G472" s="717">
        <v>112.589</v>
      </c>
      <c r="H472" s="717">
        <v>0</v>
      </c>
      <c r="I472" s="717">
        <v>0</v>
      </c>
      <c r="J472" s="717">
        <v>0</v>
      </c>
      <c r="K472" s="717">
        <v>0</v>
      </c>
      <c r="L472" s="717">
        <v>0</v>
      </c>
      <c r="M472" s="719">
        <v>400.77</v>
      </c>
      <c r="N472" s="720">
        <f t="shared" si="7"/>
        <v>400.77</v>
      </c>
      <c r="O472" s="1141">
        <f>Tabla1[[#This Row],[Tarifa 2012 (Mx$/ton)]]*(1+IncrementoTarifa)</f>
        <v>420.76842299999998</v>
      </c>
      <c r="P472" s="725"/>
    </row>
    <row r="473" spans="1:16" ht="15" x14ac:dyDescent="0.25">
      <c r="A473" s="716" t="s">
        <v>1440</v>
      </c>
      <c r="B473" s="717" t="s">
        <v>1441</v>
      </c>
      <c r="C473" s="718">
        <v>498</v>
      </c>
      <c r="D473" s="717">
        <v>47.52</v>
      </c>
      <c r="E473" s="717">
        <v>0.3</v>
      </c>
      <c r="F473" s="717">
        <v>196.92</v>
      </c>
      <c r="G473" s="717">
        <v>112.589</v>
      </c>
      <c r="H473" s="717">
        <v>0</v>
      </c>
      <c r="I473" s="717">
        <v>0</v>
      </c>
      <c r="J473" s="717">
        <v>0</v>
      </c>
      <c r="K473" s="717">
        <v>0</v>
      </c>
      <c r="L473" s="717">
        <v>0</v>
      </c>
      <c r="M473" s="719">
        <v>418.63</v>
      </c>
      <c r="N473" s="720">
        <f t="shared" si="7"/>
        <v>418.63</v>
      </c>
      <c r="O473" s="1141">
        <f>Tabla1[[#This Row],[Tarifa 2012 (Mx$/ton)]]*(1+IncrementoTarifa)</f>
        <v>439.51963700000005</v>
      </c>
      <c r="P473" s="725"/>
    </row>
    <row r="474" spans="1:16" ht="15" x14ac:dyDescent="0.25">
      <c r="A474" s="716" t="s">
        <v>1442</v>
      </c>
      <c r="B474" s="717" t="s">
        <v>1443</v>
      </c>
      <c r="C474" s="718">
        <v>540</v>
      </c>
      <c r="D474" s="717">
        <v>47.52</v>
      </c>
      <c r="E474" s="717">
        <v>0.3</v>
      </c>
      <c r="F474" s="717">
        <v>209.52</v>
      </c>
      <c r="G474" s="717">
        <v>112.589</v>
      </c>
      <c r="H474" s="717">
        <v>0</v>
      </c>
      <c r="I474" s="717">
        <v>0</v>
      </c>
      <c r="J474" s="717">
        <v>0</v>
      </c>
      <c r="K474" s="717">
        <v>0</v>
      </c>
      <c r="L474" s="717">
        <v>0</v>
      </c>
      <c r="M474" s="719">
        <v>445.42</v>
      </c>
      <c r="N474" s="720">
        <f t="shared" si="7"/>
        <v>445.42</v>
      </c>
      <c r="O474" s="1141">
        <f>Tabla1[[#This Row],[Tarifa 2012 (Mx$/ton)]]*(1+IncrementoTarifa)</f>
        <v>467.64645800000005</v>
      </c>
      <c r="P474" s="725"/>
    </row>
    <row r="475" spans="1:16" ht="15" x14ac:dyDescent="0.25">
      <c r="A475" s="716" t="s">
        <v>1444</v>
      </c>
      <c r="B475" s="717" t="s">
        <v>1445</v>
      </c>
      <c r="C475" s="718">
        <v>604</v>
      </c>
      <c r="D475" s="717">
        <v>47.52</v>
      </c>
      <c r="E475" s="717">
        <v>0.3</v>
      </c>
      <c r="F475" s="717">
        <v>228.72</v>
      </c>
      <c r="G475" s="717">
        <v>112.589</v>
      </c>
      <c r="H475" s="717">
        <v>0</v>
      </c>
      <c r="I475" s="717">
        <v>0</v>
      </c>
      <c r="J475" s="717">
        <v>0</v>
      </c>
      <c r="K475" s="717">
        <v>0</v>
      </c>
      <c r="L475" s="717">
        <v>0</v>
      </c>
      <c r="M475" s="719">
        <v>486.23</v>
      </c>
      <c r="N475" s="720">
        <f t="shared" si="7"/>
        <v>486.23</v>
      </c>
      <c r="O475" s="1141">
        <f>Tabla1[[#This Row],[Tarifa 2012 (Mx$/ton)]]*(1+IncrementoTarifa)</f>
        <v>510.49287700000002</v>
      </c>
      <c r="P475" s="725"/>
    </row>
    <row r="476" spans="1:16" ht="15" x14ac:dyDescent="0.25">
      <c r="A476" s="716" t="s">
        <v>1446</v>
      </c>
      <c r="B476" s="717" t="s">
        <v>1447</v>
      </c>
      <c r="C476" s="718">
        <v>666</v>
      </c>
      <c r="D476" s="717">
        <v>47.52</v>
      </c>
      <c r="E476" s="717">
        <v>0.3</v>
      </c>
      <c r="F476" s="717">
        <v>247.32</v>
      </c>
      <c r="G476" s="717">
        <v>112.589</v>
      </c>
      <c r="H476" s="717">
        <v>0</v>
      </c>
      <c r="I476" s="717">
        <v>0</v>
      </c>
      <c r="J476" s="717">
        <v>0</v>
      </c>
      <c r="K476" s="717">
        <v>0</v>
      </c>
      <c r="L476" s="717">
        <v>0</v>
      </c>
      <c r="M476" s="719">
        <v>525.78</v>
      </c>
      <c r="N476" s="720">
        <f t="shared" si="7"/>
        <v>525.78</v>
      </c>
      <c r="O476" s="1141">
        <f>Tabla1[[#This Row],[Tarifa 2012 (Mx$/ton)]]*(1+IncrementoTarifa)</f>
        <v>552.01642200000003</v>
      </c>
      <c r="P476" s="725"/>
    </row>
    <row r="477" spans="1:16" ht="15" x14ac:dyDescent="0.25">
      <c r="A477" s="716" t="s">
        <v>1448</v>
      </c>
      <c r="B477" s="717" t="s">
        <v>1449</v>
      </c>
      <c r="C477" s="718">
        <v>700</v>
      </c>
      <c r="D477" s="717">
        <v>47.52</v>
      </c>
      <c r="E477" s="717">
        <v>0.3</v>
      </c>
      <c r="F477" s="717">
        <v>257.52</v>
      </c>
      <c r="G477" s="717">
        <v>112.589</v>
      </c>
      <c r="H477" s="717">
        <v>0</v>
      </c>
      <c r="I477" s="717">
        <v>0</v>
      </c>
      <c r="J477" s="717">
        <v>0</v>
      </c>
      <c r="K477" s="717">
        <v>0</v>
      </c>
      <c r="L477" s="717">
        <v>0</v>
      </c>
      <c r="M477" s="719">
        <v>547.46</v>
      </c>
      <c r="N477" s="720">
        <f t="shared" si="7"/>
        <v>547.46</v>
      </c>
      <c r="O477" s="1141">
        <f>Tabla1[[#This Row],[Tarifa 2012 (Mx$/ton)]]*(1+IncrementoTarifa)</f>
        <v>574.77825400000006</v>
      </c>
      <c r="P477" s="725"/>
    </row>
    <row r="478" spans="1:16" ht="15" x14ac:dyDescent="0.25">
      <c r="A478" s="716" t="s">
        <v>1450</v>
      </c>
      <c r="B478" s="717" t="s">
        <v>1451</v>
      </c>
      <c r="C478" s="718">
        <v>290</v>
      </c>
      <c r="D478" s="717">
        <v>47.52</v>
      </c>
      <c r="E478" s="717">
        <v>0.3</v>
      </c>
      <c r="F478" s="717">
        <v>134.52000000000001</v>
      </c>
      <c r="G478" s="717">
        <v>112.589</v>
      </c>
      <c r="H478" s="717">
        <v>0</v>
      </c>
      <c r="I478" s="717">
        <v>0</v>
      </c>
      <c r="J478" s="717">
        <v>0</v>
      </c>
      <c r="K478" s="717">
        <v>0</v>
      </c>
      <c r="L478" s="717">
        <v>0</v>
      </c>
      <c r="M478" s="719">
        <v>285.97000000000003</v>
      </c>
      <c r="N478" s="720">
        <f t="shared" si="7"/>
        <v>285.97000000000003</v>
      </c>
      <c r="O478" s="1141">
        <f>Tabla1[[#This Row],[Tarifa 2012 (Mx$/ton)]]*(1+IncrementoTarifa)</f>
        <v>300.23990300000003</v>
      </c>
      <c r="P478" s="725"/>
    </row>
    <row r="479" spans="1:16" ht="15" x14ac:dyDescent="0.25">
      <c r="A479" s="716" t="s">
        <v>1452</v>
      </c>
      <c r="B479" s="717" t="s">
        <v>1453</v>
      </c>
      <c r="C479" s="718">
        <v>460</v>
      </c>
      <c r="D479" s="717">
        <v>47.52</v>
      </c>
      <c r="E479" s="717">
        <v>0.3</v>
      </c>
      <c r="F479" s="717">
        <v>185.52</v>
      </c>
      <c r="G479" s="717">
        <v>112.589</v>
      </c>
      <c r="H479" s="717">
        <v>0</v>
      </c>
      <c r="I479" s="717">
        <v>0</v>
      </c>
      <c r="J479" s="717">
        <v>0</v>
      </c>
      <c r="K479" s="717">
        <v>0</v>
      </c>
      <c r="L479" s="717">
        <v>0</v>
      </c>
      <c r="M479" s="719">
        <v>394.4</v>
      </c>
      <c r="N479" s="720">
        <f t="shared" si="7"/>
        <v>394.4</v>
      </c>
      <c r="O479" s="1141">
        <f>Tabla1[[#This Row],[Tarifa 2012 (Mx$/ton)]]*(1+IncrementoTarifa)</f>
        <v>414.08055999999999</v>
      </c>
      <c r="P479" s="725"/>
    </row>
    <row r="480" spans="1:16" ht="15" x14ac:dyDescent="0.25">
      <c r="A480" s="716" t="s">
        <v>1454</v>
      </c>
      <c r="B480" s="717" t="s">
        <v>1455</v>
      </c>
      <c r="C480" s="718">
        <v>423</v>
      </c>
      <c r="D480" s="717">
        <v>47.52</v>
      </c>
      <c r="E480" s="717">
        <v>0.3</v>
      </c>
      <c r="F480" s="717">
        <v>174.42</v>
      </c>
      <c r="G480" s="717">
        <v>112.589</v>
      </c>
      <c r="H480" s="717">
        <v>0</v>
      </c>
      <c r="I480" s="717">
        <v>0</v>
      </c>
      <c r="J480" s="717">
        <v>0</v>
      </c>
      <c r="K480" s="717">
        <v>0</v>
      </c>
      <c r="L480" s="717">
        <v>0</v>
      </c>
      <c r="M480" s="719">
        <v>370.8</v>
      </c>
      <c r="N480" s="720">
        <f t="shared" si="7"/>
        <v>370.8</v>
      </c>
      <c r="O480" s="1141">
        <f>Tabla1[[#This Row],[Tarifa 2012 (Mx$/ton)]]*(1+IncrementoTarifa)</f>
        <v>389.30292000000003</v>
      </c>
      <c r="P480" s="725"/>
    </row>
    <row r="481" spans="1:16" ht="15" x14ac:dyDescent="0.25">
      <c r="A481" s="716" t="s">
        <v>1456</v>
      </c>
      <c r="B481" s="717" t="s">
        <v>1457</v>
      </c>
      <c r="C481" s="718">
        <v>828</v>
      </c>
      <c r="D481" s="717">
        <v>47.52</v>
      </c>
      <c r="E481" s="717">
        <v>0.3</v>
      </c>
      <c r="F481" s="717">
        <v>295.92</v>
      </c>
      <c r="G481" s="717">
        <v>112.589</v>
      </c>
      <c r="H481" s="717">
        <v>0</v>
      </c>
      <c r="I481" s="717">
        <v>0</v>
      </c>
      <c r="J481" s="717">
        <v>0</v>
      </c>
      <c r="K481" s="717">
        <v>0</v>
      </c>
      <c r="L481" s="717">
        <v>0</v>
      </c>
      <c r="M481" s="719">
        <v>629.09</v>
      </c>
      <c r="N481" s="720">
        <f t="shared" si="7"/>
        <v>629.09</v>
      </c>
      <c r="O481" s="1141">
        <f>Tabla1[[#This Row],[Tarifa 2012 (Mx$/ton)]]*(1+IncrementoTarifa)</f>
        <v>660.48159100000009</v>
      </c>
      <c r="P481" s="725"/>
    </row>
    <row r="482" spans="1:16" ht="15" x14ac:dyDescent="0.25">
      <c r="A482" s="716" t="s">
        <v>1458</v>
      </c>
      <c r="B482" s="717" t="s">
        <v>1459</v>
      </c>
      <c r="C482" s="718">
        <v>507</v>
      </c>
      <c r="D482" s="717">
        <v>47.52</v>
      </c>
      <c r="E482" s="717">
        <v>0.3</v>
      </c>
      <c r="F482" s="717">
        <v>199.62</v>
      </c>
      <c r="G482" s="717">
        <v>112.589</v>
      </c>
      <c r="H482" s="717">
        <v>0</v>
      </c>
      <c r="I482" s="717">
        <v>0</v>
      </c>
      <c r="J482" s="717">
        <v>0</v>
      </c>
      <c r="K482" s="717">
        <v>0</v>
      </c>
      <c r="L482" s="717">
        <v>0</v>
      </c>
      <c r="M482" s="719">
        <v>424.37</v>
      </c>
      <c r="N482" s="720">
        <f t="shared" si="7"/>
        <v>424.37</v>
      </c>
      <c r="O482" s="1141">
        <f>Tabla1[[#This Row],[Tarifa 2012 (Mx$/ton)]]*(1+IncrementoTarifa)</f>
        <v>445.546063</v>
      </c>
      <c r="P482" s="725"/>
    </row>
    <row r="483" spans="1:16" ht="15" x14ac:dyDescent="0.25">
      <c r="A483" s="716" t="s">
        <v>1460</v>
      </c>
      <c r="B483" s="717" t="s">
        <v>1461</v>
      </c>
      <c r="C483" s="718">
        <v>662</v>
      </c>
      <c r="D483" s="717">
        <v>47.52</v>
      </c>
      <c r="E483" s="717">
        <v>0.3</v>
      </c>
      <c r="F483" s="717">
        <v>246.12</v>
      </c>
      <c r="G483" s="717">
        <v>112.589</v>
      </c>
      <c r="H483" s="717">
        <v>0</v>
      </c>
      <c r="I483" s="717">
        <v>0</v>
      </c>
      <c r="J483" s="717">
        <v>0</v>
      </c>
      <c r="K483" s="717">
        <v>0</v>
      </c>
      <c r="L483" s="717">
        <v>0</v>
      </c>
      <c r="M483" s="719">
        <v>523.22</v>
      </c>
      <c r="N483" s="720">
        <f t="shared" si="7"/>
        <v>523.22</v>
      </c>
      <c r="O483" s="1141">
        <f>Tabla1[[#This Row],[Tarifa 2012 (Mx$/ton)]]*(1+IncrementoTarifa)</f>
        <v>549.32867800000008</v>
      </c>
      <c r="P483" s="725"/>
    </row>
    <row r="484" spans="1:16" ht="15" x14ac:dyDescent="0.25">
      <c r="A484" s="716" t="s">
        <v>1462</v>
      </c>
      <c r="B484" s="717" t="s">
        <v>1463</v>
      </c>
      <c r="C484" s="718">
        <v>460</v>
      </c>
      <c r="D484" s="717">
        <v>47.52</v>
      </c>
      <c r="E484" s="717">
        <v>0.3</v>
      </c>
      <c r="F484" s="717">
        <v>185.52</v>
      </c>
      <c r="G484" s="717">
        <v>112.589</v>
      </c>
      <c r="H484" s="717">
        <v>0</v>
      </c>
      <c r="I484" s="717">
        <v>0</v>
      </c>
      <c r="J484" s="717">
        <v>0</v>
      </c>
      <c r="K484" s="717">
        <v>0</v>
      </c>
      <c r="L484" s="717">
        <v>0</v>
      </c>
      <c r="M484" s="719">
        <v>394.4</v>
      </c>
      <c r="N484" s="720">
        <f t="shared" si="7"/>
        <v>394.4</v>
      </c>
      <c r="O484" s="1141">
        <f>Tabla1[[#This Row],[Tarifa 2012 (Mx$/ton)]]*(1+IncrementoTarifa)</f>
        <v>414.08055999999999</v>
      </c>
      <c r="P484" s="725"/>
    </row>
    <row r="485" spans="1:16" ht="15" x14ac:dyDescent="0.25">
      <c r="A485" s="716" t="s">
        <v>1464</v>
      </c>
      <c r="B485" s="717" t="s">
        <v>1465</v>
      </c>
      <c r="C485" s="718">
        <v>1460</v>
      </c>
      <c r="D485" s="717">
        <v>47.52</v>
      </c>
      <c r="E485" s="717">
        <v>0.3</v>
      </c>
      <c r="F485" s="717">
        <v>485.52</v>
      </c>
      <c r="G485" s="717">
        <v>112.589</v>
      </c>
      <c r="H485" s="717">
        <v>0</v>
      </c>
      <c r="I485" s="717">
        <v>0</v>
      </c>
      <c r="J485" s="717">
        <v>0</v>
      </c>
      <c r="K485" s="717">
        <v>0</v>
      </c>
      <c r="L485" s="717">
        <v>0</v>
      </c>
      <c r="M485" s="719">
        <v>1032.1600000000001</v>
      </c>
      <c r="N485" s="720">
        <f t="shared" si="7"/>
        <v>1032.1600000000001</v>
      </c>
      <c r="O485" s="1141">
        <f>Tabla1[[#This Row],[Tarifa 2012 (Mx$/ton)]]*(1+IncrementoTarifa)</f>
        <v>1083.6647840000001</v>
      </c>
      <c r="P485" s="725"/>
    </row>
    <row r="486" spans="1:16" ht="15" x14ac:dyDescent="0.25">
      <c r="A486" s="716" t="s">
        <v>1466</v>
      </c>
      <c r="B486" s="717" t="s">
        <v>1467</v>
      </c>
      <c r="C486" s="718">
        <v>490</v>
      </c>
      <c r="D486" s="717">
        <v>47.52</v>
      </c>
      <c r="E486" s="717">
        <v>0.3</v>
      </c>
      <c r="F486" s="717">
        <v>194.52</v>
      </c>
      <c r="G486" s="717">
        <v>112.589</v>
      </c>
      <c r="H486" s="717">
        <v>0</v>
      </c>
      <c r="I486" s="717">
        <v>0</v>
      </c>
      <c r="J486" s="717">
        <v>0</v>
      </c>
      <c r="K486" s="717">
        <v>0</v>
      </c>
      <c r="L486" s="717">
        <v>0</v>
      </c>
      <c r="M486" s="719">
        <v>413.53</v>
      </c>
      <c r="N486" s="720">
        <f t="shared" si="7"/>
        <v>413.53</v>
      </c>
      <c r="O486" s="1141">
        <f>Tabla1[[#This Row],[Tarifa 2012 (Mx$/ton)]]*(1+IncrementoTarifa)</f>
        <v>434.16514699999999</v>
      </c>
      <c r="P486" s="725"/>
    </row>
    <row r="487" spans="1:16" ht="15" x14ac:dyDescent="0.25">
      <c r="A487" s="716" t="s">
        <v>550</v>
      </c>
      <c r="B487" s="717" t="s">
        <v>1468</v>
      </c>
      <c r="C487" s="718">
        <v>356</v>
      </c>
      <c r="D487" s="717">
        <v>47.52</v>
      </c>
      <c r="E487" s="717">
        <v>0.3</v>
      </c>
      <c r="F487" s="717">
        <v>154.32</v>
      </c>
      <c r="G487" s="717">
        <v>112.589</v>
      </c>
      <c r="H487" s="717">
        <v>0</v>
      </c>
      <c r="I487" s="717">
        <v>0</v>
      </c>
      <c r="J487" s="717">
        <v>0</v>
      </c>
      <c r="K487" s="717">
        <v>0</v>
      </c>
      <c r="L487" s="717">
        <v>0</v>
      </c>
      <c r="M487" s="719">
        <v>328.07</v>
      </c>
      <c r="N487" s="720">
        <f t="shared" si="7"/>
        <v>328.07</v>
      </c>
      <c r="O487" s="1141">
        <f>Tabla1[[#This Row],[Tarifa 2012 (Mx$/ton)]]*(1+IncrementoTarifa)</f>
        <v>344.44069300000001</v>
      </c>
      <c r="P487" s="725"/>
    </row>
    <row r="488" spans="1:16" ht="15" x14ac:dyDescent="0.25">
      <c r="A488" s="716" t="s">
        <v>1469</v>
      </c>
      <c r="B488" s="717" t="s">
        <v>1373</v>
      </c>
      <c r="C488" s="718">
        <v>400</v>
      </c>
      <c r="D488" s="717">
        <v>47.52</v>
      </c>
      <c r="E488" s="717">
        <v>0.3</v>
      </c>
      <c r="F488" s="717">
        <v>167.52</v>
      </c>
      <c r="G488" s="717">
        <v>112.589</v>
      </c>
      <c r="H488" s="717">
        <v>0</v>
      </c>
      <c r="I488" s="717">
        <v>0</v>
      </c>
      <c r="J488" s="717">
        <v>0</v>
      </c>
      <c r="K488" s="717">
        <v>0</v>
      </c>
      <c r="L488" s="717">
        <v>0</v>
      </c>
      <c r="M488" s="719">
        <v>356.13</v>
      </c>
      <c r="N488" s="720">
        <f t="shared" si="7"/>
        <v>356.13</v>
      </c>
      <c r="O488" s="1141">
        <f>Tabla1[[#This Row],[Tarifa 2012 (Mx$/ton)]]*(1+IncrementoTarifa)</f>
        <v>373.90088700000001</v>
      </c>
      <c r="P488" s="725"/>
    </row>
    <row r="489" spans="1:16" ht="15" x14ac:dyDescent="0.25">
      <c r="A489" s="716" t="s">
        <v>551</v>
      </c>
      <c r="B489" s="717" t="s">
        <v>1470</v>
      </c>
      <c r="C489" s="718">
        <v>290</v>
      </c>
      <c r="D489" s="717">
        <v>47.52</v>
      </c>
      <c r="E489" s="717">
        <v>0.3</v>
      </c>
      <c r="F489" s="717">
        <v>134.52000000000001</v>
      </c>
      <c r="G489" s="717">
        <v>112.589</v>
      </c>
      <c r="H489" s="717">
        <v>0</v>
      </c>
      <c r="I489" s="717">
        <v>0</v>
      </c>
      <c r="J489" s="717">
        <v>0</v>
      </c>
      <c r="K489" s="717">
        <v>0</v>
      </c>
      <c r="L489" s="717">
        <v>0</v>
      </c>
      <c r="M489" s="719">
        <v>285.97000000000003</v>
      </c>
      <c r="N489" s="720">
        <f t="shared" si="7"/>
        <v>285.97000000000003</v>
      </c>
      <c r="O489" s="1141">
        <f>Tabla1[[#This Row],[Tarifa 2012 (Mx$/ton)]]*(1+IncrementoTarifa)</f>
        <v>300.23990300000003</v>
      </c>
      <c r="P489" s="725"/>
    </row>
    <row r="490" spans="1:16" ht="15" x14ac:dyDescent="0.25">
      <c r="A490" s="716" t="s">
        <v>552</v>
      </c>
      <c r="B490" s="717" t="s">
        <v>1471</v>
      </c>
      <c r="C490" s="718">
        <v>265</v>
      </c>
      <c r="D490" s="717">
        <v>47.52</v>
      </c>
      <c r="E490" s="717">
        <v>0.3</v>
      </c>
      <c r="F490" s="717">
        <v>127.02</v>
      </c>
      <c r="G490" s="717">
        <v>112.589</v>
      </c>
      <c r="H490" s="717">
        <v>0</v>
      </c>
      <c r="I490" s="717">
        <v>0</v>
      </c>
      <c r="J490" s="717">
        <v>0</v>
      </c>
      <c r="K490" s="717">
        <v>0</v>
      </c>
      <c r="L490" s="717">
        <v>0</v>
      </c>
      <c r="M490" s="719">
        <v>270.02999999999997</v>
      </c>
      <c r="N490" s="720">
        <f t="shared" si="7"/>
        <v>270.02999999999997</v>
      </c>
      <c r="O490" s="1141">
        <f>Tabla1[[#This Row],[Tarifa 2012 (Mx$/ton)]]*(1+IncrementoTarifa)</f>
        <v>283.50449699999996</v>
      </c>
      <c r="P490" s="725"/>
    </row>
    <row r="491" spans="1:16" ht="15" x14ac:dyDescent="0.25">
      <c r="A491" s="716" t="s">
        <v>553</v>
      </c>
      <c r="B491" s="717" t="s">
        <v>1472</v>
      </c>
      <c r="C491" s="718">
        <v>281</v>
      </c>
      <c r="D491" s="717">
        <v>47.52</v>
      </c>
      <c r="E491" s="717">
        <v>0.3</v>
      </c>
      <c r="F491" s="717">
        <v>131.82</v>
      </c>
      <c r="G491" s="717">
        <v>112.589</v>
      </c>
      <c r="H491" s="717">
        <v>0</v>
      </c>
      <c r="I491" s="717">
        <v>0</v>
      </c>
      <c r="J491" s="717">
        <v>0</v>
      </c>
      <c r="K491" s="717">
        <v>0</v>
      </c>
      <c r="L491" s="717">
        <v>0</v>
      </c>
      <c r="M491" s="719">
        <v>280.23</v>
      </c>
      <c r="N491" s="720">
        <f t="shared" si="7"/>
        <v>280.23</v>
      </c>
      <c r="O491" s="1141">
        <f>Tabla1[[#This Row],[Tarifa 2012 (Mx$/ton)]]*(1+IncrementoTarifa)</f>
        <v>294.21347700000001</v>
      </c>
      <c r="P491" s="725"/>
    </row>
    <row r="492" spans="1:16" ht="15" x14ac:dyDescent="0.25">
      <c r="A492" s="716" t="s">
        <v>554</v>
      </c>
      <c r="B492" s="717" t="s">
        <v>1473</v>
      </c>
      <c r="C492" s="718">
        <v>379</v>
      </c>
      <c r="D492" s="717">
        <v>47.52</v>
      </c>
      <c r="E492" s="717">
        <v>0.3</v>
      </c>
      <c r="F492" s="717">
        <v>161.22</v>
      </c>
      <c r="G492" s="717">
        <v>112.589</v>
      </c>
      <c r="H492" s="717">
        <v>0</v>
      </c>
      <c r="I492" s="717">
        <v>0</v>
      </c>
      <c r="J492" s="717">
        <v>0</v>
      </c>
      <c r="K492" s="717">
        <v>0</v>
      </c>
      <c r="L492" s="717">
        <v>0</v>
      </c>
      <c r="M492" s="719">
        <v>342.74</v>
      </c>
      <c r="N492" s="720">
        <f t="shared" si="7"/>
        <v>342.74</v>
      </c>
      <c r="O492" s="1141">
        <f>Tabla1[[#This Row],[Tarifa 2012 (Mx$/ton)]]*(1+IncrementoTarifa)</f>
        <v>359.84272600000003</v>
      </c>
      <c r="P492" s="725"/>
    </row>
    <row r="493" spans="1:16" ht="15" x14ac:dyDescent="0.25">
      <c r="A493" s="716" t="s">
        <v>1474</v>
      </c>
      <c r="B493" s="717" t="s">
        <v>1475</v>
      </c>
      <c r="C493" s="718">
        <v>443</v>
      </c>
      <c r="D493" s="717">
        <v>47.52</v>
      </c>
      <c r="E493" s="717">
        <v>0.3</v>
      </c>
      <c r="F493" s="717">
        <v>180.42</v>
      </c>
      <c r="G493" s="717">
        <v>112.589</v>
      </c>
      <c r="H493" s="717">
        <v>0</v>
      </c>
      <c r="I493" s="717">
        <v>0</v>
      </c>
      <c r="J493" s="717">
        <v>0</v>
      </c>
      <c r="K493" s="717">
        <v>0</v>
      </c>
      <c r="L493" s="717">
        <v>0</v>
      </c>
      <c r="M493" s="719">
        <v>383.55</v>
      </c>
      <c r="N493" s="720">
        <f t="shared" si="7"/>
        <v>383.55</v>
      </c>
      <c r="O493" s="1141">
        <f>Tabla1[[#This Row],[Tarifa 2012 (Mx$/ton)]]*(1+IncrementoTarifa)</f>
        <v>402.68914500000005</v>
      </c>
      <c r="P493" s="725"/>
    </row>
    <row r="494" spans="1:16" ht="15" x14ac:dyDescent="0.25">
      <c r="A494" s="716" t="s">
        <v>555</v>
      </c>
      <c r="B494" s="717" t="s">
        <v>1476</v>
      </c>
      <c r="C494" s="718">
        <v>620</v>
      </c>
      <c r="D494" s="717">
        <v>47.52</v>
      </c>
      <c r="E494" s="717">
        <v>0.3</v>
      </c>
      <c r="F494" s="717">
        <v>233.52</v>
      </c>
      <c r="G494" s="717">
        <v>112.589</v>
      </c>
      <c r="H494" s="717">
        <v>-35.746000000000002</v>
      </c>
      <c r="I494" s="717">
        <v>0</v>
      </c>
      <c r="J494" s="717">
        <v>0</v>
      </c>
      <c r="K494" s="717">
        <v>0</v>
      </c>
      <c r="L494" s="717">
        <v>0</v>
      </c>
      <c r="M494" s="719">
        <v>412.96</v>
      </c>
      <c r="N494" s="720">
        <f t="shared" si="7"/>
        <v>412.96</v>
      </c>
      <c r="O494" s="1141">
        <f>Tabla1[[#This Row],[Tarifa 2012 (Mx$/ton)]]*(1+IncrementoTarifa)</f>
        <v>433.56670400000002</v>
      </c>
      <c r="P494" s="725"/>
    </row>
    <row r="495" spans="1:16" ht="15" x14ac:dyDescent="0.25">
      <c r="A495" s="716" t="s">
        <v>1477</v>
      </c>
      <c r="B495" s="717" t="s">
        <v>1366</v>
      </c>
      <c r="C495" s="718">
        <v>541</v>
      </c>
      <c r="D495" s="717">
        <v>47.52</v>
      </c>
      <c r="E495" s="717">
        <v>0.3</v>
      </c>
      <c r="F495" s="717">
        <v>209.82</v>
      </c>
      <c r="G495" s="717">
        <v>112.589</v>
      </c>
      <c r="H495" s="717">
        <v>0</v>
      </c>
      <c r="I495" s="717">
        <v>0</v>
      </c>
      <c r="J495" s="717">
        <v>0</v>
      </c>
      <c r="K495" s="717">
        <v>0</v>
      </c>
      <c r="L495" s="717">
        <v>0</v>
      </c>
      <c r="M495" s="719">
        <v>446.05</v>
      </c>
      <c r="N495" s="720">
        <f t="shared" si="7"/>
        <v>446.05</v>
      </c>
      <c r="O495" s="1141">
        <f>Tabla1[[#This Row],[Tarifa 2012 (Mx$/ton)]]*(1+IncrementoTarifa)</f>
        <v>468.30789500000003</v>
      </c>
      <c r="P495" s="725"/>
    </row>
    <row r="496" spans="1:16" ht="15" x14ac:dyDescent="0.25">
      <c r="A496" s="716" t="s">
        <v>1478</v>
      </c>
      <c r="B496" s="717" t="s">
        <v>1479</v>
      </c>
      <c r="C496" s="718">
        <v>460</v>
      </c>
      <c r="D496" s="717">
        <v>47.52</v>
      </c>
      <c r="E496" s="717">
        <v>0.3</v>
      </c>
      <c r="F496" s="717">
        <v>185.52</v>
      </c>
      <c r="G496" s="717">
        <v>112.589</v>
      </c>
      <c r="H496" s="717">
        <v>0</v>
      </c>
      <c r="I496" s="717">
        <v>0</v>
      </c>
      <c r="J496" s="717">
        <v>0</v>
      </c>
      <c r="K496" s="717">
        <v>0</v>
      </c>
      <c r="L496" s="717">
        <v>0</v>
      </c>
      <c r="M496" s="719">
        <v>394.4</v>
      </c>
      <c r="N496" s="720">
        <f t="shared" si="7"/>
        <v>394.4</v>
      </c>
      <c r="O496" s="1141">
        <f>Tabla1[[#This Row],[Tarifa 2012 (Mx$/ton)]]*(1+IncrementoTarifa)</f>
        <v>414.08055999999999</v>
      </c>
      <c r="P496" s="725"/>
    </row>
    <row r="497" spans="1:16" ht="15" x14ac:dyDescent="0.25">
      <c r="A497" s="716" t="s">
        <v>1480</v>
      </c>
      <c r="B497" s="717" t="s">
        <v>1481</v>
      </c>
      <c r="C497" s="718">
        <v>575</v>
      </c>
      <c r="D497" s="717">
        <v>47.52</v>
      </c>
      <c r="E497" s="717">
        <v>0.3</v>
      </c>
      <c r="F497" s="717">
        <v>220.02</v>
      </c>
      <c r="G497" s="717">
        <v>112.589</v>
      </c>
      <c r="H497" s="717">
        <v>0</v>
      </c>
      <c r="I497" s="717">
        <v>0</v>
      </c>
      <c r="J497" s="717">
        <v>0</v>
      </c>
      <c r="K497" s="717">
        <v>0</v>
      </c>
      <c r="L497" s="717">
        <v>0</v>
      </c>
      <c r="M497" s="719">
        <v>467.74</v>
      </c>
      <c r="N497" s="720">
        <f t="shared" si="7"/>
        <v>467.74</v>
      </c>
      <c r="O497" s="1141">
        <f>Tabla1[[#This Row],[Tarifa 2012 (Mx$/ton)]]*(1+IncrementoTarifa)</f>
        <v>491.08022600000004</v>
      </c>
      <c r="P497" s="725"/>
    </row>
    <row r="498" spans="1:16" ht="15" x14ac:dyDescent="0.25">
      <c r="A498" s="716" t="s">
        <v>1482</v>
      </c>
      <c r="B498" s="717" t="s">
        <v>1483</v>
      </c>
      <c r="C498" s="718">
        <v>560</v>
      </c>
      <c r="D498" s="717">
        <v>47.52</v>
      </c>
      <c r="E498" s="717">
        <v>0.3</v>
      </c>
      <c r="F498" s="717">
        <v>215.52</v>
      </c>
      <c r="G498" s="717">
        <v>112.589</v>
      </c>
      <c r="H498" s="717">
        <v>0</v>
      </c>
      <c r="I498" s="717">
        <v>0</v>
      </c>
      <c r="J498" s="717">
        <v>0</v>
      </c>
      <c r="K498" s="717">
        <v>0</v>
      </c>
      <c r="L498" s="717">
        <v>0</v>
      </c>
      <c r="M498" s="719">
        <v>458.17</v>
      </c>
      <c r="N498" s="720">
        <f t="shared" si="7"/>
        <v>458.17</v>
      </c>
      <c r="O498" s="1141">
        <f>Tabla1[[#This Row],[Tarifa 2012 (Mx$/ton)]]*(1+IncrementoTarifa)</f>
        <v>481.03268300000002</v>
      </c>
      <c r="P498" s="725"/>
    </row>
    <row r="499" spans="1:16" ht="15" x14ac:dyDescent="0.25">
      <c r="A499" s="716" t="s">
        <v>1484</v>
      </c>
      <c r="B499" s="717" t="s">
        <v>1485</v>
      </c>
      <c r="C499" s="718">
        <v>130</v>
      </c>
      <c r="D499" s="717">
        <v>47.52</v>
      </c>
      <c r="E499" s="717">
        <v>0.3</v>
      </c>
      <c r="F499" s="717">
        <v>86.52</v>
      </c>
      <c r="G499" s="717">
        <v>112.589</v>
      </c>
      <c r="H499" s="717">
        <v>0</v>
      </c>
      <c r="I499" s="717">
        <v>0</v>
      </c>
      <c r="J499" s="717">
        <v>0</v>
      </c>
      <c r="K499" s="717">
        <v>0</v>
      </c>
      <c r="L499" s="717">
        <v>0</v>
      </c>
      <c r="M499" s="719">
        <v>183.93</v>
      </c>
      <c r="N499" s="720">
        <f t="shared" si="7"/>
        <v>183.93</v>
      </c>
      <c r="O499" s="1141">
        <f>Tabla1[[#This Row],[Tarifa 2012 (Mx$/ton)]]*(1+IncrementoTarifa)</f>
        <v>193.10810700000002</v>
      </c>
      <c r="P499" s="725"/>
    </row>
    <row r="500" spans="1:16" ht="15" x14ac:dyDescent="0.25">
      <c r="A500" s="716" t="s">
        <v>1486</v>
      </c>
      <c r="B500" s="717" t="s">
        <v>1487</v>
      </c>
      <c r="C500" s="718">
        <v>600</v>
      </c>
      <c r="D500" s="717">
        <v>47.52</v>
      </c>
      <c r="E500" s="717">
        <v>0.3</v>
      </c>
      <c r="F500" s="717">
        <v>227.52</v>
      </c>
      <c r="G500" s="717">
        <v>112.589</v>
      </c>
      <c r="H500" s="717">
        <v>0</v>
      </c>
      <c r="I500" s="717">
        <v>0</v>
      </c>
      <c r="J500" s="717">
        <v>0</v>
      </c>
      <c r="K500" s="717">
        <v>0</v>
      </c>
      <c r="L500" s="717">
        <v>0</v>
      </c>
      <c r="M500" s="719">
        <v>483.68</v>
      </c>
      <c r="N500" s="720">
        <f t="shared" si="7"/>
        <v>483.68</v>
      </c>
      <c r="O500" s="1141">
        <f>Tabla1[[#This Row],[Tarifa 2012 (Mx$/ton)]]*(1+IncrementoTarifa)</f>
        <v>507.81563200000005</v>
      </c>
      <c r="P500" s="725"/>
    </row>
    <row r="501" spans="1:16" ht="15" x14ac:dyDescent="0.25">
      <c r="A501" s="716" t="s">
        <v>1488</v>
      </c>
      <c r="B501" s="717" t="s">
        <v>1489</v>
      </c>
      <c r="C501" s="718">
        <v>571</v>
      </c>
      <c r="D501" s="717">
        <v>47.52</v>
      </c>
      <c r="E501" s="717">
        <v>0.3</v>
      </c>
      <c r="F501" s="717">
        <v>218.82</v>
      </c>
      <c r="G501" s="717">
        <v>112.589</v>
      </c>
      <c r="H501" s="717">
        <v>0</v>
      </c>
      <c r="I501" s="717">
        <v>0</v>
      </c>
      <c r="J501" s="717">
        <v>0</v>
      </c>
      <c r="K501" s="717">
        <v>0</v>
      </c>
      <c r="L501" s="717">
        <v>0</v>
      </c>
      <c r="M501" s="719">
        <v>465.19</v>
      </c>
      <c r="N501" s="720">
        <f t="shared" si="7"/>
        <v>465.19</v>
      </c>
      <c r="O501" s="1141">
        <f>Tabla1[[#This Row],[Tarifa 2012 (Mx$/ton)]]*(1+IncrementoTarifa)</f>
        <v>488.40298100000001</v>
      </c>
      <c r="P501" s="725"/>
    </row>
    <row r="502" spans="1:16" ht="15" x14ac:dyDescent="0.25">
      <c r="A502" s="716" t="s">
        <v>556</v>
      </c>
      <c r="B502" s="717" t="s">
        <v>1490</v>
      </c>
      <c r="C502" s="718">
        <v>390</v>
      </c>
      <c r="D502" s="717">
        <v>47.52</v>
      </c>
      <c r="E502" s="717">
        <v>0.3</v>
      </c>
      <c r="F502" s="717">
        <v>164.52</v>
      </c>
      <c r="G502" s="717">
        <v>112.589</v>
      </c>
      <c r="H502" s="717">
        <v>0</v>
      </c>
      <c r="I502" s="717">
        <v>0</v>
      </c>
      <c r="J502" s="717">
        <v>0</v>
      </c>
      <c r="K502" s="717">
        <v>0</v>
      </c>
      <c r="L502" s="717">
        <v>0</v>
      </c>
      <c r="M502" s="719">
        <v>349.75</v>
      </c>
      <c r="N502" s="720">
        <f t="shared" si="7"/>
        <v>349.75</v>
      </c>
      <c r="O502" s="1141">
        <f>Tabla1[[#This Row],[Tarifa 2012 (Mx$/ton)]]*(1+IncrementoTarifa)</f>
        <v>367.20252500000004</v>
      </c>
      <c r="P502" s="725"/>
    </row>
    <row r="503" spans="1:16" ht="15" x14ac:dyDescent="0.25">
      <c r="A503" s="716" t="s">
        <v>1491</v>
      </c>
      <c r="B503" s="717" t="s">
        <v>1492</v>
      </c>
      <c r="C503" s="718">
        <v>440</v>
      </c>
      <c r="D503" s="717">
        <v>47.52</v>
      </c>
      <c r="E503" s="717">
        <v>0.3</v>
      </c>
      <c r="F503" s="717">
        <v>179.52</v>
      </c>
      <c r="G503" s="717">
        <v>112.589</v>
      </c>
      <c r="H503" s="717">
        <v>0</v>
      </c>
      <c r="I503" s="717">
        <v>0</v>
      </c>
      <c r="J503" s="717">
        <v>0</v>
      </c>
      <c r="K503" s="717">
        <v>0</v>
      </c>
      <c r="L503" s="717">
        <v>0</v>
      </c>
      <c r="M503" s="719">
        <v>381.64</v>
      </c>
      <c r="N503" s="720">
        <f t="shared" si="7"/>
        <v>381.64</v>
      </c>
      <c r="O503" s="1141">
        <f>Tabla1[[#This Row],[Tarifa 2012 (Mx$/ton)]]*(1+IncrementoTarifa)</f>
        <v>400.68383599999999</v>
      </c>
      <c r="P503" s="725"/>
    </row>
    <row r="504" spans="1:16" ht="15" x14ac:dyDescent="0.25">
      <c r="A504" s="716" t="s">
        <v>1493</v>
      </c>
      <c r="B504" s="717" t="s">
        <v>1494</v>
      </c>
      <c r="C504" s="718">
        <v>450</v>
      </c>
      <c r="D504" s="717">
        <v>47.52</v>
      </c>
      <c r="E504" s="717">
        <v>0.3</v>
      </c>
      <c r="F504" s="717">
        <v>182.52</v>
      </c>
      <c r="G504" s="717">
        <v>112.589</v>
      </c>
      <c r="H504" s="717">
        <v>0</v>
      </c>
      <c r="I504" s="717">
        <v>0</v>
      </c>
      <c r="J504" s="717">
        <v>0</v>
      </c>
      <c r="K504" s="717">
        <v>0</v>
      </c>
      <c r="L504" s="717">
        <v>0</v>
      </c>
      <c r="M504" s="719">
        <v>388.02</v>
      </c>
      <c r="N504" s="720">
        <f t="shared" si="7"/>
        <v>388.02</v>
      </c>
      <c r="O504" s="1141">
        <f>Tabla1[[#This Row],[Tarifa 2012 (Mx$/ton)]]*(1+IncrementoTarifa)</f>
        <v>407.38219800000002</v>
      </c>
      <c r="P504" s="725"/>
    </row>
    <row r="505" spans="1:16" ht="15" x14ac:dyDescent="0.25">
      <c r="A505" s="716" t="s">
        <v>1495</v>
      </c>
      <c r="B505" s="717" t="s">
        <v>1496</v>
      </c>
      <c r="C505" s="718">
        <v>577</v>
      </c>
      <c r="D505" s="717">
        <v>47.52</v>
      </c>
      <c r="E505" s="717">
        <v>0.3</v>
      </c>
      <c r="F505" s="717">
        <v>220.62</v>
      </c>
      <c r="G505" s="717">
        <v>112.589</v>
      </c>
      <c r="H505" s="717">
        <v>0</v>
      </c>
      <c r="I505" s="717">
        <v>0</v>
      </c>
      <c r="J505" s="717">
        <v>0</v>
      </c>
      <c r="K505" s="717">
        <v>0</v>
      </c>
      <c r="L505" s="717">
        <v>0</v>
      </c>
      <c r="M505" s="719">
        <v>469.01</v>
      </c>
      <c r="N505" s="720">
        <f t="shared" si="7"/>
        <v>469.01</v>
      </c>
      <c r="O505" s="1141">
        <f>Tabla1[[#This Row],[Tarifa 2012 (Mx$/ton)]]*(1+IncrementoTarifa)</f>
        <v>492.41359900000003</v>
      </c>
      <c r="P505" s="725"/>
    </row>
    <row r="506" spans="1:16" ht="15" x14ac:dyDescent="0.25">
      <c r="A506" s="716" t="s">
        <v>1497</v>
      </c>
      <c r="B506" s="717" t="s">
        <v>1498</v>
      </c>
      <c r="C506" s="718">
        <v>560</v>
      </c>
      <c r="D506" s="717">
        <v>47.52</v>
      </c>
      <c r="E506" s="717">
        <v>0.3</v>
      </c>
      <c r="F506" s="717">
        <v>215.52</v>
      </c>
      <c r="G506" s="717">
        <v>112.589</v>
      </c>
      <c r="H506" s="717">
        <v>0</v>
      </c>
      <c r="I506" s="717">
        <v>0</v>
      </c>
      <c r="J506" s="717">
        <v>0</v>
      </c>
      <c r="K506" s="717">
        <v>0</v>
      </c>
      <c r="L506" s="717">
        <v>0</v>
      </c>
      <c r="M506" s="719">
        <v>458.17</v>
      </c>
      <c r="N506" s="720">
        <f t="shared" si="7"/>
        <v>458.17</v>
      </c>
      <c r="O506" s="1141">
        <f>Tabla1[[#This Row],[Tarifa 2012 (Mx$/ton)]]*(1+IncrementoTarifa)</f>
        <v>481.03268300000002</v>
      </c>
      <c r="P506" s="725"/>
    </row>
    <row r="507" spans="1:16" ht="15" x14ac:dyDescent="0.25">
      <c r="A507" s="716" t="s">
        <v>1499</v>
      </c>
      <c r="B507" s="717" t="s">
        <v>1500</v>
      </c>
      <c r="C507" s="718">
        <v>547</v>
      </c>
      <c r="D507" s="717">
        <v>47.52</v>
      </c>
      <c r="E507" s="717">
        <v>0.3</v>
      </c>
      <c r="F507" s="717">
        <v>211.62</v>
      </c>
      <c r="G507" s="717">
        <v>112.589</v>
      </c>
      <c r="H507" s="717">
        <v>0</v>
      </c>
      <c r="I507" s="717">
        <v>0</v>
      </c>
      <c r="J507" s="717">
        <v>0</v>
      </c>
      <c r="K507" s="717">
        <v>0</v>
      </c>
      <c r="L507" s="717">
        <v>0</v>
      </c>
      <c r="M507" s="719">
        <v>449.88</v>
      </c>
      <c r="N507" s="720">
        <f t="shared" si="7"/>
        <v>449.88</v>
      </c>
      <c r="O507" s="1141">
        <f>Tabla1[[#This Row],[Tarifa 2012 (Mx$/ton)]]*(1+IncrementoTarifa)</f>
        <v>472.32901200000003</v>
      </c>
      <c r="P507" s="725"/>
    </row>
    <row r="508" spans="1:16" ht="15" x14ac:dyDescent="0.25">
      <c r="A508" s="716" t="s">
        <v>1501</v>
      </c>
      <c r="B508" s="717" t="s">
        <v>1502</v>
      </c>
      <c r="C508" s="718">
        <v>480</v>
      </c>
      <c r="D508" s="717">
        <v>47.52</v>
      </c>
      <c r="E508" s="717">
        <v>0.3</v>
      </c>
      <c r="F508" s="717">
        <v>191.52</v>
      </c>
      <c r="G508" s="717">
        <v>112.589</v>
      </c>
      <c r="H508" s="717">
        <v>0</v>
      </c>
      <c r="I508" s="717">
        <v>0</v>
      </c>
      <c r="J508" s="717">
        <v>0</v>
      </c>
      <c r="K508" s="717">
        <v>0</v>
      </c>
      <c r="L508" s="717">
        <v>0</v>
      </c>
      <c r="M508" s="719">
        <v>407.15</v>
      </c>
      <c r="N508" s="720">
        <f t="shared" si="7"/>
        <v>407.15</v>
      </c>
      <c r="O508" s="1141">
        <f>Tabla1[[#This Row],[Tarifa 2012 (Mx$/ton)]]*(1+IncrementoTarifa)</f>
        <v>427.46678500000002</v>
      </c>
      <c r="P508" s="725"/>
    </row>
    <row r="509" spans="1:16" ht="15" x14ac:dyDescent="0.25">
      <c r="A509" s="716" t="s">
        <v>1503</v>
      </c>
      <c r="B509" s="717" t="s">
        <v>1504</v>
      </c>
      <c r="C509" s="718">
        <v>560</v>
      </c>
      <c r="D509" s="717">
        <v>47.52</v>
      </c>
      <c r="E509" s="717">
        <v>0.3</v>
      </c>
      <c r="F509" s="717">
        <v>215.52</v>
      </c>
      <c r="G509" s="717">
        <v>112.589</v>
      </c>
      <c r="H509" s="717">
        <v>0</v>
      </c>
      <c r="I509" s="717">
        <v>0</v>
      </c>
      <c r="J509" s="717">
        <v>0</v>
      </c>
      <c r="K509" s="717">
        <v>0</v>
      </c>
      <c r="L509" s="717">
        <v>0</v>
      </c>
      <c r="M509" s="719">
        <v>458.17</v>
      </c>
      <c r="N509" s="720">
        <f t="shared" si="7"/>
        <v>458.17</v>
      </c>
      <c r="O509" s="1141">
        <f>Tabla1[[#This Row],[Tarifa 2012 (Mx$/ton)]]*(1+IncrementoTarifa)</f>
        <v>481.03268300000002</v>
      </c>
      <c r="P509" s="725"/>
    </row>
    <row r="510" spans="1:16" ht="15" x14ac:dyDescent="0.25">
      <c r="A510" s="716" t="s">
        <v>1505</v>
      </c>
      <c r="B510" s="717" t="s">
        <v>1506</v>
      </c>
      <c r="C510" s="718">
        <v>190</v>
      </c>
      <c r="D510" s="717">
        <v>47.52</v>
      </c>
      <c r="E510" s="717">
        <v>0.3</v>
      </c>
      <c r="F510" s="717">
        <v>104.52</v>
      </c>
      <c r="G510" s="717">
        <v>112.589</v>
      </c>
      <c r="H510" s="717">
        <v>0</v>
      </c>
      <c r="I510" s="717">
        <v>0</v>
      </c>
      <c r="J510" s="717">
        <v>0</v>
      </c>
      <c r="K510" s="717">
        <v>0</v>
      </c>
      <c r="L510" s="717">
        <v>0</v>
      </c>
      <c r="M510" s="719">
        <v>222.2</v>
      </c>
      <c r="N510" s="720">
        <f t="shared" si="7"/>
        <v>222.2</v>
      </c>
      <c r="O510" s="1141">
        <f>Tabla1[[#This Row],[Tarifa 2012 (Mx$/ton)]]*(1+IncrementoTarifa)</f>
        <v>233.28778</v>
      </c>
      <c r="P510" s="725"/>
    </row>
    <row r="511" spans="1:16" ht="15" x14ac:dyDescent="0.25">
      <c r="A511" s="716" t="s">
        <v>1507</v>
      </c>
      <c r="B511" s="717" t="s">
        <v>1508</v>
      </c>
      <c r="C511" s="718">
        <v>518</v>
      </c>
      <c r="D511" s="717">
        <v>47.52</v>
      </c>
      <c r="E511" s="717">
        <v>0.3</v>
      </c>
      <c r="F511" s="717">
        <v>202.92</v>
      </c>
      <c r="G511" s="717">
        <v>112.589</v>
      </c>
      <c r="H511" s="717">
        <v>0</v>
      </c>
      <c r="I511" s="717">
        <v>0</v>
      </c>
      <c r="J511" s="717">
        <v>0</v>
      </c>
      <c r="K511" s="717">
        <v>0</v>
      </c>
      <c r="L511" s="717">
        <v>0</v>
      </c>
      <c r="M511" s="719">
        <v>431.39</v>
      </c>
      <c r="N511" s="720">
        <f t="shared" si="7"/>
        <v>431.39</v>
      </c>
      <c r="O511" s="1141">
        <f>Tabla1[[#This Row],[Tarifa 2012 (Mx$/ton)]]*(1+IncrementoTarifa)</f>
        <v>452.91636099999999</v>
      </c>
      <c r="P511" s="725"/>
    </row>
    <row r="512" spans="1:16" ht="15" x14ac:dyDescent="0.25">
      <c r="A512" s="716" t="s">
        <v>1509</v>
      </c>
      <c r="B512" s="717" t="s">
        <v>1510</v>
      </c>
      <c r="C512" s="718">
        <v>577</v>
      </c>
      <c r="D512" s="717">
        <v>47.52</v>
      </c>
      <c r="E512" s="717">
        <v>0.3</v>
      </c>
      <c r="F512" s="717">
        <v>220.62</v>
      </c>
      <c r="G512" s="717">
        <v>112.589</v>
      </c>
      <c r="H512" s="717">
        <v>0</v>
      </c>
      <c r="I512" s="717">
        <v>0</v>
      </c>
      <c r="J512" s="717">
        <v>0</v>
      </c>
      <c r="K512" s="717">
        <v>0</v>
      </c>
      <c r="L512" s="717">
        <v>0</v>
      </c>
      <c r="M512" s="719">
        <v>469.01</v>
      </c>
      <c r="N512" s="720">
        <f t="shared" si="7"/>
        <v>469.01</v>
      </c>
      <c r="O512" s="1141">
        <f>Tabla1[[#This Row],[Tarifa 2012 (Mx$/ton)]]*(1+IncrementoTarifa)</f>
        <v>492.41359900000003</v>
      </c>
      <c r="P512" s="725"/>
    </row>
    <row r="513" spans="1:16" ht="15" x14ac:dyDescent="0.25">
      <c r="A513" s="716" t="s">
        <v>1511</v>
      </c>
      <c r="B513" s="717" t="s">
        <v>1512</v>
      </c>
      <c r="C513" s="718">
        <v>420</v>
      </c>
      <c r="D513" s="717">
        <v>47.52</v>
      </c>
      <c r="E513" s="717">
        <v>0.3</v>
      </c>
      <c r="F513" s="717">
        <v>0</v>
      </c>
      <c r="G513" s="717">
        <v>112.589</v>
      </c>
      <c r="H513" s="717">
        <v>0</v>
      </c>
      <c r="I513" s="717">
        <v>0</v>
      </c>
      <c r="J513" s="717">
        <v>0</v>
      </c>
      <c r="K513" s="717">
        <v>0</v>
      </c>
      <c r="L513" s="717">
        <v>0</v>
      </c>
      <c r="M513" s="719">
        <v>368.88443280000001</v>
      </c>
      <c r="N513" s="720">
        <f t="shared" si="7"/>
        <v>368.88443280000001</v>
      </c>
      <c r="O513" s="1141">
        <f>Tabla1[[#This Row],[Tarifa 2012 (Mx$/ton)]]*(1+IncrementoTarifa)</f>
        <v>387.29176599672002</v>
      </c>
      <c r="P513" s="725"/>
    </row>
    <row r="514" spans="1:16" ht="15" x14ac:dyDescent="0.25">
      <c r="A514" s="716" t="s">
        <v>1513</v>
      </c>
      <c r="B514" s="717" t="s">
        <v>1514</v>
      </c>
      <c r="C514" s="718">
        <v>168</v>
      </c>
      <c r="D514" s="717">
        <v>47.52</v>
      </c>
      <c r="E514" s="717">
        <v>0.3</v>
      </c>
      <c r="F514" s="717">
        <v>97.92</v>
      </c>
      <c r="G514" s="717">
        <v>112.589</v>
      </c>
      <c r="H514" s="717">
        <v>0</v>
      </c>
      <c r="I514" s="717">
        <v>0</v>
      </c>
      <c r="J514" s="717">
        <v>0</v>
      </c>
      <c r="K514" s="717">
        <v>0</v>
      </c>
      <c r="L514" s="717">
        <v>0</v>
      </c>
      <c r="M514" s="719">
        <v>208.17</v>
      </c>
      <c r="N514" s="720">
        <f t="shared" si="7"/>
        <v>208.17</v>
      </c>
      <c r="O514" s="1141">
        <f>Tabla1[[#This Row],[Tarifa 2012 (Mx$/ton)]]*(1+IncrementoTarifa)</f>
        <v>218.557683</v>
      </c>
      <c r="P514" s="725"/>
    </row>
    <row r="515" spans="1:16" ht="15" x14ac:dyDescent="0.25">
      <c r="A515" s="716" t="s">
        <v>1515</v>
      </c>
      <c r="B515" s="717" t="s">
        <v>1516</v>
      </c>
      <c r="C515" s="718">
        <v>219</v>
      </c>
      <c r="D515" s="717">
        <v>47.52</v>
      </c>
      <c r="E515" s="717">
        <v>0.3</v>
      </c>
      <c r="F515" s="717">
        <v>113.22</v>
      </c>
      <c r="G515" s="717">
        <v>112.589</v>
      </c>
      <c r="H515" s="717">
        <v>0</v>
      </c>
      <c r="I515" s="717">
        <v>0</v>
      </c>
      <c r="J515" s="717">
        <v>0</v>
      </c>
      <c r="K515" s="717">
        <v>0</v>
      </c>
      <c r="L515" s="717">
        <v>0</v>
      </c>
      <c r="M515" s="719">
        <v>240.69</v>
      </c>
      <c r="N515" s="720">
        <f t="shared" si="7"/>
        <v>240.69</v>
      </c>
      <c r="O515" s="1141">
        <f>Tabla1[[#This Row],[Tarifa 2012 (Mx$/ton)]]*(1+IncrementoTarifa)</f>
        <v>252.70043100000001</v>
      </c>
      <c r="P515" s="725"/>
    </row>
    <row r="516" spans="1:16" ht="15" x14ac:dyDescent="0.25">
      <c r="A516" s="716" t="s">
        <v>1517</v>
      </c>
      <c r="B516" s="717" t="s">
        <v>1518</v>
      </c>
      <c r="C516" s="718">
        <v>460</v>
      </c>
      <c r="D516" s="717">
        <v>47.52</v>
      </c>
      <c r="E516" s="717">
        <v>0.3</v>
      </c>
      <c r="F516" s="717">
        <v>185.52</v>
      </c>
      <c r="G516" s="717">
        <v>112.589</v>
      </c>
      <c r="H516" s="717">
        <v>0</v>
      </c>
      <c r="I516" s="717">
        <v>0</v>
      </c>
      <c r="J516" s="717">
        <v>0</v>
      </c>
      <c r="K516" s="717">
        <v>0</v>
      </c>
      <c r="L516" s="717">
        <v>0</v>
      </c>
      <c r="M516" s="719">
        <v>394.4</v>
      </c>
      <c r="N516" s="720">
        <f t="shared" si="7"/>
        <v>394.4</v>
      </c>
      <c r="O516" s="1141">
        <f>Tabla1[[#This Row],[Tarifa 2012 (Mx$/ton)]]*(1+IncrementoTarifa)</f>
        <v>414.08055999999999</v>
      </c>
      <c r="P516" s="725"/>
    </row>
    <row r="517" spans="1:16" ht="15" x14ac:dyDescent="0.25">
      <c r="A517" s="716" t="s">
        <v>1519</v>
      </c>
      <c r="B517" s="717" t="s">
        <v>1520</v>
      </c>
      <c r="C517" s="718">
        <v>160</v>
      </c>
      <c r="D517" s="717">
        <v>47.52</v>
      </c>
      <c r="E517" s="717">
        <v>0.3</v>
      </c>
      <c r="F517" s="717">
        <v>95.52</v>
      </c>
      <c r="G517" s="717">
        <v>112.589</v>
      </c>
      <c r="H517" s="717">
        <v>0</v>
      </c>
      <c r="I517" s="717">
        <v>0</v>
      </c>
      <c r="J517" s="717">
        <v>0</v>
      </c>
      <c r="K517" s="717">
        <v>0</v>
      </c>
      <c r="L517" s="717">
        <v>0</v>
      </c>
      <c r="M517" s="719">
        <v>203.07</v>
      </c>
      <c r="N517" s="720">
        <f t="shared" si="7"/>
        <v>203.07</v>
      </c>
      <c r="O517" s="1141">
        <f>Tabla1[[#This Row],[Tarifa 2012 (Mx$/ton)]]*(1+IncrementoTarifa)</f>
        <v>213.203193</v>
      </c>
      <c r="P517" s="725"/>
    </row>
    <row r="518" spans="1:16" ht="15" x14ac:dyDescent="0.25">
      <c r="A518" s="716" t="s">
        <v>1521</v>
      </c>
      <c r="B518" s="717" t="s">
        <v>1522</v>
      </c>
      <c r="C518" s="718">
        <v>248</v>
      </c>
      <c r="D518" s="717">
        <v>47.52</v>
      </c>
      <c r="E518" s="717">
        <v>0.3</v>
      </c>
      <c r="F518" s="717">
        <v>121.92</v>
      </c>
      <c r="G518" s="717">
        <v>112.589</v>
      </c>
      <c r="H518" s="717">
        <v>0</v>
      </c>
      <c r="I518" s="717">
        <v>0</v>
      </c>
      <c r="J518" s="717">
        <v>0</v>
      </c>
      <c r="K518" s="717">
        <v>0</v>
      </c>
      <c r="L518" s="717">
        <v>0</v>
      </c>
      <c r="M518" s="719">
        <v>259.19</v>
      </c>
      <c r="N518" s="720">
        <f t="shared" si="7"/>
        <v>259.19</v>
      </c>
      <c r="O518" s="1141">
        <f>Tabla1[[#This Row],[Tarifa 2012 (Mx$/ton)]]*(1+IncrementoTarifa)</f>
        <v>272.123581</v>
      </c>
      <c r="P518" s="725"/>
    </row>
    <row r="519" spans="1:16" ht="15" x14ac:dyDescent="0.25">
      <c r="A519" s="716" t="s">
        <v>1523</v>
      </c>
      <c r="B519" s="717" t="s">
        <v>1524</v>
      </c>
      <c r="C519" s="718">
        <v>98</v>
      </c>
      <c r="D519" s="717">
        <v>47.52</v>
      </c>
      <c r="E519" s="717">
        <v>0.3</v>
      </c>
      <c r="F519" s="717">
        <v>76.92</v>
      </c>
      <c r="G519" s="717">
        <v>112.589</v>
      </c>
      <c r="H519" s="717">
        <v>0</v>
      </c>
      <c r="I519" s="717">
        <v>0</v>
      </c>
      <c r="J519" s="717">
        <v>0</v>
      </c>
      <c r="K519" s="717">
        <v>0</v>
      </c>
      <c r="L519" s="717">
        <v>0</v>
      </c>
      <c r="M519" s="719">
        <v>163.52000000000001</v>
      </c>
      <c r="N519" s="720">
        <f t="shared" si="7"/>
        <v>163.52000000000001</v>
      </c>
      <c r="O519" s="1141">
        <f>Tabla1[[#This Row],[Tarifa 2012 (Mx$/ton)]]*(1+IncrementoTarifa)</f>
        <v>171.67964800000001</v>
      </c>
      <c r="P519" s="725"/>
    </row>
    <row r="520" spans="1:16" ht="15" x14ac:dyDescent="0.25">
      <c r="A520" s="716" t="s">
        <v>1525</v>
      </c>
      <c r="B520" s="717" t="s">
        <v>1526</v>
      </c>
      <c r="C520" s="718">
        <v>362</v>
      </c>
      <c r="D520" s="717">
        <v>47.52</v>
      </c>
      <c r="E520" s="717">
        <v>0.3</v>
      </c>
      <c r="F520" s="717">
        <v>156.12</v>
      </c>
      <c r="G520" s="717">
        <v>112.589</v>
      </c>
      <c r="H520" s="717">
        <v>0</v>
      </c>
      <c r="I520" s="717">
        <v>0</v>
      </c>
      <c r="J520" s="717">
        <v>0</v>
      </c>
      <c r="K520" s="717">
        <v>0</v>
      </c>
      <c r="L520" s="717">
        <v>0</v>
      </c>
      <c r="M520" s="719">
        <v>331.89</v>
      </c>
      <c r="N520" s="720">
        <f t="shared" si="7"/>
        <v>331.89</v>
      </c>
      <c r="O520" s="1141">
        <f>Tabla1[[#This Row],[Tarifa 2012 (Mx$/ton)]]*(1+IncrementoTarifa)</f>
        <v>348.45131100000003</v>
      </c>
      <c r="P520" s="725"/>
    </row>
    <row r="521" spans="1:16" ht="15" x14ac:dyDescent="0.25">
      <c r="A521" s="716" t="s">
        <v>1527</v>
      </c>
      <c r="B521" s="717" t="s">
        <v>1528</v>
      </c>
      <c r="C521" s="718">
        <v>160</v>
      </c>
      <c r="D521" s="717">
        <v>47.52</v>
      </c>
      <c r="E521" s="717">
        <v>0.3</v>
      </c>
      <c r="F521" s="717">
        <v>0</v>
      </c>
      <c r="G521" s="717">
        <v>112.589</v>
      </c>
      <c r="H521" s="717">
        <v>0</v>
      </c>
      <c r="I521" s="717">
        <v>0</v>
      </c>
      <c r="J521" s="717">
        <v>0</v>
      </c>
      <c r="K521" s="717">
        <v>0</v>
      </c>
      <c r="L521" s="717">
        <v>0</v>
      </c>
      <c r="M521" s="719">
        <v>203.06501280000003</v>
      </c>
      <c r="N521" s="720">
        <f t="shared" si="7"/>
        <v>203.06501280000003</v>
      </c>
      <c r="O521" s="1141">
        <f>Tabla1[[#This Row],[Tarifa 2012 (Mx$/ton)]]*(1+IncrementoTarifa)</f>
        <v>213.19795693872004</v>
      </c>
      <c r="P521" s="725"/>
    </row>
    <row r="522" spans="1:16" ht="15" x14ac:dyDescent="0.25">
      <c r="A522" s="716" t="s">
        <v>1529</v>
      </c>
      <c r="B522" s="717" t="s">
        <v>1530</v>
      </c>
      <c r="C522" s="718">
        <v>373</v>
      </c>
      <c r="D522" s="717">
        <v>47.52</v>
      </c>
      <c r="E522" s="717">
        <v>0.3</v>
      </c>
      <c r="F522" s="717">
        <v>159.41999999999999</v>
      </c>
      <c r="G522" s="717">
        <v>112.589</v>
      </c>
      <c r="H522" s="717">
        <v>0</v>
      </c>
      <c r="I522" s="717">
        <v>0</v>
      </c>
      <c r="J522" s="717">
        <v>0</v>
      </c>
      <c r="K522" s="717">
        <v>0</v>
      </c>
      <c r="L522" s="717">
        <v>0</v>
      </c>
      <c r="M522" s="719">
        <v>338.91</v>
      </c>
      <c r="N522" s="720">
        <f t="shared" si="7"/>
        <v>338.91</v>
      </c>
      <c r="O522" s="1141">
        <f>Tabla1[[#This Row],[Tarifa 2012 (Mx$/ton)]]*(1+IncrementoTarifa)</f>
        <v>355.82160900000002</v>
      </c>
      <c r="P522" s="725"/>
    </row>
    <row r="523" spans="1:16" ht="15" x14ac:dyDescent="0.25">
      <c r="A523" s="716" t="s">
        <v>1531</v>
      </c>
      <c r="B523" s="717" t="s">
        <v>1532</v>
      </c>
      <c r="C523" s="718">
        <v>111</v>
      </c>
      <c r="D523" s="717">
        <v>47.52</v>
      </c>
      <c r="E523" s="717">
        <v>0.3</v>
      </c>
      <c r="F523" s="717">
        <v>0</v>
      </c>
      <c r="G523" s="717">
        <v>112.589</v>
      </c>
      <c r="H523" s="717">
        <v>0</v>
      </c>
      <c r="I523" s="717">
        <v>0</v>
      </c>
      <c r="J523" s="717">
        <v>0</v>
      </c>
      <c r="K523" s="717">
        <v>0</v>
      </c>
      <c r="L523" s="717">
        <v>0</v>
      </c>
      <c r="M523" s="719">
        <v>171.8144298</v>
      </c>
      <c r="N523" s="720">
        <f t="shared" si="7"/>
        <v>171.8144298</v>
      </c>
      <c r="O523" s="1141">
        <f>Tabla1[[#This Row],[Tarifa 2012 (Mx$/ton)]]*(1+IncrementoTarifa)</f>
        <v>180.38796984702</v>
      </c>
      <c r="P523" s="725"/>
    </row>
    <row r="524" spans="1:16" ht="15" x14ac:dyDescent="0.25">
      <c r="A524" s="716" t="s">
        <v>1533</v>
      </c>
      <c r="B524" s="717" t="s">
        <v>1534</v>
      </c>
      <c r="C524" s="718">
        <v>535</v>
      </c>
      <c r="D524" s="717">
        <v>47.52</v>
      </c>
      <c r="E524" s="717">
        <v>0.3</v>
      </c>
      <c r="F524" s="717">
        <v>208.02</v>
      </c>
      <c r="G524" s="717">
        <v>112.589</v>
      </c>
      <c r="H524" s="717">
        <v>0</v>
      </c>
      <c r="I524" s="717">
        <v>0</v>
      </c>
      <c r="J524" s="717">
        <v>0</v>
      </c>
      <c r="K524" s="717">
        <v>0</v>
      </c>
      <c r="L524" s="717">
        <v>0</v>
      </c>
      <c r="M524" s="719">
        <v>442.23</v>
      </c>
      <c r="N524" s="720">
        <f t="shared" si="7"/>
        <v>442.23</v>
      </c>
      <c r="O524" s="1141">
        <f>Tabla1[[#This Row],[Tarifa 2012 (Mx$/ton)]]*(1+IncrementoTarifa)</f>
        <v>464.29727700000007</v>
      </c>
      <c r="P524" s="725"/>
    </row>
    <row r="525" spans="1:16" ht="15" x14ac:dyDescent="0.25">
      <c r="A525" s="716" t="s">
        <v>1535</v>
      </c>
      <c r="B525" s="717" t="s">
        <v>1536</v>
      </c>
      <c r="C525" s="718">
        <v>275</v>
      </c>
      <c r="D525" s="717">
        <v>47.52</v>
      </c>
      <c r="E525" s="717">
        <v>0.3</v>
      </c>
      <c r="F525" s="717">
        <v>130.02000000000001</v>
      </c>
      <c r="G525" s="717">
        <v>112.589</v>
      </c>
      <c r="H525" s="717">
        <v>0</v>
      </c>
      <c r="I525" s="717">
        <v>0</v>
      </c>
      <c r="J525" s="717">
        <v>0</v>
      </c>
      <c r="K525" s="717">
        <v>0</v>
      </c>
      <c r="L525" s="717">
        <v>0</v>
      </c>
      <c r="M525" s="719">
        <v>276.41000000000003</v>
      </c>
      <c r="N525" s="720">
        <f t="shared" si="7"/>
        <v>276.41000000000003</v>
      </c>
      <c r="O525" s="1141">
        <f>Tabla1[[#This Row],[Tarifa 2012 (Mx$/ton)]]*(1+IncrementoTarifa)</f>
        <v>290.20285900000005</v>
      </c>
      <c r="P525" s="725"/>
    </row>
    <row r="526" spans="1:16" ht="15" x14ac:dyDescent="0.25">
      <c r="A526" s="716" t="s">
        <v>1537</v>
      </c>
      <c r="B526" s="717" t="s">
        <v>1538</v>
      </c>
      <c r="C526" s="718">
        <v>550</v>
      </c>
      <c r="D526" s="717">
        <v>47.52</v>
      </c>
      <c r="E526" s="717">
        <v>0.3</v>
      </c>
      <c r="F526" s="717">
        <v>212.52</v>
      </c>
      <c r="G526" s="717">
        <v>112.589</v>
      </c>
      <c r="H526" s="717">
        <v>0</v>
      </c>
      <c r="I526" s="717">
        <v>0</v>
      </c>
      <c r="J526" s="717">
        <v>0</v>
      </c>
      <c r="K526" s="717">
        <v>0</v>
      </c>
      <c r="L526" s="717">
        <v>0</v>
      </c>
      <c r="M526" s="719">
        <v>451.79</v>
      </c>
      <c r="N526" s="720">
        <f t="shared" si="7"/>
        <v>451.79</v>
      </c>
      <c r="O526" s="1141">
        <f>Tabla1[[#This Row],[Tarifa 2012 (Mx$/ton)]]*(1+IncrementoTarifa)</f>
        <v>474.33432100000005</v>
      </c>
      <c r="P526" s="725"/>
    </row>
    <row r="527" spans="1:16" ht="15" x14ac:dyDescent="0.25">
      <c r="A527" s="716" t="s">
        <v>1539</v>
      </c>
      <c r="B527" s="717" t="s">
        <v>1540</v>
      </c>
      <c r="C527" s="718">
        <v>177</v>
      </c>
      <c r="D527" s="717">
        <v>47.52</v>
      </c>
      <c r="E527" s="717">
        <v>0.3</v>
      </c>
      <c r="F527" s="717">
        <v>100.62</v>
      </c>
      <c r="G527" s="717">
        <v>112.589</v>
      </c>
      <c r="H527" s="717">
        <v>0</v>
      </c>
      <c r="I527" s="717">
        <v>0</v>
      </c>
      <c r="J527" s="717">
        <v>0</v>
      </c>
      <c r="K527" s="717">
        <v>0</v>
      </c>
      <c r="L527" s="717">
        <v>0</v>
      </c>
      <c r="M527" s="719">
        <v>213.91</v>
      </c>
      <c r="N527" s="720">
        <f t="shared" si="7"/>
        <v>213.91</v>
      </c>
      <c r="O527" s="1141">
        <f>Tabla1[[#This Row],[Tarifa 2012 (Mx$/ton)]]*(1+IncrementoTarifa)</f>
        <v>224.58410900000001</v>
      </c>
      <c r="P527" s="725"/>
    </row>
    <row r="528" spans="1:16" ht="15" x14ac:dyDescent="0.25">
      <c r="A528" s="716" t="s">
        <v>1541</v>
      </c>
      <c r="B528" s="717" t="s">
        <v>1542</v>
      </c>
      <c r="C528" s="718">
        <v>114</v>
      </c>
      <c r="D528" s="717">
        <v>47.52</v>
      </c>
      <c r="E528" s="717">
        <v>0.3</v>
      </c>
      <c r="F528" s="717">
        <v>81.72</v>
      </c>
      <c r="G528" s="717">
        <v>112.589</v>
      </c>
      <c r="H528" s="717">
        <v>0</v>
      </c>
      <c r="I528" s="717">
        <v>0</v>
      </c>
      <c r="J528" s="717">
        <v>0</v>
      </c>
      <c r="K528" s="717">
        <v>0</v>
      </c>
      <c r="L528" s="717">
        <v>0</v>
      </c>
      <c r="M528" s="719">
        <v>173.73</v>
      </c>
      <c r="N528" s="720">
        <f t="shared" si="7"/>
        <v>173.73</v>
      </c>
      <c r="O528" s="1141">
        <f>Tabla1[[#This Row],[Tarifa 2012 (Mx$/ton)]]*(1+IncrementoTarifa)</f>
        <v>182.39912699999999</v>
      </c>
      <c r="P528" s="725"/>
    </row>
    <row r="529" spans="1:16" ht="15" x14ac:dyDescent="0.25">
      <c r="A529" s="716" t="s">
        <v>1543</v>
      </c>
      <c r="B529" s="717" t="s">
        <v>1544</v>
      </c>
      <c r="C529" s="718">
        <v>85</v>
      </c>
      <c r="D529" s="717">
        <v>47.52</v>
      </c>
      <c r="E529" s="717">
        <v>0.3</v>
      </c>
      <c r="F529" s="717">
        <v>73.02</v>
      </c>
      <c r="G529" s="717">
        <v>112.589</v>
      </c>
      <c r="H529" s="717">
        <v>0</v>
      </c>
      <c r="I529" s="717">
        <v>0</v>
      </c>
      <c r="J529" s="717">
        <v>0</v>
      </c>
      <c r="K529" s="717">
        <v>0</v>
      </c>
      <c r="L529" s="717">
        <v>0</v>
      </c>
      <c r="M529" s="719">
        <v>155.22999999999999</v>
      </c>
      <c r="N529" s="720">
        <f t="shared" ref="N529:N593" si="8">M529*(1+$O$2)</f>
        <v>155.22999999999999</v>
      </c>
      <c r="O529" s="1141">
        <f>Tabla1[[#This Row],[Tarifa 2012 (Mx$/ton)]]*(1+IncrementoTarifa)</f>
        <v>162.975977</v>
      </c>
      <c r="P529" s="725"/>
    </row>
    <row r="530" spans="1:16" ht="15" x14ac:dyDescent="0.25">
      <c r="A530" s="716" t="s">
        <v>1545</v>
      </c>
      <c r="B530" s="717" t="s">
        <v>1546</v>
      </c>
      <c r="C530" s="718">
        <v>141</v>
      </c>
      <c r="D530" s="717">
        <v>47.52</v>
      </c>
      <c r="E530" s="717">
        <v>0.3</v>
      </c>
      <c r="F530" s="717">
        <v>89.82</v>
      </c>
      <c r="G530" s="717">
        <v>112.589</v>
      </c>
      <c r="H530" s="717">
        <v>136.57599999999999</v>
      </c>
      <c r="I530" s="717">
        <v>0</v>
      </c>
      <c r="J530" s="717">
        <v>0</v>
      </c>
      <c r="K530" s="717">
        <v>0</v>
      </c>
      <c r="L530" s="717">
        <v>0</v>
      </c>
      <c r="M530" s="719">
        <v>313.62</v>
      </c>
      <c r="N530" s="720">
        <f t="shared" si="8"/>
        <v>313.62</v>
      </c>
      <c r="O530" s="1141">
        <f>Tabla1[[#This Row],[Tarifa 2012 (Mx$/ton)]]*(1+IncrementoTarifa)</f>
        <v>329.26963800000004</v>
      </c>
      <c r="P530" s="725"/>
    </row>
    <row r="531" spans="1:16" ht="15" x14ac:dyDescent="0.25">
      <c r="A531" s="716" t="s">
        <v>1547</v>
      </c>
      <c r="B531" s="717" t="s">
        <v>1548</v>
      </c>
      <c r="C531" s="718">
        <v>222</v>
      </c>
      <c r="D531" s="717">
        <v>47.52</v>
      </c>
      <c r="E531" s="717">
        <v>0.3</v>
      </c>
      <c r="F531" s="717">
        <v>114.12</v>
      </c>
      <c r="G531" s="717">
        <v>112.589</v>
      </c>
      <c r="H531" s="717">
        <v>0</v>
      </c>
      <c r="I531" s="717">
        <v>0</v>
      </c>
      <c r="J531" s="717">
        <v>0</v>
      </c>
      <c r="K531" s="717">
        <v>0</v>
      </c>
      <c r="L531" s="717">
        <v>0</v>
      </c>
      <c r="M531" s="719">
        <v>242.61</v>
      </c>
      <c r="N531" s="720">
        <f t="shared" si="8"/>
        <v>242.61</v>
      </c>
      <c r="O531" s="1141">
        <f>Tabla1[[#This Row],[Tarifa 2012 (Mx$/ton)]]*(1+IncrementoTarifa)</f>
        <v>254.71623900000003</v>
      </c>
      <c r="P531" s="725"/>
    </row>
    <row r="532" spans="1:16" ht="15" x14ac:dyDescent="0.25">
      <c r="A532" s="716" t="s">
        <v>1549</v>
      </c>
      <c r="B532" s="717" t="s">
        <v>1550</v>
      </c>
      <c r="C532" s="718">
        <v>261</v>
      </c>
      <c r="D532" s="717">
        <v>47.52</v>
      </c>
      <c r="E532" s="717">
        <v>0.3</v>
      </c>
      <c r="F532" s="717">
        <v>125.82</v>
      </c>
      <c r="G532" s="717">
        <v>112.589</v>
      </c>
      <c r="H532" s="717">
        <v>0</v>
      </c>
      <c r="I532" s="717">
        <v>0</v>
      </c>
      <c r="J532" s="717">
        <v>0</v>
      </c>
      <c r="K532" s="717">
        <v>0</v>
      </c>
      <c r="L532" s="717">
        <v>0</v>
      </c>
      <c r="M532" s="719">
        <v>267.48</v>
      </c>
      <c r="N532" s="720">
        <f t="shared" si="8"/>
        <v>267.48</v>
      </c>
      <c r="O532" s="1141">
        <f>Tabla1[[#This Row],[Tarifa 2012 (Mx$/ton)]]*(1+IncrementoTarifa)</f>
        <v>280.82725200000004</v>
      </c>
      <c r="P532" s="725"/>
    </row>
    <row r="533" spans="1:16" ht="15" x14ac:dyDescent="0.25">
      <c r="A533" s="716" t="s">
        <v>557</v>
      </c>
      <c r="B533" s="717" t="s">
        <v>1551</v>
      </c>
      <c r="C533" s="718">
        <v>195</v>
      </c>
      <c r="D533" s="717">
        <v>47.52</v>
      </c>
      <c r="E533" s="717">
        <v>0.3</v>
      </c>
      <c r="F533" s="717">
        <v>106.02</v>
      </c>
      <c r="G533" s="717">
        <v>112.589</v>
      </c>
      <c r="H533" s="717">
        <v>0</v>
      </c>
      <c r="I533" s="717">
        <v>0</v>
      </c>
      <c r="J533" s="717">
        <v>0</v>
      </c>
      <c r="K533" s="717">
        <v>0</v>
      </c>
      <c r="L533" s="717">
        <v>0</v>
      </c>
      <c r="M533" s="719">
        <v>225.39</v>
      </c>
      <c r="N533" s="720">
        <f t="shared" si="8"/>
        <v>225.39</v>
      </c>
      <c r="O533" s="1141">
        <f>Tabla1[[#This Row],[Tarifa 2012 (Mx$/ton)]]*(1+IncrementoTarifa)</f>
        <v>236.63696099999999</v>
      </c>
      <c r="P533" s="725"/>
    </row>
    <row r="534" spans="1:16" ht="15" x14ac:dyDescent="0.25">
      <c r="A534" s="716" t="s">
        <v>558</v>
      </c>
      <c r="B534" s="717" t="s">
        <v>1552</v>
      </c>
      <c r="C534" s="718">
        <v>22</v>
      </c>
      <c r="D534" s="717">
        <v>47.52</v>
      </c>
      <c r="E534" s="717">
        <v>0.3</v>
      </c>
      <c r="F534" s="717">
        <v>54.12</v>
      </c>
      <c r="G534" s="717">
        <v>112.589</v>
      </c>
      <c r="H534" s="717">
        <v>0</v>
      </c>
      <c r="I534" s="717">
        <v>0</v>
      </c>
      <c r="J534" s="717">
        <v>0</v>
      </c>
      <c r="K534" s="717">
        <v>0</v>
      </c>
      <c r="L534" s="717">
        <v>0</v>
      </c>
      <c r="M534" s="719">
        <v>115.05</v>
      </c>
      <c r="N534" s="720">
        <f t="shared" si="8"/>
        <v>115.05</v>
      </c>
      <c r="O534" s="1141">
        <f>Tabla1[[#This Row],[Tarifa 2012 (Mx$/ton)]]*(1+IncrementoTarifa)</f>
        <v>120.79099500000001</v>
      </c>
      <c r="P534" s="725"/>
    </row>
    <row r="535" spans="1:16" ht="15" x14ac:dyDescent="0.25">
      <c r="A535" s="716" t="s">
        <v>1553</v>
      </c>
      <c r="B535" s="717" t="s">
        <v>1554</v>
      </c>
      <c r="C535" s="718">
        <v>108</v>
      </c>
      <c r="D535" s="717">
        <v>47.52</v>
      </c>
      <c r="E535" s="717">
        <v>0.3</v>
      </c>
      <c r="F535" s="717">
        <v>79.92</v>
      </c>
      <c r="G535" s="717">
        <v>112.589</v>
      </c>
      <c r="H535" s="717">
        <v>0</v>
      </c>
      <c r="I535" s="717">
        <v>0</v>
      </c>
      <c r="J535" s="717">
        <v>0</v>
      </c>
      <c r="K535" s="717">
        <v>0</v>
      </c>
      <c r="L535" s="717">
        <v>0</v>
      </c>
      <c r="M535" s="719">
        <v>169.9</v>
      </c>
      <c r="N535" s="720">
        <f t="shared" si="8"/>
        <v>169.9</v>
      </c>
      <c r="O535" s="1141">
        <f>Tabla1[[#This Row],[Tarifa 2012 (Mx$/ton)]]*(1+IncrementoTarifa)</f>
        <v>178.37801000000002</v>
      </c>
      <c r="P535" s="725"/>
    </row>
    <row r="536" spans="1:16" ht="15" x14ac:dyDescent="0.25">
      <c r="A536" s="716" t="s">
        <v>1555</v>
      </c>
      <c r="B536" s="717" t="s">
        <v>1556</v>
      </c>
      <c r="C536" s="718">
        <v>368</v>
      </c>
      <c r="D536" s="717">
        <v>47.52</v>
      </c>
      <c r="E536" s="717">
        <v>0.3</v>
      </c>
      <c r="F536" s="717">
        <v>157.91999999999999</v>
      </c>
      <c r="G536" s="717">
        <v>112.589</v>
      </c>
      <c r="H536" s="717">
        <v>0</v>
      </c>
      <c r="I536" s="717">
        <v>0</v>
      </c>
      <c r="J536" s="717">
        <v>0</v>
      </c>
      <c r="K536" s="717">
        <v>0</v>
      </c>
      <c r="L536" s="717">
        <v>0</v>
      </c>
      <c r="M536" s="719">
        <v>335.72</v>
      </c>
      <c r="N536" s="720">
        <f t="shared" si="8"/>
        <v>335.72</v>
      </c>
      <c r="O536" s="1141">
        <f>Tabla1[[#This Row],[Tarifa 2012 (Mx$/ton)]]*(1+IncrementoTarifa)</f>
        <v>352.47242800000004</v>
      </c>
      <c r="P536" s="725"/>
    </row>
    <row r="537" spans="1:16" ht="15" x14ac:dyDescent="0.25">
      <c r="A537" s="716" t="s">
        <v>1557</v>
      </c>
      <c r="B537" s="717" t="s">
        <v>1558</v>
      </c>
      <c r="C537" s="718">
        <v>47</v>
      </c>
      <c r="D537" s="717">
        <v>47.52</v>
      </c>
      <c r="E537" s="717">
        <v>0.3</v>
      </c>
      <c r="F537" s="717">
        <v>61.62</v>
      </c>
      <c r="G537" s="717">
        <v>112.589</v>
      </c>
      <c r="H537" s="717">
        <v>0</v>
      </c>
      <c r="I537" s="717">
        <v>0</v>
      </c>
      <c r="J537" s="717">
        <v>0</v>
      </c>
      <c r="K537" s="717">
        <v>0</v>
      </c>
      <c r="L537" s="717">
        <v>0</v>
      </c>
      <c r="M537" s="719">
        <v>131</v>
      </c>
      <c r="N537" s="720">
        <f t="shared" si="8"/>
        <v>131</v>
      </c>
      <c r="O537" s="1141">
        <f>Tabla1[[#This Row],[Tarifa 2012 (Mx$/ton)]]*(1+IncrementoTarifa)</f>
        <v>137.5369</v>
      </c>
      <c r="P537" s="725"/>
    </row>
    <row r="538" spans="1:16" ht="15" x14ac:dyDescent="0.25">
      <c r="A538" s="716" t="s">
        <v>1559</v>
      </c>
      <c r="B538" s="717" t="s">
        <v>1560</v>
      </c>
      <c r="C538" s="718">
        <v>198</v>
      </c>
      <c r="D538" s="717">
        <v>47.52</v>
      </c>
      <c r="E538" s="717">
        <v>0.3</v>
      </c>
      <c r="F538" s="717">
        <v>106.92</v>
      </c>
      <c r="G538" s="717">
        <v>112.589</v>
      </c>
      <c r="H538" s="717">
        <v>0</v>
      </c>
      <c r="I538" s="717">
        <v>0</v>
      </c>
      <c r="J538" s="717">
        <v>0</v>
      </c>
      <c r="K538" s="717">
        <v>0</v>
      </c>
      <c r="L538" s="717">
        <v>0</v>
      </c>
      <c r="M538" s="719">
        <v>227.3</v>
      </c>
      <c r="N538" s="720">
        <f t="shared" si="8"/>
        <v>227.3</v>
      </c>
      <c r="O538" s="1141">
        <f>Tabla1[[#This Row],[Tarifa 2012 (Mx$/ton)]]*(1+IncrementoTarifa)</f>
        <v>238.64227000000002</v>
      </c>
      <c r="P538" s="725"/>
    </row>
    <row r="539" spans="1:16" ht="15" x14ac:dyDescent="0.25">
      <c r="A539" s="716" t="s">
        <v>1561</v>
      </c>
      <c r="B539" s="717" t="s">
        <v>1562</v>
      </c>
      <c r="C539" s="718">
        <v>155</v>
      </c>
      <c r="D539" s="717">
        <v>47.52</v>
      </c>
      <c r="E539" s="717">
        <v>0.3</v>
      </c>
      <c r="F539" s="717">
        <v>94.02</v>
      </c>
      <c r="G539" s="717">
        <v>112.589</v>
      </c>
      <c r="H539" s="717">
        <v>0</v>
      </c>
      <c r="I539" s="717">
        <v>0</v>
      </c>
      <c r="J539" s="717">
        <v>0</v>
      </c>
      <c r="K539" s="717">
        <v>0</v>
      </c>
      <c r="L539" s="717">
        <v>0</v>
      </c>
      <c r="M539" s="719">
        <v>199.88</v>
      </c>
      <c r="N539" s="720">
        <f t="shared" si="8"/>
        <v>199.88</v>
      </c>
      <c r="O539" s="1141">
        <f>Tabla1[[#This Row],[Tarifa 2012 (Mx$/ton)]]*(1+IncrementoTarifa)</f>
        <v>209.85401200000001</v>
      </c>
      <c r="P539" s="725"/>
    </row>
    <row r="540" spans="1:16" ht="15" x14ac:dyDescent="0.25">
      <c r="A540" s="716" t="s">
        <v>1563</v>
      </c>
      <c r="B540" s="717" t="s">
        <v>1564</v>
      </c>
      <c r="C540" s="718">
        <v>356</v>
      </c>
      <c r="D540" s="717">
        <v>47.52</v>
      </c>
      <c r="E540" s="717">
        <v>0.3</v>
      </c>
      <c r="F540" s="717">
        <v>154.32</v>
      </c>
      <c r="G540" s="717">
        <v>112.589</v>
      </c>
      <c r="H540" s="717">
        <v>0</v>
      </c>
      <c r="I540" s="717">
        <v>0</v>
      </c>
      <c r="J540" s="717">
        <v>0</v>
      </c>
      <c r="K540" s="717">
        <v>0</v>
      </c>
      <c r="L540" s="717">
        <v>0</v>
      </c>
      <c r="M540" s="719">
        <v>328.07</v>
      </c>
      <c r="N540" s="720">
        <f t="shared" si="8"/>
        <v>328.07</v>
      </c>
      <c r="O540" s="1141">
        <f>Tabla1[[#This Row],[Tarifa 2012 (Mx$/ton)]]*(1+IncrementoTarifa)</f>
        <v>344.44069300000001</v>
      </c>
      <c r="P540" s="725"/>
    </row>
    <row r="541" spans="1:16" ht="15" x14ac:dyDescent="0.25">
      <c r="A541" s="716" t="s">
        <v>1565</v>
      </c>
      <c r="B541" s="717" t="s">
        <v>1566</v>
      </c>
      <c r="C541" s="718">
        <v>593</v>
      </c>
      <c r="D541" s="717">
        <v>47.52</v>
      </c>
      <c r="E541" s="717">
        <v>0.3</v>
      </c>
      <c r="F541" s="717">
        <v>225.42</v>
      </c>
      <c r="G541" s="717">
        <v>112.589</v>
      </c>
      <c r="H541" s="717">
        <v>0</v>
      </c>
      <c r="I541" s="717">
        <v>0</v>
      </c>
      <c r="J541" s="717">
        <v>0</v>
      </c>
      <c r="K541" s="717">
        <v>0</v>
      </c>
      <c r="L541" s="717">
        <v>0</v>
      </c>
      <c r="M541" s="719">
        <v>479.22</v>
      </c>
      <c r="N541" s="720">
        <f t="shared" si="8"/>
        <v>479.22</v>
      </c>
      <c r="O541" s="1141">
        <f>Tabla1[[#This Row],[Tarifa 2012 (Mx$/ton)]]*(1+IncrementoTarifa)</f>
        <v>503.13307800000007</v>
      </c>
      <c r="P541" s="725"/>
    </row>
    <row r="542" spans="1:16" ht="15" x14ac:dyDescent="0.25">
      <c r="A542" s="716" t="s">
        <v>1567</v>
      </c>
      <c r="B542" s="717" t="s">
        <v>1534</v>
      </c>
      <c r="C542" s="718">
        <v>576</v>
      </c>
      <c r="D542" s="717">
        <v>47.52</v>
      </c>
      <c r="E542" s="717">
        <v>0.3</v>
      </c>
      <c r="F542" s="717">
        <v>220.32</v>
      </c>
      <c r="G542" s="717">
        <v>112.589</v>
      </c>
      <c r="H542" s="717">
        <v>0</v>
      </c>
      <c r="I542" s="717">
        <v>0</v>
      </c>
      <c r="J542" s="717">
        <v>0</v>
      </c>
      <c r="K542" s="717">
        <v>0</v>
      </c>
      <c r="L542" s="717">
        <v>0</v>
      </c>
      <c r="M542" s="719">
        <v>468.38</v>
      </c>
      <c r="N542" s="720">
        <f t="shared" si="8"/>
        <v>468.38</v>
      </c>
      <c r="O542" s="1141">
        <f>Tabla1[[#This Row],[Tarifa 2012 (Mx$/ton)]]*(1+IncrementoTarifa)</f>
        <v>491.752162</v>
      </c>
      <c r="P542" s="725"/>
    </row>
    <row r="543" spans="1:16" ht="15" x14ac:dyDescent="0.25">
      <c r="A543" s="716" t="s">
        <v>1568</v>
      </c>
      <c r="B543" s="717" t="s">
        <v>1569</v>
      </c>
      <c r="C543" s="718">
        <v>362</v>
      </c>
      <c r="D543" s="717">
        <v>47.52</v>
      </c>
      <c r="E543" s="717">
        <v>0.3</v>
      </c>
      <c r="F543" s="717">
        <v>156.12</v>
      </c>
      <c r="G543" s="717">
        <v>112.589</v>
      </c>
      <c r="H543" s="717">
        <v>0</v>
      </c>
      <c r="I543" s="717">
        <v>0</v>
      </c>
      <c r="J543" s="717">
        <v>0</v>
      </c>
      <c r="K543" s="717">
        <v>0</v>
      </c>
      <c r="L543" s="717">
        <v>0</v>
      </c>
      <c r="M543" s="719">
        <v>331.89</v>
      </c>
      <c r="N543" s="720">
        <f t="shared" si="8"/>
        <v>331.89</v>
      </c>
      <c r="O543" s="1141">
        <f>Tabla1[[#This Row],[Tarifa 2012 (Mx$/ton)]]*(1+IncrementoTarifa)</f>
        <v>348.45131100000003</v>
      </c>
      <c r="P543" s="725"/>
    </row>
    <row r="544" spans="1:16" ht="15" x14ac:dyDescent="0.25">
      <c r="A544" s="716" t="s">
        <v>1570</v>
      </c>
      <c r="B544" s="717" t="s">
        <v>1571</v>
      </c>
      <c r="C544" s="718">
        <v>278</v>
      </c>
      <c r="D544" s="717">
        <v>47.52</v>
      </c>
      <c r="E544" s="717">
        <v>0.3</v>
      </c>
      <c r="F544" s="717">
        <v>130.91999999999999</v>
      </c>
      <c r="G544" s="717">
        <v>112.589</v>
      </c>
      <c r="H544" s="717">
        <v>0</v>
      </c>
      <c r="I544" s="717">
        <v>0</v>
      </c>
      <c r="J544" s="717">
        <v>0</v>
      </c>
      <c r="K544" s="717">
        <v>0</v>
      </c>
      <c r="L544" s="717">
        <v>0</v>
      </c>
      <c r="M544" s="719">
        <v>278.32</v>
      </c>
      <c r="N544" s="720">
        <f t="shared" si="8"/>
        <v>278.32</v>
      </c>
      <c r="O544" s="1141">
        <f>Tabla1[[#This Row],[Tarifa 2012 (Mx$/ton)]]*(1+IncrementoTarifa)</f>
        <v>292.208168</v>
      </c>
      <c r="P544" s="725"/>
    </row>
    <row r="545" spans="1:16" ht="15" x14ac:dyDescent="0.25">
      <c r="A545" s="716" t="s">
        <v>1572</v>
      </c>
      <c r="B545" s="717" t="s">
        <v>1573</v>
      </c>
      <c r="C545" s="718">
        <v>325</v>
      </c>
      <c r="D545" s="717">
        <v>47.52</v>
      </c>
      <c r="E545" s="717">
        <v>0.3</v>
      </c>
      <c r="F545" s="717">
        <v>145.02000000000001</v>
      </c>
      <c r="G545" s="717">
        <v>112.589</v>
      </c>
      <c r="H545" s="717">
        <v>0</v>
      </c>
      <c r="I545" s="717">
        <v>0</v>
      </c>
      <c r="J545" s="717">
        <v>0</v>
      </c>
      <c r="K545" s="717">
        <v>0</v>
      </c>
      <c r="L545" s="717">
        <v>0</v>
      </c>
      <c r="M545" s="719">
        <v>308.3</v>
      </c>
      <c r="N545" s="720">
        <f t="shared" si="8"/>
        <v>308.3</v>
      </c>
      <c r="O545" s="1141">
        <f>Tabla1[[#This Row],[Tarifa 2012 (Mx$/ton)]]*(1+IncrementoTarifa)</f>
        <v>323.68417000000005</v>
      </c>
      <c r="P545" s="725"/>
    </row>
    <row r="546" spans="1:16" ht="15" x14ac:dyDescent="0.25">
      <c r="A546" s="716" t="s">
        <v>1574</v>
      </c>
      <c r="B546" s="717" t="s">
        <v>1575</v>
      </c>
      <c r="C546" s="718">
        <v>197</v>
      </c>
      <c r="D546" s="717">
        <v>47.52</v>
      </c>
      <c r="E546" s="717">
        <v>0.3</v>
      </c>
      <c r="F546" s="717">
        <v>106.62</v>
      </c>
      <c r="G546" s="717">
        <v>112.589</v>
      </c>
      <c r="H546" s="717">
        <v>0</v>
      </c>
      <c r="I546" s="717">
        <v>0</v>
      </c>
      <c r="J546" s="717">
        <v>0</v>
      </c>
      <c r="K546" s="717">
        <v>0</v>
      </c>
      <c r="L546" s="717">
        <v>0</v>
      </c>
      <c r="M546" s="719">
        <v>226.66</v>
      </c>
      <c r="N546" s="720">
        <f t="shared" si="8"/>
        <v>226.66</v>
      </c>
      <c r="O546" s="1141">
        <f>Tabla1[[#This Row],[Tarifa 2012 (Mx$/ton)]]*(1+IncrementoTarifa)</f>
        <v>237.97033400000001</v>
      </c>
      <c r="P546" s="725"/>
    </row>
    <row r="547" spans="1:16" ht="15" x14ac:dyDescent="0.25">
      <c r="A547" s="716" t="s">
        <v>1576</v>
      </c>
      <c r="B547" s="717" t="s">
        <v>1577</v>
      </c>
      <c r="C547" s="718">
        <v>258</v>
      </c>
      <c r="D547" s="717">
        <v>47.52</v>
      </c>
      <c r="E547" s="717">
        <v>0.3</v>
      </c>
      <c r="F547" s="717">
        <v>124.92</v>
      </c>
      <c r="G547" s="717">
        <v>112.589</v>
      </c>
      <c r="H547" s="717">
        <v>0</v>
      </c>
      <c r="I547" s="717">
        <v>0</v>
      </c>
      <c r="J547" s="717">
        <v>0</v>
      </c>
      <c r="K547" s="717">
        <v>0</v>
      </c>
      <c r="L547" s="717">
        <v>0</v>
      </c>
      <c r="M547" s="719">
        <v>265.57</v>
      </c>
      <c r="N547" s="720">
        <f t="shared" si="8"/>
        <v>265.57</v>
      </c>
      <c r="O547" s="1141">
        <f>Tabla1[[#This Row],[Tarifa 2012 (Mx$/ton)]]*(1+IncrementoTarifa)</f>
        <v>278.82194300000003</v>
      </c>
      <c r="P547" s="725"/>
    </row>
    <row r="548" spans="1:16" ht="15" x14ac:dyDescent="0.25">
      <c r="A548" s="716" t="s">
        <v>1578</v>
      </c>
      <c r="B548" s="717" t="s">
        <v>1579</v>
      </c>
      <c r="C548" s="718">
        <v>252</v>
      </c>
      <c r="D548" s="717">
        <v>47.52</v>
      </c>
      <c r="E548" s="717">
        <v>0.3</v>
      </c>
      <c r="F548" s="717">
        <v>123.12</v>
      </c>
      <c r="G548" s="717">
        <v>112.589</v>
      </c>
      <c r="H548" s="717">
        <v>0</v>
      </c>
      <c r="I548" s="717">
        <v>0</v>
      </c>
      <c r="J548" s="717">
        <v>0</v>
      </c>
      <c r="K548" s="717">
        <v>0</v>
      </c>
      <c r="L548" s="717">
        <v>0</v>
      </c>
      <c r="M548" s="719">
        <v>261.74</v>
      </c>
      <c r="N548" s="720">
        <f t="shared" si="8"/>
        <v>261.74</v>
      </c>
      <c r="O548" s="1141">
        <f>Tabla1[[#This Row],[Tarifa 2012 (Mx$/ton)]]*(1+IncrementoTarifa)</f>
        <v>274.80082600000003</v>
      </c>
      <c r="P548" s="725"/>
    </row>
    <row r="549" spans="1:16" ht="15.75" thickBot="1" x14ac:dyDescent="0.3">
      <c r="A549" s="716" t="s">
        <v>1580</v>
      </c>
      <c r="B549" s="717" t="s">
        <v>1581</v>
      </c>
      <c r="C549" s="718">
        <v>203</v>
      </c>
      <c r="D549" s="717">
        <v>47.52</v>
      </c>
      <c r="E549" s="717">
        <v>0.3</v>
      </c>
      <c r="F549" s="717">
        <v>108.42</v>
      </c>
      <c r="G549" s="717">
        <v>112.589</v>
      </c>
      <c r="H549" s="717">
        <v>0</v>
      </c>
      <c r="I549" s="717">
        <v>0</v>
      </c>
      <c r="J549" s="717">
        <v>0</v>
      </c>
      <c r="K549" s="717">
        <v>0</v>
      </c>
      <c r="L549" s="717">
        <v>0</v>
      </c>
      <c r="M549" s="719">
        <v>230.49</v>
      </c>
      <c r="N549" s="720">
        <f t="shared" si="8"/>
        <v>230.49</v>
      </c>
      <c r="O549" s="1141">
        <f>Tabla1[[#This Row],[Tarifa 2012 (Mx$/ton)]]*(1+IncrementoTarifa)</f>
        <v>241.99145100000001</v>
      </c>
      <c r="P549" s="725"/>
    </row>
    <row r="550" spans="1:16" ht="15.75" thickBot="1" x14ac:dyDescent="0.3">
      <c r="A550" s="721" t="s">
        <v>559</v>
      </c>
      <c r="B550" s="722" t="s">
        <v>1582</v>
      </c>
      <c r="C550" s="718">
        <v>155</v>
      </c>
      <c r="D550" s="717"/>
      <c r="E550" s="717"/>
      <c r="F550" s="717"/>
      <c r="G550" s="717"/>
      <c r="H550" s="717"/>
      <c r="I550" s="717"/>
      <c r="J550" s="717"/>
      <c r="K550" s="717"/>
      <c r="L550" s="717"/>
      <c r="M550" s="723">
        <v>199.88</v>
      </c>
      <c r="N550" s="720">
        <f>M550*(1+$O$2)</f>
        <v>199.88</v>
      </c>
      <c r="O550" s="1141">
        <f>Tabla1[[#This Row],[Tarifa 2012 (Mx$/ton)]]*(1+IncrementoTarifa)</f>
        <v>209.85401200000001</v>
      </c>
      <c r="P550" s="725"/>
    </row>
    <row r="551" spans="1:16" ht="15" x14ac:dyDescent="0.25">
      <c r="A551" s="716" t="s">
        <v>1583</v>
      </c>
      <c r="B551" s="717" t="s">
        <v>1584</v>
      </c>
      <c r="C551" s="718">
        <v>540</v>
      </c>
      <c r="D551" s="717">
        <v>47.52</v>
      </c>
      <c r="E551" s="717">
        <v>0.33</v>
      </c>
      <c r="F551" s="717">
        <v>225.72</v>
      </c>
      <c r="G551" s="717">
        <v>112.589</v>
      </c>
      <c r="H551" s="717">
        <v>0</v>
      </c>
      <c r="I551" s="717">
        <v>0</v>
      </c>
      <c r="J551" s="717">
        <v>0</v>
      </c>
      <c r="K551" s="717">
        <v>0</v>
      </c>
      <c r="L551" s="717">
        <v>0</v>
      </c>
      <c r="M551" s="719">
        <v>479.86</v>
      </c>
      <c r="N551" s="720">
        <f t="shared" si="8"/>
        <v>479.86</v>
      </c>
      <c r="O551" s="1141">
        <f>Tabla1[[#This Row],[Tarifa 2012 (Mx$/ton)]]*(1+IncrementoTarifa)</f>
        <v>503.80501400000003</v>
      </c>
      <c r="P551" s="725"/>
    </row>
    <row r="552" spans="1:16" ht="15" x14ac:dyDescent="0.25">
      <c r="A552" s="716" t="s">
        <v>1585</v>
      </c>
      <c r="B552" s="717" t="s">
        <v>1586</v>
      </c>
      <c r="C552" s="718">
        <v>557</v>
      </c>
      <c r="D552" s="717">
        <v>47.52</v>
      </c>
      <c r="E552" s="717">
        <v>0.33</v>
      </c>
      <c r="F552" s="717">
        <v>231.33</v>
      </c>
      <c r="G552" s="717">
        <v>0</v>
      </c>
      <c r="H552" s="717">
        <v>0</v>
      </c>
      <c r="I552" s="717">
        <v>0</v>
      </c>
      <c r="J552" s="717">
        <v>0</v>
      </c>
      <c r="K552" s="717">
        <v>0</v>
      </c>
      <c r="L552" s="717">
        <v>0</v>
      </c>
      <c r="M552" s="719">
        <v>491.78</v>
      </c>
      <c r="N552" s="720">
        <f t="shared" si="8"/>
        <v>491.78</v>
      </c>
      <c r="O552" s="1141">
        <f>Tabla1[[#This Row],[Tarifa 2012 (Mx$/ton)]]*(1+IncrementoTarifa)</f>
        <v>516.31982200000004</v>
      </c>
      <c r="P552" s="725"/>
    </row>
    <row r="553" spans="1:16" ht="15" x14ac:dyDescent="0.25">
      <c r="A553" s="716" t="s">
        <v>1587</v>
      </c>
      <c r="B553" s="717" t="s">
        <v>1588</v>
      </c>
      <c r="C553" s="718">
        <v>590</v>
      </c>
      <c r="D553" s="717">
        <v>47.52</v>
      </c>
      <c r="E553" s="717">
        <v>0.33</v>
      </c>
      <c r="F553" s="717">
        <v>242.22</v>
      </c>
      <c r="G553" s="717">
        <v>112.589</v>
      </c>
      <c r="H553" s="717">
        <v>0</v>
      </c>
      <c r="I553" s="717">
        <v>0</v>
      </c>
      <c r="J553" s="717">
        <v>0</v>
      </c>
      <c r="K553" s="717">
        <v>0</v>
      </c>
      <c r="L553" s="717">
        <v>0</v>
      </c>
      <c r="M553" s="719">
        <v>514.92999999999995</v>
      </c>
      <c r="N553" s="720">
        <f t="shared" si="8"/>
        <v>514.92999999999995</v>
      </c>
      <c r="O553" s="1141">
        <f>Tabla1[[#This Row],[Tarifa 2012 (Mx$/ton)]]*(1+IncrementoTarifa)</f>
        <v>540.62500699999998</v>
      </c>
      <c r="P553" s="725"/>
    </row>
    <row r="554" spans="1:16" ht="15" x14ac:dyDescent="0.25">
      <c r="A554" s="716" t="s">
        <v>1589</v>
      </c>
      <c r="B554" s="717" t="s">
        <v>1590</v>
      </c>
      <c r="C554" s="718">
        <v>3045</v>
      </c>
      <c r="D554" s="717">
        <v>47.52</v>
      </c>
      <c r="E554" s="717">
        <v>0.33</v>
      </c>
      <c r="F554" s="727">
        <v>1052.3699999999999</v>
      </c>
      <c r="G554" s="717">
        <v>112.589</v>
      </c>
      <c r="H554" s="717">
        <v>0</v>
      </c>
      <c r="I554" s="717">
        <v>0</v>
      </c>
      <c r="J554" s="717">
        <v>0</v>
      </c>
      <c r="K554" s="717">
        <v>0</v>
      </c>
      <c r="L554" s="717">
        <v>0</v>
      </c>
      <c r="M554" s="719">
        <v>2237.2199999999998</v>
      </c>
      <c r="N554" s="720">
        <f t="shared" si="8"/>
        <v>2237.2199999999998</v>
      </c>
      <c r="O554" s="1141">
        <f>Tabla1[[#This Row],[Tarifa 2012 (Mx$/ton)]]*(1+IncrementoTarifa)</f>
        <v>2348.857278</v>
      </c>
      <c r="P554" s="725"/>
    </row>
    <row r="555" spans="1:16" ht="15" x14ac:dyDescent="0.25">
      <c r="A555" s="716" t="s">
        <v>1591</v>
      </c>
      <c r="B555" s="717" t="s">
        <v>1592</v>
      </c>
      <c r="C555" s="718">
        <v>2456.5</v>
      </c>
      <c r="D555" s="717">
        <v>47.52</v>
      </c>
      <c r="E555" s="717">
        <v>0.33</v>
      </c>
      <c r="F555" s="727">
        <v>1026.3</v>
      </c>
      <c r="G555" s="717">
        <v>112.589</v>
      </c>
      <c r="H555" s="717">
        <v>0</v>
      </c>
      <c r="I555" s="717">
        <v>10</v>
      </c>
      <c r="J555" s="717">
        <v>0</v>
      </c>
      <c r="K555" s="717">
        <v>0</v>
      </c>
      <c r="L555" s="717">
        <v>0</v>
      </c>
      <c r="M555" s="719">
        <v>2284.4299999999998</v>
      </c>
      <c r="N555" s="720">
        <f t="shared" si="8"/>
        <v>2284.4299999999998</v>
      </c>
      <c r="O555" s="1141">
        <f>Tabla1[[#This Row],[Tarifa 2012 (Mx$/ton)]]*(1+IncrementoTarifa)</f>
        <v>2398.423057</v>
      </c>
      <c r="P555" s="725"/>
    </row>
    <row r="556" spans="1:16" ht="15" x14ac:dyDescent="0.25">
      <c r="A556" s="716" t="s">
        <v>1593</v>
      </c>
      <c r="B556" s="717" t="s">
        <v>1594</v>
      </c>
      <c r="C556" s="718">
        <v>2336</v>
      </c>
      <c r="D556" s="717">
        <v>47.52</v>
      </c>
      <c r="E556" s="717">
        <v>0.33</v>
      </c>
      <c r="F556" s="717">
        <v>818.4</v>
      </c>
      <c r="G556" s="717">
        <v>112.589</v>
      </c>
      <c r="H556" s="717">
        <v>0</v>
      </c>
      <c r="I556" s="717">
        <v>0</v>
      </c>
      <c r="J556" s="717">
        <v>0</v>
      </c>
      <c r="K556" s="717">
        <v>0</v>
      </c>
      <c r="L556" s="717">
        <v>0</v>
      </c>
      <c r="M556" s="719">
        <v>1739.83</v>
      </c>
      <c r="N556" s="720">
        <f t="shared" si="8"/>
        <v>1739.83</v>
      </c>
      <c r="O556" s="1141">
        <f>Tabla1[[#This Row],[Tarifa 2012 (Mx$/ton)]]*(1+IncrementoTarifa)</f>
        <v>1826.6475170000001</v>
      </c>
      <c r="P556" s="725"/>
    </row>
    <row r="557" spans="1:16" ht="15" x14ac:dyDescent="0.25">
      <c r="A557" s="716" t="s">
        <v>1595</v>
      </c>
      <c r="B557" s="717" t="s">
        <v>1596</v>
      </c>
      <c r="C557" s="718">
        <v>800</v>
      </c>
      <c r="D557" s="717">
        <v>47.52</v>
      </c>
      <c r="E557" s="717">
        <v>0.33</v>
      </c>
      <c r="F557" s="717">
        <v>311.52</v>
      </c>
      <c r="G557" s="717">
        <v>112.589</v>
      </c>
      <c r="H557" s="717">
        <v>0</v>
      </c>
      <c r="I557" s="717">
        <v>0</v>
      </c>
      <c r="J557" s="717">
        <v>0</v>
      </c>
      <c r="K557" s="717">
        <v>0</v>
      </c>
      <c r="L557" s="717">
        <v>0</v>
      </c>
      <c r="M557" s="719">
        <v>662.26</v>
      </c>
      <c r="N557" s="720">
        <f t="shared" si="8"/>
        <v>662.26</v>
      </c>
      <c r="O557" s="1141">
        <f>Tabla1[[#This Row],[Tarifa 2012 (Mx$/ton)]]*(1+IncrementoTarifa)</f>
        <v>695.30677400000002</v>
      </c>
      <c r="P557" s="725"/>
    </row>
    <row r="558" spans="1:16" ht="15" x14ac:dyDescent="0.25">
      <c r="A558" s="716" t="s">
        <v>1597</v>
      </c>
      <c r="B558" s="717" t="s">
        <v>1598</v>
      </c>
      <c r="C558" s="718">
        <v>963</v>
      </c>
      <c r="D558" s="717">
        <v>47.52</v>
      </c>
      <c r="E558" s="717">
        <v>0.33</v>
      </c>
      <c r="F558" s="717">
        <v>365.31</v>
      </c>
      <c r="G558" s="717">
        <v>112.589</v>
      </c>
      <c r="H558" s="717">
        <v>0</v>
      </c>
      <c r="I558" s="717">
        <v>0</v>
      </c>
      <c r="J558" s="717">
        <v>0</v>
      </c>
      <c r="K558" s="717">
        <v>0</v>
      </c>
      <c r="L558" s="717">
        <v>0</v>
      </c>
      <c r="M558" s="719">
        <v>776.61</v>
      </c>
      <c r="N558" s="720">
        <f t="shared" si="8"/>
        <v>776.61</v>
      </c>
      <c r="O558" s="1141">
        <f>Tabla1[[#This Row],[Tarifa 2012 (Mx$/ton)]]*(1+IncrementoTarifa)</f>
        <v>815.36283900000001</v>
      </c>
      <c r="P558" s="725"/>
    </row>
    <row r="559" spans="1:16" ht="15" x14ac:dyDescent="0.25">
      <c r="A559" s="716" t="s">
        <v>1599</v>
      </c>
      <c r="B559" s="717" t="s">
        <v>1600</v>
      </c>
      <c r="C559" s="718">
        <v>1194</v>
      </c>
      <c r="D559" s="717">
        <v>47.52</v>
      </c>
      <c r="E559" s="717">
        <v>0.33</v>
      </c>
      <c r="F559" s="717">
        <v>441.54</v>
      </c>
      <c r="G559" s="717">
        <v>112.589</v>
      </c>
      <c r="H559" s="717">
        <v>0</v>
      </c>
      <c r="I559" s="717">
        <v>0</v>
      </c>
      <c r="J559" s="717">
        <v>0</v>
      </c>
      <c r="K559" s="717">
        <v>0</v>
      </c>
      <c r="L559" s="717">
        <v>0</v>
      </c>
      <c r="M559" s="719">
        <v>938.67</v>
      </c>
      <c r="N559" s="720">
        <f t="shared" si="8"/>
        <v>938.67</v>
      </c>
      <c r="O559" s="1141">
        <f>Tabla1[[#This Row],[Tarifa 2012 (Mx$/ton)]]*(1+IncrementoTarifa)</f>
        <v>985.50963300000001</v>
      </c>
      <c r="P559" s="725"/>
    </row>
    <row r="560" spans="1:16" ht="15" x14ac:dyDescent="0.25">
      <c r="A560" s="716" t="s">
        <v>560</v>
      </c>
      <c r="B560" s="717" t="s">
        <v>1601</v>
      </c>
      <c r="C560" s="718">
        <v>61</v>
      </c>
      <c r="D560" s="717">
        <v>47.52</v>
      </c>
      <c r="E560" s="717">
        <v>0.33</v>
      </c>
      <c r="F560" s="717">
        <v>67.650000000000006</v>
      </c>
      <c r="G560" s="717">
        <v>112.589</v>
      </c>
      <c r="H560" s="717">
        <v>0</v>
      </c>
      <c r="I560" s="717">
        <v>0</v>
      </c>
      <c r="J560" s="717">
        <v>0</v>
      </c>
      <c r="K560" s="717">
        <v>0</v>
      </c>
      <c r="L560" s="717">
        <v>0</v>
      </c>
      <c r="M560" s="719">
        <v>143.82</v>
      </c>
      <c r="N560" s="720">
        <f t="shared" si="8"/>
        <v>143.82</v>
      </c>
      <c r="O560" s="1141">
        <f>Tabla1[[#This Row],[Tarifa 2012 (Mx$/ton)]]*(1+IncrementoTarifa)</f>
        <v>150.99661800000001</v>
      </c>
      <c r="P560" s="725"/>
    </row>
    <row r="561" spans="1:16" ht="15" x14ac:dyDescent="0.25">
      <c r="A561" s="716" t="s">
        <v>1602</v>
      </c>
      <c r="B561" s="717" t="s">
        <v>1603</v>
      </c>
      <c r="C561" s="718">
        <v>1E-3</v>
      </c>
      <c r="D561" s="717">
        <v>47.52</v>
      </c>
      <c r="E561" s="717">
        <v>0.33</v>
      </c>
      <c r="F561" s="717">
        <v>47.52</v>
      </c>
      <c r="G561" s="717">
        <v>112.589</v>
      </c>
      <c r="H561" s="717">
        <v>0</v>
      </c>
      <c r="I561" s="717">
        <v>0</v>
      </c>
      <c r="J561" s="717">
        <v>0</v>
      </c>
      <c r="K561" s="717">
        <v>0</v>
      </c>
      <c r="L561" s="717">
        <v>0</v>
      </c>
      <c r="M561" s="719">
        <v>101.02</v>
      </c>
      <c r="N561" s="720">
        <f t="shared" si="8"/>
        <v>101.02</v>
      </c>
      <c r="O561" s="1141">
        <f>Tabla1[[#This Row],[Tarifa 2012 (Mx$/ton)]]*(1+IncrementoTarifa)</f>
        <v>106.06089799999999</v>
      </c>
      <c r="P561" s="725"/>
    </row>
    <row r="562" spans="1:16" ht="15" x14ac:dyDescent="0.25">
      <c r="A562" s="716" t="s">
        <v>561</v>
      </c>
      <c r="B562" s="717" t="s">
        <v>1604</v>
      </c>
      <c r="C562" s="718">
        <v>70</v>
      </c>
      <c r="D562" s="717">
        <v>47.52</v>
      </c>
      <c r="E562" s="717">
        <v>0.33</v>
      </c>
      <c r="F562" s="717">
        <v>70.62</v>
      </c>
      <c r="G562" s="717">
        <v>112.589</v>
      </c>
      <c r="H562" s="717">
        <v>0</v>
      </c>
      <c r="I562" s="717">
        <v>0</v>
      </c>
      <c r="J562" s="717">
        <v>0</v>
      </c>
      <c r="K562" s="717">
        <v>0</v>
      </c>
      <c r="L562" s="717">
        <v>0</v>
      </c>
      <c r="M562" s="719">
        <v>150.13</v>
      </c>
      <c r="N562" s="720">
        <f t="shared" si="8"/>
        <v>150.13</v>
      </c>
      <c r="O562" s="1141">
        <f>Tabla1[[#This Row],[Tarifa 2012 (Mx$/ton)]]*(1+IncrementoTarifa)</f>
        <v>157.621487</v>
      </c>
      <c r="P562" s="725"/>
    </row>
    <row r="563" spans="1:16" ht="15" x14ac:dyDescent="0.25">
      <c r="A563" s="716" t="s">
        <v>1605</v>
      </c>
      <c r="B563" s="717" t="s">
        <v>1606</v>
      </c>
      <c r="C563" s="718">
        <v>70</v>
      </c>
      <c r="D563" s="717">
        <v>47.52</v>
      </c>
      <c r="E563" s="717">
        <v>0.33</v>
      </c>
      <c r="F563" s="717">
        <v>70.62</v>
      </c>
      <c r="G563" s="717">
        <v>112.589</v>
      </c>
      <c r="H563" s="717">
        <v>-104.536</v>
      </c>
      <c r="I563" s="717">
        <v>0</v>
      </c>
      <c r="J563" s="717">
        <v>0</v>
      </c>
      <c r="K563" s="717">
        <v>0</v>
      </c>
      <c r="L563" s="717">
        <v>0</v>
      </c>
      <c r="M563" s="719">
        <v>76.31</v>
      </c>
      <c r="N563" s="720">
        <f t="shared" si="8"/>
        <v>76.31</v>
      </c>
      <c r="O563" s="1141">
        <f>Tabla1[[#This Row],[Tarifa 2012 (Mx$/ton)]]*(1+IncrementoTarifa)</f>
        <v>80.117869000000013</v>
      </c>
      <c r="P563" s="725"/>
    </row>
    <row r="564" spans="1:16" ht="15" x14ac:dyDescent="0.25">
      <c r="A564" s="716" t="s">
        <v>1607</v>
      </c>
      <c r="B564" s="717" t="s">
        <v>1608</v>
      </c>
      <c r="C564" s="718">
        <v>70</v>
      </c>
      <c r="D564" s="717">
        <v>47.52</v>
      </c>
      <c r="E564" s="717">
        <v>0.33</v>
      </c>
      <c r="F564" s="717">
        <v>49.92</v>
      </c>
      <c r="G564" s="717">
        <v>112.589</v>
      </c>
      <c r="H564" s="717">
        <v>0</v>
      </c>
      <c r="I564" s="717">
        <v>0</v>
      </c>
      <c r="J564" s="717">
        <v>0</v>
      </c>
      <c r="K564" s="717">
        <v>0</v>
      </c>
      <c r="L564" s="717">
        <v>0</v>
      </c>
      <c r="M564" s="719">
        <v>106.12</v>
      </c>
      <c r="N564" s="720">
        <f t="shared" si="8"/>
        <v>106.12</v>
      </c>
      <c r="O564" s="1141">
        <f>Tabla1[[#This Row],[Tarifa 2012 (Mx$/ton)]]*(1+IncrementoTarifa)</f>
        <v>111.41538800000001</v>
      </c>
      <c r="P564" s="725"/>
    </row>
    <row r="565" spans="1:16" ht="15" x14ac:dyDescent="0.25">
      <c r="A565" s="716" t="s">
        <v>1609</v>
      </c>
      <c r="B565" s="717" t="s">
        <v>1610</v>
      </c>
      <c r="C565" s="718">
        <v>850</v>
      </c>
      <c r="D565" s="717">
        <v>47.52</v>
      </c>
      <c r="E565" s="717">
        <v>0.33</v>
      </c>
      <c r="F565" s="717">
        <v>328.02</v>
      </c>
      <c r="G565" s="717">
        <v>112.589</v>
      </c>
      <c r="H565" s="717">
        <v>0</v>
      </c>
      <c r="I565" s="717">
        <v>0</v>
      </c>
      <c r="J565" s="717">
        <v>0</v>
      </c>
      <c r="K565" s="717">
        <v>0</v>
      </c>
      <c r="L565" s="717">
        <v>0</v>
      </c>
      <c r="M565" s="719">
        <v>697.33</v>
      </c>
      <c r="N565" s="720">
        <f t="shared" si="8"/>
        <v>697.33</v>
      </c>
      <c r="O565" s="1141">
        <f>Tabla1[[#This Row],[Tarifa 2012 (Mx$/ton)]]*(1+IncrementoTarifa)</f>
        <v>732.12676700000009</v>
      </c>
      <c r="P565" s="725"/>
    </row>
    <row r="566" spans="1:16" ht="15" x14ac:dyDescent="0.25">
      <c r="A566" s="716" t="s">
        <v>1611</v>
      </c>
      <c r="B566" s="717" t="s">
        <v>1612</v>
      </c>
      <c r="C566" s="718">
        <v>867</v>
      </c>
      <c r="D566" s="717">
        <v>47.52</v>
      </c>
      <c r="E566" s="717">
        <v>0.33</v>
      </c>
      <c r="F566" s="717">
        <v>333.63</v>
      </c>
      <c r="G566" s="717">
        <v>112.589</v>
      </c>
      <c r="H566" s="717">
        <v>0</v>
      </c>
      <c r="I566" s="717">
        <v>0</v>
      </c>
      <c r="J566" s="717">
        <v>0</v>
      </c>
      <c r="K566" s="717">
        <v>0</v>
      </c>
      <c r="L566" s="717">
        <v>0</v>
      </c>
      <c r="M566" s="719">
        <v>709.26</v>
      </c>
      <c r="N566" s="720">
        <f t="shared" si="8"/>
        <v>709.26</v>
      </c>
      <c r="O566" s="1141">
        <f>Tabla1[[#This Row],[Tarifa 2012 (Mx$/ton)]]*(1+IncrementoTarifa)</f>
        <v>744.65207400000008</v>
      </c>
      <c r="P566" s="725"/>
    </row>
    <row r="567" spans="1:16" ht="15" x14ac:dyDescent="0.25">
      <c r="A567" s="716" t="s">
        <v>1613</v>
      </c>
      <c r="B567" s="717" t="s">
        <v>1614</v>
      </c>
      <c r="C567" s="718">
        <v>558</v>
      </c>
      <c r="D567" s="717">
        <v>47.52</v>
      </c>
      <c r="E567" s="717">
        <v>0.33</v>
      </c>
      <c r="F567" s="717">
        <v>231.66</v>
      </c>
      <c r="G567" s="717">
        <v>112.589</v>
      </c>
      <c r="H567" s="717">
        <v>0</v>
      </c>
      <c r="I567" s="717">
        <v>0</v>
      </c>
      <c r="J567" s="717">
        <v>0</v>
      </c>
      <c r="K567" s="717">
        <v>0</v>
      </c>
      <c r="L567" s="717">
        <v>0</v>
      </c>
      <c r="M567" s="719">
        <v>492.48</v>
      </c>
      <c r="N567" s="720">
        <f t="shared" si="8"/>
        <v>492.48</v>
      </c>
      <c r="O567" s="1141">
        <f>Tabla1[[#This Row],[Tarifa 2012 (Mx$/ton)]]*(1+IncrementoTarifa)</f>
        <v>517.05475200000001</v>
      </c>
      <c r="P567" s="725"/>
    </row>
    <row r="568" spans="1:16" ht="15" x14ac:dyDescent="0.25">
      <c r="A568" s="716" t="s">
        <v>1615</v>
      </c>
      <c r="B568" s="717" t="s">
        <v>1616</v>
      </c>
      <c r="C568" s="718">
        <v>495</v>
      </c>
      <c r="D568" s="717">
        <v>47.52</v>
      </c>
      <c r="E568" s="717">
        <v>0.33</v>
      </c>
      <c r="F568" s="717">
        <v>210.87</v>
      </c>
      <c r="G568" s="717">
        <v>112.589</v>
      </c>
      <c r="H568" s="717">
        <v>0</v>
      </c>
      <c r="I568" s="717">
        <v>0</v>
      </c>
      <c r="J568" s="717">
        <v>0</v>
      </c>
      <c r="K568" s="717">
        <v>0</v>
      </c>
      <c r="L568" s="717">
        <v>0</v>
      </c>
      <c r="M568" s="719">
        <v>448.29</v>
      </c>
      <c r="N568" s="720">
        <f t="shared" si="8"/>
        <v>448.29</v>
      </c>
      <c r="O568" s="1141">
        <f>Tabla1[[#This Row],[Tarifa 2012 (Mx$/ton)]]*(1+IncrementoTarifa)</f>
        <v>470.65967100000006</v>
      </c>
      <c r="P568" s="725"/>
    </row>
    <row r="569" spans="1:16" ht="15" x14ac:dyDescent="0.25">
      <c r="A569" s="716" t="s">
        <v>1617</v>
      </c>
      <c r="B569" s="717" t="s">
        <v>1618</v>
      </c>
      <c r="C569" s="718">
        <v>595</v>
      </c>
      <c r="D569" s="717">
        <v>47.52</v>
      </c>
      <c r="E569" s="717">
        <v>0.33</v>
      </c>
      <c r="F569" s="717">
        <v>243.87</v>
      </c>
      <c r="G569" s="717">
        <v>112.589</v>
      </c>
      <c r="H569" s="717">
        <v>0</v>
      </c>
      <c r="I569" s="717">
        <v>0</v>
      </c>
      <c r="J569" s="717">
        <v>0</v>
      </c>
      <c r="K569" s="717">
        <v>0</v>
      </c>
      <c r="L569" s="717">
        <v>0</v>
      </c>
      <c r="M569" s="719">
        <v>518.44000000000005</v>
      </c>
      <c r="N569" s="720">
        <f t="shared" si="8"/>
        <v>518.44000000000005</v>
      </c>
      <c r="O569" s="1141">
        <f>Tabla1[[#This Row],[Tarifa 2012 (Mx$/ton)]]*(1+IncrementoTarifa)</f>
        <v>544.31015600000012</v>
      </c>
      <c r="P569" s="725"/>
    </row>
    <row r="570" spans="1:16" ht="15" x14ac:dyDescent="0.25">
      <c r="A570" s="716" t="s">
        <v>1619</v>
      </c>
      <c r="B570" s="717" t="s">
        <v>1620</v>
      </c>
      <c r="C570" s="718">
        <v>285</v>
      </c>
      <c r="D570" s="717">
        <v>47.52</v>
      </c>
      <c r="E570" s="717">
        <v>0.33</v>
      </c>
      <c r="F570" s="717">
        <v>141.57</v>
      </c>
      <c r="G570" s="717">
        <v>112.589</v>
      </c>
      <c r="H570" s="717">
        <v>0</v>
      </c>
      <c r="I570" s="717">
        <v>0</v>
      </c>
      <c r="J570" s="717">
        <v>0</v>
      </c>
      <c r="K570" s="717">
        <v>0</v>
      </c>
      <c r="L570" s="717">
        <v>0</v>
      </c>
      <c r="M570" s="719">
        <v>300.95999999999998</v>
      </c>
      <c r="N570" s="720">
        <f t="shared" si="8"/>
        <v>300.95999999999998</v>
      </c>
      <c r="O570" s="1141">
        <f>Tabla1[[#This Row],[Tarifa 2012 (Mx$/ton)]]*(1+IncrementoTarifa)</f>
        <v>315.97790399999997</v>
      </c>
      <c r="P570" s="725"/>
    </row>
    <row r="571" spans="1:16" ht="15" x14ac:dyDescent="0.25">
      <c r="A571" s="716" t="s">
        <v>1621</v>
      </c>
      <c r="B571" s="717" t="s">
        <v>1622</v>
      </c>
      <c r="C571" s="718">
        <v>285</v>
      </c>
      <c r="D571" s="717">
        <v>47.52</v>
      </c>
      <c r="E571" s="717">
        <v>0.33</v>
      </c>
      <c r="F571" s="717">
        <v>141.57</v>
      </c>
      <c r="G571" s="717">
        <v>112.589</v>
      </c>
      <c r="H571" s="717">
        <v>0</v>
      </c>
      <c r="I571" s="717">
        <v>0</v>
      </c>
      <c r="J571" s="717">
        <v>0</v>
      </c>
      <c r="K571" s="717">
        <v>0</v>
      </c>
      <c r="L571" s="717">
        <v>0</v>
      </c>
      <c r="M571" s="719">
        <v>300.95999999999998</v>
      </c>
      <c r="N571" s="720">
        <f t="shared" si="8"/>
        <v>300.95999999999998</v>
      </c>
      <c r="O571" s="1141">
        <f>Tabla1[[#This Row],[Tarifa 2012 (Mx$/ton)]]*(1+IncrementoTarifa)</f>
        <v>315.97790399999997</v>
      </c>
      <c r="P571" s="725"/>
    </row>
    <row r="572" spans="1:16" ht="15" x14ac:dyDescent="0.25">
      <c r="A572" s="716" t="s">
        <v>1623</v>
      </c>
      <c r="B572" s="717" t="s">
        <v>1624</v>
      </c>
      <c r="C572" s="718">
        <v>285</v>
      </c>
      <c r="D572" s="717">
        <v>47.52</v>
      </c>
      <c r="E572" s="717">
        <v>0.33</v>
      </c>
      <c r="F572" s="717">
        <v>141.57</v>
      </c>
      <c r="G572" s="717">
        <v>112.589</v>
      </c>
      <c r="H572" s="717">
        <v>0</v>
      </c>
      <c r="I572" s="717">
        <v>0</v>
      </c>
      <c r="J572" s="717">
        <v>0</v>
      </c>
      <c r="K572" s="717">
        <v>0</v>
      </c>
      <c r="L572" s="717">
        <v>0</v>
      </c>
      <c r="M572" s="719">
        <v>300.95999999999998</v>
      </c>
      <c r="N572" s="720">
        <f t="shared" si="8"/>
        <v>300.95999999999998</v>
      </c>
      <c r="O572" s="1141">
        <f>Tabla1[[#This Row],[Tarifa 2012 (Mx$/ton)]]*(1+IncrementoTarifa)</f>
        <v>315.97790399999997</v>
      </c>
      <c r="P572" s="725"/>
    </row>
    <row r="573" spans="1:16" ht="15" x14ac:dyDescent="0.25">
      <c r="A573" s="716" t="s">
        <v>1625</v>
      </c>
      <c r="B573" s="717" t="s">
        <v>1626</v>
      </c>
      <c r="C573" s="718">
        <v>285</v>
      </c>
      <c r="D573" s="717">
        <v>47.52</v>
      </c>
      <c r="E573" s="717">
        <v>0.33</v>
      </c>
      <c r="F573" s="717">
        <v>141.57</v>
      </c>
      <c r="G573" s="717">
        <v>112.589</v>
      </c>
      <c r="H573" s="717">
        <v>0</v>
      </c>
      <c r="I573" s="717">
        <v>0</v>
      </c>
      <c r="J573" s="717">
        <v>0</v>
      </c>
      <c r="K573" s="717">
        <v>0</v>
      </c>
      <c r="L573" s="717">
        <v>0</v>
      </c>
      <c r="M573" s="719">
        <v>300.95999999999998</v>
      </c>
      <c r="N573" s="720">
        <f t="shared" si="8"/>
        <v>300.95999999999998</v>
      </c>
      <c r="O573" s="1141">
        <f>Tabla1[[#This Row],[Tarifa 2012 (Mx$/ton)]]*(1+IncrementoTarifa)</f>
        <v>315.97790399999997</v>
      </c>
      <c r="P573" s="725"/>
    </row>
    <row r="574" spans="1:16" ht="15" x14ac:dyDescent="0.25">
      <c r="A574" s="716" t="s">
        <v>1627</v>
      </c>
      <c r="B574" s="717" t="s">
        <v>1628</v>
      </c>
      <c r="C574" s="718">
        <v>250</v>
      </c>
      <c r="D574" s="717">
        <v>47.52</v>
      </c>
      <c r="E574" s="717">
        <v>0.33</v>
      </c>
      <c r="F574" s="717">
        <v>130.02000000000001</v>
      </c>
      <c r="G574" s="717">
        <v>112.589</v>
      </c>
      <c r="H574" s="717">
        <v>0</v>
      </c>
      <c r="I574" s="717">
        <v>0</v>
      </c>
      <c r="J574" s="717">
        <v>0</v>
      </c>
      <c r="K574" s="717">
        <v>0</v>
      </c>
      <c r="L574" s="717">
        <v>0</v>
      </c>
      <c r="M574" s="719">
        <v>276.41000000000003</v>
      </c>
      <c r="N574" s="720">
        <f t="shared" si="8"/>
        <v>276.41000000000003</v>
      </c>
      <c r="O574" s="1141">
        <f>Tabla1[[#This Row],[Tarifa 2012 (Mx$/ton)]]*(1+IncrementoTarifa)</f>
        <v>290.20285900000005</v>
      </c>
      <c r="P574" s="725"/>
    </row>
    <row r="575" spans="1:16" ht="15" x14ac:dyDescent="0.25">
      <c r="A575" s="716" t="s">
        <v>1629</v>
      </c>
      <c r="B575" s="717" t="s">
        <v>1630</v>
      </c>
      <c r="C575" s="718">
        <v>301</v>
      </c>
      <c r="D575" s="717">
        <v>47.52</v>
      </c>
      <c r="E575" s="717">
        <v>0.33</v>
      </c>
      <c r="F575" s="717">
        <v>146.85</v>
      </c>
      <c r="G575" s="717">
        <v>112.589</v>
      </c>
      <c r="H575" s="717">
        <v>0</v>
      </c>
      <c r="I575" s="717">
        <v>0</v>
      </c>
      <c r="J575" s="717">
        <v>0</v>
      </c>
      <c r="K575" s="717">
        <v>0</v>
      </c>
      <c r="L575" s="717">
        <v>0</v>
      </c>
      <c r="M575" s="719">
        <v>312.19</v>
      </c>
      <c r="N575" s="720">
        <f t="shared" si="8"/>
        <v>312.19</v>
      </c>
      <c r="O575" s="1141">
        <f>Tabla1[[#This Row],[Tarifa 2012 (Mx$/ton)]]*(1+IncrementoTarifa)</f>
        <v>327.768281</v>
      </c>
      <c r="P575" s="725"/>
    </row>
    <row r="576" spans="1:16" ht="15" x14ac:dyDescent="0.25">
      <c r="A576" s="716" t="s">
        <v>1631</v>
      </c>
      <c r="B576" s="717" t="s">
        <v>1632</v>
      </c>
      <c r="C576" s="718">
        <v>375</v>
      </c>
      <c r="D576" s="717">
        <v>47.52</v>
      </c>
      <c r="E576" s="717">
        <v>0.33</v>
      </c>
      <c r="F576" s="717">
        <v>171.27</v>
      </c>
      <c r="G576" s="717">
        <v>112.589</v>
      </c>
      <c r="H576" s="717">
        <v>0</v>
      </c>
      <c r="I576" s="717">
        <v>0</v>
      </c>
      <c r="J576" s="717">
        <v>0</v>
      </c>
      <c r="K576" s="717">
        <v>0</v>
      </c>
      <c r="L576" s="717">
        <v>0</v>
      </c>
      <c r="M576" s="719">
        <v>364.1</v>
      </c>
      <c r="N576" s="720">
        <f t="shared" si="8"/>
        <v>364.1</v>
      </c>
      <c r="O576" s="1141">
        <f>Tabla1[[#This Row],[Tarifa 2012 (Mx$/ton)]]*(1+IncrementoTarifa)</f>
        <v>382.26859000000002</v>
      </c>
      <c r="P576" s="725"/>
    </row>
    <row r="577" spans="1:16" ht="15" x14ac:dyDescent="0.25">
      <c r="A577" s="716" t="s">
        <v>1633</v>
      </c>
      <c r="B577" s="717" t="s">
        <v>1634</v>
      </c>
      <c r="C577" s="718">
        <v>508</v>
      </c>
      <c r="D577" s="717">
        <v>47.52</v>
      </c>
      <c r="E577" s="717">
        <v>0.33</v>
      </c>
      <c r="F577" s="717">
        <v>215.16</v>
      </c>
      <c r="G577" s="717">
        <v>112.589</v>
      </c>
      <c r="H577" s="717">
        <v>0</v>
      </c>
      <c r="I577" s="717">
        <v>0</v>
      </c>
      <c r="J577" s="717">
        <v>0</v>
      </c>
      <c r="K577" s="717">
        <v>0</v>
      </c>
      <c r="L577" s="717">
        <v>0</v>
      </c>
      <c r="M577" s="719">
        <v>457.41</v>
      </c>
      <c r="N577" s="720">
        <f t="shared" si="8"/>
        <v>457.41</v>
      </c>
      <c r="O577" s="1141">
        <f>Tabla1[[#This Row],[Tarifa 2012 (Mx$/ton)]]*(1+IncrementoTarifa)</f>
        <v>480.23475900000005</v>
      </c>
      <c r="P577" s="725"/>
    </row>
    <row r="578" spans="1:16" ht="15" x14ac:dyDescent="0.25">
      <c r="A578" s="716" t="s">
        <v>1635</v>
      </c>
      <c r="B578" s="717" t="s">
        <v>1636</v>
      </c>
      <c r="C578" s="718">
        <v>527</v>
      </c>
      <c r="D578" s="717">
        <v>47.52</v>
      </c>
      <c r="E578" s="717">
        <v>0.33</v>
      </c>
      <c r="F578" s="717">
        <v>221.43</v>
      </c>
      <c r="G578" s="717">
        <v>112.589</v>
      </c>
      <c r="H578" s="717">
        <v>0</v>
      </c>
      <c r="I578" s="717">
        <v>0</v>
      </c>
      <c r="J578" s="717">
        <v>0</v>
      </c>
      <c r="K578" s="717">
        <v>0</v>
      </c>
      <c r="L578" s="717">
        <v>0</v>
      </c>
      <c r="M578" s="719">
        <v>470.74</v>
      </c>
      <c r="N578" s="720">
        <f t="shared" si="8"/>
        <v>470.74</v>
      </c>
      <c r="O578" s="1141">
        <f>Tabla1[[#This Row],[Tarifa 2012 (Mx$/ton)]]*(1+IncrementoTarifa)</f>
        <v>494.22992600000003</v>
      </c>
      <c r="P578" s="725"/>
    </row>
    <row r="579" spans="1:16" ht="15" x14ac:dyDescent="0.25">
      <c r="A579" s="716" t="s">
        <v>1637</v>
      </c>
      <c r="B579" s="717" t="s">
        <v>1638</v>
      </c>
      <c r="C579" s="718">
        <v>557</v>
      </c>
      <c r="D579" s="717">
        <v>47.52</v>
      </c>
      <c r="E579" s="717">
        <v>0.33</v>
      </c>
      <c r="F579" s="717">
        <v>231.33</v>
      </c>
      <c r="G579" s="717">
        <v>112.589</v>
      </c>
      <c r="H579" s="717">
        <v>0</v>
      </c>
      <c r="I579" s="717">
        <v>0</v>
      </c>
      <c r="J579" s="717">
        <v>0</v>
      </c>
      <c r="K579" s="717">
        <v>0</v>
      </c>
      <c r="L579" s="717">
        <v>0</v>
      </c>
      <c r="M579" s="719">
        <v>491.78</v>
      </c>
      <c r="N579" s="720">
        <f t="shared" si="8"/>
        <v>491.78</v>
      </c>
      <c r="O579" s="1141">
        <f>Tabla1[[#This Row],[Tarifa 2012 (Mx$/ton)]]*(1+IncrementoTarifa)</f>
        <v>516.31982200000004</v>
      </c>
      <c r="P579" s="725"/>
    </row>
    <row r="580" spans="1:16" ht="15" x14ac:dyDescent="0.25">
      <c r="A580" s="716" t="s">
        <v>1639</v>
      </c>
      <c r="B580" s="717" t="s">
        <v>1640</v>
      </c>
      <c r="C580" s="718">
        <v>395</v>
      </c>
      <c r="D580" s="717">
        <v>47.52</v>
      </c>
      <c r="E580" s="717">
        <v>0.33</v>
      </c>
      <c r="F580" s="717">
        <v>177.87</v>
      </c>
      <c r="G580" s="717">
        <v>112.589</v>
      </c>
      <c r="H580" s="717">
        <v>0</v>
      </c>
      <c r="I580" s="717">
        <v>0</v>
      </c>
      <c r="J580" s="717">
        <v>0</v>
      </c>
      <c r="K580" s="717">
        <v>0</v>
      </c>
      <c r="L580" s="717">
        <v>0</v>
      </c>
      <c r="M580" s="719">
        <v>378.13</v>
      </c>
      <c r="N580" s="720">
        <f t="shared" si="8"/>
        <v>378.13</v>
      </c>
      <c r="O580" s="1141">
        <f>Tabla1[[#This Row],[Tarifa 2012 (Mx$/ton)]]*(1+IncrementoTarifa)</f>
        <v>396.99868700000002</v>
      </c>
      <c r="P580" s="725"/>
    </row>
    <row r="581" spans="1:16" ht="15" x14ac:dyDescent="0.25">
      <c r="A581" s="716" t="s">
        <v>1641</v>
      </c>
      <c r="B581" s="717" t="s">
        <v>1642</v>
      </c>
      <c r="C581" s="718">
        <v>436</v>
      </c>
      <c r="D581" s="717">
        <v>47.52</v>
      </c>
      <c r="E581" s="717">
        <v>0.33</v>
      </c>
      <c r="F581" s="717">
        <v>191.4</v>
      </c>
      <c r="G581" s="717">
        <v>112.589</v>
      </c>
      <c r="H581" s="717">
        <v>0</v>
      </c>
      <c r="I581" s="717">
        <v>0</v>
      </c>
      <c r="J581" s="717">
        <v>0</v>
      </c>
      <c r="K581" s="717">
        <v>0</v>
      </c>
      <c r="L581" s="717">
        <v>0</v>
      </c>
      <c r="M581" s="719">
        <v>406.9</v>
      </c>
      <c r="N581" s="720">
        <f t="shared" si="8"/>
        <v>406.9</v>
      </c>
      <c r="O581" s="1141">
        <f>Tabla1[[#This Row],[Tarifa 2012 (Mx$/ton)]]*(1+IncrementoTarifa)</f>
        <v>427.20431000000002</v>
      </c>
      <c r="P581" s="725"/>
    </row>
    <row r="582" spans="1:16" ht="15" x14ac:dyDescent="0.25">
      <c r="A582" s="716" t="s">
        <v>1643</v>
      </c>
      <c r="B582" s="717" t="s">
        <v>1644</v>
      </c>
      <c r="C582" s="718">
        <v>400</v>
      </c>
      <c r="D582" s="717">
        <v>47.52</v>
      </c>
      <c r="E582" s="717">
        <v>0.33</v>
      </c>
      <c r="F582" s="717">
        <v>179.52</v>
      </c>
      <c r="G582" s="717">
        <v>112.589</v>
      </c>
      <c r="H582" s="717">
        <v>0</v>
      </c>
      <c r="I582" s="717">
        <v>0</v>
      </c>
      <c r="J582" s="717">
        <v>0</v>
      </c>
      <c r="K582" s="717">
        <v>0</v>
      </c>
      <c r="L582" s="717">
        <v>0</v>
      </c>
      <c r="M582" s="719">
        <v>381.64</v>
      </c>
      <c r="N582" s="720">
        <f t="shared" si="8"/>
        <v>381.64</v>
      </c>
      <c r="O582" s="1141">
        <f>Tabla1[[#This Row],[Tarifa 2012 (Mx$/ton)]]*(1+IncrementoTarifa)</f>
        <v>400.68383599999999</v>
      </c>
      <c r="P582" s="725"/>
    </row>
    <row r="583" spans="1:16" ht="15" x14ac:dyDescent="0.25">
      <c r="A583" s="716" t="s">
        <v>1645</v>
      </c>
      <c r="B583" s="717" t="s">
        <v>1646</v>
      </c>
      <c r="C583" s="718">
        <v>469</v>
      </c>
      <c r="D583" s="717">
        <v>47.52</v>
      </c>
      <c r="E583" s="717">
        <v>0.33</v>
      </c>
      <c r="F583" s="717">
        <v>202.29</v>
      </c>
      <c r="G583" s="717">
        <v>112.589</v>
      </c>
      <c r="H583" s="717">
        <v>0</v>
      </c>
      <c r="I583" s="717">
        <v>10</v>
      </c>
      <c r="J583" s="717">
        <v>0</v>
      </c>
      <c r="K583" s="717">
        <v>0</v>
      </c>
      <c r="L583" s="717">
        <v>0</v>
      </c>
      <c r="M583" s="719">
        <v>450.28</v>
      </c>
      <c r="N583" s="720">
        <f t="shared" si="8"/>
        <v>450.28</v>
      </c>
      <c r="O583" s="1141">
        <f>Tabla1[[#This Row],[Tarifa 2012 (Mx$/ton)]]*(1+IncrementoTarifa)</f>
        <v>472.74897199999998</v>
      </c>
      <c r="P583" s="725"/>
    </row>
    <row r="584" spans="1:16" ht="15" x14ac:dyDescent="0.25">
      <c r="A584" s="716" t="s">
        <v>1647</v>
      </c>
      <c r="B584" s="717" t="s">
        <v>1648</v>
      </c>
      <c r="C584" s="718">
        <v>491</v>
      </c>
      <c r="D584" s="717">
        <v>47.52</v>
      </c>
      <c r="E584" s="717">
        <v>0.33</v>
      </c>
      <c r="F584" s="717">
        <v>183.15</v>
      </c>
      <c r="G584" s="717">
        <v>112.589</v>
      </c>
      <c r="H584" s="717">
        <v>0</v>
      </c>
      <c r="I584" s="717">
        <v>0</v>
      </c>
      <c r="J584" s="717">
        <v>0</v>
      </c>
      <c r="K584" s="717">
        <v>0</v>
      </c>
      <c r="L584" s="717">
        <v>0</v>
      </c>
      <c r="M584" s="719">
        <v>389.36</v>
      </c>
      <c r="N584" s="720">
        <f t="shared" si="8"/>
        <v>389.36</v>
      </c>
      <c r="O584" s="1141">
        <f>Tabla1[[#This Row],[Tarifa 2012 (Mx$/ton)]]*(1+IncrementoTarifa)</f>
        <v>408.78906400000005</v>
      </c>
      <c r="P584" s="725"/>
    </row>
    <row r="585" spans="1:16" ht="15" x14ac:dyDescent="0.25">
      <c r="A585" s="716" t="s">
        <v>1649</v>
      </c>
      <c r="B585" s="717" t="s">
        <v>1650</v>
      </c>
      <c r="C585" s="718">
        <v>434</v>
      </c>
      <c r="D585" s="717">
        <v>47.52</v>
      </c>
      <c r="E585" s="717">
        <v>0.33</v>
      </c>
      <c r="F585" s="717">
        <v>190.74</v>
      </c>
      <c r="G585" s="717">
        <v>112.589</v>
      </c>
      <c r="H585" s="717">
        <v>0</v>
      </c>
      <c r="I585" s="717">
        <v>0</v>
      </c>
      <c r="J585" s="717">
        <v>0</v>
      </c>
      <c r="K585" s="717">
        <v>0</v>
      </c>
      <c r="L585" s="717">
        <v>0</v>
      </c>
      <c r="M585" s="719">
        <v>405.49</v>
      </c>
      <c r="N585" s="720">
        <f t="shared" si="8"/>
        <v>405.49</v>
      </c>
      <c r="O585" s="1141">
        <f>Tabla1[[#This Row],[Tarifa 2012 (Mx$/ton)]]*(1+IncrementoTarifa)</f>
        <v>425.72395100000006</v>
      </c>
      <c r="P585" s="725"/>
    </row>
    <row r="586" spans="1:16" ht="15" x14ac:dyDescent="0.25">
      <c r="A586" s="716" t="s">
        <v>1651</v>
      </c>
      <c r="B586" s="717" t="s">
        <v>1652</v>
      </c>
      <c r="C586" s="718">
        <v>464</v>
      </c>
      <c r="D586" s="717">
        <v>47.52</v>
      </c>
      <c r="E586" s="717">
        <v>0.33</v>
      </c>
      <c r="F586" s="717">
        <v>200.64</v>
      </c>
      <c r="G586" s="717">
        <v>112.589</v>
      </c>
      <c r="H586" s="717">
        <v>0</v>
      </c>
      <c r="I586" s="717">
        <v>10</v>
      </c>
      <c r="J586" s="717">
        <v>0</v>
      </c>
      <c r="K586" s="717">
        <v>0</v>
      </c>
      <c r="L586" s="717">
        <v>0</v>
      </c>
      <c r="M586" s="719">
        <v>446.6</v>
      </c>
      <c r="N586" s="720">
        <f t="shared" si="8"/>
        <v>446.6</v>
      </c>
      <c r="O586" s="1141">
        <f>Tabla1[[#This Row],[Tarifa 2012 (Mx$/ton)]]*(1+IncrementoTarifa)</f>
        <v>468.88534000000004</v>
      </c>
      <c r="P586" s="725"/>
    </row>
    <row r="587" spans="1:16" ht="15" x14ac:dyDescent="0.25">
      <c r="A587" s="716" t="s">
        <v>1653</v>
      </c>
      <c r="B587" s="717" t="s">
        <v>1654</v>
      </c>
      <c r="C587" s="718">
        <v>454</v>
      </c>
      <c r="D587" s="717">
        <v>47.52</v>
      </c>
      <c r="E587" s="717">
        <v>0.33</v>
      </c>
      <c r="F587" s="717">
        <v>197.34</v>
      </c>
      <c r="G587" s="717">
        <v>112.589</v>
      </c>
      <c r="H587" s="717">
        <v>0</v>
      </c>
      <c r="I587" s="717">
        <v>0</v>
      </c>
      <c r="J587" s="717">
        <v>0</v>
      </c>
      <c r="K587" s="717">
        <v>0</v>
      </c>
      <c r="L587" s="717">
        <v>0</v>
      </c>
      <c r="M587" s="719">
        <v>419.52</v>
      </c>
      <c r="N587" s="720">
        <f t="shared" si="8"/>
        <v>419.52</v>
      </c>
      <c r="O587" s="1141">
        <f>Tabla1[[#This Row],[Tarifa 2012 (Mx$/ton)]]*(1+IncrementoTarifa)</f>
        <v>440.454048</v>
      </c>
      <c r="P587" s="725"/>
    </row>
    <row r="588" spans="1:16" ht="15" x14ac:dyDescent="0.25">
      <c r="A588" s="716" t="s">
        <v>1655</v>
      </c>
      <c r="B588" s="717" t="s">
        <v>1656</v>
      </c>
      <c r="C588" s="718">
        <v>287</v>
      </c>
      <c r="D588" s="717">
        <v>47.52</v>
      </c>
      <c r="E588" s="717">
        <v>0.33</v>
      </c>
      <c r="F588" s="717">
        <v>142.22999999999999</v>
      </c>
      <c r="G588" s="717">
        <v>112.589</v>
      </c>
      <c r="H588" s="717">
        <v>0</v>
      </c>
      <c r="I588" s="717">
        <v>10</v>
      </c>
      <c r="J588" s="717">
        <v>0</v>
      </c>
      <c r="K588" s="717">
        <v>0</v>
      </c>
      <c r="L588" s="717">
        <v>0</v>
      </c>
      <c r="M588" s="719">
        <v>316.58999999999997</v>
      </c>
      <c r="N588" s="720">
        <f t="shared" si="8"/>
        <v>316.58999999999997</v>
      </c>
      <c r="O588" s="1141">
        <f>Tabla1[[#This Row],[Tarifa 2012 (Mx$/ton)]]*(1+IncrementoTarifa)</f>
        <v>332.38784099999998</v>
      </c>
      <c r="P588" s="725"/>
    </row>
    <row r="589" spans="1:16" ht="15" x14ac:dyDescent="0.25">
      <c r="A589" s="716" t="s">
        <v>1657</v>
      </c>
      <c r="B589" s="717" t="s">
        <v>1658</v>
      </c>
      <c r="C589" s="718">
        <v>198</v>
      </c>
      <c r="D589" s="717">
        <v>47.52</v>
      </c>
      <c r="E589" s="717">
        <v>0.33</v>
      </c>
      <c r="F589" s="717">
        <v>112.86</v>
      </c>
      <c r="G589" s="717">
        <v>112.589</v>
      </c>
      <c r="H589" s="717">
        <v>0</v>
      </c>
      <c r="I589" s="717">
        <v>10</v>
      </c>
      <c r="J589" s="717">
        <v>0</v>
      </c>
      <c r="K589" s="717">
        <v>0</v>
      </c>
      <c r="L589" s="717">
        <v>0</v>
      </c>
      <c r="M589" s="719">
        <v>251.21</v>
      </c>
      <c r="N589" s="720">
        <f t="shared" si="8"/>
        <v>251.21</v>
      </c>
      <c r="O589" s="1141">
        <f>Tabla1[[#This Row],[Tarifa 2012 (Mx$/ton)]]*(1+IncrementoTarifa)</f>
        <v>263.74537900000001</v>
      </c>
      <c r="P589" s="725"/>
    </row>
    <row r="590" spans="1:16" ht="15" x14ac:dyDescent="0.25">
      <c r="A590" s="716" t="s">
        <v>1659</v>
      </c>
      <c r="B590" s="717" t="s">
        <v>1660</v>
      </c>
      <c r="C590" s="718">
        <v>320</v>
      </c>
      <c r="D590" s="717">
        <v>47.52</v>
      </c>
      <c r="E590" s="717">
        <v>0.33</v>
      </c>
      <c r="F590" s="717">
        <v>153.12</v>
      </c>
      <c r="G590" s="717">
        <v>112.589</v>
      </c>
      <c r="H590" s="717">
        <v>0</v>
      </c>
      <c r="I590" s="717">
        <v>10</v>
      </c>
      <c r="J590" s="717">
        <v>0</v>
      </c>
      <c r="K590" s="717">
        <v>0</v>
      </c>
      <c r="L590" s="717">
        <v>0</v>
      </c>
      <c r="M590" s="719">
        <v>340.83</v>
      </c>
      <c r="N590" s="720">
        <f t="shared" si="8"/>
        <v>340.83</v>
      </c>
      <c r="O590" s="1141">
        <f>Tabla1[[#This Row],[Tarifa 2012 (Mx$/ton)]]*(1+IncrementoTarifa)</f>
        <v>357.83741700000002</v>
      </c>
      <c r="P590" s="725"/>
    </row>
    <row r="591" spans="1:16" ht="15" x14ac:dyDescent="0.25">
      <c r="A591" s="716" t="s">
        <v>1661</v>
      </c>
      <c r="B591" s="717" t="s">
        <v>1662</v>
      </c>
      <c r="C591" s="718">
        <v>339</v>
      </c>
      <c r="D591" s="717">
        <v>47.52</v>
      </c>
      <c r="E591" s="717">
        <v>0.33</v>
      </c>
      <c r="F591" s="717">
        <v>159.38999999999999</v>
      </c>
      <c r="G591" s="717">
        <v>112.589</v>
      </c>
      <c r="H591" s="717">
        <v>0</v>
      </c>
      <c r="I591" s="717">
        <v>10</v>
      </c>
      <c r="J591" s="717">
        <v>0</v>
      </c>
      <c r="K591" s="717">
        <v>0</v>
      </c>
      <c r="L591" s="717">
        <v>0</v>
      </c>
      <c r="M591" s="719">
        <v>354.78</v>
      </c>
      <c r="N591" s="720">
        <f t="shared" si="8"/>
        <v>354.78</v>
      </c>
      <c r="O591" s="1141">
        <f>Tabla1[[#This Row],[Tarifa 2012 (Mx$/ton)]]*(1+IncrementoTarifa)</f>
        <v>372.48352199999999</v>
      </c>
      <c r="P591" s="725"/>
    </row>
    <row r="592" spans="1:16" ht="15" x14ac:dyDescent="0.25">
      <c r="A592" s="716" t="s">
        <v>1663</v>
      </c>
      <c r="B592" s="717" t="s">
        <v>1664</v>
      </c>
      <c r="C592" s="718">
        <v>304</v>
      </c>
      <c r="D592" s="717">
        <v>47.52</v>
      </c>
      <c r="E592" s="717">
        <v>0.33</v>
      </c>
      <c r="F592" s="717">
        <v>147.84</v>
      </c>
      <c r="G592" s="717">
        <v>112.589</v>
      </c>
      <c r="H592" s="717">
        <v>0</v>
      </c>
      <c r="I592" s="717">
        <v>10</v>
      </c>
      <c r="J592" s="717">
        <v>0</v>
      </c>
      <c r="K592" s="717">
        <v>0</v>
      </c>
      <c r="L592" s="717">
        <v>0</v>
      </c>
      <c r="M592" s="719">
        <v>329.08</v>
      </c>
      <c r="N592" s="720">
        <f t="shared" si="8"/>
        <v>329.08</v>
      </c>
      <c r="O592" s="1141">
        <f>Tabla1[[#This Row],[Tarifa 2012 (Mx$/ton)]]*(1+IncrementoTarifa)</f>
        <v>345.50109200000003</v>
      </c>
      <c r="P592" s="725"/>
    </row>
    <row r="593" spans="1:16" ht="15" x14ac:dyDescent="0.25">
      <c r="A593" s="716" t="s">
        <v>1665</v>
      </c>
      <c r="B593" s="717" t="s">
        <v>1666</v>
      </c>
      <c r="C593" s="718">
        <v>169</v>
      </c>
      <c r="D593" s="717">
        <v>47.52</v>
      </c>
      <c r="E593" s="717">
        <v>0.33</v>
      </c>
      <c r="F593" s="717">
        <v>103.29</v>
      </c>
      <c r="G593" s="717">
        <v>112.589</v>
      </c>
      <c r="H593" s="717">
        <v>0</v>
      </c>
      <c r="I593" s="717">
        <v>0</v>
      </c>
      <c r="J593" s="717">
        <v>0</v>
      </c>
      <c r="K593" s="717">
        <v>0</v>
      </c>
      <c r="L593" s="717">
        <v>0</v>
      </c>
      <c r="M593" s="719">
        <v>219.58</v>
      </c>
      <c r="N593" s="720">
        <f t="shared" si="8"/>
        <v>219.58</v>
      </c>
      <c r="O593" s="1141">
        <f>Tabla1[[#This Row],[Tarifa 2012 (Mx$/ton)]]*(1+IncrementoTarifa)</f>
        <v>230.53704200000001</v>
      </c>
      <c r="P593" s="725"/>
    </row>
    <row r="594" spans="1:16" ht="15" x14ac:dyDescent="0.25">
      <c r="A594" s="716" t="s">
        <v>1667</v>
      </c>
      <c r="B594" s="717" t="s">
        <v>1668</v>
      </c>
      <c r="C594" s="718">
        <v>192</v>
      </c>
      <c r="D594" s="717">
        <v>47.52</v>
      </c>
      <c r="E594" s="717">
        <v>0.33</v>
      </c>
      <c r="F594" s="717">
        <v>110.88</v>
      </c>
      <c r="G594" s="717">
        <v>112.589</v>
      </c>
      <c r="H594" s="717">
        <v>0</v>
      </c>
      <c r="I594" s="717">
        <v>0</v>
      </c>
      <c r="J594" s="717">
        <v>0</v>
      </c>
      <c r="K594" s="717">
        <v>0</v>
      </c>
      <c r="L594" s="717">
        <v>0</v>
      </c>
      <c r="M594" s="719">
        <v>235.72</v>
      </c>
      <c r="N594" s="720">
        <f t="shared" ref="N594:N657" si="9">M594*(1+$O$2)</f>
        <v>235.72</v>
      </c>
      <c r="O594" s="1141">
        <f>Tabla1[[#This Row],[Tarifa 2012 (Mx$/ton)]]*(1+IncrementoTarifa)</f>
        <v>247.482428</v>
      </c>
      <c r="P594" s="725"/>
    </row>
    <row r="595" spans="1:16" ht="15" x14ac:dyDescent="0.25">
      <c r="A595" s="716" t="s">
        <v>1669</v>
      </c>
      <c r="B595" s="717" t="s">
        <v>1670</v>
      </c>
      <c r="C595" s="718">
        <v>124</v>
      </c>
      <c r="D595" s="717">
        <v>47.52</v>
      </c>
      <c r="E595" s="717">
        <v>0.33</v>
      </c>
      <c r="F595" s="717">
        <v>88.44</v>
      </c>
      <c r="G595" s="717">
        <v>112.589</v>
      </c>
      <c r="H595" s="717">
        <v>0</v>
      </c>
      <c r="I595" s="717">
        <v>0</v>
      </c>
      <c r="J595" s="717">
        <v>0</v>
      </c>
      <c r="K595" s="717">
        <v>0</v>
      </c>
      <c r="L595" s="717">
        <v>0</v>
      </c>
      <c r="M595" s="719">
        <v>188.01</v>
      </c>
      <c r="N595" s="720">
        <f t="shared" si="9"/>
        <v>188.01</v>
      </c>
      <c r="O595" s="1141">
        <f>Tabla1[[#This Row],[Tarifa 2012 (Mx$/ton)]]*(1+IncrementoTarifa)</f>
        <v>197.39169899999999</v>
      </c>
      <c r="P595" s="725"/>
    </row>
    <row r="596" spans="1:16" ht="15" x14ac:dyDescent="0.25">
      <c r="A596" s="716" t="s">
        <v>1671</v>
      </c>
      <c r="B596" s="717" t="s">
        <v>1672</v>
      </c>
      <c r="C596" s="718">
        <v>270</v>
      </c>
      <c r="D596" s="717">
        <v>47.52</v>
      </c>
      <c r="E596" s="717">
        <v>0.33</v>
      </c>
      <c r="F596" s="717">
        <v>136.62</v>
      </c>
      <c r="G596" s="717">
        <v>112.589</v>
      </c>
      <c r="H596" s="717">
        <v>0</v>
      </c>
      <c r="I596" s="717">
        <v>10</v>
      </c>
      <c r="J596" s="717">
        <v>0</v>
      </c>
      <c r="K596" s="717">
        <v>0</v>
      </c>
      <c r="L596" s="717">
        <v>0</v>
      </c>
      <c r="M596" s="719">
        <v>304.10000000000002</v>
      </c>
      <c r="N596" s="720">
        <f t="shared" si="9"/>
        <v>304.10000000000002</v>
      </c>
      <c r="O596" s="1141">
        <f>Tabla1[[#This Row],[Tarifa 2012 (Mx$/ton)]]*(1+IncrementoTarifa)</f>
        <v>319.27459000000005</v>
      </c>
      <c r="P596" s="725"/>
    </row>
    <row r="597" spans="1:16" ht="15" x14ac:dyDescent="0.25">
      <c r="A597" s="716" t="s">
        <v>1673</v>
      </c>
      <c r="B597" s="717" t="s">
        <v>1674</v>
      </c>
      <c r="C597" s="718">
        <v>184</v>
      </c>
      <c r="D597" s="717">
        <v>47.52</v>
      </c>
      <c r="E597" s="717">
        <v>0.33</v>
      </c>
      <c r="F597" s="717">
        <v>108.24</v>
      </c>
      <c r="G597" s="717">
        <v>112.589</v>
      </c>
      <c r="H597" s="717">
        <v>0</v>
      </c>
      <c r="I597" s="717">
        <v>0</v>
      </c>
      <c r="J597" s="717">
        <v>0</v>
      </c>
      <c r="K597" s="717">
        <v>0</v>
      </c>
      <c r="L597" s="717">
        <v>0</v>
      </c>
      <c r="M597" s="719">
        <v>230.11</v>
      </c>
      <c r="N597" s="720">
        <f t="shared" si="9"/>
        <v>230.11</v>
      </c>
      <c r="O597" s="1141">
        <f>Tabla1[[#This Row],[Tarifa 2012 (Mx$/ton)]]*(1+IncrementoTarifa)</f>
        <v>241.59248900000003</v>
      </c>
      <c r="P597" s="725"/>
    </row>
    <row r="598" spans="1:16" ht="15" x14ac:dyDescent="0.25">
      <c r="A598" s="716" t="s">
        <v>1675</v>
      </c>
      <c r="B598" s="717" t="s">
        <v>1676</v>
      </c>
      <c r="C598" s="718">
        <v>145</v>
      </c>
      <c r="D598" s="717">
        <v>47.52</v>
      </c>
      <c r="E598" s="717">
        <v>0.33</v>
      </c>
      <c r="F598" s="717">
        <v>95.37</v>
      </c>
      <c r="G598" s="717">
        <v>112.589</v>
      </c>
      <c r="H598" s="717">
        <v>0</v>
      </c>
      <c r="I598" s="717">
        <v>0</v>
      </c>
      <c r="J598" s="717">
        <v>0</v>
      </c>
      <c r="K598" s="717">
        <v>0</v>
      </c>
      <c r="L598" s="717">
        <v>0</v>
      </c>
      <c r="M598" s="719">
        <v>202.75</v>
      </c>
      <c r="N598" s="720">
        <f t="shared" si="9"/>
        <v>202.75</v>
      </c>
      <c r="O598" s="1141">
        <f>Tabla1[[#This Row],[Tarifa 2012 (Mx$/ton)]]*(1+IncrementoTarifa)</f>
        <v>212.86722500000002</v>
      </c>
      <c r="P598" s="725"/>
    </row>
    <row r="599" spans="1:16" ht="15" x14ac:dyDescent="0.25">
      <c r="A599" s="716" t="s">
        <v>1677</v>
      </c>
      <c r="B599" s="717" t="s">
        <v>1678</v>
      </c>
      <c r="C599" s="718">
        <v>288</v>
      </c>
      <c r="D599" s="717">
        <v>47.52</v>
      </c>
      <c r="E599" s="717">
        <v>0.33</v>
      </c>
      <c r="F599" s="717">
        <v>142.56</v>
      </c>
      <c r="G599" s="717">
        <v>112.589</v>
      </c>
      <c r="H599" s="717">
        <v>0</v>
      </c>
      <c r="I599" s="717">
        <v>0</v>
      </c>
      <c r="J599" s="717">
        <v>0</v>
      </c>
      <c r="K599" s="717">
        <v>0</v>
      </c>
      <c r="L599" s="717">
        <v>0</v>
      </c>
      <c r="M599" s="719">
        <v>303.07</v>
      </c>
      <c r="N599" s="720">
        <f t="shared" si="9"/>
        <v>303.07</v>
      </c>
      <c r="O599" s="1141">
        <f>Tabla1[[#This Row],[Tarifa 2012 (Mx$/ton)]]*(1+IncrementoTarifa)</f>
        <v>318.19319300000001</v>
      </c>
      <c r="P599" s="725"/>
    </row>
    <row r="600" spans="1:16" ht="15" x14ac:dyDescent="0.25">
      <c r="A600" s="716" t="s">
        <v>1679</v>
      </c>
      <c r="B600" s="717" t="s">
        <v>1680</v>
      </c>
      <c r="C600" s="718">
        <v>352</v>
      </c>
      <c r="D600" s="717">
        <v>47.52</v>
      </c>
      <c r="E600" s="717">
        <v>0.33</v>
      </c>
      <c r="F600" s="717">
        <v>163.68</v>
      </c>
      <c r="G600" s="717">
        <v>112.589</v>
      </c>
      <c r="H600" s="717">
        <v>0</v>
      </c>
      <c r="I600" s="717">
        <v>10</v>
      </c>
      <c r="J600" s="717">
        <v>0</v>
      </c>
      <c r="K600" s="717">
        <v>0</v>
      </c>
      <c r="L600" s="717">
        <v>0</v>
      </c>
      <c r="M600" s="719">
        <v>364.33</v>
      </c>
      <c r="N600" s="720">
        <f t="shared" si="9"/>
        <v>364.33</v>
      </c>
      <c r="O600" s="1141">
        <f>Tabla1[[#This Row],[Tarifa 2012 (Mx$/ton)]]*(1+IncrementoTarifa)</f>
        <v>382.51006699999999</v>
      </c>
      <c r="P600" s="725"/>
    </row>
    <row r="601" spans="1:16" ht="15" x14ac:dyDescent="0.25">
      <c r="A601" s="716" t="s">
        <v>1681</v>
      </c>
      <c r="B601" s="717" t="s">
        <v>1682</v>
      </c>
      <c r="C601" s="718">
        <v>210</v>
      </c>
      <c r="D601" s="717">
        <v>47.52</v>
      </c>
      <c r="E601" s="717">
        <v>0.33</v>
      </c>
      <c r="F601" s="717">
        <v>116.82</v>
      </c>
      <c r="G601" s="717">
        <v>112.589</v>
      </c>
      <c r="H601" s="717">
        <v>0</v>
      </c>
      <c r="I601" s="717">
        <v>0</v>
      </c>
      <c r="J601" s="717">
        <v>0</v>
      </c>
      <c r="K601" s="717">
        <v>0</v>
      </c>
      <c r="L601" s="717">
        <v>0</v>
      </c>
      <c r="M601" s="719">
        <v>248.35</v>
      </c>
      <c r="N601" s="720">
        <f t="shared" si="9"/>
        <v>248.35</v>
      </c>
      <c r="O601" s="1141">
        <f>Tabla1[[#This Row],[Tarifa 2012 (Mx$/ton)]]*(1+IncrementoTarifa)</f>
        <v>260.74266499999999</v>
      </c>
      <c r="P601" s="725"/>
    </row>
    <row r="602" spans="1:16" ht="15" x14ac:dyDescent="0.25">
      <c r="A602" s="716" t="s">
        <v>1683</v>
      </c>
      <c r="B602" s="717" t="s">
        <v>1684</v>
      </c>
      <c r="C602" s="718">
        <v>190</v>
      </c>
      <c r="D602" s="717">
        <v>47.52</v>
      </c>
      <c r="E602" s="717">
        <v>0.33</v>
      </c>
      <c r="F602" s="717">
        <v>110.22</v>
      </c>
      <c r="G602" s="717">
        <v>112.589</v>
      </c>
      <c r="H602" s="717">
        <v>73.549000000000007</v>
      </c>
      <c r="I602" s="717">
        <v>0</v>
      </c>
      <c r="J602" s="717">
        <v>0</v>
      </c>
      <c r="K602" s="717">
        <v>0</v>
      </c>
      <c r="L602" s="717">
        <v>0</v>
      </c>
      <c r="M602" s="719">
        <v>315.38</v>
      </c>
      <c r="N602" s="720">
        <f t="shared" si="9"/>
        <v>315.38</v>
      </c>
      <c r="O602" s="1141">
        <f>Tabla1[[#This Row],[Tarifa 2012 (Mx$/ton)]]*(1+IncrementoTarifa)</f>
        <v>331.11746199999999</v>
      </c>
      <c r="P602" s="725"/>
    </row>
    <row r="603" spans="1:16" ht="15" x14ac:dyDescent="0.25">
      <c r="A603" s="716" t="s">
        <v>1685</v>
      </c>
      <c r="B603" s="717" t="s">
        <v>1686</v>
      </c>
      <c r="C603" s="718">
        <v>308</v>
      </c>
      <c r="D603" s="717">
        <v>47.52</v>
      </c>
      <c r="E603" s="717">
        <v>0.33</v>
      </c>
      <c r="F603" s="717">
        <v>149.16</v>
      </c>
      <c r="G603" s="717">
        <v>112.589</v>
      </c>
      <c r="H603" s="717">
        <v>0</v>
      </c>
      <c r="I603" s="717">
        <v>10</v>
      </c>
      <c r="J603" s="717">
        <v>0</v>
      </c>
      <c r="K603" s="717">
        <v>0</v>
      </c>
      <c r="L603" s="717">
        <v>0</v>
      </c>
      <c r="M603" s="719">
        <v>332.01</v>
      </c>
      <c r="N603" s="720">
        <f t="shared" si="9"/>
        <v>332.01</v>
      </c>
      <c r="O603" s="1141">
        <f>Tabla1[[#This Row],[Tarifa 2012 (Mx$/ton)]]*(1+IncrementoTarifa)</f>
        <v>348.57729899999998</v>
      </c>
      <c r="P603" s="725"/>
    </row>
    <row r="604" spans="1:16" ht="15" x14ac:dyDescent="0.25">
      <c r="A604" s="716" t="s">
        <v>1687</v>
      </c>
      <c r="B604" s="717" t="s">
        <v>1688</v>
      </c>
      <c r="C604" s="718">
        <v>825</v>
      </c>
      <c r="D604" s="717">
        <v>47.52</v>
      </c>
      <c r="E604" s="717">
        <v>0.33</v>
      </c>
      <c r="F604" s="717">
        <v>319.77</v>
      </c>
      <c r="G604" s="717">
        <v>112.589</v>
      </c>
      <c r="H604" s="717">
        <v>0</v>
      </c>
      <c r="I604" s="717">
        <v>10</v>
      </c>
      <c r="J604" s="717">
        <v>0</v>
      </c>
      <c r="K604" s="717">
        <v>0</v>
      </c>
      <c r="L604" s="717">
        <v>0</v>
      </c>
      <c r="M604" s="719">
        <v>711.77</v>
      </c>
      <c r="N604" s="720">
        <f t="shared" si="9"/>
        <v>711.77</v>
      </c>
      <c r="O604" s="1141">
        <f>Tabla1[[#This Row],[Tarifa 2012 (Mx$/ton)]]*(1+IncrementoTarifa)</f>
        <v>747.28732300000001</v>
      </c>
      <c r="P604" s="725"/>
    </row>
    <row r="605" spans="1:16" ht="15" x14ac:dyDescent="0.25">
      <c r="A605" s="716" t="s">
        <v>1689</v>
      </c>
      <c r="B605" s="717" t="s">
        <v>1690</v>
      </c>
      <c r="C605" s="718">
        <v>417</v>
      </c>
      <c r="D605" s="717">
        <v>47.52</v>
      </c>
      <c r="E605" s="717">
        <v>0.33</v>
      </c>
      <c r="F605" s="717">
        <v>185.13</v>
      </c>
      <c r="G605" s="717">
        <v>112.589</v>
      </c>
      <c r="H605" s="717">
        <v>0</v>
      </c>
      <c r="I605" s="717">
        <v>10</v>
      </c>
      <c r="J605" s="717">
        <v>0</v>
      </c>
      <c r="K605" s="717">
        <v>0</v>
      </c>
      <c r="L605" s="717">
        <v>0</v>
      </c>
      <c r="M605" s="719">
        <v>412.08</v>
      </c>
      <c r="N605" s="720">
        <f t="shared" si="9"/>
        <v>412.08</v>
      </c>
      <c r="O605" s="1141">
        <f>Tabla1[[#This Row],[Tarifa 2012 (Mx$/ton)]]*(1+IncrementoTarifa)</f>
        <v>432.64279199999999</v>
      </c>
      <c r="P605" s="725"/>
    </row>
    <row r="606" spans="1:16" ht="15" x14ac:dyDescent="0.25">
      <c r="A606" s="716" t="s">
        <v>1691</v>
      </c>
      <c r="B606" s="717" t="s">
        <v>1692</v>
      </c>
      <c r="C606" s="718">
        <v>224</v>
      </c>
      <c r="D606" s="717">
        <v>47.52</v>
      </c>
      <c r="E606" s="717">
        <v>0.33</v>
      </c>
      <c r="F606" s="717">
        <v>121.44</v>
      </c>
      <c r="G606" s="717">
        <v>112.589</v>
      </c>
      <c r="H606" s="717">
        <v>0</v>
      </c>
      <c r="I606" s="717">
        <v>10</v>
      </c>
      <c r="J606" s="717">
        <v>0</v>
      </c>
      <c r="K606" s="717">
        <v>0</v>
      </c>
      <c r="L606" s="717">
        <v>0</v>
      </c>
      <c r="M606" s="719">
        <v>270.31</v>
      </c>
      <c r="N606" s="720">
        <f t="shared" si="9"/>
        <v>270.31</v>
      </c>
      <c r="O606" s="1141">
        <f>Tabla1[[#This Row],[Tarifa 2012 (Mx$/ton)]]*(1+IncrementoTarifa)</f>
        <v>283.79846900000001</v>
      </c>
      <c r="P606" s="725"/>
    </row>
    <row r="607" spans="1:16" ht="15" x14ac:dyDescent="0.25">
      <c r="A607" s="716" t="s">
        <v>1693</v>
      </c>
      <c r="B607" s="717" t="s">
        <v>1694</v>
      </c>
      <c r="C607" s="718">
        <v>223</v>
      </c>
      <c r="D607" s="717">
        <v>47.52</v>
      </c>
      <c r="E607" s="717">
        <v>0.33</v>
      </c>
      <c r="F607" s="717">
        <v>121.11</v>
      </c>
      <c r="G607" s="717">
        <v>112.589</v>
      </c>
      <c r="H607" s="717">
        <v>0</v>
      </c>
      <c r="I607" s="717">
        <v>10</v>
      </c>
      <c r="J607" s="717">
        <v>0</v>
      </c>
      <c r="K607" s="717">
        <v>0</v>
      </c>
      <c r="L607" s="717">
        <v>0</v>
      </c>
      <c r="M607" s="719">
        <v>269.58</v>
      </c>
      <c r="N607" s="720">
        <f t="shared" si="9"/>
        <v>269.58</v>
      </c>
      <c r="O607" s="1141">
        <f>Tabla1[[#This Row],[Tarifa 2012 (Mx$/ton)]]*(1+IncrementoTarifa)</f>
        <v>283.03204199999999</v>
      </c>
      <c r="P607" s="725"/>
    </row>
    <row r="608" spans="1:16" ht="15" x14ac:dyDescent="0.25">
      <c r="A608" s="716" t="s">
        <v>1695</v>
      </c>
      <c r="B608" s="717" t="s">
        <v>1696</v>
      </c>
      <c r="C608" s="718">
        <v>257</v>
      </c>
      <c r="D608" s="717">
        <v>47.52</v>
      </c>
      <c r="E608" s="717">
        <v>0.33</v>
      </c>
      <c r="F608" s="717">
        <v>0</v>
      </c>
      <c r="G608" s="717">
        <v>112.589</v>
      </c>
      <c r="H608" s="717">
        <v>0</v>
      </c>
      <c r="I608" s="717">
        <v>0</v>
      </c>
      <c r="J608" s="717">
        <v>0</v>
      </c>
      <c r="K608" s="717">
        <v>0</v>
      </c>
      <c r="L608" s="717">
        <v>0</v>
      </c>
      <c r="M608" s="719">
        <v>281.31902370000006</v>
      </c>
      <c r="N608" s="720">
        <f t="shared" si="9"/>
        <v>281.31902370000006</v>
      </c>
      <c r="O608" s="1141">
        <f>Tabla1[[#This Row],[Tarifa 2012 (Mx$/ton)]]*(1+IncrementoTarifa)</f>
        <v>295.3568429826301</v>
      </c>
      <c r="P608" s="725"/>
    </row>
    <row r="609" spans="1:16" ht="15" x14ac:dyDescent="0.25">
      <c r="A609" s="716" t="s">
        <v>1697</v>
      </c>
      <c r="B609" s="717" t="s">
        <v>1698</v>
      </c>
      <c r="C609" s="718">
        <v>74</v>
      </c>
      <c r="D609" s="717">
        <v>47.52</v>
      </c>
      <c r="E609" s="717">
        <v>0.33</v>
      </c>
      <c r="F609" s="717">
        <v>71.94</v>
      </c>
      <c r="G609" s="717">
        <v>112.589</v>
      </c>
      <c r="H609" s="717">
        <v>0</v>
      </c>
      <c r="I609" s="717">
        <v>0</v>
      </c>
      <c r="J609" s="717">
        <v>0</v>
      </c>
      <c r="K609" s="717">
        <v>0</v>
      </c>
      <c r="L609" s="717">
        <v>0</v>
      </c>
      <c r="M609" s="719">
        <v>152.94</v>
      </c>
      <c r="N609" s="720">
        <f t="shared" si="9"/>
        <v>152.94</v>
      </c>
      <c r="O609" s="1141">
        <f>Tabla1[[#This Row],[Tarifa 2012 (Mx$/ton)]]*(1+IncrementoTarifa)</f>
        <v>160.57170600000001</v>
      </c>
      <c r="P609" s="725"/>
    </row>
    <row r="610" spans="1:16" ht="15" x14ac:dyDescent="0.25">
      <c r="A610" s="716" t="s">
        <v>562</v>
      </c>
      <c r="B610" s="717" t="s">
        <v>1699</v>
      </c>
      <c r="C610" s="718">
        <v>605</v>
      </c>
      <c r="D610" s="717">
        <v>47.52</v>
      </c>
      <c r="E610" s="717">
        <v>0.33</v>
      </c>
      <c r="F610" s="717">
        <v>247.17</v>
      </c>
      <c r="G610" s="717">
        <v>112.589</v>
      </c>
      <c r="H610" s="717">
        <v>0</v>
      </c>
      <c r="I610" s="717">
        <v>0</v>
      </c>
      <c r="J610" s="717">
        <v>0</v>
      </c>
      <c r="K610" s="717">
        <v>0</v>
      </c>
      <c r="L610" s="717">
        <v>0</v>
      </c>
      <c r="M610" s="719">
        <v>525.46</v>
      </c>
      <c r="N610" s="720">
        <f t="shared" si="9"/>
        <v>525.46</v>
      </c>
      <c r="O610" s="1141">
        <f>Tabla1[[#This Row],[Tarifa 2012 (Mx$/ton)]]*(1+IncrementoTarifa)</f>
        <v>551.68045400000005</v>
      </c>
      <c r="P610" s="725"/>
    </row>
    <row r="611" spans="1:16" ht="15" x14ac:dyDescent="0.25">
      <c r="A611" s="716" t="s">
        <v>1700</v>
      </c>
      <c r="B611" s="717" t="s">
        <v>1670</v>
      </c>
      <c r="C611" s="718">
        <v>688</v>
      </c>
      <c r="D611" s="717">
        <v>47.52</v>
      </c>
      <c r="E611" s="717">
        <v>0.33</v>
      </c>
      <c r="F611" s="717">
        <v>274.56</v>
      </c>
      <c r="G611" s="717">
        <v>112.589</v>
      </c>
      <c r="H611" s="717">
        <v>0</v>
      </c>
      <c r="I611" s="717">
        <v>0</v>
      </c>
      <c r="J611" s="717">
        <v>0</v>
      </c>
      <c r="K611" s="717">
        <v>0</v>
      </c>
      <c r="L611" s="717">
        <v>0</v>
      </c>
      <c r="M611" s="719">
        <v>583.67999999999995</v>
      </c>
      <c r="N611" s="720">
        <f t="shared" si="9"/>
        <v>583.67999999999995</v>
      </c>
      <c r="O611" s="1141">
        <f>Tabla1[[#This Row],[Tarifa 2012 (Mx$/ton)]]*(1+IncrementoTarifa)</f>
        <v>612.80563199999995</v>
      </c>
      <c r="P611" s="725"/>
    </row>
    <row r="612" spans="1:16" ht="15" x14ac:dyDescent="0.25">
      <c r="A612" s="716" t="s">
        <v>1701</v>
      </c>
      <c r="B612" s="717" t="s">
        <v>1702</v>
      </c>
      <c r="C612" s="718">
        <v>764</v>
      </c>
      <c r="D612" s="717">
        <v>47.52</v>
      </c>
      <c r="E612" s="717">
        <v>0.33</v>
      </c>
      <c r="F612" s="717">
        <v>299.64</v>
      </c>
      <c r="G612" s="717">
        <v>112.589</v>
      </c>
      <c r="H612" s="717">
        <v>0</v>
      </c>
      <c r="I612" s="717">
        <v>0</v>
      </c>
      <c r="J612" s="717">
        <v>0</v>
      </c>
      <c r="K612" s="717">
        <v>0</v>
      </c>
      <c r="L612" s="717">
        <v>0</v>
      </c>
      <c r="M612" s="719">
        <v>637</v>
      </c>
      <c r="N612" s="720">
        <f t="shared" si="9"/>
        <v>637</v>
      </c>
      <c r="O612" s="1141">
        <f>Tabla1[[#This Row],[Tarifa 2012 (Mx$/ton)]]*(1+IncrementoTarifa)</f>
        <v>668.78629999999998</v>
      </c>
      <c r="P612" s="725"/>
    </row>
    <row r="613" spans="1:16" ht="15" x14ac:dyDescent="0.25">
      <c r="A613" s="716" t="s">
        <v>1703</v>
      </c>
      <c r="B613" s="717" t="s">
        <v>1704</v>
      </c>
      <c r="C613" s="718">
        <v>430</v>
      </c>
      <c r="D613" s="717">
        <v>47.52</v>
      </c>
      <c r="E613" s="717">
        <v>0.33</v>
      </c>
      <c r="F613" s="717">
        <v>189.42</v>
      </c>
      <c r="G613" s="717">
        <v>112.589</v>
      </c>
      <c r="H613" s="717">
        <v>0</v>
      </c>
      <c r="I613" s="717">
        <v>10</v>
      </c>
      <c r="J613" s="717">
        <v>0</v>
      </c>
      <c r="K613" s="717">
        <v>0</v>
      </c>
      <c r="L613" s="717">
        <v>0</v>
      </c>
      <c r="M613" s="719">
        <v>421.63</v>
      </c>
      <c r="N613" s="720">
        <f t="shared" si="9"/>
        <v>421.63</v>
      </c>
      <c r="O613" s="1141">
        <f>Tabla1[[#This Row],[Tarifa 2012 (Mx$/ton)]]*(1+IncrementoTarifa)</f>
        <v>442.66933700000004</v>
      </c>
      <c r="P613" s="725"/>
    </row>
    <row r="614" spans="1:16" ht="15" x14ac:dyDescent="0.25">
      <c r="A614" s="716" t="s">
        <v>1705</v>
      </c>
      <c r="B614" s="717" t="s">
        <v>1706</v>
      </c>
      <c r="C614" s="718">
        <v>365</v>
      </c>
      <c r="D614" s="717">
        <v>47.52</v>
      </c>
      <c r="E614" s="717">
        <v>0.33</v>
      </c>
      <c r="F614" s="717">
        <v>167.97</v>
      </c>
      <c r="G614" s="717">
        <v>112.589</v>
      </c>
      <c r="H614" s="717">
        <v>0</v>
      </c>
      <c r="I614" s="717">
        <v>0</v>
      </c>
      <c r="J614" s="717">
        <v>0</v>
      </c>
      <c r="K614" s="717">
        <v>0</v>
      </c>
      <c r="L614" s="717">
        <v>0</v>
      </c>
      <c r="M614" s="719">
        <v>357.09</v>
      </c>
      <c r="N614" s="720">
        <f t="shared" si="9"/>
        <v>357.09</v>
      </c>
      <c r="O614" s="1141">
        <f>Tabla1[[#This Row],[Tarifa 2012 (Mx$/ton)]]*(1+IncrementoTarifa)</f>
        <v>374.90879100000001</v>
      </c>
      <c r="P614" s="725"/>
    </row>
    <row r="615" spans="1:16" ht="15" x14ac:dyDescent="0.25">
      <c r="A615" s="716" t="s">
        <v>1707</v>
      </c>
      <c r="B615" s="717" t="s">
        <v>1708</v>
      </c>
      <c r="C615" s="718">
        <v>763</v>
      </c>
      <c r="D615" s="717">
        <v>47.52</v>
      </c>
      <c r="E615" s="717">
        <v>0.33</v>
      </c>
      <c r="F615" s="717">
        <v>299.31</v>
      </c>
      <c r="G615" s="717">
        <v>112.589</v>
      </c>
      <c r="H615" s="717">
        <v>0</v>
      </c>
      <c r="I615" s="717">
        <v>0</v>
      </c>
      <c r="J615" s="717">
        <v>0</v>
      </c>
      <c r="K615" s="717">
        <v>0</v>
      </c>
      <c r="L615" s="717">
        <v>0</v>
      </c>
      <c r="M615" s="719">
        <v>636.29999999999995</v>
      </c>
      <c r="N615" s="720">
        <f t="shared" si="9"/>
        <v>636.29999999999995</v>
      </c>
      <c r="O615" s="1141">
        <f>Tabla1[[#This Row],[Tarifa 2012 (Mx$/ton)]]*(1+IncrementoTarifa)</f>
        <v>668.05137000000002</v>
      </c>
      <c r="P615" s="725"/>
    </row>
    <row r="616" spans="1:16" ht="15" x14ac:dyDescent="0.25">
      <c r="A616" s="716" t="s">
        <v>1709</v>
      </c>
      <c r="B616" s="717" t="s">
        <v>1710</v>
      </c>
      <c r="C616" s="718">
        <v>708</v>
      </c>
      <c r="D616" s="717">
        <v>47.52</v>
      </c>
      <c r="E616" s="717">
        <v>0.33</v>
      </c>
      <c r="F616" s="717">
        <v>281.16000000000003</v>
      </c>
      <c r="G616" s="717">
        <v>112.589</v>
      </c>
      <c r="H616" s="717">
        <v>0</v>
      </c>
      <c r="I616" s="717">
        <v>0</v>
      </c>
      <c r="J616" s="717">
        <v>0</v>
      </c>
      <c r="K616" s="717">
        <v>0</v>
      </c>
      <c r="L616" s="717">
        <v>0</v>
      </c>
      <c r="M616" s="719">
        <v>597.72</v>
      </c>
      <c r="N616" s="720">
        <f t="shared" si="9"/>
        <v>597.72</v>
      </c>
      <c r="O616" s="1141">
        <f>Tabla1[[#This Row],[Tarifa 2012 (Mx$/ton)]]*(1+IncrementoTarifa)</f>
        <v>627.54622800000004</v>
      </c>
      <c r="P616" s="725"/>
    </row>
    <row r="617" spans="1:16" ht="15" x14ac:dyDescent="0.25">
      <c r="A617" s="716" t="s">
        <v>1711</v>
      </c>
      <c r="B617" s="717" t="s">
        <v>1712</v>
      </c>
      <c r="C617" s="718">
        <v>1020</v>
      </c>
      <c r="D617" s="717">
        <v>47.52</v>
      </c>
      <c r="E617" s="717">
        <v>0.33</v>
      </c>
      <c r="F617" s="717">
        <v>384.12</v>
      </c>
      <c r="G617" s="717">
        <v>112.589</v>
      </c>
      <c r="H617" s="717">
        <v>0</v>
      </c>
      <c r="I617" s="717">
        <v>0</v>
      </c>
      <c r="J617" s="717">
        <v>0</v>
      </c>
      <c r="K617" s="717">
        <v>0</v>
      </c>
      <c r="L617" s="717">
        <v>0</v>
      </c>
      <c r="M617" s="719">
        <v>816.6</v>
      </c>
      <c r="N617" s="720">
        <f t="shared" si="9"/>
        <v>816.6</v>
      </c>
      <c r="O617" s="1141">
        <f>Tabla1[[#This Row],[Tarifa 2012 (Mx$/ton)]]*(1+IncrementoTarifa)</f>
        <v>857.34834000000012</v>
      </c>
      <c r="P617" s="725"/>
    </row>
    <row r="618" spans="1:16" ht="15" x14ac:dyDescent="0.25">
      <c r="A618" s="716" t="s">
        <v>1713</v>
      </c>
      <c r="B618" s="717" t="s">
        <v>1714</v>
      </c>
      <c r="C618" s="718">
        <v>1102</v>
      </c>
      <c r="D618" s="717">
        <v>47.52</v>
      </c>
      <c r="E618" s="717">
        <v>0.33</v>
      </c>
      <c r="F618" s="717">
        <v>411.18</v>
      </c>
      <c r="G618" s="717">
        <v>112.589</v>
      </c>
      <c r="H618" s="717">
        <v>0</v>
      </c>
      <c r="I618" s="717">
        <v>0</v>
      </c>
      <c r="J618" s="717">
        <v>0</v>
      </c>
      <c r="K618" s="717">
        <v>0</v>
      </c>
      <c r="L618" s="717">
        <v>0</v>
      </c>
      <c r="M618" s="719">
        <v>874.12</v>
      </c>
      <c r="N618" s="720">
        <f t="shared" si="9"/>
        <v>874.12</v>
      </c>
      <c r="O618" s="1141">
        <f>Tabla1[[#This Row],[Tarifa 2012 (Mx$/ton)]]*(1+IncrementoTarifa)</f>
        <v>917.73858800000005</v>
      </c>
      <c r="P618" s="725"/>
    </row>
    <row r="619" spans="1:16" ht="15" x14ac:dyDescent="0.25">
      <c r="A619" s="716" t="s">
        <v>1715</v>
      </c>
      <c r="B619" s="717" t="s">
        <v>1716</v>
      </c>
      <c r="C619" s="718">
        <v>1375</v>
      </c>
      <c r="D619" s="717">
        <v>47.52</v>
      </c>
      <c r="E619" s="717">
        <v>0.33</v>
      </c>
      <c r="F619" s="717">
        <v>501.27</v>
      </c>
      <c r="G619" s="717">
        <v>112.589</v>
      </c>
      <c r="H619" s="717">
        <v>0</v>
      </c>
      <c r="I619" s="717">
        <v>0</v>
      </c>
      <c r="J619" s="717">
        <v>0</v>
      </c>
      <c r="K619" s="717">
        <v>0</v>
      </c>
      <c r="L619" s="717">
        <v>0</v>
      </c>
      <c r="M619" s="719">
        <v>1065.6400000000001</v>
      </c>
      <c r="N619" s="720">
        <f t="shared" si="9"/>
        <v>1065.6400000000001</v>
      </c>
      <c r="O619" s="1141">
        <f>Tabla1[[#This Row],[Tarifa 2012 (Mx$/ton)]]*(1+IncrementoTarifa)</f>
        <v>1118.8154360000001</v>
      </c>
      <c r="P619" s="725"/>
    </row>
    <row r="620" spans="1:16" ht="15" x14ac:dyDescent="0.25">
      <c r="A620" s="716" t="s">
        <v>1717</v>
      </c>
      <c r="B620" s="717" t="s">
        <v>1718</v>
      </c>
      <c r="C620" s="718">
        <v>1318</v>
      </c>
      <c r="D620" s="717">
        <v>47.52</v>
      </c>
      <c r="E620" s="717">
        <v>0.33</v>
      </c>
      <c r="F620" s="717">
        <v>482.46</v>
      </c>
      <c r="G620" s="717">
        <v>112.589</v>
      </c>
      <c r="H620" s="717">
        <v>0</v>
      </c>
      <c r="I620" s="717">
        <v>0</v>
      </c>
      <c r="J620" s="717">
        <v>0</v>
      </c>
      <c r="K620" s="717">
        <v>0</v>
      </c>
      <c r="L620" s="717">
        <v>0</v>
      </c>
      <c r="M620" s="719">
        <v>1025.6600000000001</v>
      </c>
      <c r="N620" s="720">
        <f t="shared" si="9"/>
        <v>1025.6600000000001</v>
      </c>
      <c r="O620" s="1141">
        <f>Tabla1[[#This Row],[Tarifa 2012 (Mx$/ton)]]*(1+IncrementoTarifa)</f>
        <v>1076.8404340000002</v>
      </c>
      <c r="P620" s="725"/>
    </row>
    <row r="621" spans="1:16" ht="15" x14ac:dyDescent="0.25">
      <c r="A621" s="716" t="s">
        <v>1719</v>
      </c>
      <c r="B621" s="717" t="s">
        <v>1720</v>
      </c>
      <c r="C621" s="718">
        <v>1284</v>
      </c>
      <c r="D621" s="717">
        <v>47.52</v>
      </c>
      <c r="E621" s="717">
        <v>0.33</v>
      </c>
      <c r="F621" s="717">
        <v>471.24</v>
      </c>
      <c r="G621" s="717">
        <v>112.589</v>
      </c>
      <c r="H621" s="717">
        <v>0</v>
      </c>
      <c r="I621" s="717">
        <v>0</v>
      </c>
      <c r="J621" s="717">
        <v>0</v>
      </c>
      <c r="K621" s="717">
        <v>0</v>
      </c>
      <c r="L621" s="717">
        <v>0</v>
      </c>
      <c r="M621" s="719">
        <v>1001.8</v>
      </c>
      <c r="N621" s="720">
        <f t="shared" si="9"/>
        <v>1001.8</v>
      </c>
      <c r="O621" s="1141">
        <f>Tabla1[[#This Row],[Tarifa 2012 (Mx$/ton)]]*(1+IncrementoTarifa)</f>
        <v>1051.78982</v>
      </c>
      <c r="P621" s="725"/>
    </row>
    <row r="622" spans="1:16" ht="15" x14ac:dyDescent="0.25">
      <c r="A622" s="716" t="s">
        <v>563</v>
      </c>
      <c r="B622" s="717" t="s">
        <v>1721</v>
      </c>
      <c r="C622" s="718">
        <v>800</v>
      </c>
      <c r="D622" s="717">
        <v>47.52</v>
      </c>
      <c r="E622" s="717">
        <v>0.33</v>
      </c>
      <c r="F622" s="717">
        <v>311.52</v>
      </c>
      <c r="G622" s="717">
        <v>112.589</v>
      </c>
      <c r="H622" s="717">
        <v>0</v>
      </c>
      <c r="I622" s="717">
        <v>0</v>
      </c>
      <c r="J622" s="717">
        <v>0</v>
      </c>
      <c r="K622" s="717">
        <v>0</v>
      </c>
      <c r="L622" s="717">
        <v>0</v>
      </c>
      <c r="M622" s="719">
        <v>662.26</v>
      </c>
      <c r="N622" s="720">
        <f t="shared" si="9"/>
        <v>662.26</v>
      </c>
      <c r="O622" s="1141">
        <f>Tabla1[[#This Row],[Tarifa 2012 (Mx$/ton)]]*(1+IncrementoTarifa)</f>
        <v>695.30677400000002</v>
      </c>
      <c r="P622" s="725"/>
    </row>
    <row r="623" spans="1:16" ht="15" x14ac:dyDescent="0.25">
      <c r="A623" s="716" t="s">
        <v>1722</v>
      </c>
      <c r="B623" s="717" t="s">
        <v>1723</v>
      </c>
      <c r="C623" s="718">
        <v>732</v>
      </c>
      <c r="D623" s="717">
        <v>47.52</v>
      </c>
      <c r="E623" s="717">
        <v>0.33</v>
      </c>
      <c r="F623" s="717">
        <v>289.08</v>
      </c>
      <c r="G623" s="717">
        <v>112.589</v>
      </c>
      <c r="H623" s="717">
        <v>0</v>
      </c>
      <c r="I623" s="717">
        <v>0</v>
      </c>
      <c r="J623" s="717">
        <v>0</v>
      </c>
      <c r="K623" s="717">
        <v>0</v>
      </c>
      <c r="L623" s="717">
        <v>0</v>
      </c>
      <c r="M623" s="719">
        <v>614.54999999999995</v>
      </c>
      <c r="N623" s="720">
        <f t="shared" si="9"/>
        <v>614.54999999999995</v>
      </c>
      <c r="O623" s="1141">
        <f>Tabla1[[#This Row],[Tarifa 2012 (Mx$/ton)]]*(1+IncrementoTarifa)</f>
        <v>645.21604500000001</v>
      </c>
      <c r="P623" s="725"/>
    </row>
    <row r="624" spans="1:16" ht="15" x14ac:dyDescent="0.25">
      <c r="A624" s="716" t="s">
        <v>1724</v>
      </c>
      <c r="B624" s="717" t="s">
        <v>1725</v>
      </c>
      <c r="C624" s="718">
        <v>710</v>
      </c>
      <c r="D624" s="717">
        <v>47.52</v>
      </c>
      <c r="E624" s="717">
        <v>0.33</v>
      </c>
      <c r="F624" s="717">
        <v>281.82</v>
      </c>
      <c r="G624" s="717">
        <v>112.589</v>
      </c>
      <c r="H624" s="717">
        <v>0</v>
      </c>
      <c r="I624" s="717">
        <v>0</v>
      </c>
      <c r="J624" s="717">
        <v>0</v>
      </c>
      <c r="K624" s="717">
        <v>0</v>
      </c>
      <c r="L624" s="717">
        <v>0</v>
      </c>
      <c r="M624" s="719">
        <v>599.12</v>
      </c>
      <c r="N624" s="720">
        <f t="shared" si="9"/>
        <v>599.12</v>
      </c>
      <c r="O624" s="1141">
        <f>Tabla1[[#This Row],[Tarifa 2012 (Mx$/ton)]]*(1+IncrementoTarifa)</f>
        <v>629.01608800000008</v>
      </c>
      <c r="P624" s="725"/>
    </row>
    <row r="625" spans="1:16" ht="15" x14ac:dyDescent="0.25">
      <c r="A625" s="716" t="s">
        <v>1726</v>
      </c>
      <c r="B625" s="717" t="s">
        <v>1727</v>
      </c>
      <c r="C625" s="718">
        <v>1031</v>
      </c>
      <c r="D625" s="717">
        <v>47.52</v>
      </c>
      <c r="E625" s="717">
        <v>0.33</v>
      </c>
      <c r="F625" s="717">
        <v>387.75</v>
      </c>
      <c r="G625" s="717">
        <v>112.589</v>
      </c>
      <c r="H625" s="717">
        <v>0</v>
      </c>
      <c r="I625" s="717">
        <v>0</v>
      </c>
      <c r="J625" s="717">
        <v>0</v>
      </c>
      <c r="K625" s="717">
        <v>0</v>
      </c>
      <c r="L625" s="717">
        <v>0</v>
      </c>
      <c r="M625" s="719">
        <v>824.31</v>
      </c>
      <c r="N625" s="720">
        <f t="shared" si="9"/>
        <v>824.31</v>
      </c>
      <c r="O625" s="1141">
        <f>Tabla1[[#This Row],[Tarifa 2012 (Mx$/ton)]]*(1+IncrementoTarifa)</f>
        <v>865.44306900000004</v>
      </c>
      <c r="P625" s="725"/>
    </row>
    <row r="626" spans="1:16" ht="15" x14ac:dyDescent="0.25">
      <c r="A626" s="716" t="s">
        <v>1728</v>
      </c>
      <c r="B626" s="717" t="s">
        <v>1729</v>
      </c>
      <c r="C626" s="718">
        <v>1642</v>
      </c>
      <c r="D626" s="717">
        <v>47.52</v>
      </c>
      <c r="E626" s="717">
        <v>0.33</v>
      </c>
      <c r="F626" s="717">
        <v>589.38</v>
      </c>
      <c r="G626" s="717">
        <v>112.589</v>
      </c>
      <c r="H626" s="717">
        <v>0</v>
      </c>
      <c r="I626" s="717">
        <v>0</v>
      </c>
      <c r="J626" s="717">
        <v>0</v>
      </c>
      <c r="K626" s="717">
        <v>0</v>
      </c>
      <c r="L626" s="717">
        <v>0</v>
      </c>
      <c r="M626" s="719">
        <v>1252.96</v>
      </c>
      <c r="N626" s="720">
        <f t="shared" si="9"/>
        <v>1252.96</v>
      </c>
      <c r="O626" s="1141">
        <f>Tabla1[[#This Row],[Tarifa 2012 (Mx$/ton)]]*(1+IncrementoTarifa)</f>
        <v>1315.482704</v>
      </c>
      <c r="P626" s="725"/>
    </row>
    <row r="627" spans="1:16" ht="15" x14ac:dyDescent="0.25">
      <c r="A627" s="716" t="s">
        <v>1730</v>
      </c>
      <c r="B627" s="717" t="s">
        <v>1731</v>
      </c>
      <c r="C627" s="718">
        <v>1803</v>
      </c>
      <c r="D627" s="717">
        <v>47.52</v>
      </c>
      <c r="E627" s="717">
        <v>0.33</v>
      </c>
      <c r="F627" s="717">
        <v>642.51</v>
      </c>
      <c r="G627" s="717">
        <v>112.589</v>
      </c>
      <c r="H627" s="717">
        <v>0</v>
      </c>
      <c r="I627" s="717">
        <v>0</v>
      </c>
      <c r="J627" s="717">
        <v>0</v>
      </c>
      <c r="K627" s="717">
        <v>0</v>
      </c>
      <c r="L627" s="717">
        <v>0</v>
      </c>
      <c r="M627" s="719">
        <v>1365.91</v>
      </c>
      <c r="N627" s="720">
        <f t="shared" si="9"/>
        <v>1365.91</v>
      </c>
      <c r="O627" s="1141">
        <f>Tabla1[[#This Row],[Tarifa 2012 (Mx$/ton)]]*(1+IncrementoTarifa)</f>
        <v>1434.0689090000001</v>
      </c>
      <c r="P627" s="725"/>
    </row>
    <row r="628" spans="1:16" ht="15" x14ac:dyDescent="0.25">
      <c r="A628" s="716" t="s">
        <v>1732</v>
      </c>
      <c r="B628" s="717" t="s">
        <v>1733</v>
      </c>
      <c r="C628" s="718">
        <v>1545</v>
      </c>
      <c r="D628" s="717">
        <v>47.52</v>
      </c>
      <c r="E628" s="717">
        <v>0.33</v>
      </c>
      <c r="F628" s="717">
        <v>557.37</v>
      </c>
      <c r="G628" s="717">
        <v>112.589</v>
      </c>
      <c r="H628" s="717">
        <v>0</v>
      </c>
      <c r="I628" s="717">
        <v>0</v>
      </c>
      <c r="J628" s="717">
        <v>0</v>
      </c>
      <c r="K628" s="717">
        <v>0</v>
      </c>
      <c r="L628" s="717">
        <v>0</v>
      </c>
      <c r="M628" s="719">
        <v>1184.9100000000001</v>
      </c>
      <c r="N628" s="720">
        <f t="shared" si="9"/>
        <v>1184.9100000000001</v>
      </c>
      <c r="O628" s="1141">
        <f>Tabla1[[#This Row],[Tarifa 2012 (Mx$/ton)]]*(1+IncrementoTarifa)</f>
        <v>1244.0370090000001</v>
      </c>
      <c r="P628" s="725"/>
    </row>
    <row r="629" spans="1:16" ht="15" x14ac:dyDescent="0.25">
      <c r="A629" s="716" t="s">
        <v>1734</v>
      </c>
      <c r="B629" s="717" t="s">
        <v>1735</v>
      </c>
      <c r="C629" s="718">
        <v>1644</v>
      </c>
      <c r="D629" s="717">
        <v>47.52</v>
      </c>
      <c r="E629" s="717">
        <v>0.33</v>
      </c>
      <c r="F629" s="717">
        <v>590.04</v>
      </c>
      <c r="G629" s="717">
        <v>112.589</v>
      </c>
      <c r="H629" s="717">
        <v>0</v>
      </c>
      <c r="I629" s="717">
        <v>0</v>
      </c>
      <c r="J629" s="717">
        <v>0</v>
      </c>
      <c r="K629" s="717">
        <v>0</v>
      </c>
      <c r="L629" s="717">
        <v>0</v>
      </c>
      <c r="M629" s="719">
        <v>1254.3599999999999</v>
      </c>
      <c r="N629" s="720">
        <f t="shared" si="9"/>
        <v>1254.3599999999999</v>
      </c>
      <c r="O629" s="1141">
        <f>Tabla1[[#This Row],[Tarifa 2012 (Mx$/ton)]]*(1+IncrementoTarifa)</f>
        <v>1316.9525639999999</v>
      </c>
      <c r="P629" s="725"/>
    </row>
    <row r="630" spans="1:16" ht="15" x14ac:dyDescent="0.25">
      <c r="A630" s="716" t="s">
        <v>1736</v>
      </c>
      <c r="B630" s="717" t="s">
        <v>1737</v>
      </c>
      <c r="C630" s="718">
        <v>2103</v>
      </c>
      <c r="D630" s="717">
        <v>47.52</v>
      </c>
      <c r="E630" s="717">
        <v>0.33</v>
      </c>
      <c r="F630" s="717">
        <v>741.51</v>
      </c>
      <c r="G630" s="717">
        <v>112.589</v>
      </c>
      <c r="H630" s="717">
        <v>0</v>
      </c>
      <c r="I630" s="717">
        <v>0</v>
      </c>
      <c r="J630" s="717">
        <v>0</v>
      </c>
      <c r="K630" s="717">
        <v>0</v>
      </c>
      <c r="L630" s="717">
        <v>0</v>
      </c>
      <c r="M630" s="719">
        <v>1576.37</v>
      </c>
      <c r="N630" s="720">
        <f t="shared" si="9"/>
        <v>1576.37</v>
      </c>
      <c r="O630" s="1141">
        <f>Tabla1[[#This Row],[Tarifa 2012 (Mx$/ton)]]*(1+IncrementoTarifa)</f>
        <v>1655.030863</v>
      </c>
      <c r="P630" s="725"/>
    </row>
    <row r="631" spans="1:16" ht="15" x14ac:dyDescent="0.25">
      <c r="A631" s="716" t="s">
        <v>1738</v>
      </c>
      <c r="B631" s="717" t="s">
        <v>1739</v>
      </c>
      <c r="C631" s="718">
        <v>2265</v>
      </c>
      <c r="D631" s="717">
        <v>47.52</v>
      </c>
      <c r="E631" s="717">
        <v>0.33</v>
      </c>
      <c r="F631" s="717">
        <v>794.97</v>
      </c>
      <c r="G631" s="717">
        <v>112.589</v>
      </c>
      <c r="H631" s="717">
        <v>0</v>
      </c>
      <c r="I631" s="717">
        <v>0</v>
      </c>
      <c r="J631" s="717">
        <v>0</v>
      </c>
      <c r="K631" s="717">
        <v>0</v>
      </c>
      <c r="L631" s="717">
        <v>0</v>
      </c>
      <c r="M631" s="719">
        <v>1690.02</v>
      </c>
      <c r="N631" s="720">
        <f t="shared" si="9"/>
        <v>1690.02</v>
      </c>
      <c r="O631" s="1141">
        <f>Tabla1[[#This Row],[Tarifa 2012 (Mx$/ton)]]*(1+IncrementoTarifa)</f>
        <v>1774.3519980000001</v>
      </c>
      <c r="P631" s="725"/>
    </row>
    <row r="632" spans="1:16" ht="15" x14ac:dyDescent="0.25">
      <c r="A632" s="716" t="s">
        <v>1740</v>
      </c>
      <c r="B632" s="717" t="s">
        <v>1741</v>
      </c>
      <c r="C632" s="718">
        <v>2188</v>
      </c>
      <c r="D632" s="717">
        <v>47.52</v>
      </c>
      <c r="E632" s="717">
        <v>0.33</v>
      </c>
      <c r="F632" s="717">
        <v>769.56</v>
      </c>
      <c r="G632" s="717">
        <v>112.589</v>
      </c>
      <c r="H632" s="717">
        <v>0</v>
      </c>
      <c r="I632" s="717">
        <v>0</v>
      </c>
      <c r="J632" s="717">
        <v>0</v>
      </c>
      <c r="K632" s="717">
        <v>0</v>
      </c>
      <c r="L632" s="717">
        <v>0</v>
      </c>
      <c r="M632" s="719">
        <v>1636</v>
      </c>
      <c r="N632" s="720">
        <f t="shared" si="9"/>
        <v>1636</v>
      </c>
      <c r="O632" s="1141">
        <f>Tabla1[[#This Row],[Tarifa 2012 (Mx$/ton)]]*(1+IncrementoTarifa)</f>
        <v>1717.6364000000001</v>
      </c>
      <c r="P632" s="725"/>
    </row>
    <row r="633" spans="1:16" ht="15" x14ac:dyDescent="0.25">
      <c r="A633" s="716" t="s">
        <v>1742</v>
      </c>
      <c r="B633" s="717" t="s">
        <v>1743</v>
      </c>
      <c r="C633" s="718">
        <v>2283</v>
      </c>
      <c r="D633" s="717">
        <v>47.52</v>
      </c>
      <c r="E633" s="717">
        <v>0.33</v>
      </c>
      <c r="F633" s="717">
        <v>800.91</v>
      </c>
      <c r="G633" s="717">
        <v>112.589</v>
      </c>
      <c r="H633" s="717">
        <v>0</v>
      </c>
      <c r="I633" s="717">
        <v>0</v>
      </c>
      <c r="J633" s="717">
        <v>0</v>
      </c>
      <c r="K633" s="717">
        <v>0</v>
      </c>
      <c r="L633" s="717">
        <v>0</v>
      </c>
      <c r="M633" s="719">
        <v>1702.65</v>
      </c>
      <c r="N633" s="720">
        <f t="shared" si="9"/>
        <v>1702.65</v>
      </c>
      <c r="O633" s="1141">
        <f>Tabla1[[#This Row],[Tarifa 2012 (Mx$/ton)]]*(1+IncrementoTarifa)</f>
        <v>1787.6122350000003</v>
      </c>
      <c r="P633" s="725"/>
    </row>
    <row r="634" spans="1:16" ht="15" x14ac:dyDescent="0.25">
      <c r="A634" s="716" t="s">
        <v>1744</v>
      </c>
      <c r="B634" s="717" t="s">
        <v>1745</v>
      </c>
      <c r="C634" s="718">
        <v>2653</v>
      </c>
      <c r="D634" s="717">
        <v>47.52</v>
      </c>
      <c r="E634" s="717">
        <v>0.33</v>
      </c>
      <c r="F634" s="717">
        <v>923.01</v>
      </c>
      <c r="G634" s="717">
        <v>112.589</v>
      </c>
      <c r="H634" s="717">
        <v>0</v>
      </c>
      <c r="I634" s="717">
        <v>0</v>
      </c>
      <c r="J634" s="717">
        <v>0</v>
      </c>
      <c r="K634" s="717">
        <v>0</v>
      </c>
      <c r="L634" s="717">
        <v>0</v>
      </c>
      <c r="M634" s="719">
        <v>1962.22</v>
      </c>
      <c r="N634" s="720">
        <f t="shared" si="9"/>
        <v>1962.22</v>
      </c>
      <c r="O634" s="1141">
        <f>Tabla1[[#This Row],[Tarifa 2012 (Mx$/ton)]]*(1+IncrementoTarifa)</f>
        <v>2060.1347780000001</v>
      </c>
      <c r="P634" s="725"/>
    </row>
    <row r="635" spans="1:16" ht="15" x14ac:dyDescent="0.25">
      <c r="A635" s="716" t="s">
        <v>1746</v>
      </c>
      <c r="B635" s="717" t="s">
        <v>1747</v>
      </c>
      <c r="C635" s="718">
        <v>466</v>
      </c>
      <c r="D635" s="717">
        <v>47.52</v>
      </c>
      <c r="E635" s="717">
        <v>0.33</v>
      </c>
      <c r="F635" s="717">
        <v>201.3</v>
      </c>
      <c r="G635" s="717">
        <v>112.589</v>
      </c>
      <c r="H635" s="717">
        <v>0</v>
      </c>
      <c r="I635" s="717">
        <v>0</v>
      </c>
      <c r="J635" s="717">
        <v>0</v>
      </c>
      <c r="K635" s="717">
        <v>0</v>
      </c>
      <c r="L635" s="717">
        <v>0</v>
      </c>
      <c r="M635" s="719">
        <v>427.94</v>
      </c>
      <c r="N635" s="720">
        <f t="shared" si="9"/>
        <v>427.94</v>
      </c>
      <c r="O635" s="1141">
        <f>Tabla1[[#This Row],[Tarifa 2012 (Mx$/ton)]]*(1+IncrementoTarifa)</f>
        <v>449.29420600000003</v>
      </c>
      <c r="P635" s="725"/>
    </row>
    <row r="636" spans="1:16" ht="15" x14ac:dyDescent="0.25">
      <c r="A636" s="716" t="s">
        <v>1748</v>
      </c>
      <c r="B636" s="717" t="s">
        <v>1749</v>
      </c>
      <c r="C636" s="718">
        <v>454</v>
      </c>
      <c r="D636" s="717">
        <v>47.52</v>
      </c>
      <c r="E636" s="717">
        <v>0.33</v>
      </c>
      <c r="F636" s="717">
        <v>197.34</v>
      </c>
      <c r="G636" s="717">
        <v>112.589</v>
      </c>
      <c r="H636" s="717">
        <v>0</v>
      </c>
      <c r="I636" s="717">
        <v>10</v>
      </c>
      <c r="J636" s="717">
        <v>0</v>
      </c>
      <c r="K636" s="717">
        <v>0</v>
      </c>
      <c r="L636" s="717">
        <v>0</v>
      </c>
      <c r="M636" s="719">
        <v>439.26</v>
      </c>
      <c r="N636" s="720">
        <f t="shared" si="9"/>
        <v>439.26</v>
      </c>
      <c r="O636" s="1141">
        <f>Tabla1[[#This Row],[Tarifa 2012 (Mx$/ton)]]*(1+IncrementoTarifa)</f>
        <v>461.17907400000001</v>
      </c>
      <c r="P636" s="725"/>
    </row>
    <row r="637" spans="1:16" ht="15" x14ac:dyDescent="0.25">
      <c r="A637" s="716" t="s">
        <v>1750</v>
      </c>
      <c r="B637" s="717" t="s">
        <v>1751</v>
      </c>
      <c r="C637" s="718">
        <v>643</v>
      </c>
      <c r="D637" s="717">
        <v>47.52</v>
      </c>
      <c r="E637" s="717">
        <v>0.33</v>
      </c>
      <c r="F637" s="717">
        <v>259.70999999999998</v>
      </c>
      <c r="G637" s="717">
        <v>112.589</v>
      </c>
      <c r="H637" s="717">
        <v>0</v>
      </c>
      <c r="I637" s="717">
        <v>0</v>
      </c>
      <c r="J637" s="717">
        <v>0</v>
      </c>
      <c r="K637" s="717">
        <v>0</v>
      </c>
      <c r="L637" s="717">
        <v>0</v>
      </c>
      <c r="M637" s="719">
        <v>552.11</v>
      </c>
      <c r="N637" s="720">
        <f t="shared" si="9"/>
        <v>552.11</v>
      </c>
      <c r="O637" s="1141">
        <f>Tabla1[[#This Row],[Tarifa 2012 (Mx$/ton)]]*(1+IncrementoTarifa)</f>
        <v>579.66028900000003</v>
      </c>
      <c r="P637" s="725"/>
    </row>
    <row r="638" spans="1:16" ht="15" x14ac:dyDescent="0.25">
      <c r="A638" s="716" t="s">
        <v>1752</v>
      </c>
      <c r="B638" s="717" t="s">
        <v>1753</v>
      </c>
      <c r="C638" s="718">
        <v>603</v>
      </c>
      <c r="D638" s="717">
        <v>47.52</v>
      </c>
      <c r="E638" s="717">
        <v>0.33</v>
      </c>
      <c r="F638" s="717">
        <v>246.51</v>
      </c>
      <c r="G638" s="717">
        <v>112.589</v>
      </c>
      <c r="H638" s="717">
        <v>0</v>
      </c>
      <c r="I638" s="717">
        <v>0</v>
      </c>
      <c r="J638" s="717">
        <v>0</v>
      </c>
      <c r="K638" s="717">
        <v>0</v>
      </c>
      <c r="L638" s="717">
        <v>0</v>
      </c>
      <c r="M638" s="719">
        <v>524.04999999999995</v>
      </c>
      <c r="N638" s="720">
        <f t="shared" si="9"/>
        <v>524.04999999999995</v>
      </c>
      <c r="O638" s="1141">
        <f>Tabla1[[#This Row],[Tarifa 2012 (Mx$/ton)]]*(1+IncrementoTarifa)</f>
        <v>550.20009500000003</v>
      </c>
      <c r="P638" s="725"/>
    </row>
    <row r="639" spans="1:16" ht="15" x14ac:dyDescent="0.25">
      <c r="A639" s="716" t="s">
        <v>1754</v>
      </c>
      <c r="B639" s="717" t="s">
        <v>1755</v>
      </c>
      <c r="C639" s="718">
        <v>411</v>
      </c>
      <c r="D639" s="717">
        <v>47.52</v>
      </c>
      <c r="E639" s="717">
        <v>0.33</v>
      </c>
      <c r="F639" s="717">
        <v>183.15</v>
      </c>
      <c r="G639" s="717">
        <v>112.589</v>
      </c>
      <c r="H639" s="717">
        <v>0</v>
      </c>
      <c r="I639" s="717">
        <v>0</v>
      </c>
      <c r="J639" s="717">
        <v>0</v>
      </c>
      <c r="K639" s="717">
        <v>0</v>
      </c>
      <c r="L639" s="717">
        <v>0</v>
      </c>
      <c r="M639" s="719">
        <v>389.36</v>
      </c>
      <c r="N639" s="720">
        <f t="shared" si="9"/>
        <v>389.36</v>
      </c>
      <c r="O639" s="1141">
        <f>Tabla1[[#This Row],[Tarifa 2012 (Mx$/ton)]]*(1+IncrementoTarifa)</f>
        <v>408.78906400000005</v>
      </c>
      <c r="P639" s="725"/>
    </row>
    <row r="640" spans="1:16" ht="15" x14ac:dyDescent="0.25">
      <c r="A640" s="716" t="s">
        <v>564</v>
      </c>
      <c r="B640" s="717" t="s">
        <v>1756</v>
      </c>
      <c r="C640" s="718">
        <v>251</v>
      </c>
      <c r="D640" s="717">
        <v>47.52</v>
      </c>
      <c r="E640" s="717">
        <v>0.33</v>
      </c>
      <c r="F640" s="717">
        <v>130.35</v>
      </c>
      <c r="G640" s="717">
        <v>112.589</v>
      </c>
      <c r="H640" s="717">
        <v>0</v>
      </c>
      <c r="I640" s="717">
        <v>0</v>
      </c>
      <c r="J640" s="717">
        <v>0</v>
      </c>
      <c r="K640" s="717">
        <v>0</v>
      </c>
      <c r="L640" s="717">
        <v>0</v>
      </c>
      <c r="M640" s="719">
        <v>277.11</v>
      </c>
      <c r="N640" s="720">
        <f t="shared" si="9"/>
        <v>277.11</v>
      </c>
      <c r="O640" s="1141">
        <f>Tabla1[[#This Row],[Tarifa 2012 (Mx$/ton)]]*(1+IncrementoTarifa)</f>
        <v>290.93778900000001</v>
      </c>
      <c r="P640" s="725"/>
    </row>
    <row r="641" spans="1:16" ht="15" x14ac:dyDescent="0.25">
      <c r="A641" s="716" t="s">
        <v>1757</v>
      </c>
      <c r="B641" s="717" t="s">
        <v>1758</v>
      </c>
      <c r="C641" s="718">
        <v>272</v>
      </c>
      <c r="D641" s="717">
        <v>47.52</v>
      </c>
      <c r="E641" s="717">
        <v>0.33</v>
      </c>
      <c r="F641" s="717">
        <v>137.28</v>
      </c>
      <c r="G641" s="717">
        <v>112.589</v>
      </c>
      <c r="H641" s="717">
        <v>0</v>
      </c>
      <c r="I641" s="717">
        <v>0</v>
      </c>
      <c r="J641" s="717">
        <v>0</v>
      </c>
      <c r="K641" s="717">
        <v>0</v>
      </c>
      <c r="L641" s="717">
        <v>0</v>
      </c>
      <c r="M641" s="719">
        <v>291.83999999999997</v>
      </c>
      <c r="N641" s="720">
        <f t="shared" si="9"/>
        <v>291.83999999999997</v>
      </c>
      <c r="O641" s="1141">
        <f>Tabla1[[#This Row],[Tarifa 2012 (Mx$/ton)]]*(1+IncrementoTarifa)</f>
        <v>306.40281599999997</v>
      </c>
      <c r="P641" s="725"/>
    </row>
    <row r="642" spans="1:16" ht="15" x14ac:dyDescent="0.25">
      <c r="A642" s="716" t="s">
        <v>1759</v>
      </c>
      <c r="B642" s="717" t="s">
        <v>1760</v>
      </c>
      <c r="C642" s="718">
        <v>301</v>
      </c>
      <c r="D642" s="717">
        <v>47.52</v>
      </c>
      <c r="E642" s="717">
        <v>0.33</v>
      </c>
      <c r="F642" s="717">
        <v>146.85</v>
      </c>
      <c r="G642" s="717">
        <v>112.589</v>
      </c>
      <c r="H642" s="717">
        <v>0</v>
      </c>
      <c r="I642" s="717">
        <v>0</v>
      </c>
      <c r="J642" s="717">
        <v>0</v>
      </c>
      <c r="K642" s="717">
        <v>0</v>
      </c>
      <c r="L642" s="717">
        <v>0</v>
      </c>
      <c r="M642" s="719">
        <v>312.19</v>
      </c>
      <c r="N642" s="720">
        <f t="shared" si="9"/>
        <v>312.19</v>
      </c>
      <c r="O642" s="1141">
        <f>Tabla1[[#This Row],[Tarifa 2012 (Mx$/ton)]]*(1+IncrementoTarifa)</f>
        <v>327.768281</v>
      </c>
      <c r="P642" s="725"/>
    </row>
    <row r="643" spans="1:16" ht="15" x14ac:dyDescent="0.25">
      <c r="A643" s="716" t="s">
        <v>1761</v>
      </c>
      <c r="B643" s="717" t="s">
        <v>1762</v>
      </c>
      <c r="C643" s="718">
        <v>2727</v>
      </c>
      <c r="D643" s="717">
        <v>47.52</v>
      </c>
      <c r="E643" s="717">
        <v>0.33</v>
      </c>
      <c r="F643" s="717">
        <v>947.43</v>
      </c>
      <c r="G643" s="717">
        <v>112.589</v>
      </c>
      <c r="H643" s="717">
        <v>0</v>
      </c>
      <c r="I643" s="717">
        <v>0</v>
      </c>
      <c r="J643" s="717">
        <v>0</v>
      </c>
      <c r="K643" s="717">
        <v>0</v>
      </c>
      <c r="L643" s="717">
        <v>0</v>
      </c>
      <c r="M643" s="719">
        <v>2014.13</v>
      </c>
      <c r="N643" s="720">
        <f t="shared" si="9"/>
        <v>2014.13</v>
      </c>
      <c r="O643" s="1141">
        <f>Tabla1[[#This Row],[Tarifa 2012 (Mx$/ton)]]*(1+IncrementoTarifa)</f>
        <v>2114.6350870000001</v>
      </c>
      <c r="P643" s="725"/>
    </row>
    <row r="644" spans="1:16" ht="15" x14ac:dyDescent="0.25">
      <c r="A644" s="716" t="s">
        <v>1763</v>
      </c>
      <c r="B644" s="717" t="s">
        <v>1764</v>
      </c>
      <c r="C644" s="718">
        <v>2642</v>
      </c>
      <c r="D644" s="717">
        <v>47.52</v>
      </c>
      <c r="E644" s="717">
        <v>0.33</v>
      </c>
      <c r="F644" s="717">
        <v>919.38</v>
      </c>
      <c r="G644" s="717">
        <v>112.589</v>
      </c>
      <c r="H644" s="717">
        <v>0</v>
      </c>
      <c r="I644" s="717">
        <v>10</v>
      </c>
      <c r="J644" s="717">
        <v>0</v>
      </c>
      <c r="K644" s="717">
        <v>0</v>
      </c>
      <c r="L644" s="717">
        <v>0</v>
      </c>
      <c r="M644" s="719">
        <v>2046.44</v>
      </c>
      <c r="N644" s="720">
        <f t="shared" si="9"/>
        <v>2046.44</v>
      </c>
      <c r="O644" s="1141">
        <f>Tabla1[[#This Row],[Tarifa 2012 (Mx$/ton)]]*(1+IncrementoTarifa)</f>
        <v>2148.5573560000003</v>
      </c>
      <c r="P644" s="725"/>
    </row>
    <row r="645" spans="1:16" ht="15" x14ac:dyDescent="0.25">
      <c r="A645" s="716" t="s">
        <v>1765</v>
      </c>
      <c r="B645" s="717" t="s">
        <v>1766</v>
      </c>
      <c r="C645" s="718">
        <v>2426</v>
      </c>
      <c r="D645" s="717">
        <v>47.52</v>
      </c>
      <c r="E645" s="717">
        <v>0.33</v>
      </c>
      <c r="F645" s="717">
        <v>848.1</v>
      </c>
      <c r="G645" s="717">
        <v>112.589</v>
      </c>
      <c r="H645" s="717">
        <v>0</v>
      </c>
      <c r="I645" s="717">
        <v>0</v>
      </c>
      <c r="J645" s="717">
        <v>0</v>
      </c>
      <c r="K645" s="717">
        <v>0</v>
      </c>
      <c r="L645" s="717">
        <v>0</v>
      </c>
      <c r="M645" s="719">
        <v>1802.97</v>
      </c>
      <c r="N645" s="720">
        <f t="shared" si="9"/>
        <v>1802.97</v>
      </c>
      <c r="O645" s="1141">
        <f>Tabla1[[#This Row],[Tarifa 2012 (Mx$/ton)]]*(1+IncrementoTarifa)</f>
        <v>1892.9382030000002</v>
      </c>
      <c r="P645" s="725"/>
    </row>
    <row r="646" spans="1:16" ht="15" x14ac:dyDescent="0.25">
      <c r="A646" s="716" t="s">
        <v>1767</v>
      </c>
      <c r="B646" s="717" t="s">
        <v>1768</v>
      </c>
      <c r="C646" s="718">
        <v>801</v>
      </c>
      <c r="D646" s="717">
        <v>47.52</v>
      </c>
      <c r="E646" s="717">
        <v>0.33</v>
      </c>
      <c r="F646" s="717">
        <v>311.85000000000002</v>
      </c>
      <c r="G646" s="717">
        <v>112.589</v>
      </c>
      <c r="H646" s="717">
        <v>0</v>
      </c>
      <c r="I646" s="717">
        <v>0</v>
      </c>
      <c r="J646" s="717">
        <v>0</v>
      </c>
      <c r="K646" s="717">
        <v>0</v>
      </c>
      <c r="L646" s="717">
        <v>0</v>
      </c>
      <c r="M646" s="719">
        <v>662.96</v>
      </c>
      <c r="N646" s="720">
        <f t="shared" si="9"/>
        <v>662.96</v>
      </c>
      <c r="O646" s="1141">
        <f>Tabla1[[#This Row],[Tarifa 2012 (Mx$/ton)]]*(1+IncrementoTarifa)</f>
        <v>696.0417040000001</v>
      </c>
      <c r="P646" s="725"/>
    </row>
    <row r="647" spans="1:16" ht="15" x14ac:dyDescent="0.25">
      <c r="A647" s="716" t="s">
        <v>1769</v>
      </c>
      <c r="B647" s="717" t="s">
        <v>1770</v>
      </c>
      <c r="C647" s="718">
        <v>245</v>
      </c>
      <c r="D647" s="717">
        <v>47.52</v>
      </c>
      <c r="E647" s="717">
        <v>0.33</v>
      </c>
      <c r="F647" s="717">
        <v>128.37</v>
      </c>
      <c r="G647" s="717">
        <v>112.589</v>
      </c>
      <c r="H647" s="717">
        <v>0</v>
      </c>
      <c r="I647" s="717">
        <v>0</v>
      </c>
      <c r="J647" s="717">
        <v>0</v>
      </c>
      <c r="K647" s="717">
        <v>0</v>
      </c>
      <c r="L647" s="717">
        <v>0</v>
      </c>
      <c r="M647" s="719">
        <v>272.89999999999998</v>
      </c>
      <c r="N647" s="720">
        <f t="shared" si="9"/>
        <v>272.89999999999998</v>
      </c>
      <c r="O647" s="1141">
        <f>Tabla1[[#This Row],[Tarifa 2012 (Mx$/ton)]]*(1+IncrementoTarifa)</f>
        <v>286.51770999999997</v>
      </c>
      <c r="P647" s="725"/>
    </row>
    <row r="648" spans="1:16" ht="15" x14ac:dyDescent="0.25">
      <c r="A648" s="716" t="s">
        <v>1771</v>
      </c>
      <c r="B648" s="717" t="s">
        <v>1772</v>
      </c>
      <c r="C648" s="718">
        <v>285</v>
      </c>
      <c r="D648" s="717">
        <v>47.52</v>
      </c>
      <c r="E648" s="717">
        <v>0.33</v>
      </c>
      <c r="F648" s="717">
        <v>141.57</v>
      </c>
      <c r="G648" s="717">
        <v>112.589</v>
      </c>
      <c r="H648" s="717">
        <v>0</v>
      </c>
      <c r="I648" s="717">
        <v>0</v>
      </c>
      <c r="J648" s="717">
        <v>0</v>
      </c>
      <c r="K648" s="717">
        <v>0</v>
      </c>
      <c r="L648" s="717">
        <v>0</v>
      </c>
      <c r="M648" s="719">
        <v>300.95999999999998</v>
      </c>
      <c r="N648" s="720">
        <f t="shared" si="9"/>
        <v>300.95999999999998</v>
      </c>
      <c r="O648" s="1141">
        <f>Tabla1[[#This Row],[Tarifa 2012 (Mx$/ton)]]*(1+IncrementoTarifa)</f>
        <v>315.97790399999997</v>
      </c>
      <c r="P648" s="725"/>
    </row>
    <row r="649" spans="1:16" ht="15" x14ac:dyDescent="0.25">
      <c r="A649" s="716" t="s">
        <v>1773</v>
      </c>
      <c r="B649" s="717" t="s">
        <v>1774</v>
      </c>
      <c r="C649" s="718">
        <v>359</v>
      </c>
      <c r="D649" s="717">
        <v>47.52</v>
      </c>
      <c r="E649" s="717">
        <v>0.33</v>
      </c>
      <c r="F649" s="717">
        <v>165.99</v>
      </c>
      <c r="G649" s="717">
        <v>112.589</v>
      </c>
      <c r="H649" s="717">
        <v>0</v>
      </c>
      <c r="I649" s="717">
        <v>0</v>
      </c>
      <c r="J649" s="717">
        <v>0</v>
      </c>
      <c r="K649" s="717">
        <v>0</v>
      </c>
      <c r="L649" s="717">
        <v>0</v>
      </c>
      <c r="M649" s="719">
        <v>352.88</v>
      </c>
      <c r="N649" s="720">
        <f t="shared" si="9"/>
        <v>352.88</v>
      </c>
      <c r="O649" s="1141">
        <f>Tabla1[[#This Row],[Tarifa 2012 (Mx$/ton)]]*(1+IncrementoTarifa)</f>
        <v>370.48871200000002</v>
      </c>
      <c r="P649" s="725"/>
    </row>
    <row r="650" spans="1:16" ht="15" x14ac:dyDescent="0.25">
      <c r="A650" s="716" t="s">
        <v>1775</v>
      </c>
      <c r="B650" s="717" t="s">
        <v>1776</v>
      </c>
      <c r="C650" s="718">
        <v>683</v>
      </c>
      <c r="D650" s="717">
        <v>47.52</v>
      </c>
      <c r="E650" s="717">
        <v>0.33</v>
      </c>
      <c r="F650" s="717">
        <v>272.91000000000003</v>
      </c>
      <c r="G650" s="717">
        <v>112.589</v>
      </c>
      <c r="H650" s="717">
        <v>0</v>
      </c>
      <c r="I650" s="717">
        <v>0</v>
      </c>
      <c r="J650" s="717">
        <v>0</v>
      </c>
      <c r="K650" s="717">
        <v>0</v>
      </c>
      <c r="L650" s="717">
        <v>0</v>
      </c>
      <c r="M650" s="719">
        <v>580.17999999999995</v>
      </c>
      <c r="N650" s="720">
        <f t="shared" si="9"/>
        <v>580.17999999999995</v>
      </c>
      <c r="O650" s="1141">
        <f>Tabla1[[#This Row],[Tarifa 2012 (Mx$/ton)]]*(1+IncrementoTarifa)</f>
        <v>609.13098200000002</v>
      </c>
      <c r="P650" s="725"/>
    </row>
    <row r="651" spans="1:16" ht="15" x14ac:dyDescent="0.25">
      <c r="A651" s="716" t="s">
        <v>1777</v>
      </c>
      <c r="B651" s="717" t="s">
        <v>1778</v>
      </c>
      <c r="C651" s="718">
        <v>223</v>
      </c>
      <c r="D651" s="717">
        <v>47.52</v>
      </c>
      <c r="E651" s="717">
        <v>0.33</v>
      </c>
      <c r="F651" s="717">
        <v>121.11</v>
      </c>
      <c r="G651" s="717">
        <v>112.589</v>
      </c>
      <c r="H651" s="717">
        <v>0</v>
      </c>
      <c r="I651" s="717">
        <v>0</v>
      </c>
      <c r="J651" s="717">
        <v>0</v>
      </c>
      <c r="K651" s="717">
        <v>0</v>
      </c>
      <c r="L651" s="717">
        <v>0</v>
      </c>
      <c r="M651" s="719">
        <v>257.47000000000003</v>
      </c>
      <c r="N651" s="720">
        <f t="shared" si="9"/>
        <v>257.47000000000003</v>
      </c>
      <c r="O651" s="1141">
        <f>Tabla1[[#This Row],[Tarifa 2012 (Mx$/ton)]]*(1+IncrementoTarifa)</f>
        <v>270.31775300000004</v>
      </c>
      <c r="P651" s="725"/>
    </row>
    <row r="652" spans="1:16" ht="15" x14ac:dyDescent="0.25">
      <c r="A652" s="716" t="s">
        <v>1779</v>
      </c>
      <c r="B652" s="717" t="s">
        <v>1780</v>
      </c>
      <c r="C652" s="718">
        <v>270</v>
      </c>
      <c r="D652" s="717">
        <v>47.52</v>
      </c>
      <c r="E652" s="717">
        <v>0.33</v>
      </c>
      <c r="F652" s="717">
        <v>136.62</v>
      </c>
      <c r="G652" s="717">
        <v>112.589</v>
      </c>
      <c r="H652" s="717">
        <v>0</v>
      </c>
      <c r="I652" s="717">
        <v>0</v>
      </c>
      <c r="J652" s="717">
        <v>0</v>
      </c>
      <c r="K652" s="717">
        <v>0</v>
      </c>
      <c r="L652" s="717">
        <v>0</v>
      </c>
      <c r="M652" s="719">
        <v>290.44</v>
      </c>
      <c r="N652" s="720">
        <f t="shared" si="9"/>
        <v>290.44</v>
      </c>
      <c r="O652" s="1141">
        <f>Tabla1[[#This Row],[Tarifa 2012 (Mx$/ton)]]*(1+IncrementoTarifa)</f>
        <v>304.93295599999999</v>
      </c>
      <c r="P652" s="725"/>
    </row>
    <row r="653" spans="1:16" ht="15" x14ac:dyDescent="0.25">
      <c r="A653" s="716" t="s">
        <v>565</v>
      </c>
      <c r="B653" s="717" t="s">
        <v>1781</v>
      </c>
      <c r="C653" s="718">
        <v>1E-3</v>
      </c>
      <c r="D653" s="717">
        <v>47.52</v>
      </c>
      <c r="E653" s="717">
        <v>0.33</v>
      </c>
      <c r="F653" s="717">
        <v>47.52</v>
      </c>
      <c r="G653" s="717">
        <v>112.589</v>
      </c>
      <c r="H653" s="717">
        <v>0</v>
      </c>
      <c r="I653" s="717">
        <v>0</v>
      </c>
      <c r="J653" s="717">
        <v>0</v>
      </c>
      <c r="K653" s="717">
        <v>0</v>
      </c>
      <c r="L653" s="717">
        <v>0</v>
      </c>
      <c r="M653" s="719">
        <v>101.02</v>
      </c>
      <c r="N653" s="720">
        <f t="shared" si="9"/>
        <v>101.02</v>
      </c>
      <c r="O653" s="1141">
        <f>Tabla1[[#This Row],[Tarifa 2012 (Mx$/ton)]]*(1+IncrementoTarifa)</f>
        <v>106.06089799999999</v>
      </c>
      <c r="P653" s="725"/>
    </row>
    <row r="654" spans="1:16" ht="15" x14ac:dyDescent="0.25">
      <c r="A654" s="716" t="s">
        <v>566</v>
      </c>
      <c r="B654" s="717" t="s">
        <v>1782</v>
      </c>
      <c r="C654" s="718">
        <v>1E-3</v>
      </c>
      <c r="D654" s="717">
        <v>47.52</v>
      </c>
      <c r="E654" s="717">
        <v>0.33</v>
      </c>
      <c r="F654" s="717">
        <v>47.52</v>
      </c>
      <c r="G654" s="717">
        <v>112.589</v>
      </c>
      <c r="H654" s="717">
        <v>0</v>
      </c>
      <c r="I654" s="717">
        <v>0</v>
      </c>
      <c r="J654" s="717">
        <v>0</v>
      </c>
      <c r="K654" s="717">
        <v>0</v>
      </c>
      <c r="L654" s="717">
        <v>0</v>
      </c>
      <c r="M654" s="719">
        <v>101.02</v>
      </c>
      <c r="N654" s="720">
        <f t="shared" si="9"/>
        <v>101.02</v>
      </c>
      <c r="O654" s="1141">
        <f>Tabla1[[#This Row],[Tarifa 2012 (Mx$/ton)]]*(1+IncrementoTarifa)</f>
        <v>106.06089799999999</v>
      </c>
      <c r="P654" s="725"/>
    </row>
    <row r="655" spans="1:16" ht="15" x14ac:dyDescent="0.25">
      <c r="A655" s="716" t="s">
        <v>567</v>
      </c>
      <c r="B655" s="717" t="s">
        <v>1783</v>
      </c>
      <c r="C655" s="718">
        <v>1E-3</v>
      </c>
      <c r="D655" s="717">
        <v>47.52</v>
      </c>
      <c r="E655" s="717">
        <v>0.33</v>
      </c>
      <c r="F655" s="717">
        <v>47.52</v>
      </c>
      <c r="G655" s="717">
        <v>112.589</v>
      </c>
      <c r="H655" s="717">
        <v>0</v>
      </c>
      <c r="I655" s="717">
        <v>0</v>
      </c>
      <c r="J655" s="717">
        <v>0</v>
      </c>
      <c r="K655" s="717">
        <v>0</v>
      </c>
      <c r="L655" s="717">
        <v>0</v>
      </c>
      <c r="M655" s="719">
        <v>101.02</v>
      </c>
      <c r="N655" s="720">
        <f t="shared" si="9"/>
        <v>101.02</v>
      </c>
      <c r="O655" s="1141">
        <f>Tabla1[[#This Row],[Tarifa 2012 (Mx$/ton)]]*(1+IncrementoTarifa)</f>
        <v>106.06089799999999</v>
      </c>
      <c r="P655" s="725"/>
    </row>
    <row r="656" spans="1:16" ht="15" x14ac:dyDescent="0.25">
      <c r="A656" s="716" t="s">
        <v>1784</v>
      </c>
      <c r="B656" s="717" t="s">
        <v>1785</v>
      </c>
      <c r="C656" s="718">
        <v>27</v>
      </c>
      <c r="D656" s="717">
        <v>47.52</v>
      </c>
      <c r="E656" s="717">
        <v>0.33</v>
      </c>
      <c r="F656" s="717">
        <v>56.43</v>
      </c>
      <c r="G656" s="717">
        <v>112.589</v>
      </c>
      <c r="H656" s="717">
        <v>0</v>
      </c>
      <c r="I656" s="717">
        <v>0</v>
      </c>
      <c r="J656" s="717">
        <v>0</v>
      </c>
      <c r="K656" s="717">
        <v>0</v>
      </c>
      <c r="L656" s="717">
        <v>0</v>
      </c>
      <c r="M656" s="719">
        <v>119.96</v>
      </c>
      <c r="N656" s="720">
        <f t="shared" si="9"/>
        <v>119.96</v>
      </c>
      <c r="O656" s="1141">
        <f>Tabla1[[#This Row],[Tarifa 2012 (Mx$/ton)]]*(1+IncrementoTarifa)</f>
        <v>125.946004</v>
      </c>
      <c r="P656" s="725"/>
    </row>
    <row r="657" spans="1:16" ht="15" x14ac:dyDescent="0.25">
      <c r="A657" s="716" t="s">
        <v>568</v>
      </c>
      <c r="B657" s="717" t="s">
        <v>1786</v>
      </c>
      <c r="C657" s="718">
        <v>45</v>
      </c>
      <c r="D657" s="717">
        <v>47.52</v>
      </c>
      <c r="E657" s="717">
        <v>0.33</v>
      </c>
      <c r="F657" s="717">
        <v>62.37</v>
      </c>
      <c r="G657" s="717">
        <v>112.589</v>
      </c>
      <c r="H657" s="717">
        <v>0</v>
      </c>
      <c r="I657" s="717">
        <v>0</v>
      </c>
      <c r="J657" s="717">
        <v>0</v>
      </c>
      <c r="K657" s="717">
        <v>0</v>
      </c>
      <c r="L657" s="717">
        <v>0</v>
      </c>
      <c r="M657" s="719">
        <v>132.59</v>
      </c>
      <c r="N657" s="720">
        <f t="shared" si="9"/>
        <v>132.59</v>
      </c>
      <c r="O657" s="1141">
        <f>Tabla1[[#This Row],[Tarifa 2012 (Mx$/ton)]]*(1+IncrementoTarifa)</f>
        <v>139.20624100000001</v>
      </c>
      <c r="P657" s="725"/>
    </row>
    <row r="658" spans="1:16" ht="15" x14ac:dyDescent="0.25">
      <c r="A658" s="716" t="s">
        <v>1787</v>
      </c>
      <c r="B658" s="717" t="s">
        <v>1788</v>
      </c>
      <c r="C658" s="718">
        <v>1E-3</v>
      </c>
      <c r="D658" s="717">
        <v>47.52</v>
      </c>
      <c r="E658" s="717">
        <v>0.33</v>
      </c>
      <c r="F658" s="717">
        <v>47.52</v>
      </c>
      <c r="G658" s="717">
        <v>112.589</v>
      </c>
      <c r="H658" s="717">
        <v>0</v>
      </c>
      <c r="I658" s="717">
        <v>0</v>
      </c>
      <c r="J658" s="717">
        <v>0</v>
      </c>
      <c r="K658" s="717">
        <v>0</v>
      </c>
      <c r="L658" s="717">
        <v>0</v>
      </c>
      <c r="M658" s="719">
        <v>101.02</v>
      </c>
      <c r="N658" s="720">
        <f t="shared" ref="N658:N716" si="10">M658*(1+$O$2)</f>
        <v>101.02</v>
      </c>
      <c r="O658" s="1141">
        <f>Tabla1[[#This Row],[Tarifa 2012 (Mx$/ton)]]*(1+IncrementoTarifa)</f>
        <v>106.06089799999999</v>
      </c>
      <c r="P658" s="725"/>
    </row>
    <row r="659" spans="1:16" ht="15" x14ac:dyDescent="0.25">
      <c r="A659" s="716" t="s">
        <v>1789</v>
      </c>
      <c r="B659" s="717" t="s">
        <v>1790</v>
      </c>
      <c r="C659" s="718">
        <v>48</v>
      </c>
      <c r="D659" s="717">
        <v>47.52</v>
      </c>
      <c r="E659" s="717">
        <v>0.33</v>
      </c>
      <c r="F659" s="717">
        <v>63.36</v>
      </c>
      <c r="G659" s="717">
        <v>112.589</v>
      </c>
      <c r="H659" s="717">
        <v>0</v>
      </c>
      <c r="I659" s="717">
        <v>0</v>
      </c>
      <c r="J659" s="717">
        <v>0</v>
      </c>
      <c r="K659" s="717">
        <v>0</v>
      </c>
      <c r="L659" s="717">
        <v>0</v>
      </c>
      <c r="M659" s="719">
        <v>134.69999999999999</v>
      </c>
      <c r="N659" s="720">
        <f t="shared" si="10"/>
        <v>134.69999999999999</v>
      </c>
      <c r="O659" s="1141">
        <f>Tabla1[[#This Row],[Tarifa 2012 (Mx$/ton)]]*(1+IncrementoTarifa)</f>
        <v>141.42152999999999</v>
      </c>
      <c r="P659" s="725"/>
    </row>
    <row r="660" spans="1:16" ht="15" x14ac:dyDescent="0.25">
      <c r="A660" s="716" t="s">
        <v>1791</v>
      </c>
      <c r="B660" s="717" t="s">
        <v>1792</v>
      </c>
      <c r="C660" s="718">
        <v>179</v>
      </c>
      <c r="D660" s="717">
        <v>47.52</v>
      </c>
      <c r="E660" s="717">
        <v>0.33</v>
      </c>
      <c r="F660" s="717">
        <v>106.59</v>
      </c>
      <c r="G660" s="717">
        <v>112.589</v>
      </c>
      <c r="H660" s="717">
        <v>0</v>
      </c>
      <c r="I660" s="717">
        <v>0</v>
      </c>
      <c r="J660" s="717">
        <v>0</v>
      </c>
      <c r="K660" s="717">
        <v>0</v>
      </c>
      <c r="L660" s="717">
        <v>0</v>
      </c>
      <c r="M660" s="719">
        <v>226.6</v>
      </c>
      <c r="N660" s="720">
        <f t="shared" si="10"/>
        <v>226.6</v>
      </c>
      <c r="O660" s="1141">
        <f>Tabla1[[#This Row],[Tarifa 2012 (Mx$/ton)]]*(1+IncrementoTarifa)</f>
        <v>237.90734</v>
      </c>
      <c r="P660" s="725"/>
    </row>
    <row r="661" spans="1:16" ht="15" x14ac:dyDescent="0.25">
      <c r="A661" s="716" t="s">
        <v>1793</v>
      </c>
      <c r="B661" s="717" t="s">
        <v>1794</v>
      </c>
      <c r="C661" s="718">
        <v>240</v>
      </c>
      <c r="D661" s="717">
        <v>47.52</v>
      </c>
      <c r="E661" s="717">
        <v>0.33</v>
      </c>
      <c r="F661" s="717">
        <v>126.72</v>
      </c>
      <c r="G661" s="717">
        <v>112.589</v>
      </c>
      <c r="H661" s="717">
        <v>0</v>
      </c>
      <c r="I661" s="717">
        <v>0</v>
      </c>
      <c r="J661" s="717">
        <v>0</v>
      </c>
      <c r="K661" s="717">
        <v>0</v>
      </c>
      <c r="L661" s="717">
        <v>0</v>
      </c>
      <c r="M661" s="719">
        <v>269.39</v>
      </c>
      <c r="N661" s="720">
        <f t="shared" si="10"/>
        <v>269.39</v>
      </c>
      <c r="O661" s="1141">
        <f>Tabla1[[#This Row],[Tarifa 2012 (Mx$/ton)]]*(1+IncrementoTarifa)</f>
        <v>282.832561</v>
      </c>
      <c r="P661" s="725"/>
    </row>
    <row r="662" spans="1:16" ht="15" x14ac:dyDescent="0.25">
      <c r="A662" s="716" t="s">
        <v>1795</v>
      </c>
      <c r="B662" s="717" t="s">
        <v>1796</v>
      </c>
      <c r="C662" s="718">
        <v>199</v>
      </c>
      <c r="D662" s="717">
        <v>47.52</v>
      </c>
      <c r="E662" s="717">
        <v>0.33</v>
      </c>
      <c r="F662" s="717">
        <v>113.19</v>
      </c>
      <c r="G662" s="717">
        <v>112.589</v>
      </c>
      <c r="H662" s="717">
        <v>0</v>
      </c>
      <c r="I662" s="717">
        <v>0</v>
      </c>
      <c r="J662" s="717">
        <v>0</v>
      </c>
      <c r="K662" s="717">
        <v>0</v>
      </c>
      <c r="L662" s="717">
        <v>0</v>
      </c>
      <c r="M662" s="719">
        <v>240.63</v>
      </c>
      <c r="N662" s="720">
        <f t="shared" si="10"/>
        <v>240.63</v>
      </c>
      <c r="O662" s="1141">
        <f>Tabla1[[#This Row],[Tarifa 2012 (Mx$/ton)]]*(1+IncrementoTarifa)</f>
        <v>252.63743700000001</v>
      </c>
      <c r="P662" s="725"/>
    </row>
    <row r="663" spans="1:16" ht="15" x14ac:dyDescent="0.25">
      <c r="A663" s="716" t="s">
        <v>569</v>
      </c>
      <c r="B663" s="717" t="s">
        <v>1797</v>
      </c>
      <c r="C663" s="718">
        <v>83</v>
      </c>
      <c r="D663" s="717">
        <v>47.52</v>
      </c>
      <c r="E663" s="717">
        <v>0.33</v>
      </c>
      <c r="F663" s="717">
        <v>74.91</v>
      </c>
      <c r="G663" s="717">
        <v>112.589</v>
      </c>
      <c r="H663" s="717">
        <v>0</v>
      </c>
      <c r="I663" s="717">
        <v>0</v>
      </c>
      <c r="J663" s="717">
        <v>0</v>
      </c>
      <c r="K663" s="717">
        <v>0</v>
      </c>
      <c r="L663" s="717">
        <v>0</v>
      </c>
      <c r="M663" s="719">
        <v>159.25</v>
      </c>
      <c r="N663" s="720">
        <f t="shared" si="10"/>
        <v>159.25</v>
      </c>
      <c r="O663" s="1141">
        <f>Tabla1[[#This Row],[Tarifa 2012 (Mx$/ton)]]*(1+IncrementoTarifa)</f>
        <v>167.196575</v>
      </c>
      <c r="P663" s="725"/>
    </row>
    <row r="664" spans="1:16" ht="15" x14ac:dyDescent="0.25">
      <c r="A664" s="716" t="s">
        <v>1798</v>
      </c>
      <c r="B664" s="717" t="s">
        <v>1799</v>
      </c>
      <c r="C664" s="718">
        <v>139</v>
      </c>
      <c r="D664" s="717">
        <v>47.52</v>
      </c>
      <c r="E664" s="717">
        <v>0.33</v>
      </c>
      <c r="F664" s="717">
        <v>93.39</v>
      </c>
      <c r="G664" s="717">
        <v>112.589</v>
      </c>
      <c r="H664" s="717">
        <v>0</v>
      </c>
      <c r="I664" s="717">
        <v>0</v>
      </c>
      <c r="J664" s="717">
        <v>0</v>
      </c>
      <c r="K664" s="717">
        <v>0</v>
      </c>
      <c r="L664" s="717">
        <v>0</v>
      </c>
      <c r="M664" s="719">
        <v>198.54</v>
      </c>
      <c r="N664" s="720">
        <f t="shared" si="10"/>
        <v>198.54</v>
      </c>
      <c r="O664" s="1141">
        <f>Tabla1[[#This Row],[Tarifa 2012 (Mx$/ton)]]*(1+IncrementoTarifa)</f>
        <v>208.447146</v>
      </c>
      <c r="P664" s="725"/>
    </row>
    <row r="665" spans="1:16" ht="15" x14ac:dyDescent="0.25">
      <c r="A665" s="716" t="s">
        <v>1800</v>
      </c>
      <c r="B665" s="717" t="s">
        <v>1801</v>
      </c>
      <c r="C665" s="718">
        <v>99</v>
      </c>
      <c r="D665" s="717">
        <v>47.52</v>
      </c>
      <c r="E665" s="717">
        <v>0.33</v>
      </c>
      <c r="F665" s="717">
        <v>80.19</v>
      </c>
      <c r="G665" s="717">
        <v>112.589</v>
      </c>
      <c r="H665" s="717">
        <v>0</v>
      </c>
      <c r="I665" s="717">
        <v>0</v>
      </c>
      <c r="J665" s="717">
        <v>0</v>
      </c>
      <c r="K665" s="717">
        <v>0</v>
      </c>
      <c r="L665" s="717">
        <v>0</v>
      </c>
      <c r="M665" s="719">
        <v>170.48</v>
      </c>
      <c r="N665" s="720">
        <f t="shared" si="10"/>
        <v>170.48</v>
      </c>
      <c r="O665" s="1141">
        <f>Tabla1[[#This Row],[Tarifa 2012 (Mx$/ton)]]*(1+IncrementoTarifa)</f>
        <v>178.986952</v>
      </c>
      <c r="P665" s="725"/>
    </row>
    <row r="666" spans="1:16" ht="15" x14ac:dyDescent="0.25">
      <c r="A666" s="716" t="s">
        <v>1802</v>
      </c>
      <c r="B666" s="717" t="s">
        <v>1803</v>
      </c>
      <c r="C666" s="718">
        <v>302</v>
      </c>
      <c r="D666" s="717">
        <v>47.52</v>
      </c>
      <c r="E666" s="717">
        <v>0.33</v>
      </c>
      <c r="F666" s="717">
        <v>147.18</v>
      </c>
      <c r="G666" s="717">
        <v>112.589</v>
      </c>
      <c r="H666" s="717">
        <v>0</v>
      </c>
      <c r="I666" s="717">
        <v>10</v>
      </c>
      <c r="J666" s="717">
        <v>0</v>
      </c>
      <c r="K666" s="717">
        <v>0</v>
      </c>
      <c r="L666" s="717">
        <v>0</v>
      </c>
      <c r="M666" s="719">
        <v>327.61</v>
      </c>
      <c r="N666" s="720">
        <f t="shared" si="10"/>
        <v>327.61</v>
      </c>
      <c r="O666" s="1141">
        <f>Tabla1[[#This Row],[Tarifa 2012 (Mx$/ton)]]*(1+IncrementoTarifa)</f>
        <v>343.95773900000006</v>
      </c>
      <c r="P666" s="725"/>
    </row>
    <row r="667" spans="1:16" ht="15" x14ac:dyDescent="0.25">
      <c r="A667" s="716" t="s">
        <v>1804</v>
      </c>
      <c r="B667" s="717" t="s">
        <v>1805</v>
      </c>
      <c r="C667" s="718">
        <v>120</v>
      </c>
      <c r="D667" s="717">
        <v>47.52</v>
      </c>
      <c r="E667" s="717">
        <v>0.33</v>
      </c>
      <c r="F667" s="717">
        <v>87.12</v>
      </c>
      <c r="G667" s="717">
        <v>112.589</v>
      </c>
      <c r="H667" s="717">
        <v>0</v>
      </c>
      <c r="I667" s="717">
        <v>0</v>
      </c>
      <c r="J667" s="717">
        <v>0</v>
      </c>
      <c r="K667" s="717">
        <v>0</v>
      </c>
      <c r="L667" s="717">
        <v>0</v>
      </c>
      <c r="M667" s="719">
        <v>185.21</v>
      </c>
      <c r="N667" s="720">
        <f t="shared" si="10"/>
        <v>185.21</v>
      </c>
      <c r="O667" s="1141">
        <f>Tabla1[[#This Row],[Tarifa 2012 (Mx$/ton)]]*(1+IncrementoTarifa)</f>
        <v>194.45197900000002</v>
      </c>
      <c r="P667" s="725"/>
    </row>
    <row r="668" spans="1:16" ht="15" x14ac:dyDescent="0.25">
      <c r="A668" s="716" t="s">
        <v>570</v>
      </c>
      <c r="B668" s="717" t="s">
        <v>1806</v>
      </c>
      <c r="C668" s="718">
        <v>110</v>
      </c>
      <c r="D668" s="717">
        <v>47.52</v>
      </c>
      <c r="E668" s="717">
        <v>0.33</v>
      </c>
      <c r="F668" s="717">
        <v>83.82</v>
      </c>
      <c r="G668" s="717">
        <v>112.589</v>
      </c>
      <c r="H668" s="717">
        <v>0</v>
      </c>
      <c r="I668" s="717">
        <v>0</v>
      </c>
      <c r="J668" s="717">
        <v>0</v>
      </c>
      <c r="K668" s="717">
        <v>0</v>
      </c>
      <c r="L668" s="717">
        <v>0</v>
      </c>
      <c r="M668" s="719">
        <v>178.19</v>
      </c>
      <c r="N668" s="720">
        <f t="shared" si="10"/>
        <v>178.19</v>
      </c>
      <c r="O668" s="1141">
        <f>Tabla1[[#This Row],[Tarifa 2012 (Mx$/ton)]]*(1+IncrementoTarifa)</f>
        <v>187.081681</v>
      </c>
      <c r="P668" s="725"/>
    </row>
    <row r="669" spans="1:16" ht="15" x14ac:dyDescent="0.25">
      <c r="A669" s="716" t="s">
        <v>1807</v>
      </c>
      <c r="B669" s="717" t="s">
        <v>1808</v>
      </c>
      <c r="C669" s="718">
        <v>140</v>
      </c>
      <c r="D669" s="717">
        <v>47.52</v>
      </c>
      <c r="E669" s="717">
        <v>0.33</v>
      </c>
      <c r="F669" s="717">
        <v>93.72</v>
      </c>
      <c r="G669" s="717">
        <v>112.589</v>
      </c>
      <c r="H669" s="717">
        <v>0</v>
      </c>
      <c r="I669" s="717">
        <v>0</v>
      </c>
      <c r="J669" s="717">
        <v>0</v>
      </c>
      <c r="K669" s="717">
        <v>0</v>
      </c>
      <c r="L669" s="717">
        <v>0</v>
      </c>
      <c r="M669" s="719">
        <v>199.24</v>
      </c>
      <c r="N669" s="720">
        <f t="shared" si="10"/>
        <v>199.24</v>
      </c>
      <c r="O669" s="1141">
        <f>Tabla1[[#This Row],[Tarifa 2012 (Mx$/ton)]]*(1+IncrementoTarifa)</f>
        <v>209.18207600000002</v>
      </c>
      <c r="P669" s="725"/>
    </row>
    <row r="670" spans="1:16" ht="15" x14ac:dyDescent="0.25">
      <c r="A670" s="716" t="s">
        <v>1809</v>
      </c>
      <c r="B670" s="717" t="s">
        <v>1810</v>
      </c>
      <c r="C670" s="718">
        <v>130</v>
      </c>
      <c r="D670" s="717">
        <v>47.52</v>
      </c>
      <c r="E670" s="717">
        <v>0.33</v>
      </c>
      <c r="F670" s="717">
        <v>90.42</v>
      </c>
      <c r="G670" s="717">
        <v>112.589</v>
      </c>
      <c r="H670" s="717">
        <v>0</v>
      </c>
      <c r="I670" s="717">
        <v>0</v>
      </c>
      <c r="J670" s="717">
        <v>0</v>
      </c>
      <c r="K670" s="717">
        <v>0</v>
      </c>
      <c r="L670" s="717">
        <v>0</v>
      </c>
      <c r="M670" s="719">
        <v>192.22</v>
      </c>
      <c r="N670" s="720">
        <f t="shared" si="10"/>
        <v>192.22</v>
      </c>
      <c r="O670" s="1141">
        <f>Tabla1[[#This Row],[Tarifa 2012 (Mx$/ton)]]*(1+IncrementoTarifa)</f>
        <v>201.811778</v>
      </c>
      <c r="P670" s="725"/>
    </row>
    <row r="671" spans="1:16" ht="15" x14ac:dyDescent="0.25">
      <c r="A671" s="716" t="s">
        <v>1811</v>
      </c>
      <c r="B671" s="717" t="s">
        <v>1812</v>
      </c>
      <c r="C671" s="718">
        <v>110</v>
      </c>
      <c r="D671" s="717">
        <v>47.52</v>
      </c>
      <c r="E671" s="717">
        <v>0.33</v>
      </c>
      <c r="F671" s="717">
        <v>79.5</v>
      </c>
      <c r="G671" s="717">
        <v>112.589</v>
      </c>
      <c r="H671" s="717">
        <v>0</v>
      </c>
      <c r="I671" s="717">
        <v>10</v>
      </c>
      <c r="J671" s="717">
        <v>0</v>
      </c>
      <c r="K671" s="717">
        <v>0</v>
      </c>
      <c r="L671" s="717">
        <v>0</v>
      </c>
      <c r="M671" s="719">
        <v>176.96</v>
      </c>
      <c r="N671" s="720">
        <f t="shared" si="10"/>
        <v>176.96</v>
      </c>
      <c r="O671" s="1141">
        <f>Tabla1[[#This Row],[Tarifa 2012 (Mx$/ton)]]*(1+IncrementoTarifa)</f>
        <v>185.79030400000002</v>
      </c>
      <c r="P671" s="725"/>
    </row>
    <row r="672" spans="1:16" ht="15" x14ac:dyDescent="0.25">
      <c r="A672" s="716" t="s">
        <v>1813</v>
      </c>
      <c r="B672" s="717" t="s">
        <v>1814</v>
      </c>
      <c r="C672" s="718">
        <v>138</v>
      </c>
      <c r="D672" s="717">
        <v>47.52</v>
      </c>
      <c r="E672" s="717">
        <v>0.33</v>
      </c>
      <c r="F672" s="717">
        <v>93.06</v>
      </c>
      <c r="G672" s="717">
        <v>112.589</v>
      </c>
      <c r="H672" s="717">
        <v>0</v>
      </c>
      <c r="I672" s="717">
        <v>10</v>
      </c>
      <c r="J672" s="717">
        <v>0</v>
      </c>
      <c r="K672" s="717">
        <v>0</v>
      </c>
      <c r="L672" s="717">
        <v>0</v>
      </c>
      <c r="M672" s="719">
        <v>207.14</v>
      </c>
      <c r="N672" s="720">
        <f t="shared" si="10"/>
        <v>207.14</v>
      </c>
      <c r="O672" s="1141">
        <f>Tabla1[[#This Row],[Tarifa 2012 (Mx$/ton)]]*(1+IncrementoTarifa)</f>
        <v>217.47628599999999</v>
      </c>
      <c r="P672" s="725"/>
    </row>
    <row r="673" spans="1:16" ht="15" x14ac:dyDescent="0.25">
      <c r="A673" s="716" t="s">
        <v>1815</v>
      </c>
      <c r="B673" s="717" t="s">
        <v>1816</v>
      </c>
      <c r="C673" s="718">
        <v>124</v>
      </c>
      <c r="D673" s="717">
        <v>47.52</v>
      </c>
      <c r="E673" s="717">
        <v>0.33</v>
      </c>
      <c r="F673" s="717">
        <v>88.44</v>
      </c>
      <c r="G673" s="717">
        <v>112.589</v>
      </c>
      <c r="H673" s="717">
        <v>0</v>
      </c>
      <c r="I673" s="717">
        <v>0</v>
      </c>
      <c r="J673" s="717">
        <v>0</v>
      </c>
      <c r="K673" s="717">
        <v>0</v>
      </c>
      <c r="L673" s="717">
        <v>0</v>
      </c>
      <c r="M673" s="719">
        <v>188.01</v>
      </c>
      <c r="N673" s="720">
        <f t="shared" si="10"/>
        <v>188.01</v>
      </c>
      <c r="O673" s="1141">
        <f>Tabla1[[#This Row],[Tarifa 2012 (Mx$/ton)]]*(1+IncrementoTarifa)</f>
        <v>197.39169899999999</v>
      </c>
      <c r="P673" s="725"/>
    </row>
    <row r="674" spans="1:16" ht="15" x14ac:dyDescent="0.25">
      <c r="A674" s="716" t="s">
        <v>1817</v>
      </c>
      <c r="B674" s="717" t="s">
        <v>1818</v>
      </c>
      <c r="C674" s="718">
        <v>77</v>
      </c>
      <c r="D674" s="717">
        <v>47.52</v>
      </c>
      <c r="E674" s="717">
        <v>0.33</v>
      </c>
      <c r="F674" s="717">
        <v>72.930000000000007</v>
      </c>
      <c r="G674" s="717">
        <v>112.589</v>
      </c>
      <c r="H674" s="717">
        <v>0</v>
      </c>
      <c r="I674" s="717">
        <v>10</v>
      </c>
      <c r="J674" s="717">
        <v>0</v>
      </c>
      <c r="K674" s="717">
        <v>0</v>
      </c>
      <c r="L674" s="717">
        <v>0</v>
      </c>
      <c r="M674" s="719">
        <v>162.33000000000001</v>
      </c>
      <c r="N674" s="720">
        <f t="shared" si="10"/>
        <v>162.33000000000001</v>
      </c>
      <c r="O674" s="1141">
        <f>Tabla1[[#This Row],[Tarifa 2012 (Mx$/ton)]]*(1+IncrementoTarifa)</f>
        <v>170.43026700000001</v>
      </c>
      <c r="P674" s="725"/>
    </row>
    <row r="675" spans="1:16" ht="15" x14ac:dyDescent="0.25">
      <c r="A675" s="716" t="s">
        <v>1819</v>
      </c>
      <c r="B675" s="717" t="s">
        <v>1820</v>
      </c>
      <c r="C675" s="718">
        <v>61</v>
      </c>
      <c r="D675" s="717">
        <v>47.52</v>
      </c>
      <c r="E675" s="717">
        <v>0.33</v>
      </c>
      <c r="F675" s="717">
        <v>67.650000000000006</v>
      </c>
      <c r="G675" s="717">
        <v>112.589</v>
      </c>
      <c r="H675" s="717">
        <v>0</v>
      </c>
      <c r="I675" s="717">
        <v>10</v>
      </c>
      <c r="J675" s="717">
        <v>0</v>
      </c>
      <c r="K675" s="717">
        <v>0</v>
      </c>
      <c r="L675" s="717">
        <v>0</v>
      </c>
      <c r="M675" s="719">
        <v>150.58000000000001</v>
      </c>
      <c r="N675" s="720">
        <f t="shared" si="10"/>
        <v>150.58000000000001</v>
      </c>
      <c r="O675" s="1141">
        <f>Tabla1[[#This Row],[Tarifa 2012 (Mx$/ton)]]*(1+IncrementoTarifa)</f>
        <v>158.09394200000003</v>
      </c>
      <c r="P675" s="725"/>
    </row>
    <row r="676" spans="1:16" ht="15" x14ac:dyDescent="0.25">
      <c r="A676" s="716" t="s">
        <v>1821</v>
      </c>
      <c r="B676" s="717" t="s">
        <v>1822</v>
      </c>
      <c r="C676" s="718">
        <v>155</v>
      </c>
      <c r="D676" s="717">
        <v>47.52</v>
      </c>
      <c r="E676" s="717">
        <v>0.33</v>
      </c>
      <c r="F676" s="717">
        <v>98.67</v>
      </c>
      <c r="G676" s="717">
        <v>112.589</v>
      </c>
      <c r="H676" s="717">
        <v>0</v>
      </c>
      <c r="I676" s="717">
        <v>0</v>
      </c>
      <c r="J676" s="717">
        <v>0</v>
      </c>
      <c r="K676" s="717">
        <v>0</v>
      </c>
      <c r="L676" s="717">
        <v>0</v>
      </c>
      <c r="M676" s="719">
        <v>209.76</v>
      </c>
      <c r="N676" s="720">
        <f t="shared" si="10"/>
        <v>209.76</v>
      </c>
      <c r="O676" s="1141">
        <f>Tabla1[[#This Row],[Tarifa 2012 (Mx$/ton)]]*(1+IncrementoTarifa)</f>
        <v>220.227024</v>
      </c>
      <c r="P676" s="725"/>
    </row>
    <row r="677" spans="1:16" ht="15" x14ac:dyDescent="0.25">
      <c r="A677" s="716" t="s">
        <v>1823</v>
      </c>
      <c r="B677" s="717" t="s">
        <v>1824</v>
      </c>
      <c r="C677" s="718">
        <v>172</v>
      </c>
      <c r="D677" s="717">
        <v>47.52</v>
      </c>
      <c r="E677" s="717">
        <v>0.33</v>
      </c>
      <c r="F677" s="717">
        <v>104.28</v>
      </c>
      <c r="G677" s="717">
        <v>112.589</v>
      </c>
      <c r="H677" s="717">
        <v>0</v>
      </c>
      <c r="I677" s="717">
        <v>0</v>
      </c>
      <c r="J677" s="717">
        <v>0</v>
      </c>
      <c r="K677" s="717">
        <v>0</v>
      </c>
      <c r="L677" s="717">
        <v>0</v>
      </c>
      <c r="M677" s="719">
        <v>221.69</v>
      </c>
      <c r="N677" s="720">
        <f t="shared" si="10"/>
        <v>221.69</v>
      </c>
      <c r="O677" s="1141">
        <f>Tabla1[[#This Row],[Tarifa 2012 (Mx$/ton)]]*(1+IncrementoTarifa)</f>
        <v>232.752331</v>
      </c>
      <c r="P677" s="725"/>
    </row>
    <row r="678" spans="1:16" ht="15" x14ac:dyDescent="0.25">
      <c r="A678" s="716" t="s">
        <v>1825</v>
      </c>
      <c r="B678" s="717" t="s">
        <v>1826</v>
      </c>
      <c r="C678" s="718">
        <v>199</v>
      </c>
      <c r="D678" s="717">
        <v>47.52</v>
      </c>
      <c r="E678" s="717">
        <v>0.33</v>
      </c>
      <c r="F678" s="717">
        <v>113.19</v>
      </c>
      <c r="G678" s="717">
        <v>112.589</v>
      </c>
      <c r="H678" s="717">
        <v>0</v>
      </c>
      <c r="I678" s="717">
        <v>0</v>
      </c>
      <c r="J678" s="717">
        <v>0</v>
      </c>
      <c r="K678" s="717">
        <v>0</v>
      </c>
      <c r="L678" s="717">
        <v>0</v>
      </c>
      <c r="M678" s="719">
        <v>240.63</v>
      </c>
      <c r="N678" s="720">
        <f t="shared" si="10"/>
        <v>240.63</v>
      </c>
      <c r="O678" s="1141">
        <f>Tabla1[[#This Row],[Tarifa 2012 (Mx$/ton)]]*(1+IncrementoTarifa)</f>
        <v>252.63743700000001</v>
      </c>
      <c r="P678" s="725"/>
    </row>
    <row r="679" spans="1:16" ht="15" x14ac:dyDescent="0.25">
      <c r="A679" s="716" t="s">
        <v>1827</v>
      </c>
      <c r="B679" s="717" t="s">
        <v>1828</v>
      </c>
      <c r="C679" s="718">
        <v>228</v>
      </c>
      <c r="D679" s="717">
        <v>47.52</v>
      </c>
      <c r="E679" s="717">
        <v>0.33</v>
      </c>
      <c r="F679" s="717">
        <v>122.76</v>
      </c>
      <c r="G679" s="717">
        <v>112.589</v>
      </c>
      <c r="H679" s="717">
        <v>0</v>
      </c>
      <c r="I679" s="717">
        <v>10</v>
      </c>
      <c r="J679" s="717">
        <v>0</v>
      </c>
      <c r="K679" s="717">
        <v>0</v>
      </c>
      <c r="L679" s="717">
        <v>0</v>
      </c>
      <c r="M679" s="719">
        <v>273.25</v>
      </c>
      <c r="N679" s="720">
        <f t="shared" si="10"/>
        <v>273.25</v>
      </c>
      <c r="O679" s="1141">
        <f>Tabla1[[#This Row],[Tarifa 2012 (Mx$/ton)]]*(1+IncrementoTarifa)</f>
        <v>286.885175</v>
      </c>
      <c r="P679" s="725"/>
    </row>
    <row r="680" spans="1:16" ht="15" x14ac:dyDescent="0.25">
      <c r="A680" s="716" t="s">
        <v>1829</v>
      </c>
      <c r="B680" s="717" t="s">
        <v>1830</v>
      </c>
      <c r="C680" s="718">
        <v>304</v>
      </c>
      <c r="D680" s="717">
        <v>47.52</v>
      </c>
      <c r="E680" s="717">
        <v>0.33</v>
      </c>
      <c r="F680" s="717">
        <v>147.84</v>
      </c>
      <c r="G680" s="717">
        <v>112.589</v>
      </c>
      <c r="H680" s="717">
        <v>0</v>
      </c>
      <c r="I680" s="717">
        <v>0</v>
      </c>
      <c r="J680" s="717">
        <v>0</v>
      </c>
      <c r="K680" s="717">
        <v>0</v>
      </c>
      <c r="L680" s="717">
        <v>0</v>
      </c>
      <c r="M680" s="719">
        <v>314.29000000000002</v>
      </c>
      <c r="N680" s="720">
        <f t="shared" si="10"/>
        <v>314.29000000000002</v>
      </c>
      <c r="O680" s="1141">
        <f>Tabla1[[#This Row],[Tarifa 2012 (Mx$/ton)]]*(1+IncrementoTarifa)</f>
        <v>329.97307100000006</v>
      </c>
      <c r="P680" s="725"/>
    </row>
    <row r="681" spans="1:16" ht="15" x14ac:dyDescent="0.25">
      <c r="A681" s="716" t="s">
        <v>1831</v>
      </c>
      <c r="B681" s="717" t="s">
        <v>1832</v>
      </c>
      <c r="C681" s="718">
        <v>363</v>
      </c>
      <c r="D681" s="717">
        <v>47.52</v>
      </c>
      <c r="E681" s="717">
        <v>0.33</v>
      </c>
      <c r="F681" s="717">
        <v>167.31</v>
      </c>
      <c r="G681" s="717">
        <v>112.589</v>
      </c>
      <c r="H681" s="717">
        <v>0</v>
      </c>
      <c r="I681" s="717">
        <v>0</v>
      </c>
      <c r="J681" s="717">
        <v>0</v>
      </c>
      <c r="K681" s="717">
        <v>0</v>
      </c>
      <c r="L681" s="717">
        <v>0</v>
      </c>
      <c r="M681" s="719">
        <v>355.68</v>
      </c>
      <c r="N681" s="720">
        <f t="shared" si="10"/>
        <v>355.68</v>
      </c>
      <c r="O681" s="1141">
        <f>Tabla1[[#This Row],[Tarifa 2012 (Mx$/ton)]]*(1+IncrementoTarifa)</f>
        <v>373.42843200000004</v>
      </c>
      <c r="P681" s="725"/>
    </row>
    <row r="682" spans="1:16" ht="15" x14ac:dyDescent="0.25">
      <c r="A682" s="716" t="s">
        <v>1833</v>
      </c>
      <c r="B682" s="717" t="s">
        <v>1834</v>
      </c>
      <c r="C682" s="718">
        <v>436</v>
      </c>
      <c r="D682" s="717">
        <v>47.52</v>
      </c>
      <c r="E682" s="717">
        <v>0.33</v>
      </c>
      <c r="F682" s="717">
        <v>191.4</v>
      </c>
      <c r="G682" s="717">
        <v>112.589</v>
      </c>
      <c r="H682" s="717">
        <v>0</v>
      </c>
      <c r="I682" s="717">
        <v>0</v>
      </c>
      <c r="J682" s="717">
        <v>0</v>
      </c>
      <c r="K682" s="717">
        <v>0</v>
      </c>
      <c r="L682" s="717">
        <v>0</v>
      </c>
      <c r="M682" s="719">
        <v>406.9</v>
      </c>
      <c r="N682" s="720">
        <f t="shared" si="10"/>
        <v>406.9</v>
      </c>
      <c r="O682" s="1141">
        <f>Tabla1[[#This Row],[Tarifa 2012 (Mx$/ton)]]*(1+IncrementoTarifa)</f>
        <v>427.20431000000002</v>
      </c>
      <c r="P682" s="725"/>
    </row>
    <row r="683" spans="1:16" ht="15" x14ac:dyDescent="0.25">
      <c r="A683" s="716" t="s">
        <v>571</v>
      </c>
      <c r="B683" s="717" t="s">
        <v>1835</v>
      </c>
      <c r="C683" s="718">
        <v>385</v>
      </c>
      <c r="D683" s="717">
        <v>47.52</v>
      </c>
      <c r="E683" s="717">
        <v>0.33</v>
      </c>
      <c r="F683" s="717">
        <v>174.57</v>
      </c>
      <c r="G683" s="717">
        <v>112.589</v>
      </c>
      <c r="H683" s="717">
        <v>0</v>
      </c>
      <c r="I683" s="717">
        <v>15</v>
      </c>
      <c r="J683" s="717">
        <v>0</v>
      </c>
      <c r="K683" s="717">
        <v>0</v>
      </c>
      <c r="L683" s="717">
        <v>0</v>
      </c>
      <c r="M683" s="719">
        <v>397.3</v>
      </c>
      <c r="N683" s="720">
        <f t="shared" si="10"/>
        <v>397.3</v>
      </c>
      <c r="O683" s="1141">
        <f>Tabla1[[#This Row],[Tarifa 2012 (Mx$/ton)]]*(1+IncrementoTarifa)</f>
        <v>417.12527000000006</v>
      </c>
      <c r="P683" s="725"/>
    </row>
    <row r="684" spans="1:16" ht="15" x14ac:dyDescent="0.25">
      <c r="A684" s="716" t="s">
        <v>1836</v>
      </c>
      <c r="B684" s="717" t="s">
        <v>1837</v>
      </c>
      <c r="C684" s="718">
        <v>313</v>
      </c>
      <c r="D684" s="717">
        <v>47.52</v>
      </c>
      <c r="E684" s="717">
        <v>0.33</v>
      </c>
      <c r="F684" s="717">
        <v>150.81</v>
      </c>
      <c r="G684" s="717">
        <v>112.589</v>
      </c>
      <c r="H684" s="717">
        <v>0</v>
      </c>
      <c r="I684" s="717">
        <v>0</v>
      </c>
      <c r="J684" s="717">
        <v>0</v>
      </c>
      <c r="K684" s="717">
        <v>0</v>
      </c>
      <c r="L684" s="717">
        <v>0</v>
      </c>
      <c r="M684" s="719">
        <v>320.61</v>
      </c>
      <c r="N684" s="720">
        <f t="shared" si="10"/>
        <v>320.61</v>
      </c>
      <c r="O684" s="1141">
        <f>Tabla1[[#This Row],[Tarifa 2012 (Mx$/ton)]]*(1+IncrementoTarifa)</f>
        <v>336.60843900000003</v>
      </c>
      <c r="P684" s="725"/>
    </row>
    <row r="685" spans="1:16" ht="15" x14ac:dyDescent="0.25">
      <c r="A685" s="716" t="s">
        <v>1838</v>
      </c>
      <c r="B685" s="717" t="s">
        <v>1839</v>
      </c>
      <c r="C685" s="718">
        <v>206</v>
      </c>
      <c r="D685" s="717">
        <v>47.52</v>
      </c>
      <c r="E685" s="717">
        <v>0.33</v>
      </c>
      <c r="F685" s="717">
        <v>115.5</v>
      </c>
      <c r="G685" s="717">
        <v>112.589</v>
      </c>
      <c r="H685" s="717">
        <v>0</v>
      </c>
      <c r="I685" s="717">
        <v>0</v>
      </c>
      <c r="J685" s="717">
        <v>0</v>
      </c>
      <c r="K685" s="717">
        <v>0</v>
      </c>
      <c r="L685" s="717">
        <v>0</v>
      </c>
      <c r="M685" s="719">
        <v>245.54</v>
      </c>
      <c r="N685" s="720">
        <f t="shared" si="10"/>
        <v>245.54</v>
      </c>
      <c r="O685" s="1141">
        <f>Tabla1[[#This Row],[Tarifa 2012 (Mx$/ton)]]*(1+IncrementoTarifa)</f>
        <v>257.79244599999998</v>
      </c>
      <c r="P685" s="725"/>
    </row>
    <row r="686" spans="1:16" ht="15" x14ac:dyDescent="0.25">
      <c r="A686" s="716" t="s">
        <v>1840</v>
      </c>
      <c r="B686" s="717" t="s">
        <v>1841</v>
      </c>
      <c r="C686" s="718">
        <v>148</v>
      </c>
      <c r="D686" s="717">
        <v>47.52</v>
      </c>
      <c r="E686" s="717">
        <v>0.33</v>
      </c>
      <c r="F686" s="717">
        <v>96.36</v>
      </c>
      <c r="G686" s="717">
        <v>112.589</v>
      </c>
      <c r="H686" s="717">
        <v>0</v>
      </c>
      <c r="I686" s="717">
        <v>0</v>
      </c>
      <c r="J686" s="717">
        <v>0</v>
      </c>
      <c r="K686" s="717">
        <v>0</v>
      </c>
      <c r="L686" s="717">
        <v>0</v>
      </c>
      <c r="M686" s="719">
        <v>204.85</v>
      </c>
      <c r="N686" s="720">
        <f t="shared" si="10"/>
        <v>204.85</v>
      </c>
      <c r="O686" s="1141">
        <f>Tabla1[[#This Row],[Tarifa 2012 (Mx$/ton)]]*(1+IncrementoTarifa)</f>
        <v>215.07201499999999</v>
      </c>
      <c r="P686" s="725"/>
    </row>
    <row r="687" spans="1:16" ht="15" x14ac:dyDescent="0.25">
      <c r="A687" s="716" t="s">
        <v>1842</v>
      </c>
      <c r="B687" s="717" t="s">
        <v>1843</v>
      </c>
      <c r="C687" s="718">
        <v>233</v>
      </c>
      <c r="D687" s="717">
        <v>47.52</v>
      </c>
      <c r="E687" s="717">
        <v>0.33</v>
      </c>
      <c r="F687" s="717">
        <v>124.41</v>
      </c>
      <c r="G687" s="717">
        <v>112.589</v>
      </c>
      <c r="H687" s="717">
        <v>0</v>
      </c>
      <c r="I687" s="717">
        <v>15</v>
      </c>
      <c r="J687" s="717">
        <v>0</v>
      </c>
      <c r="K687" s="717">
        <v>0</v>
      </c>
      <c r="L687" s="717">
        <v>0</v>
      </c>
      <c r="M687" s="719">
        <v>283.14</v>
      </c>
      <c r="N687" s="720">
        <f t="shared" si="10"/>
        <v>283.14</v>
      </c>
      <c r="O687" s="1141">
        <f>Tabla1[[#This Row],[Tarifa 2012 (Mx$/ton)]]*(1+IncrementoTarifa)</f>
        <v>297.268686</v>
      </c>
      <c r="P687" s="725"/>
    </row>
    <row r="688" spans="1:16" ht="15" x14ac:dyDescent="0.25">
      <c r="A688" s="716" t="s">
        <v>572</v>
      </c>
      <c r="B688" s="717" t="s">
        <v>1826</v>
      </c>
      <c r="C688" s="718">
        <v>297</v>
      </c>
      <c r="D688" s="717">
        <v>47.52</v>
      </c>
      <c r="E688" s="717">
        <v>0.33</v>
      </c>
      <c r="F688" s="717">
        <v>145.53</v>
      </c>
      <c r="G688" s="717">
        <v>112.589</v>
      </c>
      <c r="H688" s="717">
        <v>0</v>
      </c>
      <c r="I688" s="717">
        <v>15</v>
      </c>
      <c r="J688" s="717">
        <v>0</v>
      </c>
      <c r="K688" s="717">
        <v>0</v>
      </c>
      <c r="L688" s="717">
        <v>0</v>
      </c>
      <c r="M688" s="719">
        <v>331.21</v>
      </c>
      <c r="N688" s="720">
        <f t="shared" si="10"/>
        <v>331.21</v>
      </c>
      <c r="O688" s="1141">
        <f>Tabla1[[#This Row],[Tarifa 2012 (Mx$/ton)]]*(1+IncrementoTarifa)</f>
        <v>347.73737899999998</v>
      </c>
      <c r="P688" s="725"/>
    </row>
    <row r="689" spans="1:16" ht="15" x14ac:dyDescent="0.25">
      <c r="A689" s="716" t="s">
        <v>1844</v>
      </c>
      <c r="B689" s="717" t="s">
        <v>1845</v>
      </c>
      <c r="C689" s="718">
        <v>365</v>
      </c>
      <c r="D689" s="717">
        <v>47.52</v>
      </c>
      <c r="E689" s="717">
        <v>0.33</v>
      </c>
      <c r="F689" s="717">
        <v>167.97</v>
      </c>
      <c r="G689" s="717">
        <v>112.589</v>
      </c>
      <c r="H689" s="717">
        <v>0</v>
      </c>
      <c r="I689" s="717">
        <v>15</v>
      </c>
      <c r="J689" s="717">
        <v>0</v>
      </c>
      <c r="K689" s="717">
        <v>0</v>
      </c>
      <c r="L689" s="717">
        <v>0</v>
      </c>
      <c r="M689" s="719">
        <v>382.28</v>
      </c>
      <c r="N689" s="720">
        <f t="shared" si="10"/>
        <v>382.28</v>
      </c>
      <c r="O689" s="1141">
        <f>Tabla1[[#This Row],[Tarifa 2012 (Mx$/ton)]]*(1+IncrementoTarifa)</f>
        <v>401.355772</v>
      </c>
      <c r="P689" s="725"/>
    </row>
    <row r="690" spans="1:16" ht="15" x14ac:dyDescent="0.25">
      <c r="A690" s="716" t="s">
        <v>573</v>
      </c>
      <c r="B690" s="717" t="s">
        <v>1846</v>
      </c>
      <c r="C690" s="718">
        <v>339</v>
      </c>
      <c r="D690" s="717">
        <v>47.52</v>
      </c>
      <c r="E690" s="717">
        <v>0.33</v>
      </c>
      <c r="F690" s="717">
        <v>159.38999999999999</v>
      </c>
      <c r="G690" s="717">
        <v>112.589</v>
      </c>
      <c r="H690" s="717">
        <v>0</v>
      </c>
      <c r="I690" s="717">
        <v>15</v>
      </c>
      <c r="J690" s="717">
        <v>0</v>
      </c>
      <c r="K690" s="717">
        <v>0</v>
      </c>
      <c r="L690" s="717">
        <v>0</v>
      </c>
      <c r="M690" s="719">
        <v>362.75</v>
      </c>
      <c r="N690" s="720">
        <f t="shared" si="10"/>
        <v>362.75</v>
      </c>
      <c r="O690" s="1141">
        <f>Tabla1[[#This Row],[Tarifa 2012 (Mx$/ton)]]*(1+IncrementoTarifa)</f>
        <v>380.851225</v>
      </c>
      <c r="P690" s="725"/>
    </row>
    <row r="691" spans="1:16" ht="15" x14ac:dyDescent="0.25">
      <c r="A691" s="716" t="s">
        <v>1847</v>
      </c>
      <c r="B691" s="717" t="s">
        <v>1848</v>
      </c>
      <c r="C691" s="718">
        <v>130</v>
      </c>
      <c r="D691" s="717">
        <v>47.52</v>
      </c>
      <c r="E691" s="717">
        <v>0.33</v>
      </c>
      <c r="F691" s="717">
        <v>90.42</v>
      </c>
      <c r="G691" s="717">
        <v>112.589</v>
      </c>
      <c r="H691" s="717">
        <v>0</v>
      </c>
      <c r="I691" s="717">
        <v>15</v>
      </c>
      <c r="J691" s="717">
        <v>0</v>
      </c>
      <c r="K691" s="717">
        <v>0</v>
      </c>
      <c r="L691" s="717">
        <v>0</v>
      </c>
      <c r="M691" s="719">
        <v>205.79</v>
      </c>
      <c r="N691" s="720">
        <f t="shared" si="10"/>
        <v>205.79</v>
      </c>
      <c r="O691" s="1141">
        <f>Tabla1[[#This Row],[Tarifa 2012 (Mx$/ton)]]*(1+IncrementoTarifa)</f>
        <v>216.058921</v>
      </c>
      <c r="P691" s="725"/>
    </row>
    <row r="692" spans="1:16" ht="15" x14ac:dyDescent="0.25">
      <c r="A692" s="716" t="s">
        <v>1849</v>
      </c>
      <c r="B692" s="717" t="s">
        <v>1850</v>
      </c>
      <c r="C692" s="718">
        <v>351</v>
      </c>
      <c r="D692" s="717">
        <v>47.52</v>
      </c>
      <c r="E692" s="717">
        <v>0.33</v>
      </c>
      <c r="F692" s="717">
        <v>163.35</v>
      </c>
      <c r="G692" s="717">
        <v>112.589</v>
      </c>
      <c r="H692" s="717">
        <v>0</v>
      </c>
      <c r="I692" s="717">
        <v>0</v>
      </c>
      <c r="J692" s="717">
        <v>0</v>
      </c>
      <c r="K692" s="717">
        <v>0</v>
      </c>
      <c r="L692" s="717">
        <v>0</v>
      </c>
      <c r="M692" s="719">
        <v>347.26</v>
      </c>
      <c r="N692" s="720">
        <f t="shared" si="10"/>
        <v>347.26</v>
      </c>
      <c r="O692" s="1141">
        <f>Tabla1[[#This Row],[Tarifa 2012 (Mx$/ton)]]*(1+IncrementoTarifa)</f>
        <v>364.58827400000001</v>
      </c>
      <c r="P692" s="725"/>
    </row>
    <row r="693" spans="1:16" ht="15" x14ac:dyDescent="0.25">
      <c r="A693" s="716" t="s">
        <v>1851</v>
      </c>
      <c r="B693" s="717" t="s">
        <v>1852</v>
      </c>
      <c r="C693" s="718">
        <v>731</v>
      </c>
      <c r="D693" s="717">
        <v>47.52</v>
      </c>
      <c r="E693" s="717">
        <v>0.33</v>
      </c>
      <c r="F693" s="717">
        <v>288.75</v>
      </c>
      <c r="G693" s="717">
        <v>112.589</v>
      </c>
      <c r="H693" s="717">
        <v>0</v>
      </c>
      <c r="I693" s="717">
        <v>0</v>
      </c>
      <c r="J693" s="717">
        <v>0</v>
      </c>
      <c r="K693" s="717">
        <v>0</v>
      </c>
      <c r="L693" s="717">
        <v>0</v>
      </c>
      <c r="M693" s="719">
        <v>613.85</v>
      </c>
      <c r="N693" s="720">
        <f t="shared" si="10"/>
        <v>613.85</v>
      </c>
      <c r="O693" s="1141">
        <f>Tabla1[[#This Row],[Tarifa 2012 (Mx$/ton)]]*(1+IncrementoTarifa)</f>
        <v>644.48111500000005</v>
      </c>
      <c r="P693" s="725"/>
    </row>
    <row r="694" spans="1:16" ht="15" x14ac:dyDescent="0.25">
      <c r="A694" s="716" t="s">
        <v>1853</v>
      </c>
      <c r="B694" s="717" t="s">
        <v>1854</v>
      </c>
      <c r="C694" s="718">
        <v>780</v>
      </c>
      <c r="D694" s="717">
        <v>47.52</v>
      </c>
      <c r="E694" s="717">
        <v>0.33</v>
      </c>
      <c r="F694" s="717">
        <v>304.92</v>
      </c>
      <c r="G694" s="717">
        <v>112.589</v>
      </c>
      <c r="H694" s="717">
        <v>0</v>
      </c>
      <c r="I694" s="717">
        <v>0</v>
      </c>
      <c r="J694" s="717">
        <v>0</v>
      </c>
      <c r="K694" s="717">
        <v>0</v>
      </c>
      <c r="L694" s="717">
        <v>0</v>
      </c>
      <c r="M694" s="719">
        <v>648.23</v>
      </c>
      <c r="N694" s="720">
        <f t="shared" si="10"/>
        <v>648.23</v>
      </c>
      <c r="O694" s="1141">
        <f>Tabla1[[#This Row],[Tarifa 2012 (Mx$/ton)]]*(1+IncrementoTarifa)</f>
        <v>680.57667700000002</v>
      </c>
      <c r="P694" s="725"/>
    </row>
    <row r="695" spans="1:16" ht="15" x14ac:dyDescent="0.25">
      <c r="A695" s="716" t="s">
        <v>1855</v>
      </c>
      <c r="B695" s="717" t="s">
        <v>1856</v>
      </c>
      <c r="C695" s="718">
        <v>1076</v>
      </c>
      <c r="D695" s="717">
        <v>47.52</v>
      </c>
      <c r="E695" s="717">
        <v>0.33</v>
      </c>
      <c r="F695" s="717">
        <v>402.6</v>
      </c>
      <c r="G695" s="717">
        <v>112.589</v>
      </c>
      <c r="H695" s="717">
        <v>0</v>
      </c>
      <c r="I695" s="717">
        <v>0</v>
      </c>
      <c r="J695" s="717">
        <v>0</v>
      </c>
      <c r="K695" s="717">
        <v>0</v>
      </c>
      <c r="L695" s="717">
        <v>0</v>
      </c>
      <c r="M695" s="719">
        <v>855.88</v>
      </c>
      <c r="N695" s="720">
        <f t="shared" si="10"/>
        <v>855.88</v>
      </c>
      <c r="O695" s="1141">
        <f>Tabla1[[#This Row],[Tarifa 2012 (Mx$/ton)]]*(1+IncrementoTarifa)</f>
        <v>898.58841200000006</v>
      </c>
      <c r="P695" s="725"/>
    </row>
    <row r="696" spans="1:16" ht="15" x14ac:dyDescent="0.25">
      <c r="A696" s="716" t="s">
        <v>1857</v>
      </c>
      <c r="B696" s="717" t="s">
        <v>1858</v>
      </c>
      <c r="C696" s="718">
        <v>1002</v>
      </c>
      <c r="D696" s="717">
        <v>47.52</v>
      </c>
      <c r="E696" s="717">
        <v>0.33</v>
      </c>
      <c r="F696" s="717">
        <v>378.18</v>
      </c>
      <c r="G696" s="717">
        <v>112.589</v>
      </c>
      <c r="H696" s="717">
        <v>0</v>
      </c>
      <c r="I696" s="717">
        <v>0</v>
      </c>
      <c r="J696" s="717">
        <v>0</v>
      </c>
      <c r="K696" s="717">
        <v>0</v>
      </c>
      <c r="L696" s="717">
        <v>0</v>
      </c>
      <c r="M696" s="719">
        <v>803.97</v>
      </c>
      <c r="N696" s="720">
        <f t="shared" si="10"/>
        <v>803.97</v>
      </c>
      <c r="O696" s="1141">
        <f>Tabla1[[#This Row],[Tarifa 2012 (Mx$/ton)]]*(1+IncrementoTarifa)</f>
        <v>844.08810300000005</v>
      </c>
      <c r="P696" s="725"/>
    </row>
    <row r="697" spans="1:16" ht="15" x14ac:dyDescent="0.25">
      <c r="A697" s="716" t="s">
        <v>1859</v>
      </c>
      <c r="B697" s="717" t="s">
        <v>1860</v>
      </c>
      <c r="C697" s="718">
        <v>957</v>
      </c>
      <c r="D697" s="717">
        <v>47.52</v>
      </c>
      <c r="E697" s="717">
        <v>0.33</v>
      </c>
      <c r="F697" s="717">
        <v>363.33</v>
      </c>
      <c r="G697" s="717">
        <v>112.589</v>
      </c>
      <c r="H697" s="717">
        <v>0</v>
      </c>
      <c r="I697" s="717">
        <v>0</v>
      </c>
      <c r="J697" s="717">
        <v>0</v>
      </c>
      <c r="K697" s="717">
        <v>0</v>
      </c>
      <c r="L697" s="717">
        <v>0</v>
      </c>
      <c r="M697" s="719">
        <v>772.4</v>
      </c>
      <c r="N697" s="720">
        <f t="shared" si="10"/>
        <v>772.4</v>
      </c>
      <c r="O697" s="1141">
        <f>Tabla1[[#This Row],[Tarifa 2012 (Mx$/ton)]]*(1+IncrementoTarifa)</f>
        <v>810.94276000000002</v>
      </c>
      <c r="P697" s="725"/>
    </row>
    <row r="698" spans="1:16" ht="15" x14ac:dyDescent="0.25">
      <c r="A698" s="716" t="s">
        <v>1861</v>
      </c>
      <c r="B698" s="717" t="s">
        <v>1862</v>
      </c>
      <c r="C698" s="718">
        <v>518</v>
      </c>
      <c r="D698" s="717">
        <v>47.52</v>
      </c>
      <c r="E698" s="717">
        <v>0.33</v>
      </c>
      <c r="F698" s="717">
        <v>218.46</v>
      </c>
      <c r="G698" s="717">
        <v>112.589</v>
      </c>
      <c r="H698" s="717">
        <v>0</v>
      </c>
      <c r="I698" s="717">
        <v>15</v>
      </c>
      <c r="J698" s="717">
        <v>0</v>
      </c>
      <c r="K698" s="717">
        <v>0</v>
      </c>
      <c r="L698" s="717">
        <v>0</v>
      </c>
      <c r="M698" s="719">
        <v>497.19</v>
      </c>
      <c r="N698" s="720">
        <f t="shared" si="10"/>
        <v>497.19</v>
      </c>
      <c r="O698" s="1141">
        <f>Tabla1[[#This Row],[Tarifa 2012 (Mx$/ton)]]*(1+IncrementoTarifa)</f>
        <v>521.99978099999998</v>
      </c>
      <c r="P698" s="725"/>
    </row>
    <row r="699" spans="1:16" ht="15" x14ac:dyDescent="0.25">
      <c r="A699" s="716" t="s">
        <v>1863</v>
      </c>
      <c r="B699" s="717" t="s">
        <v>1864</v>
      </c>
      <c r="C699" s="718">
        <v>450</v>
      </c>
      <c r="D699" s="717">
        <v>47.52</v>
      </c>
      <c r="E699" s="717">
        <v>0.33</v>
      </c>
      <c r="F699" s="717">
        <v>196.02</v>
      </c>
      <c r="G699" s="717">
        <v>112.589</v>
      </c>
      <c r="H699" s="717">
        <v>0</v>
      </c>
      <c r="I699" s="717">
        <v>15</v>
      </c>
      <c r="J699" s="717">
        <v>0</v>
      </c>
      <c r="K699" s="717">
        <v>0</v>
      </c>
      <c r="L699" s="717">
        <v>0</v>
      </c>
      <c r="M699" s="719">
        <v>446.12</v>
      </c>
      <c r="N699" s="720">
        <f t="shared" si="10"/>
        <v>446.12</v>
      </c>
      <c r="O699" s="1141">
        <f>Tabla1[[#This Row],[Tarifa 2012 (Mx$/ton)]]*(1+IncrementoTarifa)</f>
        <v>468.38138800000002</v>
      </c>
      <c r="P699" s="725"/>
    </row>
    <row r="700" spans="1:16" ht="15" x14ac:dyDescent="0.25">
      <c r="A700" s="716" t="s">
        <v>1865</v>
      </c>
      <c r="B700" s="717" t="s">
        <v>1866</v>
      </c>
      <c r="C700" s="718">
        <v>428</v>
      </c>
      <c r="D700" s="717">
        <v>47.52</v>
      </c>
      <c r="E700" s="717">
        <v>0.33</v>
      </c>
      <c r="F700" s="717">
        <v>188.76</v>
      </c>
      <c r="G700" s="717">
        <v>112.589</v>
      </c>
      <c r="H700" s="717">
        <v>0</v>
      </c>
      <c r="I700" s="717">
        <v>15</v>
      </c>
      <c r="J700" s="717">
        <v>0</v>
      </c>
      <c r="K700" s="717">
        <v>0</v>
      </c>
      <c r="L700" s="717">
        <v>0</v>
      </c>
      <c r="M700" s="719">
        <v>429.6</v>
      </c>
      <c r="N700" s="720">
        <f t="shared" si="10"/>
        <v>429.6</v>
      </c>
      <c r="O700" s="1141">
        <f>Tabla1[[#This Row],[Tarifa 2012 (Mx$/ton)]]*(1+IncrementoTarifa)</f>
        <v>451.03704000000005</v>
      </c>
      <c r="P700" s="725"/>
    </row>
    <row r="701" spans="1:16" ht="15" x14ac:dyDescent="0.25">
      <c r="A701" s="716" t="s">
        <v>1867</v>
      </c>
      <c r="B701" s="717" t="s">
        <v>1868</v>
      </c>
      <c r="C701" s="718">
        <v>707</v>
      </c>
      <c r="D701" s="717">
        <v>47.52</v>
      </c>
      <c r="E701" s="717">
        <v>0.33</v>
      </c>
      <c r="F701" s="717">
        <v>280.83</v>
      </c>
      <c r="G701" s="717">
        <v>112.589</v>
      </c>
      <c r="H701" s="717">
        <v>0</v>
      </c>
      <c r="I701" s="717">
        <v>0</v>
      </c>
      <c r="J701" s="717">
        <v>0</v>
      </c>
      <c r="K701" s="717">
        <v>0</v>
      </c>
      <c r="L701" s="717">
        <v>0</v>
      </c>
      <c r="M701" s="719">
        <v>597.01</v>
      </c>
      <c r="N701" s="720">
        <f t="shared" si="10"/>
        <v>597.01</v>
      </c>
      <c r="O701" s="1141">
        <f>Tabla1[[#This Row],[Tarifa 2012 (Mx$/ton)]]*(1+IncrementoTarifa)</f>
        <v>626.80079899999998</v>
      </c>
      <c r="P701" s="725"/>
    </row>
    <row r="702" spans="1:16" ht="15" x14ac:dyDescent="0.25">
      <c r="A702" s="716" t="s">
        <v>1869</v>
      </c>
      <c r="B702" s="717" t="s">
        <v>1870</v>
      </c>
      <c r="C702" s="718">
        <v>1203</v>
      </c>
      <c r="D702" s="717">
        <v>47.52</v>
      </c>
      <c r="E702" s="717">
        <v>0.33</v>
      </c>
      <c r="F702" s="717">
        <v>444.51</v>
      </c>
      <c r="G702" s="717">
        <v>112.589</v>
      </c>
      <c r="H702" s="717">
        <v>0</v>
      </c>
      <c r="I702" s="717">
        <v>0</v>
      </c>
      <c r="J702" s="717">
        <v>0</v>
      </c>
      <c r="K702" s="717">
        <v>0</v>
      </c>
      <c r="L702" s="717">
        <v>0</v>
      </c>
      <c r="M702" s="719">
        <v>944.98</v>
      </c>
      <c r="N702" s="720">
        <f t="shared" si="10"/>
        <v>944.98</v>
      </c>
      <c r="O702" s="1141">
        <f>Tabla1[[#This Row],[Tarifa 2012 (Mx$/ton)]]*(1+IncrementoTarifa)</f>
        <v>992.13450200000011</v>
      </c>
      <c r="P702" s="725"/>
    </row>
    <row r="703" spans="1:16" ht="15" x14ac:dyDescent="0.25">
      <c r="A703" s="716" t="s">
        <v>1871</v>
      </c>
      <c r="B703" s="717" t="s">
        <v>1872</v>
      </c>
      <c r="C703" s="718">
        <v>1557</v>
      </c>
      <c r="D703" s="717">
        <v>47.52</v>
      </c>
      <c r="E703" s="717">
        <v>0.33</v>
      </c>
      <c r="F703" s="717">
        <v>561.33000000000004</v>
      </c>
      <c r="G703" s="717">
        <v>112.589</v>
      </c>
      <c r="H703" s="717">
        <v>0</v>
      </c>
      <c r="I703" s="717">
        <v>0</v>
      </c>
      <c r="J703" s="717">
        <v>0</v>
      </c>
      <c r="K703" s="717">
        <v>0</v>
      </c>
      <c r="L703" s="717">
        <v>0</v>
      </c>
      <c r="M703" s="719">
        <v>1193.33</v>
      </c>
      <c r="N703" s="720">
        <f t="shared" si="10"/>
        <v>1193.33</v>
      </c>
      <c r="O703" s="1141">
        <f>Tabla1[[#This Row],[Tarifa 2012 (Mx$/ton)]]*(1+IncrementoTarifa)</f>
        <v>1252.8771670000001</v>
      </c>
      <c r="P703" s="725"/>
    </row>
    <row r="704" spans="1:16" ht="15" x14ac:dyDescent="0.25">
      <c r="A704" s="716" t="s">
        <v>1873</v>
      </c>
      <c r="B704" s="717" t="s">
        <v>1874</v>
      </c>
      <c r="C704" s="718">
        <v>1295</v>
      </c>
      <c r="D704" s="717">
        <v>47.52</v>
      </c>
      <c r="E704" s="717">
        <v>0.33</v>
      </c>
      <c r="F704" s="717">
        <v>474.87</v>
      </c>
      <c r="G704" s="717">
        <v>112.589</v>
      </c>
      <c r="H704" s="717">
        <v>0</v>
      </c>
      <c r="I704" s="717">
        <v>0</v>
      </c>
      <c r="J704" s="717">
        <v>0</v>
      </c>
      <c r="K704" s="717">
        <v>0</v>
      </c>
      <c r="L704" s="717">
        <v>0</v>
      </c>
      <c r="M704" s="719">
        <v>1009.52</v>
      </c>
      <c r="N704" s="720">
        <f t="shared" si="10"/>
        <v>1009.52</v>
      </c>
      <c r="O704" s="1141">
        <f>Tabla1[[#This Row],[Tarifa 2012 (Mx$/ton)]]*(1+IncrementoTarifa)</f>
        <v>1059.8950480000001</v>
      </c>
      <c r="P704" s="725"/>
    </row>
    <row r="705" spans="1:16" ht="15" x14ac:dyDescent="0.25">
      <c r="A705" s="716" t="s">
        <v>1875</v>
      </c>
      <c r="B705" s="717" t="s">
        <v>1876</v>
      </c>
      <c r="C705" s="718">
        <v>1670</v>
      </c>
      <c r="D705" s="717">
        <v>47.52</v>
      </c>
      <c r="E705" s="717">
        <v>0.33</v>
      </c>
      <c r="F705" s="717">
        <v>598.62</v>
      </c>
      <c r="G705" s="717">
        <v>112.589</v>
      </c>
      <c r="H705" s="717">
        <v>0</v>
      </c>
      <c r="I705" s="717">
        <v>0</v>
      </c>
      <c r="J705" s="717">
        <v>0</v>
      </c>
      <c r="K705" s="717">
        <v>0</v>
      </c>
      <c r="L705" s="717">
        <v>0</v>
      </c>
      <c r="M705" s="719">
        <v>1272.5999999999999</v>
      </c>
      <c r="N705" s="720">
        <f t="shared" si="10"/>
        <v>1272.5999999999999</v>
      </c>
      <c r="O705" s="1141">
        <f>Tabla1[[#This Row],[Tarifa 2012 (Mx$/ton)]]*(1+IncrementoTarifa)</f>
        <v>1336.10274</v>
      </c>
      <c r="P705" s="725"/>
    </row>
    <row r="706" spans="1:16" ht="15" x14ac:dyDescent="0.25">
      <c r="A706" s="716" t="s">
        <v>1877</v>
      </c>
      <c r="B706" s="717" t="s">
        <v>1878</v>
      </c>
      <c r="C706" s="718">
        <v>1846</v>
      </c>
      <c r="D706" s="717">
        <v>47.52</v>
      </c>
      <c r="E706" s="717">
        <v>0.33</v>
      </c>
      <c r="F706" s="717">
        <v>656.7</v>
      </c>
      <c r="G706" s="717">
        <v>112.589</v>
      </c>
      <c r="H706" s="717">
        <v>0</v>
      </c>
      <c r="I706" s="717">
        <v>0</v>
      </c>
      <c r="J706" s="717">
        <v>0</v>
      </c>
      <c r="K706" s="717">
        <v>0</v>
      </c>
      <c r="L706" s="717">
        <v>0</v>
      </c>
      <c r="M706" s="719">
        <v>1396.07</v>
      </c>
      <c r="N706" s="720">
        <f t="shared" si="10"/>
        <v>1396.07</v>
      </c>
      <c r="O706" s="1141">
        <f>Tabla1[[#This Row],[Tarifa 2012 (Mx$/ton)]]*(1+IncrementoTarifa)</f>
        <v>1465.7338930000001</v>
      </c>
      <c r="P706" s="725"/>
    </row>
    <row r="707" spans="1:16" ht="15" x14ac:dyDescent="0.25">
      <c r="A707" s="716" t="s">
        <v>1879</v>
      </c>
      <c r="B707" s="717" t="s">
        <v>1880</v>
      </c>
      <c r="C707" s="718">
        <v>1984</v>
      </c>
      <c r="D707" s="717">
        <v>47.52</v>
      </c>
      <c r="E707" s="717">
        <v>0.33</v>
      </c>
      <c r="F707" s="717">
        <v>702.24</v>
      </c>
      <c r="G707" s="717">
        <v>112.589</v>
      </c>
      <c r="H707" s="717">
        <v>0</v>
      </c>
      <c r="I707" s="717">
        <v>0</v>
      </c>
      <c r="J707" s="717">
        <v>0</v>
      </c>
      <c r="K707" s="717">
        <v>0</v>
      </c>
      <c r="L707" s="717">
        <v>0</v>
      </c>
      <c r="M707" s="719">
        <v>1492.88</v>
      </c>
      <c r="N707" s="720">
        <f t="shared" si="10"/>
        <v>1492.88</v>
      </c>
      <c r="O707" s="1141">
        <f>Tabla1[[#This Row],[Tarifa 2012 (Mx$/ton)]]*(1+IncrementoTarifa)</f>
        <v>1567.3747120000003</v>
      </c>
      <c r="P707" s="725"/>
    </row>
    <row r="708" spans="1:16" ht="15" x14ac:dyDescent="0.25">
      <c r="A708" s="716" t="s">
        <v>1881</v>
      </c>
      <c r="B708" s="717" t="s">
        <v>1882</v>
      </c>
      <c r="C708" s="718">
        <v>1907</v>
      </c>
      <c r="D708" s="717">
        <v>47.52</v>
      </c>
      <c r="E708" s="717">
        <v>0.33</v>
      </c>
      <c r="F708" s="717">
        <v>676.83</v>
      </c>
      <c r="G708" s="717">
        <v>112.589</v>
      </c>
      <c r="H708" s="717">
        <v>0</v>
      </c>
      <c r="I708" s="717">
        <v>0</v>
      </c>
      <c r="J708" s="717">
        <v>0</v>
      </c>
      <c r="K708" s="717">
        <v>0</v>
      </c>
      <c r="L708" s="717">
        <v>0</v>
      </c>
      <c r="M708" s="719">
        <v>1438.87</v>
      </c>
      <c r="N708" s="720">
        <f t="shared" si="10"/>
        <v>1438.87</v>
      </c>
      <c r="O708" s="1141">
        <f>Tabla1[[#This Row],[Tarifa 2012 (Mx$/ton)]]*(1+IncrementoTarifa)</f>
        <v>1510.669613</v>
      </c>
      <c r="P708" s="725"/>
    </row>
    <row r="709" spans="1:16" ht="15" x14ac:dyDescent="0.25">
      <c r="A709" s="716" t="s">
        <v>1883</v>
      </c>
      <c r="B709" s="717" t="s">
        <v>1884</v>
      </c>
      <c r="C709" s="718">
        <v>2002</v>
      </c>
      <c r="D709" s="717">
        <v>47.52</v>
      </c>
      <c r="E709" s="717">
        <v>0.33</v>
      </c>
      <c r="F709" s="717">
        <v>708.18</v>
      </c>
      <c r="G709" s="717">
        <v>112.589</v>
      </c>
      <c r="H709" s="717">
        <v>0</v>
      </c>
      <c r="I709" s="717">
        <v>0</v>
      </c>
      <c r="J709" s="717">
        <v>0</v>
      </c>
      <c r="K709" s="717">
        <v>0</v>
      </c>
      <c r="L709" s="717">
        <v>0</v>
      </c>
      <c r="M709" s="719">
        <v>1505.51</v>
      </c>
      <c r="N709" s="720">
        <f t="shared" si="10"/>
        <v>1505.51</v>
      </c>
      <c r="O709" s="1141">
        <f>Tabla1[[#This Row],[Tarifa 2012 (Mx$/ton)]]*(1+IncrementoTarifa)</f>
        <v>1580.634949</v>
      </c>
      <c r="P709" s="725"/>
    </row>
    <row r="710" spans="1:16" ht="15" x14ac:dyDescent="0.25">
      <c r="A710" s="716" t="s">
        <v>1885</v>
      </c>
      <c r="B710" s="717" t="s">
        <v>1886</v>
      </c>
      <c r="C710" s="718">
        <v>2373</v>
      </c>
      <c r="D710" s="717">
        <v>47.52</v>
      </c>
      <c r="E710" s="717">
        <v>0.33</v>
      </c>
      <c r="F710" s="717">
        <v>830.61</v>
      </c>
      <c r="G710" s="717">
        <v>112.589</v>
      </c>
      <c r="H710" s="717">
        <v>0</v>
      </c>
      <c r="I710" s="717">
        <v>0</v>
      </c>
      <c r="J710" s="717">
        <v>0</v>
      </c>
      <c r="K710" s="717">
        <v>0</v>
      </c>
      <c r="L710" s="717">
        <v>0</v>
      </c>
      <c r="M710" s="719">
        <v>1765.79</v>
      </c>
      <c r="N710" s="720">
        <f t="shared" si="10"/>
        <v>1765.79</v>
      </c>
      <c r="O710" s="1141">
        <f>Tabla1[[#This Row],[Tarifa 2012 (Mx$/ton)]]*(1+IncrementoTarifa)</f>
        <v>1853.9029210000001</v>
      </c>
      <c r="P710" s="725"/>
    </row>
    <row r="711" spans="1:16" ht="15" x14ac:dyDescent="0.25">
      <c r="A711" s="716" t="s">
        <v>1887</v>
      </c>
      <c r="B711" s="717" t="s">
        <v>1888</v>
      </c>
      <c r="C711" s="718">
        <v>181</v>
      </c>
      <c r="D711" s="717">
        <v>47.52</v>
      </c>
      <c r="E711" s="717">
        <v>0.33</v>
      </c>
      <c r="F711" s="717">
        <v>107.25</v>
      </c>
      <c r="G711" s="717">
        <v>112.589</v>
      </c>
      <c r="H711" s="717">
        <v>0</v>
      </c>
      <c r="I711" s="717">
        <v>0</v>
      </c>
      <c r="J711" s="717">
        <v>0</v>
      </c>
      <c r="K711" s="717">
        <v>0</v>
      </c>
      <c r="L711" s="717">
        <v>0</v>
      </c>
      <c r="M711" s="719">
        <v>228</v>
      </c>
      <c r="N711" s="720">
        <f t="shared" si="10"/>
        <v>228</v>
      </c>
      <c r="O711" s="1141">
        <f>Tabla1[[#This Row],[Tarifa 2012 (Mx$/ton)]]*(1+IncrementoTarifa)</f>
        <v>239.37720000000002</v>
      </c>
      <c r="P711" s="725"/>
    </row>
    <row r="712" spans="1:16" ht="15" x14ac:dyDescent="0.25">
      <c r="A712" s="716" t="s">
        <v>1889</v>
      </c>
      <c r="B712" s="717" t="s">
        <v>1890</v>
      </c>
      <c r="C712" s="718">
        <v>251</v>
      </c>
      <c r="D712" s="717">
        <v>47.52</v>
      </c>
      <c r="E712" s="717">
        <v>0.33</v>
      </c>
      <c r="F712" s="717">
        <v>130.35</v>
      </c>
      <c r="G712" s="717">
        <v>112.589</v>
      </c>
      <c r="H712" s="717">
        <v>0</v>
      </c>
      <c r="I712" s="717">
        <v>10</v>
      </c>
      <c r="J712" s="717">
        <v>0</v>
      </c>
      <c r="K712" s="717">
        <v>0</v>
      </c>
      <c r="L712" s="717">
        <v>0</v>
      </c>
      <c r="M712" s="719">
        <v>290.14</v>
      </c>
      <c r="N712" s="720">
        <f t="shared" si="10"/>
        <v>290.14</v>
      </c>
      <c r="O712" s="1141">
        <f>Tabla1[[#This Row],[Tarifa 2012 (Mx$/ton)]]*(1+IncrementoTarifa)</f>
        <v>304.61798599999997</v>
      </c>
      <c r="P712" s="725"/>
    </row>
    <row r="713" spans="1:16" ht="15" x14ac:dyDescent="0.25">
      <c r="A713" s="716" t="s">
        <v>1891</v>
      </c>
      <c r="B713" s="717" t="s">
        <v>1892</v>
      </c>
      <c r="C713" s="718">
        <v>319</v>
      </c>
      <c r="D713" s="717">
        <v>47.52</v>
      </c>
      <c r="E713" s="717">
        <v>0.33</v>
      </c>
      <c r="F713" s="717">
        <v>152.79</v>
      </c>
      <c r="G713" s="717">
        <v>112.589</v>
      </c>
      <c r="H713" s="717">
        <v>0</v>
      </c>
      <c r="I713" s="717">
        <v>0</v>
      </c>
      <c r="J713" s="717">
        <v>0</v>
      </c>
      <c r="K713" s="717">
        <v>0</v>
      </c>
      <c r="L713" s="717">
        <v>0</v>
      </c>
      <c r="M713" s="719">
        <v>324.81</v>
      </c>
      <c r="N713" s="720">
        <f t="shared" si="10"/>
        <v>324.81</v>
      </c>
      <c r="O713" s="1141">
        <f>Tabla1[[#This Row],[Tarifa 2012 (Mx$/ton)]]*(1+IncrementoTarifa)</f>
        <v>341.01801900000004</v>
      </c>
      <c r="P713" s="725"/>
    </row>
    <row r="714" spans="1:16" ht="15" x14ac:dyDescent="0.25">
      <c r="A714" s="716" t="s">
        <v>1893</v>
      </c>
      <c r="B714" s="717" t="s">
        <v>1894</v>
      </c>
      <c r="C714" s="718">
        <v>294</v>
      </c>
      <c r="D714" s="717">
        <v>47.52</v>
      </c>
      <c r="E714" s="717">
        <v>0.33</v>
      </c>
      <c r="F714" s="717">
        <v>144.54</v>
      </c>
      <c r="G714" s="717">
        <v>112.589</v>
      </c>
      <c r="H714" s="717">
        <v>0</v>
      </c>
      <c r="I714" s="717">
        <v>0</v>
      </c>
      <c r="J714" s="717">
        <v>0</v>
      </c>
      <c r="K714" s="717">
        <v>0</v>
      </c>
      <c r="L714" s="717">
        <v>0</v>
      </c>
      <c r="M714" s="719">
        <v>307.27999999999997</v>
      </c>
      <c r="N714" s="720">
        <f t="shared" si="10"/>
        <v>307.27999999999997</v>
      </c>
      <c r="O714" s="1141">
        <f>Tabla1[[#This Row],[Tarifa 2012 (Mx$/ton)]]*(1+IncrementoTarifa)</f>
        <v>322.61327199999999</v>
      </c>
      <c r="P714" s="725"/>
    </row>
    <row r="715" spans="1:16" ht="15" x14ac:dyDescent="0.25">
      <c r="A715" s="728" t="s">
        <v>1895</v>
      </c>
      <c r="B715" s="729" t="s">
        <v>1896</v>
      </c>
      <c r="C715" s="730">
        <v>120</v>
      </c>
      <c r="D715" s="729">
        <v>47.52</v>
      </c>
      <c r="E715" s="729">
        <v>0.33</v>
      </c>
      <c r="F715" s="729">
        <v>87.12</v>
      </c>
      <c r="G715" s="729">
        <v>0</v>
      </c>
      <c r="H715" s="729">
        <v>0</v>
      </c>
      <c r="I715" s="729">
        <v>0</v>
      </c>
      <c r="J715" s="729">
        <v>0</v>
      </c>
      <c r="K715" s="729">
        <v>0</v>
      </c>
      <c r="L715" s="729">
        <v>0</v>
      </c>
      <c r="M715" s="731">
        <v>185.21</v>
      </c>
      <c r="N715" s="732">
        <f t="shared" si="10"/>
        <v>185.21</v>
      </c>
      <c r="O715" s="1143">
        <f>Tabla1[[#This Row],[Tarifa 2012 (Mx$/ton)]]*(1+IncrementoTarifa)</f>
        <v>194.45197900000002</v>
      </c>
    </row>
    <row r="716" spans="1:16" ht="15" x14ac:dyDescent="0.25">
      <c r="A716" s="723" t="s">
        <v>528</v>
      </c>
      <c r="B716" s="723" t="s">
        <v>1336</v>
      </c>
      <c r="C716" s="723">
        <v>31</v>
      </c>
      <c r="M716" s="723">
        <v>110.16</v>
      </c>
      <c r="N716" s="726">
        <f t="shared" si="10"/>
        <v>110.16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B050"/>
  </sheetPr>
  <dimension ref="A1:W7498"/>
  <sheetViews>
    <sheetView topLeftCell="H6407" workbookViewId="0">
      <selection activeCell="M7212" sqref="M7212"/>
    </sheetView>
  </sheetViews>
  <sheetFormatPr baseColWidth="10" defaultRowHeight="12.75" x14ac:dyDescent="0.2"/>
  <cols>
    <col min="1" max="1" width="6.85546875" bestFit="1" customWidth="1"/>
    <col min="2" max="2" width="10" bestFit="1" customWidth="1"/>
    <col min="3" max="3" width="15.28515625" bestFit="1" customWidth="1"/>
    <col min="4" max="4" width="12" bestFit="1" customWidth="1"/>
    <col min="5" max="5" width="9.42578125" bestFit="1" customWidth="1"/>
    <col min="6" max="6" width="14.140625" bestFit="1" customWidth="1"/>
    <col min="7" max="7" width="10.140625" bestFit="1" customWidth="1"/>
    <col min="8" max="8" width="8" bestFit="1" customWidth="1"/>
    <col min="9" max="9" width="13.28515625" bestFit="1" customWidth="1"/>
    <col min="10" max="10" width="47" bestFit="1" customWidth="1"/>
    <col min="11" max="11" width="17" bestFit="1" customWidth="1"/>
    <col min="12" max="12" width="24.42578125" bestFit="1" customWidth="1"/>
    <col min="13" max="13" width="11.85546875" bestFit="1" customWidth="1"/>
    <col min="14" max="14" width="11.28515625" bestFit="1" customWidth="1"/>
    <col min="15" max="15" width="10" bestFit="1" customWidth="1"/>
    <col min="16" max="18" width="12" bestFit="1" customWidth="1"/>
    <col min="19" max="19" width="12.42578125" bestFit="1" customWidth="1"/>
    <col min="20" max="20" width="12" bestFit="1" customWidth="1"/>
    <col min="21" max="21" width="10.140625" bestFit="1" customWidth="1"/>
    <col min="22" max="22" width="11.28515625" bestFit="1" customWidth="1"/>
    <col min="23" max="23" width="12.85546875" bestFit="1" customWidth="1"/>
  </cols>
  <sheetData>
    <row r="1" spans="1:23" x14ac:dyDescent="0.2">
      <c r="A1" t="s">
        <v>384</v>
      </c>
      <c r="B1" t="s">
        <v>1898</v>
      </c>
      <c r="C1" t="s">
        <v>1899</v>
      </c>
      <c r="D1" s="734" t="s">
        <v>7458</v>
      </c>
      <c r="E1" t="s">
        <v>1900</v>
      </c>
      <c r="F1" t="s">
        <v>1901</v>
      </c>
      <c r="G1" t="s">
        <v>1902</v>
      </c>
      <c r="H1" t="s">
        <v>1903</v>
      </c>
      <c r="I1" t="s">
        <v>1904</v>
      </c>
      <c r="J1" t="s">
        <v>476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  <c r="S1" t="s">
        <v>1913</v>
      </c>
      <c r="T1" t="s">
        <v>135</v>
      </c>
      <c r="U1" t="s">
        <v>1914</v>
      </c>
      <c r="V1" t="s">
        <v>9406</v>
      </c>
      <c r="W1" t="s">
        <v>9407</v>
      </c>
    </row>
    <row r="2" spans="1:23" hidden="1" x14ac:dyDescent="0.2">
      <c r="A2">
        <v>2012</v>
      </c>
      <c r="B2" t="s">
        <v>303</v>
      </c>
      <c r="C2" s="733">
        <v>40924</v>
      </c>
      <c r="D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" t="s">
        <v>505</v>
      </c>
      <c r="F2" t="s">
        <v>1915</v>
      </c>
      <c r="G2" t="s">
        <v>2298</v>
      </c>
      <c r="H2">
        <v>22000</v>
      </c>
      <c r="I2" t="s">
        <v>424</v>
      </c>
      <c r="J2" t="s">
        <v>1917</v>
      </c>
      <c r="K2" t="s">
        <v>1918</v>
      </c>
      <c r="L2" t="s">
        <v>1919</v>
      </c>
      <c r="M2">
        <v>267</v>
      </c>
      <c r="N2">
        <v>30</v>
      </c>
      <c r="O2">
        <v>2929.97</v>
      </c>
      <c r="P2">
        <v>1683.8244589999999</v>
      </c>
      <c r="Q2">
        <v>4613.7944589999997</v>
      </c>
      <c r="R2">
        <v>738.20711300000005</v>
      </c>
      <c r="S2">
        <v>184.55177800000001</v>
      </c>
      <c r="T2">
        <v>5167.4497940000001</v>
      </c>
      <c r="U2" t="s">
        <v>1931</v>
      </c>
      <c r="V2" t="s">
        <v>9408</v>
      </c>
      <c r="W2" t="s">
        <v>424</v>
      </c>
    </row>
    <row r="3" spans="1:23" hidden="1" x14ac:dyDescent="0.2">
      <c r="A3">
        <v>2012</v>
      </c>
      <c r="B3" t="s">
        <v>303</v>
      </c>
      <c r="C3" s="733">
        <v>40931</v>
      </c>
      <c r="D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" t="s">
        <v>505</v>
      </c>
      <c r="F3" t="s">
        <v>1915</v>
      </c>
      <c r="G3" t="s">
        <v>2285</v>
      </c>
      <c r="H3">
        <v>22175</v>
      </c>
      <c r="I3" t="s">
        <v>424</v>
      </c>
      <c r="J3" t="s">
        <v>1917</v>
      </c>
      <c r="K3" t="s">
        <v>1918</v>
      </c>
      <c r="L3" t="s">
        <v>1919</v>
      </c>
      <c r="M3">
        <v>267</v>
      </c>
      <c r="N3">
        <v>30</v>
      </c>
      <c r="O3">
        <v>2929.97</v>
      </c>
      <c r="P3">
        <v>1683.8244589999999</v>
      </c>
      <c r="Q3">
        <v>4613.7944589999997</v>
      </c>
      <c r="R3">
        <v>738.20711300000005</v>
      </c>
      <c r="S3">
        <v>184.55177800000001</v>
      </c>
      <c r="T3">
        <v>5167.4497940000001</v>
      </c>
      <c r="U3" t="s">
        <v>1928</v>
      </c>
      <c r="V3" t="s">
        <v>9408</v>
      </c>
      <c r="W3" t="s">
        <v>424</v>
      </c>
    </row>
    <row r="4" spans="1:23" hidden="1" x14ac:dyDescent="0.2">
      <c r="A4">
        <v>2012</v>
      </c>
      <c r="B4" t="s">
        <v>304</v>
      </c>
      <c r="C4" s="733">
        <v>40948</v>
      </c>
      <c r="D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" t="s">
        <v>505</v>
      </c>
      <c r="F4" t="s">
        <v>1915</v>
      </c>
      <c r="G4" t="s">
        <v>2284</v>
      </c>
      <c r="H4">
        <v>22593</v>
      </c>
      <c r="I4" t="s">
        <v>424</v>
      </c>
      <c r="J4" t="s">
        <v>1917</v>
      </c>
      <c r="K4" t="s">
        <v>1918</v>
      </c>
      <c r="L4" t="s">
        <v>1919</v>
      </c>
      <c r="M4">
        <v>267</v>
      </c>
      <c r="N4">
        <v>30</v>
      </c>
      <c r="O4">
        <v>2929.97</v>
      </c>
      <c r="P4">
        <v>1683.8244589999999</v>
      </c>
      <c r="Q4">
        <v>4613.7944589999997</v>
      </c>
      <c r="R4">
        <v>738.20711300000005</v>
      </c>
      <c r="S4">
        <v>184.55177800000001</v>
      </c>
      <c r="T4">
        <v>5167.4497940000001</v>
      </c>
      <c r="U4" t="s">
        <v>1924</v>
      </c>
      <c r="V4" t="s">
        <v>9408</v>
      </c>
      <c r="W4" t="s">
        <v>424</v>
      </c>
    </row>
    <row r="5" spans="1:23" hidden="1" x14ac:dyDescent="0.2">
      <c r="A5">
        <v>2012</v>
      </c>
      <c r="B5" t="s">
        <v>303</v>
      </c>
      <c r="C5" s="733">
        <v>40929</v>
      </c>
      <c r="D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" t="s">
        <v>505</v>
      </c>
      <c r="F5" t="s">
        <v>1915</v>
      </c>
      <c r="G5" t="s">
        <v>2286</v>
      </c>
      <c r="H5">
        <v>22115</v>
      </c>
      <c r="I5" t="s">
        <v>424</v>
      </c>
      <c r="J5" t="s">
        <v>1917</v>
      </c>
      <c r="K5" t="s">
        <v>1918</v>
      </c>
      <c r="L5" t="s">
        <v>1919</v>
      </c>
      <c r="M5">
        <v>267</v>
      </c>
      <c r="N5">
        <v>30</v>
      </c>
      <c r="O5">
        <v>2929.97</v>
      </c>
      <c r="P5">
        <v>1683.8244589999999</v>
      </c>
      <c r="Q5">
        <v>4613.7944589999997</v>
      </c>
      <c r="R5">
        <v>738.20711300000005</v>
      </c>
      <c r="S5">
        <v>184.55177800000001</v>
      </c>
      <c r="T5">
        <v>5167.4497940000001</v>
      </c>
      <c r="U5" t="s">
        <v>1928</v>
      </c>
      <c r="V5" t="s">
        <v>9408</v>
      </c>
      <c r="W5" t="s">
        <v>424</v>
      </c>
    </row>
    <row r="6" spans="1:23" hidden="1" x14ac:dyDescent="0.2">
      <c r="A6">
        <v>2012</v>
      </c>
      <c r="B6" t="s">
        <v>304</v>
      </c>
      <c r="C6" s="733">
        <v>40952</v>
      </c>
      <c r="D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" t="s">
        <v>505</v>
      </c>
      <c r="F6" t="s">
        <v>1915</v>
      </c>
      <c r="G6" t="s">
        <v>2669</v>
      </c>
      <c r="H6">
        <v>22700</v>
      </c>
      <c r="I6" t="s">
        <v>424</v>
      </c>
      <c r="J6" t="s">
        <v>1917</v>
      </c>
      <c r="K6" t="s">
        <v>1918</v>
      </c>
      <c r="L6" t="s">
        <v>1919</v>
      </c>
      <c r="M6">
        <v>267</v>
      </c>
      <c r="N6">
        <v>30</v>
      </c>
      <c r="O6">
        <v>2929.97</v>
      </c>
      <c r="P6">
        <v>1683.8244589999999</v>
      </c>
      <c r="Q6">
        <v>4613.7944589999997</v>
      </c>
      <c r="R6">
        <v>738.20711300000005</v>
      </c>
      <c r="S6">
        <v>184.55177800000001</v>
      </c>
      <c r="T6">
        <v>5167.4497940000001</v>
      </c>
      <c r="U6" t="s">
        <v>7522</v>
      </c>
      <c r="V6" t="s">
        <v>9408</v>
      </c>
      <c r="W6" t="s">
        <v>424</v>
      </c>
    </row>
    <row r="7" spans="1:23" hidden="1" x14ac:dyDescent="0.2">
      <c r="A7">
        <v>2012</v>
      </c>
      <c r="B7" t="s">
        <v>304</v>
      </c>
      <c r="C7" s="733">
        <v>40946</v>
      </c>
      <c r="D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" t="s">
        <v>505</v>
      </c>
      <c r="F7" t="s">
        <v>1915</v>
      </c>
      <c r="G7" t="s">
        <v>2297</v>
      </c>
      <c r="H7">
        <v>22528</v>
      </c>
      <c r="I7" t="s">
        <v>423</v>
      </c>
      <c r="J7" t="s">
        <v>1917</v>
      </c>
      <c r="K7" t="s">
        <v>1918</v>
      </c>
      <c r="L7" t="s">
        <v>1919</v>
      </c>
      <c r="M7">
        <v>267</v>
      </c>
      <c r="N7">
        <v>25.01</v>
      </c>
      <c r="O7">
        <v>5623.25</v>
      </c>
      <c r="P7">
        <v>0</v>
      </c>
      <c r="Q7">
        <v>5623.25</v>
      </c>
      <c r="R7">
        <v>899.72</v>
      </c>
      <c r="S7">
        <v>224.93</v>
      </c>
      <c r="T7">
        <v>6298.04</v>
      </c>
      <c r="U7" t="s">
        <v>1924</v>
      </c>
      <c r="V7" t="s">
        <v>9408</v>
      </c>
      <c r="W7" t="s">
        <v>423</v>
      </c>
    </row>
    <row r="8" spans="1:23" hidden="1" x14ac:dyDescent="0.2">
      <c r="A8">
        <v>2012</v>
      </c>
      <c r="B8" t="s">
        <v>303</v>
      </c>
      <c r="C8" s="733">
        <v>40939</v>
      </c>
      <c r="D8" s="733" t="str">
        <f>CHOOSE(MONTH(Tabla_sqldatos_bonampakdb_Bon_v_ingresos2012[[#This Row],[fecha_guia]]),"Enero","Febrero","Marzo","Abril","Mayo","Junio","Julio","Agosto","Septiembre","Octubre","Noviembre","Diciembre")</f>
        <v>Enero</v>
      </c>
      <c r="E8" t="s">
        <v>505</v>
      </c>
      <c r="F8" t="s">
        <v>1915</v>
      </c>
      <c r="G8" t="s">
        <v>2278</v>
      </c>
      <c r="H8">
        <v>21692</v>
      </c>
      <c r="I8" t="s">
        <v>424</v>
      </c>
      <c r="J8" t="s">
        <v>1917</v>
      </c>
      <c r="K8" t="s">
        <v>1918</v>
      </c>
      <c r="L8" t="s">
        <v>1919</v>
      </c>
      <c r="M8">
        <v>267</v>
      </c>
      <c r="N8">
        <v>30</v>
      </c>
      <c r="O8">
        <v>2929.97</v>
      </c>
      <c r="P8">
        <v>1683.8244589999999</v>
      </c>
      <c r="Q8">
        <v>4613.7944589999997</v>
      </c>
      <c r="R8">
        <v>738.20711300000005</v>
      </c>
      <c r="S8">
        <v>184.55177800000001</v>
      </c>
      <c r="T8">
        <v>5167.4497940000001</v>
      </c>
      <c r="U8" t="s">
        <v>1936</v>
      </c>
      <c r="V8" t="s">
        <v>9408</v>
      </c>
      <c r="W8" t="s">
        <v>424</v>
      </c>
    </row>
    <row r="9" spans="1:23" hidden="1" x14ac:dyDescent="0.2">
      <c r="A9">
        <v>2012</v>
      </c>
      <c r="B9" t="s">
        <v>303</v>
      </c>
      <c r="C9" s="733">
        <v>40933</v>
      </c>
      <c r="D9" s="733" t="str">
        <f>CHOOSE(MONTH(Tabla_sqldatos_bonampakdb_Bon_v_ingresos2012[[#This Row],[fecha_guia]]),"Enero","Febrero","Marzo","Abril","Mayo","Junio","Julio","Agosto","Septiembre","Octubre","Noviembre","Diciembre")</f>
        <v>Enero</v>
      </c>
      <c r="E9" t="s">
        <v>505</v>
      </c>
      <c r="F9" t="s">
        <v>1915</v>
      </c>
      <c r="G9" t="s">
        <v>2279</v>
      </c>
      <c r="H9">
        <v>22235</v>
      </c>
      <c r="I9" t="s">
        <v>424</v>
      </c>
      <c r="J9" t="s">
        <v>1917</v>
      </c>
      <c r="K9" t="s">
        <v>1918</v>
      </c>
      <c r="L9" t="s">
        <v>1919</v>
      </c>
      <c r="M9">
        <v>267</v>
      </c>
      <c r="N9">
        <v>30</v>
      </c>
      <c r="O9">
        <v>2929.97</v>
      </c>
      <c r="P9">
        <v>1683.8244589999999</v>
      </c>
      <c r="Q9">
        <v>4613.7944589999997</v>
      </c>
      <c r="R9">
        <v>738.20711300000005</v>
      </c>
      <c r="S9">
        <v>184.55177800000001</v>
      </c>
      <c r="T9">
        <v>5167.4497940000001</v>
      </c>
      <c r="U9" t="s">
        <v>1928</v>
      </c>
      <c r="V9" t="s">
        <v>9408</v>
      </c>
      <c r="W9" t="s">
        <v>424</v>
      </c>
    </row>
    <row r="10" spans="1:23" hidden="1" x14ac:dyDescent="0.2">
      <c r="A10">
        <v>2012</v>
      </c>
      <c r="B10" t="s">
        <v>304</v>
      </c>
      <c r="C10" s="733">
        <v>40956</v>
      </c>
      <c r="D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" t="s">
        <v>505</v>
      </c>
      <c r="F10" t="s">
        <v>1915</v>
      </c>
      <c r="G10" t="s">
        <v>7883</v>
      </c>
      <c r="H10">
        <v>22839</v>
      </c>
      <c r="I10" t="s">
        <v>424</v>
      </c>
      <c r="J10" t="s">
        <v>1917</v>
      </c>
      <c r="K10" t="s">
        <v>1918</v>
      </c>
      <c r="L10" t="s">
        <v>1919</v>
      </c>
      <c r="M10">
        <v>267</v>
      </c>
      <c r="N10">
        <v>30</v>
      </c>
      <c r="O10">
        <v>2929.97</v>
      </c>
      <c r="P10">
        <v>1683.8244589999999</v>
      </c>
      <c r="Q10">
        <v>4613.7944589999997</v>
      </c>
      <c r="R10">
        <v>738.20711300000005</v>
      </c>
      <c r="S10">
        <v>184.55177800000001</v>
      </c>
      <c r="T10">
        <v>5167.4497940000001</v>
      </c>
      <c r="U10" t="s">
        <v>7529</v>
      </c>
      <c r="V10" t="s">
        <v>9408</v>
      </c>
      <c r="W10" t="s">
        <v>424</v>
      </c>
    </row>
    <row r="11" spans="1:23" hidden="1" x14ac:dyDescent="0.2">
      <c r="A11">
        <v>2012</v>
      </c>
      <c r="B11" t="s">
        <v>303</v>
      </c>
      <c r="C11" s="733">
        <v>40915</v>
      </c>
      <c r="D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" t="s">
        <v>505</v>
      </c>
      <c r="F11" t="s">
        <v>1915</v>
      </c>
      <c r="G11" t="s">
        <v>2277</v>
      </c>
      <c r="H11">
        <v>21813</v>
      </c>
      <c r="I11" t="s">
        <v>424</v>
      </c>
      <c r="J11" t="s">
        <v>1917</v>
      </c>
      <c r="K11" t="s">
        <v>1918</v>
      </c>
      <c r="L11" t="s">
        <v>1919</v>
      </c>
      <c r="M11">
        <v>267</v>
      </c>
      <c r="N11">
        <v>30</v>
      </c>
      <c r="O11">
        <v>2929.97</v>
      </c>
      <c r="P11">
        <v>1683.8244589999999</v>
      </c>
      <c r="Q11">
        <v>4613.7944589999997</v>
      </c>
      <c r="R11">
        <v>738.20711300000005</v>
      </c>
      <c r="S11">
        <v>184.55177800000001</v>
      </c>
      <c r="T11">
        <v>5167.4497940000001</v>
      </c>
      <c r="U11" t="s">
        <v>1920</v>
      </c>
      <c r="V11" t="s">
        <v>9408</v>
      </c>
      <c r="W11" t="s">
        <v>424</v>
      </c>
    </row>
    <row r="12" spans="1:23" hidden="1" x14ac:dyDescent="0.2">
      <c r="A12">
        <v>2012</v>
      </c>
      <c r="B12" t="s">
        <v>305</v>
      </c>
      <c r="C12" s="733">
        <v>40969</v>
      </c>
      <c r="D12" s="733" t="str">
        <f>CHOOSE(MONTH(Tabla_sqldatos_bonampakdb_Bon_v_ingresos2012[[#This Row],[fecha_guia]]),"Enero","Febrero","Marzo","Abril","Mayo","Junio","Julio","Agosto","Septiembre","Octubre","Noviembre","Diciembre")</f>
        <v>Marzo</v>
      </c>
      <c r="E12" t="s">
        <v>505</v>
      </c>
      <c r="F12" t="s">
        <v>1915</v>
      </c>
      <c r="G12" t="s">
        <v>9426</v>
      </c>
      <c r="H12">
        <v>23112</v>
      </c>
      <c r="I12" t="s">
        <v>424</v>
      </c>
      <c r="J12" t="s">
        <v>1917</v>
      </c>
      <c r="K12" t="s">
        <v>1918</v>
      </c>
      <c r="L12" t="s">
        <v>1919</v>
      </c>
      <c r="M12">
        <v>267</v>
      </c>
      <c r="N12">
        <v>54</v>
      </c>
      <c r="O12">
        <v>8304.66</v>
      </c>
      <c r="P12">
        <v>0</v>
      </c>
      <c r="Q12">
        <v>8304.66</v>
      </c>
      <c r="R12">
        <v>1328.75</v>
      </c>
      <c r="S12">
        <v>332.19</v>
      </c>
      <c r="T12">
        <v>9301.2199999999993</v>
      </c>
      <c r="V12" t="s">
        <v>9409</v>
      </c>
      <c r="W12" t="s">
        <v>424</v>
      </c>
    </row>
    <row r="13" spans="1:23" hidden="1" x14ac:dyDescent="0.2">
      <c r="A13">
        <v>2012</v>
      </c>
      <c r="B13" t="s">
        <v>304</v>
      </c>
      <c r="C13" s="733">
        <v>40959.329629629632</v>
      </c>
      <c r="D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" t="s">
        <v>505</v>
      </c>
      <c r="F13" t="s">
        <v>2065</v>
      </c>
      <c r="G13" t="s">
        <v>8215</v>
      </c>
      <c r="H13">
        <v>22877</v>
      </c>
      <c r="I13" t="s">
        <v>424</v>
      </c>
      <c r="J13" t="s">
        <v>1917</v>
      </c>
      <c r="K13" t="s">
        <v>1918</v>
      </c>
      <c r="L13" t="s">
        <v>1919</v>
      </c>
      <c r="M13">
        <v>267</v>
      </c>
      <c r="N13">
        <v>30</v>
      </c>
      <c r="O13">
        <v>2929.97</v>
      </c>
      <c r="P13">
        <v>1683.8244589999999</v>
      </c>
      <c r="Q13">
        <v>4613.7944589999997</v>
      </c>
      <c r="R13">
        <v>738.20711300000005</v>
      </c>
      <c r="S13">
        <v>184.55177800000001</v>
      </c>
      <c r="T13">
        <v>5167.4497940000001</v>
      </c>
      <c r="U13" t="s">
        <v>8491</v>
      </c>
      <c r="V13" t="s">
        <v>9408</v>
      </c>
      <c r="W13" t="s">
        <v>424</v>
      </c>
    </row>
    <row r="14" spans="1:23" hidden="1" x14ac:dyDescent="0.2">
      <c r="A14">
        <v>2012</v>
      </c>
      <c r="B14" t="s">
        <v>304</v>
      </c>
      <c r="C14" s="733">
        <v>40956</v>
      </c>
      <c r="D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" t="s">
        <v>505</v>
      </c>
      <c r="F14" t="s">
        <v>2065</v>
      </c>
      <c r="G14" t="s">
        <v>7762</v>
      </c>
      <c r="H14">
        <v>22819</v>
      </c>
      <c r="I14" t="s">
        <v>424</v>
      </c>
      <c r="J14" t="s">
        <v>1917</v>
      </c>
      <c r="K14" t="s">
        <v>1918</v>
      </c>
      <c r="L14" t="s">
        <v>1919</v>
      </c>
      <c r="M14">
        <v>267</v>
      </c>
      <c r="N14">
        <v>30</v>
      </c>
      <c r="O14">
        <v>2929.97</v>
      </c>
      <c r="P14">
        <v>1683.8244589999999</v>
      </c>
      <c r="Q14">
        <v>4613.7944589999997</v>
      </c>
      <c r="R14">
        <v>738.20711300000005</v>
      </c>
      <c r="S14">
        <v>184.55177800000001</v>
      </c>
      <c r="T14">
        <v>5167.4497940000001</v>
      </c>
      <c r="U14" t="s">
        <v>7529</v>
      </c>
      <c r="V14" t="s">
        <v>9408</v>
      </c>
      <c r="W14" t="s">
        <v>424</v>
      </c>
    </row>
    <row r="15" spans="1:23" hidden="1" x14ac:dyDescent="0.2">
      <c r="A15">
        <v>2012</v>
      </c>
      <c r="B15" t="s">
        <v>303</v>
      </c>
      <c r="C15" s="733">
        <v>40926</v>
      </c>
      <c r="D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" t="s">
        <v>505</v>
      </c>
      <c r="F15" t="s">
        <v>1915</v>
      </c>
      <c r="G15" t="s">
        <v>2282</v>
      </c>
      <c r="H15">
        <v>22053</v>
      </c>
      <c r="I15" t="s">
        <v>423</v>
      </c>
      <c r="J15" t="s">
        <v>1917</v>
      </c>
      <c r="K15" t="s">
        <v>1918</v>
      </c>
      <c r="L15" t="s">
        <v>1919</v>
      </c>
      <c r="M15">
        <v>267</v>
      </c>
      <c r="N15">
        <v>24.78</v>
      </c>
      <c r="O15">
        <v>5571.54</v>
      </c>
      <c r="P15">
        <v>0</v>
      </c>
      <c r="Q15">
        <v>5571.54</v>
      </c>
      <c r="R15">
        <v>891.45</v>
      </c>
      <c r="S15">
        <v>222.86</v>
      </c>
      <c r="T15">
        <v>6240.13</v>
      </c>
      <c r="U15" t="s">
        <v>8778</v>
      </c>
      <c r="V15" t="s">
        <v>9408</v>
      </c>
      <c r="W15" t="s">
        <v>423</v>
      </c>
    </row>
    <row r="16" spans="1:23" hidden="1" x14ac:dyDescent="0.2">
      <c r="A16">
        <v>2012</v>
      </c>
      <c r="B16" t="s">
        <v>304</v>
      </c>
      <c r="C16" s="733">
        <v>40955</v>
      </c>
      <c r="D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" t="s">
        <v>505</v>
      </c>
      <c r="F16" t="s">
        <v>1915</v>
      </c>
      <c r="G16" t="s">
        <v>7678</v>
      </c>
      <c r="H16">
        <v>22782</v>
      </c>
      <c r="I16" t="s">
        <v>424</v>
      </c>
      <c r="J16" t="s">
        <v>1917</v>
      </c>
      <c r="K16" t="s">
        <v>1918</v>
      </c>
      <c r="L16" t="s">
        <v>1919</v>
      </c>
      <c r="M16">
        <v>267</v>
      </c>
      <c r="N16">
        <v>30</v>
      </c>
      <c r="O16">
        <v>2929.97</v>
      </c>
      <c r="P16">
        <v>1683.8244589999999</v>
      </c>
      <c r="Q16">
        <v>4613.7944589999997</v>
      </c>
      <c r="R16">
        <v>738.20711300000005</v>
      </c>
      <c r="S16">
        <v>184.55177800000001</v>
      </c>
      <c r="T16">
        <v>5167.4497940000001</v>
      </c>
      <c r="U16" t="s">
        <v>7522</v>
      </c>
      <c r="V16" t="s">
        <v>9408</v>
      </c>
      <c r="W16" t="s">
        <v>424</v>
      </c>
    </row>
    <row r="17" spans="1:23" hidden="1" x14ac:dyDescent="0.2">
      <c r="A17">
        <v>2012</v>
      </c>
      <c r="B17" t="s">
        <v>303</v>
      </c>
      <c r="C17" s="733">
        <v>40913</v>
      </c>
      <c r="D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" t="s">
        <v>505</v>
      </c>
      <c r="F17" t="s">
        <v>1915</v>
      </c>
      <c r="G17" t="s">
        <v>2283</v>
      </c>
      <c r="H17">
        <v>21689</v>
      </c>
      <c r="I17" t="s">
        <v>424</v>
      </c>
      <c r="J17" t="s">
        <v>1917</v>
      </c>
      <c r="K17" t="s">
        <v>1918</v>
      </c>
      <c r="L17" t="s">
        <v>1919</v>
      </c>
      <c r="M17">
        <v>267</v>
      </c>
      <c r="N17">
        <v>30</v>
      </c>
      <c r="O17">
        <v>2929.97</v>
      </c>
      <c r="P17">
        <v>1683.8244589999999</v>
      </c>
      <c r="Q17">
        <v>4613.7944589999997</v>
      </c>
      <c r="R17">
        <v>738.20711300000005</v>
      </c>
      <c r="S17">
        <v>184.55177800000001</v>
      </c>
      <c r="T17">
        <v>5167.4497940000001</v>
      </c>
      <c r="U17" t="s">
        <v>1920</v>
      </c>
      <c r="V17" t="s">
        <v>9408</v>
      </c>
      <c r="W17" t="s">
        <v>424</v>
      </c>
    </row>
    <row r="18" spans="1:23" hidden="1" x14ac:dyDescent="0.2">
      <c r="A18">
        <v>2012</v>
      </c>
      <c r="B18" t="s">
        <v>303</v>
      </c>
      <c r="C18" s="733">
        <v>40933</v>
      </c>
      <c r="D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" t="s">
        <v>505</v>
      </c>
      <c r="F18" t="s">
        <v>1915</v>
      </c>
      <c r="G18" t="s">
        <v>2280</v>
      </c>
      <c r="H18">
        <v>22238</v>
      </c>
      <c r="I18" t="s">
        <v>424</v>
      </c>
      <c r="J18" t="s">
        <v>1917</v>
      </c>
      <c r="K18" t="s">
        <v>1918</v>
      </c>
      <c r="L18" t="s">
        <v>1919</v>
      </c>
      <c r="M18">
        <v>267</v>
      </c>
      <c r="N18">
        <v>27</v>
      </c>
      <c r="O18">
        <v>2636.97</v>
      </c>
      <c r="P18">
        <v>1515.4402889999999</v>
      </c>
      <c r="Q18">
        <v>4152.4102890000004</v>
      </c>
      <c r="R18">
        <v>664.38564599999995</v>
      </c>
      <c r="S18">
        <v>166.09641199999999</v>
      </c>
      <c r="T18">
        <v>4650.6995230000002</v>
      </c>
      <c r="U18" t="s">
        <v>1928</v>
      </c>
      <c r="V18" t="s">
        <v>9408</v>
      </c>
      <c r="W18" t="s">
        <v>424</v>
      </c>
    </row>
    <row r="19" spans="1:23" hidden="1" x14ac:dyDescent="0.2">
      <c r="A19">
        <v>2012</v>
      </c>
      <c r="B19" t="s">
        <v>305</v>
      </c>
      <c r="C19" s="733">
        <v>40971</v>
      </c>
      <c r="D19" s="733" t="str">
        <f>CHOOSE(MONTH(Tabla_sqldatos_bonampakdb_Bon_v_ingresos2012[[#This Row],[fecha_guia]]),"Enero","Febrero","Marzo","Abril","Mayo","Junio","Julio","Agosto","Septiembre","Octubre","Noviembre","Diciembre")</f>
        <v>Marzo</v>
      </c>
      <c r="E19" t="s">
        <v>505</v>
      </c>
      <c r="F19" t="s">
        <v>1915</v>
      </c>
      <c r="G19" t="s">
        <v>9649</v>
      </c>
      <c r="H19">
        <v>23175</v>
      </c>
      <c r="I19" t="s">
        <v>423</v>
      </c>
      <c r="J19" t="s">
        <v>1917</v>
      </c>
      <c r="K19" t="s">
        <v>1918</v>
      </c>
      <c r="L19" t="s">
        <v>1919</v>
      </c>
      <c r="M19">
        <v>267</v>
      </c>
      <c r="N19">
        <v>25.03</v>
      </c>
      <c r="O19">
        <v>5627.75</v>
      </c>
      <c r="P19">
        <v>0</v>
      </c>
      <c r="Q19">
        <v>5627.75</v>
      </c>
      <c r="R19">
        <v>900.44</v>
      </c>
      <c r="S19">
        <v>225.11</v>
      </c>
      <c r="T19">
        <v>6303.08</v>
      </c>
      <c r="V19" t="s">
        <v>9408</v>
      </c>
      <c r="W19" t="s">
        <v>423</v>
      </c>
    </row>
    <row r="20" spans="1:23" hidden="1" x14ac:dyDescent="0.2">
      <c r="A20">
        <v>2012</v>
      </c>
      <c r="B20" t="s">
        <v>303</v>
      </c>
      <c r="C20" s="733">
        <v>40918.724606481483</v>
      </c>
      <c r="D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" t="s">
        <v>505</v>
      </c>
      <c r="F20" t="s">
        <v>2065</v>
      </c>
      <c r="G20" t="s">
        <v>2303</v>
      </c>
      <c r="H20">
        <v>21880</v>
      </c>
      <c r="I20" t="s">
        <v>424</v>
      </c>
      <c r="J20" t="s">
        <v>1917</v>
      </c>
      <c r="K20" t="s">
        <v>1918</v>
      </c>
      <c r="L20" t="s">
        <v>1919</v>
      </c>
      <c r="M20">
        <v>267</v>
      </c>
      <c r="N20">
        <v>30</v>
      </c>
      <c r="O20">
        <v>2929.97</v>
      </c>
      <c r="P20">
        <v>1683.8244589999999</v>
      </c>
      <c r="Q20">
        <v>4613.7944589999997</v>
      </c>
      <c r="R20">
        <v>738.20711300000005</v>
      </c>
      <c r="S20">
        <v>184.55177800000001</v>
      </c>
      <c r="T20">
        <v>5167.4497940000001</v>
      </c>
      <c r="U20" t="s">
        <v>1931</v>
      </c>
      <c r="V20" t="s">
        <v>9408</v>
      </c>
      <c r="W20" t="s">
        <v>424</v>
      </c>
    </row>
    <row r="21" spans="1:23" hidden="1" x14ac:dyDescent="0.2">
      <c r="A21">
        <v>2012</v>
      </c>
      <c r="B21" t="s">
        <v>303</v>
      </c>
      <c r="C21" s="733">
        <v>40918.70480324074</v>
      </c>
      <c r="D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" t="s">
        <v>505</v>
      </c>
      <c r="F21" t="s">
        <v>1915</v>
      </c>
      <c r="G21" t="s">
        <v>2290</v>
      </c>
      <c r="H21">
        <v>21874</v>
      </c>
      <c r="I21" t="s">
        <v>424</v>
      </c>
      <c r="J21" t="s">
        <v>1917</v>
      </c>
      <c r="K21" t="s">
        <v>1918</v>
      </c>
      <c r="L21" t="s">
        <v>1919</v>
      </c>
      <c r="M21">
        <v>267</v>
      </c>
      <c r="N21">
        <v>30</v>
      </c>
      <c r="O21">
        <v>2929.97</v>
      </c>
      <c r="P21">
        <v>1683.8244589999999</v>
      </c>
      <c r="Q21">
        <v>4613.7944589999997</v>
      </c>
      <c r="R21">
        <v>738.20711300000005</v>
      </c>
      <c r="S21">
        <v>184.55177800000001</v>
      </c>
      <c r="T21">
        <v>5167.4497940000001</v>
      </c>
      <c r="U21" t="s">
        <v>1931</v>
      </c>
      <c r="V21" t="s">
        <v>9408</v>
      </c>
      <c r="W21" t="s">
        <v>424</v>
      </c>
    </row>
    <row r="22" spans="1:23" hidden="1" x14ac:dyDescent="0.2">
      <c r="A22">
        <v>2012</v>
      </c>
      <c r="B22" t="s">
        <v>303</v>
      </c>
      <c r="C22" s="733">
        <v>40928</v>
      </c>
      <c r="D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" t="s">
        <v>505</v>
      </c>
      <c r="F22" t="s">
        <v>1915</v>
      </c>
      <c r="G22" t="s">
        <v>2291</v>
      </c>
      <c r="H22">
        <v>22112</v>
      </c>
      <c r="I22" t="s">
        <v>424</v>
      </c>
      <c r="J22" t="s">
        <v>1917</v>
      </c>
      <c r="K22" t="s">
        <v>1918</v>
      </c>
      <c r="L22" t="s">
        <v>1919</v>
      </c>
      <c r="M22">
        <v>267</v>
      </c>
      <c r="N22">
        <v>27</v>
      </c>
      <c r="O22">
        <v>2636.97</v>
      </c>
      <c r="P22">
        <v>1515.4402889999999</v>
      </c>
      <c r="Q22">
        <v>4152.4102890000004</v>
      </c>
      <c r="R22">
        <v>664.38564599999995</v>
      </c>
      <c r="S22">
        <v>166.09641199999999</v>
      </c>
      <c r="T22">
        <v>4650.6995230000002</v>
      </c>
      <c r="U22" t="s">
        <v>1928</v>
      </c>
      <c r="V22" t="s">
        <v>9408</v>
      </c>
      <c r="W22" t="s">
        <v>424</v>
      </c>
    </row>
    <row r="23" spans="1:23" hidden="1" x14ac:dyDescent="0.2">
      <c r="A23">
        <v>2012</v>
      </c>
      <c r="B23" t="s">
        <v>303</v>
      </c>
      <c r="C23" s="733">
        <v>40931</v>
      </c>
      <c r="D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" t="s">
        <v>505</v>
      </c>
      <c r="F23" t="s">
        <v>1915</v>
      </c>
      <c r="G23" t="s">
        <v>2292</v>
      </c>
      <c r="H23">
        <v>22176</v>
      </c>
      <c r="I23" t="s">
        <v>424</v>
      </c>
      <c r="J23" t="s">
        <v>1917</v>
      </c>
      <c r="K23" t="s">
        <v>1918</v>
      </c>
      <c r="L23" t="s">
        <v>1919</v>
      </c>
      <c r="M23">
        <v>267</v>
      </c>
      <c r="N23">
        <v>27</v>
      </c>
      <c r="O23">
        <v>2636.97</v>
      </c>
      <c r="P23">
        <v>1515.4402889999999</v>
      </c>
      <c r="Q23">
        <v>4152.4102890000004</v>
      </c>
      <c r="R23">
        <v>664.38564599999995</v>
      </c>
      <c r="S23">
        <v>166.09641199999999</v>
      </c>
      <c r="T23">
        <v>4650.6995230000002</v>
      </c>
      <c r="U23" t="s">
        <v>1928</v>
      </c>
      <c r="V23" t="s">
        <v>9408</v>
      </c>
      <c r="W23" t="s">
        <v>424</v>
      </c>
    </row>
    <row r="24" spans="1:23" hidden="1" x14ac:dyDescent="0.2">
      <c r="A24">
        <v>2012</v>
      </c>
      <c r="B24" t="s">
        <v>303</v>
      </c>
      <c r="C24" s="733">
        <v>40935</v>
      </c>
      <c r="D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" t="s">
        <v>505</v>
      </c>
      <c r="F24" t="s">
        <v>1915</v>
      </c>
      <c r="G24" t="s">
        <v>4266</v>
      </c>
      <c r="H24">
        <v>22290</v>
      </c>
      <c r="I24" t="s">
        <v>423</v>
      </c>
      <c r="J24" t="s">
        <v>1917</v>
      </c>
      <c r="K24" t="s">
        <v>1918</v>
      </c>
      <c r="L24" t="s">
        <v>1919</v>
      </c>
      <c r="M24">
        <v>267</v>
      </c>
      <c r="N24">
        <v>24.71</v>
      </c>
      <c r="O24">
        <v>5555.8</v>
      </c>
      <c r="P24">
        <v>0</v>
      </c>
      <c r="Q24">
        <v>5555.8</v>
      </c>
      <c r="R24">
        <v>888.93</v>
      </c>
      <c r="S24">
        <v>222.23</v>
      </c>
      <c r="T24">
        <v>6222.5</v>
      </c>
      <c r="U24" t="s">
        <v>1926</v>
      </c>
      <c r="V24" t="s">
        <v>9409</v>
      </c>
      <c r="W24" t="s">
        <v>423</v>
      </c>
    </row>
    <row r="25" spans="1:23" hidden="1" x14ac:dyDescent="0.2">
      <c r="A25">
        <v>2012</v>
      </c>
      <c r="B25" t="s">
        <v>303</v>
      </c>
      <c r="C25" s="733">
        <v>40915</v>
      </c>
      <c r="D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" t="s">
        <v>505</v>
      </c>
      <c r="F25" t="s">
        <v>1915</v>
      </c>
      <c r="G25" t="s">
        <v>4265</v>
      </c>
      <c r="H25">
        <v>21751</v>
      </c>
      <c r="I25" t="s">
        <v>423</v>
      </c>
      <c r="J25" t="s">
        <v>1917</v>
      </c>
      <c r="K25" t="s">
        <v>1918</v>
      </c>
      <c r="L25" t="s">
        <v>1919</v>
      </c>
      <c r="M25">
        <v>267</v>
      </c>
      <c r="N25">
        <v>24.89</v>
      </c>
      <c r="O25">
        <v>5596.27</v>
      </c>
      <c r="P25">
        <v>0</v>
      </c>
      <c r="Q25">
        <v>5596.27</v>
      </c>
      <c r="R25">
        <v>895.4</v>
      </c>
      <c r="S25">
        <v>223.85</v>
      </c>
      <c r="T25">
        <v>6267.82</v>
      </c>
      <c r="U25" t="s">
        <v>1920</v>
      </c>
      <c r="V25" t="s">
        <v>9408</v>
      </c>
      <c r="W25" t="s">
        <v>423</v>
      </c>
    </row>
    <row r="26" spans="1:23" hidden="1" x14ac:dyDescent="0.2">
      <c r="A26">
        <v>2012</v>
      </c>
      <c r="B26" t="s">
        <v>304</v>
      </c>
      <c r="C26" s="733">
        <v>40948</v>
      </c>
      <c r="D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" t="s">
        <v>505</v>
      </c>
      <c r="F26" t="s">
        <v>2065</v>
      </c>
      <c r="G26" t="s">
        <v>4136</v>
      </c>
      <c r="H26">
        <v>22590</v>
      </c>
      <c r="I26" t="s">
        <v>424</v>
      </c>
      <c r="J26" t="s">
        <v>1917</v>
      </c>
      <c r="K26" t="s">
        <v>1918</v>
      </c>
      <c r="L26" t="s">
        <v>1919</v>
      </c>
      <c r="M26">
        <v>267</v>
      </c>
      <c r="N26">
        <v>30</v>
      </c>
      <c r="O26">
        <v>2929.97</v>
      </c>
      <c r="P26">
        <v>1683.8244589999999</v>
      </c>
      <c r="Q26">
        <v>4613.7944589999997</v>
      </c>
      <c r="R26">
        <v>738.20711300000005</v>
      </c>
      <c r="S26">
        <v>184.55177800000001</v>
      </c>
      <c r="T26">
        <v>5167.4497940000001</v>
      </c>
      <c r="U26" t="s">
        <v>1924</v>
      </c>
      <c r="V26" t="s">
        <v>9408</v>
      </c>
      <c r="W26" t="s">
        <v>424</v>
      </c>
    </row>
    <row r="27" spans="1:23" hidden="1" x14ac:dyDescent="0.2">
      <c r="A27">
        <v>2012</v>
      </c>
      <c r="B27" t="s">
        <v>304</v>
      </c>
      <c r="C27" s="733">
        <v>40953</v>
      </c>
      <c r="D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" t="s">
        <v>505</v>
      </c>
      <c r="F27" t="s">
        <v>2065</v>
      </c>
      <c r="G27" t="s">
        <v>4137</v>
      </c>
      <c r="H27">
        <v>22709</v>
      </c>
      <c r="I27" t="s">
        <v>424</v>
      </c>
      <c r="J27" t="s">
        <v>1917</v>
      </c>
      <c r="K27" t="s">
        <v>1918</v>
      </c>
      <c r="L27" t="s">
        <v>1919</v>
      </c>
      <c r="M27">
        <v>267</v>
      </c>
      <c r="N27">
        <v>30</v>
      </c>
      <c r="O27">
        <v>2929.97</v>
      </c>
      <c r="P27">
        <v>1683.82</v>
      </c>
      <c r="Q27">
        <v>4613.79</v>
      </c>
      <c r="R27">
        <v>738.2</v>
      </c>
      <c r="S27">
        <v>184.55</v>
      </c>
      <c r="T27">
        <v>5167.4399999999996</v>
      </c>
      <c r="U27" t="s">
        <v>7522</v>
      </c>
      <c r="V27" t="s">
        <v>9408</v>
      </c>
      <c r="W27" t="s">
        <v>424</v>
      </c>
    </row>
    <row r="28" spans="1:23" hidden="1" x14ac:dyDescent="0.2">
      <c r="A28">
        <v>2012</v>
      </c>
      <c r="B28" t="s">
        <v>303</v>
      </c>
      <c r="C28" s="733">
        <v>40933</v>
      </c>
      <c r="D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" t="s">
        <v>505</v>
      </c>
      <c r="F28" t="s">
        <v>2065</v>
      </c>
      <c r="G28" t="s">
        <v>4135</v>
      </c>
      <c r="H28">
        <v>22232</v>
      </c>
      <c r="I28" t="s">
        <v>424</v>
      </c>
      <c r="J28" t="s">
        <v>1917</v>
      </c>
      <c r="K28" t="s">
        <v>1918</v>
      </c>
      <c r="L28" t="s">
        <v>1919</v>
      </c>
      <c r="M28">
        <v>267</v>
      </c>
      <c r="N28">
        <v>30</v>
      </c>
      <c r="O28">
        <v>2929.97</v>
      </c>
      <c r="P28">
        <v>1683.8244589999999</v>
      </c>
      <c r="Q28">
        <v>4613.7944589999997</v>
      </c>
      <c r="R28">
        <v>738.20711300000005</v>
      </c>
      <c r="S28">
        <v>184.55177800000001</v>
      </c>
      <c r="T28">
        <v>5167.4497940000001</v>
      </c>
      <c r="U28" t="s">
        <v>8778</v>
      </c>
      <c r="V28" t="s">
        <v>9408</v>
      </c>
      <c r="W28" t="s">
        <v>424</v>
      </c>
    </row>
    <row r="29" spans="1:23" hidden="1" x14ac:dyDescent="0.2">
      <c r="A29">
        <v>2012</v>
      </c>
      <c r="B29" t="s">
        <v>303</v>
      </c>
      <c r="C29" s="733">
        <v>40939</v>
      </c>
      <c r="D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" t="s">
        <v>505</v>
      </c>
      <c r="F29" t="s">
        <v>1915</v>
      </c>
      <c r="G29" t="s">
        <v>2002</v>
      </c>
      <c r="H29">
        <v>21691</v>
      </c>
      <c r="I29" t="s">
        <v>424</v>
      </c>
      <c r="J29" t="s">
        <v>1917</v>
      </c>
      <c r="K29" t="s">
        <v>1918</v>
      </c>
      <c r="L29" t="s">
        <v>1919</v>
      </c>
      <c r="M29">
        <v>267</v>
      </c>
      <c r="N29">
        <v>30</v>
      </c>
      <c r="O29">
        <v>2929.97</v>
      </c>
      <c r="P29">
        <v>1683.8244589999999</v>
      </c>
      <c r="Q29">
        <v>4613.7944589999997</v>
      </c>
      <c r="R29">
        <v>738.20711300000005</v>
      </c>
      <c r="S29">
        <v>184.55177800000001</v>
      </c>
      <c r="T29">
        <v>5167.4497940000001</v>
      </c>
      <c r="U29" t="s">
        <v>1936</v>
      </c>
      <c r="V29" t="s">
        <v>9408</v>
      </c>
      <c r="W29" t="s">
        <v>424</v>
      </c>
    </row>
    <row r="30" spans="1:23" hidden="1" x14ac:dyDescent="0.2">
      <c r="A30">
        <v>2012</v>
      </c>
      <c r="B30" t="s">
        <v>303</v>
      </c>
      <c r="C30" s="733">
        <v>40931</v>
      </c>
      <c r="D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" t="s">
        <v>505</v>
      </c>
      <c r="F30" t="s">
        <v>1915</v>
      </c>
      <c r="G30" t="s">
        <v>2003</v>
      </c>
      <c r="H30">
        <v>22170</v>
      </c>
      <c r="I30" t="s">
        <v>424</v>
      </c>
      <c r="J30" t="s">
        <v>1917</v>
      </c>
      <c r="K30" t="s">
        <v>1918</v>
      </c>
      <c r="L30" t="s">
        <v>1919</v>
      </c>
      <c r="M30">
        <v>267</v>
      </c>
      <c r="N30">
        <v>30</v>
      </c>
      <c r="O30">
        <v>2929.97</v>
      </c>
      <c r="P30">
        <v>1683.8244589999999</v>
      </c>
      <c r="Q30">
        <v>4613.7944589999997</v>
      </c>
      <c r="R30">
        <v>738.20711300000005</v>
      </c>
      <c r="S30">
        <v>184.55177800000001</v>
      </c>
      <c r="T30">
        <v>5167.4497940000001</v>
      </c>
      <c r="U30" t="s">
        <v>1928</v>
      </c>
      <c r="V30" t="s">
        <v>9408</v>
      </c>
      <c r="W30" t="s">
        <v>424</v>
      </c>
    </row>
    <row r="31" spans="1:23" hidden="1" x14ac:dyDescent="0.2">
      <c r="A31">
        <v>2012</v>
      </c>
      <c r="B31" t="s">
        <v>303</v>
      </c>
      <c r="C31" s="733">
        <v>40915</v>
      </c>
      <c r="D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" t="s">
        <v>505</v>
      </c>
      <c r="F31" t="s">
        <v>1915</v>
      </c>
      <c r="G31" t="s">
        <v>1991</v>
      </c>
      <c r="H31">
        <v>21806</v>
      </c>
      <c r="I31" t="s">
        <v>424</v>
      </c>
      <c r="J31" t="s">
        <v>1917</v>
      </c>
      <c r="K31" t="s">
        <v>1918</v>
      </c>
      <c r="L31" t="s">
        <v>1919</v>
      </c>
      <c r="M31">
        <v>267</v>
      </c>
      <c r="N31">
        <v>30</v>
      </c>
      <c r="O31">
        <v>2929.97</v>
      </c>
      <c r="P31">
        <v>1683.8244589999999</v>
      </c>
      <c r="Q31">
        <v>4613.7944589999997</v>
      </c>
      <c r="R31">
        <v>738.20711300000005</v>
      </c>
      <c r="S31">
        <v>184.55177800000001</v>
      </c>
      <c r="T31">
        <v>5167.4497940000001</v>
      </c>
      <c r="U31" t="s">
        <v>1920</v>
      </c>
      <c r="V31" t="s">
        <v>9408</v>
      </c>
      <c r="W31" t="s">
        <v>424</v>
      </c>
    </row>
    <row r="32" spans="1:23" hidden="1" x14ac:dyDescent="0.2">
      <c r="A32">
        <v>2012</v>
      </c>
      <c r="B32" t="s">
        <v>303</v>
      </c>
      <c r="C32" s="733">
        <v>40918.713148148148</v>
      </c>
      <c r="D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" t="s">
        <v>505</v>
      </c>
      <c r="F32" t="s">
        <v>2065</v>
      </c>
      <c r="G32" t="s">
        <v>2005</v>
      </c>
      <c r="H32">
        <v>21876</v>
      </c>
      <c r="I32" t="s">
        <v>424</v>
      </c>
      <c r="J32" t="s">
        <v>1917</v>
      </c>
      <c r="K32" t="s">
        <v>1918</v>
      </c>
      <c r="L32" t="s">
        <v>1919</v>
      </c>
      <c r="M32">
        <v>267</v>
      </c>
      <c r="N32">
        <v>30</v>
      </c>
      <c r="O32">
        <v>2929.97</v>
      </c>
      <c r="P32">
        <v>1683.8244589999999</v>
      </c>
      <c r="Q32">
        <v>4613.7944589999997</v>
      </c>
      <c r="R32">
        <v>738.20711300000005</v>
      </c>
      <c r="S32">
        <v>184.55177800000001</v>
      </c>
      <c r="T32">
        <v>5167.4497940000001</v>
      </c>
      <c r="U32" t="s">
        <v>1931</v>
      </c>
      <c r="V32" t="s">
        <v>9408</v>
      </c>
      <c r="W32" t="s">
        <v>424</v>
      </c>
    </row>
    <row r="33" spans="1:23" hidden="1" x14ac:dyDescent="0.2">
      <c r="A33">
        <v>2012</v>
      </c>
      <c r="B33" t="s">
        <v>303</v>
      </c>
      <c r="C33" s="733">
        <v>40931</v>
      </c>
      <c r="D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" t="s">
        <v>505</v>
      </c>
      <c r="F33" t="s">
        <v>2065</v>
      </c>
      <c r="G33" t="s">
        <v>2006</v>
      </c>
      <c r="H33">
        <v>22169</v>
      </c>
      <c r="I33" t="s">
        <v>424</v>
      </c>
      <c r="J33" t="s">
        <v>1917</v>
      </c>
      <c r="K33" t="s">
        <v>1918</v>
      </c>
      <c r="L33" t="s">
        <v>1919</v>
      </c>
      <c r="M33">
        <v>267</v>
      </c>
      <c r="N33">
        <v>30</v>
      </c>
      <c r="O33">
        <v>2929.97</v>
      </c>
      <c r="P33">
        <v>1683.8244589999999</v>
      </c>
      <c r="Q33">
        <v>4613.7944589999997</v>
      </c>
      <c r="R33">
        <v>738.20711300000005</v>
      </c>
      <c r="S33">
        <v>184.55177800000001</v>
      </c>
      <c r="T33">
        <v>5167.4497940000001</v>
      </c>
      <c r="U33" t="s">
        <v>1928</v>
      </c>
      <c r="V33" t="s">
        <v>9408</v>
      </c>
      <c r="W33" t="s">
        <v>424</v>
      </c>
    </row>
    <row r="34" spans="1:23" hidden="1" x14ac:dyDescent="0.2">
      <c r="A34">
        <v>2012</v>
      </c>
      <c r="B34" t="s">
        <v>303</v>
      </c>
      <c r="C34" s="733">
        <v>40935</v>
      </c>
      <c r="D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" t="s">
        <v>505</v>
      </c>
      <c r="F34" t="s">
        <v>1915</v>
      </c>
      <c r="G34" t="s">
        <v>2811</v>
      </c>
      <c r="H34">
        <v>22285</v>
      </c>
      <c r="I34" t="s">
        <v>424</v>
      </c>
      <c r="J34" t="s">
        <v>1917</v>
      </c>
      <c r="K34" t="s">
        <v>1918</v>
      </c>
      <c r="L34" t="s">
        <v>1919</v>
      </c>
      <c r="M34">
        <v>267</v>
      </c>
      <c r="N34">
        <v>30</v>
      </c>
      <c r="O34">
        <v>2929.97</v>
      </c>
      <c r="P34">
        <v>1683.8244589999999</v>
      </c>
      <c r="Q34">
        <v>4613.7944589999997</v>
      </c>
      <c r="R34">
        <v>738.20711300000005</v>
      </c>
      <c r="S34">
        <v>184.55177800000001</v>
      </c>
      <c r="T34">
        <v>5167.4497940000001</v>
      </c>
      <c r="U34" t="s">
        <v>1936</v>
      </c>
      <c r="V34" t="s">
        <v>9408</v>
      </c>
      <c r="W34" t="s">
        <v>424</v>
      </c>
    </row>
    <row r="35" spans="1:23" hidden="1" x14ac:dyDescent="0.2">
      <c r="A35">
        <v>2012</v>
      </c>
      <c r="B35" t="s">
        <v>304</v>
      </c>
      <c r="C35" s="733">
        <v>40952</v>
      </c>
      <c r="D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" t="s">
        <v>505</v>
      </c>
      <c r="F35" t="s">
        <v>1915</v>
      </c>
      <c r="G35" t="s">
        <v>2008</v>
      </c>
      <c r="H35">
        <v>22702</v>
      </c>
      <c r="I35" t="s">
        <v>424</v>
      </c>
      <c r="J35" t="s">
        <v>1917</v>
      </c>
      <c r="K35" t="s">
        <v>1918</v>
      </c>
      <c r="L35" t="s">
        <v>1919</v>
      </c>
      <c r="M35">
        <v>267</v>
      </c>
      <c r="N35">
        <v>30</v>
      </c>
      <c r="O35">
        <v>2929.97</v>
      </c>
      <c r="P35">
        <v>1683.8244589999999</v>
      </c>
      <c r="Q35">
        <v>4613.7944589999997</v>
      </c>
      <c r="R35">
        <v>738.20711300000005</v>
      </c>
      <c r="S35">
        <v>184.55177800000001</v>
      </c>
      <c r="T35">
        <v>5167.4497940000001</v>
      </c>
      <c r="U35" t="s">
        <v>7522</v>
      </c>
      <c r="V35" t="s">
        <v>9408</v>
      </c>
      <c r="W35" t="s">
        <v>424</v>
      </c>
    </row>
    <row r="36" spans="1:23" hidden="1" x14ac:dyDescent="0.2">
      <c r="A36">
        <v>2012</v>
      </c>
      <c r="B36" t="s">
        <v>304</v>
      </c>
      <c r="C36" s="733">
        <v>40942</v>
      </c>
      <c r="D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" t="s">
        <v>505</v>
      </c>
      <c r="F36" t="s">
        <v>1915</v>
      </c>
      <c r="G36" t="s">
        <v>6085</v>
      </c>
      <c r="H36">
        <v>22461</v>
      </c>
      <c r="I36" t="s">
        <v>423</v>
      </c>
      <c r="J36" t="s">
        <v>1917</v>
      </c>
      <c r="K36" t="s">
        <v>1918</v>
      </c>
      <c r="L36" t="s">
        <v>1919</v>
      </c>
      <c r="M36">
        <v>267</v>
      </c>
      <c r="N36">
        <v>26.8</v>
      </c>
      <c r="O36">
        <v>6025.71</v>
      </c>
      <c r="P36">
        <v>0</v>
      </c>
      <c r="Q36">
        <v>6025.71</v>
      </c>
      <c r="R36">
        <v>964.11</v>
      </c>
      <c r="S36">
        <v>241.03</v>
      </c>
      <c r="T36">
        <v>6748.79</v>
      </c>
      <c r="U36" t="s">
        <v>1924</v>
      </c>
      <c r="V36" t="s">
        <v>9408</v>
      </c>
      <c r="W36" t="s">
        <v>423</v>
      </c>
    </row>
    <row r="37" spans="1:23" hidden="1" x14ac:dyDescent="0.2">
      <c r="A37">
        <v>2012</v>
      </c>
      <c r="B37" t="s">
        <v>304</v>
      </c>
      <c r="C37" s="733">
        <v>40952</v>
      </c>
      <c r="D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" t="s">
        <v>505</v>
      </c>
      <c r="F37" t="s">
        <v>1915</v>
      </c>
      <c r="G37" t="s">
        <v>6083</v>
      </c>
      <c r="H37">
        <v>22699</v>
      </c>
      <c r="I37" t="s">
        <v>424</v>
      </c>
      <c r="J37" t="s">
        <v>1917</v>
      </c>
      <c r="K37" t="s">
        <v>1918</v>
      </c>
      <c r="L37" t="s">
        <v>1919</v>
      </c>
      <c r="M37">
        <v>267</v>
      </c>
      <c r="N37">
        <v>30</v>
      </c>
      <c r="O37">
        <v>2929.97</v>
      </c>
      <c r="P37">
        <v>1683.8244589999999</v>
      </c>
      <c r="Q37">
        <v>4613.7944589999997</v>
      </c>
      <c r="R37">
        <v>738.20711300000005</v>
      </c>
      <c r="S37">
        <v>184.55177800000001</v>
      </c>
      <c r="T37">
        <v>5167.4497940000001</v>
      </c>
      <c r="U37" t="s">
        <v>7522</v>
      </c>
      <c r="V37" t="s">
        <v>9408</v>
      </c>
      <c r="W37" t="s">
        <v>424</v>
      </c>
    </row>
    <row r="38" spans="1:23" hidden="1" x14ac:dyDescent="0.2">
      <c r="A38">
        <v>2012</v>
      </c>
      <c r="B38" t="s">
        <v>303</v>
      </c>
      <c r="C38" s="733">
        <v>40922</v>
      </c>
      <c r="D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" t="s">
        <v>505</v>
      </c>
      <c r="F38" t="s">
        <v>1915</v>
      </c>
      <c r="G38" t="s">
        <v>2000</v>
      </c>
      <c r="H38">
        <v>21926</v>
      </c>
      <c r="I38" t="s">
        <v>424</v>
      </c>
      <c r="J38" t="s">
        <v>1917</v>
      </c>
      <c r="K38" t="s">
        <v>1918</v>
      </c>
      <c r="L38" t="s">
        <v>1919</v>
      </c>
      <c r="M38">
        <v>267</v>
      </c>
      <c r="N38">
        <v>30</v>
      </c>
      <c r="O38">
        <v>2929.97</v>
      </c>
      <c r="P38">
        <v>1683.8244589999999</v>
      </c>
      <c r="Q38">
        <v>4613.7944589999997</v>
      </c>
      <c r="R38">
        <v>738.20711300000005</v>
      </c>
      <c r="S38">
        <v>184.55177800000001</v>
      </c>
      <c r="T38">
        <v>5167.4497940000001</v>
      </c>
      <c r="U38" t="s">
        <v>1931</v>
      </c>
      <c r="V38" t="s">
        <v>9408</v>
      </c>
      <c r="W38" t="s">
        <v>424</v>
      </c>
    </row>
    <row r="39" spans="1:23" hidden="1" x14ac:dyDescent="0.2">
      <c r="A39">
        <v>2012</v>
      </c>
      <c r="B39" t="s">
        <v>304</v>
      </c>
      <c r="C39" s="733">
        <v>40955</v>
      </c>
      <c r="D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" t="s">
        <v>505</v>
      </c>
      <c r="F39" t="s">
        <v>1915</v>
      </c>
      <c r="G39" t="s">
        <v>7545</v>
      </c>
      <c r="H39">
        <v>22779</v>
      </c>
      <c r="I39" t="s">
        <v>424</v>
      </c>
      <c r="J39" t="s">
        <v>1917</v>
      </c>
      <c r="K39" t="s">
        <v>1918</v>
      </c>
      <c r="L39" t="s">
        <v>1919</v>
      </c>
      <c r="M39">
        <v>267</v>
      </c>
      <c r="N39">
        <v>30</v>
      </c>
      <c r="O39">
        <v>2929.97</v>
      </c>
      <c r="P39">
        <v>1683.8244589999999</v>
      </c>
      <c r="Q39">
        <v>4613.7944589999997</v>
      </c>
      <c r="R39">
        <v>738.20711300000005</v>
      </c>
      <c r="S39">
        <v>184.55177800000001</v>
      </c>
      <c r="T39">
        <v>5167.4497940000001</v>
      </c>
      <c r="U39" t="s">
        <v>7522</v>
      </c>
      <c r="V39" t="s">
        <v>9408</v>
      </c>
      <c r="W39" t="s">
        <v>424</v>
      </c>
    </row>
    <row r="40" spans="1:23" hidden="1" x14ac:dyDescent="0.2">
      <c r="A40">
        <v>2012</v>
      </c>
      <c r="B40" t="s">
        <v>303</v>
      </c>
      <c r="C40" s="733">
        <v>40915</v>
      </c>
      <c r="D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" t="s">
        <v>505</v>
      </c>
      <c r="F40" t="s">
        <v>1915</v>
      </c>
      <c r="G40" t="s">
        <v>1994</v>
      </c>
      <c r="H40">
        <v>21749</v>
      </c>
      <c r="I40" t="s">
        <v>424</v>
      </c>
      <c r="J40" t="s">
        <v>1917</v>
      </c>
      <c r="K40" t="s">
        <v>1918</v>
      </c>
      <c r="L40" t="s">
        <v>1919</v>
      </c>
      <c r="M40">
        <v>267</v>
      </c>
      <c r="N40">
        <v>27</v>
      </c>
      <c r="O40">
        <v>2636.97</v>
      </c>
      <c r="P40">
        <v>1515.4402889999999</v>
      </c>
      <c r="Q40">
        <v>4152.4102890000004</v>
      </c>
      <c r="R40">
        <v>664.38564599999995</v>
      </c>
      <c r="S40">
        <v>166.09641199999999</v>
      </c>
      <c r="T40">
        <v>4650.6995230000002</v>
      </c>
      <c r="U40" t="s">
        <v>1920</v>
      </c>
      <c r="V40" t="s">
        <v>9408</v>
      </c>
      <c r="W40" t="s">
        <v>424</v>
      </c>
    </row>
    <row r="41" spans="1:23" hidden="1" x14ac:dyDescent="0.2">
      <c r="A41">
        <v>2012</v>
      </c>
      <c r="B41" t="s">
        <v>304</v>
      </c>
      <c r="C41" s="733">
        <v>40959</v>
      </c>
      <c r="D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" t="s">
        <v>505</v>
      </c>
      <c r="F41" t="s">
        <v>1915</v>
      </c>
      <c r="G41" t="s">
        <v>8133</v>
      </c>
      <c r="H41">
        <v>22875</v>
      </c>
      <c r="I41" t="s">
        <v>423</v>
      </c>
      <c r="J41" t="s">
        <v>1917</v>
      </c>
      <c r="K41" t="s">
        <v>1918</v>
      </c>
      <c r="L41" t="s">
        <v>1919</v>
      </c>
      <c r="M41">
        <v>267</v>
      </c>
      <c r="N41">
        <v>49.43</v>
      </c>
      <c r="O41">
        <v>11113.84</v>
      </c>
      <c r="P41">
        <v>0</v>
      </c>
      <c r="Q41">
        <v>11113.84</v>
      </c>
      <c r="R41">
        <v>1778.21</v>
      </c>
      <c r="S41">
        <v>444.55</v>
      </c>
      <c r="T41">
        <v>12447.5</v>
      </c>
      <c r="U41" t="s">
        <v>8491</v>
      </c>
      <c r="V41" t="s">
        <v>9409</v>
      </c>
      <c r="W41" t="s">
        <v>423</v>
      </c>
    </row>
    <row r="42" spans="1:23" hidden="1" x14ac:dyDescent="0.2">
      <c r="A42">
        <v>2012</v>
      </c>
      <c r="B42" t="s">
        <v>304</v>
      </c>
      <c r="C42" s="733">
        <v>40942</v>
      </c>
      <c r="D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" t="s">
        <v>505</v>
      </c>
      <c r="F42" t="s">
        <v>1915</v>
      </c>
      <c r="G42" t="s">
        <v>2007</v>
      </c>
      <c r="H42">
        <v>22466</v>
      </c>
      <c r="I42" t="s">
        <v>423</v>
      </c>
      <c r="J42" t="s">
        <v>1917</v>
      </c>
      <c r="K42" t="s">
        <v>1918</v>
      </c>
      <c r="L42" t="s">
        <v>1919</v>
      </c>
      <c r="M42">
        <v>267</v>
      </c>
      <c r="N42">
        <v>49.79</v>
      </c>
      <c r="O42">
        <v>11194.78</v>
      </c>
      <c r="P42">
        <v>0</v>
      </c>
      <c r="Q42">
        <v>11194.78</v>
      </c>
      <c r="R42">
        <v>1791.17</v>
      </c>
      <c r="S42">
        <v>447.79</v>
      </c>
      <c r="T42">
        <v>12538.16</v>
      </c>
      <c r="U42" t="s">
        <v>1924</v>
      </c>
      <c r="V42" t="s">
        <v>9409</v>
      </c>
      <c r="W42" t="s">
        <v>423</v>
      </c>
    </row>
    <row r="43" spans="1:23" hidden="1" x14ac:dyDescent="0.2">
      <c r="A43">
        <v>2012</v>
      </c>
      <c r="B43" t="s">
        <v>303</v>
      </c>
      <c r="C43" s="733">
        <v>40912</v>
      </c>
      <c r="D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" t="s">
        <v>505</v>
      </c>
      <c r="F43" t="s">
        <v>1915</v>
      </c>
      <c r="G43" t="s">
        <v>2009</v>
      </c>
      <c r="H43">
        <v>21684</v>
      </c>
      <c r="I43" t="s">
        <v>424</v>
      </c>
      <c r="J43" t="s">
        <v>1917</v>
      </c>
      <c r="K43" t="s">
        <v>1918</v>
      </c>
      <c r="L43" t="s">
        <v>1919</v>
      </c>
      <c r="M43">
        <v>267</v>
      </c>
      <c r="N43">
        <v>30</v>
      </c>
      <c r="O43">
        <v>2929.97</v>
      </c>
      <c r="P43">
        <v>1683.8244589999999</v>
      </c>
      <c r="Q43">
        <v>4613.7944589999997</v>
      </c>
      <c r="R43">
        <v>738.20711300000005</v>
      </c>
      <c r="S43">
        <v>184.55177800000001</v>
      </c>
      <c r="T43">
        <v>5167.4497940000001</v>
      </c>
      <c r="U43" t="s">
        <v>8778</v>
      </c>
      <c r="V43" t="s">
        <v>9408</v>
      </c>
      <c r="W43" t="s">
        <v>424</v>
      </c>
    </row>
    <row r="44" spans="1:23" hidden="1" x14ac:dyDescent="0.2">
      <c r="A44">
        <v>2012</v>
      </c>
      <c r="B44" t="s">
        <v>304</v>
      </c>
      <c r="C44" s="733">
        <v>40946</v>
      </c>
      <c r="D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" t="s">
        <v>505</v>
      </c>
      <c r="F44" t="s">
        <v>1915</v>
      </c>
      <c r="G44" t="s">
        <v>7078</v>
      </c>
      <c r="H44">
        <v>22527</v>
      </c>
      <c r="I44" t="s">
        <v>423</v>
      </c>
      <c r="J44" t="s">
        <v>1917</v>
      </c>
      <c r="K44" t="s">
        <v>1918</v>
      </c>
      <c r="L44" t="s">
        <v>1919</v>
      </c>
      <c r="M44">
        <v>267</v>
      </c>
      <c r="N44">
        <v>48.72</v>
      </c>
      <c r="O44">
        <v>10954.2</v>
      </c>
      <c r="P44">
        <v>0</v>
      </c>
      <c r="Q44">
        <v>10954.2</v>
      </c>
      <c r="R44">
        <v>1752.67</v>
      </c>
      <c r="S44">
        <v>438.17</v>
      </c>
      <c r="T44">
        <v>12268.7</v>
      </c>
      <c r="U44" t="s">
        <v>1924</v>
      </c>
      <c r="V44" t="s">
        <v>9409</v>
      </c>
      <c r="W44" t="s">
        <v>423</v>
      </c>
    </row>
    <row r="45" spans="1:23" hidden="1" x14ac:dyDescent="0.2">
      <c r="A45">
        <v>2012</v>
      </c>
      <c r="B45" t="s">
        <v>303</v>
      </c>
      <c r="C45" s="733">
        <v>40926</v>
      </c>
      <c r="D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" t="s">
        <v>505</v>
      </c>
      <c r="F45" t="s">
        <v>1915</v>
      </c>
      <c r="G45" t="s">
        <v>7080</v>
      </c>
      <c r="H45">
        <v>22043</v>
      </c>
      <c r="I45" t="s">
        <v>423</v>
      </c>
      <c r="J45" t="s">
        <v>1917</v>
      </c>
      <c r="K45" t="s">
        <v>1918</v>
      </c>
      <c r="L45" t="s">
        <v>1919</v>
      </c>
      <c r="M45">
        <v>267</v>
      </c>
      <c r="N45">
        <v>23.85</v>
      </c>
      <c r="O45">
        <v>5362.43</v>
      </c>
      <c r="P45">
        <v>0</v>
      </c>
      <c r="Q45">
        <v>5362.43</v>
      </c>
      <c r="R45">
        <v>857.99</v>
      </c>
      <c r="S45">
        <v>214.5</v>
      </c>
      <c r="T45">
        <v>6005.92</v>
      </c>
      <c r="U45" t="s">
        <v>1936</v>
      </c>
      <c r="V45" t="s">
        <v>9408</v>
      </c>
      <c r="W45" t="s">
        <v>423</v>
      </c>
    </row>
    <row r="46" spans="1:23" hidden="1" x14ac:dyDescent="0.2">
      <c r="A46">
        <v>2012</v>
      </c>
      <c r="B46" t="s">
        <v>304</v>
      </c>
      <c r="C46" s="733">
        <v>40954</v>
      </c>
      <c r="D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" t="s">
        <v>505</v>
      </c>
      <c r="F46" t="s">
        <v>1915</v>
      </c>
      <c r="G46" t="s">
        <v>7908</v>
      </c>
      <c r="H46">
        <v>22756</v>
      </c>
      <c r="I46" t="s">
        <v>423</v>
      </c>
      <c r="J46" t="s">
        <v>1917</v>
      </c>
      <c r="K46" t="s">
        <v>1918</v>
      </c>
      <c r="L46" t="s">
        <v>1919</v>
      </c>
      <c r="M46">
        <v>267</v>
      </c>
      <c r="N46">
        <v>50.25</v>
      </c>
      <c r="O46">
        <v>11298.21</v>
      </c>
      <c r="P46">
        <v>0</v>
      </c>
      <c r="Q46">
        <v>11298.21</v>
      </c>
      <c r="R46">
        <v>1807.71</v>
      </c>
      <c r="S46">
        <v>451.93</v>
      </c>
      <c r="T46">
        <v>12653.99</v>
      </c>
      <c r="U46" t="s">
        <v>7529</v>
      </c>
      <c r="V46" t="s">
        <v>9409</v>
      </c>
      <c r="W46" t="s">
        <v>423</v>
      </c>
    </row>
    <row r="47" spans="1:23" hidden="1" x14ac:dyDescent="0.2">
      <c r="A47">
        <v>2012</v>
      </c>
      <c r="B47" t="s">
        <v>303</v>
      </c>
      <c r="C47" s="733">
        <v>40933</v>
      </c>
      <c r="D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" t="s">
        <v>505</v>
      </c>
      <c r="F47" t="s">
        <v>1915</v>
      </c>
      <c r="G47" t="s">
        <v>7079</v>
      </c>
      <c r="H47">
        <v>22225</v>
      </c>
      <c r="I47" t="s">
        <v>423</v>
      </c>
      <c r="J47" t="s">
        <v>1917</v>
      </c>
      <c r="K47" t="s">
        <v>1918</v>
      </c>
      <c r="L47" t="s">
        <v>1919</v>
      </c>
      <c r="M47">
        <v>267</v>
      </c>
      <c r="N47">
        <v>53.93</v>
      </c>
      <c r="O47">
        <v>12125.62</v>
      </c>
      <c r="P47">
        <v>0</v>
      </c>
      <c r="Q47">
        <v>12125.62</v>
      </c>
      <c r="R47">
        <v>1940.1</v>
      </c>
      <c r="S47">
        <v>485.02</v>
      </c>
      <c r="T47">
        <v>13580.7</v>
      </c>
      <c r="U47" t="s">
        <v>1936</v>
      </c>
      <c r="V47" t="s">
        <v>9409</v>
      </c>
      <c r="W47" t="s">
        <v>423</v>
      </c>
    </row>
    <row r="48" spans="1:23" hidden="1" x14ac:dyDescent="0.2">
      <c r="A48">
        <v>2012</v>
      </c>
      <c r="B48" t="s">
        <v>304</v>
      </c>
      <c r="C48" s="733">
        <v>40962</v>
      </c>
      <c r="D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" t="s">
        <v>505</v>
      </c>
      <c r="F48" t="s">
        <v>1915</v>
      </c>
      <c r="G48" t="s">
        <v>8455</v>
      </c>
      <c r="H48">
        <v>22937</v>
      </c>
      <c r="I48" t="s">
        <v>423</v>
      </c>
      <c r="J48" t="s">
        <v>1917</v>
      </c>
      <c r="K48" t="s">
        <v>1918</v>
      </c>
      <c r="L48" t="s">
        <v>1919</v>
      </c>
      <c r="M48">
        <v>267</v>
      </c>
      <c r="N48">
        <v>24.96</v>
      </c>
      <c r="O48">
        <v>5612.01</v>
      </c>
      <c r="P48">
        <v>0</v>
      </c>
      <c r="Q48">
        <v>5612.01</v>
      </c>
      <c r="R48">
        <v>897.92</v>
      </c>
      <c r="S48">
        <v>224.48</v>
      </c>
      <c r="T48">
        <v>6285.45</v>
      </c>
      <c r="U48" t="s">
        <v>8778</v>
      </c>
      <c r="V48" t="s">
        <v>9409</v>
      </c>
      <c r="W48" t="s">
        <v>423</v>
      </c>
    </row>
    <row r="49" spans="1:23" hidden="1" x14ac:dyDescent="0.2">
      <c r="A49">
        <v>2012</v>
      </c>
      <c r="B49" t="s">
        <v>304</v>
      </c>
      <c r="C49" s="733">
        <v>40940</v>
      </c>
      <c r="D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" t="s">
        <v>505</v>
      </c>
      <c r="F49" t="s">
        <v>1915</v>
      </c>
      <c r="G49" t="s">
        <v>6088</v>
      </c>
      <c r="H49">
        <v>21937</v>
      </c>
      <c r="I49" t="s">
        <v>423</v>
      </c>
      <c r="J49" t="s">
        <v>4760</v>
      </c>
      <c r="K49" t="s">
        <v>1918</v>
      </c>
      <c r="L49" t="s">
        <v>1919</v>
      </c>
      <c r="M49">
        <v>444</v>
      </c>
      <c r="N49">
        <v>24.96</v>
      </c>
      <c r="O49">
        <v>7746.09</v>
      </c>
      <c r="P49">
        <v>0</v>
      </c>
      <c r="Q49">
        <v>7746.09</v>
      </c>
      <c r="R49">
        <v>1239.3699999999999</v>
      </c>
      <c r="S49">
        <v>309.83999999999997</v>
      </c>
      <c r="T49">
        <v>8675.6200000000008</v>
      </c>
      <c r="U49" t="s">
        <v>1926</v>
      </c>
      <c r="V49" t="s">
        <v>9408</v>
      </c>
      <c r="W49" t="s">
        <v>423</v>
      </c>
    </row>
    <row r="50" spans="1:23" hidden="1" x14ac:dyDescent="0.2">
      <c r="A50">
        <v>2012</v>
      </c>
      <c r="B50" t="s">
        <v>303</v>
      </c>
      <c r="C50" s="733">
        <v>40922</v>
      </c>
      <c r="D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" t="s">
        <v>505</v>
      </c>
      <c r="F50" t="s">
        <v>1915</v>
      </c>
      <c r="G50" t="s">
        <v>1999</v>
      </c>
      <c r="H50">
        <v>21929</v>
      </c>
      <c r="I50" t="s">
        <v>424</v>
      </c>
      <c r="J50" t="s">
        <v>1917</v>
      </c>
      <c r="K50" t="s">
        <v>1918</v>
      </c>
      <c r="L50" t="s">
        <v>1919</v>
      </c>
      <c r="M50">
        <v>267</v>
      </c>
      <c r="N50">
        <v>30</v>
      </c>
      <c r="O50">
        <v>2929.97</v>
      </c>
      <c r="P50">
        <v>1683.8244589999999</v>
      </c>
      <c r="Q50">
        <v>4613.7944589999997</v>
      </c>
      <c r="R50">
        <v>738.20711300000005</v>
      </c>
      <c r="S50">
        <v>184.55177800000001</v>
      </c>
      <c r="T50">
        <v>5167.4497940000001</v>
      </c>
      <c r="U50" t="s">
        <v>1931</v>
      </c>
      <c r="V50" t="s">
        <v>9408</v>
      </c>
      <c r="W50" t="s">
        <v>424</v>
      </c>
    </row>
    <row r="51" spans="1:23" hidden="1" x14ac:dyDescent="0.2">
      <c r="A51">
        <v>2012</v>
      </c>
      <c r="B51" t="s">
        <v>304</v>
      </c>
      <c r="C51" s="733">
        <v>40963</v>
      </c>
      <c r="D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" t="s">
        <v>505</v>
      </c>
      <c r="F51" t="s">
        <v>1915</v>
      </c>
      <c r="G51" t="s">
        <v>8496</v>
      </c>
      <c r="H51">
        <v>22989</v>
      </c>
      <c r="I51" t="s">
        <v>424</v>
      </c>
      <c r="J51" t="s">
        <v>1917</v>
      </c>
      <c r="K51" t="s">
        <v>1918</v>
      </c>
      <c r="L51" t="s">
        <v>1919</v>
      </c>
      <c r="M51">
        <v>267</v>
      </c>
      <c r="N51">
        <v>30</v>
      </c>
      <c r="O51">
        <v>4613.7</v>
      </c>
      <c r="P51">
        <v>0</v>
      </c>
      <c r="Q51">
        <v>4613.7</v>
      </c>
      <c r="R51">
        <v>738.19</v>
      </c>
      <c r="S51">
        <v>184.55</v>
      </c>
      <c r="T51">
        <v>5167.34</v>
      </c>
      <c r="U51" t="s">
        <v>8778</v>
      </c>
      <c r="V51" t="s">
        <v>9408</v>
      </c>
      <c r="W51" t="s">
        <v>424</v>
      </c>
    </row>
    <row r="52" spans="1:23" hidden="1" x14ac:dyDescent="0.2">
      <c r="A52">
        <v>2012</v>
      </c>
      <c r="B52" t="s">
        <v>304</v>
      </c>
      <c r="C52" s="733">
        <v>40959.329108796293</v>
      </c>
      <c r="D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" t="s">
        <v>505</v>
      </c>
      <c r="F52" t="s">
        <v>1915</v>
      </c>
      <c r="G52" t="s">
        <v>8156</v>
      </c>
      <c r="H52">
        <v>22878</v>
      </c>
      <c r="I52" t="s">
        <v>424</v>
      </c>
      <c r="J52" t="s">
        <v>1917</v>
      </c>
      <c r="K52" t="s">
        <v>1918</v>
      </c>
      <c r="L52" t="s">
        <v>1919</v>
      </c>
      <c r="M52">
        <v>267</v>
      </c>
      <c r="N52">
        <v>30</v>
      </c>
      <c r="O52">
        <v>2929.97</v>
      </c>
      <c r="P52">
        <v>1683.8244589999999</v>
      </c>
      <c r="Q52">
        <v>4613.7944589999997</v>
      </c>
      <c r="R52">
        <v>738.20711300000005</v>
      </c>
      <c r="S52">
        <v>184.55177800000001</v>
      </c>
      <c r="T52">
        <v>5167.4497940000001</v>
      </c>
      <c r="U52" t="s">
        <v>8491</v>
      </c>
      <c r="V52" t="s">
        <v>9408</v>
      </c>
      <c r="W52" t="s">
        <v>424</v>
      </c>
    </row>
    <row r="53" spans="1:23" hidden="1" x14ac:dyDescent="0.2">
      <c r="A53">
        <v>2012</v>
      </c>
      <c r="B53" t="s">
        <v>303</v>
      </c>
      <c r="C53" s="733">
        <v>40925.633113425924</v>
      </c>
      <c r="D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" t="s">
        <v>505</v>
      </c>
      <c r="F53" t="s">
        <v>1915</v>
      </c>
      <c r="G53" t="s">
        <v>2015</v>
      </c>
      <c r="H53">
        <v>21801</v>
      </c>
      <c r="I53" t="s">
        <v>423</v>
      </c>
      <c r="J53" t="s">
        <v>1954</v>
      </c>
      <c r="K53" t="s">
        <v>1918</v>
      </c>
      <c r="L53" t="s">
        <v>1919</v>
      </c>
      <c r="M53">
        <v>303</v>
      </c>
      <c r="N53">
        <v>27.32</v>
      </c>
      <c r="O53">
        <v>7543.05</v>
      </c>
      <c r="P53">
        <v>0</v>
      </c>
      <c r="Q53">
        <v>7543.05</v>
      </c>
      <c r="R53">
        <v>1206.8900000000001</v>
      </c>
      <c r="S53">
        <v>301.72000000000003</v>
      </c>
      <c r="T53">
        <v>8448.2199999999993</v>
      </c>
      <c r="U53" t="s">
        <v>1931</v>
      </c>
      <c r="V53" t="s">
        <v>9409</v>
      </c>
      <c r="W53" t="s">
        <v>423</v>
      </c>
    </row>
    <row r="54" spans="1:23" hidden="1" x14ac:dyDescent="0.2">
      <c r="A54">
        <v>2012</v>
      </c>
      <c r="B54" t="s">
        <v>305</v>
      </c>
      <c r="C54" s="733">
        <v>40971</v>
      </c>
      <c r="D54" s="733" t="str">
        <f>CHOOSE(MONTH(Tabla_sqldatos_bonampakdb_Bon_v_ingresos2012[[#This Row],[fecha_guia]]),"Enero","Febrero","Marzo","Abril","Mayo","Junio","Julio","Agosto","Septiembre","Octubre","Noviembre","Diciembre")</f>
        <v>Marzo</v>
      </c>
      <c r="E54" t="s">
        <v>505</v>
      </c>
      <c r="F54" t="s">
        <v>1915</v>
      </c>
      <c r="G54" t="s">
        <v>9650</v>
      </c>
      <c r="H54">
        <v>23169</v>
      </c>
      <c r="I54" t="s">
        <v>424</v>
      </c>
      <c r="J54" t="s">
        <v>1954</v>
      </c>
      <c r="K54" t="s">
        <v>1918</v>
      </c>
      <c r="L54" t="s">
        <v>1919</v>
      </c>
      <c r="M54">
        <v>303</v>
      </c>
      <c r="N54">
        <v>30</v>
      </c>
      <c r="O54">
        <v>5862.3</v>
      </c>
      <c r="P54">
        <v>0</v>
      </c>
      <c r="Q54">
        <v>5862.3</v>
      </c>
      <c r="R54">
        <v>937.97</v>
      </c>
      <c r="S54">
        <v>234.49</v>
      </c>
      <c r="T54">
        <v>6565.78</v>
      </c>
      <c r="V54" t="s">
        <v>9408</v>
      </c>
      <c r="W54" t="s">
        <v>424</v>
      </c>
    </row>
    <row r="55" spans="1:23" hidden="1" x14ac:dyDescent="0.2">
      <c r="A55">
        <v>2012</v>
      </c>
      <c r="B55" t="s">
        <v>303</v>
      </c>
      <c r="C55" s="733">
        <v>40915.730752314812</v>
      </c>
      <c r="D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" t="s">
        <v>505</v>
      </c>
      <c r="F55" t="s">
        <v>1915</v>
      </c>
      <c r="G55" t="s">
        <v>1995</v>
      </c>
      <c r="H55">
        <v>21812</v>
      </c>
      <c r="I55" t="s">
        <v>424</v>
      </c>
      <c r="J55" t="s">
        <v>1917</v>
      </c>
      <c r="K55" t="s">
        <v>1918</v>
      </c>
      <c r="L55" t="s">
        <v>1919</v>
      </c>
      <c r="M55">
        <v>267</v>
      </c>
      <c r="N55">
        <v>30</v>
      </c>
      <c r="O55">
        <v>2929.97</v>
      </c>
      <c r="P55">
        <v>1683.8244589999999</v>
      </c>
      <c r="Q55">
        <v>4613.7944589999997</v>
      </c>
      <c r="R55">
        <v>738.20711300000005</v>
      </c>
      <c r="S55">
        <v>184.55177800000001</v>
      </c>
      <c r="T55">
        <v>5167.4497940000001</v>
      </c>
      <c r="U55" t="s">
        <v>1920</v>
      </c>
      <c r="V55" t="s">
        <v>9408</v>
      </c>
      <c r="W55" t="s">
        <v>424</v>
      </c>
    </row>
    <row r="56" spans="1:23" hidden="1" x14ac:dyDescent="0.2">
      <c r="A56">
        <v>2012</v>
      </c>
      <c r="B56" t="s">
        <v>303</v>
      </c>
      <c r="C56" s="733">
        <v>40913</v>
      </c>
      <c r="D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" t="s">
        <v>505</v>
      </c>
      <c r="F56" t="s">
        <v>1915</v>
      </c>
      <c r="G56" t="s">
        <v>2386</v>
      </c>
      <c r="H56">
        <v>21701</v>
      </c>
      <c r="I56" t="s">
        <v>424</v>
      </c>
      <c r="J56" t="s">
        <v>1917</v>
      </c>
      <c r="K56" t="s">
        <v>1918</v>
      </c>
      <c r="L56" t="s">
        <v>1919</v>
      </c>
      <c r="M56">
        <v>267</v>
      </c>
      <c r="N56">
        <v>30</v>
      </c>
      <c r="O56">
        <v>2929.97</v>
      </c>
      <c r="P56">
        <v>1683.8244589999999</v>
      </c>
      <c r="Q56">
        <v>4613.7944589999997</v>
      </c>
      <c r="R56">
        <v>738.20711300000005</v>
      </c>
      <c r="S56">
        <v>184.55177800000001</v>
      </c>
      <c r="T56">
        <v>5167.4497940000001</v>
      </c>
      <c r="U56" t="s">
        <v>1920</v>
      </c>
      <c r="V56" t="s">
        <v>9408</v>
      </c>
      <c r="W56" t="s">
        <v>424</v>
      </c>
    </row>
    <row r="57" spans="1:23" hidden="1" x14ac:dyDescent="0.2">
      <c r="A57">
        <v>2012</v>
      </c>
      <c r="B57" t="s">
        <v>303</v>
      </c>
      <c r="C57" s="733">
        <v>40935</v>
      </c>
      <c r="D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" t="s">
        <v>505</v>
      </c>
      <c r="F57" t="s">
        <v>1915</v>
      </c>
      <c r="G57" t="s">
        <v>2388</v>
      </c>
      <c r="H57">
        <v>22302</v>
      </c>
      <c r="I57" t="s">
        <v>424</v>
      </c>
      <c r="J57" t="s">
        <v>1917</v>
      </c>
      <c r="K57" t="s">
        <v>1918</v>
      </c>
      <c r="L57" t="s">
        <v>1919</v>
      </c>
      <c r="M57">
        <v>267</v>
      </c>
      <c r="N57">
        <v>30</v>
      </c>
      <c r="O57">
        <v>2929.97</v>
      </c>
      <c r="P57">
        <v>1683.8244589999999</v>
      </c>
      <c r="Q57">
        <v>4613.7944589999997</v>
      </c>
      <c r="R57">
        <v>738.20711300000005</v>
      </c>
      <c r="S57">
        <v>184.55177800000001</v>
      </c>
      <c r="T57">
        <v>5167.4497940000001</v>
      </c>
      <c r="U57" t="s">
        <v>1928</v>
      </c>
      <c r="V57" t="s">
        <v>9408</v>
      </c>
      <c r="W57" t="s">
        <v>424</v>
      </c>
    </row>
    <row r="58" spans="1:23" hidden="1" x14ac:dyDescent="0.2">
      <c r="A58">
        <v>2012</v>
      </c>
      <c r="B58" t="s">
        <v>303</v>
      </c>
      <c r="C58" s="733">
        <v>40933</v>
      </c>
      <c r="D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" t="s">
        <v>505</v>
      </c>
      <c r="F58" t="s">
        <v>1915</v>
      </c>
      <c r="G58" t="s">
        <v>2376</v>
      </c>
      <c r="H58">
        <v>22236</v>
      </c>
      <c r="I58" t="s">
        <v>424</v>
      </c>
      <c r="J58" t="s">
        <v>1917</v>
      </c>
      <c r="K58" t="s">
        <v>1918</v>
      </c>
      <c r="L58" t="s">
        <v>1919</v>
      </c>
      <c r="M58">
        <v>267</v>
      </c>
      <c r="N58">
        <v>30</v>
      </c>
      <c r="O58">
        <v>2929.97</v>
      </c>
      <c r="P58">
        <v>1683.8244589999999</v>
      </c>
      <c r="Q58">
        <v>4613.7944589999997</v>
      </c>
      <c r="R58">
        <v>738.20711300000005</v>
      </c>
      <c r="S58">
        <v>184.55177800000001</v>
      </c>
      <c r="T58">
        <v>5167.4497940000001</v>
      </c>
      <c r="U58" t="s">
        <v>1928</v>
      </c>
      <c r="V58" t="s">
        <v>9408</v>
      </c>
      <c r="W58" t="s">
        <v>424</v>
      </c>
    </row>
    <row r="59" spans="1:23" hidden="1" x14ac:dyDescent="0.2">
      <c r="A59">
        <v>2012</v>
      </c>
      <c r="B59" t="s">
        <v>304</v>
      </c>
      <c r="C59" s="733">
        <v>40955</v>
      </c>
      <c r="D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" t="s">
        <v>505</v>
      </c>
      <c r="F59" t="s">
        <v>1915</v>
      </c>
      <c r="G59" t="s">
        <v>7743</v>
      </c>
      <c r="H59">
        <v>22780</v>
      </c>
      <c r="I59" t="s">
        <v>424</v>
      </c>
      <c r="J59" t="s">
        <v>1917</v>
      </c>
      <c r="K59" t="s">
        <v>1918</v>
      </c>
      <c r="L59" t="s">
        <v>1919</v>
      </c>
      <c r="M59">
        <v>267</v>
      </c>
      <c r="N59">
        <v>30</v>
      </c>
      <c r="O59">
        <v>2929.97</v>
      </c>
      <c r="P59">
        <v>1683.8244589999999</v>
      </c>
      <c r="Q59">
        <v>4613.7944589999997</v>
      </c>
      <c r="R59">
        <v>738.20711300000005</v>
      </c>
      <c r="S59">
        <v>184.55177800000001</v>
      </c>
      <c r="T59">
        <v>5167.4497940000001</v>
      </c>
      <c r="U59" t="s">
        <v>7522</v>
      </c>
      <c r="V59" t="s">
        <v>9408</v>
      </c>
      <c r="W59" t="s">
        <v>424</v>
      </c>
    </row>
    <row r="60" spans="1:23" hidden="1" x14ac:dyDescent="0.2">
      <c r="A60">
        <v>2012</v>
      </c>
      <c r="B60" t="s">
        <v>303</v>
      </c>
      <c r="C60" s="733">
        <v>40918.721828703703</v>
      </c>
      <c r="D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" t="s">
        <v>505</v>
      </c>
      <c r="F60" t="s">
        <v>1915</v>
      </c>
      <c r="G60" t="s">
        <v>2368</v>
      </c>
      <c r="H60">
        <v>21878</v>
      </c>
      <c r="I60" t="s">
        <v>424</v>
      </c>
      <c r="J60" t="s">
        <v>1917</v>
      </c>
      <c r="K60" t="s">
        <v>1918</v>
      </c>
      <c r="L60" t="s">
        <v>1919</v>
      </c>
      <c r="M60">
        <v>267</v>
      </c>
      <c r="N60">
        <v>30</v>
      </c>
      <c r="O60">
        <v>2929.97</v>
      </c>
      <c r="P60">
        <v>1683.8244589999999</v>
      </c>
      <c r="Q60">
        <v>4613.7944589999997</v>
      </c>
      <c r="R60">
        <v>738.20711300000005</v>
      </c>
      <c r="S60">
        <v>184.55177800000001</v>
      </c>
      <c r="T60">
        <v>5167.4497940000001</v>
      </c>
      <c r="U60" t="s">
        <v>1931</v>
      </c>
      <c r="V60" t="s">
        <v>9408</v>
      </c>
      <c r="W60" t="s">
        <v>424</v>
      </c>
    </row>
    <row r="61" spans="1:23" hidden="1" x14ac:dyDescent="0.2">
      <c r="A61">
        <v>2012</v>
      </c>
      <c r="B61" t="s">
        <v>303</v>
      </c>
      <c r="C61" s="733">
        <v>40921</v>
      </c>
      <c r="D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" t="s">
        <v>505</v>
      </c>
      <c r="F61" t="s">
        <v>1915</v>
      </c>
      <c r="G61" t="s">
        <v>2369</v>
      </c>
      <c r="H61">
        <v>21939</v>
      </c>
      <c r="I61" t="s">
        <v>424</v>
      </c>
      <c r="J61" t="s">
        <v>1917</v>
      </c>
      <c r="K61" t="s">
        <v>1918</v>
      </c>
      <c r="L61" t="s">
        <v>1919</v>
      </c>
      <c r="M61">
        <v>267</v>
      </c>
      <c r="N61">
        <v>30</v>
      </c>
      <c r="O61">
        <v>2929.97</v>
      </c>
      <c r="P61">
        <v>1683.8244589999999</v>
      </c>
      <c r="Q61">
        <v>4613.7944589999997</v>
      </c>
      <c r="R61">
        <v>738.20711300000005</v>
      </c>
      <c r="S61">
        <v>184.55177800000001</v>
      </c>
      <c r="T61">
        <v>5167.4497940000001</v>
      </c>
      <c r="U61" t="s">
        <v>1931</v>
      </c>
      <c r="V61" t="s">
        <v>9408</v>
      </c>
      <c r="W61" t="s">
        <v>424</v>
      </c>
    </row>
    <row r="62" spans="1:23" hidden="1" x14ac:dyDescent="0.2">
      <c r="A62">
        <v>2012</v>
      </c>
      <c r="B62" t="s">
        <v>303</v>
      </c>
      <c r="C62" s="733">
        <v>40928</v>
      </c>
      <c r="D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" t="s">
        <v>505</v>
      </c>
      <c r="F62" t="s">
        <v>1915</v>
      </c>
      <c r="G62" t="s">
        <v>2370</v>
      </c>
      <c r="H62">
        <v>22116</v>
      </c>
      <c r="I62" t="s">
        <v>424</v>
      </c>
      <c r="J62" t="s">
        <v>1917</v>
      </c>
      <c r="K62" t="s">
        <v>1918</v>
      </c>
      <c r="L62" t="s">
        <v>1919</v>
      </c>
      <c r="M62">
        <v>267</v>
      </c>
      <c r="N62">
        <v>30</v>
      </c>
      <c r="O62">
        <v>2929.97</v>
      </c>
      <c r="P62">
        <v>1683.8244589999999</v>
      </c>
      <c r="Q62">
        <v>4613.7944589999997</v>
      </c>
      <c r="R62">
        <v>738.20711300000005</v>
      </c>
      <c r="S62">
        <v>184.55177800000001</v>
      </c>
      <c r="T62">
        <v>5167.4497940000001</v>
      </c>
      <c r="U62" t="s">
        <v>1928</v>
      </c>
      <c r="V62" t="s">
        <v>9408</v>
      </c>
      <c r="W62" t="s">
        <v>424</v>
      </c>
    </row>
    <row r="63" spans="1:23" hidden="1" x14ac:dyDescent="0.2">
      <c r="A63">
        <v>2012</v>
      </c>
      <c r="B63" t="s">
        <v>303</v>
      </c>
      <c r="C63" s="733">
        <v>40933</v>
      </c>
      <c r="D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" t="s">
        <v>505</v>
      </c>
      <c r="F63" t="s">
        <v>1915</v>
      </c>
      <c r="G63" t="s">
        <v>2366</v>
      </c>
      <c r="H63">
        <v>22233</v>
      </c>
      <c r="I63" t="s">
        <v>424</v>
      </c>
      <c r="J63" t="s">
        <v>1917</v>
      </c>
      <c r="K63" t="s">
        <v>1918</v>
      </c>
      <c r="L63" t="s">
        <v>1919</v>
      </c>
      <c r="M63">
        <v>267</v>
      </c>
      <c r="N63">
        <v>30</v>
      </c>
      <c r="O63">
        <v>2929.97</v>
      </c>
      <c r="P63">
        <v>1683.8244589999999</v>
      </c>
      <c r="Q63">
        <v>4613.7944589999997</v>
      </c>
      <c r="R63">
        <v>738.20711300000005</v>
      </c>
      <c r="S63">
        <v>184.55177800000001</v>
      </c>
      <c r="T63">
        <v>5167.4497940000001</v>
      </c>
      <c r="U63" t="s">
        <v>1928</v>
      </c>
      <c r="V63" t="s">
        <v>9408</v>
      </c>
      <c r="W63" t="s">
        <v>424</v>
      </c>
    </row>
    <row r="64" spans="1:23" hidden="1" x14ac:dyDescent="0.2">
      <c r="A64">
        <v>2012</v>
      </c>
      <c r="B64" t="s">
        <v>303</v>
      </c>
      <c r="C64" s="733">
        <v>40924</v>
      </c>
      <c r="D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" t="s">
        <v>505</v>
      </c>
      <c r="F64" t="s">
        <v>1915</v>
      </c>
      <c r="G64" t="s">
        <v>2367</v>
      </c>
      <c r="H64">
        <v>22004</v>
      </c>
      <c r="I64" t="s">
        <v>424</v>
      </c>
      <c r="J64" t="s">
        <v>1917</v>
      </c>
      <c r="K64" t="s">
        <v>1918</v>
      </c>
      <c r="L64" t="s">
        <v>1919</v>
      </c>
      <c r="M64">
        <v>267</v>
      </c>
      <c r="N64">
        <v>30</v>
      </c>
      <c r="O64">
        <v>2929.97</v>
      </c>
      <c r="P64">
        <v>1683.8244589999999</v>
      </c>
      <c r="Q64">
        <v>4613.7944589999997</v>
      </c>
      <c r="R64">
        <v>738.20711300000005</v>
      </c>
      <c r="S64">
        <v>184.55177800000001</v>
      </c>
      <c r="T64">
        <v>5167.4497940000001</v>
      </c>
      <c r="U64" t="s">
        <v>1931</v>
      </c>
      <c r="V64" t="s">
        <v>9408</v>
      </c>
      <c r="W64" t="s">
        <v>424</v>
      </c>
    </row>
    <row r="65" spans="1:23" hidden="1" x14ac:dyDescent="0.2">
      <c r="A65">
        <v>2012</v>
      </c>
      <c r="B65" t="s">
        <v>303</v>
      </c>
      <c r="C65" s="733">
        <v>40915.735613425924</v>
      </c>
      <c r="D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" t="s">
        <v>505</v>
      </c>
      <c r="F65" t="s">
        <v>2065</v>
      </c>
      <c r="G65" t="s">
        <v>2378</v>
      </c>
      <c r="H65">
        <v>21814</v>
      </c>
      <c r="I65" t="s">
        <v>424</v>
      </c>
      <c r="J65" t="s">
        <v>1917</v>
      </c>
      <c r="K65" t="s">
        <v>1918</v>
      </c>
      <c r="L65" t="s">
        <v>1919</v>
      </c>
      <c r="M65">
        <v>267</v>
      </c>
      <c r="N65">
        <v>30</v>
      </c>
      <c r="O65">
        <v>2929.97</v>
      </c>
      <c r="P65">
        <v>1683.8244589999999</v>
      </c>
      <c r="Q65">
        <v>4613.7944589999997</v>
      </c>
      <c r="R65">
        <v>738.20711300000005</v>
      </c>
      <c r="S65">
        <v>184.55177800000001</v>
      </c>
      <c r="T65">
        <v>5167.4497940000001</v>
      </c>
      <c r="U65" t="s">
        <v>1920</v>
      </c>
      <c r="V65" t="s">
        <v>9408</v>
      </c>
      <c r="W65" t="s">
        <v>424</v>
      </c>
    </row>
    <row r="66" spans="1:23" hidden="1" x14ac:dyDescent="0.2">
      <c r="A66">
        <v>2012</v>
      </c>
      <c r="B66" t="s">
        <v>304</v>
      </c>
      <c r="C66" s="733">
        <v>40941</v>
      </c>
      <c r="D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" t="s">
        <v>505</v>
      </c>
      <c r="F66" t="s">
        <v>1915</v>
      </c>
      <c r="G66" t="s">
        <v>2389</v>
      </c>
      <c r="H66">
        <v>22415</v>
      </c>
      <c r="I66" t="s">
        <v>424</v>
      </c>
      <c r="J66" t="s">
        <v>1917</v>
      </c>
      <c r="K66" t="s">
        <v>1918</v>
      </c>
      <c r="L66" t="s">
        <v>1919</v>
      </c>
      <c r="M66">
        <v>267</v>
      </c>
      <c r="N66">
        <v>30</v>
      </c>
      <c r="O66">
        <v>2929.97</v>
      </c>
      <c r="P66">
        <v>1683.8244589999999</v>
      </c>
      <c r="Q66">
        <v>4613.7944589999997</v>
      </c>
      <c r="R66">
        <v>738.20711300000005</v>
      </c>
      <c r="S66">
        <v>184.55177800000001</v>
      </c>
      <c r="T66">
        <v>5167.4497940000001</v>
      </c>
      <c r="U66" t="s">
        <v>1926</v>
      </c>
      <c r="V66" t="s">
        <v>9408</v>
      </c>
      <c r="W66" t="s">
        <v>424</v>
      </c>
    </row>
    <row r="67" spans="1:23" hidden="1" x14ac:dyDescent="0.2">
      <c r="A67">
        <v>2012</v>
      </c>
      <c r="B67" t="s">
        <v>303</v>
      </c>
      <c r="C67" s="733">
        <v>40935</v>
      </c>
      <c r="D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" t="s">
        <v>505</v>
      </c>
      <c r="F67" t="s">
        <v>1915</v>
      </c>
      <c r="G67" t="s">
        <v>2391</v>
      </c>
      <c r="H67">
        <v>22293</v>
      </c>
      <c r="I67" t="s">
        <v>423</v>
      </c>
      <c r="J67" t="s">
        <v>1917</v>
      </c>
      <c r="K67" t="s">
        <v>1918</v>
      </c>
      <c r="L67" t="s">
        <v>1919</v>
      </c>
      <c r="M67">
        <v>267</v>
      </c>
      <c r="N67">
        <v>50.05</v>
      </c>
      <c r="O67">
        <v>11253.24</v>
      </c>
      <c r="P67">
        <v>0</v>
      </c>
      <c r="Q67">
        <v>11253.24</v>
      </c>
      <c r="R67">
        <v>1800.52</v>
      </c>
      <c r="S67">
        <v>450.13</v>
      </c>
      <c r="T67">
        <v>12603.63</v>
      </c>
      <c r="U67" t="s">
        <v>1926</v>
      </c>
      <c r="V67" t="s">
        <v>9409</v>
      </c>
      <c r="W67" t="s">
        <v>423</v>
      </c>
    </row>
    <row r="68" spans="1:23" hidden="1" x14ac:dyDescent="0.2">
      <c r="A68">
        <v>2012</v>
      </c>
      <c r="B68" t="s">
        <v>303</v>
      </c>
      <c r="C68" s="733">
        <v>40924</v>
      </c>
      <c r="D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" t="s">
        <v>505</v>
      </c>
      <c r="F68" t="s">
        <v>2065</v>
      </c>
      <c r="G68" t="s">
        <v>2377</v>
      </c>
      <c r="H68">
        <v>22001</v>
      </c>
      <c r="I68" t="s">
        <v>424</v>
      </c>
      <c r="J68" t="s">
        <v>1917</v>
      </c>
      <c r="K68" t="s">
        <v>1918</v>
      </c>
      <c r="L68" t="s">
        <v>1919</v>
      </c>
      <c r="M68">
        <v>267</v>
      </c>
      <c r="N68">
        <v>30</v>
      </c>
      <c r="O68">
        <v>2929.97</v>
      </c>
      <c r="P68">
        <v>1683.8244589999999</v>
      </c>
      <c r="Q68">
        <v>4613.7944589999997</v>
      </c>
      <c r="R68">
        <v>738.20711300000005</v>
      </c>
      <c r="S68">
        <v>184.55177800000001</v>
      </c>
      <c r="T68">
        <v>5167.4497940000001</v>
      </c>
      <c r="U68" t="s">
        <v>1931</v>
      </c>
      <c r="V68" t="s">
        <v>9408</v>
      </c>
      <c r="W68" t="s">
        <v>424</v>
      </c>
    </row>
    <row r="69" spans="1:23" hidden="1" x14ac:dyDescent="0.2">
      <c r="A69">
        <v>2012</v>
      </c>
      <c r="B69" t="s">
        <v>304</v>
      </c>
      <c r="C69" s="733">
        <v>40962</v>
      </c>
      <c r="D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" t="s">
        <v>505</v>
      </c>
      <c r="F69" t="s">
        <v>1915</v>
      </c>
      <c r="G69" t="s">
        <v>8495</v>
      </c>
      <c r="H69">
        <v>22945</v>
      </c>
      <c r="I69" t="s">
        <v>424</v>
      </c>
      <c r="J69" t="s">
        <v>1917</v>
      </c>
      <c r="K69" t="s">
        <v>1918</v>
      </c>
      <c r="L69" t="s">
        <v>1919</v>
      </c>
      <c r="M69">
        <v>267</v>
      </c>
      <c r="N69">
        <v>30</v>
      </c>
      <c r="O69">
        <v>4613.7</v>
      </c>
      <c r="P69">
        <v>0</v>
      </c>
      <c r="Q69">
        <v>4613.7</v>
      </c>
      <c r="R69">
        <v>738.19</v>
      </c>
      <c r="S69">
        <v>184.55</v>
      </c>
      <c r="T69">
        <v>5167.34</v>
      </c>
      <c r="U69" t="s">
        <v>8778</v>
      </c>
      <c r="V69" t="s">
        <v>9408</v>
      </c>
      <c r="W69" t="s">
        <v>424</v>
      </c>
    </row>
    <row r="70" spans="1:23" hidden="1" x14ac:dyDescent="0.2">
      <c r="A70">
        <v>2012</v>
      </c>
      <c r="B70" t="s">
        <v>304</v>
      </c>
      <c r="C70" s="733">
        <v>40949</v>
      </c>
      <c r="D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" t="s">
        <v>505</v>
      </c>
      <c r="F70" t="s">
        <v>1915</v>
      </c>
      <c r="G70" t="s">
        <v>2372</v>
      </c>
      <c r="H70">
        <v>22650</v>
      </c>
      <c r="I70" t="s">
        <v>424</v>
      </c>
      <c r="J70" t="s">
        <v>1917</v>
      </c>
      <c r="K70" t="s">
        <v>1918</v>
      </c>
      <c r="L70" t="s">
        <v>1919</v>
      </c>
      <c r="M70">
        <v>267</v>
      </c>
      <c r="N70">
        <v>27</v>
      </c>
      <c r="O70">
        <v>2636.97</v>
      </c>
      <c r="P70">
        <v>1515.4402889999999</v>
      </c>
      <c r="Q70">
        <v>4152.4102890000004</v>
      </c>
      <c r="R70">
        <v>664.38564599999995</v>
      </c>
      <c r="S70">
        <v>166.09641199999999</v>
      </c>
      <c r="T70">
        <v>4650.6995230000002</v>
      </c>
      <c r="U70" t="s">
        <v>1924</v>
      </c>
      <c r="V70" t="s">
        <v>9408</v>
      </c>
      <c r="W70" t="s">
        <v>424</v>
      </c>
    </row>
    <row r="71" spans="1:23" hidden="1" x14ac:dyDescent="0.2">
      <c r="A71">
        <v>2012</v>
      </c>
      <c r="B71" t="s">
        <v>304</v>
      </c>
      <c r="C71" s="733">
        <v>40947</v>
      </c>
      <c r="D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" t="s">
        <v>505</v>
      </c>
      <c r="F71" t="s">
        <v>1915</v>
      </c>
      <c r="G71" t="s">
        <v>2390</v>
      </c>
      <c r="H71">
        <v>22537</v>
      </c>
      <c r="I71" t="s">
        <v>424</v>
      </c>
      <c r="J71" t="s">
        <v>1917</v>
      </c>
      <c r="K71" t="s">
        <v>1918</v>
      </c>
      <c r="L71" t="s">
        <v>1919</v>
      </c>
      <c r="M71">
        <v>267</v>
      </c>
      <c r="N71">
        <v>30</v>
      </c>
      <c r="O71">
        <v>2929.97</v>
      </c>
      <c r="P71">
        <v>1683.8244589999999</v>
      </c>
      <c r="Q71">
        <v>4613.7944589999997</v>
      </c>
      <c r="R71">
        <v>738.20711300000005</v>
      </c>
      <c r="S71">
        <v>184.55177800000001</v>
      </c>
      <c r="T71">
        <v>5167.4497940000001</v>
      </c>
      <c r="U71" t="s">
        <v>1924</v>
      </c>
      <c r="V71" t="s">
        <v>9408</v>
      </c>
      <c r="W71" t="s">
        <v>424</v>
      </c>
    </row>
    <row r="72" spans="1:23" hidden="1" x14ac:dyDescent="0.2">
      <c r="A72">
        <v>2012</v>
      </c>
      <c r="B72" t="s">
        <v>303</v>
      </c>
      <c r="C72" s="733">
        <v>40931</v>
      </c>
      <c r="D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" t="s">
        <v>505</v>
      </c>
      <c r="F72" t="s">
        <v>1915</v>
      </c>
      <c r="G72" t="s">
        <v>6886</v>
      </c>
      <c r="H72">
        <v>22179</v>
      </c>
      <c r="I72" t="s">
        <v>423</v>
      </c>
      <c r="J72" t="s">
        <v>1917</v>
      </c>
      <c r="K72" t="s">
        <v>1918</v>
      </c>
      <c r="L72" t="s">
        <v>1919</v>
      </c>
      <c r="M72">
        <v>267</v>
      </c>
      <c r="N72">
        <v>24.97</v>
      </c>
      <c r="O72">
        <v>5614.25</v>
      </c>
      <c r="P72">
        <v>0</v>
      </c>
      <c r="Q72">
        <v>5614.25</v>
      </c>
      <c r="R72">
        <v>898.28</v>
      </c>
      <c r="S72">
        <v>224.57</v>
      </c>
      <c r="T72">
        <v>6287.96</v>
      </c>
      <c r="V72" t="s">
        <v>9408</v>
      </c>
      <c r="W72" t="s">
        <v>423</v>
      </c>
    </row>
    <row r="73" spans="1:23" hidden="1" x14ac:dyDescent="0.2">
      <c r="A73">
        <v>2012</v>
      </c>
      <c r="B73" t="s">
        <v>304</v>
      </c>
      <c r="C73" s="733">
        <v>40942</v>
      </c>
      <c r="D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" t="s">
        <v>505</v>
      </c>
      <c r="F73" t="s">
        <v>1915</v>
      </c>
      <c r="G73" t="s">
        <v>6888</v>
      </c>
      <c r="H73">
        <v>22476</v>
      </c>
      <c r="I73" t="s">
        <v>423</v>
      </c>
      <c r="J73" t="s">
        <v>1917</v>
      </c>
      <c r="K73" t="s">
        <v>1918</v>
      </c>
      <c r="L73" t="s">
        <v>1919</v>
      </c>
      <c r="M73">
        <v>267</v>
      </c>
      <c r="N73">
        <v>24.9</v>
      </c>
      <c r="O73">
        <v>5598.52</v>
      </c>
      <c r="P73">
        <v>0</v>
      </c>
      <c r="Q73">
        <v>5598.52</v>
      </c>
      <c r="R73">
        <v>895.76</v>
      </c>
      <c r="S73">
        <v>223.94</v>
      </c>
      <c r="T73">
        <v>6270.34</v>
      </c>
      <c r="U73" t="s">
        <v>1924</v>
      </c>
      <c r="V73" t="s">
        <v>9408</v>
      </c>
      <c r="W73" t="s">
        <v>423</v>
      </c>
    </row>
    <row r="74" spans="1:23" hidden="1" x14ac:dyDescent="0.2">
      <c r="A74">
        <v>2012</v>
      </c>
      <c r="B74" t="s">
        <v>303</v>
      </c>
      <c r="C74" s="733">
        <v>40915</v>
      </c>
      <c r="D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" t="s">
        <v>505</v>
      </c>
      <c r="F74" t="s">
        <v>1915</v>
      </c>
      <c r="G74" t="s">
        <v>6887</v>
      </c>
      <c r="H74">
        <v>21762</v>
      </c>
      <c r="I74" t="s">
        <v>423</v>
      </c>
      <c r="J74" t="s">
        <v>1917</v>
      </c>
      <c r="K74" t="s">
        <v>1918</v>
      </c>
      <c r="L74" t="s">
        <v>1919</v>
      </c>
      <c r="M74">
        <v>267</v>
      </c>
      <c r="N74">
        <v>49.06</v>
      </c>
      <c r="O74">
        <v>11030.65</v>
      </c>
      <c r="P74">
        <v>0</v>
      </c>
      <c r="Q74">
        <v>11030.65</v>
      </c>
      <c r="R74">
        <v>1764.9</v>
      </c>
      <c r="S74">
        <v>441.23</v>
      </c>
      <c r="T74">
        <v>12354.32</v>
      </c>
      <c r="U74" t="s">
        <v>1920</v>
      </c>
      <c r="V74" t="s">
        <v>9409</v>
      </c>
      <c r="W74" t="s">
        <v>423</v>
      </c>
    </row>
    <row r="75" spans="1:23" hidden="1" x14ac:dyDescent="0.2">
      <c r="A75">
        <v>2012</v>
      </c>
      <c r="B75" t="s">
        <v>303</v>
      </c>
      <c r="C75" s="733">
        <v>40924</v>
      </c>
      <c r="D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5" t="s">
        <v>505</v>
      </c>
      <c r="F75" t="s">
        <v>1915</v>
      </c>
      <c r="G75" t="s">
        <v>2375</v>
      </c>
      <c r="H75">
        <v>21995</v>
      </c>
      <c r="I75" t="s">
        <v>424</v>
      </c>
      <c r="J75" t="s">
        <v>1917</v>
      </c>
      <c r="K75" t="s">
        <v>1918</v>
      </c>
      <c r="L75" t="s">
        <v>1919</v>
      </c>
      <c r="M75">
        <v>267</v>
      </c>
      <c r="N75">
        <v>30</v>
      </c>
      <c r="O75">
        <v>2929.97</v>
      </c>
      <c r="P75">
        <v>1683.8244589999999</v>
      </c>
      <c r="Q75">
        <v>4613.7944589999997</v>
      </c>
      <c r="R75">
        <v>738.20711300000005</v>
      </c>
      <c r="S75">
        <v>184.55177800000001</v>
      </c>
      <c r="T75">
        <v>5167.4497940000001</v>
      </c>
      <c r="U75" t="s">
        <v>1931</v>
      </c>
      <c r="V75" t="s">
        <v>9408</v>
      </c>
      <c r="W75" t="s">
        <v>424</v>
      </c>
    </row>
    <row r="76" spans="1:23" hidden="1" x14ac:dyDescent="0.2">
      <c r="A76">
        <v>2012</v>
      </c>
      <c r="B76" t="s">
        <v>303</v>
      </c>
      <c r="C76" s="733">
        <v>40915</v>
      </c>
      <c r="D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6" t="s">
        <v>505</v>
      </c>
      <c r="F76" t="s">
        <v>1915</v>
      </c>
      <c r="G76" t="s">
        <v>2387</v>
      </c>
      <c r="H76">
        <v>21759</v>
      </c>
      <c r="I76" t="s">
        <v>424</v>
      </c>
      <c r="J76" t="s">
        <v>1917</v>
      </c>
      <c r="K76" t="s">
        <v>1918</v>
      </c>
      <c r="L76" t="s">
        <v>1919</v>
      </c>
      <c r="M76">
        <v>267</v>
      </c>
      <c r="N76">
        <v>30</v>
      </c>
      <c r="O76">
        <v>2929.97</v>
      </c>
      <c r="P76">
        <v>1683.8244589999999</v>
      </c>
      <c r="Q76">
        <v>4613.7944589999997</v>
      </c>
      <c r="R76">
        <v>738.20711300000005</v>
      </c>
      <c r="S76">
        <v>184.55177800000001</v>
      </c>
      <c r="T76">
        <v>5167.4497940000001</v>
      </c>
      <c r="U76" t="s">
        <v>1920</v>
      </c>
      <c r="V76" t="s">
        <v>9408</v>
      </c>
      <c r="W76" t="s">
        <v>424</v>
      </c>
    </row>
    <row r="77" spans="1:23" hidden="1" x14ac:dyDescent="0.2">
      <c r="A77">
        <v>2012</v>
      </c>
      <c r="B77" t="s">
        <v>303</v>
      </c>
      <c r="C77" s="733">
        <v>40932</v>
      </c>
      <c r="D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7" t="s">
        <v>505</v>
      </c>
      <c r="F77" t="s">
        <v>1915</v>
      </c>
      <c r="G77" t="s">
        <v>2374</v>
      </c>
      <c r="H77">
        <v>22172</v>
      </c>
      <c r="I77" t="s">
        <v>424</v>
      </c>
      <c r="J77" t="s">
        <v>1917</v>
      </c>
      <c r="K77" t="s">
        <v>1918</v>
      </c>
      <c r="L77" t="s">
        <v>1919</v>
      </c>
      <c r="M77">
        <v>267</v>
      </c>
      <c r="N77">
        <v>30</v>
      </c>
      <c r="O77">
        <v>2929.97</v>
      </c>
      <c r="P77">
        <v>1683.8244589999999</v>
      </c>
      <c r="Q77">
        <v>4613.7944589999997</v>
      </c>
      <c r="R77">
        <v>738.20711300000005</v>
      </c>
      <c r="S77">
        <v>184.55177800000001</v>
      </c>
      <c r="T77">
        <v>5167.4497940000001</v>
      </c>
      <c r="U77" t="s">
        <v>1928</v>
      </c>
      <c r="V77" t="s">
        <v>9408</v>
      </c>
      <c r="W77" t="s">
        <v>424</v>
      </c>
    </row>
    <row r="78" spans="1:23" hidden="1" x14ac:dyDescent="0.2">
      <c r="A78">
        <v>2012</v>
      </c>
      <c r="B78" t="s">
        <v>304</v>
      </c>
      <c r="C78" s="733">
        <v>40949.779351851852</v>
      </c>
      <c r="D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8" t="s">
        <v>505</v>
      </c>
      <c r="F78" t="s">
        <v>1915</v>
      </c>
      <c r="G78" t="s">
        <v>2373</v>
      </c>
      <c r="H78">
        <v>22647</v>
      </c>
      <c r="I78" t="s">
        <v>424</v>
      </c>
      <c r="J78" t="s">
        <v>1917</v>
      </c>
      <c r="K78" t="s">
        <v>1918</v>
      </c>
      <c r="L78" t="s">
        <v>1919</v>
      </c>
      <c r="M78">
        <v>267</v>
      </c>
      <c r="N78">
        <v>30</v>
      </c>
      <c r="O78">
        <v>2929.97</v>
      </c>
      <c r="P78">
        <v>1683.8244589999999</v>
      </c>
      <c r="Q78">
        <v>4613.7944589999997</v>
      </c>
      <c r="R78">
        <v>738.20711300000005</v>
      </c>
      <c r="S78">
        <v>184.55177800000001</v>
      </c>
      <c r="T78">
        <v>5167.4497940000001</v>
      </c>
      <c r="U78" t="s">
        <v>1924</v>
      </c>
      <c r="V78" t="s">
        <v>9408</v>
      </c>
      <c r="W78" t="s">
        <v>424</v>
      </c>
    </row>
    <row r="79" spans="1:23" hidden="1" x14ac:dyDescent="0.2">
      <c r="A79">
        <v>2012</v>
      </c>
      <c r="B79" t="s">
        <v>304</v>
      </c>
      <c r="C79" s="733">
        <v>40953</v>
      </c>
      <c r="D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9" t="s">
        <v>505</v>
      </c>
      <c r="F79" t="s">
        <v>1915</v>
      </c>
      <c r="G79" t="s">
        <v>2371</v>
      </c>
      <c r="H79">
        <v>22704</v>
      </c>
      <c r="I79" t="s">
        <v>424</v>
      </c>
      <c r="J79" t="s">
        <v>1917</v>
      </c>
      <c r="K79" t="s">
        <v>1918</v>
      </c>
      <c r="L79" t="s">
        <v>1919</v>
      </c>
      <c r="M79">
        <v>267</v>
      </c>
      <c r="N79">
        <v>27</v>
      </c>
      <c r="O79">
        <v>2636.97</v>
      </c>
      <c r="P79">
        <v>1515.44</v>
      </c>
      <c r="Q79">
        <v>4152.41</v>
      </c>
      <c r="R79">
        <v>664.39</v>
      </c>
      <c r="S79">
        <v>166.1</v>
      </c>
      <c r="T79">
        <v>4650.7</v>
      </c>
      <c r="U79" t="s">
        <v>7522</v>
      </c>
      <c r="V79" t="s">
        <v>9408</v>
      </c>
      <c r="W79" t="s">
        <v>424</v>
      </c>
    </row>
    <row r="80" spans="1:23" hidden="1" x14ac:dyDescent="0.2">
      <c r="A80">
        <v>2012</v>
      </c>
      <c r="B80" t="s">
        <v>303</v>
      </c>
      <c r="C80" s="733">
        <v>40931</v>
      </c>
      <c r="D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80" t="s">
        <v>505</v>
      </c>
      <c r="F80" t="s">
        <v>1915</v>
      </c>
      <c r="G80" t="s">
        <v>6559</v>
      </c>
      <c r="H80">
        <v>22182</v>
      </c>
      <c r="I80" t="s">
        <v>423</v>
      </c>
      <c r="J80" t="s">
        <v>1917</v>
      </c>
      <c r="K80" t="s">
        <v>1918</v>
      </c>
      <c r="L80" t="s">
        <v>1919</v>
      </c>
      <c r="M80">
        <v>267</v>
      </c>
      <c r="N80">
        <v>24.65</v>
      </c>
      <c r="O80">
        <v>5542.31</v>
      </c>
      <c r="P80">
        <v>0</v>
      </c>
      <c r="Q80">
        <v>5542.31</v>
      </c>
      <c r="R80">
        <v>886.77</v>
      </c>
      <c r="S80">
        <v>221.69</v>
      </c>
      <c r="T80">
        <v>6207.39</v>
      </c>
      <c r="V80" t="s">
        <v>9408</v>
      </c>
      <c r="W80" t="s">
        <v>423</v>
      </c>
    </row>
    <row r="81" spans="1:23" hidden="1" x14ac:dyDescent="0.2">
      <c r="A81">
        <v>2012</v>
      </c>
      <c r="B81" t="s">
        <v>304</v>
      </c>
      <c r="C81" s="733">
        <v>40968</v>
      </c>
      <c r="D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1" t="s">
        <v>505</v>
      </c>
      <c r="F81" t="s">
        <v>1915</v>
      </c>
      <c r="G81" t="s">
        <v>9477</v>
      </c>
      <c r="H81">
        <v>23062</v>
      </c>
      <c r="I81" t="s">
        <v>423</v>
      </c>
      <c r="J81" t="s">
        <v>1917</v>
      </c>
      <c r="K81" t="s">
        <v>1918</v>
      </c>
      <c r="L81" t="s">
        <v>1919</v>
      </c>
      <c r="M81">
        <v>267</v>
      </c>
      <c r="N81">
        <v>25</v>
      </c>
      <c r="O81">
        <v>5621</v>
      </c>
      <c r="P81">
        <v>0</v>
      </c>
      <c r="Q81">
        <v>5621</v>
      </c>
      <c r="R81">
        <v>899.36</v>
      </c>
      <c r="S81">
        <v>224.84</v>
      </c>
      <c r="T81">
        <v>6295.52</v>
      </c>
      <c r="V81" t="s">
        <v>9408</v>
      </c>
      <c r="W81" t="s">
        <v>423</v>
      </c>
    </row>
    <row r="82" spans="1:23" hidden="1" x14ac:dyDescent="0.2">
      <c r="A82">
        <v>2012</v>
      </c>
      <c r="B82" t="s">
        <v>304</v>
      </c>
      <c r="C82" s="733">
        <v>40948</v>
      </c>
      <c r="D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2" t="s">
        <v>505</v>
      </c>
      <c r="F82" t="s">
        <v>1915</v>
      </c>
      <c r="G82" t="s">
        <v>6883</v>
      </c>
      <c r="H82">
        <v>22594</v>
      </c>
      <c r="I82" t="s">
        <v>424</v>
      </c>
      <c r="J82" t="s">
        <v>1917</v>
      </c>
      <c r="K82" t="s">
        <v>1918</v>
      </c>
      <c r="L82" t="s">
        <v>1919</v>
      </c>
      <c r="M82">
        <v>267</v>
      </c>
      <c r="N82">
        <v>30</v>
      </c>
      <c r="O82">
        <v>2929.97</v>
      </c>
      <c r="P82">
        <v>1683.8244589999999</v>
      </c>
      <c r="Q82">
        <v>4613.7944589999997</v>
      </c>
      <c r="R82">
        <v>738.20711300000005</v>
      </c>
      <c r="S82">
        <v>184.55177800000001</v>
      </c>
      <c r="T82">
        <v>5167.4497940000001</v>
      </c>
      <c r="U82" t="s">
        <v>1924</v>
      </c>
      <c r="V82" t="s">
        <v>9408</v>
      </c>
      <c r="W82" t="s">
        <v>424</v>
      </c>
    </row>
    <row r="83" spans="1:23" hidden="1" x14ac:dyDescent="0.2">
      <c r="A83">
        <v>2012</v>
      </c>
      <c r="B83" t="s">
        <v>303</v>
      </c>
      <c r="C83" s="733">
        <v>40927</v>
      </c>
      <c r="D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83" t="s">
        <v>505</v>
      </c>
      <c r="F83" t="s">
        <v>1915</v>
      </c>
      <c r="G83" t="s">
        <v>3833</v>
      </c>
      <c r="H83">
        <v>22087</v>
      </c>
      <c r="I83" t="s">
        <v>424</v>
      </c>
      <c r="J83" t="s">
        <v>1917</v>
      </c>
      <c r="K83" t="s">
        <v>1918</v>
      </c>
      <c r="L83" t="s">
        <v>1919</v>
      </c>
      <c r="M83">
        <v>267</v>
      </c>
      <c r="N83">
        <v>30</v>
      </c>
      <c r="O83">
        <v>2929.97</v>
      </c>
      <c r="P83">
        <v>1683.8244589999999</v>
      </c>
      <c r="Q83">
        <v>4613.7944589999997</v>
      </c>
      <c r="R83">
        <v>738.20711300000005</v>
      </c>
      <c r="S83">
        <v>184.55177800000001</v>
      </c>
      <c r="T83">
        <v>5167.4497940000001</v>
      </c>
      <c r="U83" t="s">
        <v>1928</v>
      </c>
      <c r="V83" t="s">
        <v>9408</v>
      </c>
      <c r="W83" t="s">
        <v>424</v>
      </c>
    </row>
    <row r="84" spans="1:23" hidden="1" x14ac:dyDescent="0.2">
      <c r="A84">
        <v>2012</v>
      </c>
      <c r="B84" t="s">
        <v>303</v>
      </c>
      <c r="C84" s="733">
        <v>40939</v>
      </c>
      <c r="D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84" t="s">
        <v>505</v>
      </c>
      <c r="F84" t="s">
        <v>1915</v>
      </c>
      <c r="G84" t="s">
        <v>3831</v>
      </c>
      <c r="H84">
        <v>21672</v>
      </c>
      <c r="I84" t="s">
        <v>424</v>
      </c>
      <c r="J84" t="s">
        <v>1917</v>
      </c>
      <c r="K84" t="s">
        <v>1918</v>
      </c>
      <c r="L84" t="s">
        <v>1919</v>
      </c>
      <c r="M84">
        <v>267</v>
      </c>
      <c r="N84">
        <v>30</v>
      </c>
      <c r="O84">
        <v>2929.97</v>
      </c>
      <c r="P84">
        <v>1683.8244589999999</v>
      </c>
      <c r="Q84">
        <v>4613.7944589999997</v>
      </c>
      <c r="R84">
        <v>738.20711300000005</v>
      </c>
      <c r="S84">
        <v>184.55177800000001</v>
      </c>
      <c r="T84">
        <v>5167.4497940000001</v>
      </c>
      <c r="U84" t="s">
        <v>1936</v>
      </c>
      <c r="V84" t="s">
        <v>9408</v>
      </c>
      <c r="W84" t="s">
        <v>424</v>
      </c>
    </row>
    <row r="85" spans="1:23" hidden="1" x14ac:dyDescent="0.2">
      <c r="A85">
        <v>2012</v>
      </c>
      <c r="B85" t="s">
        <v>303</v>
      </c>
      <c r="C85" s="733">
        <v>40915</v>
      </c>
      <c r="D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85" t="s">
        <v>505</v>
      </c>
      <c r="F85" t="s">
        <v>1915</v>
      </c>
      <c r="G85" t="s">
        <v>3832</v>
      </c>
      <c r="H85">
        <v>21794</v>
      </c>
      <c r="I85" t="s">
        <v>424</v>
      </c>
      <c r="J85" t="s">
        <v>1917</v>
      </c>
      <c r="K85" t="s">
        <v>1918</v>
      </c>
      <c r="L85" t="s">
        <v>1919</v>
      </c>
      <c r="M85">
        <v>267</v>
      </c>
      <c r="N85">
        <v>30</v>
      </c>
      <c r="O85">
        <v>2929.97</v>
      </c>
      <c r="P85">
        <v>1683.8244589999999</v>
      </c>
      <c r="Q85">
        <v>4613.7944589999997</v>
      </c>
      <c r="R85">
        <v>738.20711300000005</v>
      </c>
      <c r="S85">
        <v>184.55177800000001</v>
      </c>
      <c r="T85">
        <v>5167.4497940000001</v>
      </c>
      <c r="U85" t="s">
        <v>1920</v>
      </c>
      <c r="V85" t="s">
        <v>9408</v>
      </c>
      <c r="W85" t="s">
        <v>424</v>
      </c>
    </row>
    <row r="86" spans="1:23" hidden="1" x14ac:dyDescent="0.2">
      <c r="A86">
        <v>2012</v>
      </c>
      <c r="B86" t="s">
        <v>303</v>
      </c>
      <c r="C86" s="733">
        <v>40927</v>
      </c>
      <c r="D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86" t="s">
        <v>505</v>
      </c>
      <c r="F86" t="s">
        <v>1915</v>
      </c>
      <c r="G86" t="s">
        <v>3824</v>
      </c>
      <c r="H86">
        <v>22096</v>
      </c>
      <c r="I86" t="s">
        <v>423</v>
      </c>
      <c r="J86" t="s">
        <v>1917</v>
      </c>
      <c r="K86" t="s">
        <v>1918</v>
      </c>
      <c r="L86" t="s">
        <v>1919</v>
      </c>
      <c r="M86">
        <v>267</v>
      </c>
      <c r="N86">
        <v>49.84</v>
      </c>
      <c r="O86">
        <v>11206.03</v>
      </c>
      <c r="P86">
        <v>0</v>
      </c>
      <c r="Q86">
        <v>11206.03</v>
      </c>
      <c r="R86">
        <v>1792.96</v>
      </c>
      <c r="S86">
        <v>448.24</v>
      </c>
      <c r="T86">
        <v>12550.75</v>
      </c>
      <c r="U86" t="s">
        <v>8778</v>
      </c>
      <c r="V86" t="s">
        <v>9409</v>
      </c>
      <c r="W86" t="s">
        <v>423</v>
      </c>
    </row>
    <row r="87" spans="1:23" hidden="1" x14ac:dyDescent="0.2">
      <c r="A87">
        <v>2012</v>
      </c>
      <c r="B87" t="s">
        <v>304</v>
      </c>
      <c r="C87" s="733">
        <v>40952</v>
      </c>
      <c r="D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7" t="s">
        <v>505</v>
      </c>
      <c r="F87" t="s">
        <v>1915</v>
      </c>
      <c r="G87" t="s">
        <v>3812</v>
      </c>
      <c r="H87">
        <v>22686</v>
      </c>
      <c r="I87" t="s">
        <v>424</v>
      </c>
      <c r="J87" t="s">
        <v>1917</v>
      </c>
      <c r="K87" t="s">
        <v>1918</v>
      </c>
      <c r="L87" t="s">
        <v>1919</v>
      </c>
      <c r="M87">
        <v>267</v>
      </c>
      <c r="N87">
        <v>30</v>
      </c>
      <c r="O87">
        <v>2929.97</v>
      </c>
      <c r="P87">
        <v>1683.8244589999999</v>
      </c>
      <c r="Q87">
        <v>4613.7944589999997</v>
      </c>
      <c r="R87">
        <v>738.20711300000005</v>
      </c>
      <c r="S87">
        <v>184.55177800000001</v>
      </c>
      <c r="T87">
        <v>5167.4497940000001</v>
      </c>
      <c r="U87" t="s">
        <v>7522</v>
      </c>
      <c r="V87" t="s">
        <v>9408</v>
      </c>
      <c r="W87" t="s">
        <v>424</v>
      </c>
    </row>
    <row r="88" spans="1:23" hidden="1" x14ac:dyDescent="0.2">
      <c r="A88">
        <v>2012</v>
      </c>
      <c r="B88" t="s">
        <v>303</v>
      </c>
      <c r="C88" s="733">
        <v>40939</v>
      </c>
      <c r="D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88" t="s">
        <v>505</v>
      </c>
      <c r="F88" t="s">
        <v>1915</v>
      </c>
      <c r="G88" t="s">
        <v>3819</v>
      </c>
      <c r="H88">
        <v>21669</v>
      </c>
      <c r="I88" t="s">
        <v>424</v>
      </c>
      <c r="J88" t="s">
        <v>1917</v>
      </c>
      <c r="K88" t="s">
        <v>1918</v>
      </c>
      <c r="L88" t="s">
        <v>1919</v>
      </c>
      <c r="M88">
        <v>267</v>
      </c>
      <c r="N88">
        <v>30</v>
      </c>
      <c r="O88">
        <v>2929.97</v>
      </c>
      <c r="P88">
        <v>1683.8244589999999</v>
      </c>
      <c r="Q88">
        <v>4613.7944589999997</v>
      </c>
      <c r="R88">
        <v>738.20711300000005</v>
      </c>
      <c r="S88">
        <v>184.55177800000001</v>
      </c>
      <c r="T88">
        <v>5167.4497940000001</v>
      </c>
      <c r="U88" t="s">
        <v>1924</v>
      </c>
      <c r="V88" t="s">
        <v>9408</v>
      </c>
      <c r="W88" t="s">
        <v>424</v>
      </c>
    </row>
    <row r="89" spans="1:23" hidden="1" x14ac:dyDescent="0.2">
      <c r="A89">
        <v>2012</v>
      </c>
      <c r="B89" t="s">
        <v>304</v>
      </c>
      <c r="C89" s="733">
        <v>40942</v>
      </c>
      <c r="D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9" t="s">
        <v>505</v>
      </c>
      <c r="F89" t="s">
        <v>1915</v>
      </c>
      <c r="G89" t="s">
        <v>6476</v>
      </c>
      <c r="H89">
        <v>22453</v>
      </c>
      <c r="I89" t="s">
        <v>424</v>
      </c>
      <c r="J89" t="s">
        <v>1917</v>
      </c>
      <c r="K89" t="s">
        <v>1918</v>
      </c>
      <c r="L89" t="s">
        <v>1919</v>
      </c>
      <c r="M89">
        <v>267</v>
      </c>
      <c r="N89">
        <v>30</v>
      </c>
      <c r="O89">
        <v>2929.97</v>
      </c>
      <c r="P89">
        <v>1683.8244589999999</v>
      </c>
      <c r="Q89">
        <v>4613.7944589999997</v>
      </c>
      <c r="R89">
        <v>738.20711300000005</v>
      </c>
      <c r="S89">
        <v>184.55177800000001</v>
      </c>
      <c r="T89">
        <v>5167.4497940000001</v>
      </c>
      <c r="U89" t="s">
        <v>1926</v>
      </c>
      <c r="V89" t="s">
        <v>9408</v>
      </c>
      <c r="W89" t="s">
        <v>424</v>
      </c>
    </row>
    <row r="90" spans="1:23" hidden="1" x14ac:dyDescent="0.2">
      <c r="A90">
        <v>2012</v>
      </c>
      <c r="B90" t="s">
        <v>303</v>
      </c>
      <c r="C90" s="733">
        <v>40913</v>
      </c>
      <c r="D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90" t="s">
        <v>505</v>
      </c>
      <c r="F90" t="s">
        <v>1915</v>
      </c>
      <c r="G90" t="s">
        <v>3825</v>
      </c>
      <c r="H90">
        <v>21735</v>
      </c>
      <c r="I90" t="s">
        <v>424</v>
      </c>
      <c r="J90" t="s">
        <v>1917</v>
      </c>
      <c r="K90" t="s">
        <v>1918</v>
      </c>
      <c r="L90" t="s">
        <v>1919</v>
      </c>
      <c r="M90">
        <v>267</v>
      </c>
      <c r="N90">
        <v>30</v>
      </c>
      <c r="O90">
        <v>2929.97</v>
      </c>
      <c r="P90">
        <v>1683.8244589999999</v>
      </c>
      <c r="Q90">
        <v>4613.7944589999997</v>
      </c>
      <c r="R90">
        <v>738.20711300000005</v>
      </c>
      <c r="S90">
        <v>184.55177800000001</v>
      </c>
      <c r="T90">
        <v>5167.4497940000001</v>
      </c>
      <c r="U90" t="s">
        <v>1920</v>
      </c>
      <c r="V90" t="s">
        <v>9408</v>
      </c>
      <c r="W90" t="s">
        <v>424</v>
      </c>
    </row>
    <row r="91" spans="1:23" hidden="1" x14ac:dyDescent="0.2">
      <c r="A91">
        <v>2012</v>
      </c>
      <c r="B91" t="s">
        <v>304</v>
      </c>
      <c r="C91" s="733">
        <v>40952</v>
      </c>
      <c r="D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1" t="s">
        <v>505</v>
      </c>
      <c r="F91" t="s">
        <v>1915</v>
      </c>
      <c r="G91" t="s">
        <v>3820</v>
      </c>
      <c r="H91">
        <v>22679</v>
      </c>
      <c r="I91" t="s">
        <v>424</v>
      </c>
      <c r="J91" t="s">
        <v>1917</v>
      </c>
      <c r="K91" t="s">
        <v>1918</v>
      </c>
      <c r="L91" t="s">
        <v>1919</v>
      </c>
      <c r="M91">
        <v>267</v>
      </c>
      <c r="N91">
        <v>30</v>
      </c>
      <c r="O91">
        <v>2929.97</v>
      </c>
      <c r="P91">
        <v>1683.8244589999999</v>
      </c>
      <c r="Q91">
        <v>4613.7944589999997</v>
      </c>
      <c r="R91">
        <v>738.20711300000005</v>
      </c>
      <c r="S91">
        <v>184.55177800000001</v>
      </c>
      <c r="T91">
        <v>5167.4497940000001</v>
      </c>
      <c r="U91" t="s">
        <v>7522</v>
      </c>
      <c r="V91" t="s">
        <v>9408</v>
      </c>
      <c r="W91" t="s">
        <v>424</v>
      </c>
    </row>
    <row r="92" spans="1:23" hidden="1" x14ac:dyDescent="0.2">
      <c r="A92">
        <v>2012</v>
      </c>
      <c r="B92" t="s">
        <v>304</v>
      </c>
      <c r="C92" s="733">
        <v>40948</v>
      </c>
      <c r="D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2" t="s">
        <v>505</v>
      </c>
      <c r="F92" t="s">
        <v>1915</v>
      </c>
      <c r="G92" t="s">
        <v>3830</v>
      </c>
      <c r="H92">
        <v>22574</v>
      </c>
      <c r="I92" t="s">
        <v>424</v>
      </c>
      <c r="J92" t="s">
        <v>1917</v>
      </c>
      <c r="K92" t="s">
        <v>1918</v>
      </c>
      <c r="L92" t="s">
        <v>1919</v>
      </c>
      <c r="M92">
        <v>267</v>
      </c>
      <c r="N92">
        <v>30</v>
      </c>
      <c r="O92">
        <v>2929.97</v>
      </c>
      <c r="P92">
        <v>1683.8244589999999</v>
      </c>
      <c r="Q92">
        <v>4613.7944589999997</v>
      </c>
      <c r="R92">
        <v>738.20711300000005</v>
      </c>
      <c r="S92">
        <v>184.55177800000001</v>
      </c>
      <c r="T92">
        <v>5167.4497940000001</v>
      </c>
      <c r="U92" t="s">
        <v>1924</v>
      </c>
      <c r="V92" t="s">
        <v>9408</v>
      </c>
      <c r="W92" t="s">
        <v>424</v>
      </c>
    </row>
    <row r="93" spans="1:23" hidden="1" x14ac:dyDescent="0.2">
      <c r="A93">
        <v>2012</v>
      </c>
      <c r="B93" t="s">
        <v>303</v>
      </c>
      <c r="C93" s="733">
        <v>40913</v>
      </c>
      <c r="D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93" t="s">
        <v>505</v>
      </c>
      <c r="F93" t="s">
        <v>1915</v>
      </c>
      <c r="G93" t="s">
        <v>3813</v>
      </c>
      <c r="H93">
        <v>21732</v>
      </c>
      <c r="I93" t="s">
        <v>424</v>
      </c>
      <c r="J93" t="s">
        <v>1917</v>
      </c>
      <c r="K93" t="s">
        <v>1918</v>
      </c>
      <c r="L93" t="s">
        <v>1919</v>
      </c>
      <c r="M93">
        <v>267</v>
      </c>
      <c r="N93">
        <v>27</v>
      </c>
      <c r="O93">
        <v>2636.97</v>
      </c>
      <c r="P93">
        <v>1515.4402889999999</v>
      </c>
      <c r="Q93">
        <v>4152.4102890000004</v>
      </c>
      <c r="R93">
        <v>664.38564599999995</v>
      </c>
      <c r="S93">
        <v>166.09641199999999</v>
      </c>
      <c r="T93">
        <v>4650.6995230000002</v>
      </c>
      <c r="U93" t="s">
        <v>1920</v>
      </c>
      <c r="V93" t="s">
        <v>9408</v>
      </c>
      <c r="W93" t="s">
        <v>424</v>
      </c>
    </row>
    <row r="94" spans="1:23" hidden="1" x14ac:dyDescent="0.2">
      <c r="A94">
        <v>2012</v>
      </c>
      <c r="B94" t="s">
        <v>304</v>
      </c>
      <c r="C94" s="733">
        <v>40956</v>
      </c>
      <c r="D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4" t="s">
        <v>505</v>
      </c>
      <c r="F94" t="s">
        <v>1915</v>
      </c>
      <c r="G94" t="s">
        <v>7713</v>
      </c>
      <c r="H94">
        <v>22800</v>
      </c>
      <c r="I94" t="s">
        <v>424</v>
      </c>
      <c r="J94" t="s">
        <v>1917</v>
      </c>
      <c r="K94" t="s">
        <v>1918</v>
      </c>
      <c r="L94" t="s">
        <v>1919</v>
      </c>
      <c r="M94">
        <v>267</v>
      </c>
      <c r="N94">
        <v>30</v>
      </c>
      <c r="O94">
        <v>2929.97</v>
      </c>
      <c r="P94">
        <v>1683.8244589999999</v>
      </c>
      <c r="Q94">
        <v>4613.7944589999997</v>
      </c>
      <c r="R94">
        <v>738.20711300000005</v>
      </c>
      <c r="S94">
        <v>184.55177800000001</v>
      </c>
      <c r="T94">
        <v>5167.4497940000001</v>
      </c>
      <c r="U94" t="s">
        <v>7529</v>
      </c>
      <c r="V94" t="s">
        <v>9408</v>
      </c>
      <c r="W94" t="s">
        <v>424</v>
      </c>
    </row>
    <row r="95" spans="1:23" hidden="1" x14ac:dyDescent="0.2">
      <c r="A95">
        <v>2012</v>
      </c>
      <c r="B95" t="s">
        <v>304</v>
      </c>
      <c r="C95" s="733">
        <v>40968</v>
      </c>
      <c r="D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5" t="s">
        <v>505</v>
      </c>
      <c r="F95" t="s">
        <v>1915</v>
      </c>
      <c r="G95" t="s">
        <v>9443</v>
      </c>
      <c r="H95">
        <v>23086</v>
      </c>
      <c r="I95" t="s">
        <v>423</v>
      </c>
      <c r="J95" t="s">
        <v>1917</v>
      </c>
      <c r="K95" t="s">
        <v>1918</v>
      </c>
      <c r="L95" t="s">
        <v>1919</v>
      </c>
      <c r="M95">
        <v>267</v>
      </c>
      <c r="N95">
        <v>50.09</v>
      </c>
      <c r="O95">
        <v>11262.24</v>
      </c>
      <c r="P95">
        <v>0</v>
      </c>
      <c r="Q95">
        <v>11262.24</v>
      </c>
      <c r="R95">
        <v>1801.96</v>
      </c>
      <c r="S95">
        <v>450.49</v>
      </c>
      <c r="T95">
        <v>12613.71</v>
      </c>
      <c r="V95" t="s">
        <v>9409</v>
      </c>
      <c r="W95" t="s">
        <v>423</v>
      </c>
    </row>
    <row r="96" spans="1:23" hidden="1" x14ac:dyDescent="0.2">
      <c r="A96">
        <v>2012</v>
      </c>
      <c r="B96" t="s">
        <v>303</v>
      </c>
      <c r="C96" s="733">
        <v>40939</v>
      </c>
      <c r="D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96" t="s">
        <v>505</v>
      </c>
      <c r="F96" t="s">
        <v>2065</v>
      </c>
      <c r="G96" t="s">
        <v>4297</v>
      </c>
      <c r="H96">
        <v>21675</v>
      </c>
      <c r="I96" t="s">
        <v>424</v>
      </c>
      <c r="J96" t="s">
        <v>1917</v>
      </c>
      <c r="K96" t="s">
        <v>1918</v>
      </c>
      <c r="L96" t="s">
        <v>1919</v>
      </c>
      <c r="M96">
        <v>267</v>
      </c>
      <c r="N96">
        <v>30</v>
      </c>
      <c r="O96">
        <v>2929.97</v>
      </c>
      <c r="P96">
        <v>1683.8244589999999</v>
      </c>
      <c r="Q96">
        <v>4613.7944589999997</v>
      </c>
      <c r="R96">
        <v>738.20711300000005</v>
      </c>
      <c r="S96">
        <v>184.55177800000001</v>
      </c>
      <c r="T96">
        <v>5167.4497940000001</v>
      </c>
      <c r="U96" t="s">
        <v>1936</v>
      </c>
      <c r="V96" t="s">
        <v>9408</v>
      </c>
      <c r="W96" t="s">
        <v>424</v>
      </c>
    </row>
    <row r="97" spans="1:23" hidden="1" x14ac:dyDescent="0.2">
      <c r="A97">
        <v>2012</v>
      </c>
      <c r="B97" t="s">
        <v>304</v>
      </c>
      <c r="C97" s="733">
        <v>40953.706226851849</v>
      </c>
      <c r="D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7" t="s">
        <v>505</v>
      </c>
      <c r="F97" t="s">
        <v>2065</v>
      </c>
      <c r="G97" t="s">
        <v>4295</v>
      </c>
      <c r="H97">
        <v>22740</v>
      </c>
      <c r="I97" t="s">
        <v>424</v>
      </c>
      <c r="J97" t="s">
        <v>1917</v>
      </c>
      <c r="K97" t="s">
        <v>1918</v>
      </c>
      <c r="L97" t="s">
        <v>1919</v>
      </c>
      <c r="M97">
        <v>267</v>
      </c>
      <c r="N97">
        <v>30</v>
      </c>
      <c r="O97">
        <v>2929.97</v>
      </c>
      <c r="P97">
        <v>1683.8244589999999</v>
      </c>
      <c r="Q97">
        <v>4613.7944589999997</v>
      </c>
      <c r="R97">
        <v>738.20711300000005</v>
      </c>
      <c r="S97">
        <v>184.55177800000001</v>
      </c>
      <c r="T97">
        <v>5167.4497940000001</v>
      </c>
      <c r="U97" t="s">
        <v>7522</v>
      </c>
      <c r="V97" t="s">
        <v>9408</v>
      </c>
      <c r="W97" t="s">
        <v>424</v>
      </c>
    </row>
    <row r="98" spans="1:23" hidden="1" x14ac:dyDescent="0.2">
      <c r="A98">
        <v>2012</v>
      </c>
      <c r="B98" t="s">
        <v>303</v>
      </c>
      <c r="C98" s="733">
        <v>40925</v>
      </c>
      <c r="D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98" t="s">
        <v>505</v>
      </c>
      <c r="F98" t="s">
        <v>2065</v>
      </c>
      <c r="G98" t="s">
        <v>4296</v>
      </c>
      <c r="H98">
        <v>22028</v>
      </c>
      <c r="I98" t="s">
        <v>424</v>
      </c>
      <c r="J98" t="s">
        <v>1917</v>
      </c>
      <c r="K98" t="s">
        <v>1918</v>
      </c>
      <c r="L98" t="s">
        <v>1919</v>
      </c>
      <c r="M98">
        <v>267</v>
      </c>
      <c r="N98">
        <v>30</v>
      </c>
      <c r="O98">
        <v>2929.97</v>
      </c>
      <c r="P98">
        <v>1683.8244589999999</v>
      </c>
      <c r="Q98">
        <v>4613.7944589999997</v>
      </c>
      <c r="R98">
        <v>738.20711300000005</v>
      </c>
      <c r="S98">
        <v>184.55177800000001</v>
      </c>
      <c r="T98">
        <v>5167.4497940000001</v>
      </c>
      <c r="U98" t="s">
        <v>1931</v>
      </c>
      <c r="V98" t="s">
        <v>9408</v>
      </c>
      <c r="W98" t="s">
        <v>424</v>
      </c>
    </row>
    <row r="99" spans="1:23" hidden="1" x14ac:dyDescent="0.2">
      <c r="A99">
        <v>2012</v>
      </c>
      <c r="B99" t="s">
        <v>304</v>
      </c>
      <c r="C99" s="733">
        <v>40952</v>
      </c>
      <c r="D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9" t="s">
        <v>505</v>
      </c>
      <c r="F99" t="s">
        <v>1915</v>
      </c>
      <c r="G99" t="s">
        <v>3816</v>
      </c>
      <c r="H99">
        <v>22683</v>
      </c>
      <c r="I99" t="s">
        <v>424</v>
      </c>
      <c r="J99" t="s">
        <v>1917</v>
      </c>
      <c r="K99" t="s">
        <v>1918</v>
      </c>
      <c r="L99" t="s">
        <v>1919</v>
      </c>
      <c r="M99">
        <v>267</v>
      </c>
      <c r="N99">
        <v>30</v>
      </c>
      <c r="O99">
        <v>2929.97</v>
      </c>
      <c r="P99">
        <v>1683.8244589999999</v>
      </c>
      <c r="Q99">
        <v>4613.7944589999997</v>
      </c>
      <c r="R99">
        <v>738.20711300000005</v>
      </c>
      <c r="S99">
        <v>184.55177800000001</v>
      </c>
      <c r="T99">
        <v>5167.4497940000001</v>
      </c>
      <c r="U99" t="s">
        <v>7522</v>
      </c>
      <c r="V99" t="s">
        <v>9408</v>
      </c>
      <c r="W99" t="s">
        <v>424</v>
      </c>
    </row>
    <row r="100" spans="1:23" hidden="1" x14ac:dyDescent="0.2">
      <c r="A100">
        <v>2012</v>
      </c>
      <c r="B100" t="s">
        <v>303</v>
      </c>
      <c r="C100" s="733">
        <v>40920</v>
      </c>
      <c r="D1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0" t="s">
        <v>505</v>
      </c>
      <c r="F100" t="s">
        <v>1915</v>
      </c>
      <c r="G100" t="s">
        <v>3814</v>
      </c>
      <c r="H100">
        <v>21917</v>
      </c>
      <c r="I100" t="s">
        <v>424</v>
      </c>
      <c r="J100" t="s">
        <v>1917</v>
      </c>
      <c r="K100" t="s">
        <v>1918</v>
      </c>
      <c r="L100" t="s">
        <v>1919</v>
      </c>
      <c r="M100">
        <v>267</v>
      </c>
      <c r="N100">
        <v>30</v>
      </c>
      <c r="O100">
        <v>2929.97</v>
      </c>
      <c r="P100">
        <v>1683.8244589999999</v>
      </c>
      <c r="Q100">
        <v>4613.7944589999997</v>
      </c>
      <c r="R100">
        <v>738.20711300000005</v>
      </c>
      <c r="S100">
        <v>184.55177800000001</v>
      </c>
      <c r="T100">
        <v>5167.4497940000001</v>
      </c>
      <c r="U100" t="s">
        <v>1931</v>
      </c>
      <c r="V100" t="s">
        <v>9408</v>
      </c>
      <c r="W100" t="s">
        <v>424</v>
      </c>
    </row>
    <row r="101" spans="1:23" hidden="1" x14ac:dyDescent="0.2">
      <c r="A101">
        <v>2012</v>
      </c>
      <c r="B101" t="s">
        <v>304</v>
      </c>
      <c r="C101" s="733">
        <v>40942</v>
      </c>
      <c r="D1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1" t="s">
        <v>505</v>
      </c>
      <c r="F101" t="s">
        <v>1915</v>
      </c>
      <c r="G101" t="s">
        <v>3815</v>
      </c>
      <c r="H101">
        <v>22463</v>
      </c>
      <c r="I101" t="s">
        <v>424</v>
      </c>
      <c r="J101" t="s">
        <v>1917</v>
      </c>
      <c r="K101" t="s">
        <v>1918</v>
      </c>
      <c r="L101" t="s">
        <v>1919</v>
      </c>
      <c r="M101">
        <v>267</v>
      </c>
      <c r="N101">
        <v>30</v>
      </c>
      <c r="O101">
        <v>2929.97</v>
      </c>
      <c r="P101">
        <v>1683.8244589999999</v>
      </c>
      <c r="Q101">
        <v>4613.7944589999997</v>
      </c>
      <c r="R101">
        <v>738.20711300000005</v>
      </c>
      <c r="S101">
        <v>184.55177800000001</v>
      </c>
      <c r="T101">
        <v>5167.4497940000001</v>
      </c>
      <c r="U101" t="s">
        <v>1926</v>
      </c>
      <c r="V101" t="s">
        <v>9408</v>
      </c>
      <c r="W101" t="s">
        <v>424</v>
      </c>
    </row>
    <row r="102" spans="1:23" hidden="1" x14ac:dyDescent="0.2">
      <c r="A102">
        <v>2012</v>
      </c>
      <c r="B102" t="s">
        <v>303</v>
      </c>
      <c r="C102" s="733">
        <v>40938</v>
      </c>
      <c r="D1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2" t="s">
        <v>505</v>
      </c>
      <c r="F102" t="s">
        <v>1915</v>
      </c>
      <c r="G102" t="s">
        <v>3826</v>
      </c>
      <c r="H102">
        <v>22332</v>
      </c>
      <c r="I102" t="s">
        <v>424</v>
      </c>
      <c r="J102" t="s">
        <v>1954</v>
      </c>
      <c r="K102" t="s">
        <v>1918</v>
      </c>
      <c r="L102" t="s">
        <v>1919</v>
      </c>
      <c r="M102">
        <v>303</v>
      </c>
      <c r="N102">
        <v>30</v>
      </c>
      <c r="O102">
        <v>2314.83</v>
      </c>
      <c r="P102">
        <v>1330.309653</v>
      </c>
      <c r="Q102">
        <v>3645.1396530000002</v>
      </c>
      <c r="R102">
        <v>583.22234400000002</v>
      </c>
      <c r="S102">
        <v>145.80558600000001</v>
      </c>
      <c r="T102">
        <v>4082.556411</v>
      </c>
      <c r="U102" t="s">
        <v>1936</v>
      </c>
      <c r="V102" t="s">
        <v>9408</v>
      </c>
      <c r="W102" t="s">
        <v>424</v>
      </c>
    </row>
    <row r="103" spans="1:23" hidden="1" x14ac:dyDescent="0.2">
      <c r="A103">
        <v>2012</v>
      </c>
      <c r="B103" t="s">
        <v>305</v>
      </c>
      <c r="C103" s="733">
        <v>40970</v>
      </c>
      <c r="D103" s="733" t="str">
        <f>CHOOSE(MONTH(Tabla_sqldatos_bonampakdb_Bon_v_ingresos2012[[#This Row],[fecha_guia]]),"Enero","Febrero","Marzo","Abril","Mayo","Junio","Julio","Agosto","Septiembre","Octubre","Noviembre","Diciembre")</f>
        <v>Marzo</v>
      </c>
      <c r="E103" t="s">
        <v>505</v>
      </c>
      <c r="F103" t="s">
        <v>1915</v>
      </c>
      <c r="G103" t="s">
        <v>9442</v>
      </c>
      <c r="H103">
        <v>23151</v>
      </c>
      <c r="I103" t="s">
        <v>424</v>
      </c>
      <c r="J103" t="s">
        <v>1954</v>
      </c>
      <c r="K103" t="s">
        <v>1918</v>
      </c>
      <c r="L103" t="s">
        <v>1919</v>
      </c>
      <c r="M103">
        <v>303</v>
      </c>
      <c r="N103">
        <v>30</v>
      </c>
      <c r="O103">
        <v>5862.3</v>
      </c>
      <c r="P103">
        <v>0</v>
      </c>
      <c r="Q103">
        <v>5862.3</v>
      </c>
      <c r="R103">
        <v>937.97</v>
      </c>
      <c r="S103">
        <v>234.49</v>
      </c>
      <c r="T103">
        <v>6565.78</v>
      </c>
      <c r="V103" t="s">
        <v>9408</v>
      </c>
      <c r="W103" t="s">
        <v>424</v>
      </c>
    </row>
    <row r="104" spans="1:23" hidden="1" x14ac:dyDescent="0.2">
      <c r="A104">
        <v>2012</v>
      </c>
      <c r="B104" t="s">
        <v>303</v>
      </c>
      <c r="C104" s="733">
        <v>40927</v>
      </c>
      <c r="D1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4" t="s">
        <v>505</v>
      </c>
      <c r="F104" t="s">
        <v>1915</v>
      </c>
      <c r="G104" t="s">
        <v>3827</v>
      </c>
      <c r="H104">
        <v>22093</v>
      </c>
      <c r="I104" t="s">
        <v>423</v>
      </c>
      <c r="J104" t="s">
        <v>1954</v>
      </c>
      <c r="K104" t="s">
        <v>1918</v>
      </c>
      <c r="L104" t="s">
        <v>1919</v>
      </c>
      <c r="M104">
        <v>303</v>
      </c>
      <c r="N104">
        <v>53.3</v>
      </c>
      <c r="O104">
        <v>14716.13</v>
      </c>
      <c r="P104">
        <v>0</v>
      </c>
      <c r="Q104">
        <v>14716.13</v>
      </c>
      <c r="R104">
        <v>2354.58</v>
      </c>
      <c r="S104">
        <v>588.65</v>
      </c>
      <c r="T104">
        <v>16482.060000000001</v>
      </c>
      <c r="U104" t="s">
        <v>8778</v>
      </c>
      <c r="V104" t="s">
        <v>9409</v>
      </c>
      <c r="W104" t="s">
        <v>423</v>
      </c>
    </row>
    <row r="105" spans="1:23" hidden="1" x14ac:dyDescent="0.2">
      <c r="A105">
        <v>2012</v>
      </c>
      <c r="B105" t="s">
        <v>303</v>
      </c>
      <c r="C105" s="733">
        <v>40915</v>
      </c>
      <c r="D1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5" t="s">
        <v>505</v>
      </c>
      <c r="F105" t="s">
        <v>1915</v>
      </c>
      <c r="G105" t="s">
        <v>6477</v>
      </c>
      <c r="H105">
        <v>21848</v>
      </c>
      <c r="I105" t="s">
        <v>424</v>
      </c>
      <c r="J105" t="s">
        <v>1917</v>
      </c>
      <c r="K105" t="s">
        <v>1918</v>
      </c>
      <c r="L105" t="s">
        <v>1919</v>
      </c>
      <c r="M105">
        <v>267</v>
      </c>
      <c r="N105">
        <v>27</v>
      </c>
      <c r="O105">
        <v>2636.97</v>
      </c>
      <c r="P105">
        <v>1515.4402889999999</v>
      </c>
      <c r="Q105">
        <v>4152.4102890000004</v>
      </c>
      <c r="R105">
        <v>664.38564599999995</v>
      </c>
      <c r="S105">
        <v>166.09641199999999</v>
      </c>
      <c r="T105">
        <v>4650.6995230000002</v>
      </c>
      <c r="U105" t="s">
        <v>1920</v>
      </c>
      <c r="V105" t="s">
        <v>9408</v>
      </c>
      <c r="W105" t="s">
        <v>424</v>
      </c>
    </row>
    <row r="106" spans="1:23" hidden="1" x14ac:dyDescent="0.2">
      <c r="A106">
        <v>2012</v>
      </c>
      <c r="B106" t="s">
        <v>304</v>
      </c>
      <c r="C106" s="733">
        <v>40954</v>
      </c>
      <c r="D1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6" t="s">
        <v>505</v>
      </c>
      <c r="F106" t="s">
        <v>1915</v>
      </c>
      <c r="G106" t="s">
        <v>7498</v>
      </c>
      <c r="H106">
        <v>22732</v>
      </c>
      <c r="I106" t="s">
        <v>423</v>
      </c>
      <c r="J106" t="s">
        <v>1917</v>
      </c>
      <c r="K106" t="s">
        <v>1918</v>
      </c>
      <c r="L106" t="s">
        <v>1919</v>
      </c>
      <c r="M106">
        <v>267</v>
      </c>
      <c r="N106">
        <v>24.71</v>
      </c>
      <c r="O106">
        <v>5555.8</v>
      </c>
      <c r="P106">
        <v>0</v>
      </c>
      <c r="Q106">
        <v>5555.8</v>
      </c>
      <c r="R106">
        <v>888.93</v>
      </c>
      <c r="S106">
        <v>222.23</v>
      </c>
      <c r="T106">
        <v>6222.5</v>
      </c>
      <c r="U106" t="s">
        <v>7529</v>
      </c>
      <c r="V106" t="s">
        <v>9408</v>
      </c>
      <c r="W106" t="s">
        <v>423</v>
      </c>
    </row>
    <row r="107" spans="1:23" hidden="1" x14ac:dyDescent="0.2">
      <c r="A107">
        <v>2012</v>
      </c>
      <c r="B107" t="s">
        <v>303</v>
      </c>
      <c r="C107" s="733">
        <v>40938</v>
      </c>
      <c r="D1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7" t="s">
        <v>505</v>
      </c>
      <c r="F107" t="s">
        <v>1915</v>
      </c>
      <c r="G107" t="s">
        <v>3817</v>
      </c>
      <c r="H107">
        <v>22335</v>
      </c>
      <c r="I107" t="s">
        <v>423</v>
      </c>
      <c r="J107" t="s">
        <v>1917</v>
      </c>
      <c r="K107" t="s">
        <v>1918</v>
      </c>
      <c r="L107" t="s">
        <v>1919</v>
      </c>
      <c r="M107">
        <v>267</v>
      </c>
      <c r="N107">
        <v>25.16</v>
      </c>
      <c r="O107">
        <v>5656.97</v>
      </c>
      <c r="P107">
        <v>0</v>
      </c>
      <c r="Q107">
        <v>5656.97</v>
      </c>
      <c r="R107">
        <v>905.12</v>
      </c>
      <c r="S107">
        <v>226.28</v>
      </c>
      <c r="T107">
        <v>6335.81</v>
      </c>
      <c r="U107" t="s">
        <v>1936</v>
      </c>
      <c r="V107" t="s">
        <v>9408</v>
      </c>
      <c r="W107" t="s">
        <v>423</v>
      </c>
    </row>
    <row r="108" spans="1:23" hidden="1" x14ac:dyDescent="0.2">
      <c r="A108">
        <v>2012</v>
      </c>
      <c r="B108" t="s">
        <v>304</v>
      </c>
      <c r="C108" s="733">
        <v>40942</v>
      </c>
      <c r="D1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8" t="s">
        <v>505</v>
      </c>
      <c r="F108" t="s">
        <v>1915</v>
      </c>
      <c r="G108" t="s">
        <v>6474</v>
      </c>
      <c r="H108">
        <v>22454</v>
      </c>
      <c r="I108" t="s">
        <v>424</v>
      </c>
      <c r="J108" t="s">
        <v>1917</v>
      </c>
      <c r="K108" t="s">
        <v>1918</v>
      </c>
      <c r="L108" t="s">
        <v>1919</v>
      </c>
      <c r="M108">
        <v>267</v>
      </c>
      <c r="N108">
        <v>30</v>
      </c>
      <c r="O108">
        <v>2929.97</v>
      </c>
      <c r="P108">
        <v>1683.8244589999999</v>
      </c>
      <c r="Q108">
        <v>4613.7944589999997</v>
      </c>
      <c r="R108">
        <v>738.20711300000005</v>
      </c>
      <c r="S108">
        <v>184.55177800000001</v>
      </c>
      <c r="T108">
        <v>5167.4497940000001</v>
      </c>
      <c r="U108" t="s">
        <v>1926</v>
      </c>
      <c r="V108" t="s">
        <v>9408</v>
      </c>
      <c r="W108" t="s">
        <v>424</v>
      </c>
    </row>
    <row r="109" spans="1:23" hidden="1" x14ac:dyDescent="0.2">
      <c r="A109">
        <v>2012</v>
      </c>
      <c r="B109" t="s">
        <v>304</v>
      </c>
      <c r="C109" s="733">
        <v>40966</v>
      </c>
      <c r="D1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9" t="s">
        <v>505</v>
      </c>
      <c r="F109" t="s">
        <v>1915</v>
      </c>
      <c r="G109" t="s">
        <v>9143</v>
      </c>
      <c r="H109">
        <v>23038</v>
      </c>
      <c r="I109" t="s">
        <v>424</v>
      </c>
      <c r="J109" t="s">
        <v>1917</v>
      </c>
      <c r="K109" t="s">
        <v>1918</v>
      </c>
      <c r="L109" t="s">
        <v>1919</v>
      </c>
      <c r="M109">
        <v>267</v>
      </c>
      <c r="N109">
        <v>30</v>
      </c>
      <c r="O109">
        <v>4613.7</v>
      </c>
      <c r="P109">
        <v>0</v>
      </c>
      <c r="Q109">
        <v>4613.7</v>
      </c>
      <c r="R109">
        <v>738.19</v>
      </c>
      <c r="S109">
        <v>184.55</v>
      </c>
      <c r="T109">
        <v>5167.34</v>
      </c>
      <c r="U109" t="s">
        <v>9415</v>
      </c>
      <c r="V109" t="s">
        <v>9408</v>
      </c>
      <c r="W109" t="s">
        <v>424</v>
      </c>
    </row>
    <row r="110" spans="1:23" hidden="1" x14ac:dyDescent="0.2">
      <c r="A110">
        <v>2012</v>
      </c>
      <c r="B110" t="s">
        <v>304</v>
      </c>
      <c r="C110" s="733">
        <v>40956</v>
      </c>
      <c r="D1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0" t="s">
        <v>505</v>
      </c>
      <c r="F110" t="s">
        <v>1915</v>
      </c>
      <c r="G110" t="s">
        <v>7930</v>
      </c>
      <c r="H110">
        <v>22816</v>
      </c>
      <c r="I110" t="s">
        <v>424</v>
      </c>
      <c r="J110" t="s">
        <v>1917</v>
      </c>
      <c r="K110" t="s">
        <v>1918</v>
      </c>
      <c r="L110" t="s">
        <v>1919</v>
      </c>
      <c r="M110">
        <v>267</v>
      </c>
      <c r="N110">
        <v>30</v>
      </c>
      <c r="O110">
        <v>2929.97</v>
      </c>
      <c r="P110">
        <v>1683.8244589999999</v>
      </c>
      <c r="Q110">
        <v>4613.7944589999997</v>
      </c>
      <c r="R110">
        <v>738.20711300000005</v>
      </c>
      <c r="S110">
        <v>184.55177800000001</v>
      </c>
      <c r="T110">
        <v>5167.4497940000001</v>
      </c>
      <c r="U110" t="s">
        <v>7529</v>
      </c>
      <c r="V110" t="s">
        <v>9408</v>
      </c>
      <c r="W110" t="s">
        <v>424</v>
      </c>
    </row>
    <row r="111" spans="1:23" hidden="1" x14ac:dyDescent="0.2">
      <c r="A111">
        <v>2012</v>
      </c>
      <c r="B111" t="s">
        <v>303</v>
      </c>
      <c r="C111" s="733">
        <v>40915</v>
      </c>
      <c r="D1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1" t="s">
        <v>505</v>
      </c>
      <c r="F111" t="s">
        <v>1915</v>
      </c>
      <c r="G111" t="s">
        <v>1916</v>
      </c>
      <c r="H111">
        <v>21747</v>
      </c>
      <c r="I111" t="s">
        <v>424</v>
      </c>
      <c r="J111" t="s">
        <v>1917</v>
      </c>
      <c r="K111" t="s">
        <v>1918</v>
      </c>
      <c r="L111" t="s">
        <v>1919</v>
      </c>
      <c r="M111">
        <v>267</v>
      </c>
      <c r="N111">
        <v>30</v>
      </c>
      <c r="O111">
        <v>2929.97</v>
      </c>
      <c r="P111">
        <v>1683.8244589999999</v>
      </c>
      <c r="Q111">
        <v>4613.7944589999997</v>
      </c>
      <c r="R111">
        <v>738.20711300000005</v>
      </c>
      <c r="S111">
        <v>184.55177800000001</v>
      </c>
      <c r="T111">
        <v>5167.4497940000001</v>
      </c>
      <c r="U111" t="s">
        <v>1920</v>
      </c>
      <c r="V111" t="s">
        <v>9408</v>
      </c>
      <c r="W111" t="s">
        <v>424</v>
      </c>
    </row>
    <row r="112" spans="1:23" hidden="1" x14ac:dyDescent="0.2">
      <c r="A112">
        <v>2012</v>
      </c>
      <c r="B112" t="s">
        <v>304</v>
      </c>
      <c r="C112" s="733">
        <v>40940</v>
      </c>
      <c r="D1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2" t="s">
        <v>505</v>
      </c>
      <c r="F112" t="s">
        <v>1915</v>
      </c>
      <c r="G112" t="s">
        <v>5258</v>
      </c>
      <c r="H112">
        <v>22395</v>
      </c>
      <c r="I112" t="s">
        <v>424</v>
      </c>
      <c r="J112" t="s">
        <v>1917</v>
      </c>
      <c r="K112" t="s">
        <v>1918</v>
      </c>
      <c r="L112" t="s">
        <v>1919</v>
      </c>
      <c r="M112">
        <v>267</v>
      </c>
      <c r="N112">
        <v>30</v>
      </c>
      <c r="O112">
        <v>2929.97</v>
      </c>
      <c r="P112">
        <v>1683.8244589999999</v>
      </c>
      <c r="Q112">
        <v>4613.7944589999997</v>
      </c>
      <c r="R112">
        <v>738.20711300000005</v>
      </c>
      <c r="S112">
        <v>184.55177800000001</v>
      </c>
      <c r="T112">
        <v>5167.4497940000001</v>
      </c>
      <c r="U112" t="s">
        <v>1926</v>
      </c>
      <c r="V112" t="s">
        <v>9408</v>
      </c>
      <c r="W112" t="s">
        <v>424</v>
      </c>
    </row>
    <row r="113" spans="1:23" hidden="1" x14ac:dyDescent="0.2">
      <c r="A113">
        <v>2012</v>
      </c>
      <c r="B113" t="s">
        <v>303</v>
      </c>
      <c r="C113" s="733">
        <v>40917</v>
      </c>
      <c r="D1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3" t="s">
        <v>505</v>
      </c>
      <c r="F113" t="s">
        <v>2065</v>
      </c>
      <c r="G113" t="s">
        <v>1951</v>
      </c>
      <c r="H113">
        <v>21860</v>
      </c>
      <c r="I113" t="s">
        <v>424</v>
      </c>
      <c r="J113" t="s">
        <v>1917</v>
      </c>
      <c r="K113" t="s">
        <v>1918</v>
      </c>
      <c r="L113" t="s">
        <v>1919</v>
      </c>
      <c r="M113">
        <v>267</v>
      </c>
      <c r="N113">
        <v>30</v>
      </c>
      <c r="O113">
        <v>2929.97</v>
      </c>
      <c r="P113">
        <v>1683.8244589999999</v>
      </c>
      <c r="Q113">
        <v>4613.7944589999997</v>
      </c>
      <c r="R113">
        <v>738.20711300000005</v>
      </c>
      <c r="S113">
        <v>184.55177800000001</v>
      </c>
      <c r="T113">
        <v>5167.4497940000001</v>
      </c>
      <c r="U113" t="s">
        <v>1931</v>
      </c>
      <c r="V113" t="s">
        <v>9408</v>
      </c>
      <c r="W113" t="s">
        <v>424</v>
      </c>
    </row>
    <row r="114" spans="1:23" hidden="1" x14ac:dyDescent="0.2">
      <c r="A114">
        <v>2012</v>
      </c>
      <c r="B114" t="s">
        <v>304</v>
      </c>
      <c r="C114" s="733">
        <v>40949</v>
      </c>
      <c r="D1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4" t="s">
        <v>505</v>
      </c>
      <c r="F114" t="s">
        <v>1915</v>
      </c>
      <c r="G114" t="s">
        <v>1957</v>
      </c>
      <c r="H114">
        <v>22401</v>
      </c>
      <c r="I114" t="s">
        <v>423</v>
      </c>
      <c r="J114" t="s">
        <v>1917</v>
      </c>
      <c r="K114" t="s">
        <v>1918</v>
      </c>
      <c r="L114" t="s">
        <v>1919</v>
      </c>
      <c r="M114">
        <v>267</v>
      </c>
      <c r="N114">
        <v>53.1</v>
      </c>
      <c r="O114">
        <v>11939</v>
      </c>
      <c r="P114">
        <v>0</v>
      </c>
      <c r="Q114">
        <v>11939</v>
      </c>
      <c r="R114">
        <v>1910.24</v>
      </c>
      <c r="S114">
        <v>477.56</v>
      </c>
      <c r="T114">
        <v>13371.68</v>
      </c>
      <c r="U114" t="s">
        <v>7522</v>
      </c>
      <c r="V114" t="s">
        <v>9409</v>
      </c>
      <c r="W114" t="s">
        <v>423</v>
      </c>
    </row>
    <row r="115" spans="1:23" hidden="1" x14ac:dyDescent="0.2">
      <c r="A115">
        <v>2012</v>
      </c>
      <c r="B115" t="s">
        <v>303</v>
      </c>
      <c r="C115" s="733">
        <v>40925</v>
      </c>
      <c r="D1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5" t="s">
        <v>505</v>
      </c>
      <c r="F115" t="s">
        <v>1915</v>
      </c>
      <c r="G115" t="s">
        <v>4748</v>
      </c>
      <c r="H115">
        <v>21979</v>
      </c>
      <c r="I115" t="s">
        <v>424</v>
      </c>
      <c r="J115" t="s">
        <v>1917</v>
      </c>
      <c r="K115" t="s">
        <v>1918</v>
      </c>
      <c r="L115" t="s">
        <v>1919</v>
      </c>
      <c r="M115">
        <v>267</v>
      </c>
      <c r="N115">
        <v>30</v>
      </c>
      <c r="O115">
        <v>2929.97</v>
      </c>
      <c r="P115">
        <v>1683.8244589999999</v>
      </c>
      <c r="Q115">
        <v>4613.7944589999997</v>
      </c>
      <c r="R115">
        <v>738.20711300000005</v>
      </c>
      <c r="S115">
        <v>184.55177800000001</v>
      </c>
      <c r="T115">
        <v>5167.4497940000001</v>
      </c>
      <c r="U115" t="s">
        <v>1931</v>
      </c>
      <c r="V115" t="s">
        <v>9408</v>
      </c>
      <c r="W115" t="s">
        <v>424</v>
      </c>
    </row>
    <row r="116" spans="1:23" hidden="1" x14ac:dyDescent="0.2">
      <c r="A116">
        <v>2012</v>
      </c>
      <c r="B116" t="s">
        <v>305</v>
      </c>
      <c r="C116" s="733">
        <v>40969</v>
      </c>
      <c r="D116" s="733" t="str">
        <f>CHOOSE(MONTH(Tabla_sqldatos_bonampakdb_Bon_v_ingresos2012[[#This Row],[fecha_guia]]),"Enero","Febrero","Marzo","Abril","Mayo","Junio","Julio","Agosto","Septiembre","Octubre","Noviembre","Diciembre")</f>
        <v>Marzo</v>
      </c>
      <c r="E116" t="s">
        <v>505</v>
      </c>
      <c r="F116" t="s">
        <v>1915</v>
      </c>
      <c r="G116" t="s">
        <v>9414</v>
      </c>
      <c r="H116">
        <v>23103</v>
      </c>
      <c r="I116" t="s">
        <v>424</v>
      </c>
      <c r="J116" t="s">
        <v>1917</v>
      </c>
      <c r="K116" t="s">
        <v>1918</v>
      </c>
      <c r="L116" t="s">
        <v>1919</v>
      </c>
      <c r="M116">
        <v>267</v>
      </c>
      <c r="N116">
        <v>30</v>
      </c>
      <c r="O116">
        <v>4613.7</v>
      </c>
      <c r="P116">
        <v>0</v>
      </c>
      <c r="Q116">
        <v>4613.7</v>
      </c>
      <c r="R116">
        <v>738.19</v>
      </c>
      <c r="S116">
        <v>184.55</v>
      </c>
      <c r="T116">
        <v>5167.34</v>
      </c>
      <c r="V116" t="s">
        <v>9408</v>
      </c>
      <c r="W116" t="s">
        <v>424</v>
      </c>
    </row>
    <row r="117" spans="1:23" hidden="1" x14ac:dyDescent="0.2">
      <c r="A117">
        <v>2012</v>
      </c>
      <c r="B117" t="s">
        <v>303</v>
      </c>
      <c r="C117" s="733">
        <v>40918.546388888892</v>
      </c>
      <c r="D1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7" t="s">
        <v>505</v>
      </c>
      <c r="F117" t="s">
        <v>1915</v>
      </c>
      <c r="G117" t="s">
        <v>1930</v>
      </c>
      <c r="H117">
        <v>21869</v>
      </c>
      <c r="I117" t="s">
        <v>424</v>
      </c>
      <c r="J117" t="s">
        <v>1917</v>
      </c>
      <c r="K117" t="s">
        <v>1918</v>
      </c>
      <c r="L117" t="s">
        <v>1919</v>
      </c>
      <c r="M117">
        <v>267</v>
      </c>
      <c r="N117">
        <v>30</v>
      </c>
      <c r="O117">
        <v>2929.97</v>
      </c>
      <c r="P117">
        <v>1683.8244589999999</v>
      </c>
      <c r="Q117">
        <v>4613.7944589999997</v>
      </c>
      <c r="R117">
        <v>738.20711300000005</v>
      </c>
      <c r="S117">
        <v>184.55177800000001</v>
      </c>
      <c r="T117">
        <v>5167.4497940000001</v>
      </c>
      <c r="U117" t="s">
        <v>1931</v>
      </c>
      <c r="V117" t="s">
        <v>9408</v>
      </c>
      <c r="W117" t="s">
        <v>424</v>
      </c>
    </row>
    <row r="118" spans="1:23" hidden="1" x14ac:dyDescent="0.2">
      <c r="A118">
        <v>2012</v>
      </c>
      <c r="B118" t="s">
        <v>303</v>
      </c>
      <c r="C118" s="733">
        <v>40921</v>
      </c>
      <c r="D1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8" t="s">
        <v>505</v>
      </c>
      <c r="F118" t="s">
        <v>1915</v>
      </c>
      <c r="G118" t="s">
        <v>1932</v>
      </c>
      <c r="H118">
        <v>21927</v>
      </c>
      <c r="I118" t="s">
        <v>424</v>
      </c>
      <c r="J118" t="s">
        <v>1917</v>
      </c>
      <c r="K118" t="s">
        <v>1918</v>
      </c>
      <c r="L118" t="s">
        <v>1919</v>
      </c>
      <c r="M118">
        <v>267</v>
      </c>
      <c r="N118">
        <v>30</v>
      </c>
      <c r="O118">
        <v>2929.97</v>
      </c>
      <c r="P118">
        <v>1683.8244589999999</v>
      </c>
      <c r="Q118">
        <v>4613.7944589999997</v>
      </c>
      <c r="R118">
        <v>738.20711300000005</v>
      </c>
      <c r="S118">
        <v>184.55177800000001</v>
      </c>
      <c r="T118">
        <v>5167.4497940000001</v>
      </c>
      <c r="U118" t="s">
        <v>1931</v>
      </c>
      <c r="V118" t="s">
        <v>9408</v>
      </c>
      <c r="W118" t="s">
        <v>424</v>
      </c>
    </row>
    <row r="119" spans="1:23" hidden="1" x14ac:dyDescent="0.2">
      <c r="A119">
        <v>2012</v>
      </c>
      <c r="B119" t="s">
        <v>303</v>
      </c>
      <c r="C119" s="733">
        <v>40926</v>
      </c>
      <c r="D1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9" t="s">
        <v>505</v>
      </c>
      <c r="F119" t="s">
        <v>1915</v>
      </c>
      <c r="G119" t="s">
        <v>1933</v>
      </c>
      <c r="H119">
        <v>22052</v>
      </c>
      <c r="I119" t="s">
        <v>424</v>
      </c>
      <c r="J119" t="s">
        <v>1917</v>
      </c>
      <c r="K119" t="s">
        <v>1918</v>
      </c>
      <c r="L119" t="s">
        <v>1919</v>
      </c>
      <c r="M119">
        <v>267</v>
      </c>
      <c r="N119">
        <v>30</v>
      </c>
      <c r="O119">
        <v>2929.97</v>
      </c>
      <c r="P119">
        <v>1683.8244589999999</v>
      </c>
      <c r="Q119">
        <v>4613.7944589999997</v>
      </c>
      <c r="R119">
        <v>738.20711300000005</v>
      </c>
      <c r="S119">
        <v>184.55177800000001</v>
      </c>
      <c r="T119">
        <v>5167.4497940000001</v>
      </c>
      <c r="U119" t="s">
        <v>1928</v>
      </c>
      <c r="V119" t="s">
        <v>9408</v>
      </c>
      <c r="W119" t="s">
        <v>424</v>
      </c>
    </row>
    <row r="120" spans="1:23" hidden="1" x14ac:dyDescent="0.2">
      <c r="A120">
        <v>2012</v>
      </c>
      <c r="B120" t="s">
        <v>303</v>
      </c>
      <c r="C120" s="733">
        <v>40926</v>
      </c>
      <c r="D1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0" t="s">
        <v>505</v>
      </c>
      <c r="F120" t="s">
        <v>1915</v>
      </c>
      <c r="G120" t="s">
        <v>1934</v>
      </c>
      <c r="H120">
        <v>22049</v>
      </c>
      <c r="I120" t="s">
        <v>424</v>
      </c>
      <c r="J120" t="s">
        <v>1917</v>
      </c>
      <c r="K120" t="s">
        <v>1918</v>
      </c>
      <c r="L120" t="s">
        <v>1919</v>
      </c>
      <c r="M120">
        <v>267</v>
      </c>
      <c r="N120">
        <v>30</v>
      </c>
      <c r="O120">
        <v>2929.97</v>
      </c>
      <c r="P120">
        <v>1683.8244589999999</v>
      </c>
      <c r="Q120">
        <v>4613.7944589999997</v>
      </c>
      <c r="R120">
        <v>738.20711300000005</v>
      </c>
      <c r="S120">
        <v>184.55177800000001</v>
      </c>
      <c r="T120">
        <v>5167.4497940000001</v>
      </c>
      <c r="U120" t="s">
        <v>1928</v>
      </c>
      <c r="V120" t="s">
        <v>9408</v>
      </c>
      <c r="W120" t="s">
        <v>424</v>
      </c>
    </row>
    <row r="121" spans="1:23" hidden="1" x14ac:dyDescent="0.2">
      <c r="A121">
        <v>2012</v>
      </c>
      <c r="B121" t="s">
        <v>304</v>
      </c>
      <c r="C121" s="733">
        <v>40949.667210648149</v>
      </c>
      <c r="D1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1" t="s">
        <v>505</v>
      </c>
      <c r="F121" t="s">
        <v>1915</v>
      </c>
      <c r="G121" t="s">
        <v>1923</v>
      </c>
      <c r="H121">
        <v>22634</v>
      </c>
      <c r="I121" t="s">
        <v>424</v>
      </c>
      <c r="J121" t="s">
        <v>1917</v>
      </c>
      <c r="K121" t="s">
        <v>1918</v>
      </c>
      <c r="L121" t="s">
        <v>1919</v>
      </c>
      <c r="M121">
        <v>267</v>
      </c>
      <c r="N121">
        <v>27</v>
      </c>
      <c r="O121">
        <v>2636.97</v>
      </c>
      <c r="P121">
        <v>1515.4402889999999</v>
      </c>
      <c r="Q121">
        <v>4152.4102890000004</v>
      </c>
      <c r="R121">
        <v>664.38564599999995</v>
      </c>
      <c r="S121">
        <v>166.09641199999999</v>
      </c>
      <c r="T121">
        <v>4650.6995230000002</v>
      </c>
      <c r="U121" t="s">
        <v>1924</v>
      </c>
      <c r="V121" t="s">
        <v>9408</v>
      </c>
      <c r="W121" t="s">
        <v>424</v>
      </c>
    </row>
    <row r="122" spans="1:23" hidden="1" x14ac:dyDescent="0.2">
      <c r="A122">
        <v>2012</v>
      </c>
      <c r="B122" t="s">
        <v>303</v>
      </c>
      <c r="C122" s="733">
        <v>40915.527569444443</v>
      </c>
      <c r="D1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2" t="s">
        <v>505</v>
      </c>
      <c r="F122" t="s">
        <v>1915</v>
      </c>
      <c r="G122" t="s">
        <v>1922</v>
      </c>
      <c r="H122">
        <v>21807</v>
      </c>
      <c r="I122" t="s">
        <v>424</v>
      </c>
      <c r="J122" t="s">
        <v>1917</v>
      </c>
      <c r="K122" t="s">
        <v>1918</v>
      </c>
      <c r="L122" t="s">
        <v>1919</v>
      </c>
      <c r="M122">
        <v>267</v>
      </c>
      <c r="N122">
        <v>27</v>
      </c>
      <c r="O122">
        <v>2636.97</v>
      </c>
      <c r="P122">
        <v>1515.4402889999999</v>
      </c>
      <c r="Q122">
        <v>4152.4102890000004</v>
      </c>
      <c r="R122">
        <v>664.38564599999995</v>
      </c>
      <c r="S122">
        <v>166.09641199999999</v>
      </c>
      <c r="T122">
        <v>4650.6995230000002</v>
      </c>
      <c r="U122" t="s">
        <v>1920</v>
      </c>
      <c r="V122" t="s">
        <v>9408</v>
      </c>
      <c r="W122" t="s">
        <v>424</v>
      </c>
    </row>
    <row r="123" spans="1:23" hidden="1" x14ac:dyDescent="0.2">
      <c r="A123">
        <v>2012</v>
      </c>
      <c r="B123" t="s">
        <v>303</v>
      </c>
      <c r="C123" s="733">
        <v>40939</v>
      </c>
      <c r="D1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3" t="s">
        <v>505</v>
      </c>
      <c r="F123" t="s">
        <v>1915</v>
      </c>
      <c r="G123" t="s">
        <v>1937</v>
      </c>
      <c r="H123">
        <v>21686</v>
      </c>
      <c r="I123" t="s">
        <v>424</v>
      </c>
      <c r="J123" t="s">
        <v>1917</v>
      </c>
      <c r="K123" t="s">
        <v>1918</v>
      </c>
      <c r="L123" t="s">
        <v>1919</v>
      </c>
      <c r="M123">
        <v>267</v>
      </c>
      <c r="N123">
        <v>30</v>
      </c>
      <c r="O123">
        <v>2929.97</v>
      </c>
      <c r="P123">
        <v>1683.8244589999999</v>
      </c>
      <c r="Q123">
        <v>4613.7944589999997</v>
      </c>
      <c r="R123">
        <v>738.20711300000005</v>
      </c>
      <c r="S123">
        <v>184.55177800000001</v>
      </c>
      <c r="T123">
        <v>5167.4497940000001</v>
      </c>
      <c r="U123" t="s">
        <v>1936</v>
      </c>
      <c r="V123" t="s">
        <v>9408</v>
      </c>
      <c r="W123" t="s">
        <v>424</v>
      </c>
    </row>
    <row r="124" spans="1:23" hidden="1" x14ac:dyDescent="0.2">
      <c r="A124">
        <v>2012</v>
      </c>
      <c r="B124" t="s">
        <v>303</v>
      </c>
      <c r="C124" s="733">
        <v>40921</v>
      </c>
      <c r="D1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4" t="s">
        <v>505</v>
      </c>
      <c r="F124" t="s">
        <v>1915</v>
      </c>
      <c r="G124" t="s">
        <v>1938</v>
      </c>
      <c r="H124">
        <v>21924</v>
      </c>
      <c r="I124" t="s">
        <v>424</v>
      </c>
      <c r="J124" t="s">
        <v>1917</v>
      </c>
      <c r="K124" t="s">
        <v>1918</v>
      </c>
      <c r="L124" t="s">
        <v>1919</v>
      </c>
      <c r="M124">
        <v>267</v>
      </c>
      <c r="N124">
        <v>30</v>
      </c>
      <c r="O124">
        <v>2929.97</v>
      </c>
      <c r="P124">
        <v>1683.8244589999999</v>
      </c>
      <c r="Q124">
        <v>4613.7944589999997</v>
      </c>
      <c r="R124">
        <v>738.20711300000005</v>
      </c>
      <c r="S124">
        <v>184.55177800000001</v>
      </c>
      <c r="T124">
        <v>5167.4497940000001</v>
      </c>
      <c r="U124" t="s">
        <v>1931</v>
      </c>
      <c r="V124" t="s">
        <v>9408</v>
      </c>
      <c r="W124" t="s">
        <v>424</v>
      </c>
    </row>
    <row r="125" spans="1:23" hidden="1" x14ac:dyDescent="0.2">
      <c r="A125">
        <v>2012</v>
      </c>
      <c r="B125" t="s">
        <v>303</v>
      </c>
      <c r="C125" s="733">
        <v>40938</v>
      </c>
      <c r="D1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5" t="s">
        <v>505</v>
      </c>
      <c r="F125" t="s">
        <v>2065</v>
      </c>
      <c r="G125" t="s">
        <v>1935</v>
      </c>
      <c r="H125">
        <v>22341</v>
      </c>
      <c r="I125" t="s">
        <v>424</v>
      </c>
      <c r="J125" t="s">
        <v>1917</v>
      </c>
      <c r="K125" t="s">
        <v>1918</v>
      </c>
      <c r="L125" t="s">
        <v>1919</v>
      </c>
      <c r="M125">
        <v>267</v>
      </c>
      <c r="N125">
        <v>30</v>
      </c>
      <c r="O125">
        <v>2929.97</v>
      </c>
      <c r="P125">
        <v>1683.8244589999999</v>
      </c>
      <c r="Q125">
        <v>4613.7944589999997</v>
      </c>
      <c r="R125">
        <v>738.20711300000005</v>
      </c>
      <c r="S125">
        <v>184.55177800000001</v>
      </c>
      <c r="T125">
        <v>5167.4497940000001</v>
      </c>
      <c r="U125" t="s">
        <v>1936</v>
      </c>
      <c r="V125" t="s">
        <v>9408</v>
      </c>
      <c r="W125" t="s">
        <v>424</v>
      </c>
    </row>
    <row r="126" spans="1:23" hidden="1" x14ac:dyDescent="0.2">
      <c r="A126">
        <v>2012</v>
      </c>
      <c r="B126" t="s">
        <v>304</v>
      </c>
      <c r="C126" s="733">
        <v>40952</v>
      </c>
      <c r="D1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6" t="s">
        <v>505</v>
      </c>
      <c r="F126" t="s">
        <v>2065</v>
      </c>
      <c r="G126" t="s">
        <v>1952</v>
      </c>
      <c r="H126">
        <v>22695</v>
      </c>
      <c r="I126" t="s">
        <v>424</v>
      </c>
      <c r="J126" t="s">
        <v>1917</v>
      </c>
      <c r="K126" t="s">
        <v>1918</v>
      </c>
      <c r="L126" t="s">
        <v>1919</v>
      </c>
      <c r="M126">
        <v>267</v>
      </c>
      <c r="N126">
        <v>30</v>
      </c>
      <c r="O126">
        <v>2929.97</v>
      </c>
      <c r="P126">
        <v>1683.8244589999999</v>
      </c>
      <c r="Q126">
        <v>4613.7944589999997</v>
      </c>
      <c r="R126">
        <v>738.20711300000005</v>
      </c>
      <c r="S126">
        <v>184.55177800000001</v>
      </c>
      <c r="T126">
        <v>5167.4497940000001</v>
      </c>
      <c r="U126" t="s">
        <v>7522</v>
      </c>
      <c r="V126" t="s">
        <v>9408</v>
      </c>
      <c r="W126" t="s">
        <v>424</v>
      </c>
    </row>
    <row r="127" spans="1:23" hidden="1" x14ac:dyDescent="0.2">
      <c r="A127">
        <v>2012</v>
      </c>
      <c r="B127" t="s">
        <v>304</v>
      </c>
      <c r="C127" s="733">
        <v>40956</v>
      </c>
      <c r="D1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7" t="s">
        <v>505</v>
      </c>
      <c r="F127" t="s">
        <v>1915</v>
      </c>
      <c r="G127" t="s">
        <v>7886</v>
      </c>
      <c r="H127">
        <v>22810</v>
      </c>
      <c r="I127" t="s">
        <v>423</v>
      </c>
      <c r="J127" t="s">
        <v>1917</v>
      </c>
      <c r="K127" t="s">
        <v>1918</v>
      </c>
      <c r="L127" t="s">
        <v>1919</v>
      </c>
      <c r="M127">
        <v>267</v>
      </c>
      <c r="N127">
        <v>49.6</v>
      </c>
      <c r="O127">
        <v>11152.06</v>
      </c>
      <c r="P127">
        <v>0</v>
      </c>
      <c r="Q127">
        <v>11152.06</v>
      </c>
      <c r="R127">
        <v>1784.33</v>
      </c>
      <c r="S127">
        <v>446.08</v>
      </c>
      <c r="T127">
        <v>12490.31</v>
      </c>
      <c r="U127" t="s">
        <v>7529</v>
      </c>
      <c r="V127" t="s">
        <v>9409</v>
      </c>
      <c r="W127" t="s">
        <v>423</v>
      </c>
    </row>
    <row r="128" spans="1:23" hidden="1" x14ac:dyDescent="0.2">
      <c r="A128">
        <v>2012</v>
      </c>
      <c r="B128" t="s">
        <v>304</v>
      </c>
      <c r="C128" s="733">
        <v>40949.672164351854</v>
      </c>
      <c r="D1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8" t="s">
        <v>505</v>
      </c>
      <c r="F128" t="s">
        <v>1915</v>
      </c>
      <c r="G128" t="s">
        <v>1941</v>
      </c>
      <c r="H128">
        <v>22637</v>
      </c>
      <c r="I128" t="s">
        <v>424</v>
      </c>
      <c r="J128" t="s">
        <v>1917</v>
      </c>
      <c r="K128" t="s">
        <v>1918</v>
      </c>
      <c r="L128" t="s">
        <v>1919</v>
      </c>
      <c r="M128">
        <v>267</v>
      </c>
      <c r="N128">
        <v>30</v>
      </c>
      <c r="O128">
        <v>2929.97</v>
      </c>
      <c r="P128">
        <v>1683.8244589999999</v>
      </c>
      <c r="Q128">
        <v>4613.7944589999997</v>
      </c>
      <c r="R128">
        <v>738.20711300000005</v>
      </c>
      <c r="S128">
        <v>184.55177800000001</v>
      </c>
      <c r="T128">
        <v>5167.4497940000001</v>
      </c>
      <c r="U128" t="s">
        <v>1924</v>
      </c>
      <c r="V128" t="s">
        <v>9408</v>
      </c>
      <c r="W128" t="s">
        <v>424</v>
      </c>
    </row>
    <row r="129" spans="1:23" hidden="1" x14ac:dyDescent="0.2">
      <c r="A129">
        <v>2012</v>
      </c>
      <c r="B129" t="s">
        <v>304</v>
      </c>
      <c r="C129" s="733">
        <v>40954</v>
      </c>
      <c r="D1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9" t="s">
        <v>505</v>
      </c>
      <c r="F129" t="s">
        <v>2065</v>
      </c>
      <c r="G129" t="s">
        <v>7579</v>
      </c>
      <c r="H129">
        <v>22746</v>
      </c>
      <c r="I129" t="s">
        <v>424</v>
      </c>
      <c r="J129" t="s">
        <v>1917</v>
      </c>
      <c r="K129" t="s">
        <v>1918</v>
      </c>
      <c r="L129" t="s">
        <v>1919</v>
      </c>
      <c r="M129">
        <v>267</v>
      </c>
      <c r="N129">
        <v>30</v>
      </c>
      <c r="O129">
        <v>2929.97</v>
      </c>
      <c r="P129">
        <v>1683.8244589999999</v>
      </c>
      <c r="Q129">
        <v>4613.7944589999997</v>
      </c>
      <c r="R129">
        <v>738.20711300000005</v>
      </c>
      <c r="S129">
        <v>184.55177800000001</v>
      </c>
      <c r="T129">
        <v>5167.4497940000001</v>
      </c>
      <c r="U129" t="s">
        <v>7522</v>
      </c>
      <c r="V129" t="s">
        <v>9408</v>
      </c>
      <c r="W129" t="s">
        <v>424</v>
      </c>
    </row>
    <row r="130" spans="1:23" hidden="1" x14ac:dyDescent="0.2">
      <c r="A130">
        <v>2012</v>
      </c>
      <c r="B130" t="s">
        <v>304</v>
      </c>
      <c r="C130" s="733">
        <v>40946</v>
      </c>
      <c r="D1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0" t="s">
        <v>505</v>
      </c>
      <c r="F130" t="s">
        <v>2065</v>
      </c>
      <c r="G130" t="s">
        <v>4751</v>
      </c>
      <c r="H130">
        <v>22516</v>
      </c>
      <c r="I130" t="s">
        <v>424</v>
      </c>
      <c r="J130" t="s">
        <v>1917</v>
      </c>
      <c r="K130" t="s">
        <v>1918</v>
      </c>
      <c r="L130" t="s">
        <v>1919</v>
      </c>
      <c r="M130">
        <v>267</v>
      </c>
      <c r="N130">
        <v>30</v>
      </c>
      <c r="O130">
        <v>2929.97</v>
      </c>
      <c r="P130">
        <v>1683.8244589999999</v>
      </c>
      <c r="Q130">
        <v>4613.7944589999997</v>
      </c>
      <c r="R130">
        <v>738.20711300000005</v>
      </c>
      <c r="S130">
        <v>184.55177800000001</v>
      </c>
      <c r="T130">
        <v>5167.4497940000001</v>
      </c>
      <c r="U130" t="s">
        <v>1924</v>
      </c>
      <c r="V130" t="s">
        <v>9408</v>
      </c>
      <c r="W130" t="s">
        <v>424</v>
      </c>
    </row>
    <row r="131" spans="1:23" hidden="1" x14ac:dyDescent="0.2">
      <c r="A131">
        <v>2012</v>
      </c>
      <c r="B131" t="s">
        <v>303</v>
      </c>
      <c r="C131" s="733">
        <v>40931</v>
      </c>
      <c r="D1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1" t="s">
        <v>505</v>
      </c>
      <c r="F131" t="s">
        <v>2065</v>
      </c>
      <c r="G131" t="s">
        <v>4750</v>
      </c>
      <c r="H131">
        <v>22174</v>
      </c>
      <c r="I131" t="s">
        <v>424</v>
      </c>
      <c r="J131" t="s">
        <v>1917</v>
      </c>
      <c r="K131" t="s">
        <v>1918</v>
      </c>
      <c r="L131" t="s">
        <v>1919</v>
      </c>
      <c r="M131">
        <v>267</v>
      </c>
      <c r="N131">
        <v>30</v>
      </c>
      <c r="O131">
        <v>2929.97</v>
      </c>
      <c r="P131">
        <v>1683.8244589999999</v>
      </c>
      <c r="Q131">
        <v>4613.7944589999997</v>
      </c>
      <c r="R131">
        <v>738.20711300000005</v>
      </c>
      <c r="S131">
        <v>184.55177800000001</v>
      </c>
      <c r="T131">
        <v>5167.4497940000001</v>
      </c>
      <c r="U131" t="s">
        <v>1928</v>
      </c>
      <c r="V131" t="s">
        <v>9408</v>
      </c>
      <c r="W131" t="s">
        <v>424</v>
      </c>
    </row>
    <row r="132" spans="1:23" hidden="1" x14ac:dyDescent="0.2">
      <c r="A132">
        <v>2012</v>
      </c>
      <c r="B132" t="s">
        <v>303</v>
      </c>
      <c r="C132" s="733">
        <v>40939</v>
      </c>
      <c r="D1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2" t="s">
        <v>505</v>
      </c>
      <c r="F132" t="s">
        <v>1915</v>
      </c>
      <c r="G132" t="s">
        <v>1955</v>
      </c>
      <c r="H132">
        <v>21680</v>
      </c>
      <c r="I132" t="s">
        <v>423</v>
      </c>
      <c r="J132" t="s">
        <v>1954</v>
      </c>
      <c r="K132" t="s">
        <v>1918</v>
      </c>
      <c r="L132" t="s">
        <v>1919</v>
      </c>
      <c r="M132">
        <v>303</v>
      </c>
      <c r="N132">
        <v>54.4</v>
      </c>
      <c r="O132">
        <v>15019.84</v>
      </c>
      <c r="P132">
        <v>0</v>
      </c>
      <c r="Q132">
        <v>15019.84</v>
      </c>
      <c r="R132">
        <v>2403.17</v>
      </c>
      <c r="S132">
        <v>600.79</v>
      </c>
      <c r="T132">
        <v>16822.22</v>
      </c>
      <c r="U132" t="s">
        <v>1926</v>
      </c>
      <c r="V132" t="s">
        <v>9409</v>
      </c>
      <c r="W132" t="s">
        <v>423</v>
      </c>
    </row>
    <row r="133" spans="1:23" hidden="1" x14ac:dyDescent="0.2">
      <c r="A133">
        <v>2012</v>
      </c>
      <c r="B133" t="s">
        <v>305</v>
      </c>
      <c r="C133" s="733">
        <v>40970.507581018515</v>
      </c>
      <c r="D133" s="733" t="str">
        <f>CHOOSE(MONTH(Tabla_sqldatos_bonampakdb_Bon_v_ingresos2012[[#This Row],[fecha_guia]]),"Enero","Febrero","Marzo","Abril","Mayo","Junio","Julio","Agosto","Septiembre","Octubre","Noviembre","Diciembre")</f>
        <v>Marzo</v>
      </c>
      <c r="E133" t="s">
        <v>505</v>
      </c>
      <c r="F133" t="s">
        <v>1915</v>
      </c>
      <c r="G133" t="s">
        <v>9651</v>
      </c>
      <c r="H133">
        <v>23158</v>
      </c>
      <c r="I133" t="s">
        <v>424</v>
      </c>
      <c r="J133" t="s">
        <v>1954</v>
      </c>
      <c r="K133" t="s">
        <v>1918</v>
      </c>
      <c r="L133" t="s">
        <v>1919</v>
      </c>
      <c r="M133">
        <v>303</v>
      </c>
      <c r="N133">
        <v>30</v>
      </c>
      <c r="O133">
        <v>5862.3</v>
      </c>
      <c r="P133">
        <v>0</v>
      </c>
      <c r="Q133">
        <v>5862.3</v>
      </c>
      <c r="R133">
        <v>937.97</v>
      </c>
      <c r="S133">
        <v>234.49</v>
      </c>
      <c r="T133">
        <v>6565.78</v>
      </c>
      <c r="V133" t="s">
        <v>9408</v>
      </c>
      <c r="W133" t="s">
        <v>424</v>
      </c>
    </row>
    <row r="134" spans="1:23" hidden="1" x14ac:dyDescent="0.2">
      <c r="A134">
        <v>2012</v>
      </c>
      <c r="B134" t="s">
        <v>304</v>
      </c>
      <c r="C134" s="733">
        <v>40940</v>
      </c>
      <c r="D1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4" t="s">
        <v>505</v>
      </c>
      <c r="F134" t="s">
        <v>1915</v>
      </c>
      <c r="G134" t="s">
        <v>4758</v>
      </c>
      <c r="H134">
        <v>22398</v>
      </c>
      <c r="I134" t="s">
        <v>424</v>
      </c>
      <c r="J134" t="s">
        <v>1917</v>
      </c>
      <c r="K134" t="s">
        <v>1918</v>
      </c>
      <c r="L134" t="s">
        <v>1919</v>
      </c>
      <c r="M134">
        <v>267</v>
      </c>
      <c r="N134">
        <v>30</v>
      </c>
      <c r="O134">
        <v>2929.97</v>
      </c>
      <c r="P134">
        <v>1683.8244589999999</v>
      </c>
      <c r="Q134">
        <v>4613.7944589999997</v>
      </c>
      <c r="R134">
        <v>738.20711300000005</v>
      </c>
      <c r="S134">
        <v>184.55177800000001</v>
      </c>
      <c r="T134">
        <v>5167.4497940000001</v>
      </c>
      <c r="V134" t="s">
        <v>9408</v>
      </c>
      <c r="W134" t="s">
        <v>424</v>
      </c>
    </row>
    <row r="135" spans="1:23" hidden="1" x14ac:dyDescent="0.2">
      <c r="A135">
        <v>2012</v>
      </c>
      <c r="B135" t="s">
        <v>304</v>
      </c>
      <c r="C135" s="733">
        <v>40946</v>
      </c>
      <c r="D1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5" t="s">
        <v>505</v>
      </c>
      <c r="F135" t="s">
        <v>1915</v>
      </c>
      <c r="G135" t="s">
        <v>1929</v>
      </c>
      <c r="H135">
        <v>22513</v>
      </c>
      <c r="I135" t="s">
        <v>424</v>
      </c>
      <c r="J135" t="s">
        <v>1917</v>
      </c>
      <c r="K135" t="s">
        <v>1918</v>
      </c>
      <c r="L135" t="s">
        <v>1919</v>
      </c>
      <c r="M135">
        <v>267</v>
      </c>
      <c r="N135">
        <v>30</v>
      </c>
      <c r="O135">
        <v>2929.97</v>
      </c>
      <c r="P135">
        <v>1683.8244589999999</v>
      </c>
      <c r="Q135">
        <v>4613.7944589999997</v>
      </c>
      <c r="R135">
        <v>738.20711300000005</v>
      </c>
      <c r="S135">
        <v>184.55177800000001</v>
      </c>
      <c r="T135">
        <v>5167.4497940000001</v>
      </c>
      <c r="U135" t="s">
        <v>1924</v>
      </c>
      <c r="V135" t="s">
        <v>9408</v>
      </c>
      <c r="W135" t="s">
        <v>424</v>
      </c>
    </row>
    <row r="136" spans="1:23" hidden="1" x14ac:dyDescent="0.2">
      <c r="A136">
        <v>2012</v>
      </c>
      <c r="B136" t="s">
        <v>303</v>
      </c>
      <c r="C136" s="733">
        <v>40926</v>
      </c>
      <c r="D1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6" t="s">
        <v>505</v>
      </c>
      <c r="F136" t="s">
        <v>1915</v>
      </c>
      <c r="G136" t="s">
        <v>1927</v>
      </c>
      <c r="H136">
        <v>22046</v>
      </c>
      <c r="I136" t="s">
        <v>424</v>
      </c>
      <c r="J136" t="s">
        <v>1917</v>
      </c>
      <c r="K136" t="s">
        <v>1918</v>
      </c>
      <c r="L136" t="s">
        <v>1919</v>
      </c>
      <c r="M136">
        <v>267</v>
      </c>
      <c r="N136">
        <v>30</v>
      </c>
      <c r="O136">
        <v>2929.97</v>
      </c>
      <c r="P136">
        <v>1683.8244589999999</v>
      </c>
      <c r="Q136">
        <v>4613.7944589999997</v>
      </c>
      <c r="R136">
        <v>738.20711300000005</v>
      </c>
      <c r="S136">
        <v>184.55177800000001</v>
      </c>
      <c r="T136">
        <v>5167.4497940000001</v>
      </c>
      <c r="U136" t="s">
        <v>1928</v>
      </c>
      <c r="V136" t="s">
        <v>9408</v>
      </c>
      <c r="W136" t="s">
        <v>424</v>
      </c>
    </row>
    <row r="137" spans="1:23" hidden="1" x14ac:dyDescent="0.2">
      <c r="A137">
        <v>2012</v>
      </c>
      <c r="B137" t="s">
        <v>303</v>
      </c>
      <c r="C137" s="733">
        <v>40935.625451388885</v>
      </c>
      <c r="D1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7" t="s">
        <v>505</v>
      </c>
      <c r="F137" t="s">
        <v>1915</v>
      </c>
      <c r="G137" t="s">
        <v>2461</v>
      </c>
      <c r="H137">
        <v>22301</v>
      </c>
      <c r="I137" t="s">
        <v>424</v>
      </c>
      <c r="J137" t="s">
        <v>1917</v>
      </c>
      <c r="K137" t="s">
        <v>1918</v>
      </c>
      <c r="L137" t="s">
        <v>1919</v>
      </c>
      <c r="M137">
        <v>267</v>
      </c>
      <c r="N137">
        <v>30</v>
      </c>
      <c r="O137">
        <v>2929.97</v>
      </c>
      <c r="P137">
        <v>1683.8244589999999</v>
      </c>
      <c r="Q137">
        <v>4613.7944589999997</v>
      </c>
      <c r="R137">
        <v>738.20711300000005</v>
      </c>
      <c r="S137">
        <v>184.55177800000001</v>
      </c>
      <c r="T137">
        <v>5167.4497940000001</v>
      </c>
      <c r="U137" t="s">
        <v>1928</v>
      </c>
      <c r="V137" t="s">
        <v>9408</v>
      </c>
      <c r="W137" t="s">
        <v>424</v>
      </c>
    </row>
    <row r="138" spans="1:23" hidden="1" x14ac:dyDescent="0.2">
      <c r="A138">
        <v>2012</v>
      </c>
      <c r="B138" t="s">
        <v>304</v>
      </c>
      <c r="C138" s="733">
        <v>40941</v>
      </c>
      <c r="D1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8" t="s">
        <v>505</v>
      </c>
      <c r="F138" t="s">
        <v>1915</v>
      </c>
      <c r="G138" t="s">
        <v>2462</v>
      </c>
      <c r="H138">
        <v>22414</v>
      </c>
      <c r="I138" t="s">
        <v>424</v>
      </c>
      <c r="J138" t="s">
        <v>1917</v>
      </c>
      <c r="K138" t="s">
        <v>1918</v>
      </c>
      <c r="L138" t="s">
        <v>1919</v>
      </c>
      <c r="M138">
        <v>267</v>
      </c>
      <c r="N138">
        <v>30</v>
      </c>
      <c r="O138">
        <v>2929.97</v>
      </c>
      <c r="P138">
        <v>1683.8244589999999</v>
      </c>
      <c r="Q138">
        <v>4613.7944589999997</v>
      </c>
      <c r="R138">
        <v>738.20711300000005</v>
      </c>
      <c r="S138">
        <v>184.55177800000001</v>
      </c>
      <c r="T138">
        <v>5167.4497940000001</v>
      </c>
      <c r="U138" t="s">
        <v>1926</v>
      </c>
      <c r="V138" t="s">
        <v>9408</v>
      </c>
      <c r="W138" t="s">
        <v>424</v>
      </c>
    </row>
    <row r="139" spans="1:23" hidden="1" x14ac:dyDescent="0.2">
      <c r="A139">
        <v>2012</v>
      </c>
      <c r="B139" t="s">
        <v>304</v>
      </c>
      <c r="C139" s="733">
        <v>40957</v>
      </c>
      <c r="D1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9" t="s">
        <v>505</v>
      </c>
      <c r="F139" t="s">
        <v>1915</v>
      </c>
      <c r="G139" t="s">
        <v>7933</v>
      </c>
      <c r="H139">
        <v>22828</v>
      </c>
      <c r="I139" t="s">
        <v>424</v>
      </c>
      <c r="J139" t="s">
        <v>1917</v>
      </c>
      <c r="K139" t="s">
        <v>1918</v>
      </c>
      <c r="L139" t="s">
        <v>1919</v>
      </c>
      <c r="M139">
        <v>267</v>
      </c>
      <c r="N139">
        <v>30</v>
      </c>
      <c r="O139">
        <v>2929.97</v>
      </c>
      <c r="P139">
        <v>1683.8244589999999</v>
      </c>
      <c r="Q139">
        <v>4613.7944589999997</v>
      </c>
      <c r="R139">
        <v>738.20711300000005</v>
      </c>
      <c r="S139">
        <v>184.55177800000001</v>
      </c>
      <c r="T139">
        <v>5167.4497940000001</v>
      </c>
      <c r="U139" t="s">
        <v>7529</v>
      </c>
      <c r="V139" t="s">
        <v>9408</v>
      </c>
      <c r="W139" t="s">
        <v>424</v>
      </c>
    </row>
    <row r="140" spans="1:23" hidden="1" x14ac:dyDescent="0.2">
      <c r="A140">
        <v>2012</v>
      </c>
      <c r="B140" t="s">
        <v>303</v>
      </c>
      <c r="C140" s="733">
        <v>40924</v>
      </c>
      <c r="D1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0" t="s">
        <v>505</v>
      </c>
      <c r="F140" t="s">
        <v>1915</v>
      </c>
      <c r="G140" t="s">
        <v>2454</v>
      </c>
      <c r="H140">
        <v>22003</v>
      </c>
      <c r="I140" t="s">
        <v>424</v>
      </c>
      <c r="J140" t="s">
        <v>1917</v>
      </c>
      <c r="K140" t="s">
        <v>1918</v>
      </c>
      <c r="L140" t="s">
        <v>1919</v>
      </c>
      <c r="M140">
        <v>267</v>
      </c>
      <c r="N140">
        <v>30</v>
      </c>
      <c r="O140">
        <v>2929.97</v>
      </c>
      <c r="P140">
        <v>1683.8244589999999</v>
      </c>
      <c r="Q140">
        <v>4613.7944589999997</v>
      </c>
      <c r="R140">
        <v>738.20711300000005</v>
      </c>
      <c r="S140">
        <v>184.55177800000001</v>
      </c>
      <c r="T140">
        <v>5167.4497940000001</v>
      </c>
      <c r="U140" t="s">
        <v>1931</v>
      </c>
      <c r="V140" t="s">
        <v>9408</v>
      </c>
      <c r="W140" t="s">
        <v>424</v>
      </c>
    </row>
    <row r="141" spans="1:23" hidden="1" x14ac:dyDescent="0.2">
      <c r="A141">
        <v>2012</v>
      </c>
      <c r="B141" t="s">
        <v>304</v>
      </c>
      <c r="C141" s="733">
        <v>40947</v>
      </c>
      <c r="D1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1" t="s">
        <v>505</v>
      </c>
      <c r="F141" t="s">
        <v>1915</v>
      </c>
      <c r="G141" t="s">
        <v>2453</v>
      </c>
      <c r="H141">
        <v>22542</v>
      </c>
      <c r="I141" t="s">
        <v>424</v>
      </c>
      <c r="J141" t="s">
        <v>1917</v>
      </c>
      <c r="K141" t="s">
        <v>1918</v>
      </c>
      <c r="L141" t="s">
        <v>1919</v>
      </c>
      <c r="M141">
        <v>267</v>
      </c>
      <c r="N141">
        <v>30</v>
      </c>
      <c r="O141">
        <v>2929.97</v>
      </c>
      <c r="P141">
        <v>1683.8244589999999</v>
      </c>
      <c r="Q141">
        <v>4613.7944589999997</v>
      </c>
      <c r="R141">
        <v>738.20711300000005</v>
      </c>
      <c r="S141">
        <v>184.55177800000001</v>
      </c>
      <c r="T141">
        <v>5167.4497940000001</v>
      </c>
      <c r="U141" t="s">
        <v>1924</v>
      </c>
      <c r="V141" t="s">
        <v>9408</v>
      </c>
      <c r="W141" t="s">
        <v>424</v>
      </c>
    </row>
    <row r="142" spans="1:23" hidden="1" x14ac:dyDescent="0.2">
      <c r="A142">
        <v>2012</v>
      </c>
      <c r="B142" t="s">
        <v>303</v>
      </c>
      <c r="C142" s="733">
        <v>40921</v>
      </c>
      <c r="D1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2" t="s">
        <v>505</v>
      </c>
      <c r="F142" t="s">
        <v>1915</v>
      </c>
      <c r="G142" t="s">
        <v>2455</v>
      </c>
      <c r="H142">
        <v>21950</v>
      </c>
      <c r="I142" t="s">
        <v>423</v>
      </c>
      <c r="J142" t="s">
        <v>1917</v>
      </c>
      <c r="K142" t="s">
        <v>1918</v>
      </c>
      <c r="L142" t="s">
        <v>1919</v>
      </c>
      <c r="M142">
        <v>267</v>
      </c>
      <c r="N142">
        <v>25</v>
      </c>
      <c r="O142">
        <v>5621</v>
      </c>
      <c r="P142">
        <v>0</v>
      </c>
      <c r="Q142">
        <v>5621</v>
      </c>
      <c r="R142">
        <v>899.36</v>
      </c>
      <c r="S142">
        <v>224.84</v>
      </c>
      <c r="T142">
        <v>6295.52</v>
      </c>
      <c r="U142" t="s">
        <v>1931</v>
      </c>
      <c r="V142" t="s">
        <v>9408</v>
      </c>
      <c r="W142" t="s">
        <v>423</v>
      </c>
    </row>
    <row r="143" spans="1:23" hidden="1" x14ac:dyDescent="0.2">
      <c r="A143">
        <v>2012</v>
      </c>
      <c r="B143" t="s">
        <v>304</v>
      </c>
      <c r="C143" s="733">
        <v>40947</v>
      </c>
      <c r="D1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3" t="s">
        <v>505</v>
      </c>
      <c r="F143" t="s">
        <v>2065</v>
      </c>
      <c r="G143" t="s">
        <v>2464</v>
      </c>
      <c r="H143">
        <v>22539</v>
      </c>
      <c r="I143" t="s">
        <v>424</v>
      </c>
      <c r="J143" t="s">
        <v>1917</v>
      </c>
      <c r="K143" t="s">
        <v>1918</v>
      </c>
      <c r="L143" t="s">
        <v>1919</v>
      </c>
      <c r="M143">
        <v>267</v>
      </c>
      <c r="N143">
        <v>30</v>
      </c>
      <c r="O143">
        <v>2929.97</v>
      </c>
      <c r="P143">
        <v>1683.8244589999999</v>
      </c>
      <c r="Q143">
        <v>4613.7944589999997</v>
      </c>
      <c r="R143">
        <v>738.20711300000005</v>
      </c>
      <c r="S143">
        <v>184.55177800000001</v>
      </c>
      <c r="T143">
        <v>5167.4497940000001</v>
      </c>
      <c r="U143" t="s">
        <v>1924</v>
      </c>
      <c r="V143" t="s">
        <v>9408</v>
      </c>
      <c r="W143" t="s">
        <v>424</v>
      </c>
    </row>
    <row r="144" spans="1:23" hidden="1" x14ac:dyDescent="0.2">
      <c r="A144">
        <v>2012</v>
      </c>
      <c r="B144" t="s">
        <v>303</v>
      </c>
      <c r="C144" s="733">
        <v>40934</v>
      </c>
      <c r="D1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4" t="s">
        <v>505</v>
      </c>
      <c r="F144" t="s">
        <v>2065</v>
      </c>
      <c r="G144" t="s">
        <v>2465</v>
      </c>
      <c r="H144">
        <v>22257</v>
      </c>
      <c r="I144" t="s">
        <v>424</v>
      </c>
      <c r="J144" t="s">
        <v>1917</v>
      </c>
      <c r="K144" t="s">
        <v>1918</v>
      </c>
      <c r="L144" t="s">
        <v>1919</v>
      </c>
      <c r="M144">
        <v>267</v>
      </c>
      <c r="N144">
        <v>30</v>
      </c>
      <c r="O144">
        <v>2929.97</v>
      </c>
      <c r="P144">
        <v>1683.8244589999999</v>
      </c>
      <c r="Q144">
        <v>4613.7944589999997</v>
      </c>
      <c r="R144">
        <v>738.20711300000005</v>
      </c>
      <c r="S144">
        <v>184.55177800000001</v>
      </c>
      <c r="T144">
        <v>5167.4497940000001</v>
      </c>
      <c r="U144" t="s">
        <v>1928</v>
      </c>
      <c r="V144" t="s">
        <v>9408</v>
      </c>
      <c r="W144" t="s">
        <v>424</v>
      </c>
    </row>
    <row r="145" spans="1:23" hidden="1" x14ac:dyDescent="0.2">
      <c r="A145">
        <v>2012</v>
      </c>
      <c r="B145" t="s">
        <v>304</v>
      </c>
      <c r="C145" s="733">
        <v>40955</v>
      </c>
      <c r="D1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5" t="s">
        <v>505</v>
      </c>
      <c r="F145" t="s">
        <v>2065</v>
      </c>
      <c r="G145" t="s">
        <v>7879</v>
      </c>
      <c r="H145">
        <v>22770</v>
      </c>
      <c r="I145" t="s">
        <v>424</v>
      </c>
      <c r="J145" t="s">
        <v>1917</v>
      </c>
      <c r="K145" t="s">
        <v>1918</v>
      </c>
      <c r="L145" t="s">
        <v>1919</v>
      </c>
      <c r="M145">
        <v>267</v>
      </c>
      <c r="N145">
        <v>30</v>
      </c>
      <c r="O145">
        <v>2929.97</v>
      </c>
      <c r="P145">
        <v>1683.8244589999999</v>
      </c>
      <c r="Q145">
        <v>4613.7944589999997</v>
      </c>
      <c r="R145">
        <v>738.20711300000005</v>
      </c>
      <c r="S145">
        <v>184.55177800000001</v>
      </c>
      <c r="T145">
        <v>5167.4497940000001</v>
      </c>
      <c r="U145" t="s">
        <v>7522</v>
      </c>
      <c r="V145" t="s">
        <v>9408</v>
      </c>
      <c r="W145" t="s">
        <v>424</v>
      </c>
    </row>
    <row r="146" spans="1:23" hidden="1" x14ac:dyDescent="0.2">
      <c r="A146">
        <v>2012</v>
      </c>
      <c r="B146" t="s">
        <v>304</v>
      </c>
      <c r="C146" s="733">
        <v>40942</v>
      </c>
      <c r="D1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6" t="s">
        <v>505</v>
      </c>
      <c r="F146" t="s">
        <v>1915</v>
      </c>
      <c r="G146" t="s">
        <v>2467</v>
      </c>
      <c r="H146">
        <v>22480</v>
      </c>
      <c r="I146" t="s">
        <v>424</v>
      </c>
      <c r="J146" t="s">
        <v>1917</v>
      </c>
      <c r="K146" t="s">
        <v>1918</v>
      </c>
      <c r="L146" t="s">
        <v>1919</v>
      </c>
      <c r="M146">
        <v>267</v>
      </c>
      <c r="N146">
        <v>30</v>
      </c>
      <c r="O146">
        <v>2929.97</v>
      </c>
      <c r="P146">
        <v>1683.8244589999999</v>
      </c>
      <c r="Q146">
        <v>4613.7944589999997</v>
      </c>
      <c r="R146">
        <v>738.20711300000005</v>
      </c>
      <c r="S146">
        <v>184.55177800000001</v>
      </c>
      <c r="T146">
        <v>5167.4497940000001</v>
      </c>
      <c r="U146" t="s">
        <v>1924</v>
      </c>
      <c r="V146" t="s">
        <v>9408</v>
      </c>
      <c r="W146" t="s">
        <v>424</v>
      </c>
    </row>
    <row r="147" spans="1:23" hidden="1" x14ac:dyDescent="0.2">
      <c r="A147">
        <v>2012</v>
      </c>
      <c r="B147" t="s">
        <v>304</v>
      </c>
      <c r="C147" s="733">
        <v>40952</v>
      </c>
      <c r="D1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7" t="s">
        <v>505</v>
      </c>
      <c r="F147" t="s">
        <v>1915</v>
      </c>
      <c r="G147" t="s">
        <v>3033</v>
      </c>
      <c r="H147">
        <v>22651</v>
      </c>
      <c r="I147" t="s">
        <v>423</v>
      </c>
      <c r="J147" t="s">
        <v>1917</v>
      </c>
      <c r="K147" t="s">
        <v>1918</v>
      </c>
      <c r="L147" t="s">
        <v>1919</v>
      </c>
      <c r="M147">
        <v>267</v>
      </c>
      <c r="N147">
        <v>25.1</v>
      </c>
      <c r="O147">
        <v>5643.48</v>
      </c>
      <c r="P147">
        <v>0</v>
      </c>
      <c r="Q147">
        <v>5643.48</v>
      </c>
      <c r="R147">
        <v>902.96</v>
      </c>
      <c r="S147">
        <v>225.74</v>
      </c>
      <c r="T147">
        <v>6320.7</v>
      </c>
      <c r="U147" t="s">
        <v>7522</v>
      </c>
      <c r="V147" t="s">
        <v>9408</v>
      </c>
      <c r="W147" t="s">
        <v>423</v>
      </c>
    </row>
    <row r="148" spans="1:23" hidden="1" x14ac:dyDescent="0.2">
      <c r="A148">
        <v>2012</v>
      </c>
      <c r="B148" t="s">
        <v>303</v>
      </c>
      <c r="C148" s="733">
        <v>40922</v>
      </c>
      <c r="D1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8" t="s">
        <v>505</v>
      </c>
      <c r="F148" t="s">
        <v>1915</v>
      </c>
      <c r="G148" t="s">
        <v>2475</v>
      </c>
      <c r="H148">
        <v>21952</v>
      </c>
      <c r="I148" t="s">
        <v>424</v>
      </c>
      <c r="J148" t="s">
        <v>1917</v>
      </c>
      <c r="K148" t="s">
        <v>1918</v>
      </c>
      <c r="L148" t="s">
        <v>1919</v>
      </c>
      <c r="M148">
        <v>267</v>
      </c>
      <c r="N148">
        <v>30</v>
      </c>
      <c r="O148">
        <v>2929.97</v>
      </c>
      <c r="P148">
        <v>1683.8244589999999</v>
      </c>
      <c r="Q148">
        <v>4613.7944589999997</v>
      </c>
      <c r="R148">
        <v>738.20711300000005</v>
      </c>
      <c r="S148">
        <v>184.55177800000001</v>
      </c>
      <c r="T148">
        <v>5167.4497940000001</v>
      </c>
      <c r="U148" t="s">
        <v>1931</v>
      </c>
      <c r="V148" t="s">
        <v>9408</v>
      </c>
      <c r="W148" t="s">
        <v>424</v>
      </c>
    </row>
    <row r="149" spans="1:23" hidden="1" x14ac:dyDescent="0.2">
      <c r="A149">
        <v>2012</v>
      </c>
      <c r="B149" t="s">
        <v>303</v>
      </c>
      <c r="C149" s="733">
        <v>40934</v>
      </c>
      <c r="D1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9" t="s">
        <v>505</v>
      </c>
      <c r="F149" t="s">
        <v>1915</v>
      </c>
      <c r="G149" t="s">
        <v>2456</v>
      </c>
      <c r="H149">
        <v>22256</v>
      </c>
      <c r="I149" t="s">
        <v>424</v>
      </c>
      <c r="J149" t="s">
        <v>1917</v>
      </c>
      <c r="K149" t="s">
        <v>1918</v>
      </c>
      <c r="L149" t="s">
        <v>1919</v>
      </c>
      <c r="M149">
        <v>267</v>
      </c>
      <c r="N149">
        <v>27</v>
      </c>
      <c r="O149">
        <v>2636.97</v>
      </c>
      <c r="P149">
        <v>1515.4402889999999</v>
      </c>
      <c r="Q149">
        <v>4152.4102890000004</v>
      </c>
      <c r="R149">
        <v>664.38564599999995</v>
      </c>
      <c r="S149">
        <v>166.09641199999999</v>
      </c>
      <c r="T149">
        <v>4650.6995230000002</v>
      </c>
      <c r="U149" t="s">
        <v>1928</v>
      </c>
      <c r="V149" t="s">
        <v>9408</v>
      </c>
      <c r="W149" t="s">
        <v>424</v>
      </c>
    </row>
    <row r="150" spans="1:23" hidden="1" x14ac:dyDescent="0.2">
      <c r="A150">
        <v>2012</v>
      </c>
      <c r="B150" t="s">
        <v>304</v>
      </c>
      <c r="C150" s="733">
        <v>40949</v>
      </c>
      <c r="D1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0" t="s">
        <v>505</v>
      </c>
      <c r="F150" t="s">
        <v>1915</v>
      </c>
      <c r="G150" t="s">
        <v>2457</v>
      </c>
      <c r="H150">
        <v>22602</v>
      </c>
      <c r="I150" t="s">
        <v>424</v>
      </c>
      <c r="J150" t="s">
        <v>1917</v>
      </c>
      <c r="K150" t="s">
        <v>1918</v>
      </c>
      <c r="L150" t="s">
        <v>1919</v>
      </c>
      <c r="M150">
        <v>267</v>
      </c>
      <c r="N150">
        <v>27.03</v>
      </c>
      <c r="O150">
        <v>2639.9</v>
      </c>
      <c r="P150">
        <v>1517.124131</v>
      </c>
      <c r="Q150">
        <v>4157.0241310000001</v>
      </c>
      <c r="R150">
        <v>665.12386100000003</v>
      </c>
      <c r="S150">
        <v>166.28096500000001</v>
      </c>
      <c r="T150">
        <v>4655.8670270000002</v>
      </c>
      <c r="U150" t="s">
        <v>1924</v>
      </c>
      <c r="V150" t="s">
        <v>9408</v>
      </c>
      <c r="W150" t="s">
        <v>424</v>
      </c>
    </row>
    <row r="151" spans="1:23" hidden="1" x14ac:dyDescent="0.2">
      <c r="A151">
        <v>2012</v>
      </c>
      <c r="B151" t="s">
        <v>303</v>
      </c>
      <c r="C151" s="733">
        <v>40939</v>
      </c>
      <c r="D1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1" t="s">
        <v>505</v>
      </c>
      <c r="F151" t="s">
        <v>1915</v>
      </c>
      <c r="G151" t="s">
        <v>2468</v>
      </c>
      <c r="H151">
        <v>22360</v>
      </c>
      <c r="I151" t="s">
        <v>424</v>
      </c>
      <c r="J151" t="s">
        <v>1917</v>
      </c>
      <c r="K151" t="s">
        <v>1918</v>
      </c>
      <c r="L151" t="s">
        <v>1919</v>
      </c>
      <c r="M151">
        <v>267</v>
      </c>
      <c r="N151">
        <v>30</v>
      </c>
      <c r="O151">
        <v>2929.97</v>
      </c>
      <c r="P151">
        <v>1683.8244589999999</v>
      </c>
      <c r="Q151">
        <v>4613.7944589999997</v>
      </c>
      <c r="R151">
        <v>738.20711300000005</v>
      </c>
      <c r="S151">
        <v>184.55177800000001</v>
      </c>
      <c r="T151">
        <v>5167.4497940000001</v>
      </c>
      <c r="U151" t="s">
        <v>1936</v>
      </c>
      <c r="V151" t="s">
        <v>9408</v>
      </c>
      <c r="W151" t="s">
        <v>424</v>
      </c>
    </row>
    <row r="152" spans="1:23" hidden="1" x14ac:dyDescent="0.2">
      <c r="A152">
        <v>2012</v>
      </c>
      <c r="B152" t="s">
        <v>305</v>
      </c>
      <c r="C152" s="733">
        <v>40969</v>
      </c>
      <c r="D152" s="733" t="str">
        <f>CHOOSE(MONTH(Tabla_sqldatos_bonampakdb_Bon_v_ingresos2012[[#This Row],[fecha_guia]]),"Enero","Febrero","Marzo","Abril","Mayo","Junio","Julio","Agosto","Septiembre","Octubre","Noviembre","Diciembre")</f>
        <v>Marzo</v>
      </c>
      <c r="E152" t="s">
        <v>505</v>
      </c>
      <c r="F152" t="s">
        <v>1915</v>
      </c>
      <c r="G152" t="s">
        <v>9509</v>
      </c>
      <c r="H152">
        <v>23121</v>
      </c>
      <c r="I152" t="s">
        <v>424</v>
      </c>
      <c r="J152" t="s">
        <v>1917</v>
      </c>
      <c r="K152" t="s">
        <v>1918</v>
      </c>
      <c r="L152" t="s">
        <v>1919</v>
      </c>
      <c r="M152">
        <v>267</v>
      </c>
      <c r="N152">
        <v>30</v>
      </c>
      <c r="O152">
        <v>4613.7</v>
      </c>
      <c r="P152">
        <v>0</v>
      </c>
      <c r="Q152">
        <v>4613.7</v>
      </c>
      <c r="R152">
        <v>738.19</v>
      </c>
      <c r="S152">
        <v>184.55</v>
      </c>
      <c r="T152">
        <v>5167.34</v>
      </c>
      <c r="V152" t="s">
        <v>9408</v>
      </c>
      <c r="W152" t="s">
        <v>424</v>
      </c>
    </row>
    <row r="153" spans="1:23" hidden="1" x14ac:dyDescent="0.2">
      <c r="A153">
        <v>2012</v>
      </c>
      <c r="B153" t="s">
        <v>303</v>
      </c>
      <c r="C153" s="733">
        <v>40928</v>
      </c>
      <c r="D1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3" t="s">
        <v>505</v>
      </c>
      <c r="F153" t="s">
        <v>2065</v>
      </c>
      <c r="G153" t="s">
        <v>7388</v>
      </c>
      <c r="H153">
        <v>22127</v>
      </c>
      <c r="I153" t="s">
        <v>424</v>
      </c>
      <c r="J153" t="s">
        <v>1917</v>
      </c>
      <c r="K153" t="s">
        <v>1918</v>
      </c>
      <c r="L153" t="s">
        <v>1919</v>
      </c>
      <c r="M153">
        <v>267</v>
      </c>
      <c r="N153">
        <v>30</v>
      </c>
      <c r="O153">
        <v>2929.97</v>
      </c>
      <c r="P153">
        <v>1683.8244589999999</v>
      </c>
      <c r="Q153">
        <v>4613.7944589999997</v>
      </c>
      <c r="R153">
        <v>738.20711300000005</v>
      </c>
      <c r="S153">
        <v>184.55177800000001</v>
      </c>
      <c r="T153">
        <v>5167.4497940000001</v>
      </c>
      <c r="U153" t="s">
        <v>1928</v>
      </c>
      <c r="V153" t="s">
        <v>9408</v>
      </c>
      <c r="W153" t="s">
        <v>424</v>
      </c>
    </row>
    <row r="154" spans="1:23" hidden="1" x14ac:dyDescent="0.2">
      <c r="A154">
        <v>2012</v>
      </c>
      <c r="B154" t="s">
        <v>304</v>
      </c>
      <c r="C154" s="733">
        <v>40942.617812500001</v>
      </c>
      <c r="D1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4" t="s">
        <v>505</v>
      </c>
      <c r="F154" t="s">
        <v>2065</v>
      </c>
      <c r="G154" t="s">
        <v>7387</v>
      </c>
      <c r="H154">
        <v>22485</v>
      </c>
      <c r="I154" t="s">
        <v>424</v>
      </c>
      <c r="J154" t="s">
        <v>1917</v>
      </c>
      <c r="K154" t="s">
        <v>1918</v>
      </c>
      <c r="L154" t="s">
        <v>1919</v>
      </c>
      <c r="M154">
        <v>267</v>
      </c>
      <c r="N154">
        <v>30</v>
      </c>
      <c r="O154">
        <v>2929.97</v>
      </c>
      <c r="P154">
        <v>1683.8244589999999</v>
      </c>
      <c r="Q154">
        <v>4613.7944589999997</v>
      </c>
      <c r="R154">
        <v>738.20711300000005</v>
      </c>
      <c r="S154">
        <v>184.55177800000001</v>
      </c>
      <c r="T154">
        <v>5167.4497940000001</v>
      </c>
      <c r="U154" t="s">
        <v>1924</v>
      </c>
      <c r="V154" t="s">
        <v>9408</v>
      </c>
      <c r="W154" t="s">
        <v>424</v>
      </c>
    </row>
    <row r="155" spans="1:23" hidden="1" x14ac:dyDescent="0.2">
      <c r="A155">
        <v>2012</v>
      </c>
      <c r="B155" t="s">
        <v>303</v>
      </c>
      <c r="C155" s="733">
        <v>40934</v>
      </c>
      <c r="D1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5" t="s">
        <v>505</v>
      </c>
      <c r="F155" t="s">
        <v>1915</v>
      </c>
      <c r="G155" t="s">
        <v>2460</v>
      </c>
      <c r="H155">
        <v>22259</v>
      </c>
      <c r="I155" t="s">
        <v>424</v>
      </c>
      <c r="J155" t="s">
        <v>1917</v>
      </c>
      <c r="K155" t="s">
        <v>1918</v>
      </c>
      <c r="L155" t="s">
        <v>1919</v>
      </c>
      <c r="M155">
        <v>267</v>
      </c>
      <c r="N155">
        <v>30</v>
      </c>
      <c r="O155">
        <v>2929.97</v>
      </c>
      <c r="P155">
        <v>1683.8244589999999</v>
      </c>
      <c r="Q155">
        <v>4613.7944589999997</v>
      </c>
      <c r="R155">
        <v>738.20711300000005</v>
      </c>
      <c r="S155">
        <v>184.55177800000001</v>
      </c>
      <c r="T155">
        <v>5167.4497940000001</v>
      </c>
      <c r="U155" t="s">
        <v>1928</v>
      </c>
      <c r="V155" t="s">
        <v>9408</v>
      </c>
      <c r="W155" t="s">
        <v>424</v>
      </c>
    </row>
    <row r="156" spans="1:23" hidden="1" x14ac:dyDescent="0.2">
      <c r="A156">
        <v>2012</v>
      </c>
      <c r="B156" t="s">
        <v>303</v>
      </c>
      <c r="C156" s="733">
        <v>40914</v>
      </c>
      <c r="D1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6" t="s">
        <v>505</v>
      </c>
      <c r="F156" t="s">
        <v>1915</v>
      </c>
      <c r="G156" t="s">
        <v>7396</v>
      </c>
      <c r="H156">
        <v>21770</v>
      </c>
      <c r="I156" t="s">
        <v>423</v>
      </c>
      <c r="J156" t="s">
        <v>4760</v>
      </c>
      <c r="K156" t="s">
        <v>1918</v>
      </c>
      <c r="L156" t="s">
        <v>1919</v>
      </c>
      <c r="M156">
        <v>444</v>
      </c>
      <c r="N156">
        <v>29.88</v>
      </c>
      <c r="O156">
        <v>9272.9599999999991</v>
      </c>
      <c r="P156">
        <v>0</v>
      </c>
      <c r="Q156">
        <v>9272.9599999999991</v>
      </c>
      <c r="R156">
        <v>1483.67</v>
      </c>
      <c r="S156">
        <v>370.92</v>
      </c>
      <c r="T156">
        <v>10385.709999999999</v>
      </c>
      <c r="U156" t="s">
        <v>1920</v>
      </c>
      <c r="V156" t="s">
        <v>9408</v>
      </c>
      <c r="W156" t="s">
        <v>423</v>
      </c>
    </row>
    <row r="157" spans="1:23" hidden="1" x14ac:dyDescent="0.2">
      <c r="A157">
        <v>2012</v>
      </c>
      <c r="B157" t="s">
        <v>305</v>
      </c>
      <c r="C157" s="733">
        <v>40971</v>
      </c>
      <c r="D157" s="733" t="str">
        <f>CHOOSE(MONTH(Tabla_sqldatos_bonampakdb_Bon_v_ingresos2012[[#This Row],[fecha_guia]]),"Enero","Febrero","Marzo","Abril","Mayo","Junio","Julio","Agosto","Septiembre","Octubre","Noviembre","Diciembre")</f>
        <v>Marzo</v>
      </c>
      <c r="E157" t="s">
        <v>505</v>
      </c>
      <c r="F157" t="s">
        <v>1915</v>
      </c>
      <c r="G157" t="s">
        <v>9652</v>
      </c>
      <c r="H157">
        <v>23178</v>
      </c>
      <c r="I157" t="s">
        <v>424</v>
      </c>
      <c r="J157" t="s">
        <v>1954</v>
      </c>
      <c r="K157" t="s">
        <v>1918</v>
      </c>
      <c r="L157" t="s">
        <v>1919</v>
      </c>
      <c r="M157">
        <v>303</v>
      </c>
      <c r="N157">
        <v>30</v>
      </c>
      <c r="O157">
        <v>5862.3</v>
      </c>
      <c r="P157">
        <v>0</v>
      </c>
      <c r="Q157">
        <v>5862.3</v>
      </c>
      <c r="R157">
        <v>937.97</v>
      </c>
      <c r="S157">
        <v>234.49</v>
      </c>
      <c r="T157">
        <v>6565.78</v>
      </c>
      <c r="V157" t="s">
        <v>9408</v>
      </c>
      <c r="W157" t="s">
        <v>424</v>
      </c>
    </row>
    <row r="158" spans="1:23" hidden="1" x14ac:dyDescent="0.2">
      <c r="A158">
        <v>2012</v>
      </c>
      <c r="B158" t="s">
        <v>304</v>
      </c>
      <c r="C158" s="733">
        <v>40941</v>
      </c>
      <c r="D1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8" t="s">
        <v>505</v>
      </c>
      <c r="F158" t="s">
        <v>1915</v>
      </c>
      <c r="G158" t="s">
        <v>2458</v>
      </c>
      <c r="H158">
        <v>22419</v>
      </c>
      <c r="I158" t="s">
        <v>424</v>
      </c>
      <c r="J158" t="s">
        <v>1917</v>
      </c>
      <c r="K158" t="s">
        <v>1918</v>
      </c>
      <c r="L158" t="s">
        <v>1919</v>
      </c>
      <c r="M158">
        <v>267</v>
      </c>
      <c r="N158">
        <v>30</v>
      </c>
      <c r="O158">
        <v>2929.97</v>
      </c>
      <c r="P158">
        <v>1683.8244589999999</v>
      </c>
      <c r="Q158">
        <v>4613.7944589999997</v>
      </c>
      <c r="R158">
        <v>738.20711300000005</v>
      </c>
      <c r="S158">
        <v>184.55177800000001</v>
      </c>
      <c r="T158">
        <v>5167.4497940000001</v>
      </c>
      <c r="U158" t="s">
        <v>1926</v>
      </c>
      <c r="V158" t="s">
        <v>9408</v>
      </c>
      <c r="W158" t="s">
        <v>424</v>
      </c>
    </row>
    <row r="159" spans="1:23" hidden="1" x14ac:dyDescent="0.2">
      <c r="A159">
        <v>2012</v>
      </c>
      <c r="B159" t="s">
        <v>303</v>
      </c>
      <c r="C159" s="733">
        <v>40925</v>
      </c>
      <c r="D1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9" t="s">
        <v>505</v>
      </c>
      <c r="F159" t="s">
        <v>1915</v>
      </c>
      <c r="G159" t="s">
        <v>7394</v>
      </c>
      <c r="H159">
        <v>22007</v>
      </c>
      <c r="I159" t="s">
        <v>423</v>
      </c>
      <c r="J159" t="s">
        <v>1917</v>
      </c>
      <c r="K159" t="s">
        <v>1918</v>
      </c>
      <c r="L159" t="s">
        <v>1919</v>
      </c>
      <c r="M159">
        <v>267</v>
      </c>
      <c r="N159">
        <v>60.69</v>
      </c>
      <c r="O159">
        <v>13645.54</v>
      </c>
      <c r="P159">
        <v>0</v>
      </c>
      <c r="Q159">
        <v>13645.54</v>
      </c>
      <c r="R159">
        <v>2183.29</v>
      </c>
      <c r="S159">
        <v>545.82000000000005</v>
      </c>
      <c r="T159">
        <v>15283.01</v>
      </c>
      <c r="U159" t="s">
        <v>8778</v>
      </c>
      <c r="V159" t="s">
        <v>9409</v>
      </c>
      <c r="W159" t="s">
        <v>423</v>
      </c>
    </row>
    <row r="160" spans="1:23" hidden="1" x14ac:dyDescent="0.2">
      <c r="A160">
        <v>2012</v>
      </c>
      <c r="B160" t="s">
        <v>304</v>
      </c>
      <c r="C160" s="733">
        <v>40947</v>
      </c>
      <c r="D1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0" t="s">
        <v>505</v>
      </c>
      <c r="F160" t="s">
        <v>1915</v>
      </c>
      <c r="G160" t="s">
        <v>7395</v>
      </c>
      <c r="H160">
        <v>22545</v>
      </c>
      <c r="I160" t="s">
        <v>423</v>
      </c>
      <c r="J160" t="s">
        <v>1917</v>
      </c>
      <c r="K160" t="s">
        <v>1918</v>
      </c>
      <c r="L160" t="s">
        <v>1919</v>
      </c>
      <c r="M160">
        <v>267</v>
      </c>
      <c r="N160">
        <v>24.77</v>
      </c>
      <c r="O160">
        <v>5569.29</v>
      </c>
      <c r="P160">
        <v>0</v>
      </c>
      <c r="Q160">
        <v>5569.29</v>
      </c>
      <c r="R160">
        <v>891.09</v>
      </c>
      <c r="S160">
        <v>222.77</v>
      </c>
      <c r="T160">
        <v>6237.61</v>
      </c>
      <c r="U160" t="s">
        <v>1924</v>
      </c>
      <c r="V160" t="s">
        <v>9408</v>
      </c>
      <c r="W160" t="s">
        <v>423</v>
      </c>
    </row>
    <row r="161" spans="1:23" hidden="1" x14ac:dyDescent="0.2">
      <c r="A161">
        <v>2012</v>
      </c>
      <c r="B161" t="s">
        <v>304</v>
      </c>
      <c r="C161" s="733">
        <v>40967</v>
      </c>
      <c r="D1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1" t="s">
        <v>505</v>
      </c>
      <c r="F161" t="s">
        <v>1915</v>
      </c>
      <c r="G161" t="s">
        <v>8861</v>
      </c>
      <c r="H161">
        <v>23064</v>
      </c>
      <c r="I161" t="s">
        <v>423</v>
      </c>
      <c r="J161" t="s">
        <v>1917</v>
      </c>
      <c r="K161" t="s">
        <v>1918</v>
      </c>
      <c r="L161" t="s">
        <v>1919</v>
      </c>
      <c r="M161">
        <v>267</v>
      </c>
      <c r="N161">
        <v>24.9</v>
      </c>
      <c r="O161">
        <v>5598.52</v>
      </c>
      <c r="P161">
        <v>0</v>
      </c>
      <c r="Q161">
        <v>5598.52</v>
      </c>
      <c r="R161">
        <v>895.76</v>
      </c>
      <c r="S161">
        <v>223.94</v>
      </c>
      <c r="T161">
        <v>6270.34</v>
      </c>
      <c r="V161" t="s">
        <v>9409</v>
      </c>
      <c r="W161" t="s">
        <v>423</v>
      </c>
    </row>
    <row r="162" spans="1:23" hidden="1" x14ac:dyDescent="0.2">
      <c r="A162">
        <v>2012</v>
      </c>
      <c r="B162" t="s">
        <v>304</v>
      </c>
      <c r="C162" s="733">
        <v>40968</v>
      </c>
      <c r="D1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2" t="s">
        <v>505</v>
      </c>
      <c r="F162" t="s">
        <v>1915</v>
      </c>
      <c r="G162" t="s">
        <v>9511</v>
      </c>
      <c r="H162">
        <v>23067</v>
      </c>
      <c r="I162" t="s">
        <v>424</v>
      </c>
      <c r="J162" t="s">
        <v>1917</v>
      </c>
      <c r="K162" t="s">
        <v>1918</v>
      </c>
      <c r="L162" t="s">
        <v>1919</v>
      </c>
      <c r="M162">
        <v>267</v>
      </c>
      <c r="N162">
        <v>30</v>
      </c>
      <c r="O162">
        <v>4613.7</v>
      </c>
      <c r="P162">
        <v>0</v>
      </c>
      <c r="Q162">
        <v>4613.7</v>
      </c>
      <c r="R162">
        <v>738.19</v>
      </c>
      <c r="S162">
        <v>184.55</v>
      </c>
      <c r="T162">
        <v>5167.34</v>
      </c>
      <c r="V162" t="s">
        <v>9408</v>
      </c>
      <c r="W162" t="s">
        <v>424</v>
      </c>
    </row>
    <row r="163" spans="1:23" hidden="1" x14ac:dyDescent="0.2">
      <c r="A163">
        <v>2012</v>
      </c>
      <c r="B163" t="s">
        <v>304</v>
      </c>
      <c r="C163" s="733">
        <v>40964</v>
      </c>
      <c r="D1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3" t="s">
        <v>505</v>
      </c>
      <c r="F163" t="s">
        <v>1915</v>
      </c>
      <c r="G163" t="s">
        <v>8708</v>
      </c>
      <c r="H163">
        <v>23005</v>
      </c>
      <c r="I163" t="s">
        <v>424</v>
      </c>
      <c r="J163" t="s">
        <v>1917</v>
      </c>
      <c r="K163" t="s">
        <v>1918</v>
      </c>
      <c r="L163" t="s">
        <v>1919</v>
      </c>
      <c r="M163">
        <v>267</v>
      </c>
      <c r="N163">
        <v>30</v>
      </c>
      <c r="O163">
        <v>4613.7</v>
      </c>
      <c r="P163">
        <v>0</v>
      </c>
      <c r="Q163">
        <v>4613.7</v>
      </c>
      <c r="R163">
        <v>738.19</v>
      </c>
      <c r="S163">
        <v>184.55</v>
      </c>
      <c r="T163">
        <v>5167.34</v>
      </c>
      <c r="U163" t="s">
        <v>8778</v>
      </c>
      <c r="V163" t="s">
        <v>9408</v>
      </c>
      <c r="W163" t="s">
        <v>424</v>
      </c>
    </row>
    <row r="164" spans="1:23" hidden="1" x14ac:dyDescent="0.2">
      <c r="A164">
        <v>2012</v>
      </c>
      <c r="B164" t="s">
        <v>304</v>
      </c>
      <c r="C164" s="733">
        <v>40952</v>
      </c>
      <c r="D1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4" t="s">
        <v>505</v>
      </c>
      <c r="F164" t="s">
        <v>1915</v>
      </c>
      <c r="G164" t="s">
        <v>3423</v>
      </c>
      <c r="H164">
        <v>22680</v>
      </c>
      <c r="I164" t="s">
        <v>424</v>
      </c>
      <c r="J164" t="s">
        <v>1917</v>
      </c>
      <c r="K164" t="s">
        <v>1918</v>
      </c>
      <c r="L164" t="s">
        <v>1919</v>
      </c>
      <c r="M164">
        <v>267</v>
      </c>
      <c r="N164">
        <v>30</v>
      </c>
      <c r="O164">
        <v>2929.97</v>
      </c>
      <c r="P164">
        <v>1683.8244589999999</v>
      </c>
      <c r="Q164">
        <v>4613.7944589999997</v>
      </c>
      <c r="R164">
        <v>738.20711300000005</v>
      </c>
      <c r="S164">
        <v>184.55177800000001</v>
      </c>
      <c r="T164">
        <v>5167.4497940000001</v>
      </c>
      <c r="U164" t="s">
        <v>7522</v>
      </c>
      <c r="V164" t="s">
        <v>9408</v>
      </c>
      <c r="W164" t="s">
        <v>424</v>
      </c>
    </row>
    <row r="165" spans="1:23" hidden="1" x14ac:dyDescent="0.2">
      <c r="A165">
        <v>2012</v>
      </c>
      <c r="B165" t="s">
        <v>304</v>
      </c>
      <c r="C165" s="733">
        <v>40942</v>
      </c>
      <c r="D1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5" t="s">
        <v>505</v>
      </c>
      <c r="F165" t="s">
        <v>1915</v>
      </c>
      <c r="G165" t="s">
        <v>3424</v>
      </c>
      <c r="H165">
        <v>22441</v>
      </c>
      <c r="I165" t="s">
        <v>424</v>
      </c>
      <c r="J165" t="s">
        <v>1917</v>
      </c>
      <c r="K165" t="s">
        <v>1918</v>
      </c>
      <c r="L165" t="s">
        <v>1919</v>
      </c>
      <c r="M165">
        <v>267</v>
      </c>
      <c r="N165">
        <v>30</v>
      </c>
      <c r="O165">
        <v>2929.97</v>
      </c>
      <c r="P165">
        <v>1683.8244589999999</v>
      </c>
      <c r="Q165">
        <v>4613.7944589999997</v>
      </c>
      <c r="R165">
        <v>738.20711300000005</v>
      </c>
      <c r="S165">
        <v>184.55177800000001</v>
      </c>
      <c r="T165">
        <v>5167.4497940000001</v>
      </c>
      <c r="U165" t="s">
        <v>1926</v>
      </c>
      <c r="V165" t="s">
        <v>9408</v>
      </c>
      <c r="W165" t="s">
        <v>424</v>
      </c>
    </row>
    <row r="166" spans="1:23" hidden="1" x14ac:dyDescent="0.2">
      <c r="A166">
        <v>2012</v>
      </c>
      <c r="B166" t="s">
        <v>304</v>
      </c>
      <c r="C166" s="733">
        <v>40966</v>
      </c>
      <c r="D1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6" t="s">
        <v>505</v>
      </c>
      <c r="F166" t="s">
        <v>1915</v>
      </c>
      <c r="G166" t="s">
        <v>8799</v>
      </c>
      <c r="H166">
        <v>22923</v>
      </c>
      <c r="I166" t="s">
        <v>424</v>
      </c>
      <c r="J166" t="s">
        <v>1917</v>
      </c>
      <c r="K166" t="s">
        <v>1918</v>
      </c>
      <c r="L166" t="s">
        <v>1919</v>
      </c>
      <c r="M166">
        <v>267</v>
      </c>
      <c r="N166">
        <v>30</v>
      </c>
      <c r="O166">
        <v>4613.7</v>
      </c>
      <c r="P166">
        <v>0</v>
      </c>
      <c r="Q166">
        <v>4613.7</v>
      </c>
      <c r="R166">
        <v>738.19</v>
      </c>
      <c r="S166">
        <v>184.55</v>
      </c>
      <c r="T166">
        <v>5167.34</v>
      </c>
      <c r="V166" t="s">
        <v>9408</v>
      </c>
      <c r="W166" t="s">
        <v>424</v>
      </c>
    </row>
    <row r="167" spans="1:23" hidden="1" x14ac:dyDescent="0.2">
      <c r="A167">
        <v>2012</v>
      </c>
      <c r="B167" t="s">
        <v>304</v>
      </c>
      <c r="C167" s="733">
        <v>40949</v>
      </c>
      <c r="D1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7" t="s">
        <v>505</v>
      </c>
      <c r="F167" t="s">
        <v>2065</v>
      </c>
      <c r="G167" t="s">
        <v>3426</v>
      </c>
      <c r="H167">
        <v>22622</v>
      </c>
      <c r="I167" t="s">
        <v>424</v>
      </c>
      <c r="J167" t="s">
        <v>1917</v>
      </c>
      <c r="K167" t="s">
        <v>1918</v>
      </c>
      <c r="L167" t="s">
        <v>1919</v>
      </c>
      <c r="M167">
        <v>267</v>
      </c>
      <c r="N167">
        <v>30</v>
      </c>
      <c r="O167">
        <v>2929.97</v>
      </c>
      <c r="P167">
        <v>1683.8244589999999</v>
      </c>
      <c r="Q167">
        <v>4613.7944589999997</v>
      </c>
      <c r="R167">
        <v>738.20711300000005</v>
      </c>
      <c r="S167">
        <v>184.55177800000001</v>
      </c>
      <c r="T167">
        <v>5167.4497940000001</v>
      </c>
      <c r="U167" t="s">
        <v>1924</v>
      </c>
      <c r="V167" t="s">
        <v>9408</v>
      </c>
      <c r="W167" t="s">
        <v>424</v>
      </c>
    </row>
    <row r="168" spans="1:23" hidden="1" x14ac:dyDescent="0.2">
      <c r="A168">
        <v>2012</v>
      </c>
      <c r="B168" t="s">
        <v>303</v>
      </c>
      <c r="C168" s="733">
        <v>40915</v>
      </c>
      <c r="D1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8" t="s">
        <v>505</v>
      </c>
      <c r="F168" t="s">
        <v>2065</v>
      </c>
      <c r="G168" t="s">
        <v>7049</v>
      </c>
      <c r="H168">
        <v>21846</v>
      </c>
      <c r="I168" t="s">
        <v>424</v>
      </c>
      <c r="J168" t="s">
        <v>1917</v>
      </c>
      <c r="K168" t="s">
        <v>1918</v>
      </c>
      <c r="L168" t="s">
        <v>1919</v>
      </c>
      <c r="M168">
        <v>267</v>
      </c>
      <c r="N168">
        <v>30</v>
      </c>
      <c r="O168">
        <v>2929.97</v>
      </c>
      <c r="P168">
        <v>1683.8244589999999</v>
      </c>
      <c r="Q168">
        <v>4613.7944589999997</v>
      </c>
      <c r="R168">
        <v>738.20711300000005</v>
      </c>
      <c r="S168">
        <v>184.55177800000001</v>
      </c>
      <c r="T168">
        <v>5167.4497940000001</v>
      </c>
      <c r="U168" t="s">
        <v>1920</v>
      </c>
      <c r="V168" t="s">
        <v>9408</v>
      </c>
      <c r="W168" t="s">
        <v>424</v>
      </c>
    </row>
    <row r="169" spans="1:23" hidden="1" x14ac:dyDescent="0.2">
      <c r="A169">
        <v>2012</v>
      </c>
      <c r="B169" t="s">
        <v>304</v>
      </c>
      <c r="C169" s="733">
        <v>40942</v>
      </c>
      <c r="D1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9" t="s">
        <v>505</v>
      </c>
      <c r="F169" t="s">
        <v>1915</v>
      </c>
      <c r="G169" t="s">
        <v>3443</v>
      </c>
      <c r="H169">
        <v>22455</v>
      </c>
      <c r="I169" t="s">
        <v>424</v>
      </c>
      <c r="J169" t="s">
        <v>1917</v>
      </c>
      <c r="K169" t="s">
        <v>1918</v>
      </c>
      <c r="L169" t="s">
        <v>1919</v>
      </c>
      <c r="M169">
        <v>267</v>
      </c>
      <c r="N169">
        <v>30</v>
      </c>
      <c r="O169">
        <v>2929.97</v>
      </c>
      <c r="P169">
        <v>1683.8244589999999</v>
      </c>
      <c r="Q169">
        <v>4613.7944589999997</v>
      </c>
      <c r="R169">
        <v>738.20711300000005</v>
      </c>
      <c r="S169">
        <v>184.55177800000001</v>
      </c>
      <c r="T169">
        <v>5167.4497940000001</v>
      </c>
      <c r="U169" t="s">
        <v>1926</v>
      </c>
      <c r="V169" t="s">
        <v>9408</v>
      </c>
      <c r="W169" t="s">
        <v>424</v>
      </c>
    </row>
    <row r="170" spans="1:23" hidden="1" x14ac:dyDescent="0.2">
      <c r="A170">
        <v>2012</v>
      </c>
      <c r="B170" t="s">
        <v>304</v>
      </c>
      <c r="C170" s="733">
        <v>40959</v>
      </c>
      <c r="D1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0" t="s">
        <v>505</v>
      </c>
      <c r="F170" t="s">
        <v>1915</v>
      </c>
      <c r="G170" t="s">
        <v>8218</v>
      </c>
      <c r="H170">
        <v>22856</v>
      </c>
      <c r="I170" t="s">
        <v>424</v>
      </c>
      <c r="J170" t="s">
        <v>1917</v>
      </c>
      <c r="K170" t="s">
        <v>1918</v>
      </c>
      <c r="L170" t="s">
        <v>1919</v>
      </c>
      <c r="M170">
        <v>267</v>
      </c>
      <c r="N170">
        <v>27</v>
      </c>
      <c r="O170">
        <v>4152.33</v>
      </c>
      <c r="P170">
        <v>0</v>
      </c>
      <c r="Q170">
        <v>4152.33</v>
      </c>
      <c r="R170">
        <v>664.37</v>
      </c>
      <c r="S170">
        <v>166.09</v>
      </c>
      <c r="T170">
        <v>4650.6099999999997</v>
      </c>
      <c r="U170" t="s">
        <v>8491</v>
      </c>
      <c r="V170" t="s">
        <v>9408</v>
      </c>
      <c r="W170" t="s">
        <v>424</v>
      </c>
    </row>
    <row r="171" spans="1:23" hidden="1" x14ac:dyDescent="0.2">
      <c r="A171">
        <v>2012</v>
      </c>
      <c r="B171" t="s">
        <v>304</v>
      </c>
      <c r="C171" s="733">
        <v>40954</v>
      </c>
      <c r="D1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1" t="s">
        <v>505</v>
      </c>
      <c r="F171" t="s">
        <v>1915</v>
      </c>
      <c r="G171" t="s">
        <v>3421</v>
      </c>
      <c r="H171">
        <v>22753</v>
      </c>
      <c r="I171" t="s">
        <v>424</v>
      </c>
      <c r="J171" t="s">
        <v>1917</v>
      </c>
      <c r="K171" t="s">
        <v>1918</v>
      </c>
      <c r="L171" t="s">
        <v>1919</v>
      </c>
      <c r="M171">
        <v>267</v>
      </c>
      <c r="N171">
        <v>27</v>
      </c>
      <c r="O171">
        <v>2636.97</v>
      </c>
      <c r="P171">
        <v>1515.4402889999999</v>
      </c>
      <c r="Q171">
        <v>4152.4102890000004</v>
      </c>
      <c r="R171">
        <v>664.38564599999995</v>
      </c>
      <c r="S171">
        <v>166.09641199999999</v>
      </c>
      <c r="T171">
        <v>4650.6995230000002</v>
      </c>
      <c r="U171" t="s">
        <v>7522</v>
      </c>
      <c r="V171" t="s">
        <v>9408</v>
      </c>
      <c r="W171" t="s">
        <v>424</v>
      </c>
    </row>
    <row r="172" spans="1:23" hidden="1" x14ac:dyDescent="0.2">
      <c r="A172">
        <v>2012</v>
      </c>
      <c r="B172" t="s">
        <v>303</v>
      </c>
      <c r="C172" s="733">
        <v>40932</v>
      </c>
      <c r="D1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2" t="s">
        <v>505</v>
      </c>
      <c r="F172" t="s">
        <v>1915</v>
      </c>
      <c r="G172" t="s">
        <v>3420</v>
      </c>
      <c r="H172">
        <v>22199</v>
      </c>
      <c r="I172" t="s">
        <v>424</v>
      </c>
      <c r="J172" t="s">
        <v>1917</v>
      </c>
      <c r="K172" t="s">
        <v>1918</v>
      </c>
      <c r="L172" t="s">
        <v>1919</v>
      </c>
      <c r="M172">
        <v>267</v>
      </c>
      <c r="N172">
        <v>27</v>
      </c>
      <c r="O172">
        <v>2636.97</v>
      </c>
      <c r="P172">
        <v>1515.4402889999999</v>
      </c>
      <c r="Q172">
        <v>4152.4102890000004</v>
      </c>
      <c r="R172">
        <v>664.38564599999995</v>
      </c>
      <c r="S172">
        <v>166.09641199999999</v>
      </c>
      <c r="T172">
        <v>4650.6995230000002</v>
      </c>
      <c r="U172" t="s">
        <v>1928</v>
      </c>
      <c r="V172" t="s">
        <v>9408</v>
      </c>
      <c r="W172" t="s">
        <v>424</v>
      </c>
    </row>
    <row r="173" spans="1:23" hidden="1" x14ac:dyDescent="0.2">
      <c r="A173">
        <v>2012</v>
      </c>
      <c r="B173" t="s">
        <v>303</v>
      </c>
      <c r="C173" s="733">
        <v>40932</v>
      </c>
      <c r="D1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3" t="s">
        <v>505</v>
      </c>
      <c r="F173" t="s">
        <v>1915</v>
      </c>
      <c r="G173" t="s">
        <v>7052</v>
      </c>
      <c r="H173">
        <v>22206</v>
      </c>
      <c r="I173" t="s">
        <v>423</v>
      </c>
      <c r="J173" t="s">
        <v>1917</v>
      </c>
      <c r="K173" t="s">
        <v>1918</v>
      </c>
      <c r="L173" t="s">
        <v>1919</v>
      </c>
      <c r="M173">
        <v>267</v>
      </c>
      <c r="N173">
        <v>50.18</v>
      </c>
      <c r="O173">
        <v>11282.47</v>
      </c>
      <c r="P173">
        <v>0</v>
      </c>
      <c r="Q173">
        <v>11282.47</v>
      </c>
      <c r="R173">
        <v>1805.2</v>
      </c>
      <c r="S173">
        <v>451.3</v>
      </c>
      <c r="T173">
        <v>12636.37</v>
      </c>
      <c r="U173" t="s">
        <v>8778</v>
      </c>
      <c r="V173" t="s">
        <v>9409</v>
      </c>
      <c r="W173" t="s">
        <v>423</v>
      </c>
    </row>
    <row r="174" spans="1:23" hidden="1" x14ac:dyDescent="0.2">
      <c r="A174">
        <v>2012</v>
      </c>
      <c r="B174" t="s">
        <v>304</v>
      </c>
      <c r="C174" s="733">
        <v>40955.524699074071</v>
      </c>
      <c r="D1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4" t="s">
        <v>505</v>
      </c>
      <c r="F174" t="s">
        <v>1915</v>
      </c>
      <c r="G174" t="s">
        <v>7732</v>
      </c>
      <c r="H174">
        <v>22791</v>
      </c>
      <c r="I174" t="s">
        <v>424</v>
      </c>
      <c r="J174" t="s">
        <v>1917</v>
      </c>
      <c r="K174" t="s">
        <v>1918</v>
      </c>
      <c r="L174" t="s">
        <v>1919</v>
      </c>
      <c r="M174">
        <v>267</v>
      </c>
      <c r="N174">
        <v>30</v>
      </c>
      <c r="O174">
        <v>2929.97</v>
      </c>
      <c r="P174">
        <v>1683.8244589999999</v>
      </c>
      <c r="Q174">
        <v>4613.7944589999997</v>
      </c>
      <c r="R174">
        <v>738.20711300000005</v>
      </c>
      <c r="S174">
        <v>184.55177800000001</v>
      </c>
      <c r="T174">
        <v>5167.4497940000001</v>
      </c>
      <c r="U174" t="s">
        <v>7522</v>
      </c>
      <c r="V174" t="s">
        <v>9408</v>
      </c>
      <c r="W174" t="s">
        <v>424</v>
      </c>
    </row>
    <row r="175" spans="1:23" hidden="1" x14ac:dyDescent="0.2">
      <c r="A175">
        <v>2012</v>
      </c>
      <c r="B175" t="s">
        <v>304</v>
      </c>
      <c r="C175" s="733">
        <v>40963</v>
      </c>
      <c r="D1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5" t="s">
        <v>505</v>
      </c>
      <c r="F175" t="s">
        <v>1915</v>
      </c>
      <c r="G175" t="s">
        <v>8501</v>
      </c>
      <c r="H175">
        <v>22974</v>
      </c>
      <c r="I175" t="s">
        <v>424</v>
      </c>
      <c r="J175" t="s">
        <v>1917</v>
      </c>
      <c r="K175" t="s">
        <v>1918</v>
      </c>
      <c r="L175" t="s">
        <v>1919</v>
      </c>
      <c r="M175">
        <v>267</v>
      </c>
      <c r="N175">
        <v>54</v>
      </c>
      <c r="O175">
        <v>8304.66</v>
      </c>
      <c r="P175">
        <v>0</v>
      </c>
      <c r="Q175">
        <v>8304.66</v>
      </c>
      <c r="R175">
        <v>1328.75</v>
      </c>
      <c r="S175">
        <v>332.19</v>
      </c>
      <c r="T175">
        <v>9301.2199999999993</v>
      </c>
      <c r="U175" t="s">
        <v>8778</v>
      </c>
      <c r="V175" t="s">
        <v>9409</v>
      </c>
      <c r="W175" t="s">
        <v>424</v>
      </c>
    </row>
    <row r="176" spans="1:23" hidden="1" x14ac:dyDescent="0.2">
      <c r="A176">
        <v>2012</v>
      </c>
      <c r="B176" t="s">
        <v>303</v>
      </c>
      <c r="C176" s="733">
        <v>40920</v>
      </c>
      <c r="D1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6" t="s">
        <v>505</v>
      </c>
      <c r="F176" t="s">
        <v>1915</v>
      </c>
      <c r="G176" t="s">
        <v>3439</v>
      </c>
      <c r="H176">
        <v>21909</v>
      </c>
      <c r="I176" t="s">
        <v>424</v>
      </c>
      <c r="J176" t="s">
        <v>1917</v>
      </c>
      <c r="K176" t="s">
        <v>1918</v>
      </c>
      <c r="L176" t="s">
        <v>1919</v>
      </c>
      <c r="M176">
        <v>267</v>
      </c>
      <c r="N176">
        <v>30</v>
      </c>
      <c r="O176">
        <v>2929.97</v>
      </c>
      <c r="P176">
        <v>1683.8244589999999</v>
      </c>
      <c r="Q176">
        <v>4613.7944589999997</v>
      </c>
      <c r="R176">
        <v>738.20711300000005</v>
      </c>
      <c r="S176">
        <v>184.55177800000001</v>
      </c>
      <c r="T176">
        <v>5167.4497940000001</v>
      </c>
      <c r="U176" t="s">
        <v>1931</v>
      </c>
      <c r="V176" t="s">
        <v>9408</v>
      </c>
      <c r="W176" t="s">
        <v>424</v>
      </c>
    </row>
    <row r="177" spans="1:23" hidden="1" x14ac:dyDescent="0.2">
      <c r="A177">
        <v>2012</v>
      </c>
      <c r="B177" t="s">
        <v>303</v>
      </c>
      <c r="C177" s="733">
        <v>40922</v>
      </c>
      <c r="D1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7" t="s">
        <v>505</v>
      </c>
      <c r="F177" t="s">
        <v>2065</v>
      </c>
      <c r="G177" t="s">
        <v>3440</v>
      </c>
      <c r="H177">
        <v>21967</v>
      </c>
      <c r="I177" t="s">
        <v>424</v>
      </c>
      <c r="J177" t="s">
        <v>1917</v>
      </c>
      <c r="K177" t="s">
        <v>1918</v>
      </c>
      <c r="L177" t="s">
        <v>1919</v>
      </c>
      <c r="M177">
        <v>267</v>
      </c>
      <c r="N177">
        <v>30</v>
      </c>
      <c r="O177">
        <v>2929.97</v>
      </c>
      <c r="P177">
        <v>1683.8244589999999</v>
      </c>
      <c r="Q177">
        <v>4613.7944589999997</v>
      </c>
      <c r="R177">
        <v>738.20711300000005</v>
      </c>
      <c r="S177">
        <v>184.55177800000001</v>
      </c>
      <c r="T177">
        <v>5167.4497940000001</v>
      </c>
      <c r="U177" t="s">
        <v>1931</v>
      </c>
      <c r="V177" t="s">
        <v>9408</v>
      </c>
      <c r="W177" t="s">
        <v>424</v>
      </c>
    </row>
    <row r="178" spans="1:23" hidden="1" x14ac:dyDescent="0.2">
      <c r="A178">
        <v>2012</v>
      </c>
      <c r="B178" t="s">
        <v>303</v>
      </c>
      <c r="C178" s="733">
        <v>40927</v>
      </c>
      <c r="D1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8" t="s">
        <v>505</v>
      </c>
      <c r="F178" t="s">
        <v>1915</v>
      </c>
      <c r="G178" t="s">
        <v>3442</v>
      </c>
      <c r="H178">
        <v>22083</v>
      </c>
      <c r="I178" t="s">
        <v>424</v>
      </c>
      <c r="J178" t="s">
        <v>1917</v>
      </c>
      <c r="K178" t="s">
        <v>1918</v>
      </c>
      <c r="L178" t="s">
        <v>1919</v>
      </c>
      <c r="M178">
        <v>267</v>
      </c>
      <c r="N178">
        <v>30</v>
      </c>
      <c r="O178">
        <v>2929.97</v>
      </c>
      <c r="P178">
        <v>1683.8244589999999</v>
      </c>
      <c r="Q178">
        <v>4613.7944589999997</v>
      </c>
      <c r="R178">
        <v>738.20711300000005</v>
      </c>
      <c r="S178">
        <v>184.55177800000001</v>
      </c>
      <c r="T178">
        <v>5167.4497940000001</v>
      </c>
      <c r="U178" t="s">
        <v>1928</v>
      </c>
      <c r="V178" t="s">
        <v>9408</v>
      </c>
      <c r="W178" t="s">
        <v>424</v>
      </c>
    </row>
    <row r="179" spans="1:23" hidden="1" x14ac:dyDescent="0.2">
      <c r="A179">
        <v>2012</v>
      </c>
      <c r="B179" t="s">
        <v>303</v>
      </c>
      <c r="C179" s="733">
        <v>40935.867974537039</v>
      </c>
      <c r="D1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9" t="s">
        <v>505</v>
      </c>
      <c r="F179" t="s">
        <v>1915</v>
      </c>
      <c r="G179" t="s">
        <v>7053</v>
      </c>
      <c r="H179">
        <v>22321</v>
      </c>
      <c r="I179" t="s">
        <v>423</v>
      </c>
      <c r="J179" t="s">
        <v>1917</v>
      </c>
      <c r="K179" t="s">
        <v>1918</v>
      </c>
      <c r="L179" t="s">
        <v>1919</v>
      </c>
      <c r="M179">
        <v>267</v>
      </c>
      <c r="N179">
        <v>25.1</v>
      </c>
      <c r="O179">
        <v>5643.48</v>
      </c>
      <c r="P179">
        <v>0</v>
      </c>
      <c r="Q179">
        <v>5643.48</v>
      </c>
      <c r="R179">
        <v>902.96</v>
      </c>
      <c r="S179">
        <v>225.74</v>
      </c>
      <c r="T179">
        <v>6320.7</v>
      </c>
      <c r="U179" t="s">
        <v>1926</v>
      </c>
      <c r="V179" t="s">
        <v>9408</v>
      </c>
      <c r="W179" t="s">
        <v>423</v>
      </c>
    </row>
    <row r="180" spans="1:23" hidden="1" x14ac:dyDescent="0.2">
      <c r="A180">
        <v>2012</v>
      </c>
      <c r="B180" t="s">
        <v>304</v>
      </c>
      <c r="C180" s="733">
        <v>40955</v>
      </c>
      <c r="D1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0" t="s">
        <v>505</v>
      </c>
      <c r="F180" t="s">
        <v>1915</v>
      </c>
      <c r="G180" t="s">
        <v>7734</v>
      </c>
      <c r="H180">
        <v>22792</v>
      </c>
      <c r="I180" t="s">
        <v>424</v>
      </c>
      <c r="J180" t="s">
        <v>1917</v>
      </c>
      <c r="K180" t="s">
        <v>1918</v>
      </c>
      <c r="L180" t="s">
        <v>1919</v>
      </c>
      <c r="M180">
        <v>267</v>
      </c>
      <c r="N180">
        <v>30</v>
      </c>
      <c r="O180">
        <v>2929.97</v>
      </c>
      <c r="P180">
        <v>1683.8244589999999</v>
      </c>
      <c r="Q180">
        <v>4613.7944589999997</v>
      </c>
      <c r="R180">
        <v>738.20711300000005</v>
      </c>
      <c r="S180">
        <v>184.55177800000001</v>
      </c>
      <c r="T180">
        <v>5167.4497940000001</v>
      </c>
      <c r="U180" t="s">
        <v>7522</v>
      </c>
      <c r="V180" t="s">
        <v>9408</v>
      </c>
      <c r="W180" t="s">
        <v>424</v>
      </c>
    </row>
    <row r="181" spans="1:23" hidden="1" x14ac:dyDescent="0.2">
      <c r="A181">
        <v>2012</v>
      </c>
      <c r="B181" t="s">
        <v>304</v>
      </c>
      <c r="C181" s="733">
        <v>40949</v>
      </c>
      <c r="D1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1" t="s">
        <v>505</v>
      </c>
      <c r="F181" t="s">
        <v>1915</v>
      </c>
      <c r="G181" t="s">
        <v>3430</v>
      </c>
      <c r="H181">
        <v>22616</v>
      </c>
      <c r="I181" t="s">
        <v>424</v>
      </c>
      <c r="J181" t="s">
        <v>1917</v>
      </c>
      <c r="K181" t="s">
        <v>1918</v>
      </c>
      <c r="L181" t="s">
        <v>1919</v>
      </c>
      <c r="M181">
        <v>267</v>
      </c>
      <c r="N181">
        <v>30</v>
      </c>
      <c r="O181">
        <v>2929.97</v>
      </c>
      <c r="P181">
        <v>1683.8244589999999</v>
      </c>
      <c r="Q181">
        <v>4613.7944589999997</v>
      </c>
      <c r="R181">
        <v>738.20711300000005</v>
      </c>
      <c r="S181">
        <v>184.55177800000001</v>
      </c>
      <c r="T181">
        <v>5167.4497940000001</v>
      </c>
      <c r="U181" t="s">
        <v>1924</v>
      </c>
      <c r="V181" t="s">
        <v>9408</v>
      </c>
      <c r="W181" t="s">
        <v>424</v>
      </c>
    </row>
    <row r="182" spans="1:23" hidden="1" x14ac:dyDescent="0.2">
      <c r="A182">
        <v>2012</v>
      </c>
      <c r="B182" t="s">
        <v>303</v>
      </c>
      <c r="C182" s="733">
        <v>40925</v>
      </c>
      <c r="D1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2" t="s">
        <v>505</v>
      </c>
      <c r="F182" t="s">
        <v>1915</v>
      </c>
      <c r="G182" t="s">
        <v>3434</v>
      </c>
      <c r="H182">
        <v>22020</v>
      </c>
      <c r="I182" t="s">
        <v>423</v>
      </c>
      <c r="J182" t="s">
        <v>1954</v>
      </c>
      <c r="K182" t="s">
        <v>1918</v>
      </c>
      <c r="L182" t="s">
        <v>1919</v>
      </c>
      <c r="M182">
        <v>303</v>
      </c>
      <c r="N182">
        <v>25.32</v>
      </c>
      <c r="O182">
        <v>6990.85</v>
      </c>
      <c r="P182">
        <v>0</v>
      </c>
      <c r="Q182">
        <v>6990.85</v>
      </c>
      <c r="R182">
        <v>1118.54</v>
      </c>
      <c r="S182">
        <v>279.63</v>
      </c>
      <c r="T182">
        <v>7829.76</v>
      </c>
      <c r="U182" t="s">
        <v>1936</v>
      </c>
      <c r="V182" t="s">
        <v>9408</v>
      </c>
      <c r="W182" t="s">
        <v>423</v>
      </c>
    </row>
    <row r="183" spans="1:23" hidden="1" x14ac:dyDescent="0.2">
      <c r="A183">
        <v>2012</v>
      </c>
      <c r="B183" t="s">
        <v>303</v>
      </c>
      <c r="C183" s="733">
        <v>40929</v>
      </c>
      <c r="D1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3" t="s">
        <v>505</v>
      </c>
      <c r="F183" t="s">
        <v>1915</v>
      </c>
      <c r="G183" t="s">
        <v>3432</v>
      </c>
      <c r="H183">
        <v>22140</v>
      </c>
      <c r="I183" t="s">
        <v>424</v>
      </c>
      <c r="J183" t="s">
        <v>1954</v>
      </c>
      <c r="K183" t="s">
        <v>1918</v>
      </c>
      <c r="L183" t="s">
        <v>1919</v>
      </c>
      <c r="M183">
        <v>303</v>
      </c>
      <c r="N183">
        <v>30</v>
      </c>
      <c r="O183">
        <v>2314.83</v>
      </c>
      <c r="P183">
        <v>1330.309653</v>
      </c>
      <c r="Q183">
        <v>3645.1396530000002</v>
      </c>
      <c r="R183">
        <v>583.22234400000002</v>
      </c>
      <c r="S183">
        <v>145.80558600000001</v>
      </c>
      <c r="T183">
        <v>4082.556411</v>
      </c>
      <c r="U183" t="s">
        <v>8778</v>
      </c>
      <c r="V183" t="s">
        <v>9408</v>
      </c>
      <c r="W183" t="s">
        <v>424</v>
      </c>
    </row>
    <row r="184" spans="1:23" hidden="1" x14ac:dyDescent="0.2">
      <c r="A184">
        <v>2012</v>
      </c>
      <c r="B184" t="s">
        <v>304</v>
      </c>
      <c r="C184" s="733">
        <v>40968</v>
      </c>
      <c r="D1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4" t="s">
        <v>505</v>
      </c>
      <c r="F184" t="s">
        <v>1915</v>
      </c>
      <c r="G184" t="s">
        <v>9217</v>
      </c>
      <c r="H184">
        <v>23084</v>
      </c>
      <c r="I184" t="s">
        <v>424</v>
      </c>
      <c r="J184" t="s">
        <v>1954</v>
      </c>
      <c r="K184" t="s">
        <v>1918</v>
      </c>
      <c r="L184" t="s">
        <v>1919</v>
      </c>
      <c r="M184">
        <v>303</v>
      </c>
      <c r="N184">
        <v>30</v>
      </c>
      <c r="O184">
        <v>5862.3</v>
      </c>
      <c r="P184">
        <v>0</v>
      </c>
      <c r="Q184">
        <v>5862.3</v>
      </c>
      <c r="R184">
        <v>937.97</v>
      </c>
      <c r="S184">
        <v>234.49</v>
      </c>
      <c r="T184">
        <v>6565.78</v>
      </c>
      <c r="V184" t="s">
        <v>9408</v>
      </c>
      <c r="W184" t="s">
        <v>424</v>
      </c>
    </row>
    <row r="185" spans="1:23" hidden="1" x14ac:dyDescent="0.2">
      <c r="A185">
        <v>2012</v>
      </c>
      <c r="B185" t="s">
        <v>304</v>
      </c>
      <c r="C185" s="733">
        <v>40962</v>
      </c>
      <c r="D1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5" t="s">
        <v>505</v>
      </c>
      <c r="F185" t="s">
        <v>1915</v>
      </c>
      <c r="G185" t="s">
        <v>8502</v>
      </c>
      <c r="H185">
        <v>22968</v>
      </c>
      <c r="I185" t="s">
        <v>424</v>
      </c>
      <c r="J185" t="s">
        <v>1954</v>
      </c>
      <c r="K185" t="s">
        <v>1918</v>
      </c>
      <c r="L185" t="s">
        <v>1919</v>
      </c>
      <c r="M185">
        <v>303</v>
      </c>
      <c r="N185">
        <v>30</v>
      </c>
      <c r="O185">
        <v>2314.83</v>
      </c>
      <c r="P185">
        <v>1330.309653</v>
      </c>
      <c r="Q185">
        <v>3645.1396530000002</v>
      </c>
      <c r="R185">
        <v>583.22234400000002</v>
      </c>
      <c r="S185">
        <v>145.80558600000001</v>
      </c>
      <c r="T185">
        <v>4082.556411</v>
      </c>
      <c r="U185" t="s">
        <v>8778</v>
      </c>
      <c r="V185" t="s">
        <v>9408</v>
      </c>
      <c r="W185" t="s">
        <v>424</v>
      </c>
    </row>
    <row r="186" spans="1:23" hidden="1" x14ac:dyDescent="0.2">
      <c r="A186">
        <v>2012</v>
      </c>
      <c r="B186" t="s">
        <v>303</v>
      </c>
      <c r="C186" s="733">
        <v>40915</v>
      </c>
      <c r="D1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6" t="s">
        <v>505</v>
      </c>
      <c r="F186" t="s">
        <v>1915</v>
      </c>
      <c r="G186" t="s">
        <v>6818</v>
      </c>
      <c r="H186">
        <v>21849</v>
      </c>
      <c r="I186" t="s">
        <v>424</v>
      </c>
      <c r="J186" t="s">
        <v>1917</v>
      </c>
      <c r="K186" t="s">
        <v>1918</v>
      </c>
      <c r="L186" t="s">
        <v>1919</v>
      </c>
      <c r="M186">
        <v>267</v>
      </c>
      <c r="N186">
        <v>30</v>
      </c>
      <c r="O186">
        <v>2929.97</v>
      </c>
      <c r="P186">
        <v>1683.8244589999999</v>
      </c>
      <c r="Q186">
        <v>4613.7944589999997</v>
      </c>
      <c r="R186">
        <v>738.20711300000005</v>
      </c>
      <c r="S186">
        <v>184.55177800000001</v>
      </c>
      <c r="T186">
        <v>5167.4497940000001</v>
      </c>
      <c r="U186" t="s">
        <v>1920</v>
      </c>
      <c r="V186" t="s">
        <v>9408</v>
      </c>
      <c r="W186" t="s">
        <v>424</v>
      </c>
    </row>
    <row r="187" spans="1:23" hidden="1" x14ac:dyDescent="0.2">
      <c r="A187">
        <v>2012</v>
      </c>
      <c r="B187" t="s">
        <v>304</v>
      </c>
      <c r="C187" s="733">
        <v>40961</v>
      </c>
      <c r="D1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7" t="s">
        <v>505</v>
      </c>
      <c r="F187" t="s">
        <v>1915</v>
      </c>
      <c r="G187" t="s">
        <v>8264</v>
      </c>
      <c r="H187">
        <v>22912</v>
      </c>
      <c r="I187" t="s">
        <v>424</v>
      </c>
      <c r="J187" t="s">
        <v>1917</v>
      </c>
      <c r="K187" t="s">
        <v>1918</v>
      </c>
      <c r="L187" t="s">
        <v>1919</v>
      </c>
      <c r="M187">
        <v>267</v>
      </c>
      <c r="N187">
        <v>27</v>
      </c>
      <c r="O187">
        <v>4152.33</v>
      </c>
      <c r="P187">
        <v>0</v>
      </c>
      <c r="Q187">
        <v>4152.33</v>
      </c>
      <c r="R187">
        <v>664.37</v>
      </c>
      <c r="S187">
        <v>166.09</v>
      </c>
      <c r="T187">
        <v>4650.6099999999997</v>
      </c>
      <c r="U187" t="s">
        <v>8491</v>
      </c>
      <c r="V187" t="s">
        <v>9408</v>
      </c>
      <c r="W187" t="s">
        <v>424</v>
      </c>
    </row>
    <row r="188" spans="1:23" hidden="1" x14ac:dyDescent="0.2">
      <c r="A188">
        <v>2012</v>
      </c>
      <c r="B188" t="s">
        <v>304</v>
      </c>
      <c r="C188" s="733">
        <v>40968</v>
      </c>
      <c r="D1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8" t="s">
        <v>505</v>
      </c>
      <c r="F188" t="s">
        <v>1915</v>
      </c>
      <c r="G188" t="s">
        <v>9458</v>
      </c>
      <c r="H188">
        <v>23082</v>
      </c>
      <c r="I188" t="s">
        <v>424</v>
      </c>
      <c r="J188" t="s">
        <v>1917</v>
      </c>
      <c r="K188" t="s">
        <v>1918</v>
      </c>
      <c r="L188" t="s">
        <v>1919</v>
      </c>
      <c r="M188">
        <v>267</v>
      </c>
      <c r="N188">
        <v>30</v>
      </c>
      <c r="O188">
        <v>5862.3</v>
      </c>
      <c r="P188">
        <v>0</v>
      </c>
      <c r="Q188">
        <v>5862.3</v>
      </c>
      <c r="R188">
        <v>937.97</v>
      </c>
      <c r="S188">
        <v>234.49</v>
      </c>
      <c r="T188">
        <v>6565.78</v>
      </c>
      <c r="V188" t="s">
        <v>9408</v>
      </c>
      <c r="W188" t="s">
        <v>424</v>
      </c>
    </row>
    <row r="189" spans="1:23" hidden="1" x14ac:dyDescent="0.2">
      <c r="A189">
        <v>2012</v>
      </c>
      <c r="B189" t="s">
        <v>304</v>
      </c>
      <c r="C189" s="733">
        <v>40947</v>
      </c>
      <c r="D1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9" t="s">
        <v>505</v>
      </c>
      <c r="F189" t="s">
        <v>1915</v>
      </c>
      <c r="G189" t="s">
        <v>3431</v>
      </c>
      <c r="H189">
        <v>22555</v>
      </c>
      <c r="I189" t="s">
        <v>424</v>
      </c>
      <c r="J189" t="s">
        <v>1917</v>
      </c>
      <c r="K189" t="s">
        <v>1918</v>
      </c>
      <c r="L189" t="s">
        <v>1919</v>
      </c>
      <c r="M189">
        <v>267</v>
      </c>
      <c r="N189">
        <v>30</v>
      </c>
      <c r="O189">
        <v>2929.97</v>
      </c>
      <c r="P189">
        <v>1683.8244589999999</v>
      </c>
      <c r="Q189">
        <v>4613.7944589999997</v>
      </c>
      <c r="R189">
        <v>738.20711300000005</v>
      </c>
      <c r="S189">
        <v>184.55177800000001</v>
      </c>
      <c r="T189">
        <v>5167.4497940000001</v>
      </c>
      <c r="U189" t="s">
        <v>1924</v>
      </c>
      <c r="V189" t="s">
        <v>9408</v>
      </c>
      <c r="W189" t="s">
        <v>424</v>
      </c>
    </row>
    <row r="190" spans="1:23" hidden="1" x14ac:dyDescent="0.2">
      <c r="A190">
        <v>2012</v>
      </c>
      <c r="B190" t="s">
        <v>303</v>
      </c>
      <c r="C190" s="733">
        <v>40927</v>
      </c>
      <c r="D1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0" t="s">
        <v>505</v>
      </c>
      <c r="F190" t="s">
        <v>2065</v>
      </c>
      <c r="G190" t="s">
        <v>3441</v>
      </c>
      <c r="H190">
        <v>22080</v>
      </c>
      <c r="I190" t="s">
        <v>424</v>
      </c>
      <c r="J190" t="s">
        <v>1917</v>
      </c>
      <c r="K190" t="s">
        <v>1918</v>
      </c>
      <c r="L190" t="s">
        <v>1919</v>
      </c>
      <c r="M190">
        <v>267</v>
      </c>
      <c r="N190">
        <v>30</v>
      </c>
      <c r="O190">
        <v>2929.97</v>
      </c>
      <c r="P190">
        <v>1683.8244589999999</v>
      </c>
      <c r="Q190">
        <v>4613.7944589999997</v>
      </c>
      <c r="R190">
        <v>738.20711300000005</v>
      </c>
      <c r="S190">
        <v>184.55177800000001</v>
      </c>
      <c r="T190">
        <v>5167.4497940000001</v>
      </c>
      <c r="U190" t="s">
        <v>1928</v>
      </c>
      <c r="V190" t="s">
        <v>9408</v>
      </c>
      <c r="W190" t="s">
        <v>424</v>
      </c>
    </row>
    <row r="191" spans="1:23" hidden="1" x14ac:dyDescent="0.2">
      <c r="A191">
        <v>2012</v>
      </c>
      <c r="B191" t="s">
        <v>303</v>
      </c>
      <c r="C191" s="733">
        <v>40925</v>
      </c>
      <c r="D1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1" t="s">
        <v>505</v>
      </c>
      <c r="F191" t="s">
        <v>1915</v>
      </c>
      <c r="G191" t="s">
        <v>4968</v>
      </c>
      <c r="H191">
        <v>22032</v>
      </c>
      <c r="I191" t="s">
        <v>424</v>
      </c>
      <c r="J191" t="s">
        <v>1917</v>
      </c>
      <c r="K191" t="s">
        <v>1918</v>
      </c>
      <c r="L191" t="s">
        <v>1919</v>
      </c>
      <c r="M191">
        <v>267</v>
      </c>
      <c r="N191">
        <v>30</v>
      </c>
      <c r="O191">
        <v>2929.97</v>
      </c>
      <c r="P191">
        <v>1683.8244589999999</v>
      </c>
      <c r="Q191">
        <v>4613.7944589999997</v>
      </c>
      <c r="R191">
        <v>738.20711300000005</v>
      </c>
      <c r="S191">
        <v>184.55177800000001</v>
      </c>
      <c r="T191">
        <v>5167.4497940000001</v>
      </c>
      <c r="U191" t="s">
        <v>1931</v>
      </c>
      <c r="V191" t="s">
        <v>9408</v>
      </c>
      <c r="W191" t="s">
        <v>424</v>
      </c>
    </row>
    <row r="192" spans="1:23" hidden="1" x14ac:dyDescent="0.2">
      <c r="A192">
        <v>2012</v>
      </c>
      <c r="B192" t="s">
        <v>303</v>
      </c>
      <c r="C192" s="733">
        <v>40917</v>
      </c>
      <c r="D1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2" t="s">
        <v>505</v>
      </c>
      <c r="F192" t="s">
        <v>1915</v>
      </c>
      <c r="G192" t="s">
        <v>2766</v>
      </c>
      <c r="H192">
        <v>21852</v>
      </c>
      <c r="I192" t="s">
        <v>424</v>
      </c>
      <c r="J192" t="s">
        <v>1917</v>
      </c>
      <c r="K192" t="s">
        <v>1918</v>
      </c>
      <c r="L192" t="s">
        <v>1919</v>
      </c>
      <c r="M192">
        <v>267</v>
      </c>
      <c r="N192">
        <v>30</v>
      </c>
      <c r="O192">
        <v>2929.97</v>
      </c>
      <c r="P192">
        <v>1683.8244589999999</v>
      </c>
      <c r="Q192">
        <v>4613.7944589999997</v>
      </c>
      <c r="R192">
        <v>738.20711300000005</v>
      </c>
      <c r="S192">
        <v>184.55177800000001</v>
      </c>
      <c r="T192">
        <v>5167.4497940000001</v>
      </c>
      <c r="U192" t="s">
        <v>1926</v>
      </c>
      <c r="V192" t="s">
        <v>9408</v>
      </c>
      <c r="W192" t="s">
        <v>424</v>
      </c>
    </row>
    <row r="193" spans="1:23" hidden="1" x14ac:dyDescent="0.2">
      <c r="A193">
        <v>2012</v>
      </c>
      <c r="B193" t="s">
        <v>303</v>
      </c>
      <c r="C193" s="733">
        <v>40925</v>
      </c>
      <c r="D1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3" t="s">
        <v>505</v>
      </c>
      <c r="F193" t="s">
        <v>1915</v>
      </c>
      <c r="G193" t="s">
        <v>2765</v>
      </c>
      <c r="H193">
        <v>22035</v>
      </c>
      <c r="I193" t="s">
        <v>424</v>
      </c>
      <c r="J193" t="s">
        <v>1917</v>
      </c>
      <c r="K193" t="s">
        <v>1918</v>
      </c>
      <c r="L193" t="s">
        <v>1919</v>
      </c>
      <c r="M193">
        <v>267</v>
      </c>
      <c r="N193">
        <v>30</v>
      </c>
      <c r="O193">
        <v>2929.97</v>
      </c>
      <c r="P193">
        <v>1683.8244589999999</v>
      </c>
      <c r="Q193">
        <v>4613.7944589999997</v>
      </c>
      <c r="R193">
        <v>738.20711300000005</v>
      </c>
      <c r="S193">
        <v>184.55177800000001</v>
      </c>
      <c r="T193">
        <v>5167.4497940000001</v>
      </c>
      <c r="U193" t="s">
        <v>1931</v>
      </c>
      <c r="V193" t="s">
        <v>9408</v>
      </c>
      <c r="W193" t="s">
        <v>424</v>
      </c>
    </row>
    <row r="194" spans="1:23" hidden="1" x14ac:dyDescent="0.2">
      <c r="A194">
        <v>2012</v>
      </c>
      <c r="B194" t="s">
        <v>303</v>
      </c>
      <c r="C194" s="733">
        <v>40926</v>
      </c>
      <c r="D1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4" t="s">
        <v>505</v>
      </c>
      <c r="F194" t="s">
        <v>2065</v>
      </c>
      <c r="G194" t="s">
        <v>2762</v>
      </c>
      <c r="H194">
        <v>22055</v>
      </c>
      <c r="I194" t="s">
        <v>424</v>
      </c>
      <c r="J194" t="s">
        <v>1917</v>
      </c>
      <c r="K194" t="s">
        <v>1918</v>
      </c>
      <c r="L194" t="s">
        <v>1919</v>
      </c>
      <c r="M194">
        <v>267</v>
      </c>
      <c r="N194">
        <v>30</v>
      </c>
      <c r="O194">
        <v>2929.97</v>
      </c>
      <c r="P194">
        <v>1683.8244589999999</v>
      </c>
      <c r="Q194">
        <v>4613.7944589999997</v>
      </c>
      <c r="R194">
        <v>738.20711300000005</v>
      </c>
      <c r="S194">
        <v>184.55177800000001</v>
      </c>
      <c r="T194">
        <v>5167.4497940000001</v>
      </c>
      <c r="U194" t="s">
        <v>1928</v>
      </c>
      <c r="V194" t="s">
        <v>9408</v>
      </c>
      <c r="W194" t="s">
        <v>424</v>
      </c>
    </row>
    <row r="195" spans="1:23" hidden="1" x14ac:dyDescent="0.2">
      <c r="A195">
        <v>2012</v>
      </c>
      <c r="B195" t="s">
        <v>304</v>
      </c>
      <c r="C195" s="733">
        <v>40946</v>
      </c>
      <c r="D1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5" t="s">
        <v>505</v>
      </c>
      <c r="F195" t="s">
        <v>2065</v>
      </c>
      <c r="G195" t="s">
        <v>6875</v>
      </c>
      <c r="H195">
        <v>22514</v>
      </c>
      <c r="I195" t="s">
        <v>424</v>
      </c>
      <c r="J195" t="s">
        <v>1917</v>
      </c>
      <c r="K195" t="s">
        <v>1918</v>
      </c>
      <c r="L195" t="s">
        <v>1919</v>
      </c>
      <c r="M195">
        <v>267</v>
      </c>
      <c r="N195">
        <v>30</v>
      </c>
      <c r="O195">
        <v>2929.97</v>
      </c>
      <c r="P195">
        <v>1683.8244589999999</v>
      </c>
      <c r="Q195">
        <v>4613.7944589999997</v>
      </c>
      <c r="R195">
        <v>738.20711300000005</v>
      </c>
      <c r="S195">
        <v>184.55177800000001</v>
      </c>
      <c r="T195">
        <v>5167.4497940000001</v>
      </c>
      <c r="U195" t="s">
        <v>1924</v>
      </c>
      <c r="V195" t="s">
        <v>9408</v>
      </c>
      <c r="W195" t="s">
        <v>424</v>
      </c>
    </row>
    <row r="196" spans="1:23" hidden="1" x14ac:dyDescent="0.2">
      <c r="A196">
        <v>2012</v>
      </c>
      <c r="B196" t="s">
        <v>304</v>
      </c>
      <c r="C196" s="733">
        <v>40940</v>
      </c>
      <c r="D1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6" t="s">
        <v>505</v>
      </c>
      <c r="F196" t="s">
        <v>2065</v>
      </c>
      <c r="G196" t="s">
        <v>6872</v>
      </c>
      <c r="H196">
        <v>22396</v>
      </c>
      <c r="I196" t="s">
        <v>424</v>
      </c>
      <c r="J196" t="s">
        <v>1917</v>
      </c>
      <c r="K196" t="s">
        <v>1918</v>
      </c>
      <c r="L196" t="s">
        <v>1919</v>
      </c>
      <c r="M196">
        <v>267</v>
      </c>
      <c r="N196">
        <v>30</v>
      </c>
      <c r="O196">
        <v>2929.97</v>
      </c>
      <c r="P196">
        <v>1683.8244589999999</v>
      </c>
      <c r="Q196">
        <v>4613.7944589999997</v>
      </c>
      <c r="R196">
        <v>738.20711300000005</v>
      </c>
      <c r="S196">
        <v>184.55177800000001</v>
      </c>
      <c r="T196">
        <v>5167.4497940000001</v>
      </c>
      <c r="U196" t="s">
        <v>1926</v>
      </c>
      <c r="V196" t="s">
        <v>9408</v>
      </c>
      <c r="W196" t="s">
        <v>424</v>
      </c>
    </row>
    <row r="197" spans="1:23" hidden="1" x14ac:dyDescent="0.2">
      <c r="A197">
        <v>2012</v>
      </c>
      <c r="B197" t="s">
        <v>304</v>
      </c>
      <c r="C197" s="733">
        <v>40942</v>
      </c>
      <c r="D1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7" t="s">
        <v>505</v>
      </c>
      <c r="F197" t="s">
        <v>2065</v>
      </c>
      <c r="G197" t="s">
        <v>6873</v>
      </c>
      <c r="H197">
        <v>22446</v>
      </c>
      <c r="I197" t="s">
        <v>424</v>
      </c>
      <c r="J197" t="s">
        <v>1917</v>
      </c>
      <c r="K197" t="s">
        <v>1918</v>
      </c>
      <c r="L197" t="s">
        <v>1919</v>
      </c>
      <c r="M197">
        <v>267</v>
      </c>
      <c r="N197">
        <v>30</v>
      </c>
      <c r="O197">
        <v>2929.97</v>
      </c>
      <c r="P197">
        <v>1683.8244589999999</v>
      </c>
      <c r="Q197">
        <v>4613.7944589999997</v>
      </c>
      <c r="R197">
        <v>738.20711300000005</v>
      </c>
      <c r="S197">
        <v>184.55177800000001</v>
      </c>
      <c r="T197">
        <v>5167.4497940000001</v>
      </c>
      <c r="U197" t="s">
        <v>1926</v>
      </c>
      <c r="V197" t="s">
        <v>9408</v>
      </c>
      <c r="W197" t="s">
        <v>424</v>
      </c>
    </row>
    <row r="198" spans="1:23" hidden="1" x14ac:dyDescent="0.2">
      <c r="A198">
        <v>2012</v>
      </c>
      <c r="B198" t="s">
        <v>303</v>
      </c>
      <c r="C198" s="733">
        <v>40939</v>
      </c>
      <c r="D1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8" t="s">
        <v>505</v>
      </c>
      <c r="F198" t="s">
        <v>1915</v>
      </c>
      <c r="G198" t="s">
        <v>2767</v>
      </c>
      <c r="H198">
        <v>21674</v>
      </c>
      <c r="I198" t="s">
        <v>424</v>
      </c>
      <c r="J198" t="s">
        <v>1917</v>
      </c>
      <c r="K198" t="s">
        <v>1918</v>
      </c>
      <c r="L198" t="s">
        <v>1919</v>
      </c>
      <c r="M198">
        <v>267</v>
      </c>
      <c r="N198">
        <v>30</v>
      </c>
      <c r="O198">
        <v>2929.97</v>
      </c>
      <c r="P198">
        <v>1683.8244589999999</v>
      </c>
      <c r="Q198">
        <v>4613.7944589999997</v>
      </c>
      <c r="R198">
        <v>738.20711300000005</v>
      </c>
      <c r="S198">
        <v>184.55177800000001</v>
      </c>
      <c r="T198">
        <v>5167.4497940000001</v>
      </c>
      <c r="U198" t="s">
        <v>1936</v>
      </c>
      <c r="V198" t="s">
        <v>9408</v>
      </c>
      <c r="W198" t="s">
        <v>424</v>
      </c>
    </row>
    <row r="199" spans="1:23" hidden="1" x14ac:dyDescent="0.2">
      <c r="A199">
        <v>2012</v>
      </c>
      <c r="B199" t="s">
        <v>303</v>
      </c>
      <c r="C199" s="733">
        <v>40938</v>
      </c>
      <c r="D1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9" t="s">
        <v>505</v>
      </c>
      <c r="F199" t="s">
        <v>1915</v>
      </c>
      <c r="G199" t="s">
        <v>2756</v>
      </c>
      <c r="H199">
        <v>22333</v>
      </c>
      <c r="I199" t="s">
        <v>424</v>
      </c>
      <c r="J199" t="s">
        <v>1917</v>
      </c>
      <c r="K199" t="s">
        <v>1918</v>
      </c>
      <c r="L199" t="s">
        <v>1919</v>
      </c>
      <c r="M199">
        <v>267</v>
      </c>
      <c r="N199">
        <v>27</v>
      </c>
      <c r="O199">
        <v>2636.97</v>
      </c>
      <c r="P199">
        <v>1515.4402889999999</v>
      </c>
      <c r="Q199">
        <v>4152.4102890000004</v>
      </c>
      <c r="R199">
        <v>664.38564599999995</v>
      </c>
      <c r="S199">
        <v>166.09641199999999</v>
      </c>
      <c r="T199">
        <v>4650.6995230000002</v>
      </c>
      <c r="U199" t="s">
        <v>1936</v>
      </c>
      <c r="V199" t="s">
        <v>9408</v>
      </c>
      <c r="W199" t="s">
        <v>424</v>
      </c>
    </row>
    <row r="200" spans="1:23" hidden="1" x14ac:dyDescent="0.2">
      <c r="A200">
        <v>2012</v>
      </c>
      <c r="B200" t="s">
        <v>303</v>
      </c>
      <c r="C200" s="733">
        <v>40925</v>
      </c>
      <c r="D2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0" t="s">
        <v>505</v>
      </c>
      <c r="F200" t="s">
        <v>1915</v>
      </c>
      <c r="G200" t="s">
        <v>2757</v>
      </c>
      <c r="H200">
        <v>22038</v>
      </c>
      <c r="I200" t="s">
        <v>423</v>
      </c>
      <c r="J200" t="s">
        <v>1917</v>
      </c>
      <c r="K200" t="s">
        <v>1918</v>
      </c>
      <c r="L200" t="s">
        <v>1919</v>
      </c>
      <c r="M200">
        <v>267</v>
      </c>
      <c r="N200">
        <v>24.91</v>
      </c>
      <c r="O200">
        <v>5600.76</v>
      </c>
      <c r="P200">
        <v>0</v>
      </c>
      <c r="Q200">
        <v>5600.76</v>
      </c>
      <c r="R200">
        <v>896.12</v>
      </c>
      <c r="S200">
        <v>224.03</v>
      </c>
      <c r="T200">
        <v>6272.85</v>
      </c>
      <c r="U200" t="s">
        <v>1936</v>
      </c>
      <c r="V200" t="s">
        <v>9408</v>
      </c>
      <c r="W200" t="s">
        <v>423</v>
      </c>
    </row>
    <row r="201" spans="1:23" hidden="1" x14ac:dyDescent="0.2">
      <c r="A201">
        <v>2012</v>
      </c>
      <c r="B201" t="s">
        <v>304</v>
      </c>
      <c r="C201" s="733">
        <v>40961</v>
      </c>
      <c r="D2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1" t="s">
        <v>505</v>
      </c>
      <c r="F201" t="s">
        <v>1915</v>
      </c>
      <c r="G201" t="s">
        <v>8256</v>
      </c>
      <c r="H201">
        <v>22916</v>
      </c>
      <c r="I201" t="s">
        <v>424</v>
      </c>
      <c r="J201" t="s">
        <v>1917</v>
      </c>
      <c r="K201" t="s">
        <v>1918</v>
      </c>
      <c r="L201" t="s">
        <v>1919</v>
      </c>
      <c r="M201">
        <v>267</v>
      </c>
      <c r="N201">
        <v>30</v>
      </c>
      <c r="O201">
        <v>4613.7</v>
      </c>
      <c r="P201">
        <v>0</v>
      </c>
      <c r="Q201">
        <v>4613.7</v>
      </c>
      <c r="R201">
        <v>738.19</v>
      </c>
      <c r="S201">
        <v>184.55</v>
      </c>
      <c r="T201">
        <v>5167.34</v>
      </c>
      <c r="U201" t="s">
        <v>8491</v>
      </c>
      <c r="V201" t="s">
        <v>9408</v>
      </c>
      <c r="W201" t="s">
        <v>424</v>
      </c>
    </row>
    <row r="202" spans="1:23" hidden="1" x14ac:dyDescent="0.2">
      <c r="A202">
        <v>2012</v>
      </c>
      <c r="B202" t="s">
        <v>303</v>
      </c>
      <c r="C202" s="733">
        <v>40928</v>
      </c>
      <c r="D2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2" t="s">
        <v>505</v>
      </c>
      <c r="F202" t="s">
        <v>1915</v>
      </c>
      <c r="G202" t="s">
        <v>6876</v>
      </c>
      <c r="H202">
        <v>22097</v>
      </c>
      <c r="I202" t="s">
        <v>423</v>
      </c>
      <c r="J202" t="s">
        <v>1917</v>
      </c>
      <c r="K202" t="s">
        <v>1918</v>
      </c>
      <c r="L202" t="s">
        <v>1919</v>
      </c>
      <c r="M202">
        <v>267</v>
      </c>
      <c r="N202">
        <v>50.02</v>
      </c>
      <c r="O202">
        <v>11246.5</v>
      </c>
      <c r="P202">
        <v>0</v>
      </c>
      <c r="Q202">
        <v>11246.5</v>
      </c>
      <c r="R202">
        <v>1799.44</v>
      </c>
      <c r="S202">
        <v>449.86</v>
      </c>
      <c r="T202">
        <v>12596.08</v>
      </c>
      <c r="U202" t="s">
        <v>8778</v>
      </c>
      <c r="V202" t="s">
        <v>9409</v>
      </c>
      <c r="W202" t="s">
        <v>423</v>
      </c>
    </row>
    <row r="203" spans="1:23" hidden="1" x14ac:dyDescent="0.2">
      <c r="A203">
        <v>2012</v>
      </c>
      <c r="B203" t="s">
        <v>304</v>
      </c>
      <c r="C203" s="733">
        <v>40948</v>
      </c>
      <c r="D2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3" t="s">
        <v>505</v>
      </c>
      <c r="F203" t="s">
        <v>2065</v>
      </c>
      <c r="G203" t="s">
        <v>4969</v>
      </c>
      <c r="H203">
        <v>22576</v>
      </c>
      <c r="I203" t="s">
        <v>424</v>
      </c>
      <c r="J203" t="s">
        <v>1917</v>
      </c>
      <c r="K203" t="s">
        <v>1918</v>
      </c>
      <c r="L203" t="s">
        <v>1919</v>
      </c>
      <c r="M203">
        <v>267</v>
      </c>
      <c r="N203">
        <v>30</v>
      </c>
      <c r="O203">
        <v>2929.97</v>
      </c>
      <c r="P203">
        <v>1683.8244589999999</v>
      </c>
      <c r="Q203">
        <v>4613.7944589999997</v>
      </c>
      <c r="R203">
        <v>738.20711300000005</v>
      </c>
      <c r="S203">
        <v>184.55177800000001</v>
      </c>
      <c r="T203">
        <v>5167.4497940000001</v>
      </c>
      <c r="U203" t="s">
        <v>1924</v>
      </c>
      <c r="V203" t="s">
        <v>9408</v>
      </c>
      <c r="W203" t="s">
        <v>424</v>
      </c>
    </row>
    <row r="204" spans="1:23" hidden="1" x14ac:dyDescent="0.2">
      <c r="A204">
        <v>2012</v>
      </c>
      <c r="B204" t="s">
        <v>303</v>
      </c>
      <c r="C204" s="733">
        <v>40939</v>
      </c>
      <c r="D2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4" t="s">
        <v>505</v>
      </c>
      <c r="F204" t="s">
        <v>1915</v>
      </c>
      <c r="G204" t="s">
        <v>2761</v>
      </c>
      <c r="H204">
        <v>22330</v>
      </c>
      <c r="I204" t="s">
        <v>424</v>
      </c>
      <c r="J204" t="s">
        <v>1917</v>
      </c>
      <c r="K204" t="s">
        <v>1918</v>
      </c>
      <c r="L204" t="s">
        <v>1919</v>
      </c>
      <c r="M204">
        <v>267</v>
      </c>
      <c r="N204">
        <v>30</v>
      </c>
      <c r="O204">
        <v>2929.97</v>
      </c>
      <c r="P204">
        <v>1683.8244589999999</v>
      </c>
      <c r="Q204">
        <v>4613.7944589999997</v>
      </c>
      <c r="R204">
        <v>738.20711300000005</v>
      </c>
      <c r="S204">
        <v>184.55177800000001</v>
      </c>
      <c r="T204">
        <v>5167.4497940000001</v>
      </c>
      <c r="U204" t="s">
        <v>1936</v>
      </c>
      <c r="V204" t="s">
        <v>9408</v>
      </c>
      <c r="W204" t="s">
        <v>424</v>
      </c>
    </row>
    <row r="205" spans="1:23" hidden="1" x14ac:dyDescent="0.2">
      <c r="A205">
        <v>2012</v>
      </c>
      <c r="B205" t="s">
        <v>304</v>
      </c>
      <c r="C205" s="733">
        <v>40963</v>
      </c>
      <c r="D2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5" t="s">
        <v>505</v>
      </c>
      <c r="F205" t="s">
        <v>1915</v>
      </c>
      <c r="G205" t="s">
        <v>8517</v>
      </c>
      <c r="H205">
        <v>22972</v>
      </c>
      <c r="I205" t="s">
        <v>424</v>
      </c>
      <c r="J205" t="s">
        <v>1917</v>
      </c>
      <c r="K205" t="s">
        <v>1918</v>
      </c>
      <c r="L205" t="s">
        <v>1919</v>
      </c>
      <c r="M205">
        <v>267</v>
      </c>
      <c r="N205">
        <v>30</v>
      </c>
      <c r="O205">
        <v>4613.7</v>
      </c>
      <c r="P205">
        <v>0</v>
      </c>
      <c r="Q205">
        <v>4613.7</v>
      </c>
      <c r="R205">
        <v>738.19</v>
      </c>
      <c r="S205">
        <v>184.55</v>
      </c>
      <c r="T205">
        <v>5167.34</v>
      </c>
      <c r="U205" t="s">
        <v>8778</v>
      </c>
      <c r="V205" t="s">
        <v>9408</v>
      </c>
      <c r="W205" t="s">
        <v>424</v>
      </c>
    </row>
    <row r="206" spans="1:23" hidden="1" x14ac:dyDescent="0.2">
      <c r="A206">
        <v>2012</v>
      </c>
      <c r="B206" t="s">
        <v>305</v>
      </c>
      <c r="C206" s="733">
        <v>40971</v>
      </c>
      <c r="D206" s="733" t="str">
        <f>CHOOSE(MONTH(Tabla_sqldatos_bonampakdb_Bon_v_ingresos2012[[#This Row],[fecha_guia]]),"Enero","Febrero","Marzo","Abril","Mayo","Junio","Julio","Agosto","Septiembre","Octubre","Noviembre","Diciembre")</f>
        <v>Marzo</v>
      </c>
      <c r="E206" t="s">
        <v>505</v>
      </c>
      <c r="F206" t="s">
        <v>1915</v>
      </c>
      <c r="G206" t="s">
        <v>9653</v>
      </c>
      <c r="H206">
        <v>23152</v>
      </c>
      <c r="I206" t="s">
        <v>424</v>
      </c>
      <c r="J206" t="s">
        <v>1954</v>
      </c>
      <c r="K206" t="s">
        <v>1918</v>
      </c>
      <c r="L206" t="s">
        <v>1919</v>
      </c>
      <c r="M206">
        <v>303</v>
      </c>
      <c r="N206">
        <v>30</v>
      </c>
      <c r="O206">
        <v>5862.3</v>
      </c>
      <c r="P206">
        <v>0</v>
      </c>
      <c r="Q206">
        <v>5862.3</v>
      </c>
      <c r="R206">
        <v>937.97</v>
      </c>
      <c r="S206">
        <v>234.49</v>
      </c>
      <c r="T206">
        <v>6565.78</v>
      </c>
      <c r="V206" t="s">
        <v>9408</v>
      </c>
      <c r="W206" t="s">
        <v>424</v>
      </c>
    </row>
    <row r="207" spans="1:23" hidden="1" x14ac:dyDescent="0.2">
      <c r="A207">
        <v>2012</v>
      </c>
      <c r="B207" t="s">
        <v>305</v>
      </c>
      <c r="C207" s="733">
        <v>40970</v>
      </c>
      <c r="D207" s="733" t="str">
        <f>CHOOSE(MONTH(Tabla_sqldatos_bonampakdb_Bon_v_ingresos2012[[#This Row],[fecha_guia]]),"Enero","Febrero","Marzo","Abril","Mayo","Junio","Julio","Agosto","Septiembre","Octubre","Noviembre","Diciembre")</f>
        <v>Marzo</v>
      </c>
      <c r="E207" t="s">
        <v>505</v>
      </c>
      <c r="F207" t="s">
        <v>1915</v>
      </c>
      <c r="G207" t="s">
        <v>9654</v>
      </c>
      <c r="H207">
        <v>23149</v>
      </c>
      <c r="I207" t="s">
        <v>424</v>
      </c>
      <c r="J207" t="s">
        <v>1954</v>
      </c>
      <c r="K207" t="s">
        <v>1918</v>
      </c>
      <c r="L207" t="s">
        <v>1919</v>
      </c>
      <c r="M207">
        <v>303</v>
      </c>
      <c r="N207">
        <v>30</v>
      </c>
      <c r="O207">
        <v>5862.3</v>
      </c>
      <c r="P207">
        <v>0</v>
      </c>
      <c r="Q207">
        <v>5862.3</v>
      </c>
      <c r="R207">
        <v>937.97</v>
      </c>
      <c r="S207">
        <v>234.49</v>
      </c>
      <c r="T207">
        <v>6565.78</v>
      </c>
      <c r="V207" t="s">
        <v>9408</v>
      </c>
      <c r="W207" t="s">
        <v>424</v>
      </c>
    </row>
    <row r="208" spans="1:23" hidden="1" x14ac:dyDescent="0.2">
      <c r="A208">
        <v>2012</v>
      </c>
      <c r="B208" t="s">
        <v>303</v>
      </c>
      <c r="C208" s="733">
        <v>40915</v>
      </c>
      <c r="D2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8" t="s">
        <v>505</v>
      </c>
      <c r="F208" t="s">
        <v>1915</v>
      </c>
      <c r="G208" t="s">
        <v>2779</v>
      </c>
      <c r="H208">
        <v>21801</v>
      </c>
      <c r="I208" t="s">
        <v>423</v>
      </c>
      <c r="J208" t="s">
        <v>1954</v>
      </c>
      <c r="K208" t="s">
        <v>1918</v>
      </c>
      <c r="L208" t="s">
        <v>1919</v>
      </c>
      <c r="M208">
        <v>303</v>
      </c>
      <c r="N208">
        <v>27.7</v>
      </c>
      <c r="O208">
        <v>3219.89</v>
      </c>
      <c r="P208">
        <v>3625.2419519999999</v>
      </c>
      <c r="Q208">
        <v>6845.1319519999997</v>
      </c>
      <c r="R208">
        <v>1095.2211119999999</v>
      </c>
      <c r="S208">
        <v>273.80527799999999</v>
      </c>
      <c r="T208">
        <v>7666.5477860000001</v>
      </c>
      <c r="U208" t="s">
        <v>1931</v>
      </c>
      <c r="V208" t="s">
        <v>9409</v>
      </c>
      <c r="W208" t="s">
        <v>423</v>
      </c>
    </row>
    <row r="209" spans="1:23" hidden="1" x14ac:dyDescent="0.2">
      <c r="A209">
        <v>2012</v>
      </c>
      <c r="B209" t="s">
        <v>303</v>
      </c>
      <c r="C209" s="733">
        <v>40915</v>
      </c>
      <c r="D2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9" t="s">
        <v>505</v>
      </c>
      <c r="F209" t="s">
        <v>1915</v>
      </c>
      <c r="G209" t="s">
        <v>2758</v>
      </c>
      <c r="H209">
        <v>21609</v>
      </c>
      <c r="I209" t="s">
        <v>424</v>
      </c>
      <c r="J209" t="s">
        <v>1917</v>
      </c>
      <c r="K209" t="s">
        <v>1918</v>
      </c>
      <c r="L209" t="s">
        <v>1919</v>
      </c>
      <c r="M209">
        <v>267</v>
      </c>
      <c r="N209">
        <v>30</v>
      </c>
      <c r="O209">
        <v>2929.97</v>
      </c>
      <c r="P209">
        <v>1683.8244589999999</v>
      </c>
      <c r="Q209">
        <v>4613.7944589999997</v>
      </c>
      <c r="R209">
        <v>738.20711300000005</v>
      </c>
      <c r="S209">
        <v>184.55177800000001</v>
      </c>
      <c r="T209">
        <v>5167.4497940000001</v>
      </c>
      <c r="U209" t="s">
        <v>1920</v>
      </c>
      <c r="V209" t="s">
        <v>9408</v>
      </c>
      <c r="W209" t="s">
        <v>424</v>
      </c>
    </row>
    <row r="210" spans="1:23" hidden="1" x14ac:dyDescent="0.2">
      <c r="A210">
        <v>2012</v>
      </c>
      <c r="B210" t="s">
        <v>304</v>
      </c>
      <c r="C210" s="733">
        <v>40942</v>
      </c>
      <c r="D2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0" t="s">
        <v>505</v>
      </c>
      <c r="F210" t="s">
        <v>1915</v>
      </c>
      <c r="G210" t="s">
        <v>2755</v>
      </c>
      <c r="H210">
        <v>22460</v>
      </c>
      <c r="I210" t="s">
        <v>424</v>
      </c>
      <c r="J210" t="s">
        <v>1917</v>
      </c>
      <c r="K210" t="s">
        <v>1918</v>
      </c>
      <c r="L210" t="s">
        <v>1919</v>
      </c>
      <c r="M210">
        <v>267</v>
      </c>
      <c r="N210">
        <v>27</v>
      </c>
      <c r="O210">
        <v>2636.97</v>
      </c>
      <c r="P210">
        <v>1515.4402889999999</v>
      </c>
      <c r="Q210">
        <v>4152.4102890000004</v>
      </c>
      <c r="R210">
        <v>664.38564599999995</v>
      </c>
      <c r="S210">
        <v>166.09641199999999</v>
      </c>
      <c r="T210">
        <v>4650.6995230000002</v>
      </c>
      <c r="U210" t="s">
        <v>1926</v>
      </c>
      <c r="V210" t="s">
        <v>9408</v>
      </c>
      <c r="W210" t="s">
        <v>424</v>
      </c>
    </row>
    <row r="211" spans="1:23" hidden="1" x14ac:dyDescent="0.2">
      <c r="A211">
        <v>2012</v>
      </c>
      <c r="B211" t="s">
        <v>304</v>
      </c>
      <c r="C211" s="733">
        <v>40940</v>
      </c>
      <c r="D2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1" t="s">
        <v>505</v>
      </c>
      <c r="F211" t="s">
        <v>1915</v>
      </c>
      <c r="G211" t="s">
        <v>6869</v>
      </c>
      <c r="H211">
        <v>22390</v>
      </c>
      <c r="I211" t="s">
        <v>424</v>
      </c>
      <c r="J211" t="s">
        <v>1917</v>
      </c>
      <c r="K211" t="s">
        <v>1918</v>
      </c>
      <c r="L211" t="s">
        <v>1919</v>
      </c>
      <c r="M211">
        <v>267</v>
      </c>
      <c r="N211">
        <v>30</v>
      </c>
      <c r="O211">
        <v>2929.97</v>
      </c>
      <c r="P211">
        <v>1683.8244589999999</v>
      </c>
      <c r="Q211">
        <v>4613.7944589999997</v>
      </c>
      <c r="R211">
        <v>738.20711300000005</v>
      </c>
      <c r="S211">
        <v>184.55177800000001</v>
      </c>
      <c r="T211">
        <v>5167.4497940000001</v>
      </c>
      <c r="U211" t="s">
        <v>1926</v>
      </c>
      <c r="V211" t="s">
        <v>9408</v>
      </c>
      <c r="W211" t="s">
        <v>424</v>
      </c>
    </row>
    <row r="212" spans="1:23" hidden="1" x14ac:dyDescent="0.2">
      <c r="A212">
        <v>2012</v>
      </c>
      <c r="B212" t="s">
        <v>304</v>
      </c>
      <c r="C212" s="733">
        <v>40948</v>
      </c>
      <c r="D2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2" t="s">
        <v>505</v>
      </c>
      <c r="F212" t="s">
        <v>1915</v>
      </c>
      <c r="G212" t="s">
        <v>6870</v>
      </c>
      <c r="H212">
        <v>22573</v>
      </c>
      <c r="I212" t="s">
        <v>424</v>
      </c>
      <c r="J212" t="s">
        <v>1917</v>
      </c>
      <c r="K212" t="s">
        <v>1918</v>
      </c>
      <c r="L212" t="s">
        <v>1919</v>
      </c>
      <c r="M212">
        <v>267</v>
      </c>
      <c r="N212">
        <v>30</v>
      </c>
      <c r="O212">
        <v>2929.97</v>
      </c>
      <c r="P212">
        <v>1683.8244589999999</v>
      </c>
      <c r="Q212">
        <v>4613.7944589999997</v>
      </c>
      <c r="R212">
        <v>738.20711300000005</v>
      </c>
      <c r="S212">
        <v>184.55177800000001</v>
      </c>
      <c r="T212">
        <v>5167.4497940000001</v>
      </c>
      <c r="U212" t="s">
        <v>1924</v>
      </c>
      <c r="V212" t="s">
        <v>9408</v>
      </c>
      <c r="W212" t="s">
        <v>424</v>
      </c>
    </row>
    <row r="213" spans="1:23" hidden="1" x14ac:dyDescent="0.2">
      <c r="A213">
        <v>2012</v>
      </c>
      <c r="B213" t="s">
        <v>304</v>
      </c>
      <c r="C213" s="733">
        <v>40952</v>
      </c>
      <c r="D2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3" t="s">
        <v>505</v>
      </c>
      <c r="F213" t="s">
        <v>1915</v>
      </c>
      <c r="G213" t="s">
        <v>6871</v>
      </c>
      <c r="H213">
        <v>22687</v>
      </c>
      <c r="I213" t="s">
        <v>424</v>
      </c>
      <c r="J213" t="s">
        <v>1917</v>
      </c>
      <c r="K213" t="s">
        <v>1918</v>
      </c>
      <c r="L213" t="s">
        <v>1919</v>
      </c>
      <c r="M213">
        <v>267</v>
      </c>
      <c r="N213">
        <v>30</v>
      </c>
      <c r="O213">
        <v>2929.97</v>
      </c>
      <c r="P213">
        <v>1683.8244589999999</v>
      </c>
      <c r="Q213">
        <v>4613.7944589999997</v>
      </c>
      <c r="R213">
        <v>738.20711300000005</v>
      </c>
      <c r="S213">
        <v>184.55177800000001</v>
      </c>
      <c r="T213">
        <v>5167.4497940000001</v>
      </c>
      <c r="U213" t="s">
        <v>7522</v>
      </c>
      <c r="V213" t="s">
        <v>9408</v>
      </c>
      <c r="W213" t="s">
        <v>424</v>
      </c>
    </row>
    <row r="214" spans="1:23" hidden="1" x14ac:dyDescent="0.2">
      <c r="A214">
        <v>2012</v>
      </c>
      <c r="B214" t="s">
        <v>304</v>
      </c>
      <c r="C214" s="733">
        <v>40966</v>
      </c>
      <c r="D2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4" t="s">
        <v>505</v>
      </c>
      <c r="F214" t="s">
        <v>1915</v>
      </c>
      <c r="G214" t="s">
        <v>8858</v>
      </c>
      <c r="H214">
        <v>23036</v>
      </c>
      <c r="I214" t="s">
        <v>424</v>
      </c>
      <c r="J214" t="s">
        <v>1917</v>
      </c>
      <c r="K214" t="s">
        <v>1918</v>
      </c>
      <c r="L214" t="s">
        <v>1919</v>
      </c>
      <c r="M214">
        <v>267</v>
      </c>
      <c r="N214">
        <v>30</v>
      </c>
      <c r="O214">
        <v>4613.7</v>
      </c>
      <c r="P214">
        <v>0</v>
      </c>
      <c r="Q214">
        <v>4613.7</v>
      </c>
      <c r="R214">
        <v>738.19</v>
      </c>
      <c r="S214">
        <v>184.55</v>
      </c>
      <c r="T214">
        <v>5167.34</v>
      </c>
      <c r="U214" t="s">
        <v>9415</v>
      </c>
      <c r="V214" t="s">
        <v>9408</v>
      </c>
      <c r="W214" t="s">
        <v>424</v>
      </c>
    </row>
    <row r="215" spans="1:23" hidden="1" x14ac:dyDescent="0.2">
      <c r="A215">
        <v>2012</v>
      </c>
      <c r="B215" t="s">
        <v>304</v>
      </c>
      <c r="C215" s="733">
        <v>40952</v>
      </c>
      <c r="D2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5" t="s">
        <v>505</v>
      </c>
      <c r="F215" t="s">
        <v>1915</v>
      </c>
      <c r="G215" t="s">
        <v>2759</v>
      </c>
      <c r="H215">
        <v>22684</v>
      </c>
      <c r="I215" t="s">
        <v>424</v>
      </c>
      <c r="J215" t="s">
        <v>1917</v>
      </c>
      <c r="K215" t="s">
        <v>1918</v>
      </c>
      <c r="L215" t="s">
        <v>1919</v>
      </c>
      <c r="M215">
        <v>267</v>
      </c>
      <c r="N215">
        <v>30</v>
      </c>
      <c r="O215">
        <v>2929.97</v>
      </c>
      <c r="P215">
        <v>1683.8244589999999</v>
      </c>
      <c r="Q215">
        <v>4613.7944589999997</v>
      </c>
      <c r="R215">
        <v>738.20711300000005</v>
      </c>
      <c r="S215">
        <v>184.55177800000001</v>
      </c>
      <c r="T215">
        <v>5167.4497940000001</v>
      </c>
      <c r="U215" t="s">
        <v>7522</v>
      </c>
      <c r="V215" t="s">
        <v>9408</v>
      </c>
      <c r="W215" t="s">
        <v>424</v>
      </c>
    </row>
    <row r="216" spans="1:23" hidden="1" x14ac:dyDescent="0.2">
      <c r="A216">
        <v>2012</v>
      </c>
      <c r="B216" t="s">
        <v>304</v>
      </c>
      <c r="C216" s="733">
        <v>40964</v>
      </c>
      <c r="D2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6" t="s">
        <v>505</v>
      </c>
      <c r="F216" t="s">
        <v>1915</v>
      </c>
      <c r="G216" t="s">
        <v>8709</v>
      </c>
      <c r="H216">
        <v>22976</v>
      </c>
      <c r="I216" t="s">
        <v>1979</v>
      </c>
      <c r="J216" t="s">
        <v>1917</v>
      </c>
      <c r="K216" t="s">
        <v>1918</v>
      </c>
      <c r="L216" t="s">
        <v>1919</v>
      </c>
      <c r="M216">
        <v>267</v>
      </c>
      <c r="N216">
        <v>49.69</v>
      </c>
      <c r="O216">
        <v>11172.3</v>
      </c>
      <c r="P216">
        <v>0</v>
      </c>
      <c r="Q216">
        <v>11172.3</v>
      </c>
      <c r="R216">
        <v>1787.57</v>
      </c>
      <c r="S216">
        <v>446.89</v>
      </c>
      <c r="T216">
        <v>12512.98</v>
      </c>
      <c r="U216" t="s">
        <v>9415</v>
      </c>
      <c r="V216" t="s">
        <v>9409</v>
      </c>
      <c r="W216" t="s">
        <v>1979</v>
      </c>
    </row>
    <row r="217" spans="1:23" hidden="1" x14ac:dyDescent="0.2">
      <c r="A217">
        <v>2012</v>
      </c>
      <c r="B217" t="s">
        <v>304</v>
      </c>
      <c r="C217" s="733">
        <v>40954</v>
      </c>
      <c r="D2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7" t="s">
        <v>505</v>
      </c>
      <c r="F217" t="s">
        <v>2065</v>
      </c>
      <c r="G217" t="s">
        <v>8016</v>
      </c>
      <c r="H217">
        <v>22741</v>
      </c>
      <c r="I217" t="s">
        <v>424</v>
      </c>
      <c r="J217" t="s">
        <v>1917</v>
      </c>
      <c r="K217" t="s">
        <v>1918</v>
      </c>
      <c r="L217" t="s">
        <v>1919</v>
      </c>
      <c r="M217">
        <v>267</v>
      </c>
      <c r="N217">
        <v>30</v>
      </c>
      <c r="O217">
        <v>2929.97</v>
      </c>
      <c r="P217">
        <v>1683.8244589999999</v>
      </c>
      <c r="Q217">
        <v>4613.7944589999997</v>
      </c>
      <c r="R217">
        <v>738.20711300000005</v>
      </c>
      <c r="S217">
        <v>184.55177800000001</v>
      </c>
      <c r="T217">
        <v>5167.4497940000001</v>
      </c>
      <c r="U217" t="s">
        <v>7522</v>
      </c>
      <c r="V217" t="s">
        <v>9408</v>
      </c>
      <c r="W217" t="s">
        <v>424</v>
      </c>
    </row>
    <row r="218" spans="1:23" hidden="1" x14ac:dyDescent="0.2">
      <c r="A218">
        <v>2012</v>
      </c>
      <c r="B218" t="s">
        <v>304</v>
      </c>
      <c r="C218" s="733">
        <v>40959</v>
      </c>
      <c r="D2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8" t="s">
        <v>505</v>
      </c>
      <c r="F218" t="s">
        <v>1915</v>
      </c>
      <c r="G218" t="s">
        <v>8095</v>
      </c>
      <c r="H218">
        <v>22868</v>
      </c>
      <c r="I218" t="s">
        <v>424</v>
      </c>
      <c r="J218" t="s">
        <v>1917</v>
      </c>
      <c r="K218" t="s">
        <v>1918</v>
      </c>
      <c r="L218" t="s">
        <v>1919</v>
      </c>
      <c r="M218">
        <v>267</v>
      </c>
      <c r="N218">
        <v>30</v>
      </c>
      <c r="O218">
        <v>2929.97</v>
      </c>
      <c r="P218">
        <v>1683.8244589999999</v>
      </c>
      <c r="Q218">
        <v>4613.7944589999997</v>
      </c>
      <c r="R218">
        <v>738.20711300000005</v>
      </c>
      <c r="S218">
        <v>184.55177800000001</v>
      </c>
      <c r="T218">
        <v>5167.4497940000001</v>
      </c>
      <c r="U218" t="s">
        <v>8491</v>
      </c>
      <c r="V218" t="s">
        <v>9408</v>
      </c>
      <c r="W218" t="s">
        <v>424</v>
      </c>
    </row>
    <row r="219" spans="1:23" hidden="1" x14ac:dyDescent="0.2">
      <c r="A219">
        <v>2012</v>
      </c>
      <c r="B219" t="s">
        <v>303</v>
      </c>
      <c r="C219" s="733">
        <v>40919</v>
      </c>
      <c r="D2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9" t="s">
        <v>505</v>
      </c>
      <c r="F219" t="s">
        <v>1915</v>
      </c>
      <c r="G219" t="s">
        <v>3398</v>
      </c>
      <c r="H219">
        <v>21910</v>
      </c>
      <c r="I219" t="s">
        <v>424</v>
      </c>
      <c r="J219" t="s">
        <v>1917</v>
      </c>
      <c r="K219" t="s">
        <v>1918</v>
      </c>
      <c r="L219" t="s">
        <v>1919</v>
      </c>
      <c r="M219">
        <v>267</v>
      </c>
      <c r="N219">
        <v>30</v>
      </c>
      <c r="O219">
        <v>2929.97</v>
      </c>
      <c r="P219">
        <v>1683.8244589999999</v>
      </c>
      <c r="Q219">
        <v>4613.7944589999997</v>
      </c>
      <c r="R219">
        <v>738.20711300000005</v>
      </c>
      <c r="S219">
        <v>184.55177800000001</v>
      </c>
      <c r="T219">
        <v>5167.4497940000001</v>
      </c>
      <c r="U219" t="s">
        <v>1931</v>
      </c>
      <c r="V219" t="s">
        <v>9408</v>
      </c>
      <c r="W219" t="s">
        <v>424</v>
      </c>
    </row>
    <row r="220" spans="1:23" hidden="1" x14ac:dyDescent="0.2">
      <c r="A220">
        <v>2012</v>
      </c>
      <c r="B220" t="s">
        <v>303</v>
      </c>
      <c r="C220" s="733">
        <v>40927</v>
      </c>
      <c r="D2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0" t="s">
        <v>505</v>
      </c>
      <c r="F220" t="s">
        <v>1915</v>
      </c>
      <c r="G220" t="s">
        <v>3399</v>
      </c>
      <c r="H220">
        <v>22084</v>
      </c>
      <c r="I220" t="s">
        <v>424</v>
      </c>
      <c r="J220" t="s">
        <v>1917</v>
      </c>
      <c r="K220" t="s">
        <v>1918</v>
      </c>
      <c r="L220" t="s">
        <v>1919</v>
      </c>
      <c r="M220">
        <v>267</v>
      </c>
      <c r="N220">
        <v>30</v>
      </c>
      <c r="O220">
        <v>2929.97</v>
      </c>
      <c r="P220">
        <v>1683.8244589999999</v>
      </c>
      <c r="Q220">
        <v>4613.7944589999997</v>
      </c>
      <c r="R220">
        <v>738.20711300000005</v>
      </c>
      <c r="S220">
        <v>184.55177800000001</v>
      </c>
      <c r="T220">
        <v>5167.4497940000001</v>
      </c>
      <c r="U220" t="s">
        <v>1928</v>
      </c>
      <c r="V220" t="s">
        <v>9408</v>
      </c>
      <c r="W220" t="s">
        <v>424</v>
      </c>
    </row>
    <row r="221" spans="1:23" hidden="1" x14ac:dyDescent="0.2">
      <c r="A221">
        <v>2012</v>
      </c>
      <c r="B221" t="s">
        <v>303</v>
      </c>
      <c r="C221" s="733">
        <v>40938</v>
      </c>
      <c r="D2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1" t="s">
        <v>505</v>
      </c>
      <c r="F221" t="s">
        <v>1915</v>
      </c>
      <c r="G221" t="s">
        <v>5554</v>
      </c>
      <c r="H221">
        <v>22331</v>
      </c>
      <c r="I221" t="s">
        <v>424</v>
      </c>
      <c r="J221" t="s">
        <v>1917</v>
      </c>
      <c r="K221" t="s">
        <v>1918</v>
      </c>
      <c r="L221" t="s">
        <v>1919</v>
      </c>
      <c r="M221">
        <v>267</v>
      </c>
      <c r="N221">
        <v>30</v>
      </c>
      <c r="O221">
        <v>2929.97</v>
      </c>
      <c r="P221">
        <v>1683.8244589999999</v>
      </c>
      <c r="Q221">
        <v>4613.7944589999997</v>
      </c>
      <c r="R221">
        <v>738.20711300000005</v>
      </c>
      <c r="S221">
        <v>184.55177800000001</v>
      </c>
      <c r="T221">
        <v>5167.4497940000001</v>
      </c>
      <c r="U221" t="s">
        <v>1936</v>
      </c>
      <c r="V221" t="s">
        <v>9408</v>
      </c>
      <c r="W221" t="s">
        <v>424</v>
      </c>
    </row>
    <row r="222" spans="1:23" hidden="1" x14ac:dyDescent="0.2">
      <c r="A222">
        <v>2012</v>
      </c>
      <c r="B222" t="s">
        <v>305</v>
      </c>
      <c r="C222" s="733">
        <v>40971</v>
      </c>
      <c r="D222" s="733" t="str">
        <f>CHOOSE(MONTH(Tabla_sqldatos_bonampakdb_Bon_v_ingresos2012[[#This Row],[fecha_guia]]),"Enero","Febrero","Marzo","Abril","Mayo","Junio","Julio","Agosto","Septiembre","Octubre","Noviembre","Diciembre")</f>
        <v>Marzo</v>
      </c>
      <c r="E222" t="s">
        <v>505</v>
      </c>
      <c r="F222" t="s">
        <v>1915</v>
      </c>
      <c r="G222" t="s">
        <v>9655</v>
      </c>
      <c r="H222">
        <v>23147</v>
      </c>
      <c r="I222" t="s">
        <v>423</v>
      </c>
      <c r="J222" t="s">
        <v>1917</v>
      </c>
      <c r="K222" t="s">
        <v>1918</v>
      </c>
      <c r="L222" t="s">
        <v>1919</v>
      </c>
      <c r="M222">
        <v>267</v>
      </c>
      <c r="N222">
        <v>49.58</v>
      </c>
      <c r="O222">
        <v>11147.57</v>
      </c>
      <c r="P222">
        <v>0</v>
      </c>
      <c r="Q222">
        <v>11147.57</v>
      </c>
      <c r="R222">
        <v>1783.61</v>
      </c>
      <c r="S222">
        <v>445.9</v>
      </c>
      <c r="T222">
        <v>12485.28</v>
      </c>
      <c r="V222" t="s">
        <v>9409</v>
      </c>
      <c r="W222" t="s">
        <v>423</v>
      </c>
    </row>
    <row r="223" spans="1:23" hidden="1" x14ac:dyDescent="0.2">
      <c r="A223">
        <v>2012</v>
      </c>
      <c r="B223" t="s">
        <v>304</v>
      </c>
      <c r="C223" s="733">
        <v>40942</v>
      </c>
      <c r="D2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3" t="s">
        <v>505</v>
      </c>
      <c r="F223" t="s">
        <v>1915</v>
      </c>
      <c r="G223" t="s">
        <v>4194</v>
      </c>
      <c r="H223">
        <v>22456</v>
      </c>
      <c r="I223" t="s">
        <v>424</v>
      </c>
      <c r="J223" t="s">
        <v>1917</v>
      </c>
      <c r="K223" t="s">
        <v>1918</v>
      </c>
      <c r="L223" t="s">
        <v>1919</v>
      </c>
      <c r="M223">
        <v>267</v>
      </c>
      <c r="N223">
        <v>30</v>
      </c>
      <c r="O223">
        <v>2929.97</v>
      </c>
      <c r="P223">
        <v>1683.8244589999999</v>
      </c>
      <c r="Q223">
        <v>4613.7944589999997</v>
      </c>
      <c r="R223">
        <v>738.20711300000005</v>
      </c>
      <c r="S223">
        <v>184.55177800000001</v>
      </c>
      <c r="T223">
        <v>5167.4497940000001</v>
      </c>
      <c r="U223" t="s">
        <v>1926</v>
      </c>
      <c r="V223" t="s">
        <v>9408</v>
      </c>
      <c r="W223" t="s">
        <v>424</v>
      </c>
    </row>
    <row r="224" spans="1:23" hidden="1" x14ac:dyDescent="0.2">
      <c r="A224">
        <v>2012</v>
      </c>
      <c r="B224" t="s">
        <v>304</v>
      </c>
      <c r="C224" s="733">
        <v>40961</v>
      </c>
      <c r="D2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4" t="s">
        <v>505</v>
      </c>
      <c r="F224" t="s">
        <v>1915</v>
      </c>
      <c r="G224" t="s">
        <v>8259</v>
      </c>
      <c r="H224">
        <v>22922</v>
      </c>
      <c r="I224" t="s">
        <v>424</v>
      </c>
      <c r="J224" t="s">
        <v>1917</v>
      </c>
      <c r="K224" t="s">
        <v>1918</v>
      </c>
      <c r="L224" t="s">
        <v>1919</v>
      </c>
      <c r="M224">
        <v>267</v>
      </c>
      <c r="N224">
        <v>30</v>
      </c>
      <c r="O224">
        <v>4613.7</v>
      </c>
      <c r="P224">
        <v>0</v>
      </c>
      <c r="Q224">
        <v>4613.7</v>
      </c>
      <c r="R224">
        <v>738.19</v>
      </c>
      <c r="S224">
        <v>184.55</v>
      </c>
      <c r="T224">
        <v>5167.34</v>
      </c>
      <c r="U224" t="s">
        <v>8491</v>
      </c>
      <c r="V224" t="s">
        <v>9408</v>
      </c>
      <c r="W224" t="s">
        <v>424</v>
      </c>
    </row>
    <row r="225" spans="1:23" hidden="1" x14ac:dyDescent="0.2">
      <c r="A225">
        <v>2012</v>
      </c>
      <c r="B225" t="s">
        <v>303</v>
      </c>
      <c r="C225" s="733">
        <v>40939</v>
      </c>
      <c r="D2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5" t="s">
        <v>505</v>
      </c>
      <c r="F225" t="s">
        <v>1915</v>
      </c>
      <c r="G225" t="s">
        <v>3413</v>
      </c>
      <c r="H225">
        <v>21668</v>
      </c>
      <c r="I225" t="s">
        <v>424</v>
      </c>
      <c r="J225" t="s">
        <v>1917</v>
      </c>
      <c r="K225" t="s">
        <v>1918</v>
      </c>
      <c r="L225" t="s">
        <v>1919</v>
      </c>
      <c r="M225">
        <v>267</v>
      </c>
      <c r="N225">
        <v>30</v>
      </c>
      <c r="O225">
        <v>2929.97</v>
      </c>
      <c r="P225">
        <v>1683.8244589999999</v>
      </c>
      <c r="Q225">
        <v>4613.7944589999997</v>
      </c>
      <c r="R225">
        <v>738.20711300000005</v>
      </c>
      <c r="S225">
        <v>184.55177800000001</v>
      </c>
      <c r="T225">
        <v>5167.4497940000001</v>
      </c>
      <c r="U225" t="s">
        <v>1936</v>
      </c>
      <c r="V225" t="s">
        <v>9408</v>
      </c>
      <c r="W225" t="s">
        <v>424</v>
      </c>
    </row>
    <row r="226" spans="1:23" hidden="1" x14ac:dyDescent="0.2">
      <c r="A226">
        <v>2012</v>
      </c>
      <c r="B226" t="s">
        <v>304</v>
      </c>
      <c r="C226" s="733">
        <v>40940</v>
      </c>
      <c r="D2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6" t="s">
        <v>505</v>
      </c>
      <c r="F226" t="s">
        <v>1915</v>
      </c>
      <c r="G226" t="s">
        <v>4193</v>
      </c>
      <c r="H226">
        <v>22388</v>
      </c>
      <c r="I226" t="s">
        <v>424</v>
      </c>
      <c r="J226" t="s">
        <v>1917</v>
      </c>
      <c r="K226" t="s">
        <v>1918</v>
      </c>
      <c r="L226" t="s">
        <v>1919</v>
      </c>
      <c r="M226">
        <v>267</v>
      </c>
      <c r="N226">
        <v>30</v>
      </c>
      <c r="O226">
        <v>2929.97</v>
      </c>
      <c r="P226">
        <v>1683.8244589999999</v>
      </c>
      <c r="Q226">
        <v>4613.7944589999997</v>
      </c>
      <c r="R226">
        <v>738.20711300000005</v>
      </c>
      <c r="S226">
        <v>184.55177800000001</v>
      </c>
      <c r="T226">
        <v>5167.4497940000001</v>
      </c>
      <c r="U226" t="s">
        <v>1926</v>
      </c>
      <c r="V226" t="s">
        <v>9408</v>
      </c>
      <c r="W226" t="s">
        <v>424</v>
      </c>
    </row>
    <row r="227" spans="1:23" hidden="1" x14ac:dyDescent="0.2">
      <c r="A227">
        <v>2012</v>
      </c>
      <c r="B227" t="s">
        <v>304</v>
      </c>
      <c r="C227" s="733">
        <v>40946</v>
      </c>
      <c r="D2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7" t="s">
        <v>505</v>
      </c>
      <c r="F227" t="s">
        <v>1915</v>
      </c>
      <c r="G227" t="s">
        <v>5558</v>
      </c>
      <c r="H227">
        <v>22505</v>
      </c>
      <c r="I227" t="s">
        <v>424</v>
      </c>
      <c r="J227" t="s">
        <v>1917</v>
      </c>
      <c r="K227" t="s">
        <v>1918</v>
      </c>
      <c r="L227" t="s">
        <v>1919</v>
      </c>
      <c r="M227">
        <v>267</v>
      </c>
      <c r="N227">
        <v>27</v>
      </c>
      <c r="O227">
        <v>2636.97</v>
      </c>
      <c r="P227">
        <v>1515.4402889999999</v>
      </c>
      <c r="Q227">
        <v>4152.4102890000004</v>
      </c>
      <c r="R227">
        <v>664.38564599999995</v>
      </c>
      <c r="S227">
        <v>166.09641199999999</v>
      </c>
      <c r="T227">
        <v>4650.6995230000002</v>
      </c>
      <c r="U227" t="s">
        <v>1924</v>
      </c>
      <c r="V227" t="s">
        <v>9408</v>
      </c>
      <c r="W227" t="s">
        <v>424</v>
      </c>
    </row>
    <row r="228" spans="1:23" hidden="1" x14ac:dyDescent="0.2">
      <c r="A228">
        <v>2012</v>
      </c>
      <c r="B228" t="s">
        <v>304</v>
      </c>
      <c r="C228" s="733">
        <v>40962</v>
      </c>
      <c r="D2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8" t="s">
        <v>505</v>
      </c>
      <c r="F228" t="s">
        <v>1915</v>
      </c>
      <c r="G228" t="s">
        <v>8499</v>
      </c>
      <c r="H228">
        <v>22971</v>
      </c>
      <c r="I228" t="s">
        <v>424</v>
      </c>
      <c r="J228" t="s">
        <v>1917</v>
      </c>
      <c r="K228" t="s">
        <v>1918</v>
      </c>
      <c r="L228" t="s">
        <v>1919</v>
      </c>
      <c r="M228">
        <v>267</v>
      </c>
      <c r="N228">
        <v>27</v>
      </c>
      <c r="O228">
        <v>4613.7</v>
      </c>
      <c r="P228">
        <v>0</v>
      </c>
      <c r="Q228">
        <v>4613.7</v>
      </c>
      <c r="R228">
        <v>738.19</v>
      </c>
      <c r="S228">
        <v>184.55</v>
      </c>
      <c r="T228">
        <v>5167.34</v>
      </c>
      <c r="U228" t="s">
        <v>8778</v>
      </c>
      <c r="V228" t="s">
        <v>9408</v>
      </c>
      <c r="W228" t="s">
        <v>424</v>
      </c>
    </row>
    <row r="229" spans="1:23" hidden="1" x14ac:dyDescent="0.2">
      <c r="A229">
        <v>2012</v>
      </c>
      <c r="B229" t="s">
        <v>303</v>
      </c>
      <c r="C229" s="733">
        <v>40915</v>
      </c>
      <c r="D2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9" t="s">
        <v>505</v>
      </c>
      <c r="F229" t="s">
        <v>2065</v>
      </c>
      <c r="G229" t="s">
        <v>3408</v>
      </c>
      <c r="H229">
        <v>21734</v>
      </c>
      <c r="I229" t="s">
        <v>424</v>
      </c>
      <c r="J229" t="s">
        <v>1917</v>
      </c>
      <c r="K229" t="s">
        <v>1918</v>
      </c>
      <c r="L229" t="s">
        <v>1919</v>
      </c>
      <c r="M229">
        <v>267</v>
      </c>
      <c r="N229">
        <v>30</v>
      </c>
      <c r="O229">
        <v>2929.97</v>
      </c>
      <c r="P229">
        <v>1683.8244589999999</v>
      </c>
      <c r="Q229">
        <v>4613.7944589999997</v>
      </c>
      <c r="R229">
        <v>738.20711300000005</v>
      </c>
      <c r="S229">
        <v>184.55177800000001</v>
      </c>
      <c r="T229">
        <v>5167.4497940000001</v>
      </c>
      <c r="U229" t="s">
        <v>1920</v>
      </c>
      <c r="V229" t="s">
        <v>9408</v>
      </c>
      <c r="W229" t="s">
        <v>424</v>
      </c>
    </row>
    <row r="230" spans="1:23" hidden="1" x14ac:dyDescent="0.2">
      <c r="A230">
        <v>2012</v>
      </c>
      <c r="B230" t="s">
        <v>303</v>
      </c>
      <c r="C230" s="733">
        <v>40915</v>
      </c>
      <c r="D2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0" t="s">
        <v>505</v>
      </c>
      <c r="F230" t="s">
        <v>1915</v>
      </c>
      <c r="G230" t="s">
        <v>3409</v>
      </c>
      <c r="H230">
        <v>21847</v>
      </c>
      <c r="I230" t="s">
        <v>424</v>
      </c>
      <c r="J230" t="s">
        <v>1917</v>
      </c>
      <c r="K230" t="s">
        <v>1918</v>
      </c>
      <c r="L230" t="s">
        <v>1919</v>
      </c>
      <c r="M230">
        <v>267</v>
      </c>
      <c r="N230">
        <v>30</v>
      </c>
      <c r="O230">
        <v>2929.97</v>
      </c>
      <c r="P230">
        <v>1683.8244589999999</v>
      </c>
      <c r="Q230">
        <v>4613.7944589999997</v>
      </c>
      <c r="R230">
        <v>738.20711300000005</v>
      </c>
      <c r="S230">
        <v>184.55177800000001</v>
      </c>
      <c r="T230">
        <v>5167.4497940000001</v>
      </c>
      <c r="U230" t="s">
        <v>1920</v>
      </c>
      <c r="V230" t="s">
        <v>9408</v>
      </c>
      <c r="W230" t="s">
        <v>424</v>
      </c>
    </row>
    <row r="231" spans="1:23" hidden="1" x14ac:dyDescent="0.2">
      <c r="A231">
        <v>2012</v>
      </c>
      <c r="B231" t="s">
        <v>303</v>
      </c>
      <c r="C231" s="733">
        <v>40925</v>
      </c>
      <c r="D2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1" t="s">
        <v>505</v>
      </c>
      <c r="F231" t="s">
        <v>2065</v>
      </c>
      <c r="G231" t="s">
        <v>3410</v>
      </c>
      <c r="H231">
        <v>22027</v>
      </c>
      <c r="I231" t="s">
        <v>424</v>
      </c>
      <c r="J231" t="s">
        <v>1917</v>
      </c>
      <c r="K231" t="s">
        <v>1918</v>
      </c>
      <c r="L231" t="s">
        <v>1919</v>
      </c>
      <c r="M231">
        <v>267</v>
      </c>
      <c r="N231">
        <v>30</v>
      </c>
      <c r="O231">
        <v>2929.97</v>
      </c>
      <c r="P231">
        <v>1683.8244589999999</v>
      </c>
      <c r="Q231">
        <v>4613.7944589999997</v>
      </c>
      <c r="R231">
        <v>738.20711300000005</v>
      </c>
      <c r="S231">
        <v>184.55177800000001</v>
      </c>
      <c r="T231">
        <v>5167.4497940000001</v>
      </c>
      <c r="U231" t="s">
        <v>1931</v>
      </c>
      <c r="V231" t="s">
        <v>9408</v>
      </c>
      <c r="W231" t="s">
        <v>424</v>
      </c>
    </row>
    <row r="232" spans="1:23" hidden="1" x14ac:dyDescent="0.2">
      <c r="A232">
        <v>2012</v>
      </c>
      <c r="B232" t="s">
        <v>303</v>
      </c>
      <c r="C232" s="733">
        <v>40925</v>
      </c>
      <c r="D2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2" t="s">
        <v>505</v>
      </c>
      <c r="F232" t="s">
        <v>1915</v>
      </c>
      <c r="G232" t="s">
        <v>3411</v>
      </c>
      <c r="H232">
        <v>22033</v>
      </c>
      <c r="I232" t="s">
        <v>424</v>
      </c>
      <c r="J232" t="s">
        <v>1917</v>
      </c>
      <c r="K232" t="s">
        <v>1918</v>
      </c>
      <c r="L232" t="s">
        <v>1919</v>
      </c>
      <c r="M232">
        <v>267</v>
      </c>
      <c r="N232">
        <v>30</v>
      </c>
      <c r="O232">
        <v>2929.97</v>
      </c>
      <c r="P232">
        <v>1683.8244589999999</v>
      </c>
      <c r="Q232">
        <v>4613.7944589999997</v>
      </c>
      <c r="R232">
        <v>738.20711300000005</v>
      </c>
      <c r="S232">
        <v>184.55177800000001</v>
      </c>
      <c r="T232">
        <v>5167.4497940000001</v>
      </c>
      <c r="U232" t="s">
        <v>1931</v>
      </c>
      <c r="V232" t="s">
        <v>9408</v>
      </c>
      <c r="W232" t="s">
        <v>424</v>
      </c>
    </row>
    <row r="233" spans="1:23" hidden="1" x14ac:dyDescent="0.2">
      <c r="A233">
        <v>2012</v>
      </c>
      <c r="B233" t="s">
        <v>303</v>
      </c>
      <c r="C233" s="733">
        <v>40919</v>
      </c>
      <c r="D2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3" t="s">
        <v>505</v>
      </c>
      <c r="F233" t="s">
        <v>1915</v>
      </c>
      <c r="G233" t="s">
        <v>3402</v>
      </c>
      <c r="H233">
        <v>21907</v>
      </c>
      <c r="I233" t="s">
        <v>424</v>
      </c>
      <c r="J233" t="s">
        <v>1917</v>
      </c>
      <c r="K233" t="s">
        <v>1918</v>
      </c>
      <c r="L233" t="s">
        <v>1919</v>
      </c>
      <c r="M233">
        <v>267</v>
      </c>
      <c r="N233">
        <v>30</v>
      </c>
      <c r="O233">
        <v>2929.97</v>
      </c>
      <c r="P233">
        <v>1683.8244589999999</v>
      </c>
      <c r="Q233">
        <v>4613.7944589999997</v>
      </c>
      <c r="R233">
        <v>738.20711300000005</v>
      </c>
      <c r="S233">
        <v>184.55177800000001</v>
      </c>
      <c r="T233">
        <v>5167.4497940000001</v>
      </c>
      <c r="U233" t="s">
        <v>1931</v>
      </c>
      <c r="V233" t="s">
        <v>9408</v>
      </c>
      <c r="W233" t="s">
        <v>424</v>
      </c>
    </row>
    <row r="234" spans="1:23" hidden="1" x14ac:dyDescent="0.2">
      <c r="A234">
        <v>2012</v>
      </c>
      <c r="B234" t="s">
        <v>303</v>
      </c>
      <c r="C234" s="733">
        <v>40917</v>
      </c>
      <c r="D2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4" t="s">
        <v>505</v>
      </c>
      <c r="F234" t="s">
        <v>1915</v>
      </c>
      <c r="G234" t="s">
        <v>3401</v>
      </c>
      <c r="H234">
        <v>21850</v>
      </c>
      <c r="I234" t="s">
        <v>424</v>
      </c>
      <c r="J234" t="s">
        <v>1917</v>
      </c>
      <c r="K234" t="s">
        <v>1918</v>
      </c>
      <c r="L234" t="s">
        <v>1919</v>
      </c>
      <c r="M234">
        <v>267</v>
      </c>
      <c r="N234">
        <v>30</v>
      </c>
      <c r="O234">
        <v>2929.97</v>
      </c>
      <c r="P234">
        <v>1683.8244589999999</v>
      </c>
      <c r="Q234">
        <v>4613.7944589999997</v>
      </c>
      <c r="R234">
        <v>738.20711300000005</v>
      </c>
      <c r="S234">
        <v>184.55177800000001</v>
      </c>
      <c r="T234">
        <v>5167.4497940000001</v>
      </c>
      <c r="V234" t="s">
        <v>9408</v>
      </c>
      <c r="W234" t="s">
        <v>424</v>
      </c>
    </row>
    <row r="235" spans="1:23" hidden="1" x14ac:dyDescent="0.2">
      <c r="A235">
        <v>2012</v>
      </c>
      <c r="B235" t="s">
        <v>303</v>
      </c>
      <c r="C235" s="733">
        <v>40920</v>
      </c>
      <c r="D2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5" t="s">
        <v>505</v>
      </c>
      <c r="F235" t="s">
        <v>1915</v>
      </c>
      <c r="G235" t="s">
        <v>5560</v>
      </c>
      <c r="H235">
        <v>21913</v>
      </c>
      <c r="I235" t="s">
        <v>423</v>
      </c>
      <c r="J235" t="s">
        <v>1917</v>
      </c>
      <c r="K235" t="s">
        <v>1918</v>
      </c>
      <c r="L235" t="s">
        <v>1919</v>
      </c>
      <c r="M235">
        <v>267</v>
      </c>
      <c r="N235">
        <v>53.61</v>
      </c>
      <c r="O235">
        <v>12053.67</v>
      </c>
      <c r="P235">
        <v>0</v>
      </c>
      <c r="Q235">
        <v>12053.67</v>
      </c>
      <c r="R235">
        <v>1928.59</v>
      </c>
      <c r="S235">
        <v>482.15</v>
      </c>
      <c r="T235">
        <v>13500.11</v>
      </c>
      <c r="U235" t="s">
        <v>1931</v>
      </c>
      <c r="V235" t="s">
        <v>9409</v>
      </c>
      <c r="W235" t="s">
        <v>423</v>
      </c>
    </row>
    <row r="236" spans="1:23" hidden="1" x14ac:dyDescent="0.2">
      <c r="A236">
        <v>2012</v>
      </c>
      <c r="B236" t="s">
        <v>304</v>
      </c>
      <c r="C236" s="733">
        <v>40959</v>
      </c>
      <c r="D2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6" t="s">
        <v>505</v>
      </c>
      <c r="F236" t="s">
        <v>1915</v>
      </c>
      <c r="G236" t="s">
        <v>7607</v>
      </c>
      <c r="H236">
        <v>22854</v>
      </c>
      <c r="I236" t="s">
        <v>423</v>
      </c>
      <c r="J236" t="s">
        <v>1917</v>
      </c>
      <c r="K236" t="s">
        <v>1918</v>
      </c>
      <c r="L236" t="s">
        <v>1919</v>
      </c>
      <c r="M236">
        <v>267</v>
      </c>
      <c r="N236">
        <v>25.13</v>
      </c>
      <c r="O236">
        <v>5650.23</v>
      </c>
      <c r="P236">
        <v>0</v>
      </c>
      <c r="Q236">
        <v>5650.23</v>
      </c>
      <c r="R236">
        <v>904.04</v>
      </c>
      <c r="S236">
        <v>226.01</v>
      </c>
      <c r="T236">
        <v>6328.26</v>
      </c>
      <c r="U236" t="s">
        <v>8491</v>
      </c>
      <c r="V236" t="s">
        <v>9408</v>
      </c>
      <c r="W236" t="s">
        <v>423</v>
      </c>
    </row>
    <row r="237" spans="1:23" hidden="1" x14ac:dyDescent="0.2">
      <c r="A237">
        <v>2012</v>
      </c>
      <c r="B237" t="s">
        <v>304</v>
      </c>
      <c r="C237" s="733">
        <v>40952</v>
      </c>
      <c r="D2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7" t="s">
        <v>505</v>
      </c>
      <c r="F237" t="s">
        <v>2065</v>
      </c>
      <c r="G237" t="s">
        <v>4199</v>
      </c>
      <c r="H237">
        <v>22685</v>
      </c>
      <c r="I237" t="s">
        <v>424</v>
      </c>
      <c r="J237" t="s">
        <v>1917</v>
      </c>
      <c r="K237" t="s">
        <v>1918</v>
      </c>
      <c r="L237" t="s">
        <v>1919</v>
      </c>
      <c r="M237">
        <v>267</v>
      </c>
      <c r="N237">
        <v>30</v>
      </c>
      <c r="O237">
        <v>2929.97</v>
      </c>
      <c r="P237">
        <v>1683.8244589999999</v>
      </c>
      <c r="Q237">
        <v>4613.7944589999997</v>
      </c>
      <c r="R237">
        <v>738.20711300000005</v>
      </c>
      <c r="S237">
        <v>184.55177800000001</v>
      </c>
      <c r="T237">
        <v>5167.4497940000001</v>
      </c>
      <c r="U237" t="s">
        <v>7522</v>
      </c>
      <c r="V237" t="s">
        <v>9408</v>
      </c>
      <c r="W237" t="s">
        <v>424</v>
      </c>
    </row>
    <row r="238" spans="1:23" hidden="1" x14ac:dyDescent="0.2">
      <c r="A238">
        <v>2012</v>
      </c>
      <c r="B238" t="s">
        <v>304</v>
      </c>
      <c r="C238" s="733">
        <v>40947</v>
      </c>
      <c r="D2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8" t="s">
        <v>505</v>
      </c>
      <c r="F238" t="s">
        <v>1915</v>
      </c>
      <c r="G238" t="s">
        <v>3394</v>
      </c>
      <c r="H238">
        <v>22556</v>
      </c>
      <c r="I238" t="s">
        <v>424</v>
      </c>
      <c r="J238" t="s">
        <v>1917</v>
      </c>
      <c r="K238" t="s">
        <v>1918</v>
      </c>
      <c r="L238" t="s">
        <v>1919</v>
      </c>
      <c r="M238">
        <v>267</v>
      </c>
      <c r="N238">
        <v>30</v>
      </c>
      <c r="O238">
        <v>2929.97</v>
      </c>
      <c r="P238">
        <v>1683.8244589999999</v>
      </c>
      <c r="Q238">
        <v>4613.7944589999997</v>
      </c>
      <c r="R238">
        <v>738.20711300000005</v>
      </c>
      <c r="S238">
        <v>184.55177800000001</v>
      </c>
      <c r="T238">
        <v>5167.4497940000001</v>
      </c>
      <c r="U238" t="s">
        <v>1924</v>
      </c>
      <c r="V238" t="s">
        <v>9408</v>
      </c>
      <c r="W238" t="s">
        <v>424</v>
      </c>
    </row>
    <row r="239" spans="1:23" hidden="1" x14ac:dyDescent="0.2">
      <c r="A239">
        <v>2012</v>
      </c>
      <c r="B239" t="s">
        <v>304</v>
      </c>
      <c r="C239" s="733">
        <v>40963</v>
      </c>
      <c r="D2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9" t="s">
        <v>505</v>
      </c>
      <c r="F239" t="s">
        <v>1915</v>
      </c>
      <c r="G239" t="s">
        <v>8623</v>
      </c>
      <c r="H239">
        <v>22969</v>
      </c>
      <c r="I239" t="s">
        <v>424</v>
      </c>
      <c r="J239" t="s">
        <v>1954</v>
      </c>
      <c r="K239" t="s">
        <v>1918</v>
      </c>
      <c r="L239" t="s">
        <v>1919</v>
      </c>
      <c r="M239">
        <v>303</v>
      </c>
      <c r="N239">
        <v>30</v>
      </c>
      <c r="O239">
        <v>2314.83</v>
      </c>
      <c r="P239">
        <v>1330.309653</v>
      </c>
      <c r="Q239">
        <v>3645.1396530000002</v>
      </c>
      <c r="R239">
        <v>583.22234400000002</v>
      </c>
      <c r="S239">
        <v>145.80558600000001</v>
      </c>
      <c r="T239">
        <v>4082.556411</v>
      </c>
      <c r="U239" t="s">
        <v>8778</v>
      </c>
      <c r="V239" t="s">
        <v>9408</v>
      </c>
      <c r="W239" t="s">
        <v>424</v>
      </c>
    </row>
    <row r="240" spans="1:23" hidden="1" x14ac:dyDescent="0.2">
      <c r="A240">
        <v>2012</v>
      </c>
      <c r="B240" t="s">
        <v>303</v>
      </c>
      <c r="C240" s="733">
        <v>40919.893217592595</v>
      </c>
      <c r="D2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0" t="s">
        <v>505</v>
      </c>
      <c r="F240" t="s">
        <v>1915</v>
      </c>
      <c r="G240" t="s">
        <v>3393</v>
      </c>
      <c r="H240">
        <v>21916</v>
      </c>
      <c r="I240" t="s">
        <v>424</v>
      </c>
      <c r="J240" t="s">
        <v>1917</v>
      </c>
      <c r="K240" t="s">
        <v>1918</v>
      </c>
      <c r="L240" t="s">
        <v>1919</v>
      </c>
      <c r="M240">
        <v>267</v>
      </c>
      <c r="N240">
        <v>30</v>
      </c>
      <c r="O240">
        <v>2929.97</v>
      </c>
      <c r="P240">
        <v>1683.8244589999999</v>
      </c>
      <c r="Q240">
        <v>4613.7944589999997</v>
      </c>
      <c r="R240">
        <v>738.20711300000005</v>
      </c>
      <c r="S240">
        <v>184.55177800000001</v>
      </c>
      <c r="T240">
        <v>5167.4497940000001</v>
      </c>
      <c r="U240" t="s">
        <v>1931</v>
      </c>
      <c r="V240" t="s">
        <v>9408</v>
      </c>
      <c r="W240" t="s">
        <v>424</v>
      </c>
    </row>
    <row r="241" spans="1:23" hidden="1" x14ac:dyDescent="0.2">
      <c r="A241">
        <v>2012</v>
      </c>
      <c r="B241" t="s">
        <v>304</v>
      </c>
      <c r="C241" s="733">
        <v>40942</v>
      </c>
      <c r="D2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1" t="s">
        <v>505</v>
      </c>
      <c r="F241" t="s">
        <v>1915</v>
      </c>
      <c r="G241" t="s">
        <v>5553</v>
      </c>
      <c r="H241">
        <v>22462</v>
      </c>
      <c r="I241" t="s">
        <v>424</v>
      </c>
      <c r="J241" t="s">
        <v>1917</v>
      </c>
      <c r="K241" t="s">
        <v>1918</v>
      </c>
      <c r="L241" t="s">
        <v>1919</v>
      </c>
      <c r="M241">
        <v>267</v>
      </c>
      <c r="N241">
        <v>30</v>
      </c>
      <c r="O241">
        <v>2929.97</v>
      </c>
      <c r="P241">
        <v>1683.8244589999999</v>
      </c>
      <c r="Q241">
        <v>4613.7944589999997</v>
      </c>
      <c r="R241">
        <v>738.20711300000005</v>
      </c>
      <c r="S241">
        <v>184.55177800000001</v>
      </c>
      <c r="T241">
        <v>5167.4497940000001</v>
      </c>
      <c r="U241" t="s">
        <v>1926</v>
      </c>
      <c r="V241" t="s">
        <v>9408</v>
      </c>
      <c r="W241" t="s">
        <v>424</v>
      </c>
    </row>
    <row r="242" spans="1:23" hidden="1" x14ac:dyDescent="0.2">
      <c r="A242">
        <v>2012</v>
      </c>
      <c r="B242" t="s">
        <v>303</v>
      </c>
      <c r="C242" s="733">
        <v>40939</v>
      </c>
      <c r="D2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2" t="s">
        <v>505</v>
      </c>
      <c r="F242" t="s">
        <v>1915</v>
      </c>
      <c r="G242" t="s">
        <v>3392</v>
      </c>
      <c r="H242">
        <v>21671</v>
      </c>
      <c r="I242" t="s">
        <v>424</v>
      </c>
      <c r="J242" t="s">
        <v>1917</v>
      </c>
      <c r="K242" t="s">
        <v>1918</v>
      </c>
      <c r="L242" t="s">
        <v>1919</v>
      </c>
      <c r="M242">
        <v>267</v>
      </c>
      <c r="N242">
        <v>30</v>
      </c>
      <c r="O242">
        <v>2929.97</v>
      </c>
      <c r="P242">
        <v>1683.8244589999999</v>
      </c>
      <c r="Q242">
        <v>4613.7944589999997</v>
      </c>
      <c r="R242">
        <v>738.20711300000005</v>
      </c>
      <c r="S242">
        <v>184.55177800000001</v>
      </c>
      <c r="T242">
        <v>5167.4497940000001</v>
      </c>
      <c r="U242" t="s">
        <v>1936</v>
      </c>
      <c r="V242" t="s">
        <v>9408</v>
      </c>
      <c r="W242" t="s">
        <v>424</v>
      </c>
    </row>
    <row r="243" spans="1:23" hidden="1" x14ac:dyDescent="0.2">
      <c r="A243">
        <v>2012</v>
      </c>
      <c r="B243" t="s">
        <v>304</v>
      </c>
      <c r="C243" s="733">
        <v>40948</v>
      </c>
      <c r="D2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3" t="s">
        <v>505</v>
      </c>
      <c r="F243" t="s">
        <v>1915</v>
      </c>
      <c r="G243" t="s">
        <v>5557</v>
      </c>
      <c r="H243">
        <v>22578</v>
      </c>
      <c r="I243" t="s">
        <v>424</v>
      </c>
      <c r="J243" t="s">
        <v>1917</v>
      </c>
      <c r="K243" t="s">
        <v>1918</v>
      </c>
      <c r="L243" t="s">
        <v>1919</v>
      </c>
      <c r="M243">
        <v>267</v>
      </c>
      <c r="N243">
        <v>27</v>
      </c>
      <c r="O243">
        <v>2636.97</v>
      </c>
      <c r="P243">
        <v>1515.4402889999999</v>
      </c>
      <c r="Q243">
        <v>4152.4102890000004</v>
      </c>
      <c r="R243">
        <v>664.38564599999995</v>
      </c>
      <c r="S243">
        <v>166.09641199999999</v>
      </c>
      <c r="T243">
        <v>4650.6995230000002</v>
      </c>
      <c r="U243" t="s">
        <v>1924</v>
      </c>
      <c r="V243" t="s">
        <v>9408</v>
      </c>
      <c r="W243" t="s">
        <v>424</v>
      </c>
    </row>
    <row r="244" spans="1:23" hidden="1" x14ac:dyDescent="0.2">
      <c r="A244">
        <v>2012</v>
      </c>
      <c r="B244" t="s">
        <v>304</v>
      </c>
      <c r="C244" s="733">
        <v>40966</v>
      </c>
      <c r="D2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4" t="s">
        <v>505</v>
      </c>
      <c r="F244" t="s">
        <v>1915</v>
      </c>
      <c r="G244" t="s">
        <v>8782</v>
      </c>
      <c r="H244">
        <v>23034</v>
      </c>
      <c r="I244" t="s">
        <v>423</v>
      </c>
      <c r="J244" t="s">
        <v>1917</v>
      </c>
      <c r="K244" t="s">
        <v>1918</v>
      </c>
      <c r="L244" t="s">
        <v>1919</v>
      </c>
      <c r="M244">
        <v>267</v>
      </c>
      <c r="N244">
        <v>25.1</v>
      </c>
      <c r="O244">
        <v>5643.48</v>
      </c>
      <c r="P244">
        <v>0</v>
      </c>
      <c r="Q244">
        <v>5643.48</v>
      </c>
      <c r="R244">
        <v>902.96</v>
      </c>
      <c r="S244">
        <v>225.74</v>
      </c>
      <c r="T244">
        <v>6320.7</v>
      </c>
      <c r="U244" t="s">
        <v>9415</v>
      </c>
      <c r="V244" t="s">
        <v>9408</v>
      </c>
      <c r="W244" t="s">
        <v>423</v>
      </c>
    </row>
    <row r="245" spans="1:23" hidden="1" x14ac:dyDescent="0.2">
      <c r="A245">
        <v>2012</v>
      </c>
      <c r="B245" t="s">
        <v>304</v>
      </c>
      <c r="C245" s="733">
        <v>40946</v>
      </c>
      <c r="D2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5" t="s">
        <v>505</v>
      </c>
      <c r="F245" t="s">
        <v>1915</v>
      </c>
      <c r="G245" t="s">
        <v>2618</v>
      </c>
      <c r="H245">
        <v>22508</v>
      </c>
      <c r="I245" t="s">
        <v>424</v>
      </c>
      <c r="J245" t="s">
        <v>1917</v>
      </c>
      <c r="K245" t="s">
        <v>1918</v>
      </c>
      <c r="L245" t="s">
        <v>1919</v>
      </c>
      <c r="M245">
        <v>267</v>
      </c>
      <c r="N245">
        <v>30</v>
      </c>
      <c r="O245">
        <v>2929.97</v>
      </c>
      <c r="P245">
        <v>1683.8244589999999</v>
      </c>
      <c r="Q245">
        <v>4613.7944589999997</v>
      </c>
      <c r="R245">
        <v>738.20711300000005</v>
      </c>
      <c r="S245">
        <v>184.55177800000001</v>
      </c>
      <c r="T245">
        <v>5167.4497940000001</v>
      </c>
      <c r="U245" t="s">
        <v>1924</v>
      </c>
      <c r="V245" t="s">
        <v>9408</v>
      </c>
      <c r="W245" t="s">
        <v>424</v>
      </c>
    </row>
    <row r="246" spans="1:23" hidden="1" x14ac:dyDescent="0.2">
      <c r="A246">
        <v>2012</v>
      </c>
      <c r="B246" t="s">
        <v>304</v>
      </c>
      <c r="C246" s="733">
        <v>40949</v>
      </c>
      <c r="D2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6" t="s">
        <v>505</v>
      </c>
      <c r="F246" t="s">
        <v>1915</v>
      </c>
      <c r="G246" t="s">
        <v>2601</v>
      </c>
      <c r="H246">
        <v>22633</v>
      </c>
      <c r="I246" t="s">
        <v>424</v>
      </c>
      <c r="J246" t="s">
        <v>1917</v>
      </c>
      <c r="K246" t="s">
        <v>1918</v>
      </c>
      <c r="L246" t="s">
        <v>1919</v>
      </c>
      <c r="M246">
        <v>267</v>
      </c>
      <c r="N246">
        <v>30</v>
      </c>
      <c r="O246">
        <v>2929.97</v>
      </c>
      <c r="P246">
        <v>1683.8244589999999</v>
      </c>
      <c r="Q246">
        <v>4613.7944589999997</v>
      </c>
      <c r="R246">
        <v>738.20711300000005</v>
      </c>
      <c r="S246">
        <v>184.55177800000001</v>
      </c>
      <c r="T246">
        <v>5167.4497940000001</v>
      </c>
      <c r="U246" t="s">
        <v>1924</v>
      </c>
      <c r="V246" t="s">
        <v>9408</v>
      </c>
      <c r="W246" t="s">
        <v>424</v>
      </c>
    </row>
    <row r="247" spans="1:23" hidden="1" x14ac:dyDescent="0.2">
      <c r="A247">
        <v>2012</v>
      </c>
      <c r="B247" t="s">
        <v>303</v>
      </c>
      <c r="C247" s="733">
        <v>40927.533217592594</v>
      </c>
      <c r="D2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7" t="s">
        <v>505</v>
      </c>
      <c r="F247" t="s">
        <v>2065</v>
      </c>
      <c r="G247" t="s">
        <v>2599</v>
      </c>
      <c r="H247">
        <v>22107</v>
      </c>
      <c r="I247" t="s">
        <v>424</v>
      </c>
      <c r="J247" t="s">
        <v>1917</v>
      </c>
      <c r="K247" t="s">
        <v>1918</v>
      </c>
      <c r="L247" t="s">
        <v>1919</v>
      </c>
      <c r="M247">
        <v>267</v>
      </c>
      <c r="N247">
        <v>30</v>
      </c>
      <c r="O247">
        <v>2929.97</v>
      </c>
      <c r="P247">
        <v>1683.8244589999999</v>
      </c>
      <c r="Q247">
        <v>4613.7944589999997</v>
      </c>
      <c r="R247">
        <v>738.20711300000005</v>
      </c>
      <c r="S247">
        <v>184.55177800000001</v>
      </c>
      <c r="T247">
        <v>5167.4497940000001</v>
      </c>
      <c r="U247" t="s">
        <v>1928</v>
      </c>
      <c r="V247" t="s">
        <v>9408</v>
      </c>
      <c r="W247" t="s">
        <v>424</v>
      </c>
    </row>
    <row r="248" spans="1:23" hidden="1" x14ac:dyDescent="0.2">
      <c r="A248">
        <v>2012</v>
      </c>
      <c r="B248" t="s">
        <v>303</v>
      </c>
      <c r="C248" s="733">
        <v>40939</v>
      </c>
      <c r="D2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8" t="s">
        <v>505</v>
      </c>
      <c r="F248" t="s">
        <v>1915</v>
      </c>
      <c r="G248" t="s">
        <v>2597</v>
      </c>
      <c r="H248">
        <v>21685</v>
      </c>
      <c r="I248" t="s">
        <v>424</v>
      </c>
      <c r="J248" t="s">
        <v>1917</v>
      </c>
      <c r="K248" t="s">
        <v>1918</v>
      </c>
      <c r="L248" t="s">
        <v>1919</v>
      </c>
      <c r="M248">
        <v>267</v>
      </c>
      <c r="N248">
        <v>30</v>
      </c>
      <c r="O248">
        <v>2929.97</v>
      </c>
      <c r="P248">
        <v>1683.8244589999999</v>
      </c>
      <c r="Q248">
        <v>4613.7944589999997</v>
      </c>
      <c r="R248">
        <v>738.20711300000005</v>
      </c>
      <c r="S248">
        <v>184.55177800000001</v>
      </c>
      <c r="T248">
        <v>5167.4497940000001</v>
      </c>
      <c r="U248" t="s">
        <v>1936</v>
      </c>
      <c r="V248" t="s">
        <v>9408</v>
      </c>
      <c r="W248" t="s">
        <v>424</v>
      </c>
    </row>
    <row r="249" spans="1:23" hidden="1" x14ac:dyDescent="0.2">
      <c r="A249">
        <v>2012</v>
      </c>
      <c r="B249" t="s">
        <v>304</v>
      </c>
      <c r="C249" s="733">
        <v>40952</v>
      </c>
      <c r="D2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9" t="s">
        <v>505</v>
      </c>
      <c r="F249" t="s">
        <v>1915</v>
      </c>
      <c r="G249" t="s">
        <v>5609</v>
      </c>
      <c r="H249">
        <v>22688</v>
      </c>
      <c r="I249" t="s">
        <v>424</v>
      </c>
      <c r="J249" t="s">
        <v>1917</v>
      </c>
      <c r="K249" t="s">
        <v>1918</v>
      </c>
      <c r="L249" t="s">
        <v>1919</v>
      </c>
      <c r="M249">
        <v>267</v>
      </c>
      <c r="N249">
        <v>27</v>
      </c>
      <c r="O249">
        <v>2636.97</v>
      </c>
      <c r="P249">
        <v>1515.4402889999999</v>
      </c>
      <c r="Q249">
        <v>4152.4102890000004</v>
      </c>
      <c r="R249">
        <v>664.38564599999995</v>
      </c>
      <c r="S249">
        <v>166.09641199999999</v>
      </c>
      <c r="T249">
        <v>4650.6995230000002</v>
      </c>
      <c r="U249" t="s">
        <v>7522</v>
      </c>
      <c r="V249" t="s">
        <v>9408</v>
      </c>
      <c r="W249" t="s">
        <v>424</v>
      </c>
    </row>
    <row r="250" spans="1:23" hidden="1" x14ac:dyDescent="0.2">
      <c r="A250">
        <v>2012</v>
      </c>
      <c r="B250" t="s">
        <v>304</v>
      </c>
      <c r="C250" s="733">
        <v>40940</v>
      </c>
      <c r="D2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0" t="s">
        <v>505</v>
      </c>
      <c r="F250" t="s">
        <v>1915</v>
      </c>
      <c r="G250" t="s">
        <v>2593</v>
      </c>
      <c r="H250">
        <v>22397</v>
      </c>
      <c r="I250" t="s">
        <v>424</v>
      </c>
      <c r="J250" t="s">
        <v>1917</v>
      </c>
      <c r="K250" t="s">
        <v>1918</v>
      </c>
      <c r="L250" t="s">
        <v>1919</v>
      </c>
      <c r="M250">
        <v>267</v>
      </c>
      <c r="N250">
        <v>27</v>
      </c>
      <c r="O250">
        <v>2636.97</v>
      </c>
      <c r="P250">
        <v>1515.4402889999999</v>
      </c>
      <c r="Q250">
        <v>4152.4102890000004</v>
      </c>
      <c r="R250">
        <v>664.38564599999995</v>
      </c>
      <c r="S250">
        <v>166.09641199999999</v>
      </c>
      <c r="T250">
        <v>4650.6995230000002</v>
      </c>
      <c r="U250" t="s">
        <v>1926</v>
      </c>
      <c r="V250" t="s">
        <v>9408</v>
      </c>
      <c r="W250" t="s">
        <v>424</v>
      </c>
    </row>
    <row r="251" spans="1:23" hidden="1" x14ac:dyDescent="0.2">
      <c r="A251">
        <v>2012</v>
      </c>
      <c r="B251" t="s">
        <v>305</v>
      </c>
      <c r="C251" s="733">
        <v>40969</v>
      </c>
      <c r="D251" s="733" t="str">
        <f>CHOOSE(MONTH(Tabla_sqldatos_bonampakdb_Bon_v_ingresos2012[[#This Row],[fecha_guia]]),"Enero","Febrero","Marzo","Abril","Mayo","Junio","Julio","Agosto","Septiembre","Octubre","Noviembre","Diciembre")</f>
        <v>Marzo</v>
      </c>
      <c r="E251" t="s">
        <v>505</v>
      </c>
      <c r="F251" t="s">
        <v>1915</v>
      </c>
      <c r="G251" t="s">
        <v>9431</v>
      </c>
      <c r="H251">
        <v>23102</v>
      </c>
      <c r="I251" t="s">
        <v>424</v>
      </c>
      <c r="J251" t="s">
        <v>1917</v>
      </c>
      <c r="K251" t="s">
        <v>1918</v>
      </c>
      <c r="L251" t="s">
        <v>1919</v>
      </c>
      <c r="M251">
        <v>267</v>
      </c>
      <c r="N251">
        <v>27</v>
      </c>
      <c r="O251">
        <v>4152.33</v>
      </c>
      <c r="P251">
        <v>0</v>
      </c>
      <c r="Q251">
        <v>4152.33</v>
      </c>
      <c r="R251">
        <v>664.37</v>
      </c>
      <c r="S251">
        <v>166.09</v>
      </c>
      <c r="T251">
        <v>4650.6099999999997</v>
      </c>
      <c r="V251" t="s">
        <v>9408</v>
      </c>
      <c r="W251" t="s">
        <v>424</v>
      </c>
    </row>
    <row r="252" spans="1:23" hidden="1" x14ac:dyDescent="0.2">
      <c r="A252">
        <v>2012</v>
      </c>
      <c r="B252" t="s">
        <v>304</v>
      </c>
      <c r="C252" s="733">
        <v>40956</v>
      </c>
      <c r="D2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2" t="s">
        <v>505</v>
      </c>
      <c r="F252" t="s">
        <v>1915</v>
      </c>
      <c r="G252" t="s">
        <v>7541</v>
      </c>
      <c r="H252">
        <v>22809</v>
      </c>
      <c r="I252" t="s">
        <v>424</v>
      </c>
      <c r="J252" t="s">
        <v>1917</v>
      </c>
      <c r="K252" t="s">
        <v>1918</v>
      </c>
      <c r="L252" t="s">
        <v>1919</v>
      </c>
      <c r="M252">
        <v>267</v>
      </c>
      <c r="N252">
        <v>30</v>
      </c>
      <c r="O252">
        <v>2929.97</v>
      </c>
      <c r="P252">
        <v>1683.8244589999999</v>
      </c>
      <c r="Q252">
        <v>4613.7944589999997</v>
      </c>
      <c r="R252">
        <v>738.20711300000005</v>
      </c>
      <c r="S252">
        <v>184.55177800000001</v>
      </c>
      <c r="T252">
        <v>5167.4497940000001</v>
      </c>
      <c r="U252" t="s">
        <v>7529</v>
      </c>
      <c r="V252" t="s">
        <v>9408</v>
      </c>
      <c r="W252" t="s">
        <v>424</v>
      </c>
    </row>
    <row r="253" spans="1:23" hidden="1" x14ac:dyDescent="0.2">
      <c r="A253">
        <v>2012</v>
      </c>
      <c r="B253" t="s">
        <v>304</v>
      </c>
      <c r="C253" s="733">
        <v>40954</v>
      </c>
      <c r="D2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3" t="s">
        <v>505</v>
      </c>
      <c r="F253" t="s">
        <v>1915</v>
      </c>
      <c r="G253" t="s">
        <v>7465</v>
      </c>
      <c r="H253">
        <v>22742</v>
      </c>
      <c r="I253" t="s">
        <v>424</v>
      </c>
      <c r="J253" t="s">
        <v>1917</v>
      </c>
      <c r="K253" t="s">
        <v>1918</v>
      </c>
      <c r="L253" t="s">
        <v>1919</v>
      </c>
      <c r="M253">
        <v>267</v>
      </c>
      <c r="N253">
        <v>30</v>
      </c>
      <c r="O253">
        <v>2929.97</v>
      </c>
      <c r="P253">
        <v>1683.8244589999999</v>
      </c>
      <c r="Q253">
        <v>4613.7944589999997</v>
      </c>
      <c r="R253">
        <v>738.20711300000005</v>
      </c>
      <c r="S253">
        <v>184.55177800000001</v>
      </c>
      <c r="T253">
        <v>5167.4497940000001</v>
      </c>
      <c r="U253" t="s">
        <v>7522</v>
      </c>
      <c r="V253" t="s">
        <v>9408</v>
      </c>
      <c r="W253" t="s">
        <v>424</v>
      </c>
    </row>
    <row r="254" spans="1:23" hidden="1" x14ac:dyDescent="0.2">
      <c r="A254">
        <v>2012</v>
      </c>
      <c r="B254" t="s">
        <v>303</v>
      </c>
      <c r="C254" s="733">
        <v>40926</v>
      </c>
      <c r="D2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4" t="s">
        <v>505</v>
      </c>
      <c r="F254" t="s">
        <v>1915</v>
      </c>
      <c r="G254" t="s">
        <v>2602</v>
      </c>
      <c r="H254">
        <v>22050</v>
      </c>
      <c r="I254" t="s">
        <v>424</v>
      </c>
      <c r="J254" t="s">
        <v>1917</v>
      </c>
      <c r="K254" t="s">
        <v>1918</v>
      </c>
      <c r="L254" t="s">
        <v>1919</v>
      </c>
      <c r="M254">
        <v>267</v>
      </c>
      <c r="N254">
        <v>27</v>
      </c>
      <c r="O254">
        <v>2636.97</v>
      </c>
      <c r="P254">
        <v>1515.4402889999999</v>
      </c>
      <c r="Q254">
        <v>4152.4102890000004</v>
      </c>
      <c r="R254">
        <v>664.38564599999995</v>
      </c>
      <c r="S254">
        <v>166.09641199999999</v>
      </c>
      <c r="T254">
        <v>4650.6995230000002</v>
      </c>
      <c r="U254" t="s">
        <v>1928</v>
      </c>
      <c r="V254" t="s">
        <v>9408</v>
      </c>
      <c r="W254" t="s">
        <v>424</v>
      </c>
    </row>
    <row r="255" spans="1:23" hidden="1" x14ac:dyDescent="0.2">
      <c r="A255">
        <v>2012</v>
      </c>
      <c r="B255" t="s">
        <v>303</v>
      </c>
      <c r="C255" s="733">
        <v>40925.44021990741</v>
      </c>
      <c r="D2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5" t="s">
        <v>505</v>
      </c>
      <c r="F255" t="s">
        <v>1915</v>
      </c>
      <c r="G255" t="s">
        <v>2603</v>
      </c>
      <c r="H255">
        <v>22040</v>
      </c>
      <c r="I255" t="s">
        <v>424</v>
      </c>
      <c r="J255" t="s">
        <v>1917</v>
      </c>
      <c r="K255" t="s">
        <v>1918</v>
      </c>
      <c r="L255" t="s">
        <v>1919</v>
      </c>
      <c r="M255">
        <v>267</v>
      </c>
      <c r="N255">
        <v>27</v>
      </c>
      <c r="O255">
        <v>2636.97</v>
      </c>
      <c r="P255">
        <v>1515.4402889999999</v>
      </c>
      <c r="Q255">
        <v>4152.4102890000004</v>
      </c>
      <c r="R255">
        <v>664.38564599999995</v>
      </c>
      <c r="S255">
        <v>166.09641199999999</v>
      </c>
      <c r="T255">
        <v>4650.6995230000002</v>
      </c>
      <c r="U255" t="s">
        <v>1931</v>
      </c>
      <c r="V255" t="s">
        <v>9408</v>
      </c>
      <c r="W255" t="s">
        <v>424</v>
      </c>
    </row>
    <row r="256" spans="1:23" hidden="1" x14ac:dyDescent="0.2">
      <c r="A256">
        <v>2012</v>
      </c>
      <c r="B256" t="s">
        <v>303</v>
      </c>
      <c r="C256" s="733">
        <v>40938</v>
      </c>
      <c r="D2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6" t="s">
        <v>505</v>
      </c>
      <c r="F256" t="s">
        <v>2065</v>
      </c>
      <c r="G256" t="s">
        <v>5431</v>
      </c>
      <c r="H256">
        <v>22334</v>
      </c>
      <c r="I256" t="s">
        <v>424</v>
      </c>
      <c r="J256" t="s">
        <v>1917</v>
      </c>
      <c r="K256" t="s">
        <v>1918</v>
      </c>
      <c r="L256" t="s">
        <v>1919</v>
      </c>
      <c r="M256">
        <v>267</v>
      </c>
      <c r="N256">
        <v>30</v>
      </c>
      <c r="O256">
        <v>2929.97</v>
      </c>
      <c r="P256">
        <v>1683.8244589999999</v>
      </c>
      <c r="Q256">
        <v>4613.7944589999997</v>
      </c>
      <c r="R256">
        <v>738.20711300000005</v>
      </c>
      <c r="S256">
        <v>184.55177800000001</v>
      </c>
      <c r="T256">
        <v>5167.4497940000001</v>
      </c>
      <c r="U256" t="s">
        <v>1936</v>
      </c>
      <c r="V256" t="s">
        <v>9408</v>
      </c>
      <c r="W256" t="s">
        <v>424</v>
      </c>
    </row>
    <row r="257" spans="1:23" hidden="1" x14ac:dyDescent="0.2">
      <c r="A257">
        <v>2012</v>
      </c>
      <c r="B257" t="s">
        <v>304</v>
      </c>
      <c r="C257" s="733">
        <v>40940</v>
      </c>
      <c r="D2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7" t="s">
        <v>505</v>
      </c>
      <c r="F257" t="s">
        <v>2065</v>
      </c>
      <c r="G257" t="s">
        <v>5426</v>
      </c>
      <c r="H257">
        <v>22394</v>
      </c>
      <c r="I257" t="s">
        <v>424</v>
      </c>
      <c r="J257" t="s">
        <v>1917</v>
      </c>
      <c r="K257" t="s">
        <v>1918</v>
      </c>
      <c r="L257" t="s">
        <v>1919</v>
      </c>
      <c r="M257">
        <v>267</v>
      </c>
      <c r="N257">
        <v>30</v>
      </c>
      <c r="O257">
        <v>2929.97</v>
      </c>
      <c r="P257">
        <v>1683.8244589999999</v>
      </c>
      <c r="Q257">
        <v>4613.7944589999997</v>
      </c>
      <c r="R257">
        <v>738.20711300000005</v>
      </c>
      <c r="S257">
        <v>184.55177800000001</v>
      </c>
      <c r="T257">
        <v>5167.4497940000001</v>
      </c>
      <c r="U257" t="s">
        <v>1926</v>
      </c>
      <c r="V257" t="s">
        <v>9408</v>
      </c>
      <c r="W257" t="s">
        <v>424</v>
      </c>
    </row>
    <row r="258" spans="1:23" hidden="1" x14ac:dyDescent="0.2">
      <c r="A258">
        <v>2012</v>
      </c>
      <c r="B258" t="s">
        <v>303</v>
      </c>
      <c r="C258" s="733">
        <v>40926</v>
      </c>
      <c r="D2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8" t="s">
        <v>505</v>
      </c>
      <c r="F258" t="s">
        <v>1915</v>
      </c>
      <c r="G258" t="s">
        <v>2594</v>
      </c>
      <c r="H258">
        <v>22047</v>
      </c>
      <c r="I258" t="s">
        <v>424</v>
      </c>
      <c r="J258" t="s">
        <v>1917</v>
      </c>
      <c r="K258" t="s">
        <v>1918</v>
      </c>
      <c r="L258" t="s">
        <v>1919</v>
      </c>
      <c r="M258">
        <v>267</v>
      </c>
      <c r="N258">
        <v>30</v>
      </c>
      <c r="O258">
        <v>2929.97</v>
      </c>
      <c r="P258">
        <v>1683.8244589999999</v>
      </c>
      <c r="Q258">
        <v>4613.7944589999997</v>
      </c>
      <c r="R258">
        <v>738.20711300000005</v>
      </c>
      <c r="S258">
        <v>184.55177800000001</v>
      </c>
      <c r="T258">
        <v>5167.4497940000001</v>
      </c>
      <c r="U258" t="s">
        <v>1928</v>
      </c>
      <c r="V258" t="s">
        <v>9408</v>
      </c>
      <c r="W258" t="s">
        <v>424</v>
      </c>
    </row>
    <row r="259" spans="1:23" hidden="1" x14ac:dyDescent="0.2">
      <c r="A259">
        <v>2012</v>
      </c>
      <c r="B259" t="s">
        <v>303</v>
      </c>
      <c r="C259" s="733">
        <v>40925</v>
      </c>
      <c r="D2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9" t="s">
        <v>505</v>
      </c>
      <c r="F259" t="s">
        <v>1915</v>
      </c>
      <c r="G259" t="s">
        <v>5432</v>
      </c>
      <c r="H259">
        <v>22036</v>
      </c>
      <c r="I259" t="s">
        <v>423</v>
      </c>
      <c r="J259" t="s">
        <v>4760</v>
      </c>
      <c r="K259" t="s">
        <v>1918</v>
      </c>
      <c r="L259" t="s">
        <v>1919</v>
      </c>
      <c r="M259">
        <v>444</v>
      </c>
      <c r="N259">
        <v>27.27</v>
      </c>
      <c r="O259">
        <v>8462.9699999999993</v>
      </c>
      <c r="P259">
        <v>0</v>
      </c>
      <c r="Q259">
        <v>8462.9699999999993</v>
      </c>
      <c r="R259">
        <v>1354.08</v>
      </c>
      <c r="S259">
        <v>338.52</v>
      </c>
      <c r="T259">
        <v>9478.5300000000007</v>
      </c>
      <c r="U259" t="s">
        <v>8778</v>
      </c>
      <c r="V259" t="s">
        <v>9408</v>
      </c>
      <c r="W259" t="s">
        <v>423</v>
      </c>
    </row>
    <row r="260" spans="1:23" hidden="1" x14ac:dyDescent="0.2">
      <c r="A260">
        <v>2012</v>
      </c>
      <c r="B260" t="s">
        <v>304</v>
      </c>
      <c r="C260" s="733">
        <v>40948</v>
      </c>
      <c r="D2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0" t="s">
        <v>505</v>
      </c>
      <c r="F260" t="s">
        <v>1915</v>
      </c>
      <c r="G260" t="s">
        <v>2595</v>
      </c>
      <c r="H260">
        <v>22577</v>
      </c>
      <c r="I260" t="s">
        <v>424</v>
      </c>
      <c r="J260" t="s">
        <v>1917</v>
      </c>
      <c r="K260" t="s">
        <v>1918</v>
      </c>
      <c r="L260" t="s">
        <v>1919</v>
      </c>
      <c r="M260">
        <v>267</v>
      </c>
      <c r="N260">
        <v>30</v>
      </c>
      <c r="O260">
        <v>2929.97</v>
      </c>
      <c r="P260">
        <v>1683.8244589999999</v>
      </c>
      <c r="Q260">
        <v>4613.7944589999997</v>
      </c>
      <c r="R260">
        <v>738.20711300000005</v>
      </c>
      <c r="S260">
        <v>184.55177800000001</v>
      </c>
      <c r="T260">
        <v>5167.4497940000001</v>
      </c>
      <c r="U260" t="s">
        <v>1924</v>
      </c>
      <c r="V260" t="s">
        <v>9408</v>
      </c>
      <c r="W260" t="s">
        <v>424</v>
      </c>
    </row>
    <row r="261" spans="1:23" hidden="1" x14ac:dyDescent="0.2">
      <c r="A261">
        <v>2012</v>
      </c>
      <c r="B261" t="s">
        <v>304</v>
      </c>
      <c r="C261" s="733">
        <v>40940</v>
      </c>
      <c r="D2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1" t="s">
        <v>505</v>
      </c>
      <c r="F261" t="s">
        <v>1915</v>
      </c>
      <c r="G261" t="s">
        <v>2596</v>
      </c>
      <c r="H261">
        <v>22391</v>
      </c>
      <c r="I261" t="s">
        <v>424</v>
      </c>
      <c r="J261" t="s">
        <v>1917</v>
      </c>
      <c r="K261" t="s">
        <v>1918</v>
      </c>
      <c r="L261" t="s">
        <v>1919</v>
      </c>
      <c r="M261">
        <v>267</v>
      </c>
      <c r="N261">
        <v>30</v>
      </c>
      <c r="O261">
        <v>2929.97</v>
      </c>
      <c r="P261">
        <v>1683.8244589999999</v>
      </c>
      <c r="Q261">
        <v>4613.7944589999997</v>
      </c>
      <c r="R261">
        <v>738.20711300000005</v>
      </c>
      <c r="S261">
        <v>184.55177800000001</v>
      </c>
      <c r="T261">
        <v>5167.4497940000001</v>
      </c>
      <c r="U261" t="s">
        <v>1926</v>
      </c>
      <c r="V261" t="s">
        <v>9408</v>
      </c>
      <c r="W261" t="s">
        <v>424</v>
      </c>
    </row>
    <row r="262" spans="1:23" hidden="1" x14ac:dyDescent="0.2">
      <c r="A262">
        <v>2012</v>
      </c>
      <c r="B262" t="s">
        <v>304</v>
      </c>
      <c r="C262" s="733">
        <v>40949.669525462959</v>
      </c>
      <c r="D2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2" t="s">
        <v>505</v>
      </c>
      <c r="F262" t="s">
        <v>1915</v>
      </c>
      <c r="G262" t="s">
        <v>2610</v>
      </c>
      <c r="H262">
        <v>22636</v>
      </c>
      <c r="I262" t="s">
        <v>424</v>
      </c>
      <c r="J262" t="s">
        <v>1954</v>
      </c>
      <c r="K262" t="s">
        <v>1918</v>
      </c>
      <c r="L262" t="s">
        <v>1919</v>
      </c>
      <c r="M262">
        <v>303</v>
      </c>
      <c r="N262">
        <v>30</v>
      </c>
      <c r="O262">
        <v>2314.83</v>
      </c>
      <c r="P262">
        <v>1330.309653</v>
      </c>
      <c r="Q262">
        <v>3645.1396530000002</v>
      </c>
      <c r="R262">
        <v>583.22234400000002</v>
      </c>
      <c r="S262">
        <v>145.80558600000001</v>
      </c>
      <c r="T262">
        <v>4082.556411</v>
      </c>
      <c r="U262" t="s">
        <v>7522</v>
      </c>
      <c r="V262" t="s">
        <v>9408</v>
      </c>
      <c r="W262" t="s">
        <v>424</v>
      </c>
    </row>
    <row r="263" spans="1:23" hidden="1" x14ac:dyDescent="0.2">
      <c r="A263">
        <v>2012</v>
      </c>
      <c r="B263" t="s">
        <v>304</v>
      </c>
      <c r="C263" s="733">
        <v>40966</v>
      </c>
      <c r="D2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3" t="s">
        <v>505</v>
      </c>
      <c r="F263" t="s">
        <v>1915</v>
      </c>
      <c r="G263" t="s">
        <v>8797</v>
      </c>
      <c r="H263">
        <v>23043</v>
      </c>
      <c r="I263" t="s">
        <v>424</v>
      </c>
      <c r="J263" t="s">
        <v>1917</v>
      </c>
      <c r="K263" t="s">
        <v>1918</v>
      </c>
      <c r="L263" t="s">
        <v>1919</v>
      </c>
      <c r="M263">
        <v>267</v>
      </c>
      <c r="N263">
        <v>30</v>
      </c>
      <c r="O263">
        <v>4613.7</v>
      </c>
      <c r="P263">
        <v>0</v>
      </c>
      <c r="Q263">
        <v>4613.7</v>
      </c>
      <c r="R263">
        <v>738.19</v>
      </c>
      <c r="S263">
        <v>184.55</v>
      </c>
      <c r="T263">
        <v>5167.34</v>
      </c>
      <c r="U263" t="s">
        <v>9415</v>
      </c>
      <c r="V263" t="s">
        <v>9408</v>
      </c>
      <c r="W263" t="s">
        <v>424</v>
      </c>
    </row>
    <row r="264" spans="1:23" hidden="1" x14ac:dyDescent="0.2">
      <c r="A264">
        <v>2012</v>
      </c>
      <c r="B264" t="s">
        <v>304</v>
      </c>
      <c r="C264" s="733">
        <v>40967</v>
      </c>
      <c r="D2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4" t="s">
        <v>505</v>
      </c>
      <c r="F264" t="s">
        <v>1915</v>
      </c>
      <c r="G264" t="s">
        <v>8856</v>
      </c>
      <c r="H264">
        <v>23064</v>
      </c>
      <c r="I264" t="s">
        <v>423</v>
      </c>
      <c r="J264" t="s">
        <v>1917</v>
      </c>
      <c r="K264" t="s">
        <v>1918</v>
      </c>
      <c r="L264" t="s">
        <v>1919</v>
      </c>
      <c r="M264">
        <v>267</v>
      </c>
      <c r="N264">
        <v>26.87</v>
      </c>
      <c r="O264">
        <v>8338.84</v>
      </c>
      <c r="P264">
        <v>0</v>
      </c>
      <c r="Q264">
        <v>8338.84</v>
      </c>
      <c r="R264">
        <v>1334.21</v>
      </c>
      <c r="S264">
        <v>333.55</v>
      </c>
      <c r="T264">
        <v>9339.5</v>
      </c>
      <c r="V264" t="s">
        <v>9409</v>
      </c>
      <c r="W264" t="s">
        <v>423</v>
      </c>
    </row>
    <row r="265" spans="1:23" hidden="1" x14ac:dyDescent="0.2">
      <c r="A265">
        <v>2012</v>
      </c>
      <c r="B265" t="s">
        <v>304</v>
      </c>
      <c r="C265" s="733">
        <v>40959</v>
      </c>
      <c r="D2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5" t="s">
        <v>505</v>
      </c>
      <c r="F265" t="s">
        <v>1915</v>
      </c>
      <c r="G265" t="s">
        <v>8099</v>
      </c>
      <c r="H265">
        <v>22862</v>
      </c>
      <c r="I265" t="s">
        <v>424</v>
      </c>
      <c r="J265" t="s">
        <v>1917</v>
      </c>
      <c r="K265" t="s">
        <v>1918</v>
      </c>
      <c r="L265" t="s">
        <v>1919</v>
      </c>
      <c r="M265">
        <v>267</v>
      </c>
      <c r="N265">
        <v>30</v>
      </c>
      <c r="O265">
        <v>2929.97</v>
      </c>
      <c r="P265">
        <v>1683.8244589999999</v>
      </c>
      <c r="Q265">
        <v>4613.7944589999997</v>
      </c>
      <c r="R265">
        <v>738.20711300000005</v>
      </c>
      <c r="S265">
        <v>184.55177800000001</v>
      </c>
      <c r="T265">
        <v>5167.4497940000001</v>
      </c>
      <c r="U265" t="s">
        <v>8491</v>
      </c>
      <c r="V265" t="s">
        <v>9408</v>
      </c>
      <c r="W265" t="s">
        <v>424</v>
      </c>
    </row>
    <row r="266" spans="1:23" hidden="1" x14ac:dyDescent="0.2">
      <c r="A266">
        <v>2012</v>
      </c>
      <c r="B266" t="s">
        <v>304</v>
      </c>
      <c r="C266" s="733">
        <v>40967</v>
      </c>
      <c r="D2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6" t="s">
        <v>505</v>
      </c>
      <c r="F266" t="s">
        <v>1915</v>
      </c>
      <c r="G266" t="s">
        <v>9333</v>
      </c>
      <c r="H266">
        <v>23037</v>
      </c>
      <c r="I266" t="s">
        <v>424</v>
      </c>
      <c r="J266" t="s">
        <v>1917</v>
      </c>
      <c r="K266" t="s">
        <v>1918</v>
      </c>
      <c r="L266" t="s">
        <v>1919</v>
      </c>
      <c r="M266">
        <v>267</v>
      </c>
      <c r="N266">
        <v>30</v>
      </c>
      <c r="O266">
        <v>4613.7</v>
      </c>
      <c r="P266">
        <v>0</v>
      </c>
      <c r="Q266">
        <v>4613.7</v>
      </c>
      <c r="R266">
        <v>738.19</v>
      </c>
      <c r="S266">
        <v>184.55</v>
      </c>
      <c r="T266">
        <v>5167.34</v>
      </c>
      <c r="V266" t="s">
        <v>9408</v>
      </c>
      <c r="W266" t="s">
        <v>424</v>
      </c>
    </row>
    <row r="267" spans="1:23" hidden="1" x14ac:dyDescent="0.2">
      <c r="A267">
        <v>2012</v>
      </c>
      <c r="B267" t="s">
        <v>303</v>
      </c>
      <c r="C267" s="733">
        <v>40915.500115740739</v>
      </c>
      <c r="D2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7" t="s">
        <v>505</v>
      </c>
      <c r="F267" t="s">
        <v>1915</v>
      </c>
      <c r="G267" t="s">
        <v>2598</v>
      </c>
      <c r="H267">
        <v>21805</v>
      </c>
      <c r="I267" t="s">
        <v>424</v>
      </c>
      <c r="J267" t="s">
        <v>1917</v>
      </c>
      <c r="K267" t="s">
        <v>1918</v>
      </c>
      <c r="L267" t="s">
        <v>1919</v>
      </c>
      <c r="M267">
        <v>267</v>
      </c>
      <c r="N267">
        <v>30</v>
      </c>
      <c r="O267">
        <v>2929.97</v>
      </c>
      <c r="P267">
        <v>1683.8244589999999</v>
      </c>
      <c r="Q267">
        <v>4613.7944589999997</v>
      </c>
      <c r="R267">
        <v>738.20711300000005</v>
      </c>
      <c r="S267">
        <v>184.55177800000001</v>
      </c>
      <c r="T267">
        <v>5167.4497940000001</v>
      </c>
      <c r="U267" t="s">
        <v>1920</v>
      </c>
      <c r="V267" t="s">
        <v>9408</v>
      </c>
      <c r="W267" t="s">
        <v>424</v>
      </c>
    </row>
    <row r="268" spans="1:23" hidden="1" x14ac:dyDescent="0.2">
      <c r="A268">
        <v>2012</v>
      </c>
      <c r="B268" t="s">
        <v>304</v>
      </c>
      <c r="C268" s="733">
        <v>40957</v>
      </c>
      <c r="D2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8" t="s">
        <v>505</v>
      </c>
      <c r="F268" t="s">
        <v>1915</v>
      </c>
      <c r="G268" t="s">
        <v>7959</v>
      </c>
      <c r="H268">
        <v>22748</v>
      </c>
      <c r="I268" t="s">
        <v>424</v>
      </c>
      <c r="J268" t="s">
        <v>1917</v>
      </c>
      <c r="K268" t="s">
        <v>1918</v>
      </c>
      <c r="L268" t="s">
        <v>1919</v>
      </c>
      <c r="M268">
        <v>267</v>
      </c>
      <c r="N268">
        <v>30</v>
      </c>
      <c r="O268">
        <v>2929.97</v>
      </c>
      <c r="P268">
        <v>1683.8244589999999</v>
      </c>
      <c r="Q268">
        <v>4613.7944589999997</v>
      </c>
      <c r="R268">
        <v>738.20711300000005</v>
      </c>
      <c r="S268">
        <v>184.55177800000001</v>
      </c>
      <c r="T268">
        <v>5167.4497940000001</v>
      </c>
      <c r="U268" t="s">
        <v>7529</v>
      </c>
      <c r="V268" t="s">
        <v>9408</v>
      </c>
      <c r="W268" t="s">
        <v>424</v>
      </c>
    </row>
    <row r="269" spans="1:23" hidden="1" x14ac:dyDescent="0.2">
      <c r="A269">
        <v>2012</v>
      </c>
      <c r="B269" t="s">
        <v>304</v>
      </c>
      <c r="C269" s="733">
        <v>40946</v>
      </c>
      <c r="D2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9" t="s">
        <v>505</v>
      </c>
      <c r="F269" t="s">
        <v>2065</v>
      </c>
      <c r="G269" t="s">
        <v>2614</v>
      </c>
      <c r="H269">
        <v>22515</v>
      </c>
      <c r="I269" t="s">
        <v>424</v>
      </c>
      <c r="J269" t="s">
        <v>1917</v>
      </c>
      <c r="K269" t="s">
        <v>1918</v>
      </c>
      <c r="L269" t="s">
        <v>1919</v>
      </c>
      <c r="M269">
        <v>267</v>
      </c>
      <c r="N269">
        <v>30</v>
      </c>
      <c r="O269">
        <v>2929.97</v>
      </c>
      <c r="P269">
        <v>1683.8244589999999</v>
      </c>
      <c r="Q269">
        <v>4613.7944589999997</v>
      </c>
      <c r="R269">
        <v>738.20711300000005</v>
      </c>
      <c r="S269">
        <v>184.55177800000001</v>
      </c>
      <c r="T269">
        <v>5167.4497940000001</v>
      </c>
      <c r="U269" t="s">
        <v>1924</v>
      </c>
      <c r="V269" t="s">
        <v>9408</v>
      </c>
      <c r="W269" t="s">
        <v>424</v>
      </c>
    </row>
    <row r="270" spans="1:23" x14ac:dyDescent="0.2">
      <c r="A270">
        <v>2012</v>
      </c>
      <c r="B270" t="s">
        <v>304</v>
      </c>
      <c r="C270" s="733">
        <v>40967</v>
      </c>
      <c r="D2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0" t="s">
        <v>485</v>
      </c>
      <c r="F270" t="s">
        <v>2048</v>
      </c>
      <c r="G270" t="s">
        <v>8857</v>
      </c>
      <c r="H270">
        <v>42591</v>
      </c>
      <c r="I270" t="s">
        <v>423</v>
      </c>
      <c r="J270" t="s">
        <v>4770</v>
      </c>
      <c r="K270" t="s">
        <v>2051</v>
      </c>
      <c r="L270" t="s">
        <v>2052</v>
      </c>
      <c r="M270">
        <v>599</v>
      </c>
      <c r="N270">
        <v>25.45</v>
      </c>
      <c r="O270">
        <v>8876.9599999999991</v>
      </c>
      <c r="P270">
        <v>0</v>
      </c>
      <c r="Q270">
        <v>8876.9599999999991</v>
      </c>
      <c r="R270">
        <v>1420.31</v>
      </c>
      <c r="S270">
        <v>355.08</v>
      </c>
      <c r="T270">
        <v>9942.19</v>
      </c>
      <c r="V270" t="s">
        <v>9408</v>
      </c>
      <c r="W270" t="s">
        <v>423</v>
      </c>
    </row>
    <row r="271" spans="1:23" hidden="1" x14ac:dyDescent="0.2">
      <c r="A271">
        <v>2012</v>
      </c>
      <c r="B271" t="s">
        <v>303</v>
      </c>
      <c r="C271" s="733">
        <v>40932</v>
      </c>
      <c r="D2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1" t="s">
        <v>485</v>
      </c>
      <c r="F271" t="s">
        <v>2084</v>
      </c>
      <c r="G271" t="s">
        <v>4955</v>
      </c>
      <c r="H271">
        <v>39829</v>
      </c>
      <c r="I271" t="s">
        <v>423</v>
      </c>
      <c r="J271" t="s">
        <v>4073</v>
      </c>
      <c r="K271" t="s">
        <v>2051</v>
      </c>
      <c r="L271" t="s">
        <v>2052</v>
      </c>
      <c r="M271">
        <v>610</v>
      </c>
      <c r="N271">
        <v>55.2</v>
      </c>
      <c r="O271">
        <v>19567.849999999999</v>
      </c>
      <c r="P271">
        <v>0</v>
      </c>
      <c r="Q271">
        <v>19567.849999999999</v>
      </c>
      <c r="R271">
        <v>3130.86</v>
      </c>
      <c r="S271">
        <v>782.71</v>
      </c>
      <c r="T271">
        <v>21916</v>
      </c>
      <c r="U271" t="s">
        <v>2053</v>
      </c>
      <c r="V271" t="s">
        <v>9409</v>
      </c>
      <c r="W271" t="s">
        <v>423</v>
      </c>
    </row>
    <row r="272" spans="1:23" hidden="1" x14ac:dyDescent="0.2">
      <c r="A272">
        <v>2012</v>
      </c>
      <c r="B272" t="s">
        <v>303</v>
      </c>
      <c r="C272" s="733">
        <v>40932</v>
      </c>
      <c r="D2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2" t="s">
        <v>505</v>
      </c>
      <c r="F272" t="s">
        <v>1915</v>
      </c>
      <c r="G272" t="s">
        <v>2858</v>
      </c>
      <c r="H272">
        <v>22198</v>
      </c>
      <c r="I272" t="s">
        <v>424</v>
      </c>
      <c r="J272" t="s">
        <v>1917</v>
      </c>
      <c r="K272" t="s">
        <v>1918</v>
      </c>
      <c r="L272" t="s">
        <v>1919</v>
      </c>
      <c r="M272">
        <v>267</v>
      </c>
      <c r="N272">
        <v>30</v>
      </c>
      <c r="O272">
        <v>2929.97</v>
      </c>
      <c r="P272">
        <v>1683.8244589999999</v>
      </c>
      <c r="Q272">
        <v>4613.7944589999997</v>
      </c>
      <c r="R272">
        <v>738.20711300000005</v>
      </c>
      <c r="S272">
        <v>184.55177800000001</v>
      </c>
      <c r="T272">
        <v>5167.4497940000001</v>
      </c>
      <c r="U272" t="s">
        <v>1928</v>
      </c>
      <c r="V272" t="s">
        <v>9408</v>
      </c>
      <c r="W272" t="s">
        <v>424</v>
      </c>
    </row>
    <row r="273" spans="1:23" hidden="1" x14ac:dyDescent="0.2">
      <c r="A273">
        <v>2012</v>
      </c>
      <c r="B273" t="s">
        <v>304</v>
      </c>
      <c r="C273" s="733">
        <v>40954</v>
      </c>
      <c r="D2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3" t="s">
        <v>505</v>
      </c>
      <c r="F273" t="s">
        <v>1915</v>
      </c>
      <c r="G273" t="s">
        <v>7492</v>
      </c>
      <c r="H273">
        <v>22749</v>
      </c>
      <c r="I273" t="s">
        <v>424</v>
      </c>
      <c r="J273" t="s">
        <v>1917</v>
      </c>
      <c r="K273" t="s">
        <v>1918</v>
      </c>
      <c r="L273" t="s">
        <v>1919</v>
      </c>
      <c r="M273">
        <v>267</v>
      </c>
      <c r="N273">
        <v>30</v>
      </c>
      <c r="O273">
        <v>2929.97</v>
      </c>
      <c r="P273">
        <v>1683.8244589999999</v>
      </c>
      <c r="Q273">
        <v>4613.7944589999997</v>
      </c>
      <c r="R273">
        <v>738.20711300000005</v>
      </c>
      <c r="S273">
        <v>184.55177800000001</v>
      </c>
      <c r="T273">
        <v>5167.4497940000001</v>
      </c>
      <c r="U273" t="s">
        <v>7522</v>
      </c>
      <c r="V273" t="s">
        <v>9408</v>
      </c>
      <c r="W273" t="s">
        <v>424</v>
      </c>
    </row>
    <row r="274" spans="1:23" hidden="1" x14ac:dyDescent="0.2">
      <c r="A274">
        <v>2012</v>
      </c>
      <c r="B274" t="s">
        <v>303</v>
      </c>
      <c r="C274" s="733">
        <v>40927</v>
      </c>
      <c r="D2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4" t="s">
        <v>505</v>
      </c>
      <c r="F274" t="s">
        <v>1915</v>
      </c>
      <c r="G274" t="s">
        <v>2849</v>
      </c>
      <c r="H274">
        <v>22079</v>
      </c>
      <c r="I274" t="s">
        <v>424</v>
      </c>
      <c r="J274" t="s">
        <v>1917</v>
      </c>
      <c r="K274" t="s">
        <v>1918</v>
      </c>
      <c r="L274" t="s">
        <v>1919</v>
      </c>
      <c r="M274">
        <v>267</v>
      </c>
      <c r="N274">
        <v>30</v>
      </c>
      <c r="O274">
        <v>2929.97</v>
      </c>
      <c r="P274">
        <v>1683.8244589999999</v>
      </c>
      <c r="Q274">
        <v>4613.7944589999997</v>
      </c>
      <c r="R274">
        <v>738.20711300000005</v>
      </c>
      <c r="S274">
        <v>184.55177800000001</v>
      </c>
      <c r="T274">
        <v>5167.4497940000001</v>
      </c>
      <c r="U274" t="s">
        <v>1928</v>
      </c>
      <c r="V274" t="s">
        <v>9408</v>
      </c>
      <c r="W274" t="s">
        <v>424</v>
      </c>
    </row>
    <row r="275" spans="1:23" hidden="1" x14ac:dyDescent="0.2">
      <c r="A275">
        <v>2012</v>
      </c>
      <c r="B275" t="s">
        <v>303</v>
      </c>
      <c r="C275" s="733">
        <v>40929</v>
      </c>
      <c r="D2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5" t="s">
        <v>505</v>
      </c>
      <c r="F275" t="s">
        <v>1915</v>
      </c>
      <c r="G275" t="s">
        <v>2855</v>
      </c>
      <c r="H275">
        <v>22139</v>
      </c>
      <c r="I275" t="s">
        <v>424</v>
      </c>
      <c r="J275" t="s">
        <v>1917</v>
      </c>
      <c r="K275" t="s">
        <v>1918</v>
      </c>
      <c r="L275" t="s">
        <v>1919</v>
      </c>
      <c r="M275">
        <v>267</v>
      </c>
      <c r="N275">
        <v>30</v>
      </c>
      <c r="O275">
        <v>2929.97</v>
      </c>
      <c r="P275">
        <v>1683.8244589999999</v>
      </c>
      <c r="Q275">
        <v>4613.7944589999997</v>
      </c>
      <c r="R275">
        <v>738.20711300000005</v>
      </c>
      <c r="S275">
        <v>184.55177800000001</v>
      </c>
      <c r="T275">
        <v>5167.4497940000001</v>
      </c>
      <c r="U275" t="s">
        <v>1928</v>
      </c>
      <c r="V275" t="s">
        <v>9408</v>
      </c>
      <c r="W275" t="s">
        <v>424</v>
      </c>
    </row>
    <row r="276" spans="1:23" hidden="1" x14ac:dyDescent="0.2">
      <c r="A276">
        <v>2012</v>
      </c>
      <c r="B276" t="s">
        <v>303</v>
      </c>
      <c r="C276" s="733">
        <v>40927</v>
      </c>
      <c r="D2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6" t="s">
        <v>505</v>
      </c>
      <c r="F276" t="s">
        <v>2065</v>
      </c>
      <c r="G276" t="s">
        <v>2854</v>
      </c>
      <c r="H276">
        <v>22076</v>
      </c>
      <c r="I276" t="s">
        <v>424</v>
      </c>
      <c r="J276" t="s">
        <v>1917</v>
      </c>
      <c r="K276" t="s">
        <v>1918</v>
      </c>
      <c r="L276" t="s">
        <v>1919</v>
      </c>
      <c r="M276">
        <v>267</v>
      </c>
      <c r="N276">
        <v>30</v>
      </c>
      <c r="O276">
        <v>2929.97</v>
      </c>
      <c r="P276">
        <v>1683.8244589999999</v>
      </c>
      <c r="Q276">
        <v>4613.7944589999997</v>
      </c>
      <c r="R276">
        <v>738.20711300000005</v>
      </c>
      <c r="S276">
        <v>184.55177800000001</v>
      </c>
      <c r="T276">
        <v>5167.4497940000001</v>
      </c>
      <c r="U276" t="s">
        <v>1928</v>
      </c>
      <c r="V276" t="s">
        <v>9408</v>
      </c>
      <c r="W276" t="s">
        <v>424</v>
      </c>
    </row>
    <row r="277" spans="1:23" hidden="1" x14ac:dyDescent="0.2">
      <c r="A277">
        <v>2012</v>
      </c>
      <c r="B277" t="s">
        <v>303</v>
      </c>
      <c r="C277" s="733">
        <v>40939</v>
      </c>
      <c r="D2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7" t="s">
        <v>505</v>
      </c>
      <c r="F277" t="s">
        <v>1915</v>
      </c>
      <c r="G277" t="s">
        <v>2869</v>
      </c>
      <c r="H277">
        <v>21663</v>
      </c>
      <c r="I277" t="s">
        <v>423</v>
      </c>
      <c r="J277" t="s">
        <v>1917</v>
      </c>
      <c r="K277" t="s">
        <v>1918</v>
      </c>
      <c r="L277" t="s">
        <v>1919</v>
      </c>
      <c r="M277">
        <v>267</v>
      </c>
      <c r="N277">
        <v>54.41</v>
      </c>
      <c r="O277">
        <v>12233.54</v>
      </c>
      <c r="P277">
        <v>0</v>
      </c>
      <c r="Q277">
        <v>12233.54</v>
      </c>
      <c r="R277">
        <v>1957.37</v>
      </c>
      <c r="S277">
        <v>489.34</v>
      </c>
      <c r="T277">
        <v>13701.57</v>
      </c>
      <c r="U277" t="s">
        <v>1936</v>
      </c>
      <c r="V277" t="s">
        <v>9409</v>
      </c>
      <c r="W277" t="s">
        <v>423</v>
      </c>
    </row>
    <row r="278" spans="1:23" hidden="1" x14ac:dyDescent="0.2">
      <c r="A278">
        <v>2012</v>
      </c>
      <c r="B278" t="s">
        <v>304</v>
      </c>
      <c r="C278" s="733">
        <v>40957</v>
      </c>
      <c r="D2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8" t="s">
        <v>505</v>
      </c>
      <c r="F278" t="s">
        <v>1915</v>
      </c>
      <c r="G278" t="s">
        <v>7628</v>
      </c>
      <c r="H278">
        <v>22843</v>
      </c>
      <c r="I278" t="s">
        <v>424</v>
      </c>
      <c r="J278" t="s">
        <v>1917</v>
      </c>
      <c r="K278" t="s">
        <v>1918</v>
      </c>
      <c r="L278" t="s">
        <v>1919</v>
      </c>
      <c r="M278">
        <v>267</v>
      </c>
      <c r="N278">
        <v>30</v>
      </c>
      <c r="O278">
        <v>2929.97</v>
      </c>
      <c r="P278">
        <v>1683.8244589999999</v>
      </c>
      <c r="Q278">
        <v>4613.7944589999997</v>
      </c>
      <c r="R278">
        <v>738.20711300000005</v>
      </c>
      <c r="S278">
        <v>184.55177800000001</v>
      </c>
      <c r="T278">
        <v>5167.4497940000001</v>
      </c>
      <c r="U278" t="s">
        <v>7529</v>
      </c>
      <c r="V278" t="s">
        <v>9408</v>
      </c>
      <c r="W278" t="s">
        <v>424</v>
      </c>
    </row>
    <row r="279" spans="1:23" hidden="1" x14ac:dyDescent="0.2">
      <c r="A279">
        <v>2012</v>
      </c>
      <c r="B279" t="s">
        <v>304</v>
      </c>
      <c r="C279" s="733">
        <v>40957</v>
      </c>
      <c r="D2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9" t="s">
        <v>505</v>
      </c>
      <c r="F279" t="s">
        <v>2065</v>
      </c>
      <c r="G279" t="s">
        <v>7666</v>
      </c>
      <c r="H279">
        <v>22846</v>
      </c>
      <c r="I279" t="s">
        <v>424</v>
      </c>
      <c r="J279" t="s">
        <v>1917</v>
      </c>
      <c r="K279" t="s">
        <v>1918</v>
      </c>
      <c r="L279" t="s">
        <v>1919</v>
      </c>
      <c r="M279">
        <v>267</v>
      </c>
      <c r="N279">
        <v>30</v>
      </c>
      <c r="O279">
        <v>2929.97</v>
      </c>
      <c r="P279">
        <v>1683.8244589999999</v>
      </c>
      <c r="Q279">
        <v>4613.7944589999997</v>
      </c>
      <c r="R279">
        <v>738.20711300000005</v>
      </c>
      <c r="S279">
        <v>184.55177800000001</v>
      </c>
      <c r="T279">
        <v>5167.4497940000001</v>
      </c>
      <c r="U279" t="s">
        <v>7529</v>
      </c>
      <c r="V279" t="s">
        <v>9408</v>
      </c>
      <c r="W279" t="s">
        <v>424</v>
      </c>
    </row>
    <row r="280" spans="1:23" hidden="1" x14ac:dyDescent="0.2">
      <c r="A280">
        <v>2012</v>
      </c>
      <c r="B280" t="s">
        <v>305</v>
      </c>
      <c r="C280" s="733">
        <v>40970</v>
      </c>
      <c r="D280" s="733" t="str">
        <f>CHOOSE(MONTH(Tabla_sqldatos_bonampakdb_Bon_v_ingresos2012[[#This Row],[fecha_guia]]),"Enero","Febrero","Marzo","Abril","Mayo","Junio","Julio","Agosto","Septiembre","Octubre","Noviembre","Diciembre")</f>
        <v>Marzo</v>
      </c>
      <c r="E280" t="s">
        <v>505</v>
      </c>
      <c r="F280" t="s">
        <v>1915</v>
      </c>
      <c r="G280" t="s">
        <v>9656</v>
      </c>
      <c r="H280">
        <v>23134</v>
      </c>
      <c r="I280" t="s">
        <v>423</v>
      </c>
      <c r="J280" t="s">
        <v>1917</v>
      </c>
      <c r="K280" t="s">
        <v>1918</v>
      </c>
      <c r="L280" t="s">
        <v>1919</v>
      </c>
      <c r="M280">
        <v>267</v>
      </c>
      <c r="N280">
        <v>25.08</v>
      </c>
      <c r="O280">
        <v>5638.99</v>
      </c>
      <c r="P280">
        <v>0</v>
      </c>
      <c r="Q280">
        <v>5638.99</v>
      </c>
      <c r="R280">
        <v>902.24</v>
      </c>
      <c r="S280">
        <v>225.56</v>
      </c>
      <c r="T280">
        <v>6315.67</v>
      </c>
      <c r="V280" t="s">
        <v>9409</v>
      </c>
      <c r="W280" t="s">
        <v>423</v>
      </c>
    </row>
    <row r="281" spans="1:23" hidden="1" x14ac:dyDescent="0.2">
      <c r="A281">
        <v>2012</v>
      </c>
      <c r="B281" t="s">
        <v>304</v>
      </c>
      <c r="C281" s="733">
        <v>40942</v>
      </c>
      <c r="D2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1" t="s">
        <v>505</v>
      </c>
      <c r="F281" t="s">
        <v>1915</v>
      </c>
      <c r="G281" t="s">
        <v>2852</v>
      </c>
      <c r="H281">
        <v>22491</v>
      </c>
      <c r="I281" t="s">
        <v>423</v>
      </c>
      <c r="J281" t="s">
        <v>1917</v>
      </c>
      <c r="K281" t="s">
        <v>1918</v>
      </c>
      <c r="L281" t="s">
        <v>1919</v>
      </c>
      <c r="M281">
        <v>267</v>
      </c>
      <c r="N281">
        <v>49.65</v>
      </c>
      <c r="O281">
        <v>11163.31</v>
      </c>
      <c r="P281">
        <v>0</v>
      </c>
      <c r="Q281">
        <v>11163.31</v>
      </c>
      <c r="R281">
        <v>1786.13</v>
      </c>
      <c r="S281">
        <v>446.53</v>
      </c>
      <c r="T281">
        <v>12502.91</v>
      </c>
      <c r="U281" t="s">
        <v>1924</v>
      </c>
      <c r="V281" t="s">
        <v>9409</v>
      </c>
      <c r="W281" t="s">
        <v>423</v>
      </c>
    </row>
    <row r="282" spans="1:23" hidden="1" x14ac:dyDescent="0.2">
      <c r="A282">
        <v>2012</v>
      </c>
      <c r="B282" t="s">
        <v>304</v>
      </c>
      <c r="C282" s="733">
        <v>40952</v>
      </c>
      <c r="D2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2" t="s">
        <v>505</v>
      </c>
      <c r="F282" t="s">
        <v>1915</v>
      </c>
      <c r="G282" t="s">
        <v>5378</v>
      </c>
      <c r="H282">
        <v>22676</v>
      </c>
      <c r="I282" t="s">
        <v>423</v>
      </c>
      <c r="J282" t="s">
        <v>1917</v>
      </c>
      <c r="K282" t="s">
        <v>1918</v>
      </c>
      <c r="L282" t="s">
        <v>1919</v>
      </c>
      <c r="M282">
        <v>267</v>
      </c>
      <c r="N282">
        <v>51.54</v>
      </c>
      <c r="O282">
        <v>11588.25</v>
      </c>
      <c r="P282">
        <v>0</v>
      </c>
      <c r="Q282">
        <v>11588.25</v>
      </c>
      <c r="R282">
        <v>1854.12</v>
      </c>
      <c r="S282">
        <v>463.53</v>
      </c>
      <c r="T282">
        <v>12978.84</v>
      </c>
      <c r="U282" t="s">
        <v>7522</v>
      </c>
      <c r="V282" t="s">
        <v>9409</v>
      </c>
      <c r="W282" t="s">
        <v>423</v>
      </c>
    </row>
    <row r="283" spans="1:23" hidden="1" x14ac:dyDescent="0.2">
      <c r="A283">
        <v>2012</v>
      </c>
      <c r="B283" t="s">
        <v>303</v>
      </c>
      <c r="C283" s="733">
        <v>40939</v>
      </c>
      <c r="D2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3" t="s">
        <v>505</v>
      </c>
      <c r="F283" t="s">
        <v>2065</v>
      </c>
      <c r="G283" t="s">
        <v>2857</v>
      </c>
      <c r="H283">
        <v>22379</v>
      </c>
      <c r="I283" t="s">
        <v>424</v>
      </c>
      <c r="J283" t="s">
        <v>1917</v>
      </c>
      <c r="K283" t="s">
        <v>1918</v>
      </c>
      <c r="L283" t="s">
        <v>1919</v>
      </c>
      <c r="M283">
        <v>267</v>
      </c>
      <c r="N283">
        <v>30</v>
      </c>
      <c r="O283">
        <v>2929.97</v>
      </c>
      <c r="P283">
        <v>1683.8244589999999</v>
      </c>
      <c r="Q283">
        <v>4613.7944589999997</v>
      </c>
      <c r="R283">
        <v>738.20711300000005</v>
      </c>
      <c r="S283">
        <v>184.55177800000001</v>
      </c>
      <c r="T283">
        <v>5167.4497940000001</v>
      </c>
      <c r="U283" t="s">
        <v>1936</v>
      </c>
      <c r="V283" t="s">
        <v>9408</v>
      </c>
      <c r="W283" t="s">
        <v>424</v>
      </c>
    </row>
    <row r="284" spans="1:23" hidden="1" x14ac:dyDescent="0.2">
      <c r="A284">
        <v>2012</v>
      </c>
      <c r="B284" t="s">
        <v>304</v>
      </c>
      <c r="C284" s="733">
        <v>40956</v>
      </c>
      <c r="D2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4" t="s">
        <v>505</v>
      </c>
      <c r="F284" t="s">
        <v>1915</v>
      </c>
      <c r="G284" t="s">
        <v>7596</v>
      </c>
      <c r="H284">
        <v>22790</v>
      </c>
      <c r="I284" t="s">
        <v>423</v>
      </c>
      <c r="J284" t="s">
        <v>1917</v>
      </c>
      <c r="K284" t="s">
        <v>1918</v>
      </c>
      <c r="L284" t="s">
        <v>1919</v>
      </c>
      <c r="M284">
        <v>267</v>
      </c>
      <c r="N284">
        <v>24.81</v>
      </c>
      <c r="O284">
        <v>5578.28</v>
      </c>
      <c r="P284">
        <v>0</v>
      </c>
      <c r="Q284">
        <v>5578.28</v>
      </c>
      <c r="R284">
        <v>892.52</v>
      </c>
      <c r="S284">
        <v>223.13</v>
      </c>
      <c r="T284">
        <v>6247.67</v>
      </c>
      <c r="U284" t="s">
        <v>7529</v>
      </c>
      <c r="V284" t="s">
        <v>9408</v>
      </c>
      <c r="W284" t="s">
        <v>423</v>
      </c>
    </row>
    <row r="285" spans="1:23" hidden="1" x14ac:dyDescent="0.2">
      <c r="A285">
        <v>2012</v>
      </c>
      <c r="B285" t="s">
        <v>304</v>
      </c>
      <c r="C285" s="733">
        <v>40962</v>
      </c>
      <c r="D2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5" t="s">
        <v>505</v>
      </c>
      <c r="F285" t="s">
        <v>1915</v>
      </c>
      <c r="G285" t="s">
        <v>8615</v>
      </c>
      <c r="H285">
        <v>22965</v>
      </c>
      <c r="I285" t="s">
        <v>423</v>
      </c>
      <c r="J285" t="s">
        <v>1917</v>
      </c>
      <c r="K285" t="s">
        <v>1918</v>
      </c>
      <c r="L285" t="s">
        <v>1919</v>
      </c>
      <c r="M285">
        <v>267</v>
      </c>
      <c r="N285">
        <v>24.92</v>
      </c>
      <c r="O285">
        <v>5603.01</v>
      </c>
      <c r="P285">
        <v>0</v>
      </c>
      <c r="Q285">
        <v>5603.01</v>
      </c>
      <c r="R285">
        <v>896.48</v>
      </c>
      <c r="S285">
        <v>224.12</v>
      </c>
      <c r="T285">
        <v>6275.37</v>
      </c>
      <c r="U285" t="s">
        <v>8778</v>
      </c>
      <c r="V285" t="s">
        <v>9408</v>
      </c>
      <c r="W285" t="s">
        <v>423</v>
      </c>
    </row>
    <row r="286" spans="1:23" hidden="1" x14ac:dyDescent="0.2">
      <c r="A286">
        <v>2012</v>
      </c>
      <c r="B286" t="s">
        <v>303</v>
      </c>
      <c r="C286" s="733">
        <v>40927</v>
      </c>
      <c r="D2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6" t="s">
        <v>505</v>
      </c>
      <c r="F286" t="s">
        <v>2065</v>
      </c>
      <c r="G286" t="s">
        <v>2874</v>
      </c>
      <c r="H286">
        <v>22082</v>
      </c>
      <c r="I286" t="s">
        <v>424</v>
      </c>
      <c r="J286" t="s">
        <v>1917</v>
      </c>
      <c r="K286" t="s">
        <v>1918</v>
      </c>
      <c r="L286" t="s">
        <v>1919</v>
      </c>
      <c r="M286">
        <v>267</v>
      </c>
      <c r="N286">
        <v>30</v>
      </c>
      <c r="O286">
        <v>2929.97</v>
      </c>
      <c r="P286">
        <v>1683.8244589999999</v>
      </c>
      <c r="Q286">
        <v>4613.7944589999997</v>
      </c>
      <c r="R286">
        <v>738.20711300000005</v>
      </c>
      <c r="S286">
        <v>184.55177800000001</v>
      </c>
      <c r="T286">
        <v>5167.4497940000001</v>
      </c>
      <c r="U286" t="s">
        <v>1928</v>
      </c>
      <c r="V286" t="s">
        <v>9408</v>
      </c>
      <c r="W286" t="s">
        <v>424</v>
      </c>
    </row>
    <row r="287" spans="1:23" hidden="1" x14ac:dyDescent="0.2">
      <c r="A287">
        <v>2012</v>
      </c>
      <c r="B287" t="s">
        <v>303</v>
      </c>
      <c r="C287" s="733">
        <v>40913</v>
      </c>
      <c r="D2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7" t="s">
        <v>505</v>
      </c>
      <c r="F287" t="s">
        <v>2065</v>
      </c>
      <c r="G287" t="s">
        <v>2877</v>
      </c>
      <c r="H287">
        <v>21720</v>
      </c>
      <c r="I287" t="s">
        <v>424</v>
      </c>
      <c r="J287" t="s">
        <v>1917</v>
      </c>
      <c r="K287" t="s">
        <v>1918</v>
      </c>
      <c r="L287" t="s">
        <v>1919</v>
      </c>
      <c r="M287">
        <v>267</v>
      </c>
      <c r="N287">
        <v>30</v>
      </c>
      <c r="O287">
        <v>2929.97</v>
      </c>
      <c r="P287">
        <v>1683.8244589999999</v>
      </c>
      <c r="Q287">
        <v>4613.7944589999997</v>
      </c>
      <c r="R287">
        <v>738.20711300000005</v>
      </c>
      <c r="S287">
        <v>184.55177800000001</v>
      </c>
      <c r="T287">
        <v>5167.4497940000001</v>
      </c>
      <c r="U287" t="s">
        <v>1920</v>
      </c>
      <c r="V287" t="s">
        <v>9408</v>
      </c>
      <c r="W287" t="s">
        <v>424</v>
      </c>
    </row>
    <row r="288" spans="1:23" hidden="1" x14ac:dyDescent="0.2">
      <c r="A288">
        <v>2012</v>
      </c>
      <c r="B288" t="s">
        <v>304</v>
      </c>
      <c r="C288" s="733">
        <v>40941</v>
      </c>
      <c r="D2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8" t="s">
        <v>505</v>
      </c>
      <c r="F288" t="s">
        <v>2065</v>
      </c>
      <c r="G288" t="s">
        <v>2876</v>
      </c>
      <c r="H288">
        <v>22429</v>
      </c>
      <c r="I288" t="s">
        <v>424</v>
      </c>
      <c r="J288" t="s">
        <v>1917</v>
      </c>
      <c r="K288" t="s">
        <v>1918</v>
      </c>
      <c r="L288" t="s">
        <v>1919</v>
      </c>
      <c r="M288">
        <v>267</v>
      </c>
      <c r="N288">
        <v>30</v>
      </c>
      <c r="O288">
        <v>2929.97</v>
      </c>
      <c r="P288">
        <v>1683.8244589999999</v>
      </c>
      <c r="Q288">
        <v>4613.7944589999997</v>
      </c>
      <c r="R288">
        <v>738.20711300000005</v>
      </c>
      <c r="S288">
        <v>184.55177800000001</v>
      </c>
      <c r="T288">
        <v>5167.4497940000001</v>
      </c>
      <c r="U288" t="s">
        <v>1926</v>
      </c>
      <c r="V288" t="s">
        <v>9408</v>
      </c>
      <c r="W288" t="s">
        <v>424</v>
      </c>
    </row>
    <row r="289" spans="1:23" hidden="1" x14ac:dyDescent="0.2">
      <c r="A289">
        <v>2012</v>
      </c>
      <c r="B289" t="s">
        <v>304</v>
      </c>
      <c r="C289" s="733">
        <v>40966</v>
      </c>
      <c r="D2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9" t="s">
        <v>505</v>
      </c>
      <c r="F289" t="s">
        <v>1915</v>
      </c>
      <c r="G289" t="s">
        <v>8989</v>
      </c>
      <c r="H289">
        <v>23026</v>
      </c>
      <c r="I289" t="s">
        <v>423</v>
      </c>
      <c r="J289" t="s">
        <v>4760</v>
      </c>
      <c r="K289" t="s">
        <v>1918</v>
      </c>
      <c r="L289" t="s">
        <v>1919</v>
      </c>
      <c r="M289">
        <v>444</v>
      </c>
      <c r="N289">
        <v>24.93</v>
      </c>
      <c r="O289">
        <v>7736.78</v>
      </c>
      <c r="P289">
        <v>0</v>
      </c>
      <c r="Q289">
        <v>7736.78</v>
      </c>
      <c r="R289">
        <v>1237.8800000000001</v>
      </c>
      <c r="S289">
        <v>309.47000000000003</v>
      </c>
      <c r="T289">
        <v>8665.19</v>
      </c>
      <c r="U289" t="s">
        <v>9415</v>
      </c>
      <c r="V289" t="s">
        <v>9408</v>
      </c>
      <c r="W289" t="s">
        <v>423</v>
      </c>
    </row>
    <row r="290" spans="1:23" hidden="1" x14ac:dyDescent="0.2">
      <c r="A290">
        <v>2012</v>
      </c>
      <c r="B290" t="s">
        <v>303</v>
      </c>
      <c r="C290" s="733">
        <v>40927</v>
      </c>
      <c r="D2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0" t="s">
        <v>505</v>
      </c>
      <c r="F290" t="s">
        <v>1915</v>
      </c>
      <c r="G290" t="s">
        <v>4901</v>
      </c>
      <c r="H290">
        <v>22103</v>
      </c>
      <c r="I290" t="s">
        <v>423</v>
      </c>
      <c r="J290" t="s">
        <v>4760</v>
      </c>
      <c r="K290" t="s">
        <v>1918</v>
      </c>
      <c r="L290" t="s">
        <v>1919</v>
      </c>
      <c r="M290">
        <v>444</v>
      </c>
      <c r="N290">
        <v>24.56</v>
      </c>
      <c r="O290">
        <v>7621.95</v>
      </c>
      <c r="P290">
        <v>0</v>
      </c>
      <c r="Q290">
        <v>7621.95</v>
      </c>
      <c r="R290">
        <v>1219.51</v>
      </c>
      <c r="S290">
        <v>304.88</v>
      </c>
      <c r="T290">
        <v>8536.58</v>
      </c>
      <c r="U290" t="s">
        <v>8778</v>
      </c>
      <c r="V290" t="s">
        <v>9408</v>
      </c>
      <c r="W290" t="s">
        <v>423</v>
      </c>
    </row>
    <row r="291" spans="1:23" hidden="1" x14ac:dyDescent="0.2">
      <c r="A291">
        <v>2012</v>
      </c>
      <c r="B291" t="s">
        <v>304</v>
      </c>
      <c r="C291" s="733">
        <v>40960</v>
      </c>
      <c r="D2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1" t="s">
        <v>505</v>
      </c>
      <c r="F291" t="s">
        <v>1915</v>
      </c>
      <c r="G291" t="s">
        <v>8165</v>
      </c>
      <c r="H291">
        <v>22908</v>
      </c>
      <c r="I291" t="s">
        <v>424</v>
      </c>
      <c r="J291" t="s">
        <v>1917</v>
      </c>
      <c r="K291" t="s">
        <v>1918</v>
      </c>
      <c r="L291" t="s">
        <v>1919</v>
      </c>
      <c r="M291">
        <v>267</v>
      </c>
      <c r="N291">
        <v>30</v>
      </c>
      <c r="O291">
        <v>4613.7</v>
      </c>
      <c r="P291">
        <v>0</v>
      </c>
      <c r="Q291">
        <v>4613.7</v>
      </c>
      <c r="R291">
        <v>738.19</v>
      </c>
      <c r="S291">
        <v>184.55</v>
      </c>
      <c r="T291">
        <v>5167.34</v>
      </c>
      <c r="U291" t="s">
        <v>8491</v>
      </c>
      <c r="V291" t="s">
        <v>9408</v>
      </c>
      <c r="W291" t="s">
        <v>424</v>
      </c>
    </row>
    <row r="292" spans="1:23" hidden="1" x14ac:dyDescent="0.2">
      <c r="A292">
        <v>2012</v>
      </c>
      <c r="B292" t="s">
        <v>303</v>
      </c>
      <c r="C292" s="733">
        <v>40929</v>
      </c>
      <c r="D2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2" t="s">
        <v>505</v>
      </c>
      <c r="F292" t="s">
        <v>1915</v>
      </c>
      <c r="G292" t="s">
        <v>2866</v>
      </c>
      <c r="H292">
        <v>22137</v>
      </c>
      <c r="I292" t="s">
        <v>424</v>
      </c>
      <c r="J292" t="s">
        <v>1954</v>
      </c>
      <c r="K292" t="s">
        <v>1918</v>
      </c>
      <c r="L292" t="s">
        <v>1919</v>
      </c>
      <c r="M292">
        <v>303</v>
      </c>
      <c r="N292">
        <v>30</v>
      </c>
      <c r="O292">
        <v>2314.83</v>
      </c>
      <c r="P292">
        <v>1330.309653</v>
      </c>
      <c r="Q292">
        <v>3645.1396530000002</v>
      </c>
      <c r="R292">
        <v>583.22234400000002</v>
      </c>
      <c r="S292">
        <v>145.80558600000001</v>
      </c>
      <c r="T292">
        <v>4082.556411</v>
      </c>
      <c r="U292" t="s">
        <v>8778</v>
      </c>
      <c r="V292" t="s">
        <v>9408</v>
      </c>
      <c r="W292" t="s">
        <v>424</v>
      </c>
    </row>
    <row r="293" spans="1:23" hidden="1" x14ac:dyDescent="0.2">
      <c r="A293">
        <v>2012</v>
      </c>
      <c r="B293" t="s">
        <v>303</v>
      </c>
      <c r="C293" s="733">
        <v>40929</v>
      </c>
      <c r="D2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3" t="s">
        <v>505</v>
      </c>
      <c r="F293" t="s">
        <v>1915</v>
      </c>
      <c r="G293" t="s">
        <v>2850</v>
      </c>
      <c r="H293">
        <v>22136</v>
      </c>
      <c r="I293" t="s">
        <v>424</v>
      </c>
      <c r="J293" t="s">
        <v>1917</v>
      </c>
      <c r="K293" t="s">
        <v>1918</v>
      </c>
      <c r="L293" t="s">
        <v>1919</v>
      </c>
      <c r="M293">
        <v>267</v>
      </c>
      <c r="N293">
        <v>30</v>
      </c>
      <c r="O293">
        <v>2929.97</v>
      </c>
      <c r="P293">
        <v>1683.8244589999999</v>
      </c>
      <c r="Q293">
        <v>4613.7944589999997</v>
      </c>
      <c r="R293">
        <v>738.20711300000005</v>
      </c>
      <c r="S293">
        <v>184.55177800000001</v>
      </c>
      <c r="T293">
        <v>5167.4497940000001</v>
      </c>
      <c r="U293" t="s">
        <v>1928</v>
      </c>
      <c r="V293" t="s">
        <v>9408</v>
      </c>
      <c r="W293" t="s">
        <v>424</v>
      </c>
    </row>
    <row r="294" spans="1:23" hidden="1" x14ac:dyDescent="0.2">
      <c r="A294">
        <v>2012</v>
      </c>
      <c r="B294" t="s">
        <v>304</v>
      </c>
      <c r="C294" s="733">
        <v>40955</v>
      </c>
      <c r="D2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4" t="s">
        <v>505</v>
      </c>
      <c r="F294" t="s">
        <v>1915</v>
      </c>
      <c r="G294" t="s">
        <v>7551</v>
      </c>
      <c r="H294">
        <v>22793</v>
      </c>
      <c r="I294" t="s">
        <v>424</v>
      </c>
      <c r="J294" t="s">
        <v>1917</v>
      </c>
      <c r="K294" t="s">
        <v>1918</v>
      </c>
      <c r="L294" t="s">
        <v>1919</v>
      </c>
      <c r="M294">
        <v>267</v>
      </c>
      <c r="N294">
        <v>27</v>
      </c>
      <c r="O294">
        <v>2636.97</v>
      </c>
      <c r="P294">
        <v>1515.4402889999999</v>
      </c>
      <c r="Q294">
        <v>4152.4102890000004</v>
      </c>
      <c r="R294">
        <v>664.38564599999995</v>
      </c>
      <c r="S294">
        <v>166.09641199999999</v>
      </c>
      <c r="T294">
        <v>4650.6995230000002</v>
      </c>
      <c r="U294" t="s">
        <v>7522</v>
      </c>
      <c r="V294" t="s">
        <v>9408</v>
      </c>
      <c r="W294" t="s">
        <v>424</v>
      </c>
    </row>
    <row r="295" spans="1:23" hidden="1" x14ac:dyDescent="0.2">
      <c r="A295">
        <v>2012</v>
      </c>
      <c r="B295" t="s">
        <v>304</v>
      </c>
      <c r="C295" s="733">
        <v>40947</v>
      </c>
      <c r="D2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5" t="s">
        <v>505</v>
      </c>
      <c r="F295" t="s">
        <v>1915</v>
      </c>
      <c r="G295" t="s">
        <v>5376</v>
      </c>
      <c r="H295">
        <v>22557</v>
      </c>
      <c r="I295" t="s">
        <v>424</v>
      </c>
      <c r="J295" t="s">
        <v>1917</v>
      </c>
      <c r="K295" t="s">
        <v>1918</v>
      </c>
      <c r="L295" t="s">
        <v>1919</v>
      </c>
      <c r="M295">
        <v>267</v>
      </c>
      <c r="N295">
        <v>30</v>
      </c>
      <c r="O295">
        <v>2929.97</v>
      </c>
      <c r="P295">
        <v>1683.8244589999999</v>
      </c>
      <c r="Q295">
        <v>4613.7944589999997</v>
      </c>
      <c r="R295">
        <v>738.20711300000005</v>
      </c>
      <c r="S295">
        <v>184.55177800000001</v>
      </c>
      <c r="T295">
        <v>5167.4497940000001</v>
      </c>
      <c r="U295" t="s">
        <v>1924</v>
      </c>
      <c r="V295" t="s">
        <v>9408</v>
      </c>
      <c r="W295" t="s">
        <v>424</v>
      </c>
    </row>
    <row r="296" spans="1:23" hidden="1" x14ac:dyDescent="0.2">
      <c r="A296">
        <v>2012</v>
      </c>
      <c r="B296" t="s">
        <v>303</v>
      </c>
      <c r="C296" s="733">
        <v>40915</v>
      </c>
      <c r="D2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6" t="s">
        <v>505</v>
      </c>
      <c r="F296" t="s">
        <v>1915</v>
      </c>
      <c r="G296" t="s">
        <v>2853</v>
      </c>
      <c r="H296">
        <v>21862</v>
      </c>
      <c r="I296" t="s">
        <v>424</v>
      </c>
      <c r="J296" t="s">
        <v>1917</v>
      </c>
      <c r="K296" t="s">
        <v>1918</v>
      </c>
      <c r="L296" t="s">
        <v>1919</v>
      </c>
      <c r="M296">
        <v>267</v>
      </c>
      <c r="N296">
        <v>30</v>
      </c>
      <c r="O296">
        <v>2929.97</v>
      </c>
      <c r="P296">
        <v>1683.8244589999999</v>
      </c>
      <c r="Q296">
        <v>4613.7944589999997</v>
      </c>
      <c r="R296">
        <v>738.20711300000005</v>
      </c>
      <c r="S296">
        <v>184.55177800000001</v>
      </c>
      <c r="T296">
        <v>5167.4497940000001</v>
      </c>
      <c r="U296" t="s">
        <v>1920</v>
      </c>
      <c r="V296" t="s">
        <v>9408</v>
      </c>
      <c r="W296" t="s">
        <v>424</v>
      </c>
    </row>
    <row r="297" spans="1:23" hidden="1" x14ac:dyDescent="0.2">
      <c r="A297">
        <v>2012</v>
      </c>
      <c r="B297" t="s">
        <v>303</v>
      </c>
      <c r="C297" s="733">
        <v>40915</v>
      </c>
      <c r="D2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7" t="s">
        <v>505</v>
      </c>
      <c r="F297" t="s">
        <v>1915</v>
      </c>
      <c r="G297" t="s">
        <v>2871</v>
      </c>
      <c r="H297">
        <v>21788</v>
      </c>
      <c r="I297" t="s">
        <v>424</v>
      </c>
      <c r="J297" t="s">
        <v>1917</v>
      </c>
      <c r="K297" t="s">
        <v>1918</v>
      </c>
      <c r="L297" t="s">
        <v>1919</v>
      </c>
      <c r="M297">
        <v>267</v>
      </c>
      <c r="N297">
        <v>30</v>
      </c>
      <c r="O297">
        <v>2929.97</v>
      </c>
      <c r="P297">
        <v>1683.8244589999999</v>
      </c>
      <c r="Q297">
        <v>4613.7944589999997</v>
      </c>
      <c r="R297">
        <v>738.20711300000005</v>
      </c>
      <c r="S297">
        <v>184.55177800000001</v>
      </c>
      <c r="T297">
        <v>5167.4497940000001</v>
      </c>
      <c r="U297" t="s">
        <v>1920</v>
      </c>
      <c r="V297" t="s">
        <v>9408</v>
      </c>
      <c r="W297" t="s">
        <v>424</v>
      </c>
    </row>
    <row r="298" spans="1:23" hidden="1" x14ac:dyDescent="0.2">
      <c r="A298">
        <v>2012</v>
      </c>
      <c r="B298" t="s">
        <v>303</v>
      </c>
      <c r="C298" s="733">
        <v>40925</v>
      </c>
      <c r="D2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8" t="s">
        <v>505</v>
      </c>
      <c r="F298" t="s">
        <v>1915</v>
      </c>
      <c r="G298" t="s">
        <v>2851</v>
      </c>
      <c r="H298">
        <v>22019</v>
      </c>
      <c r="I298" t="s">
        <v>424</v>
      </c>
      <c r="J298" t="s">
        <v>1917</v>
      </c>
      <c r="K298" t="s">
        <v>1918</v>
      </c>
      <c r="L298" t="s">
        <v>1919</v>
      </c>
      <c r="M298">
        <v>267</v>
      </c>
      <c r="N298">
        <v>30</v>
      </c>
      <c r="O298">
        <v>2929.97</v>
      </c>
      <c r="P298">
        <v>1683.8244589999999</v>
      </c>
      <c r="Q298">
        <v>4613.7944589999997</v>
      </c>
      <c r="R298">
        <v>738.20711300000005</v>
      </c>
      <c r="S298">
        <v>184.55177800000001</v>
      </c>
      <c r="T298">
        <v>5167.4497940000001</v>
      </c>
      <c r="U298" t="s">
        <v>1931</v>
      </c>
      <c r="V298" t="s">
        <v>9408</v>
      </c>
      <c r="W298" t="s">
        <v>424</v>
      </c>
    </row>
    <row r="299" spans="1:23" hidden="1" x14ac:dyDescent="0.2">
      <c r="A299">
        <v>2012</v>
      </c>
      <c r="B299" t="s">
        <v>303</v>
      </c>
      <c r="C299" s="733">
        <v>40915</v>
      </c>
      <c r="D2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9" t="s">
        <v>505</v>
      </c>
      <c r="F299" t="s">
        <v>1915</v>
      </c>
      <c r="G299" t="s">
        <v>2434</v>
      </c>
      <c r="H299">
        <v>21748</v>
      </c>
      <c r="I299" t="s">
        <v>424</v>
      </c>
      <c r="J299" t="s">
        <v>1917</v>
      </c>
      <c r="K299" t="s">
        <v>1918</v>
      </c>
      <c r="L299" t="s">
        <v>1919</v>
      </c>
      <c r="M299">
        <v>267</v>
      </c>
      <c r="N299">
        <v>30</v>
      </c>
      <c r="O299">
        <v>2929.97</v>
      </c>
      <c r="P299">
        <v>1683.8244589999999</v>
      </c>
      <c r="Q299">
        <v>4613.7944589999997</v>
      </c>
      <c r="R299">
        <v>738.20711300000005</v>
      </c>
      <c r="S299">
        <v>184.55177800000001</v>
      </c>
      <c r="T299">
        <v>5167.4497940000001</v>
      </c>
      <c r="U299" t="s">
        <v>1920</v>
      </c>
      <c r="V299" t="s">
        <v>9408</v>
      </c>
      <c r="W299" t="s">
        <v>424</v>
      </c>
    </row>
    <row r="300" spans="1:23" hidden="1" x14ac:dyDescent="0.2">
      <c r="A300">
        <v>2012</v>
      </c>
      <c r="B300" t="s">
        <v>303</v>
      </c>
      <c r="C300" s="733">
        <v>40933</v>
      </c>
      <c r="D3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0" t="s">
        <v>505</v>
      </c>
      <c r="F300" t="s">
        <v>1915</v>
      </c>
      <c r="G300" t="s">
        <v>2435</v>
      </c>
      <c r="H300">
        <v>22230</v>
      </c>
      <c r="I300" t="s">
        <v>424</v>
      </c>
      <c r="J300" t="s">
        <v>1917</v>
      </c>
      <c r="K300" t="s">
        <v>1918</v>
      </c>
      <c r="L300" t="s">
        <v>1919</v>
      </c>
      <c r="M300">
        <v>267</v>
      </c>
      <c r="N300">
        <v>30</v>
      </c>
      <c r="O300">
        <v>2929.97</v>
      </c>
      <c r="P300">
        <v>1683.8244589999999</v>
      </c>
      <c r="Q300">
        <v>4613.7944589999997</v>
      </c>
      <c r="R300">
        <v>738.20711300000005</v>
      </c>
      <c r="S300">
        <v>184.55177800000001</v>
      </c>
      <c r="T300">
        <v>5167.4497940000001</v>
      </c>
      <c r="U300" t="s">
        <v>1928</v>
      </c>
      <c r="V300" t="s">
        <v>9408</v>
      </c>
      <c r="W300" t="s">
        <v>424</v>
      </c>
    </row>
    <row r="301" spans="1:23" hidden="1" x14ac:dyDescent="0.2">
      <c r="A301">
        <v>2012</v>
      </c>
      <c r="B301" t="s">
        <v>303</v>
      </c>
      <c r="C301" s="733">
        <v>40915.491493055553</v>
      </c>
      <c r="D3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1" t="s">
        <v>505</v>
      </c>
      <c r="F301" t="s">
        <v>1915</v>
      </c>
      <c r="G301" t="s">
        <v>2436</v>
      </c>
      <c r="H301">
        <v>21835</v>
      </c>
      <c r="I301" t="s">
        <v>424</v>
      </c>
      <c r="J301" t="s">
        <v>1917</v>
      </c>
      <c r="K301" t="s">
        <v>1918</v>
      </c>
      <c r="L301" t="s">
        <v>1919</v>
      </c>
      <c r="M301">
        <v>267</v>
      </c>
      <c r="N301">
        <v>30</v>
      </c>
      <c r="O301">
        <v>2929.97</v>
      </c>
      <c r="P301">
        <v>1683.8244589999999</v>
      </c>
      <c r="Q301">
        <v>4613.7944589999997</v>
      </c>
      <c r="R301">
        <v>738.20711300000005</v>
      </c>
      <c r="S301">
        <v>184.55177800000001</v>
      </c>
      <c r="T301">
        <v>5167.4497940000001</v>
      </c>
      <c r="U301" t="s">
        <v>1920</v>
      </c>
      <c r="V301" t="s">
        <v>9408</v>
      </c>
      <c r="W301" t="s">
        <v>424</v>
      </c>
    </row>
    <row r="302" spans="1:23" hidden="1" x14ac:dyDescent="0.2">
      <c r="A302">
        <v>2012</v>
      </c>
      <c r="B302" t="s">
        <v>303</v>
      </c>
      <c r="C302" s="733">
        <v>40912</v>
      </c>
      <c r="D3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2" t="s">
        <v>505</v>
      </c>
      <c r="F302" t="s">
        <v>1915</v>
      </c>
      <c r="G302" t="s">
        <v>2423</v>
      </c>
      <c r="H302">
        <v>21683</v>
      </c>
      <c r="I302" t="s">
        <v>424</v>
      </c>
      <c r="J302" t="s">
        <v>1917</v>
      </c>
      <c r="K302" t="s">
        <v>1918</v>
      </c>
      <c r="L302" t="s">
        <v>1919</v>
      </c>
      <c r="M302">
        <v>267</v>
      </c>
      <c r="N302">
        <v>30</v>
      </c>
      <c r="O302">
        <v>2929.97</v>
      </c>
      <c r="P302">
        <v>1683.8244589999999</v>
      </c>
      <c r="Q302">
        <v>4613.7944589999997</v>
      </c>
      <c r="R302">
        <v>738.20711300000005</v>
      </c>
      <c r="S302">
        <v>184.55177800000001</v>
      </c>
      <c r="T302">
        <v>5167.4497940000001</v>
      </c>
      <c r="U302" t="s">
        <v>8778</v>
      </c>
      <c r="V302" t="s">
        <v>9408</v>
      </c>
      <c r="W302" t="s">
        <v>424</v>
      </c>
    </row>
    <row r="303" spans="1:23" hidden="1" x14ac:dyDescent="0.2">
      <c r="A303">
        <v>2012</v>
      </c>
      <c r="B303" t="s">
        <v>304</v>
      </c>
      <c r="C303" s="733">
        <v>40954</v>
      </c>
      <c r="D3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3" t="s">
        <v>505</v>
      </c>
      <c r="F303" t="s">
        <v>2065</v>
      </c>
      <c r="G303" t="s">
        <v>7699</v>
      </c>
      <c r="H303">
        <v>22747</v>
      </c>
      <c r="I303" t="s">
        <v>424</v>
      </c>
      <c r="J303" t="s">
        <v>1917</v>
      </c>
      <c r="K303" t="s">
        <v>1918</v>
      </c>
      <c r="L303" t="s">
        <v>1919</v>
      </c>
      <c r="M303">
        <v>267</v>
      </c>
      <c r="N303">
        <v>30</v>
      </c>
      <c r="O303">
        <v>2929.97</v>
      </c>
      <c r="P303">
        <v>1683.8244589999999</v>
      </c>
      <c r="Q303">
        <v>4613.7944589999997</v>
      </c>
      <c r="R303">
        <v>738.20711300000005</v>
      </c>
      <c r="S303">
        <v>184.55177800000001</v>
      </c>
      <c r="T303">
        <v>5167.4497940000001</v>
      </c>
      <c r="U303" t="s">
        <v>7522</v>
      </c>
      <c r="V303" t="s">
        <v>9408</v>
      </c>
      <c r="W303" t="s">
        <v>424</v>
      </c>
    </row>
    <row r="304" spans="1:23" hidden="1" x14ac:dyDescent="0.2">
      <c r="A304">
        <v>2012</v>
      </c>
      <c r="B304" t="s">
        <v>303</v>
      </c>
      <c r="C304" s="733">
        <v>40926</v>
      </c>
      <c r="D3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4" t="s">
        <v>505</v>
      </c>
      <c r="F304" t="s">
        <v>2065</v>
      </c>
      <c r="G304" t="s">
        <v>2940</v>
      </c>
      <c r="H304">
        <v>22041</v>
      </c>
      <c r="I304" t="s">
        <v>424</v>
      </c>
      <c r="J304" t="s">
        <v>1917</v>
      </c>
      <c r="K304" t="s">
        <v>1918</v>
      </c>
      <c r="L304" t="s">
        <v>1919</v>
      </c>
      <c r="M304">
        <v>267</v>
      </c>
      <c r="N304">
        <v>30</v>
      </c>
      <c r="O304">
        <v>2929.97</v>
      </c>
      <c r="P304">
        <v>1683.8244589999999</v>
      </c>
      <c r="Q304">
        <v>4613.7944589999997</v>
      </c>
      <c r="R304">
        <v>738.20711300000005</v>
      </c>
      <c r="S304">
        <v>184.55177800000001</v>
      </c>
      <c r="T304">
        <v>5167.4497940000001</v>
      </c>
      <c r="U304" t="s">
        <v>1928</v>
      </c>
      <c r="V304" t="s">
        <v>9408</v>
      </c>
      <c r="W304" t="s">
        <v>424</v>
      </c>
    </row>
    <row r="305" spans="1:23" hidden="1" x14ac:dyDescent="0.2">
      <c r="A305">
        <v>2012</v>
      </c>
      <c r="B305" t="s">
        <v>303</v>
      </c>
      <c r="C305" s="733">
        <v>40918</v>
      </c>
      <c r="D3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5" t="s">
        <v>505</v>
      </c>
      <c r="F305" t="s">
        <v>1915</v>
      </c>
      <c r="G305" t="s">
        <v>2426</v>
      </c>
      <c r="H305">
        <v>21875</v>
      </c>
      <c r="I305" t="s">
        <v>424</v>
      </c>
      <c r="J305" t="s">
        <v>1917</v>
      </c>
      <c r="K305" t="s">
        <v>1918</v>
      </c>
      <c r="L305" t="s">
        <v>1919</v>
      </c>
      <c r="M305">
        <v>267</v>
      </c>
      <c r="N305">
        <v>27</v>
      </c>
      <c r="O305">
        <v>2636.97</v>
      </c>
      <c r="P305">
        <v>1515.4402889999999</v>
      </c>
      <c r="Q305">
        <v>4152.4102890000004</v>
      </c>
      <c r="R305">
        <v>664.38564599999995</v>
      </c>
      <c r="S305">
        <v>166.09641199999999</v>
      </c>
      <c r="T305">
        <v>4650.6995230000002</v>
      </c>
      <c r="U305" t="s">
        <v>1931</v>
      </c>
      <c r="V305" t="s">
        <v>9408</v>
      </c>
      <c r="W305" t="s">
        <v>424</v>
      </c>
    </row>
    <row r="306" spans="1:23" hidden="1" x14ac:dyDescent="0.2">
      <c r="A306">
        <v>2012</v>
      </c>
      <c r="B306" t="s">
        <v>304</v>
      </c>
      <c r="C306" s="733">
        <v>40948</v>
      </c>
      <c r="D3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6" t="s">
        <v>505</v>
      </c>
      <c r="F306" t="s">
        <v>1915</v>
      </c>
      <c r="G306" t="s">
        <v>7125</v>
      </c>
      <c r="H306">
        <v>22584</v>
      </c>
      <c r="I306" t="s">
        <v>423</v>
      </c>
      <c r="J306" t="s">
        <v>1917</v>
      </c>
      <c r="K306" t="s">
        <v>1918</v>
      </c>
      <c r="L306" t="s">
        <v>1919</v>
      </c>
      <c r="M306">
        <v>267</v>
      </c>
      <c r="N306">
        <v>50.51</v>
      </c>
      <c r="O306">
        <v>11356.67</v>
      </c>
      <c r="P306">
        <v>0</v>
      </c>
      <c r="Q306">
        <v>11356.67</v>
      </c>
      <c r="R306">
        <v>1817.07</v>
      </c>
      <c r="S306">
        <v>454.27</v>
      </c>
      <c r="T306">
        <v>12719.47</v>
      </c>
      <c r="U306" t="s">
        <v>1924</v>
      </c>
      <c r="V306" t="s">
        <v>9409</v>
      </c>
      <c r="W306" t="s">
        <v>423</v>
      </c>
    </row>
    <row r="307" spans="1:23" hidden="1" x14ac:dyDescent="0.2">
      <c r="A307">
        <v>2012</v>
      </c>
      <c r="B307" t="s">
        <v>303</v>
      </c>
      <c r="C307" s="733">
        <v>40935</v>
      </c>
      <c r="D3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7" t="s">
        <v>505</v>
      </c>
      <c r="F307" t="s">
        <v>2065</v>
      </c>
      <c r="G307" t="s">
        <v>2439</v>
      </c>
      <c r="H307">
        <v>22287</v>
      </c>
      <c r="I307" t="s">
        <v>424</v>
      </c>
      <c r="J307" t="s">
        <v>1917</v>
      </c>
      <c r="K307" t="s">
        <v>1918</v>
      </c>
      <c r="L307" t="s">
        <v>1919</v>
      </c>
      <c r="M307">
        <v>267</v>
      </c>
      <c r="N307">
        <v>30</v>
      </c>
      <c r="O307">
        <v>2929.97</v>
      </c>
      <c r="P307">
        <v>1683.8244589999999</v>
      </c>
      <c r="Q307">
        <v>4613.7944589999997</v>
      </c>
      <c r="R307">
        <v>738.20711300000005</v>
      </c>
      <c r="S307">
        <v>184.55177800000001</v>
      </c>
      <c r="T307">
        <v>5167.4497940000001</v>
      </c>
      <c r="U307" t="s">
        <v>1936</v>
      </c>
      <c r="V307" t="s">
        <v>9408</v>
      </c>
      <c r="W307" t="s">
        <v>424</v>
      </c>
    </row>
    <row r="308" spans="1:23" hidden="1" x14ac:dyDescent="0.2">
      <c r="A308">
        <v>2012</v>
      </c>
      <c r="B308" t="s">
        <v>304</v>
      </c>
      <c r="C308" s="733">
        <v>40961</v>
      </c>
      <c r="D3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8" t="s">
        <v>505</v>
      </c>
      <c r="F308" t="s">
        <v>1915</v>
      </c>
      <c r="G308" t="s">
        <v>8251</v>
      </c>
      <c r="H308">
        <v>22936</v>
      </c>
      <c r="I308" t="s">
        <v>424</v>
      </c>
      <c r="J308" t="s">
        <v>1917</v>
      </c>
      <c r="K308" t="s">
        <v>1918</v>
      </c>
      <c r="L308" t="s">
        <v>1919</v>
      </c>
      <c r="M308">
        <v>267</v>
      </c>
      <c r="N308">
        <v>54</v>
      </c>
      <c r="O308">
        <v>8304.66</v>
      </c>
      <c r="P308">
        <v>0</v>
      </c>
      <c r="Q308">
        <v>8304.66</v>
      </c>
      <c r="R308">
        <v>1328.75</v>
      </c>
      <c r="S308">
        <v>332.19</v>
      </c>
      <c r="T308">
        <v>9301.2199999999993</v>
      </c>
      <c r="U308" t="s">
        <v>8491</v>
      </c>
      <c r="V308" t="s">
        <v>9409</v>
      </c>
      <c r="W308" t="s">
        <v>424</v>
      </c>
    </row>
    <row r="309" spans="1:23" hidden="1" x14ac:dyDescent="0.2">
      <c r="A309">
        <v>2012</v>
      </c>
      <c r="B309" t="s">
        <v>303</v>
      </c>
      <c r="C309" s="733">
        <v>40935</v>
      </c>
      <c r="D3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9" t="s">
        <v>505</v>
      </c>
      <c r="F309" t="s">
        <v>1915</v>
      </c>
      <c r="G309" t="s">
        <v>7126</v>
      </c>
      <c r="H309">
        <v>22290</v>
      </c>
      <c r="I309" t="s">
        <v>423</v>
      </c>
      <c r="J309" t="s">
        <v>1917</v>
      </c>
      <c r="K309" t="s">
        <v>1918</v>
      </c>
      <c r="L309" t="s">
        <v>1919</v>
      </c>
      <c r="M309">
        <v>267</v>
      </c>
      <c r="N309">
        <v>27.02</v>
      </c>
      <c r="O309">
        <v>6075.18</v>
      </c>
      <c r="P309">
        <v>0</v>
      </c>
      <c r="Q309">
        <v>6075.18</v>
      </c>
      <c r="R309">
        <v>972.03</v>
      </c>
      <c r="S309">
        <v>243.01</v>
      </c>
      <c r="T309">
        <v>6804.2</v>
      </c>
      <c r="U309" t="s">
        <v>1926</v>
      </c>
      <c r="V309" t="s">
        <v>9409</v>
      </c>
      <c r="W309" t="s">
        <v>423</v>
      </c>
    </row>
    <row r="310" spans="1:23" hidden="1" x14ac:dyDescent="0.2">
      <c r="A310">
        <v>2012</v>
      </c>
      <c r="B310" t="s">
        <v>303</v>
      </c>
      <c r="C310" s="733">
        <v>40912</v>
      </c>
      <c r="D3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0" t="s">
        <v>505</v>
      </c>
      <c r="F310" t="s">
        <v>2065</v>
      </c>
      <c r="G310" t="s">
        <v>7019</v>
      </c>
      <c r="H310">
        <v>21690</v>
      </c>
      <c r="I310" t="s">
        <v>424</v>
      </c>
      <c r="J310" t="s">
        <v>1917</v>
      </c>
      <c r="K310" t="s">
        <v>1918</v>
      </c>
      <c r="L310" t="s">
        <v>1919</v>
      </c>
      <c r="M310">
        <v>267</v>
      </c>
      <c r="N310">
        <v>30</v>
      </c>
      <c r="O310">
        <v>2929.97</v>
      </c>
      <c r="P310">
        <v>1683.8244589999999</v>
      </c>
      <c r="Q310">
        <v>4613.7944589999997</v>
      </c>
      <c r="R310">
        <v>738.20711300000005</v>
      </c>
      <c r="S310">
        <v>184.55177800000001</v>
      </c>
      <c r="T310">
        <v>5167.4497940000001</v>
      </c>
      <c r="U310" t="s">
        <v>8778</v>
      </c>
      <c r="V310" t="s">
        <v>9408</v>
      </c>
      <c r="W310" t="s">
        <v>424</v>
      </c>
    </row>
    <row r="311" spans="1:23" hidden="1" x14ac:dyDescent="0.2">
      <c r="A311">
        <v>2012</v>
      </c>
      <c r="B311" t="s">
        <v>304</v>
      </c>
      <c r="C311" s="733">
        <v>40956</v>
      </c>
      <c r="D3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1" t="s">
        <v>505</v>
      </c>
      <c r="F311" t="s">
        <v>2065</v>
      </c>
      <c r="G311" t="s">
        <v>7888</v>
      </c>
      <c r="H311">
        <v>22820</v>
      </c>
      <c r="I311" t="s">
        <v>424</v>
      </c>
      <c r="J311" t="s">
        <v>1917</v>
      </c>
      <c r="K311" t="s">
        <v>1918</v>
      </c>
      <c r="L311" t="s">
        <v>1919</v>
      </c>
      <c r="M311">
        <v>267</v>
      </c>
      <c r="N311">
        <v>30</v>
      </c>
      <c r="O311">
        <v>2929.97</v>
      </c>
      <c r="P311">
        <v>1683.8244589999999</v>
      </c>
      <c r="Q311">
        <v>4613.7944589999997</v>
      </c>
      <c r="R311">
        <v>738.20711300000005</v>
      </c>
      <c r="S311">
        <v>184.55177800000001</v>
      </c>
      <c r="T311">
        <v>5167.4497940000001</v>
      </c>
      <c r="U311" t="s">
        <v>7529</v>
      </c>
      <c r="V311" t="s">
        <v>9408</v>
      </c>
      <c r="W311" t="s">
        <v>424</v>
      </c>
    </row>
    <row r="312" spans="1:23" hidden="1" x14ac:dyDescent="0.2">
      <c r="A312">
        <v>2012</v>
      </c>
      <c r="B312" t="s">
        <v>303</v>
      </c>
      <c r="C312" s="733">
        <v>40933</v>
      </c>
      <c r="D3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2" t="s">
        <v>505</v>
      </c>
      <c r="F312" t="s">
        <v>1915</v>
      </c>
      <c r="G312" t="s">
        <v>2429</v>
      </c>
      <c r="H312">
        <v>22227</v>
      </c>
      <c r="I312" t="s">
        <v>424</v>
      </c>
      <c r="J312" t="s">
        <v>1917</v>
      </c>
      <c r="K312" t="s">
        <v>1918</v>
      </c>
      <c r="L312" t="s">
        <v>1919</v>
      </c>
      <c r="M312">
        <v>267</v>
      </c>
      <c r="N312">
        <v>30</v>
      </c>
      <c r="O312">
        <v>2929.97</v>
      </c>
      <c r="P312">
        <v>1683.8244589999999</v>
      </c>
      <c r="Q312">
        <v>4613.7944589999997</v>
      </c>
      <c r="R312">
        <v>738.20711300000005</v>
      </c>
      <c r="S312">
        <v>184.55177800000001</v>
      </c>
      <c r="T312">
        <v>5167.4497940000001</v>
      </c>
      <c r="U312" t="s">
        <v>1928</v>
      </c>
      <c r="V312" t="s">
        <v>9408</v>
      </c>
      <c r="W312" t="s">
        <v>424</v>
      </c>
    </row>
    <row r="313" spans="1:23" hidden="1" x14ac:dyDescent="0.2">
      <c r="A313">
        <v>2012</v>
      </c>
      <c r="B313" t="s">
        <v>303</v>
      </c>
      <c r="C313" s="733">
        <v>40931</v>
      </c>
      <c r="D3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3" t="s">
        <v>505</v>
      </c>
      <c r="F313" t="s">
        <v>1915</v>
      </c>
      <c r="G313" t="s">
        <v>2430</v>
      </c>
      <c r="H313">
        <v>22173</v>
      </c>
      <c r="I313" t="s">
        <v>424</v>
      </c>
      <c r="J313" t="s">
        <v>1917</v>
      </c>
      <c r="K313" t="s">
        <v>1918</v>
      </c>
      <c r="L313" t="s">
        <v>1919</v>
      </c>
      <c r="M313">
        <v>267</v>
      </c>
      <c r="N313">
        <v>30</v>
      </c>
      <c r="O313">
        <v>2929.97</v>
      </c>
      <c r="P313">
        <v>1683.8244589999999</v>
      </c>
      <c r="Q313">
        <v>4613.7944589999997</v>
      </c>
      <c r="R313">
        <v>738.20711300000005</v>
      </c>
      <c r="S313">
        <v>184.55177800000001</v>
      </c>
      <c r="T313">
        <v>5167.4497940000001</v>
      </c>
      <c r="U313" t="s">
        <v>1928</v>
      </c>
      <c r="V313" t="s">
        <v>9408</v>
      </c>
      <c r="W313" t="s">
        <v>424</v>
      </c>
    </row>
    <row r="314" spans="1:23" hidden="1" x14ac:dyDescent="0.2">
      <c r="A314">
        <v>2012</v>
      </c>
      <c r="B314" t="s">
        <v>304</v>
      </c>
      <c r="C314" s="733">
        <v>40946</v>
      </c>
      <c r="D3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4" t="s">
        <v>505</v>
      </c>
      <c r="F314" t="s">
        <v>1915</v>
      </c>
      <c r="G314" t="s">
        <v>2433</v>
      </c>
      <c r="H314">
        <v>22517</v>
      </c>
      <c r="I314" t="s">
        <v>424</v>
      </c>
      <c r="J314" t="s">
        <v>1917</v>
      </c>
      <c r="K314" t="s">
        <v>1918</v>
      </c>
      <c r="L314" t="s">
        <v>1919</v>
      </c>
      <c r="M314">
        <v>267</v>
      </c>
      <c r="N314">
        <v>30</v>
      </c>
      <c r="O314">
        <v>2929.97</v>
      </c>
      <c r="P314">
        <v>1683.8244589999999</v>
      </c>
      <c r="Q314">
        <v>4613.7944589999997</v>
      </c>
      <c r="R314">
        <v>738.20711300000005</v>
      </c>
      <c r="S314">
        <v>184.55177800000001</v>
      </c>
      <c r="T314">
        <v>5167.4497940000001</v>
      </c>
      <c r="U314" t="s">
        <v>1924</v>
      </c>
      <c r="V314" t="s">
        <v>9408</v>
      </c>
      <c r="W314" t="s">
        <v>424</v>
      </c>
    </row>
    <row r="315" spans="1:23" hidden="1" x14ac:dyDescent="0.2">
      <c r="A315">
        <v>2012</v>
      </c>
      <c r="B315" t="s">
        <v>303</v>
      </c>
      <c r="C315" s="733">
        <v>40935</v>
      </c>
      <c r="D3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5" t="s">
        <v>505</v>
      </c>
      <c r="F315" t="s">
        <v>1915</v>
      </c>
      <c r="G315" t="s">
        <v>2431</v>
      </c>
      <c r="H315">
        <v>22284</v>
      </c>
      <c r="I315" t="s">
        <v>424</v>
      </c>
      <c r="J315" t="s">
        <v>1917</v>
      </c>
      <c r="K315" t="s">
        <v>1918</v>
      </c>
      <c r="L315" t="s">
        <v>1919</v>
      </c>
      <c r="M315">
        <v>267</v>
      </c>
      <c r="N315">
        <v>30</v>
      </c>
      <c r="O315">
        <v>2929.97</v>
      </c>
      <c r="P315">
        <v>1683.8244589999999</v>
      </c>
      <c r="Q315">
        <v>4613.7944589999997</v>
      </c>
      <c r="R315">
        <v>738.20711300000005</v>
      </c>
      <c r="S315">
        <v>184.55177800000001</v>
      </c>
      <c r="T315">
        <v>5167.4497940000001</v>
      </c>
      <c r="U315" t="s">
        <v>1936</v>
      </c>
      <c r="V315" t="s">
        <v>9408</v>
      </c>
      <c r="W315" t="s">
        <v>424</v>
      </c>
    </row>
    <row r="316" spans="1:23" hidden="1" x14ac:dyDescent="0.2">
      <c r="A316">
        <v>2012</v>
      </c>
      <c r="B316" t="s">
        <v>303</v>
      </c>
      <c r="C316" s="733">
        <v>40919</v>
      </c>
      <c r="D3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6" t="s">
        <v>505</v>
      </c>
      <c r="F316" t="s">
        <v>1915</v>
      </c>
      <c r="G316" t="s">
        <v>2447</v>
      </c>
      <c r="H316">
        <v>21893</v>
      </c>
      <c r="I316" t="s">
        <v>424</v>
      </c>
      <c r="J316" t="s">
        <v>1917</v>
      </c>
      <c r="K316" t="s">
        <v>1918</v>
      </c>
      <c r="L316" t="s">
        <v>1919</v>
      </c>
      <c r="M316">
        <v>267</v>
      </c>
      <c r="N316">
        <v>30</v>
      </c>
      <c r="O316">
        <v>2929.97</v>
      </c>
      <c r="P316">
        <v>1683.8244589999999</v>
      </c>
      <c r="Q316">
        <v>4613.7944589999997</v>
      </c>
      <c r="R316">
        <v>738.20711300000005</v>
      </c>
      <c r="S316">
        <v>184.55177800000001</v>
      </c>
      <c r="T316">
        <v>5167.4497940000001</v>
      </c>
      <c r="U316" t="s">
        <v>1931</v>
      </c>
      <c r="V316" t="s">
        <v>9408</v>
      </c>
      <c r="W316" t="s">
        <v>424</v>
      </c>
    </row>
    <row r="317" spans="1:23" hidden="1" x14ac:dyDescent="0.2">
      <c r="A317">
        <v>2012</v>
      </c>
      <c r="B317" t="s">
        <v>303</v>
      </c>
      <c r="C317" s="733">
        <v>40928</v>
      </c>
      <c r="D3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7" t="s">
        <v>505</v>
      </c>
      <c r="F317" t="s">
        <v>1915</v>
      </c>
      <c r="G317" t="s">
        <v>2427</v>
      </c>
      <c r="H317">
        <v>22113</v>
      </c>
      <c r="I317" t="s">
        <v>424</v>
      </c>
      <c r="J317" t="s">
        <v>1917</v>
      </c>
      <c r="K317" t="s">
        <v>1918</v>
      </c>
      <c r="L317" t="s">
        <v>1919</v>
      </c>
      <c r="M317">
        <v>267</v>
      </c>
      <c r="N317">
        <v>30</v>
      </c>
      <c r="O317">
        <v>2929.97</v>
      </c>
      <c r="P317">
        <v>1683.82</v>
      </c>
      <c r="Q317">
        <v>4613.79</v>
      </c>
      <c r="R317">
        <v>738.2</v>
      </c>
      <c r="S317">
        <v>184.55</v>
      </c>
      <c r="T317">
        <v>5167.4399999999996</v>
      </c>
      <c r="U317" t="s">
        <v>1928</v>
      </c>
      <c r="V317" t="s">
        <v>9408</v>
      </c>
      <c r="W317" t="s">
        <v>424</v>
      </c>
    </row>
    <row r="318" spans="1:23" hidden="1" x14ac:dyDescent="0.2">
      <c r="A318">
        <v>2012</v>
      </c>
      <c r="B318" t="s">
        <v>303</v>
      </c>
      <c r="C318" s="733">
        <v>40938</v>
      </c>
      <c r="D3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8" t="s">
        <v>505</v>
      </c>
      <c r="F318" t="s">
        <v>1915</v>
      </c>
      <c r="G318" t="s">
        <v>2428</v>
      </c>
      <c r="H318">
        <v>22342</v>
      </c>
      <c r="I318" t="s">
        <v>424</v>
      </c>
      <c r="J318" t="s">
        <v>1917</v>
      </c>
      <c r="K318" t="s">
        <v>1918</v>
      </c>
      <c r="L318" t="s">
        <v>1919</v>
      </c>
      <c r="M318">
        <v>267</v>
      </c>
      <c r="N318">
        <v>30</v>
      </c>
      <c r="O318">
        <v>2929.97</v>
      </c>
      <c r="P318">
        <v>1683.8244589999999</v>
      </c>
      <c r="Q318">
        <v>4613.7944589999997</v>
      </c>
      <c r="R318">
        <v>738.20711300000005</v>
      </c>
      <c r="S318">
        <v>184.55177800000001</v>
      </c>
      <c r="T318">
        <v>5167.4497940000001</v>
      </c>
      <c r="U318" t="s">
        <v>1936</v>
      </c>
      <c r="V318" t="s">
        <v>9408</v>
      </c>
      <c r="W318" t="s">
        <v>424</v>
      </c>
    </row>
    <row r="319" spans="1:23" hidden="1" x14ac:dyDescent="0.2">
      <c r="A319">
        <v>2012</v>
      </c>
      <c r="B319" t="s">
        <v>303</v>
      </c>
      <c r="C319" s="733">
        <v>40939</v>
      </c>
      <c r="D3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9" t="s">
        <v>505</v>
      </c>
      <c r="F319" t="s">
        <v>1915</v>
      </c>
      <c r="G319" t="s">
        <v>2424</v>
      </c>
      <c r="H319">
        <v>21676</v>
      </c>
      <c r="I319" t="s">
        <v>424</v>
      </c>
      <c r="J319" t="s">
        <v>1917</v>
      </c>
      <c r="K319" t="s">
        <v>1918</v>
      </c>
      <c r="L319" t="s">
        <v>1919</v>
      </c>
      <c r="M319">
        <v>267</v>
      </c>
      <c r="N319">
        <v>27</v>
      </c>
      <c r="O319">
        <v>2636.97</v>
      </c>
      <c r="P319">
        <v>1515.4402889999999</v>
      </c>
      <c r="Q319">
        <v>4152.4102890000004</v>
      </c>
      <c r="R319">
        <v>664.38564599999995</v>
      </c>
      <c r="S319">
        <v>166.09641199999999</v>
      </c>
      <c r="T319">
        <v>4650.6995230000002</v>
      </c>
      <c r="U319" t="s">
        <v>1936</v>
      </c>
      <c r="V319" t="s">
        <v>9408</v>
      </c>
      <c r="W319" t="s">
        <v>424</v>
      </c>
    </row>
    <row r="320" spans="1:23" hidden="1" x14ac:dyDescent="0.2">
      <c r="A320">
        <v>2012</v>
      </c>
      <c r="B320" t="s">
        <v>305</v>
      </c>
      <c r="C320" s="733">
        <v>40971</v>
      </c>
      <c r="D320" s="733" t="str">
        <f>CHOOSE(MONTH(Tabla_sqldatos_bonampakdb_Bon_v_ingresos2012[[#This Row],[fecha_guia]]),"Enero","Febrero","Marzo","Abril","Mayo","Junio","Julio","Agosto","Septiembre","Octubre","Noviembre","Diciembre")</f>
        <v>Marzo</v>
      </c>
      <c r="E320" t="s">
        <v>505</v>
      </c>
      <c r="F320" t="s">
        <v>1915</v>
      </c>
      <c r="G320" t="s">
        <v>9657</v>
      </c>
      <c r="H320">
        <v>23168</v>
      </c>
      <c r="I320" t="s">
        <v>423</v>
      </c>
      <c r="J320" t="s">
        <v>1917</v>
      </c>
      <c r="K320" t="s">
        <v>1918</v>
      </c>
      <c r="L320" t="s">
        <v>1919</v>
      </c>
      <c r="M320">
        <v>267</v>
      </c>
      <c r="N320">
        <v>24.87</v>
      </c>
      <c r="O320">
        <v>5591.77</v>
      </c>
      <c r="P320">
        <v>0</v>
      </c>
      <c r="Q320">
        <v>5591.77</v>
      </c>
      <c r="R320">
        <v>894.68</v>
      </c>
      <c r="S320">
        <v>223.67</v>
      </c>
      <c r="T320">
        <v>6262.78</v>
      </c>
      <c r="V320" t="s">
        <v>9408</v>
      </c>
      <c r="W320" t="s">
        <v>423</v>
      </c>
    </row>
    <row r="321" spans="1:23" hidden="1" x14ac:dyDescent="0.2">
      <c r="A321">
        <v>2012</v>
      </c>
      <c r="B321" t="s">
        <v>303</v>
      </c>
      <c r="C321" s="733">
        <v>40915</v>
      </c>
      <c r="D3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1" t="s">
        <v>505</v>
      </c>
      <c r="F321" t="s">
        <v>1915</v>
      </c>
      <c r="G321" t="s">
        <v>7025</v>
      </c>
      <c r="H321">
        <v>21772</v>
      </c>
      <c r="I321" t="s">
        <v>423</v>
      </c>
      <c r="J321" t="s">
        <v>1917</v>
      </c>
      <c r="K321" t="s">
        <v>1918</v>
      </c>
      <c r="L321" t="s">
        <v>1919</v>
      </c>
      <c r="M321">
        <v>267</v>
      </c>
      <c r="N321">
        <v>49.4</v>
      </c>
      <c r="O321">
        <v>11107.1</v>
      </c>
      <c r="P321">
        <v>0</v>
      </c>
      <c r="Q321">
        <v>11107.1</v>
      </c>
      <c r="R321">
        <v>1777.14</v>
      </c>
      <c r="S321">
        <v>444.28</v>
      </c>
      <c r="T321">
        <v>12439.96</v>
      </c>
      <c r="U321" t="s">
        <v>1920</v>
      </c>
      <c r="V321" t="s">
        <v>9409</v>
      </c>
      <c r="W321" t="s">
        <v>423</v>
      </c>
    </row>
    <row r="322" spans="1:23" hidden="1" x14ac:dyDescent="0.2">
      <c r="A322">
        <v>2012</v>
      </c>
      <c r="B322" t="s">
        <v>304</v>
      </c>
      <c r="C322" s="733">
        <v>40966.681620370371</v>
      </c>
      <c r="D3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2" t="s">
        <v>505</v>
      </c>
      <c r="F322" t="s">
        <v>1915</v>
      </c>
      <c r="G322" t="s">
        <v>8854</v>
      </c>
      <c r="H322">
        <v>23053</v>
      </c>
      <c r="I322" t="s">
        <v>424</v>
      </c>
      <c r="J322" t="s">
        <v>1917</v>
      </c>
      <c r="K322" t="s">
        <v>1918</v>
      </c>
      <c r="L322" t="s">
        <v>1919</v>
      </c>
      <c r="M322">
        <v>267</v>
      </c>
      <c r="N322">
        <v>30</v>
      </c>
      <c r="O322">
        <v>4613.7</v>
      </c>
      <c r="P322">
        <v>0</v>
      </c>
      <c r="Q322">
        <v>4613.7</v>
      </c>
      <c r="R322">
        <v>738.19</v>
      </c>
      <c r="S322">
        <v>184.55</v>
      </c>
      <c r="T322">
        <v>5167.34</v>
      </c>
      <c r="U322" t="s">
        <v>9415</v>
      </c>
      <c r="V322" t="s">
        <v>9408</v>
      </c>
      <c r="W322" t="s">
        <v>424</v>
      </c>
    </row>
    <row r="323" spans="1:23" hidden="1" x14ac:dyDescent="0.2">
      <c r="A323">
        <v>2012</v>
      </c>
      <c r="B323" t="s">
        <v>303</v>
      </c>
      <c r="C323" s="733">
        <v>40926</v>
      </c>
      <c r="D3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3" t="s">
        <v>485</v>
      </c>
      <c r="F323" t="s">
        <v>2048</v>
      </c>
      <c r="G323" t="s">
        <v>6757</v>
      </c>
      <c r="H323">
        <v>40510</v>
      </c>
      <c r="I323" t="s">
        <v>423</v>
      </c>
      <c r="J323" t="s">
        <v>4073</v>
      </c>
      <c r="K323" t="s">
        <v>2051</v>
      </c>
      <c r="L323" t="s">
        <v>2052</v>
      </c>
      <c r="M323">
        <v>610</v>
      </c>
      <c r="N323">
        <v>24.2</v>
      </c>
      <c r="O323">
        <v>8578.66</v>
      </c>
      <c r="P323">
        <v>0</v>
      </c>
      <c r="Q323">
        <v>8578.66</v>
      </c>
      <c r="R323">
        <v>1372.59</v>
      </c>
      <c r="S323">
        <v>343.15</v>
      </c>
      <c r="T323">
        <v>9608.1</v>
      </c>
      <c r="U323" t="s">
        <v>2062</v>
      </c>
      <c r="V323" t="s">
        <v>9408</v>
      </c>
      <c r="W323" t="s">
        <v>423</v>
      </c>
    </row>
    <row r="324" spans="1:23" hidden="1" x14ac:dyDescent="0.2">
      <c r="A324">
        <v>2012</v>
      </c>
      <c r="B324" t="s">
        <v>303</v>
      </c>
      <c r="C324" s="733">
        <v>40938</v>
      </c>
      <c r="D3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4" t="s">
        <v>485</v>
      </c>
      <c r="F324" t="s">
        <v>2054</v>
      </c>
      <c r="G324" t="s">
        <v>6759</v>
      </c>
      <c r="H324">
        <v>41115</v>
      </c>
      <c r="I324" t="s">
        <v>423</v>
      </c>
      <c r="J324" t="s">
        <v>4770</v>
      </c>
      <c r="K324" t="s">
        <v>2051</v>
      </c>
      <c r="L324" t="s">
        <v>2052</v>
      </c>
      <c r="M324">
        <v>599</v>
      </c>
      <c r="N324">
        <v>27.7</v>
      </c>
      <c r="O324">
        <v>9661.76</v>
      </c>
      <c r="P324">
        <v>0</v>
      </c>
      <c r="Q324">
        <v>9661.76</v>
      </c>
      <c r="R324">
        <v>1545.88</v>
      </c>
      <c r="S324">
        <v>386.47</v>
      </c>
      <c r="T324">
        <v>10821.17</v>
      </c>
      <c r="U324" t="s">
        <v>2064</v>
      </c>
      <c r="V324" t="s">
        <v>9408</v>
      </c>
      <c r="W324" t="s">
        <v>423</v>
      </c>
    </row>
    <row r="325" spans="1:23" hidden="1" x14ac:dyDescent="0.2">
      <c r="A325">
        <v>2012</v>
      </c>
      <c r="B325" t="s">
        <v>304</v>
      </c>
      <c r="C325" s="733">
        <v>40941</v>
      </c>
      <c r="D3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5" t="s">
        <v>485</v>
      </c>
      <c r="F325" t="s">
        <v>2084</v>
      </c>
      <c r="G325" t="s">
        <v>6737</v>
      </c>
      <c r="H325">
        <v>41340</v>
      </c>
      <c r="I325" t="s">
        <v>423</v>
      </c>
      <c r="J325" t="s">
        <v>4073</v>
      </c>
      <c r="K325" t="s">
        <v>2051</v>
      </c>
      <c r="L325" t="s">
        <v>2052</v>
      </c>
      <c r="M325">
        <v>610</v>
      </c>
      <c r="N325">
        <v>49.35</v>
      </c>
      <c r="O325">
        <v>17494.080000000002</v>
      </c>
      <c r="P325">
        <v>0</v>
      </c>
      <c r="Q325">
        <v>17494.080000000002</v>
      </c>
      <c r="R325">
        <v>2799.05</v>
      </c>
      <c r="S325">
        <v>699.76</v>
      </c>
      <c r="T325">
        <v>19593.37</v>
      </c>
      <c r="U325" t="s">
        <v>7568</v>
      </c>
      <c r="V325" t="s">
        <v>9409</v>
      </c>
      <c r="W325" t="s">
        <v>423</v>
      </c>
    </row>
    <row r="326" spans="1:23" hidden="1" x14ac:dyDescent="0.2">
      <c r="A326">
        <v>2012</v>
      </c>
      <c r="B326" t="s">
        <v>303</v>
      </c>
      <c r="C326" s="733">
        <v>40915</v>
      </c>
      <c r="D3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6" t="s">
        <v>505</v>
      </c>
      <c r="F326" t="s">
        <v>1915</v>
      </c>
      <c r="G326" t="s">
        <v>3661</v>
      </c>
      <c r="H326">
        <v>21861</v>
      </c>
      <c r="I326" t="s">
        <v>424</v>
      </c>
      <c r="J326" t="s">
        <v>1917</v>
      </c>
      <c r="K326" t="s">
        <v>1918</v>
      </c>
      <c r="L326" t="s">
        <v>1919</v>
      </c>
      <c r="M326">
        <v>267</v>
      </c>
      <c r="N326">
        <v>30</v>
      </c>
      <c r="O326">
        <v>2929.97</v>
      </c>
      <c r="P326">
        <v>1683.8244589999999</v>
      </c>
      <c r="Q326">
        <v>4613.7944589999997</v>
      </c>
      <c r="R326">
        <v>738.20711300000005</v>
      </c>
      <c r="S326">
        <v>184.55177800000001</v>
      </c>
      <c r="T326">
        <v>5167.4497940000001</v>
      </c>
      <c r="U326" t="s">
        <v>1920</v>
      </c>
      <c r="V326" t="s">
        <v>9408</v>
      </c>
      <c r="W326" t="s">
        <v>424</v>
      </c>
    </row>
    <row r="327" spans="1:23" hidden="1" x14ac:dyDescent="0.2">
      <c r="A327">
        <v>2012</v>
      </c>
      <c r="B327" t="s">
        <v>303</v>
      </c>
      <c r="C327" s="733">
        <v>40925</v>
      </c>
      <c r="D3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7" t="s">
        <v>505</v>
      </c>
      <c r="F327" t="s">
        <v>2065</v>
      </c>
      <c r="G327" t="s">
        <v>3489</v>
      </c>
      <c r="H327">
        <v>22018</v>
      </c>
      <c r="I327" t="s">
        <v>424</v>
      </c>
      <c r="J327" t="s">
        <v>1917</v>
      </c>
      <c r="K327" t="s">
        <v>1918</v>
      </c>
      <c r="L327" t="s">
        <v>1919</v>
      </c>
      <c r="M327">
        <v>267</v>
      </c>
      <c r="N327">
        <v>30</v>
      </c>
      <c r="O327">
        <v>2929.97</v>
      </c>
      <c r="P327">
        <v>1683.8244589999999</v>
      </c>
      <c r="Q327">
        <v>4613.7944589999997</v>
      </c>
      <c r="R327">
        <v>738.20711300000005</v>
      </c>
      <c r="S327">
        <v>184.55177800000001</v>
      </c>
      <c r="T327">
        <v>5167.4497940000001</v>
      </c>
      <c r="U327" t="s">
        <v>1931</v>
      </c>
      <c r="V327" t="s">
        <v>9408</v>
      </c>
      <c r="W327" t="s">
        <v>424</v>
      </c>
    </row>
    <row r="328" spans="1:23" hidden="1" x14ac:dyDescent="0.2">
      <c r="A328">
        <v>2012</v>
      </c>
      <c r="B328" t="s">
        <v>303</v>
      </c>
      <c r="C328" s="733">
        <v>40920</v>
      </c>
      <c r="D3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8" t="s">
        <v>505</v>
      </c>
      <c r="F328" t="s">
        <v>2065</v>
      </c>
      <c r="G328" t="s">
        <v>3490</v>
      </c>
      <c r="H328">
        <v>21901</v>
      </c>
      <c r="I328" t="s">
        <v>424</v>
      </c>
      <c r="J328" t="s">
        <v>1917</v>
      </c>
      <c r="K328" t="s">
        <v>1918</v>
      </c>
      <c r="L328" t="s">
        <v>1919</v>
      </c>
      <c r="M328">
        <v>267</v>
      </c>
      <c r="N328">
        <v>30</v>
      </c>
      <c r="O328">
        <v>2929.97</v>
      </c>
      <c r="P328">
        <v>1683.8244589999999</v>
      </c>
      <c r="Q328">
        <v>4613.7944589999997</v>
      </c>
      <c r="R328">
        <v>738.20711300000005</v>
      </c>
      <c r="S328">
        <v>184.55177800000001</v>
      </c>
      <c r="T328">
        <v>5167.4497940000001</v>
      </c>
      <c r="U328" t="s">
        <v>1931</v>
      </c>
      <c r="V328" t="s">
        <v>9408</v>
      </c>
      <c r="W328" t="s">
        <v>424</v>
      </c>
    </row>
    <row r="329" spans="1:23" hidden="1" x14ac:dyDescent="0.2">
      <c r="A329">
        <v>2012</v>
      </c>
      <c r="B329" t="s">
        <v>303</v>
      </c>
      <c r="C329" s="733">
        <v>40935</v>
      </c>
      <c r="D3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9" t="s">
        <v>505</v>
      </c>
      <c r="F329" t="s">
        <v>2065</v>
      </c>
      <c r="G329" t="s">
        <v>3491</v>
      </c>
      <c r="H329">
        <v>22319</v>
      </c>
      <c r="I329" t="s">
        <v>424</v>
      </c>
      <c r="J329" t="s">
        <v>1917</v>
      </c>
      <c r="K329" t="s">
        <v>1918</v>
      </c>
      <c r="L329" t="s">
        <v>1919</v>
      </c>
      <c r="M329">
        <v>267</v>
      </c>
      <c r="N329">
        <v>30</v>
      </c>
      <c r="O329">
        <v>2929.97</v>
      </c>
      <c r="P329">
        <v>1683.8244589999999</v>
      </c>
      <c r="Q329">
        <v>4613.7944589999997</v>
      </c>
      <c r="R329">
        <v>738.20711300000005</v>
      </c>
      <c r="S329">
        <v>184.55177800000001</v>
      </c>
      <c r="T329">
        <v>5167.4497940000001</v>
      </c>
      <c r="U329" t="s">
        <v>1928</v>
      </c>
      <c r="V329" t="s">
        <v>9408</v>
      </c>
      <c r="W329" t="s">
        <v>424</v>
      </c>
    </row>
    <row r="330" spans="1:23" hidden="1" x14ac:dyDescent="0.2">
      <c r="A330">
        <v>2012</v>
      </c>
      <c r="B330" t="s">
        <v>303</v>
      </c>
      <c r="C330" s="733">
        <v>40929</v>
      </c>
      <c r="D3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0" t="s">
        <v>505</v>
      </c>
      <c r="F330" t="s">
        <v>1915</v>
      </c>
      <c r="G330" t="s">
        <v>3492</v>
      </c>
      <c r="H330">
        <v>22143</v>
      </c>
      <c r="I330" t="s">
        <v>424</v>
      </c>
      <c r="J330" t="s">
        <v>1917</v>
      </c>
      <c r="K330" t="s">
        <v>1918</v>
      </c>
      <c r="L330" t="s">
        <v>1919</v>
      </c>
      <c r="M330">
        <v>267</v>
      </c>
      <c r="N330">
        <v>30</v>
      </c>
      <c r="O330">
        <v>2929.97</v>
      </c>
      <c r="P330">
        <v>1683.8244589999999</v>
      </c>
      <c r="Q330">
        <v>4613.7944589999997</v>
      </c>
      <c r="R330">
        <v>738.20711300000005</v>
      </c>
      <c r="S330">
        <v>184.55177800000001</v>
      </c>
      <c r="T330">
        <v>5167.4497940000001</v>
      </c>
      <c r="U330" t="s">
        <v>1928</v>
      </c>
      <c r="V330" t="s">
        <v>9408</v>
      </c>
      <c r="W330" t="s">
        <v>424</v>
      </c>
    </row>
    <row r="331" spans="1:23" hidden="1" x14ac:dyDescent="0.2">
      <c r="A331">
        <v>2012</v>
      </c>
      <c r="B331" t="s">
        <v>303</v>
      </c>
      <c r="C331" s="733">
        <v>40919</v>
      </c>
      <c r="D3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1" t="s">
        <v>505</v>
      </c>
      <c r="F331" t="s">
        <v>1915</v>
      </c>
      <c r="G331" t="s">
        <v>3505</v>
      </c>
      <c r="H331">
        <v>21895</v>
      </c>
      <c r="I331" t="s">
        <v>424</v>
      </c>
      <c r="J331" t="s">
        <v>1917</v>
      </c>
      <c r="K331" t="s">
        <v>1918</v>
      </c>
      <c r="L331" t="s">
        <v>1919</v>
      </c>
      <c r="M331">
        <v>267</v>
      </c>
      <c r="N331">
        <v>30</v>
      </c>
      <c r="O331">
        <v>2929.97</v>
      </c>
      <c r="P331">
        <v>1683.8244589999999</v>
      </c>
      <c r="Q331">
        <v>4613.7944589999997</v>
      </c>
      <c r="R331">
        <v>738.20711300000005</v>
      </c>
      <c r="S331">
        <v>184.55177800000001</v>
      </c>
      <c r="T331">
        <v>5167.4497940000001</v>
      </c>
      <c r="U331" t="s">
        <v>1931</v>
      </c>
      <c r="V331" t="s">
        <v>9408</v>
      </c>
      <c r="W331" t="s">
        <v>424</v>
      </c>
    </row>
    <row r="332" spans="1:23" hidden="1" x14ac:dyDescent="0.2">
      <c r="A332">
        <v>2012</v>
      </c>
      <c r="B332" t="s">
        <v>303</v>
      </c>
      <c r="C332" s="733">
        <v>40927</v>
      </c>
      <c r="D3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2" t="s">
        <v>505</v>
      </c>
      <c r="F332" t="s">
        <v>1915</v>
      </c>
      <c r="G332" t="s">
        <v>3660</v>
      </c>
      <c r="H332">
        <v>22081</v>
      </c>
      <c r="I332" t="s">
        <v>424</v>
      </c>
      <c r="J332" t="s">
        <v>1917</v>
      </c>
      <c r="K332" t="s">
        <v>1918</v>
      </c>
      <c r="L332" t="s">
        <v>1919</v>
      </c>
      <c r="M332">
        <v>267</v>
      </c>
      <c r="N332">
        <v>30</v>
      </c>
      <c r="O332">
        <v>2929.97</v>
      </c>
      <c r="P332">
        <v>1683.8244589999999</v>
      </c>
      <c r="Q332">
        <v>4613.7944589999997</v>
      </c>
      <c r="R332">
        <v>738.20711300000005</v>
      </c>
      <c r="S332">
        <v>184.55177800000001</v>
      </c>
      <c r="T332">
        <v>5167.4497940000001</v>
      </c>
      <c r="U332" t="s">
        <v>1928</v>
      </c>
      <c r="V332" t="s">
        <v>9408</v>
      </c>
      <c r="W332" t="s">
        <v>424</v>
      </c>
    </row>
    <row r="333" spans="1:23" hidden="1" x14ac:dyDescent="0.2">
      <c r="A333">
        <v>2012</v>
      </c>
      <c r="B333" t="s">
        <v>304</v>
      </c>
      <c r="C333" s="733">
        <v>40954</v>
      </c>
      <c r="D3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3" t="s">
        <v>505</v>
      </c>
      <c r="F333" t="s">
        <v>1915</v>
      </c>
      <c r="G333" t="s">
        <v>7484</v>
      </c>
      <c r="H333">
        <v>22751</v>
      </c>
      <c r="I333" t="s">
        <v>424</v>
      </c>
      <c r="J333" t="s">
        <v>1917</v>
      </c>
      <c r="K333" t="s">
        <v>1918</v>
      </c>
      <c r="L333" t="s">
        <v>1919</v>
      </c>
      <c r="M333">
        <v>267</v>
      </c>
      <c r="N333">
        <v>30</v>
      </c>
      <c r="O333">
        <v>2929.97</v>
      </c>
      <c r="P333">
        <v>1683.8244589999999</v>
      </c>
      <c r="Q333">
        <v>4613.7944589999997</v>
      </c>
      <c r="R333">
        <v>738.20711300000005</v>
      </c>
      <c r="S333">
        <v>184.55177800000001</v>
      </c>
      <c r="T333">
        <v>5167.4497940000001</v>
      </c>
      <c r="U333" t="s">
        <v>7522</v>
      </c>
      <c r="V333" t="s">
        <v>9408</v>
      </c>
      <c r="W333" t="s">
        <v>424</v>
      </c>
    </row>
    <row r="334" spans="1:23" hidden="1" x14ac:dyDescent="0.2">
      <c r="A334">
        <v>2012</v>
      </c>
      <c r="B334" t="s">
        <v>303</v>
      </c>
      <c r="C334" s="733">
        <v>40919</v>
      </c>
      <c r="D3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4" t="s">
        <v>505</v>
      </c>
      <c r="F334" t="s">
        <v>1915</v>
      </c>
      <c r="G334" t="s">
        <v>3486</v>
      </c>
      <c r="H334">
        <v>21898</v>
      </c>
      <c r="I334" t="s">
        <v>424</v>
      </c>
      <c r="J334" t="s">
        <v>1917</v>
      </c>
      <c r="K334" t="s">
        <v>1918</v>
      </c>
      <c r="L334" t="s">
        <v>1919</v>
      </c>
      <c r="M334">
        <v>267</v>
      </c>
      <c r="N334">
        <v>27</v>
      </c>
      <c r="O334">
        <v>2636.97</v>
      </c>
      <c r="P334">
        <v>1515.4402889999999</v>
      </c>
      <c r="Q334">
        <v>4152.4102890000004</v>
      </c>
      <c r="R334">
        <v>664.38564599999995</v>
      </c>
      <c r="S334">
        <v>166.09641199999999</v>
      </c>
      <c r="T334">
        <v>4650.6995230000002</v>
      </c>
      <c r="U334" t="s">
        <v>1931</v>
      </c>
      <c r="V334" t="s">
        <v>9408</v>
      </c>
      <c r="W334" t="s">
        <v>424</v>
      </c>
    </row>
    <row r="335" spans="1:23" hidden="1" x14ac:dyDescent="0.2">
      <c r="A335">
        <v>2012</v>
      </c>
      <c r="B335" t="s">
        <v>303</v>
      </c>
      <c r="C335" s="733">
        <v>40929</v>
      </c>
      <c r="D3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5" t="s">
        <v>505</v>
      </c>
      <c r="F335" t="s">
        <v>2065</v>
      </c>
      <c r="G335" t="s">
        <v>3512</v>
      </c>
      <c r="H335">
        <v>22141</v>
      </c>
      <c r="I335" t="s">
        <v>424</v>
      </c>
      <c r="J335" t="s">
        <v>1917</v>
      </c>
      <c r="K335" t="s">
        <v>1918</v>
      </c>
      <c r="L335" t="s">
        <v>1919</v>
      </c>
      <c r="M335">
        <v>267</v>
      </c>
      <c r="N335">
        <v>30</v>
      </c>
      <c r="O335">
        <v>2929.97</v>
      </c>
      <c r="P335">
        <v>1683.8244589999999</v>
      </c>
      <c r="Q335">
        <v>4613.7944589999997</v>
      </c>
      <c r="R335">
        <v>738.20711300000005</v>
      </c>
      <c r="S335">
        <v>184.55177800000001</v>
      </c>
      <c r="T335">
        <v>5167.4497940000001</v>
      </c>
      <c r="U335" t="s">
        <v>1928</v>
      </c>
      <c r="V335" t="s">
        <v>9408</v>
      </c>
      <c r="W335" t="s">
        <v>424</v>
      </c>
    </row>
    <row r="336" spans="1:23" hidden="1" x14ac:dyDescent="0.2">
      <c r="A336">
        <v>2012</v>
      </c>
      <c r="B336" t="s">
        <v>304</v>
      </c>
      <c r="C336" s="733">
        <v>40949</v>
      </c>
      <c r="D3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6" t="s">
        <v>505</v>
      </c>
      <c r="F336" t="s">
        <v>1915</v>
      </c>
      <c r="G336" t="s">
        <v>3495</v>
      </c>
      <c r="H336">
        <v>22614</v>
      </c>
      <c r="I336" t="s">
        <v>423</v>
      </c>
      <c r="J336" t="s">
        <v>1917</v>
      </c>
      <c r="K336" t="s">
        <v>1918</v>
      </c>
      <c r="L336" t="s">
        <v>1919</v>
      </c>
      <c r="M336">
        <v>267</v>
      </c>
      <c r="N336">
        <v>49.68</v>
      </c>
      <c r="O336">
        <v>11170.05</v>
      </c>
      <c r="P336">
        <v>0</v>
      </c>
      <c r="Q336">
        <v>11170.05</v>
      </c>
      <c r="R336">
        <v>1787.21</v>
      </c>
      <c r="S336">
        <v>446.8</v>
      </c>
      <c r="T336">
        <v>12510.46</v>
      </c>
      <c r="U336" t="s">
        <v>7522</v>
      </c>
      <c r="V336" t="s">
        <v>9409</v>
      </c>
      <c r="W336" t="s">
        <v>423</v>
      </c>
    </row>
    <row r="337" spans="1:23" hidden="1" x14ac:dyDescent="0.2">
      <c r="A337">
        <v>2012</v>
      </c>
      <c r="B337" t="s">
        <v>303</v>
      </c>
      <c r="C337" s="733">
        <v>40912</v>
      </c>
      <c r="D3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7" t="s">
        <v>505</v>
      </c>
      <c r="F337" t="s">
        <v>1915</v>
      </c>
      <c r="G337" t="s">
        <v>3497</v>
      </c>
      <c r="H337">
        <v>21718</v>
      </c>
      <c r="I337" t="s">
        <v>424</v>
      </c>
      <c r="J337" t="s">
        <v>1917</v>
      </c>
      <c r="K337" t="s">
        <v>1918</v>
      </c>
      <c r="L337" t="s">
        <v>1919</v>
      </c>
      <c r="M337">
        <v>267</v>
      </c>
      <c r="N337">
        <v>30</v>
      </c>
      <c r="O337">
        <v>2929.97</v>
      </c>
      <c r="P337">
        <v>1683.8244589999999</v>
      </c>
      <c r="Q337">
        <v>4613.7944589999997</v>
      </c>
      <c r="R337">
        <v>738.20711300000005</v>
      </c>
      <c r="S337">
        <v>184.55177800000001</v>
      </c>
      <c r="T337">
        <v>5167.4497940000001</v>
      </c>
      <c r="V337" t="s">
        <v>9408</v>
      </c>
      <c r="W337" t="s">
        <v>424</v>
      </c>
    </row>
    <row r="338" spans="1:23" hidden="1" x14ac:dyDescent="0.2">
      <c r="A338">
        <v>2012</v>
      </c>
      <c r="B338" t="s">
        <v>303</v>
      </c>
      <c r="C338" s="733">
        <v>40927</v>
      </c>
      <c r="D3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8" t="s">
        <v>505</v>
      </c>
      <c r="F338" t="s">
        <v>1915</v>
      </c>
      <c r="G338" t="s">
        <v>3498</v>
      </c>
      <c r="H338">
        <v>22078</v>
      </c>
      <c r="I338" t="s">
        <v>424</v>
      </c>
      <c r="J338" t="s">
        <v>1917</v>
      </c>
      <c r="K338" t="s">
        <v>1918</v>
      </c>
      <c r="L338" t="s">
        <v>1919</v>
      </c>
      <c r="M338">
        <v>267</v>
      </c>
      <c r="N338">
        <v>27</v>
      </c>
      <c r="O338">
        <v>2636.97</v>
      </c>
      <c r="P338">
        <v>1515.4402889999999</v>
      </c>
      <c r="Q338">
        <v>4152.4102890000004</v>
      </c>
      <c r="R338">
        <v>664.38564599999995</v>
      </c>
      <c r="S338">
        <v>166.09641199999999</v>
      </c>
      <c r="T338">
        <v>4650.6995230000002</v>
      </c>
      <c r="U338" t="s">
        <v>1928</v>
      </c>
      <c r="V338" t="s">
        <v>9408</v>
      </c>
      <c r="W338" t="s">
        <v>424</v>
      </c>
    </row>
    <row r="339" spans="1:23" hidden="1" x14ac:dyDescent="0.2">
      <c r="A339">
        <v>2012</v>
      </c>
      <c r="B339" t="s">
        <v>303</v>
      </c>
      <c r="C339" s="733">
        <v>40915</v>
      </c>
      <c r="D3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9" t="s">
        <v>505</v>
      </c>
      <c r="F339" t="s">
        <v>1915</v>
      </c>
      <c r="G339" t="s">
        <v>5728</v>
      </c>
      <c r="H339">
        <v>21715</v>
      </c>
      <c r="I339" t="s">
        <v>423</v>
      </c>
      <c r="J339" t="s">
        <v>1917</v>
      </c>
      <c r="K339" t="s">
        <v>1918</v>
      </c>
      <c r="L339" t="s">
        <v>1919</v>
      </c>
      <c r="M339">
        <v>267</v>
      </c>
      <c r="N339">
        <v>54.09</v>
      </c>
      <c r="O339">
        <v>5120.16</v>
      </c>
      <c r="P339">
        <v>5764.74</v>
      </c>
      <c r="Q339">
        <v>10884.9</v>
      </c>
      <c r="R339">
        <v>1741.59</v>
      </c>
      <c r="S339">
        <v>435.4</v>
      </c>
      <c r="T339">
        <v>12191.09</v>
      </c>
      <c r="V339" t="s">
        <v>9409</v>
      </c>
      <c r="W339" t="s">
        <v>423</v>
      </c>
    </row>
    <row r="340" spans="1:23" hidden="1" x14ac:dyDescent="0.2">
      <c r="A340">
        <v>2012</v>
      </c>
      <c r="B340" t="s">
        <v>304</v>
      </c>
      <c r="C340" s="733">
        <v>40942.679016203707</v>
      </c>
      <c r="D3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0" t="s">
        <v>505</v>
      </c>
      <c r="F340" t="s">
        <v>1915</v>
      </c>
      <c r="G340" t="s">
        <v>3488</v>
      </c>
      <c r="H340">
        <v>22487</v>
      </c>
      <c r="I340" t="s">
        <v>424</v>
      </c>
      <c r="J340" t="s">
        <v>1917</v>
      </c>
      <c r="K340" t="s">
        <v>1918</v>
      </c>
      <c r="L340" t="s">
        <v>1919</v>
      </c>
      <c r="M340">
        <v>267</v>
      </c>
      <c r="N340">
        <v>30</v>
      </c>
      <c r="O340">
        <v>2929.97</v>
      </c>
      <c r="P340">
        <v>1683.8244589999999</v>
      </c>
      <c r="Q340">
        <v>4613.7944589999997</v>
      </c>
      <c r="R340">
        <v>738.20711300000005</v>
      </c>
      <c r="S340">
        <v>184.55177800000001</v>
      </c>
      <c r="T340">
        <v>5167.4497940000001</v>
      </c>
      <c r="U340" t="s">
        <v>1924</v>
      </c>
      <c r="V340" t="s">
        <v>9408</v>
      </c>
      <c r="W340" t="s">
        <v>424</v>
      </c>
    </row>
    <row r="341" spans="1:23" hidden="1" x14ac:dyDescent="0.2">
      <c r="A341">
        <v>2012</v>
      </c>
      <c r="B341" t="s">
        <v>304</v>
      </c>
      <c r="C341" s="733">
        <v>40952</v>
      </c>
      <c r="D3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1" t="s">
        <v>505</v>
      </c>
      <c r="F341" t="s">
        <v>1915</v>
      </c>
      <c r="G341" t="s">
        <v>3506</v>
      </c>
      <c r="H341">
        <v>22671</v>
      </c>
      <c r="I341" t="s">
        <v>424</v>
      </c>
      <c r="J341" t="s">
        <v>1954</v>
      </c>
      <c r="K341" t="s">
        <v>1918</v>
      </c>
      <c r="L341" t="s">
        <v>1919</v>
      </c>
      <c r="M341">
        <v>303</v>
      </c>
      <c r="N341">
        <v>30</v>
      </c>
      <c r="O341">
        <v>2314.83</v>
      </c>
      <c r="P341">
        <v>1330.309653</v>
      </c>
      <c r="Q341">
        <v>3645.1396530000002</v>
      </c>
      <c r="R341">
        <v>583.22234400000002</v>
      </c>
      <c r="S341">
        <v>145.80558600000001</v>
      </c>
      <c r="T341">
        <v>4082.556411</v>
      </c>
      <c r="U341" t="s">
        <v>7522</v>
      </c>
      <c r="V341" t="s">
        <v>9408</v>
      </c>
      <c r="W341" t="s">
        <v>424</v>
      </c>
    </row>
    <row r="342" spans="1:23" hidden="1" x14ac:dyDescent="0.2">
      <c r="A342">
        <v>2012</v>
      </c>
      <c r="B342" t="s">
        <v>304</v>
      </c>
      <c r="C342" s="733">
        <v>40959</v>
      </c>
      <c r="D3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2" t="s">
        <v>505</v>
      </c>
      <c r="F342" t="s">
        <v>1915</v>
      </c>
      <c r="G342" t="s">
        <v>8189</v>
      </c>
      <c r="H342">
        <v>22845</v>
      </c>
      <c r="I342" t="s">
        <v>424</v>
      </c>
      <c r="J342" t="s">
        <v>1917</v>
      </c>
      <c r="K342" t="s">
        <v>1918</v>
      </c>
      <c r="L342" t="s">
        <v>1919</v>
      </c>
      <c r="M342">
        <v>267</v>
      </c>
      <c r="N342">
        <v>30</v>
      </c>
      <c r="O342">
        <v>2929.97</v>
      </c>
      <c r="P342">
        <v>1683.8244589999999</v>
      </c>
      <c r="Q342">
        <v>4613.7944589999997</v>
      </c>
      <c r="R342">
        <v>738.20711300000005</v>
      </c>
      <c r="S342">
        <v>184.55177800000001</v>
      </c>
      <c r="T342">
        <v>5167.4497940000001</v>
      </c>
      <c r="V342" t="s">
        <v>9408</v>
      </c>
      <c r="W342" t="s">
        <v>424</v>
      </c>
    </row>
    <row r="343" spans="1:23" hidden="1" x14ac:dyDescent="0.2">
      <c r="A343">
        <v>2012</v>
      </c>
      <c r="B343" t="s">
        <v>303</v>
      </c>
      <c r="C343" s="733">
        <v>40939</v>
      </c>
      <c r="D3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3" t="s">
        <v>505</v>
      </c>
      <c r="F343" t="s">
        <v>1915</v>
      </c>
      <c r="G343" t="s">
        <v>3487</v>
      </c>
      <c r="H343">
        <v>22378</v>
      </c>
      <c r="I343" t="s">
        <v>424</v>
      </c>
      <c r="J343" t="s">
        <v>1917</v>
      </c>
      <c r="K343" t="s">
        <v>1918</v>
      </c>
      <c r="L343" t="s">
        <v>1919</v>
      </c>
      <c r="M343">
        <v>267</v>
      </c>
      <c r="N343">
        <v>30</v>
      </c>
      <c r="O343">
        <v>2929.97</v>
      </c>
      <c r="P343">
        <v>1683.8244589999999</v>
      </c>
      <c r="Q343">
        <v>4613.7944589999997</v>
      </c>
      <c r="R343">
        <v>738.20711300000005</v>
      </c>
      <c r="S343">
        <v>184.55177800000001</v>
      </c>
      <c r="T343">
        <v>5167.4497940000001</v>
      </c>
      <c r="U343" t="s">
        <v>1936</v>
      </c>
      <c r="V343" t="s">
        <v>9408</v>
      </c>
      <c r="W343" t="s">
        <v>424</v>
      </c>
    </row>
    <row r="344" spans="1:23" hidden="1" x14ac:dyDescent="0.2">
      <c r="A344">
        <v>2012</v>
      </c>
      <c r="B344" t="s">
        <v>304</v>
      </c>
      <c r="C344" s="733">
        <v>40954</v>
      </c>
      <c r="D3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4" t="s">
        <v>505</v>
      </c>
      <c r="F344" t="s">
        <v>1915</v>
      </c>
      <c r="G344" t="s">
        <v>7758</v>
      </c>
      <c r="H344">
        <v>22727</v>
      </c>
      <c r="I344" t="s">
        <v>424</v>
      </c>
      <c r="J344" t="s">
        <v>1917</v>
      </c>
      <c r="K344" t="s">
        <v>1918</v>
      </c>
      <c r="L344" t="s">
        <v>1919</v>
      </c>
      <c r="M344">
        <v>267</v>
      </c>
      <c r="N344">
        <v>30</v>
      </c>
      <c r="O344">
        <v>2929.97</v>
      </c>
      <c r="P344">
        <v>1683.8244589999999</v>
      </c>
      <c r="Q344">
        <v>4613.7944589999997</v>
      </c>
      <c r="R344">
        <v>738.20711300000005</v>
      </c>
      <c r="S344">
        <v>184.55177800000001</v>
      </c>
      <c r="T344">
        <v>5167.4497940000001</v>
      </c>
      <c r="U344" t="s">
        <v>7522</v>
      </c>
      <c r="V344" t="s">
        <v>9408</v>
      </c>
      <c r="W344" t="s">
        <v>424</v>
      </c>
    </row>
    <row r="345" spans="1:23" hidden="1" x14ac:dyDescent="0.2">
      <c r="A345">
        <v>2012</v>
      </c>
      <c r="B345" t="s">
        <v>304</v>
      </c>
      <c r="C345" s="733">
        <v>40968</v>
      </c>
      <c r="D3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5" t="s">
        <v>505</v>
      </c>
      <c r="F345" t="s">
        <v>1915</v>
      </c>
      <c r="G345" t="s">
        <v>9432</v>
      </c>
      <c r="H345">
        <v>23074</v>
      </c>
      <c r="I345" t="s">
        <v>424</v>
      </c>
      <c r="J345" t="s">
        <v>1917</v>
      </c>
      <c r="K345" t="s">
        <v>1918</v>
      </c>
      <c r="L345" t="s">
        <v>1919</v>
      </c>
      <c r="M345">
        <v>267</v>
      </c>
      <c r="N345">
        <v>27</v>
      </c>
      <c r="O345">
        <v>4152.33</v>
      </c>
      <c r="P345">
        <v>0</v>
      </c>
      <c r="Q345">
        <v>4152.33</v>
      </c>
      <c r="R345">
        <v>664.37</v>
      </c>
      <c r="S345">
        <v>166.09</v>
      </c>
      <c r="T345">
        <v>4650.6099999999997</v>
      </c>
      <c r="V345" t="s">
        <v>9408</v>
      </c>
      <c r="W345" t="s">
        <v>424</v>
      </c>
    </row>
    <row r="346" spans="1:23" hidden="1" x14ac:dyDescent="0.2">
      <c r="A346">
        <v>2012</v>
      </c>
      <c r="B346" t="s">
        <v>304</v>
      </c>
      <c r="C346" s="733">
        <v>40947</v>
      </c>
      <c r="D3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6" t="s">
        <v>505</v>
      </c>
      <c r="F346" t="s">
        <v>1915</v>
      </c>
      <c r="G346" t="s">
        <v>5320</v>
      </c>
      <c r="H346">
        <v>22547</v>
      </c>
      <c r="I346" t="s">
        <v>423</v>
      </c>
      <c r="J346" t="s">
        <v>1917</v>
      </c>
      <c r="K346" t="s">
        <v>1918</v>
      </c>
      <c r="L346" t="s">
        <v>1919</v>
      </c>
      <c r="M346">
        <v>267</v>
      </c>
      <c r="N346">
        <v>49.29</v>
      </c>
      <c r="O346">
        <v>11082.36</v>
      </c>
      <c r="P346">
        <v>0</v>
      </c>
      <c r="Q346">
        <v>11082.36</v>
      </c>
      <c r="R346">
        <v>1773.18</v>
      </c>
      <c r="S346">
        <v>443.29</v>
      </c>
      <c r="T346">
        <v>12412.25</v>
      </c>
      <c r="U346" t="s">
        <v>1924</v>
      </c>
      <c r="V346" t="s">
        <v>9409</v>
      </c>
      <c r="W346" t="s">
        <v>423</v>
      </c>
    </row>
    <row r="347" spans="1:23" hidden="1" x14ac:dyDescent="0.2">
      <c r="A347">
        <v>2012</v>
      </c>
      <c r="B347" t="s">
        <v>303</v>
      </c>
      <c r="C347" s="733">
        <v>40939</v>
      </c>
      <c r="D3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7" t="s">
        <v>505</v>
      </c>
      <c r="F347" t="s">
        <v>1915</v>
      </c>
      <c r="G347" t="s">
        <v>5319</v>
      </c>
      <c r="H347">
        <v>21673</v>
      </c>
      <c r="I347" t="s">
        <v>423</v>
      </c>
      <c r="J347" t="s">
        <v>1917</v>
      </c>
      <c r="K347" t="s">
        <v>1918</v>
      </c>
      <c r="L347" t="s">
        <v>1919</v>
      </c>
      <c r="M347">
        <v>267</v>
      </c>
      <c r="N347">
        <v>26.84</v>
      </c>
      <c r="O347">
        <v>6034.71</v>
      </c>
      <c r="P347">
        <v>0</v>
      </c>
      <c r="Q347">
        <v>6034.71</v>
      </c>
      <c r="R347">
        <v>965.55</v>
      </c>
      <c r="S347">
        <v>241.39</v>
      </c>
      <c r="T347">
        <v>6758.87</v>
      </c>
      <c r="U347" t="s">
        <v>1936</v>
      </c>
      <c r="V347" t="s">
        <v>9408</v>
      </c>
      <c r="W347" t="s">
        <v>423</v>
      </c>
    </row>
    <row r="348" spans="1:23" hidden="1" x14ac:dyDescent="0.2">
      <c r="A348">
        <v>2012</v>
      </c>
      <c r="B348" t="s">
        <v>304</v>
      </c>
      <c r="C348" s="733">
        <v>40960</v>
      </c>
      <c r="D3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8" t="s">
        <v>505</v>
      </c>
      <c r="F348" t="s">
        <v>2065</v>
      </c>
      <c r="G348" t="s">
        <v>8097</v>
      </c>
      <c r="H348">
        <v>22897</v>
      </c>
      <c r="I348" t="s">
        <v>424</v>
      </c>
      <c r="J348" t="s">
        <v>1917</v>
      </c>
      <c r="K348" t="s">
        <v>1918</v>
      </c>
      <c r="L348" t="s">
        <v>1919</v>
      </c>
      <c r="M348">
        <v>267</v>
      </c>
      <c r="N348">
        <v>30</v>
      </c>
      <c r="O348">
        <v>4613.7</v>
      </c>
      <c r="P348">
        <v>0</v>
      </c>
      <c r="Q348">
        <v>4613.7</v>
      </c>
      <c r="R348">
        <v>738.19</v>
      </c>
      <c r="S348">
        <v>184.55</v>
      </c>
      <c r="T348">
        <v>5167.34</v>
      </c>
      <c r="U348" t="s">
        <v>8491</v>
      </c>
      <c r="V348" t="s">
        <v>9408</v>
      </c>
      <c r="W348" t="s">
        <v>424</v>
      </c>
    </row>
    <row r="349" spans="1:23" hidden="1" x14ac:dyDescent="0.2">
      <c r="A349">
        <v>2012</v>
      </c>
      <c r="B349" t="s">
        <v>303</v>
      </c>
      <c r="C349" s="733">
        <v>40913</v>
      </c>
      <c r="D3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9" t="s">
        <v>485</v>
      </c>
      <c r="F349" t="s">
        <v>2084</v>
      </c>
      <c r="G349" t="s">
        <v>4838</v>
      </c>
      <c r="H349">
        <v>39821</v>
      </c>
      <c r="I349" t="s">
        <v>423</v>
      </c>
      <c r="J349" t="s">
        <v>4073</v>
      </c>
      <c r="K349" t="s">
        <v>2051</v>
      </c>
      <c r="L349" t="s">
        <v>2052</v>
      </c>
      <c r="M349">
        <v>610</v>
      </c>
      <c r="N349">
        <v>50.65</v>
      </c>
      <c r="O349">
        <v>7559.01</v>
      </c>
      <c r="P349">
        <v>8510.6137689999996</v>
      </c>
      <c r="Q349">
        <v>16069.623769</v>
      </c>
      <c r="R349">
        <v>2571.139803</v>
      </c>
      <c r="S349">
        <v>642.78495099999998</v>
      </c>
      <c r="T349">
        <v>17997.978620999998</v>
      </c>
      <c r="U349" t="s">
        <v>2089</v>
      </c>
      <c r="V349" t="s">
        <v>9409</v>
      </c>
      <c r="W349" t="s">
        <v>423</v>
      </c>
    </row>
    <row r="350" spans="1:23" hidden="1" x14ac:dyDescent="0.2">
      <c r="A350">
        <v>2012</v>
      </c>
      <c r="B350" t="s">
        <v>304</v>
      </c>
      <c r="C350" s="733">
        <v>40947</v>
      </c>
      <c r="D3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0" t="s">
        <v>485</v>
      </c>
      <c r="F350" t="s">
        <v>2065</v>
      </c>
      <c r="G350" t="s">
        <v>5915</v>
      </c>
      <c r="H350">
        <v>41434</v>
      </c>
      <c r="I350" t="s">
        <v>423</v>
      </c>
      <c r="J350" t="s">
        <v>4626</v>
      </c>
      <c r="K350" t="s">
        <v>2102</v>
      </c>
      <c r="L350" t="s">
        <v>2115</v>
      </c>
      <c r="M350">
        <v>1457</v>
      </c>
      <c r="N350">
        <v>25.25</v>
      </c>
      <c r="O350">
        <v>18682.98</v>
      </c>
      <c r="P350">
        <v>0</v>
      </c>
      <c r="Q350">
        <v>18682.98</v>
      </c>
      <c r="R350">
        <v>2989.28</v>
      </c>
      <c r="S350">
        <v>747.32</v>
      </c>
      <c r="T350">
        <v>20924.939999999999</v>
      </c>
      <c r="U350" t="s">
        <v>7462</v>
      </c>
      <c r="V350" t="s">
        <v>9408</v>
      </c>
      <c r="W350" t="s">
        <v>423</v>
      </c>
    </row>
    <row r="351" spans="1:23" hidden="1" x14ac:dyDescent="0.2">
      <c r="A351">
        <v>2012</v>
      </c>
      <c r="B351" t="s">
        <v>303</v>
      </c>
      <c r="C351" s="733">
        <v>40924</v>
      </c>
      <c r="D3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1" t="s">
        <v>485</v>
      </c>
      <c r="F351" t="s">
        <v>2065</v>
      </c>
      <c r="G351" t="s">
        <v>5919</v>
      </c>
      <c r="H351">
        <v>40213</v>
      </c>
      <c r="I351" t="s">
        <v>423</v>
      </c>
      <c r="J351" t="s">
        <v>4626</v>
      </c>
      <c r="K351" t="s">
        <v>2102</v>
      </c>
      <c r="L351" t="s">
        <v>2115</v>
      </c>
      <c r="M351">
        <v>1457</v>
      </c>
      <c r="N351">
        <v>25.15</v>
      </c>
      <c r="O351">
        <v>18608.990000000002</v>
      </c>
      <c r="P351">
        <v>0</v>
      </c>
      <c r="Q351">
        <v>18608.990000000002</v>
      </c>
      <c r="R351">
        <v>2977.44</v>
      </c>
      <c r="S351">
        <v>744.36</v>
      </c>
      <c r="T351">
        <v>20842.07</v>
      </c>
      <c r="U351" t="s">
        <v>2106</v>
      </c>
      <c r="V351" t="s">
        <v>9408</v>
      </c>
      <c r="W351" t="s">
        <v>423</v>
      </c>
    </row>
    <row r="352" spans="1:23" hidden="1" x14ac:dyDescent="0.2">
      <c r="A352">
        <v>2012</v>
      </c>
      <c r="B352" t="s">
        <v>303</v>
      </c>
      <c r="C352" s="733">
        <v>40921</v>
      </c>
      <c r="D3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2" t="s">
        <v>485</v>
      </c>
      <c r="F352" t="s">
        <v>2065</v>
      </c>
      <c r="G352" t="s">
        <v>5753</v>
      </c>
      <c r="H352">
        <v>40174</v>
      </c>
      <c r="I352" t="s">
        <v>423</v>
      </c>
      <c r="J352" t="s">
        <v>4626</v>
      </c>
      <c r="K352" t="s">
        <v>2102</v>
      </c>
      <c r="L352" t="s">
        <v>2115</v>
      </c>
      <c r="M352">
        <v>1457</v>
      </c>
      <c r="N352">
        <v>52.91</v>
      </c>
      <c r="O352">
        <v>39149.17</v>
      </c>
      <c r="P352">
        <v>0</v>
      </c>
      <c r="Q352">
        <v>39149.17</v>
      </c>
      <c r="R352">
        <v>6263.87</v>
      </c>
      <c r="S352">
        <v>1565.97</v>
      </c>
      <c r="T352">
        <v>43847.07</v>
      </c>
      <c r="U352" t="s">
        <v>2106</v>
      </c>
      <c r="V352" t="s">
        <v>9409</v>
      </c>
      <c r="W352" t="s">
        <v>423</v>
      </c>
    </row>
    <row r="353" spans="1:23" hidden="1" x14ac:dyDescent="0.2">
      <c r="A353">
        <v>2012</v>
      </c>
      <c r="B353" t="s">
        <v>304</v>
      </c>
      <c r="C353" s="733">
        <v>40962</v>
      </c>
      <c r="D3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3" t="s">
        <v>505</v>
      </c>
      <c r="F353" t="s">
        <v>1915</v>
      </c>
      <c r="G353" t="s">
        <v>8466</v>
      </c>
      <c r="H353">
        <v>22937</v>
      </c>
      <c r="I353" t="s">
        <v>423</v>
      </c>
      <c r="J353" t="s">
        <v>1917</v>
      </c>
      <c r="K353" t="s">
        <v>1918</v>
      </c>
      <c r="L353" t="s">
        <v>1919</v>
      </c>
      <c r="M353">
        <v>267</v>
      </c>
      <c r="N353">
        <v>26.65</v>
      </c>
      <c r="O353">
        <v>8270.56</v>
      </c>
      <c r="P353">
        <v>0</v>
      </c>
      <c r="Q353">
        <v>8270.56</v>
      </c>
      <c r="R353">
        <v>1323.29</v>
      </c>
      <c r="S353">
        <v>330.82</v>
      </c>
      <c r="T353">
        <v>9263.0300000000007</v>
      </c>
      <c r="U353" t="s">
        <v>8778</v>
      </c>
      <c r="V353" t="s">
        <v>9409</v>
      </c>
      <c r="W353" t="s">
        <v>423</v>
      </c>
    </row>
    <row r="354" spans="1:23" hidden="1" x14ac:dyDescent="0.2">
      <c r="A354">
        <v>2012</v>
      </c>
      <c r="B354" t="s">
        <v>303</v>
      </c>
      <c r="C354" s="733">
        <v>40939</v>
      </c>
      <c r="D3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4" t="s">
        <v>505</v>
      </c>
      <c r="F354" t="s">
        <v>2065</v>
      </c>
      <c r="G354" t="s">
        <v>7417</v>
      </c>
      <c r="H354">
        <v>22363</v>
      </c>
      <c r="I354" t="s">
        <v>424</v>
      </c>
      <c r="J354" t="s">
        <v>1917</v>
      </c>
      <c r="K354" t="s">
        <v>1918</v>
      </c>
      <c r="L354" t="s">
        <v>1919</v>
      </c>
      <c r="M354">
        <v>267</v>
      </c>
      <c r="N354">
        <v>30</v>
      </c>
      <c r="O354">
        <v>2929.97</v>
      </c>
      <c r="P354">
        <v>1683.8244589999999</v>
      </c>
      <c r="Q354">
        <v>4613.7944589999997</v>
      </c>
      <c r="R354">
        <v>738.20711300000005</v>
      </c>
      <c r="S354">
        <v>184.55177800000001</v>
      </c>
      <c r="T354">
        <v>5167.4497940000001</v>
      </c>
      <c r="U354" t="s">
        <v>1936</v>
      </c>
      <c r="V354" t="s">
        <v>9408</v>
      </c>
      <c r="W354" t="s">
        <v>424</v>
      </c>
    </row>
    <row r="355" spans="1:23" hidden="1" x14ac:dyDescent="0.2">
      <c r="A355">
        <v>2012</v>
      </c>
      <c r="B355" t="s">
        <v>304</v>
      </c>
      <c r="C355" s="733">
        <v>40952</v>
      </c>
      <c r="D3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5" t="s">
        <v>485</v>
      </c>
      <c r="F355" t="s">
        <v>2065</v>
      </c>
      <c r="G355" t="s">
        <v>3047</v>
      </c>
      <c r="H355">
        <v>41739</v>
      </c>
      <c r="I355" t="s">
        <v>423</v>
      </c>
      <c r="J355" t="s">
        <v>2182</v>
      </c>
      <c r="K355" t="s">
        <v>2183</v>
      </c>
      <c r="L355" t="s">
        <v>2184</v>
      </c>
      <c r="M355">
        <v>62</v>
      </c>
      <c r="N355">
        <v>25.41</v>
      </c>
      <c r="O355">
        <v>3764.24</v>
      </c>
      <c r="P355">
        <v>0</v>
      </c>
      <c r="Q355">
        <v>3764.24</v>
      </c>
      <c r="R355">
        <v>602.28</v>
      </c>
      <c r="S355">
        <v>150.57</v>
      </c>
      <c r="T355">
        <v>4215.95</v>
      </c>
      <c r="U355" t="s">
        <v>8048</v>
      </c>
      <c r="V355" t="s">
        <v>9408</v>
      </c>
      <c r="W355" t="s">
        <v>423</v>
      </c>
    </row>
    <row r="356" spans="1:23" hidden="1" x14ac:dyDescent="0.2">
      <c r="A356">
        <v>2012</v>
      </c>
      <c r="B356" t="s">
        <v>304</v>
      </c>
      <c r="C356" s="733">
        <v>40942</v>
      </c>
      <c r="D3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6" t="s">
        <v>485</v>
      </c>
      <c r="F356" t="s">
        <v>2065</v>
      </c>
      <c r="G356" t="s">
        <v>3046</v>
      </c>
      <c r="H356">
        <v>41293</v>
      </c>
      <c r="I356" t="s">
        <v>423</v>
      </c>
      <c r="J356" t="s">
        <v>2182</v>
      </c>
      <c r="K356" t="s">
        <v>2183</v>
      </c>
      <c r="L356" t="s">
        <v>2184</v>
      </c>
      <c r="M356">
        <v>62</v>
      </c>
      <c r="N356">
        <v>16.46</v>
      </c>
      <c r="O356">
        <v>2438.38</v>
      </c>
      <c r="P356">
        <v>0</v>
      </c>
      <c r="Q356">
        <v>2438.38</v>
      </c>
      <c r="R356">
        <v>390.14</v>
      </c>
      <c r="S356">
        <v>97.54</v>
      </c>
      <c r="T356">
        <v>2730.98</v>
      </c>
      <c r="U356" t="s">
        <v>2192</v>
      </c>
      <c r="V356" t="s">
        <v>9408</v>
      </c>
      <c r="W356" t="s">
        <v>423</v>
      </c>
    </row>
    <row r="357" spans="1:23" hidden="1" x14ac:dyDescent="0.2">
      <c r="A357">
        <v>2012</v>
      </c>
      <c r="B357" t="s">
        <v>303</v>
      </c>
      <c r="C357" s="733">
        <v>40924</v>
      </c>
      <c r="D3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7" t="s">
        <v>485</v>
      </c>
      <c r="F357" t="s">
        <v>2065</v>
      </c>
      <c r="G357" t="s">
        <v>7337</v>
      </c>
      <c r="H357">
        <v>40300</v>
      </c>
      <c r="I357" t="s">
        <v>423</v>
      </c>
      <c r="J357" t="s">
        <v>3147</v>
      </c>
      <c r="K357" t="s">
        <v>2183</v>
      </c>
      <c r="L357" t="s">
        <v>2184</v>
      </c>
      <c r="M357">
        <v>528</v>
      </c>
      <c r="N357">
        <v>28.12</v>
      </c>
      <c r="O357">
        <v>8705.9500000000007</v>
      </c>
      <c r="P357">
        <v>0</v>
      </c>
      <c r="Q357">
        <v>8705.9500000000007</v>
      </c>
      <c r="R357">
        <v>1392.95</v>
      </c>
      <c r="S357">
        <v>348.24</v>
      </c>
      <c r="T357">
        <v>9750.66</v>
      </c>
      <c r="U357" t="s">
        <v>7587</v>
      </c>
      <c r="V357" t="s">
        <v>9409</v>
      </c>
      <c r="W357" t="s">
        <v>423</v>
      </c>
    </row>
    <row r="358" spans="1:23" hidden="1" x14ac:dyDescent="0.2">
      <c r="A358">
        <v>2012</v>
      </c>
      <c r="B358" t="s">
        <v>303</v>
      </c>
      <c r="C358" s="733">
        <v>40935</v>
      </c>
      <c r="D3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8" t="s">
        <v>485</v>
      </c>
      <c r="F358" t="s">
        <v>2065</v>
      </c>
      <c r="G358" t="s">
        <v>3036</v>
      </c>
      <c r="H358">
        <v>39882</v>
      </c>
      <c r="I358" t="s">
        <v>423</v>
      </c>
      <c r="J358" t="s">
        <v>2182</v>
      </c>
      <c r="K358" t="s">
        <v>2183</v>
      </c>
      <c r="L358" t="s">
        <v>2184</v>
      </c>
      <c r="M358">
        <v>62</v>
      </c>
      <c r="N358">
        <v>16.28</v>
      </c>
      <c r="O358">
        <v>2411.7199999999998</v>
      </c>
      <c r="P358">
        <v>0</v>
      </c>
      <c r="Q358">
        <v>2411.7199999999998</v>
      </c>
      <c r="R358">
        <v>385.88</v>
      </c>
      <c r="S358">
        <v>96.47</v>
      </c>
      <c r="T358">
        <v>2701.13</v>
      </c>
      <c r="U358" t="s">
        <v>2187</v>
      </c>
      <c r="V358" t="s">
        <v>9408</v>
      </c>
      <c r="W358" t="s">
        <v>423</v>
      </c>
    </row>
    <row r="359" spans="1:23" hidden="1" x14ac:dyDescent="0.2">
      <c r="A359">
        <v>2012</v>
      </c>
      <c r="B359" t="s">
        <v>303</v>
      </c>
      <c r="C359" s="733">
        <v>40938</v>
      </c>
      <c r="D3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9" t="s">
        <v>485</v>
      </c>
      <c r="F359" t="s">
        <v>2065</v>
      </c>
      <c r="G359" t="s">
        <v>2113</v>
      </c>
      <c r="H359">
        <v>40962</v>
      </c>
      <c r="I359" t="s">
        <v>424</v>
      </c>
      <c r="J359" t="s">
        <v>2114</v>
      </c>
      <c r="K359" t="s">
        <v>2102</v>
      </c>
      <c r="L359" t="s">
        <v>2115</v>
      </c>
      <c r="M359">
        <v>500</v>
      </c>
      <c r="N359">
        <v>54</v>
      </c>
      <c r="O359">
        <v>10009.44</v>
      </c>
      <c r="P359">
        <v>0</v>
      </c>
      <c r="Q359">
        <v>10009.44</v>
      </c>
      <c r="R359">
        <v>1601.51</v>
      </c>
      <c r="S359">
        <v>400.38</v>
      </c>
      <c r="T359">
        <v>11210.57</v>
      </c>
      <c r="U359" t="s">
        <v>2116</v>
      </c>
      <c r="V359" t="s">
        <v>9409</v>
      </c>
      <c r="W359" t="s">
        <v>424</v>
      </c>
    </row>
    <row r="360" spans="1:23" hidden="1" x14ac:dyDescent="0.2">
      <c r="A360">
        <v>2012</v>
      </c>
      <c r="B360" t="s">
        <v>303</v>
      </c>
      <c r="C360" s="733">
        <v>40928</v>
      </c>
      <c r="D3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0" t="s">
        <v>485</v>
      </c>
      <c r="F360" t="s">
        <v>2065</v>
      </c>
      <c r="G360" t="s">
        <v>2117</v>
      </c>
      <c r="H360">
        <v>40537</v>
      </c>
      <c r="I360" t="s">
        <v>424</v>
      </c>
      <c r="J360" t="s">
        <v>2114</v>
      </c>
      <c r="K360" t="s">
        <v>2102</v>
      </c>
      <c r="L360" t="s">
        <v>2115</v>
      </c>
      <c r="M360">
        <v>500</v>
      </c>
      <c r="N360">
        <v>54</v>
      </c>
      <c r="O360">
        <v>10009.44</v>
      </c>
      <c r="P360">
        <v>0</v>
      </c>
      <c r="Q360">
        <v>10009.44</v>
      </c>
      <c r="R360">
        <v>1601.51</v>
      </c>
      <c r="S360">
        <v>400.38</v>
      </c>
      <c r="T360">
        <v>11210.57</v>
      </c>
      <c r="U360" t="s">
        <v>2116</v>
      </c>
      <c r="V360" t="s">
        <v>9409</v>
      </c>
      <c r="W360" t="s">
        <v>424</v>
      </c>
    </row>
    <row r="361" spans="1:23" hidden="1" x14ac:dyDescent="0.2">
      <c r="A361">
        <v>2012</v>
      </c>
      <c r="B361" t="s">
        <v>303</v>
      </c>
      <c r="C361" s="733">
        <v>40928</v>
      </c>
      <c r="D3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1" t="s">
        <v>485</v>
      </c>
      <c r="F361" t="s">
        <v>2065</v>
      </c>
      <c r="G361" t="s">
        <v>2118</v>
      </c>
      <c r="H361">
        <v>40109</v>
      </c>
      <c r="I361" t="s">
        <v>424</v>
      </c>
      <c r="J361" t="s">
        <v>2114</v>
      </c>
      <c r="K361" t="s">
        <v>2102</v>
      </c>
      <c r="L361" t="s">
        <v>2115</v>
      </c>
      <c r="M361">
        <v>500</v>
      </c>
      <c r="N361">
        <v>54</v>
      </c>
      <c r="O361">
        <v>10009.44</v>
      </c>
      <c r="P361">
        <v>0</v>
      </c>
      <c r="Q361">
        <v>10009.44</v>
      </c>
      <c r="R361">
        <v>1601.51</v>
      </c>
      <c r="S361">
        <v>400.38</v>
      </c>
      <c r="T361">
        <v>11210.57</v>
      </c>
      <c r="U361" t="s">
        <v>2119</v>
      </c>
      <c r="V361" t="s">
        <v>9409</v>
      </c>
      <c r="W361" t="s">
        <v>424</v>
      </c>
    </row>
    <row r="362" spans="1:23" hidden="1" x14ac:dyDescent="0.2">
      <c r="A362">
        <v>2012</v>
      </c>
      <c r="B362" t="s">
        <v>303</v>
      </c>
      <c r="C362" s="733">
        <v>40928</v>
      </c>
      <c r="D3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2" t="s">
        <v>485</v>
      </c>
      <c r="F362" t="s">
        <v>2065</v>
      </c>
      <c r="G362" t="s">
        <v>2120</v>
      </c>
      <c r="H362">
        <v>40241</v>
      </c>
      <c r="I362" t="s">
        <v>424</v>
      </c>
      <c r="J362" t="s">
        <v>2114</v>
      </c>
      <c r="K362" t="s">
        <v>2102</v>
      </c>
      <c r="L362" t="s">
        <v>2115</v>
      </c>
      <c r="M362">
        <v>500</v>
      </c>
      <c r="N362">
        <v>54</v>
      </c>
      <c r="O362">
        <v>10009.44</v>
      </c>
      <c r="P362">
        <v>0</v>
      </c>
      <c r="Q362">
        <v>10009.44</v>
      </c>
      <c r="R362">
        <v>1601.51</v>
      </c>
      <c r="S362">
        <v>400.38</v>
      </c>
      <c r="T362">
        <v>11210.57</v>
      </c>
      <c r="U362" t="s">
        <v>2121</v>
      </c>
      <c r="V362" t="s">
        <v>9409</v>
      </c>
      <c r="W362" t="s">
        <v>424</v>
      </c>
    </row>
    <row r="363" spans="1:23" hidden="1" x14ac:dyDescent="0.2">
      <c r="A363">
        <v>2012</v>
      </c>
      <c r="B363" t="s">
        <v>304</v>
      </c>
      <c r="C363" s="733">
        <v>40954</v>
      </c>
      <c r="D3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3" t="s">
        <v>485</v>
      </c>
      <c r="F363" t="s">
        <v>2065</v>
      </c>
      <c r="G363" t="s">
        <v>2128</v>
      </c>
      <c r="H363">
        <v>41933</v>
      </c>
      <c r="I363" t="s">
        <v>424</v>
      </c>
      <c r="J363" t="s">
        <v>2114</v>
      </c>
      <c r="K363" t="s">
        <v>2102</v>
      </c>
      <c r="L363" t="s">
        <v>2115</v>
      </c>
      <c r="M363">
        <v>500</v>
      </c>
      <c r="N363">
        <v>54</v>
      </c>
      <c r="O363">
        <v>10009.44</v>
      </c>
      <c r="P363">
        <v>0</v>
      </c>
      <c r="Q363">
        <v>10009.44</v>
      </c>
      <c r="R363">
        <v>1601.51</v>
      </c>
      <c r="S363">
        <v>400.38</v>
      </c>
      <c r="T363">
        <v>11210.57</v>
      </c>
      <c r="U363" t="s">
        <v>8871</v>
      </c>
      <c r="V363" t="s">
        <v>9409</v>
      </c>
      <c r="W363" t="s">
        <v>424</v>
      </c>
    </row>
    <row r="364" spans="1:23" hidden="1" x14ac:dyDescent="0.2">
      <c r="A364">
        <v>2012</v>
      </c>
      <c r="B364" t="s">
        <v>304</v>
      </c>
      <c r="C364" s="733">
        <v>40942</v>
      </c>
      <c r="D3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4" t="s">
        <v>485</v>
      </c>
      <c r="F364" t="s">
        <v>2065</v>
      </c>
      <c r="G364" t="s">
        <v>2129</v>
      </c>
      <c r="H364">
        <v>41263</v>
      </c>
      <c r="I364" t="s">
        <v>424</v>
      </c>
      <c r="J364" t="s">
        <v>2114</v>
      </c>
      <c r="K364" t="s">
        <v>2102</v>
      </c>
      <c r="L364" t="s">
        <v>2115</v>
      </c>
      <c r="M364">
        <v>500</v>
      </c>
      <c r="N364">
        <v>54</v>
      </c>
      <c r="O364">
        <v>10009.44</v>
      </c>
      <c r="P364">
        <v>0</v>
      </c>
      <c r="Q364">
        <v>10009.44</v>
      </c>
      <c r="R364">
        <v>1601.51</v>
      </c>
      <c r="S364">
        <v>400.38</v>
      </c>
      <c r="T364">
        <v>11210.57</v>
      </c>
      <c r="U364" t="s">
        <v>7461</v>
      </c>
      <c r="V364" t="s">
        <v>9409</v>
      </c>
      <c r="W364" t="s">
        <v>424</v>
      </c>
    </row>
    <row r="365" spans="1:23" hidden="1" x14ac:dyDescent="0.2">
      <c r="A365">
        <v>2012</v>
      </c>
      <c r="B365" t="s">
        <v>304</v>
      </c>
      <c r="C365" s="733">
        <v>40961</v>
      </c>
      <c r="D3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5" t="s">
        <v>485</v>
      </c>
      <c r="F365" t="s">
        <v>2065</v>
      </c>
      <c r="G365" t="s">
        <v>8261</v>
      </c>
      <c r="H365">
        <v>42375</v>
      </c>
      <c r="I365" t="s">
        <v>423</v>
      </c>
      <c r="J365" t="s">
        <v>2182</v>
      </c>
      <c r="K365" t="s">
        <v>2183</v>
      </c>
      <c r="L365" t="s">
        <v>2184</v>
      </c>
      <c r="M365">
        <v>62</v>
      </c>
      <c r="N365">
        <v>16.13</v>
      </c>
      <c r="O365">
        <v>2389.5</v>
      </c>
      <c r="P365">
        <v>0</v>
      </c>
      <c r="Q365">
        <v>2389.5</v>
      </c>
      <c r="R365">
        <v>382.32</v>
      </c>
      <c r="S365">
        <v>95.58</v>
      </c>
      <c r="T365">
        <v>2676.24</v>
      </c>
      <c r="V365" t="s">
        <v>9408</v>
      </c>
      <c r="W365" t="s">
        <v>423</v>
      </c>
    </row>
    <row r="366" spans="1:23" hidden="1" x14ac:dyDescent="0.2">
      <c r="A366">
        <v>2012</v>
      </c>
      <c r="B366" t="s">
        <v>303</v>
      </c>
      <c r="C366" s="733">
        <v>40932</v>
      </c>
      <c r="D3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6" t="s">
        <v>485</v>
      </c>
      <c r="F366" t="s">
        <v>2065</v>
      </c>
      <c r="G366" t="s">
        <v>7349</v>
      </c>
      <c r="H366">
        <v>40597</v>
      </c>
      <c r="I366" t="s">
        <v>423</v>
      </c>
      <c r="J366" t="s">
        <v>3204</v>
      </c>
      <c r="K366" t="s">
        <v>2183</v>
      </c>
      <c r="L366" t="s">
        <v>2184</v>
      </c>
      <c r="M366">
        <v>80</v>
      </c>
      <c r="N366">
        <v>52.88</v>
      </c>
      <c r="O366">
        <v>5968.57</v>
      </c>
      <c r="P366">
        <v>0</v>
      </c>
      <c r="Q366">
        <v>5968.57</v>
      </c>
      <c r="R366">
        <v>954.97</v>
      </c>
      <c r="S366">
        <v>238.74</v>
      </c>
      <c r="T366">
        <v>6684.8</v>
      </c>
      <c r="U366" t="s">
        <v>2187</v>
      </c>
      <c r="V366" t="s">
        <v>9409</v>
      </c>
      <c r="W366" t="s">
        <v>423</v>
      </c>
    </row>
    <row r="367" spans="1:23" hidden="1" x14ac:dyDescent="0.2">
      <c r="A367">
        <v>2012</v>
      </c>
      <c r="B367" t="s">
        <v>303</v>
      </c>
      <c r="C367" s="733">
        <v>40928</v>
      </c>
      <c r="D3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7" t="s">
        <v>485</v>
      </c>
      <c r="F367" t="s">
        <v>2065</v>
      </c>
      <c r="G367" t="s">
        <v>2131</v>
      </c>
      <c r="H367">
        <v>40305</v>
      </c>
      <c r="I367" t="s">
        <v>424</v>
      </c>
      <c r="J367" t="s">
        <v>2114</v>
      </c>
      <c r="K367" t="s">
        <v>2102</v>
      </c>
      <c r="L367" t="s">
        <v>2115</v>
      </c>
      <c r="M367">
        <v>500</v>
      </c>
      <c r="N367">
        <v>54</v>
      </c>
      <c r="O367">
        <v>10009.44</v>
      </c>
      <c r="P367">
        <v>0</v>
      </c>
      <c r="Q367">
        <v>10009.44</v>
      </c>
      <c r="R367">
        <v>1601.51</v>
      </c>
      <c r="S367">
        <v>400.38</v>
      </c>
      <c r="T367">
        <v>11210.57</v>
      </c>
      <c r="U367" t="s">
        <v>2121</v>
      </c>
      <c r="V367" t="s">
        <v>9409</v>
      </c>
      <c r="W367" t="s">
        <v>424</v>
      </c>
    </row>
    <row r="368" spans="1:23" hidden="1" x14ac:dyDescent="0.2">
      <c r="A368">
        <v>2012</v>
      </c>
      <c r="B368" t="s">
        <v>303</v>
      </c>
      <c r="C368" s="733">
        <v>40938</v>
      </c>
      <c r="D3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8" t="s">
        <v>485</v>
      </c>
      <c r="F368" t="s">
        <v>2065</v>
      </c>
      <c r="G368" t="s">
        <v>2130</v>
      </c>
      <c r="H368">
        <v>41054</v>
      </c>
      <c r="I368" t="s">
        <v>424</v>
      </c>
      <c r="J368" t="s">
        <v>2114</v>
      </c>
      <c r="K368" t="s">
        <v>2102</v>
      </c>
      <c r="L368" t="s">
        <v>2115</v>
      </c>
      <c r="M368">
        <v>500</v>
      </c>
      <c r="N368">
        <v>54</v>
      </c>
      <c r="O368">
        <v>10009.44</v>
      </c>
      <c r="P368">
        <v>0</v>
      </c>
      <c r="Q368">
        <v>10009.44</v>
      </c>
      <c r="R368">
        <v>1601.51</v>
      </c>
      <c r="S368">
        <v>400.38</v>
      </c>
      <c r="T368">
        <v>11210.57</v>
      </c>
      <c r="U368" t="s">
        <v>2116</v>
      </c>
      <c r="V368" t="s">
        <v>9409</v>
      </c>
      <c r="W368" t="s">
        <v>424</v>
      </c>
    </row>
    <row r="369" spans="1:23" hidden="1" x14ac:dyDescent="0.2">
      <c r="A369">
        <v>2012</v>
      </c>
      <c r="B369" t="s">
        <v>303</v>
      </c>
      <c r="C369" s="733">
        <v>40911</v>
      </c>
      <c r="D3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9" t="s">
        <v>485</v>
      </c>
      <c r="F369" t="s">
        <v>2065</v>
      </c>
      <c r="G369" t="s">
        <v>7254</v>
      </c>
      <c r="H369">
        <v>39646</v>
      </c>
      <c r="I369" t="s">
        <v>423</v>
      </c>
      <c r="J369" t="s">
        <v>5479</v>
      </c>
      <c r="K369" t="s">
        <v>2102</v>
      </c>
      <c r="L369" t="s">
        <v>2115</v>
      </c>
      <c r="M369">
        <v>979</v>
      </c>
      <c r="N369">
        <v>50.38</v>
      </c>
      <c r="O369">
        <v>11371.77</v>
      </c>
      <c r="P369">
        <v>12803.362125</v>
      </c>
      <c r="Q369">
        <v>24175.132125</v>
      </c>
      <c r="R369">
        <v>3868.0211399999998</v>
      </c>
      <c r="S369">
        <v>967.00528499999996</v>
      </c>
      <c r="T369">
        <v>27076.147980000002</v>
      </c>
      <c r="U369" t="s">
        <v>2104</v>
      </c>
      <c r="V369" t="s">
        <v>9409</v>
      </c>
      <c r="W369" t="s">
        <v>423</v>
      </c>
    </row>
    <row r="370" spans="1:23" hidden="1" x14ac:dyDescent="0.2">
      <c r="A370">
        <v>2012</v>
      </c>
      <c r="B370" t="s">
        <v>304</v>
      </c>
      <c r="C370" s="733">
        <v>40941</v>
      </c>
      <c r="D3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0" t="s">
        <v>485</v>
      </c>
      <c r="F370" t="s">
        <v>2065</v>
      </c>
      <c r="G370" t="s">
        <v>7454</v>
      </c>
      <c r="H370">
        <v>39899</v>
      </c>
      <c r="I370" t="s">
        <v>424</v>
      </c>
      <c r="J370" t="s">
        <v>2135</v>
      </c>
      <c r="K370" t="s">
        <v>2102</v>
      </c>
      <c r="L370" t="s">
        <v>2115</v>
      </c>
      <c r="M370">
        <v>494</v>
      </c>
      <c r="N370">
        <v>53.661999999999999</v>
      </c>
      <c r="O370">
        <v>11304.44</v>
      </c>
      <c r="P370">
        <v>0</v>
      </c>
      <c r="Q370">
        <v>11304.44</v>
      </c>
      <c r="R370">
        <v>1808.71</v>
      </c>
      <c r="S370">
        <v>452.18</v>
      </c>
      <c r="T370">
        <v>12660.97</v>
      </c>
      <c r="U370" t="s">
        <v>2121</v>
      </c>
      <c r="V370" t="s">
        <v>9409</v>
      </c>
      <c r="W370" t="s">
        <v>424</v>
      </c>
    </row>
    <row r="371" spans="1:23" hidden="1" x14ac:dyDescent="0.2">
      <c r="A371">
        <v>2012</v>
      </c>
      <c r="B371" t="s">
        <v>303</v>
      </c>
      <c r="C371" s="733">
        <v>40927</v>
      </c>
      <c r="D3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1" t="s">
        <v>485</v>
      </c>
      <c r="F371" t="s">
        <v>2065</v>
      </c>
      <c r="G371" t="s">
        <v>7251</v>
      </c>
      <c r="H371">
        <v>40516</v>
      </c>
      <c r="I371" t="s">
        <v>423</v>
      </c>
      <c r="J371" t="s">
        <v>2345</v>
      </c>
      <c r="K371" t="s">
        <v>2102</v>
      </c>
      <c r="L371" t="s">
        <v>2115</v>
      </c>
      <c r="M371">
        <v>426</v>
      </c>
      <c r="N371">
        <v>52.01</v>
      </c>
      <c r="O371">
        <v>17488.36</v>
      </c>
      <c r="P371">
        <v>0</v>
      </c>
      <c r="Q371">
        <v>17488.36</v>
      </c>
      <c r="R371">
        <v>2798.14</v>
      </c>
      <c r="S371">
        <v>699.53</v>
      </c>
      <c r="T371">
        <v>19586.97</v>
      </c>
      <c r="U371" t="s">
        <v>2108</v>
      </c>
      <c r="V371" t="s">
        <v>9409</v>
      </c>
      <c r="W371" t="s">
        <v>423</v>
      </c>
    </row>
    <row r="372" spans="1:23" hidden="1" x14ac:dyDescent="0.2">
      <c r="A372">
        <v>2012</v>
      </c>
      <c r="B372" t="s">
        <v>303</v>
      </c>
      <c r="C372" s="733">
        <v>40925</v>
      </c>
      <c r="D3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2" t="s">
        <v>485</v>
      </c>
      <c r="F372" t="s">
        <v>2065</v>
      </c>
      <c r="G372" t="s">
        <v>2134</v>
      </c>
      <c r="H372">
        <v>40311</v>
      </c>
      <c r="I372" t="s">
        <v>423</v>
      </c>
      <c r="J372" t="s">
        <v>2135</v>
      </c>
      <c r="K372" t="s">
        <v>2102</v>
      </c>
      <c r="L372" t="s">
        <v>2115</v>
      </c>
      <c r="M372">
        <v>494</v>
      </c>
      <c r="N372">
        <v>49.68</v>
      </c>
      <c r="O372">
        <v>16704.900000000001</v>
      </c>
      <c r="P372">
        <v>0</v>
      </c>
      <c r="Q372">
        <v>16704.900000000001</v>
      </c>
      <c r="R372">
        <v>2672.78</v>
      </c>
      <c r="S372">
        <v>668.2</v>
      </c>
      <c r="T372">
        <v>18709.48</v>
      </c>
      <c r="U372" t="s">
        <v>2106</v>
      </c>
      <c r="V372" t="s">
        <v>9409</v>
      </c>
      <c r="W372" t="s">
        <v>423</v>
      </c>
    </row>
    <row r="373" spans="1:23" hidden="1" x14ac:dyDescent="0.2">
      <c r="A373">
        <v>2012</v>
      </c>
      <c r="B373" t="s">
        <v>303</v>
      </c>
      <c r="C373" s="733">
        <v>40927</v>
      </c>
      <c r="D3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3" t="s">
        <v>485</v>
      </c>
      <c r="F373" t="s">
        <v>2136</v>
      </c>
      <c r="G373" t="s">
        <v>7253</v>
      </c>
      <c r="H373">
        <v>39754</v>
      </c>
      <c r="I373" t="s">
        <v>423</v>
      </c>
      <c r="J373" t="s">
        <v>5479</v>
      </c>
      <c r="K373" t="s">
        <v>2102</v>
      </c>
      <c r="L373" t="s">
        <v>2115</v>
      </c>
      <c r="M373">
        <v>979</v>
      </c>
      <c r="N373">
        <v>26.33</v>
      </c>
      <c r="O373">
        <v>14116.3</v>
      </c>
      <c r="P373">
        <v>0</v>
      </c>
      <c r="Q373">
        <v>14116.3</v>
      </c>
      <c r="R373">
        <v>2258.61</v>
      </c>
      <c r="S373">
        <v>564.65</v>
      </c>
      <c r="T373">
        <v>15810.26</v>
      </c>
      <c r="U373" t="s">
        <v>2108</v>
      </c>
      <c r="V373" t="s">
        <v>9408</v>
      </c>
      <c r="W373" t="s">
        <v>423</v>
      </c>
    </row>
    <row r="374" spans="1:23" hidden="1" x14ac:dyDescent="0.2">
      <c r="A374">
        <v>2012</v>
      </c>
      <c r="B374" t="s">
        <v>303</v>
      </c>
      <c r="C374" s="733">
        <v>40928</v>
      </c>
      <c r="D3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4" t="s">
        <v>485</v>
      </c>
      <c r="F374" t="s">
        <v>2065</v>
      </c>
      <c r="G374" t="s">
        <v>2132</v>
      </c>
      <c r="H374">
        <v>40411</v>
      </c>
      <c r="I374" t="s">
        <v>424</v>
      </c>
      <c r="J374" t="s">
        <v>2114</v>
      </c>
      <c r="K374" t="s">
        <v>2102</v>
      </c>
      <c r="L374" t="s">
        <v>2115</v>
      </c>
      <c r="M374">
        <v>500</v>
      </c>
      <c r="N374">
        <v>54</v>
      </c>
      <c r="O374">
        <v>10009.44</v>
      </c>
      <c r="P374">
        <v>0</v>
      </c>
      <c r="Q374">
        <v>10009.44</v>
      </c>
      <c r="R374">
        <v>1601.51</v>
      </c>
      <c r="S374">
        <v>400.38</v>
      </c>
      <c r="T374">
        <v>11210.57</v>
      </c>
      <c r="U374" t="s">
        <v>2116</v>
      </c>
      <c r="V374" t="s">
        <v>9409</v>
      </c>
      <c r="W374" t="s">
        <v>424</v>
      </c>
    </row>
    <row r="375" spans="1:23" hidden="1" x14ac:dyDescent="0.2">
      <c r="A375">
        <v>2012</v>
      </c>
      <c r="B375" t="s">
        <v>304</v>
      </c>
      <c r="C375" s="733">
        <v>40952</v>
      </c>
      <c r="D3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5" t="s">
        <v>485</v>
      </c>
      <c r="F375" t="s">
        <v>2065</v>
      </c>
      <c r="G375" t="s">
        <v>7452</v>
      </c>
      <c r="H375">
        <v>41709</v>
      </c>
      <c r="I375" t="s">
        <v>424</v>
      </c>
      <c r="J375" t="s">
        <v>2114</v>
      </c>
      <c r="K375" t="s">
        <v>2102</v>
      </c>
      <c r="L375" t="s">
        <v>2115</v>
      </c>
      <c r="M375">
        <v>500</v>
      </c>
      <c r="N375">
        <v>54</v>
      </c>
      <c r="O375">
        <v>10009.44</v>
      </c>
      <c r="P375">
        <v>0</v>
      </c>
      <c r="Q375">
        <v>10009.44</v>
      </c>
      <c r="R375">
        <v>1601.51</v>
      </c>
      <c r="S375">
        <v>400.38</v>
      </c>
      <c r="T375">
        <v>11210.57</v>
      </c>
      <c r="U375" t="s">
        <v>8871</v>
      </c>
      <c r="V375" t="s">
        <v>9409</v>
      </c>
      <c r="W375" t="s">
        <v>424</v>
      </c>
    </row>
    <row r="376" spans="1:23" hidden="1" x14ac:dyDescent="0.2">
      <c r="A376">
        <v>2012</v>
      </c>
      <c r="B376" t="s">
        <v>303</v>
      </c>
      <c r="C376" s="733">
        <v>40928</v>
      </c>
      <c r="D3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6" t="s">
        <v>485</v>
      </c>
      <c r="F376" t="s">
        <v>2065</v>
      </c>
      <c r="G376" t="s">
        <v>2122</v>
      </c>
      <c r="H376">
        <v>40418</v>
      </c>
      <c r="I376" t="s">
        <v>424</v>
      </c>
      <c r="J376" t="s">
        <v>2114</v>
      </c>
      <c r="K376" t="s">
        <v>2102</v>
      </c>
      <c r="L376" t="s">
        <v>2115</v>
      </c>
      <c r="M376">
        <v>500</v>
      </c>
      <c r="N376">
        <v>54</v>
      </c>
      <c r="O376">
        <v>10009.44</v>
      </c>
      <c r="P376">
        <v>0</v>
      </c>
      <c r="Q376">
        <v>10009.44</v>
      </c>
      <c r="R376">
        <v>1601.51</v>
      </c>
      <c r="S376">
        <v>400.38</v>
      </c>
      <c r="T376">
        <v>11210.57</v>
      </c>
      <c r="U376" t="s">
        <v>2116</v>
      </c>
      <c r="V376" t="s">
        <v>9409</v>
      </c>
      <c r="W376" t="s">
        <v>424</v>
      </c>
    </row>
    <row r="377" spans="1:23" x14ac:dyDescent="0.2">
      <c r="A377">
        <v>2012</v>
      </c>
      <c r="B377" t="s">
        <v>304</v>
      </c>
      <c r="C377" s="733">
        <v>40967</v>
      </c>
      <c r="D3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7" t="s">
        <v>485</v>
      </c>
      <c r="F377" t="s">
        <v>2084</v>
      </c>
      <c r="G377" t="s">
        <v>8901</v>
      </c>
      <c r="H377">
        <v>42567</v>
      </c>
      <c r="I377" t="s">
        <v>423</v>
      </c>
      <c r="J377" t="s">
        <v>2836</v>
      </c>
      <c r="K377" t="s">
        <v>2814</v>
      </c>
      <c r="L377" t="s">
        <v>2815</v>
      </c>
      <c r="M377">
        <v>70</v>
      </c>
      <c r="N377">
        <v>24.100999999999999</v>
      </c>
      <c r="O377">
        <v>2720.28</v>
      </c>
      <c r="P377">
        <v>0</v>
      </c>
      <c r="Q377">
        <v>2720.28</v>
      </c>
      <c r="R377">
        <v>299.23</v>
      </c>
      <c r="S377">
        <v>108.81</v>
      </c>
      <c r="T377">
        <v>2910.7</v>
      </c>
      <c r="U377" t="s">
        <v>8877</v>
      </c>
      <c r="V377" t="s">
        <v>9408</v>
      </c>
      <c r="W377" t="s">
        <v>423</v>
      </c>
    </row>
    <row r="378" spans="1:23" hidden="1" x14ac:dyDescent="0.2">
      <c r="A378">
        <v>2012</v>
      </c>
      <c r="B378" t="s">
        <v>303</v>
      </c>
      <c r="C378" s="733">
        <v>40926</v>
      </c>
      <c r="D3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8" t="s">
        <v>485</v>
      </c>
      <c r="F378" t="s">
        <v>2084</v>
      </c>
      <c r="G378" t="s">
        <v>7290</v>
      </c>
      <c r="H378">
        <v>40063</v>
      </c>
      <c r="I378" t="s">
        <v>423</v>
      </c>
      <c r="J378" t="s">
        <v>2836</v>
      </c>
      <c r="K378" t="s">
        <v>2814</v>
      </c>
      <c r="L378" t="s">
        <v>2815</v>
      </c>
      <c r="M378">
        <v>70</v>
      </c>
      <c r="N378">
        <v>24.065000000000001</v>
      </c>
      <c r="O378">
        <v>2716.22</v>
      </c>
      <c r="P378">
        <v>0</v>
      </c>
      <c r="Q378">
        <v>2716.22</v>
      </c>
      <c r="R378">
        <v>434.59</v>
      </c>
      <c r="S378">
        <v>108.65</v>
      </c>
      <c r="T378">
        <v>3042.16</v>
      </c>
      <c r="U378" t="s">
        <v>2826</v>
      </c>
      <c r="V378" t="s">
        <v>9408</v>
      </c>
      <c r="W378" t="s">
        <v>423</v>
      </c>
    </row>
    <row r="379" spans="1:23" hidden="1" x14ac:dyDescent="0.2">
      <c r="A379">
        <v>2012</v>
      </c>
      <c r="B379" t="s">
        <v>304</v>
      </c>
      <c r="C379" s="733">
        <v>40949</v>
      </c>
      <c r="D3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9" t="s">
        <v>485</v>
      </c>
      <c r="F379" t="s">
        <v>2084</v>
      </c>
      <c r="G379" t="s">
        <v>7297</v>
      </c>
      <c r="H379">
        <v>41234</v>
      </c>
      <c r="I379" t="s">
        <v>423</v>
      </c>
      <c r="J379" t="s">
        <v>2836</v>
      </c>
      <c r="K379" t="s">
        <v>2814</v>
      </c>
      <c r="L379" t="s">
        <v>2815</v>
      </c>
      <c r="M379">
        <v>70</v>
      </c>
      <c r="N379">
        <v>24.012</v>
      </c>
      <c r="O379">
        <v>2710.23</v>
      </c>
      <c r="P379">
        <v>0</v>
      </c>
      <c r="Q379">
        <v>2710.23</v>
      </c>
      <c r="R379">
        <v>298.13</v>
      </c>
      <c r="S379">
        <v>108.41</v>
      </c>
      <c r="T379">
        <v>2899.95</v>
      </c>
      <c r="U379" t="s">
        <v>7527</v>
      </c>
      <c r="V379" t="s">
        <v>9408</v>
      </c>
      <c r="W379" t="s">
        <v>423</v>
      </c>
    </row>
    <row r="380" spans="1:23" hidden="1" x14ac:dyDescent="0.2">
      <c r="A380">
        <v>2012</v>
      </c>
      <c r="B380" t="s">
        <v>303</v>
      </c>
      <c r="C380" s="733">
        <v>40926</v>
      </c>
      <c r="D3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0" t="s">
        <v>485</v>
      </c>
      <c r="F380" t="s">
        <v>2048</v>
      </c>
      <c r="G380" t="s">
        <v>6758</v>
      </c>
      <c r="H380">
        <v>40507</v>
      </c>
      <c r="I380" t="s">
        <v>423</v>
      </c>
      <c r="J380" t="s">
        <v>4073</v>
      </c>
      <c r="K380" t="s">
        <v>2051</v>
      </c>
      <c r="L380" t="s">
        <v>2052</v>
      </c>
      <c r="M380">
        <v>610</v>
      </c>
      <c r="N380">
        <v>25.1</v>
      </c>
      <c r="O380">
        <v>8897.7000000000007</v>
      </c>
      <c r="P380">
        <v>0</v>
      </c>
      <c r="Q380">
        <v>8897.7000000000007</v>
      </c>
      <c r="R380">
        <v>1423.63</v>
      </c>
      <c r="S380">
        <v>355.91</v>
      </c>
      <c r="T380">
        <v>9965.42</v>
      </c>
      <c r="V380" t="s">
        <v>9408</v>
      </c>
      <c r="W380" t="s">
        <v>423</v>
      </c>
    </row>
    <row r="381" spans="1:23" hidden="1" x14ac:dyDescent="0.2">
      <c r="A381">
        <v>2012</v>
      </c>
      <c r="B381" t="s">
        <v>304</v>
      </c>
      <c r="C381" s="733">
        <v>40940</v>
      </c>
      <c r="D3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1" t="s">
        <v>485</v>
      </c>
      <c r="F381" t="s">
        <v>2065</v>
      </c>
      <c r="G381" t="s">
        <v>3275</v>
      </c>
      <c r="H381">
        <v>40055</v>
      </c>
      <c r="I381" t="s">
        <v>423</v>
      </c>
      <c r="J381" t="s">
        <v>2182</v>
      </c>
      <c r="K381" t="s">
        <v>2183</v>
      </c>
      <c r="L381" t="s">
        <v>2184</v>
      </c>
      <c r="M381">
        <v>62</v>
      </c>
      <c r="N381">
        <v>16.25</v>
      </c>
      <c r="O381">
        <v>2407.2800000000002</v>
      </c>
      <c r="P381">
        <v>0</v>
      </c>
      <c r="Q381">
        <v>2407.2800000000002</v>
      </c>
      <c r="R381">
        <v>385.16</v>
      </c>
      <c r="S381">
        <v>96.29</v>
      </c>
      <c r="T381">
        <v>2696.15</v>
      </c>
      <c r="U381" t="s">
        <v>2192</v>
      </c>
      <c r="V381" t="s">
        <v>9408</v>
      </c>
      <c r="W381" t="s">
        <v>423</v>
      </c>
    </row>
    <row r="382" spans="1:23" hidden="1" x14ac:dyDescent="0.2">
      <c r="A382">
        <v>2012</v>
      </c>
      <c r="B382" t="s">
        <v>303</v>
      </c>
      <c r="C382" s="733">
        <v>40928</v>
      </c>
      <c r="D3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2" t="s">
        <v>485</v>
      </c>
      <c r="F382" t="s">
        <v>2065</v>
      </c>
      <c r="G382" t="s">
        <v>3272</v>
      </c>
      <c r="H382">
        <v>40610</v>
      </c>
      <c r="I382" t="s">
        <v>423</v>
      </c>
      <c r="J382" t="s">
        <v>2182</v>
      </c>
      <c r="K382" t="s">
        <v>2183</v>
      </c>
      <c r="L382" t="s">
        <v>2184</v>
      </c>
      <c r="M382">
        <v>62</v>
      </c>
      <c r="N382">
        <v>15.87</v>
      </c>
      <c r="O382">
        <v>2350.98</v>
      </c>
      <c r="P382">
        <v>0</v>
      </c>
      <c r="Q382">
        <v>2350.98</v>
      </c>
      <c r="R382">
        <v>376.16</v>
      </c>
      <c r="S382">
        <v>94.04</v>
      </c>
      <c r="T382">
        <v>2633.1</v>
      </c>
      <c r="U382" t="s">
        <v>7554</v>
      </c>
      <c r="V382" t="s">
        <v>9408</v>
      </c>
      <c r="W382" t="s">
        <v>423</v>
      </c>
    </row>
    <row r="383" spans="1:23" hidden="1" x14ac:dyDescent="0.2">
      <c r="A383">
        <v>2012</v>
      </c>
      <c r="B383" t="s">
        <v>304</v>
      </c>
      <c r="C383" s="733">
        <v>40962</v>
      </c>
      <c r="D3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3" t="s">
        <v>485</v>
      </c>
      <c r="F383" t="s">
        <v>2065</v>
      </c>
      <c r="G383" t="s">
        <v>8525</v>
      </c>
      <c r="H383">
        <v>42362</v>
      </c>
      <c r="I383" t="s">
        <v>423</v>
      </c>
      <c r="J383" t="s">
        <v>3147</v>
      </c>
      <c r="K383" t="s">
        <v>2183</v>
      </c>
      <c r="L383" t="s">
        <v>2184</v>
      </c>
      <c r="M383">
        <v>528</v>
      </c>
      <c r="N383">
        <v>27.13</v>
      </c>
      <c r="O383">
        <v>8399.4500000000007</v>
      </c>
      <c r="P383">
        <v>0</v>
      </c>
      <c r="Q383">
        <v>8399.4500000000007</v>
      </c>
      <c r="R383">
        <v>1343.91</v>
      </c>
      <c r="S383">
        <v>335.98</v>
      </c>
      <c r="T383">
        <v>9407.3799999999992</v>
      </c>
      <c r="U383" t="s">
        <v>9411</v>
      </c>
      <c r="V383" t="s">
        <v>9409</v>
      </c>
      <c r="W383" t="s">
        <v>423</v>
      </c>
    </row>
    <row r="384" spans="1:23" hidden="1" x14ac:dyDescent="0.2">
      <c r="A384">
        <v>2012</v>
      </c>
      <c r="B384" t="s">
        <v>303</v>
      </c>
      <c r="C384" s="733">
        <v>40928</v>
      </c>
      <c r="D3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4" t="s">
        <v>485</v>
      </c>
      <c r="F384" t="s">
        <v>2065</v>
      </c>
      <c r="G384" t="s">
        <v>4174</v>
      </c>
      <c r="H384">
        <v>39979</v>
      </c>
      <c r="I384" t="s">
        <v>424</v>
      </c>
      <c r="J384" t="s">
        <v>2114</v>
      </c>
      <c r="K384" t="s">
        <v>2102</v>
      </c>
      <c r="L384" t="s">
        <v>2115</v>
      </c>
      <c r="M384">
        <v>500</v>
      </c>
      <c r="N384">
        <v>54</v>
      </c>
      <c r="O384">
        <v>10009.44</v>
      </c>
      <c r="P384">
        <v>0</v>
      </c>
      <c r="Q384">
        <v>10009.44</v>
      </c>
      <c r="R384">
        <v>1601.51</v>
      </c>
      <c r="S384">
        <v>400.38</v>
      </c>
      <c r="T384">
        <v>11210.57</v>
      </c>
      <c r="U384" t="s">
        <v>2119</v>
      </c>
      <c r="V384" t="s">
        <v>9409</v>
      </c>
      <c r="W384" t="s">
        <v>424</v>
      </c>
    </row>
    <row r="385" spans="1:23" hidden="1" x14ac:dyDescent="0.2">
      <c r="A385">
        <v>2012</v>
      </c>
      <c r="B385" t="s">
        <v>304</v>
      </c>
      <c r="C385" s="733">
        <v>40952</v>
      </c>
      <c r="D3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5" t="s">
        <v>485</v>
      </c>
      <c r="F385" t="s">
        <v>2065</v>
      </c>
      <c r="G385" t="s">
        <v>4175</v>
      </c>
      <c r="H385">
        <v>41759</v>
      </c>
      <c r="I385" t="s">
        <v>424</v>
      </c>
      <c r="J385" t="s">
        <v>2114</v>
      </c>
      <c r="K385" t="s">
        <v>2102</v>
      </c>
      <c r="L385" t="s">
        <v>2115</v>
      </c>
      <c r="M385">
        <v>500</v>
      </c>
      <c r="N385">
        <v>54</v>
      </c>
      <c r="O385">
        <v>10009.44</v>
      </c>
      <c r="P385">
        <v>0</v>
      </c>
      <c r="Q385">
        <v>10009.44</v>
      </c>
      <c r="R385">
        <v>1601.51</v>
      </c>
      <c r="S385">
        <v>400.38</v>
      </c>
      <c r="T385">
        <v>11210.57</v>
      </c>
      <c r="V385" t="s">
        <v>9409</v>
      </c>
      <c r="W385" t="s">
        <v>424</v>
      </c>
    </row>
    <row r="386" spans="1:23" hidden="1" x14ac:dyDescent="0.2">
      <c r="A386">
        <v>2012</v>
      </c>
      <c r="B386" t="s">
        <v>303</v>
      </c>
      <c r="C386" s="733">
        <v>40928</v>
      </c>
      <c r="D3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6" t="s">
        <v>485</v>
      </c>
      <c r="F386" t="s">
        <v>2065</v>
      </c>
      <c r="G386" t="s">
        <v>4177</v>
      </c>
      <c r="H386">
        <v>40293</v>
      </c>
      <c r="I386" t="s">
        <v>424</v>
      </c>
      <c r="J386" t="s">
        <v>2114</v>
      </c>
      <c r="K386" t="s">
        <v>2102</v>
      </c>
      <c r="L386" t="s">
        <v>2115</v>
      </c>
      <c r="M386">
        <v>500</v>
      </c>
      <c r="N386">
        <v>54</v>
      </c>
      <c r="O386">
        <v>10009.44</v>
      </c>
      <c r="P386">
        <v>0</v>
      </c>
      <c r="Q386">
        <v>10009.44</v>
      </c>
      <c r="R386">
        <v>1601.51</v>
      </c>
      <c r="S386">
        <v>400.38</v>
      </c>
      <c r="T386">
        <v>11210.57</v>
      </c>
      <c r="U386" t="s">
        <v>2121</v>
      </c>
      <c r="V386" t="s">
        <v>9409</v>
      </c>
      <c r="W386" t="s">
        <v>424</v>
      </c>
    </row>
    <row r="387" spans="1:23" hidden="1" x14ac:dyDescent="0.2">
      <c r="A387">
        <v>2012</v>
      </c>
      <c r="B387" t="s">
        <v>303</v>
      </c>
      <c r="C387" s="733">
        <v>40928</v>
      </c>
      <c r="D3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7" t="s">
        <v>485</v>
      </c>
      <c r="F387" t="s">
        <v>2065</v>
      </c>
      <c r="G387" t="s">
        <v>4178</v>
      </c>
      <c r="H387">
        <v>40331</v>
      </c>
      <c r="I387" t="s">
        <v>424</v>
      </c>
      <c r="J387" t="s">
        <v>2114</v>
      </c>
      <c r="K387" t="s">
        <v>2102</v>
      </c>
      <c r="L387" t="s">
        <v>2115</v>
      </c>
      <c r="M387">
        <v>500</v>
      </c>
      <c r="N387">
        <v>54</v>
      </c>
      <c r="O387">
        <v>10009.44</v>
      </c>
      <c r="P387">
        <v>0</v>
      </c>
      <c r="Q387">
        <v>10009.44</v>
      </c>
      <c r="R387">
        <v>1601.51</v>
      </c>
      <c r="S387">
        <v>400.38</v>
      </c>
      <c r="T387">
        <v>11210.57</v>
      </c>
      <c r="U387" t="s">
        <v>2121</v>
      </c>
      <c r="V387" t="s">
        <v>9409</v>
      </c>
      <c r="W387" t="s">
        <v>424</v>
      </c>
    </row>
    <row r="388" spans="1:23" hidden="1" x14ac:dyDescent="0.2">
      <c r="A388">
        <v>2012</v>
      </c>
      <c r="B388" t="s">
        <v>304</v>
      </c>
      <c r="C388" s="733">
        <v>40942.487488425926</v>
      </c>
      <c r="D3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8" t="s">
        <v>485</v>
      </c>
      <c r="F388" t="s">
        <v>2065</v>
      </c>
      <c r="G388" t="s">
        <v>4176</v>
      </c>
      <c r="H388">
        <v>41380</v>
      </c>
      <c r="I388" t="s">
        <v>423</v>
      </c>
      <c r="J388" t="s">
        <v>2114</v>
      </c>
      <c r="K388" t="s">
        <v>2102</v>
      </c>
      <c r="L388" t="s">
        <v>2115</v>
      </c>
      <c r="M388">
        <v>500</v>
      </c>
      <c r="N388">
        <v>52.56</v>
      </c>
      <c r="O388">
        <v>17673.3</v>
      </c>
      <c r="P388">
        <v>0</v>
      </c>
      <c r="Q388">
        <v>17673.3</v>
      </c>
      <c r="R388">
        <v>2827.73</v>
      </c>
      <c r="S388">
        <v>706.93</v>
      </c>
      <c r="T388">
        <v>19794.099999999999</v>
      </c>
      <c r="V388" t="s">
        <v>9409</v>
      </c>
      <c r="W388" t="s">
        <v>423</v>
      </c>
    </row>
    <row r="389" spans="1:23" hidden="1" x14ac:dyDescent="0.2">
      <c r="A389">
        <v>2012</v>
      </c>
      <c r="B389" t="s">
        <v>304</v>
      </c>
      <c r="C389" s="733">
        <v>40949</v>
      </c>
      <c r="D3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9" t="s">
        <v>485</v>
      </c>
      <c r="F389" t="s">
        <v>2065</v>
      </c>
      <c r="G389" t="s">
        <v>4173</v>
      </c>
      <c r="H389">
        <v>41633</v>
      </c>
      <c r="I389" t="s">
        <v>424</v>
      </c>
      <c r="J389" t="s">
        <v>2114</v>
      </c>
      <c r="K389" t="s">
        <v>2102</v>
      </c>
      <c r="L389" t="s">
        <v>2115</v>
      </c>
      <c r="M389">
        <v>500</v>
      </c>
      <c r="N389">
        <v>54</v>
      </c>
      <c r="O389">
        <v>10009.44</v>
      </c>
      <c r="P389">
        <v>0</v>
      </c>
      <c r="Q389">
        <v>10009.44</v>
      </c>
      <c r="R389">
        <v>1601.51</v>
      </c>
      <c r="S389">
        <v>400.38</v>
      </c>
      <c r="T389">
        <v>11210.57</v>
      </c>
      <c r="V389" t="s">
        <v>9409</v>
      </c>
      <c r="W389" t="s">
        <v>424</v>
      </c>
    </row>
    <row r="390" spans="1:23" hidden="1" x14ac:dyDescent="0.2">
      <c r="A390">
        <v>2012</v>
      </c>
      <c r="B390" t="s">
        <v>304</v>
      </c>
      <c r="C390" s="733">
        <v>40962</v>
      </c>
      <c r="D3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0" t="s">
        <v>485</v>
      </c>
      <c r="F390" t="s">
        <v>2065</v>
      </c>
      <c r="G390" t="s">
        <v>8598</v>
      </c>
      <c r="H390">
        <v>42465</v>
      </c>
      <c r="I390" t="s">
        <v>423</v>
      </c>
      <c r="J390" t="s">
        <v>2182</v>
      </c>
      <c r="K390" t="s">
        <v>2183</v>
      </c>
      <c r="L390" t="s">
        <v>2184</v>
      </c>
      <c r="M390">
        <v>62</v>
      </c>
      <c r="N390">
        <v>16.54</v>
      </c>
      <c r="O390">
        <v>2450.2399999999998</v>
      </c>
      <c r="P390">
        <v>0</v>
      </c>
      <c r="Q390">
        <v>2450.2399999999998</v>
      </c>
      <c r="R390">
        <v>392.04</v>
      </c>
      <c r="S390">
        <v>98.01</v>
      </c>
      <c r="T390">
        <v>2744.27</v>
      </c>
      <c r="U390" t="s">
        <v>9411</v>
      </c>
      <c r="V390" t="s">
        <v>9408</v>
      </c>
      <c r="W390" t="s">
        <v>423</v>
      </c>
    </row>
    <row r="391" spans="1:23" hidden="1" x14ac:dyDescent="0.2">
      <c r="A391">
        <v>2012</v>
      </c>
      <c r="B391" t="s">
        <v>303</v>
      </c>
      <c r="C391" s="733">
        <v>40928</v>
      </c>
      <c r="D3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1" t="s">
        <v>485</v>
      </c>
      <c r="F391" t="s">
        <v>2065</v>
      </c>
      <c r="G391" t="s">
        <v>3271</v>
      </c>
      <c r="H391">
        <v>40601</v>
      </c>
      <c r="I391" t="s">
        <v>423</v>
      </c>
      <c r="J391" t="s">
        <v>2182</v>
      </c>
      <c r="K391" t="s">
        <v>2183</v>
      </c>
      <c r="L391" t="s">
        <v>2184</v>
      </c>
      <c r="M391">
        <v>62</v>
      </c>
      <c r="N391">
        <v>16.170000000000002</v>
      </c>
      <c r="O391">
        <v>2395.42</v>
      </c>
      <c r="P391">
        <v>0</v>
      </c>
      <c r="Q391">
        <v>2395.42</v>
      </c>
      <c r="R391">
        <v>383.27</v>
      </c>
      <c r="S391">
        <v>95.82</v>
      </c>
      <c r="T391">
        <v>2682.87</v>
      </c>
      <c r="U391" t="s">
        <v>7554</v>
      </c>
      <c r="V391" t="s">
        <v>9408</v>
      </c>
      <c r="W391" t="s">
        <v>423</v>
      </c>
    </row>
    <row r="392" spans="1:23" hidden="1" x14ac:dyDescent="0.2">
      <c r="A392">
        <v>2012</v>
      </c>
      <c r="B392" t="s">
        <v>304</v>
      </c>
      <c r="C392" s="733">
        <v>40940</v>
      </c>
      <c r="D3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2" t="s">
        <v>485</v>
      </c>
      <c r="F392" t="s">
        <v>2065</v>
      </c>
      <c r="G392" t="s">
        <v>6439</v>
      </c>
      <c r="H392">
        <v>39896</v>
      </c>
      <c r="I392" t="s">
        <v>423</v>
      </c>
      <c r="J392" t="s">
        <v>3204</v>
      </c>
      <c r="K392" t="s">
        <v>2183</v>
      </c>
      <c r="L392" t="s">
        <v>2184</v>
      </c>
      <c r="M392">
        <v>80</v>
      </c>
      <c r="N392">
        <v>25.02</v>
      </c>
      <c r="O392">
        <v>2824.01</v>
      </c>
      <c r="P392">
        <v>0</v>
      </c>
      <c r="Q392">
        <v>2824.01</v>
      </c>
      <c r="R392">
        <v>451.84</v>
      </c>
      <c r="S392">
        <v>112.96</v>
      </c>
      <c r="T392">
        <v>3162.89</v>
      </c>
      <c r="U392" t="s">
        <v>2187</v>
      </c>
      <c r="V392" t="s">
        <v>9408</v>
      </c>
      <c r="W392" t="s">
        <v>423</v>
      </c>
    </row>
    <row r="393" spans="1:23" hidden="1" x14ac:dyDescent="0.2">
      <c r="A393">
        <v>2012</v>
      </c>
      <c r="B393" t="s">
        <v>304</v>
      </c>
      <c r="C393" s="733">
        <v>40949</v>
      </c>
      <c r="D3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3" t="s">
        <v>485</v>
      </c>
      <c r="F393" t="s">
        <v>2084</v>
      </c>
      <c r="G393" t="s">
        <v>5946</v>
      </c>
      <c r="H393">
        <v>41135</v>
      </c>
      <c r="I393" t="s">
        <v>423</v>
      </c>
      <c r="J393" t="s">
        <v>2836</v>
      </c>
      <c r="K393" t="s">
        <v>2814</v>
      </c>
      <c r="L393" t="s">
        <v>2815</v>
      </c>
      <c r="M393">
        <v>70</v>
      </c>
      <c r="N393">
        <v>23.818999999999999</v>
      </c>
      <c r="O393">
        <v>2688.45</v>
      </c>
      <c r="P393">
        <v>0</v>
      </c>
      <c r="Q393">
        <v>2688.45</v>
      </c>
      <c r="R393">
        <v>295.73</v>
      </c>
      <c r="S393">
        <v>107.54</v>
      </c>
      <c r="T393">
        <v>2876.64</v>
      </c>
      <c r="U393" t="s">
        <v>7527</v>
      </c>
      <c r="V393" t="s">
        <v>9408</v>
      </c>
      <c r="W393" t="s">
        <v>423</v>
      </c>
    </row>
    <row r="394" spans="1:23" hidden="1" x14ac:dyDescent="0.2">
      <c r="A394">
        <v>2012</v>
      </c>
      <c r="B394" t="s">
        <v>304</v>
      </c>
      <c r="C394" s="733">
        <v>40940</v>
      </c>
      <c r="D3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4" t="s">
        <v>485</v>
      </c>
      <c r="F394" t="s">
        <v>2084</v>
      </c>
      <c r="G394" t="s">
        <v>5947</v>
      </c>
      <c r="H394">
        <v>41021</v>
      </c>
      <c r="I394" t="s">
        <v>423</v>
      </c>
      <c r="J394" t="s">
        <v>2836</v>
      </c>
      <c r="K394" t="s">
        <v>2814</v>
      </c>
      <c r="L394" t="s">
        <v>2815</v>
      </c>
      <c r="M394">
        <v>70</v>
      </c>
      <c r="N394">
        <v>23.954999999999998</v>
      </c>
      <c r="O394">
        <v>2703.8</v>
      </c>
      <c r="P394">
        <v>0</v>
      </c>
      <c r="Q394">
        <v>2703.8</v>
      </c>
      <c r="R394">
        <v>432.61</v>
      </c>
      <c r="S394">
        <v>108.15</v>
      </c>
      <c r="T394">
        <v>3028.26</v>
      </c>
      <c r="U394" t="s">
        <v>2826</v>
      </c>
      <c r="V394" t="s">
        <v>9408</v>
      </c>
      <c r="W394" t="s">
        <v>423</v>
      </c>
    </row>
    <row r="395" spans="1:23" hidden="1" x14ac:dyDescent="0.2">
      <c r="A395">
        <v>2012</v>
      </c>
      <c r="B395" t="s">
        <v>304</v>
      </c>
      <c r="C395" s="733">
        <v>40956</v>
      </c>
      <c r="D3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5" t="s">
        <v>485</v>
      </c>
      <c r="F395" t="s">
        <v>2065</v>
      </c>
      <c r="G395" t="s">
        <v>7812</v>
      </c>
      <c r="H395">
        <v>42039</v>
      </c>
      <c r="I395" t="s">
        <v>423</v>
      </c>
      <c r="J395" t="s">
        <v>2114</v>
      </c>
      <c r="K395" t="s">
        <v>2102</v>
      </c>
      <c r="L395" t="s">
        <v>2115</v>
      </c>
      <c r="M395">
        <v>500</v>
      </c>
      <c r="N395">
        <v>52.86</v>
      </c>
      <c r="O395">
        <v>17774.18</v>
      </c>
      <c r="P395">
        <v>0</v>
      </c>
      <c r="Q395">
        <v>17774.18</v>
      </c>
      <c r="R395">
        <v>2843.87</v>
      </c>
      <c r="S395">
        <v>710.97</v>
      </c>
      <c r="T395">
        <v>19907.080000000002</v>
      </c>
      <c r="U395" t="s">
        <v>8883</v>
      </c>
      <c r="V395" t="s">
        <v>9409</v>
      </c>
      <c r="W395" t="s">
        <v>423</v>
      </c>
    </row>
    <row r="396" spans="1:23" x14ac:dyDescent="0.2">
      <c r="A396">
        <v>2012</v>
      </c>
      <c r="B396" t="s">
        <v>304</v>
      </c>
      <c r="C396" s="733">
        <v>40967</v>
      </c>
      <c r="D3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6" t="s">
        <v>485</v>
      </c>
      <c r="F396" t="s">
        <v>2084</v>
      </c>
      <c r="G396" t="s">
        <v>8944</v>
      </c>
      <c r="H396">
        <v>42420</v>
      </c>
      <c r="I396" t="s">
        <v>423</v>
      </c>
      <c r="J396" t="s">
        <v>2836</v>
      </c>
      <c r="K396" t="s">
        <v>2814</v>
      </c>
      <c r="L396" t="s">
        <v>2815</v>
      </c>
      <c r="M396">
        <v>70</v>
      </c>
      <c r="N396">
        <v>23.902000000000001</v>
      </c>
      <c r="O396">
        <v>2697.82</v>
      </c>
      <c r="P396">
        <v>0</v>
      </c>
      <c r="Q396">
        <v>2697.82</v>
      </c>
      <c r="R396">
        <v>296.76</v>
      </c>
      <c r="S396">
        <v>107.91</v>
      </c>
      <c r="T396">
        <v>2886.67</v>
      </c>
      <c r="U396" t="s">
        <v>8877</v>
      </c>
      <c r="V396" t="s">
        <v>9408</v>
      </c>
      <c r="W396" t="s">
        <v>423</v>
      </c>
    </row>
    <row r="397" spans="1:23" hidden="1" x14ac:dyDescent="0.2">
      <c r="A397">
        <v>2012</v>
      </c>
      <c r="B397" t="s">
        <v>304</v>
      </c>
      <c r="C397" s="733">
        <v>40960</v>
      </c>
      <c r="D3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7" t="s">
        <v>485</v>
      </c>
      <c r="F397" t="s">
        <v>2084</v>
      </c>
      <c r="G397" t="s">
        <v>8100</v>
      </c>
      <c r="H397">
        <v>41910</v>
      </c>
      <c r="I397" t="s">
        <v>423</v>
      </c>
      <c r="J397" t="s">
        <v>2836</v>
      </c>
      <c r="K397" t="s">
        <v>2814</v>
      </c>
      <c r="L397" t="s">
        <v>2815</v>
      </c>
      <c r="M397">
        <v>70</v>
      </c>
      <c r="N397">
        <v>27.852</v>
      </c>
      <c r="O397">
        <v>3143.66</v>
      </c>
      <c r="P397">
        <v>0</v>
      </c>
      <c r="Q397">
        <v>3143.66</v>
      </c>
      <c r="R397">
        <v>345.8</v>
      </c>
      <c r="S397">
        <v>125.75</v>
      </c>
      <c r="T397">
        <v>3363.71</v>
      </c>
      <c r="U397" t="s">
        <v>8877</v>
      </c>
      <c r="V397" t="s">
        <v>9408</v>
      </c>
      <c r="W397" t="s">
        <v>423</v>
      </c>
    </row>
    <row r="398" spans="1:23" x14ac:dyDescent="0.2">
      <c r="A398">
        <v>2012</v>
      </c>
      <c r="B398" t="s">
        <v>304</v>
      </c>
      <c r="C398" s="733">
        <v>40967</v>
      </c>
      <c r="D3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8" t="s">
        <v>485</v>
      </c>
      <c r="F398" t="s">
        <v>2084</v>
      </c>
      <c r="G398" t="s">
        <v>8943</v>
      </c>
      <c r="H398">
        <v>42206</v>
      </c>
      <c r="I398" t="s">
        <v>423</v>
      </c>
      <c r="J398" t="s">
        <v>2836</v>
      </c>
      <c r="K398" t="s">
        <v>2814</v>
      </c>
      <c r="L398" t="s">
        <v>2815</v>
      </c>
      <c r="M398">
        <v>70</v>
      </c>
      <c r="N398">
        <v>25.989000000000001</v>
      </c>
      <c r="O398">
        <v>2933.38</v>
      </c>
      <c r="P398">
        <v>0</v>
      </c>
      <c r="Q398">
        <v>2933.38</v>
      </c>
      <c r="R398">
        <v>322.67</v>
      </c>
      <c r="S398">
        <v>117.34</v>
      </c>
      <c r="T398">
        <v>3138.71</v>
      </c>
      <c r="U398" t="s">
        <v>8877</v>
      </c>
      <c r="V398" t="s">
        <v>9408</v>
      </c>
      <c r="W398" t="s">
        <v>423</v>
      </c>
    </row>
    <row r="399" spans="1:23" hidden="1" x14ac:dyDescent="0.2">
      <c r="A399">
        <v>2012</v>
      </c>
      <c r="B399" t="s">
        <v>303</v>
      </c>
      <c r="C399" s="733">
        <v>40928</v>
      </c>
      <c r="D3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9" t="s">
        <v>485</v>
      </c>
      <c r="F399" t="s">
        <v>2065</v>
      </c>
      <c r="G399" t="s">
        <v>3270</v>
      </c>
      <c r="H399">
        <v>39812</v>
      </c>
      <c r="I399" t="s">
        <v>423</v>
      </c>
      <c r="J399" t="s">
        <v>2182</v>
      </c>
      <c r="K399" t="s">
        <v>2183</v>
      </c>
      <c r="L399" t="s">
        <v>2184</v>
      </c>
      <c r="M399">
        <v>62</v>
      </c>
      <c r="N399">
        <v>14.78</v>
      </c>
      <c r="O399">
        <v>2189.5100000000002</v>
      </c>
      <c r="P399">
        <v>0</v>
      </c>
      <c r="Q399">
        <v>2189.5100000000002</v>
      </c>
      <c r="R399">
        <v>350.32</v>
      </c>
      <c r="S399">
        <v>87.58</v>
      </c>
      <c r="T399">
        <v>2452.25</v>
      </c>
      <c r="U399" t="s">
        <v>2187</v>
      </c>
      <c r="V399" t="s">
        <v>9408</v>
      </c>
      <c r="W399" t="s">
        <v>423</v>
      </c>
    </row>
    <row r="400" spans="1:23" hidden="1" x14ac:dyDescent="0.2">
      <c r="A400">
        <v>2012</v>
      </c>
      <c r="B400" t="s">
        <v>304</v>
      </c>
      <c r="C400" s="733">
        <v>40942</v>
      </c>
      <c r="D4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0" t="s">
        <v>485</v>
      </c>
      <c r="F400" t="s">
        <v>2065</v>
      </c>
      <c r="G400" t="s">
        <v>3269</v>
      </c>
      <c r="H400">
        <v>39809</v>
      </c>
      <c r="I400" t="s">
        <v>423</v>
      </c>
      <c r="J400" t="s">
        <v>2182</v>
      </c>
      <c r="K400" t="s">
        <v>2183</v>
      </c>
      <c r="L400" t="s">
        <v>2184</v>
      </c>
      <c r="M400">
        <v>62</v>
      </c>
      <c r="N400">
        <v>15.56</v>
      </c>
      <c r="O400">
        <v>2305.06</v>
      </c>
      <c r="P400">
        <v>0</v>
      </c>
      <c r="Q400">
        <v>2305.06</v>
      </c>
      <c r="R400">
        <v>368.81</v>
      </c>
      <c r="S400">
        <v>92.2</v>
      </c>
      <c r="T400">
        <v>2581.67</v>
      </c>
      <c r="U400" t="s">
        <v>2192</v>
      </c>
      <c r="V400" t="s">
        <v>9408</v>
      </c>
      <c r="W400" t="s">
        <v>423</v>
      </c>
    </row>
    <row r="401" spans="1:23" x14ac:dyDescent="0.2">
      <c r="A401">
        <v>2012</v>
      </c>
      <c r="B401" t="s">
        <v>304</v>
      </c>
      <c r="C401" s="733">
        <v>40968</v>
      </c>
      <c r="D4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1" t="s">
        <v>485</v>
      </c>
      <c r="F401" t="s">
        <v>2065</v>
      </c>
      <c r="G401" t="s">
        <v>8945</v>
      </c>
      <c r="H401">
        <v>42842</v>
      </c>
      <c r="I401" t="s">
        <v>423</v>
      </c>
      <c r="J401" t="s">
        <v>2182</v>
      </c>
      <c r="K401" t="s">
        <v>2183</v>
      </c>
      <c r="L401" t="s">
        <v>2184</v>
      </c>
      <c r="M401">
        <v>62</v>
      </c>
      <c r="N401">
        <v>15.75</v>
      </c>
      <c r="O401">
        <v>2333.1999999999998</v>
      </c>
      <c r="P401">
        <v>0</v>
      </c>
      <c r="Q401">
        <v>2333.1999999999998</v>
      </c>
      <c r="R401">
        <v>373.31</v>
      </c>
      <c r="S401">
        <v>93.33</v>
      </c>
      <c r="T401">
        <v>2613.1799999999998</v>
      </c>
      <c r="V401" t="s">
        <v>9408</v>
      </c>
      <c r="W401" t="s">
        <v>423</v>
      </c>
    </row>
    <row r="402" spans="1:23" hidden="1" x14ac:dyDescent="0.2">
      <c r="A402">
        <v>2012</v>
      </c>
      <c r="B402" t="s">
        <v>304</v>
      </c>
      <c r="C402" s="733">
        <v>40940</v>
      </c>
      <c r="D4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2" t="s">
        <v>485</v>
      </c>
      <c r="F402" t="s">
        <v>2065</v>
      </c>
      <c r="G402" t="s">
        <v>4170</v>
      </c>
      <c r="H402">
        <v>39975</v>
      </c>
      <c r="I402" t="s">
        <v>423</v>
      </c>
      <c r="J402" t="s">
        <v>3204</v>
      </c>
      <c r="K402" t="s">
        <v>2183</v>
      </c>
      <c r="L402" t="s">
        <v>2184</v>
      </c>
      <c r="M402">
        <v>80</v>
      </c>
      <c r="N402">
        <v>29.1</v>
      </c>
      <c r="O402">
        <v>3284.52</v>
      </c>
      <c r="P402">
        <v>0</v>
      </c>
      <c r="Q402">
        <v>3284.52</v>
      </c>
      <c r="R402">
        <v>525.52</v>
      </c>
      <c r="S402">
        <v>131.38</v>
      </c>
      <c r="T402">
        <v>3678.66</v>
      </c>
      <c r="U402" t="s">
        <v>2187</v>
      </c>
      <c r="V402" t="s">
        <v>9408</v>
      </c>
      <c r="W402" t="s">
        <v>423</v>
      </c>
    </row>
    <row r="403" spans="1:23" hidden="1" x14ac:dyDescent="0.2">
      <c r="A403">
        <v>2012</v>
      </c>
      <c r="B403" t="s">
        <v>305</v>
      </c>
      <c r="C403" s="733">
        <v>40970</v>
      </c>
      <c r="D403" s="733" t="str">
        <f>CHOOSE(MONTH(Tabla_sqldatos_bonampakdb_Bon_v_ingresos2012[[#This Row],[fecha_guia]]),"Enero","Febrero","Marzo","Abril","Mayo","Junio","Julio","Agosto","Septiembre","Octubre","Noviembre","Diciembre")</f>
        <v>Marzo</v>
      </c>
      <c r="E403" t="s">
        <v>485</v>
      </c>
      <c r="F403" t="s">
        <v>2065</v>
      </c>
      <c r="G403" t="s">
        <v>9480</v>
      </c>
      <c r="H403">
        <v>42912</v>
      </c>
      <c r="I403" t="s">
        <v>423</v>
      </c>
      <c r="J403" t="s">
        <v>3204</v>
      </c>
      <c r="K403" t="s">
        <v>2183</v>
      </c>
      <c r="L403" t="s">
        <v>2184</v>
      </c>
      <c r="M403">
        <v>80</v>
      </c>
      <c r="N403">
        <v>15.71</v>
      </c>
      <c r="O403">
        <v>1773.19</v>
      </c>
      <c r="P403">
        <v>0</v>
      </c>
      <c r="Q403">
        <v>1773.19</v>
      </c>
      <c r="R403">
        <v>283.70999999999998</v>
      </c>
      <c r="S403">
        <v>70.930000000000007</v>
      </c>
      <c r="T403">
        <v>1985.97</v>
      </c>
      <c r="V403" t="s">
        <v>9408</v>
      </c>
      <c r="W403" t="s">
        <v>423</v>
      </c>
    </row>
    <row r="404" spans="1:23" x14ac:dyDescent="0.2">
      <c r="A404">
        <v>2012</v>
      </c>
      <c r="B404" t="s">
        <v>304</v>
      </c>
      <c r="C404" s="733">
        <v>40968.482997685183</v>
      </c>
      <c r="D4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4" t="s">
        <v>485</v>
      </c>
      <c r="F404" t="s">
        <v>2065</v>
      </c>
      <c r="G404" t="s">
        <v>9481</v>
      </c>
      <c r="H404">
        <v>42875</v>
      </c>
      <c r="I404" t="s">
        <v>423</v>
      </c>
      <c r="J404" t="s">
        <v>3204</v>
      </c>
      <c r="K404" t="s">
        <v>2183</v>
      </c>
      <c r="L404" t="s">
        <v>2184</v>
      </c>
      <c r="M404">
        <v>80</v>
      </c>
      <c r="N404">
        <v>15.7</v>
      </c>
      <c r="O404">
        <v>1772.06</v>
      </c>
      <c r="P404">
        <v>0</v>
      </c>
      <c r="Q404">
        <v>1772.06</v>
      </c>
      <c r="R404">
        <v>283.52999999999997</v>
      </c>
      <c r="S404">
        <v>70.88</v>
      </c>
      <c r="T404">
        <v>1984.71</v>
      </c>
      <c r="V404" t="s">
        <v>9408</v>
      </c>
      <c r="W404" t="s">
        <v>423</v>
      </c>
    </row>
    <row r="405" spans="1:23" hidden="1" x14ac:dyDescent="0.2">
      <c r="A405">
        <v>2012</v>
      </c>
      <c r="B405" t="s">
        <v>304</v>
      </c>
      <c r="C405" s="733">
        <v>40966</v>
      </c>
      <c r="D4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5" t="s">
        <v>485</v>
      </c>
      <c r="F405" t="s">
        <v>2065</v>
      </c>
      <c r="G405" t="s">
        <v>8787</v>
      </c>
      <c r="H405">
        <v>42579</v>
      </c>
      <c r="I405" t="s">
        <v>423</v>
      </c>
      <c r="J405" t="s">
        <v>3204</v>
      </c>
      <c r="K405" t="s">
        <v>2183</v>
      </c>
      <c r="L405" t="s">
        <v>2184</v>
      </c>
      <c r="M405">
        <v>80</v>
      </c>
      <c r="N405">
        <v>17.04</v>
      </c>
      <c r="O405">
        <v>1923.3</v>
      </c>
      <c r="P405">
        <v>0</v>
      </c>
      <c r="Q405">
        <v>1923.3</v>
      </c>
      <c r="R405">
        <v>307.73</v>
      </c>
      <c r="S405">
        <v>76.930000000000007</v>
      </c>
      <c r="T405">
        <v>2154.1</v>
      </c>
      <c r="V405" t="s">
        <v>9408</v>
      </c>
      <c r="W405" t="s">
        <v>423</v>
      </c>
    </row>
    <row r="406" spans="1:23" hidden="1" x14ac:dyDescent="0.2">
      <c r="A406">
        <v>2012</v>
      </c>
      <c r="B406" t="s">
        <v>304</v>
      </c>
      <c r="C406" s="733">
        <v>40956</v>
      </c>
      <c r="D4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6" t="s">
        <v>485</v>
      </c>
      <c r="F406" t="s">
        <v>2065</v>
      </c>
      <c r="G406" t="s">
        <v>7557</v>
      </c>
      <c r="H406">
        <v>41905</v>
      </c>
      <c r="I406" t="s">
        <v>423</v>
      </c>
      <c r="J406" t="s">
        <v>3204</v>
      </c>
      <c r="K406" t="s">
        <v>2183</v>
      </c>
      <c r="L406" t="s">
        <v>2115</v>
      </c>
      <c r="M406">
        <v>80</v>
      </c>
      <c r="N406">
        <v>49.77</v>
      </c>
      <c r="O406">
        <v>5617.54</v>
      </c>
      <c r="P406">
        <v>0</v>
      </c>
      <c r="Q406">
        <v>5617.54</v>
      </c>
      <c r="R406">
        <v>898.81</v>
      </c>
      <c r="S406">
        <v>224.7</v>
      </c>
      <c r="T406">
        <v>6291.65</v>
      </c>
      <c r="U406" t="s">
        <v>8048</v>
      </c>
      <c r="V406" t="s">
        <v>9409</v>
      </c>
      <c r="W406" t="s">
        <v>423</v>
      </c>
    </row>
    <row r="407" spans="1:23" hidden="1" x14ac:dyDescent="0.2">
      <c r="A407">
        <v>2012</v>
      </c>
      <c r="B407" t="s">
        <v>304</v>
      </c>
      <c r="C407" s="733">
        <v>40949</v>
      </c>
      <c r="D4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7" t="s">
        <v>485</v>
      </c>
      <c r="F407" t="s">
        <v>2084</v>
      </c>
      <c r="G407" t="s">
        <v>3070</v>
      </c>
      <c r="H407">
        <v>41275</v>
      </c>
      <c r="I407" t="s">
        <v>423</v>
      </c>
      <c r="J407" t="s">
        <v>2813</v>
      </c>
      <c r="K407" t="s">
        <v>2814</v>
      </c>
      <c r="L407" t="s">
        <v>2815</v>
      </c>
      <c r="M407">
        <v>365</v>
      </c>
      <c r="N407">
        <v>28.198</v>
      </c>
      <c r="O407">
        <v>7590.34</v>
      </c>
      <c r="P407">
        <v>0</v>
      </c>
      <c r="Q407">
        <v>7590.34</v>
      </c>
      <c r="R407">
        <v>834.94</v>
      </c>
      <c r="S407">
        <v>303.61</v>
      </c>
      <c r="T407">
        <v>8121.67</v>
      </c>
      <c r="U407" t="s">
        <v>7527</v>
      </c>
      <c r="V407" t="s">
        <v>9408</v>
      </c>
      <c r="W407" t="s">
        <v>423</v>
      </c>
    </row>
    <row r="408" spans="1:23" hidden="1" x14ac:dyDescent="0.2">
      <c r="A408">
        <v>2012</v>
      </c>
      <c r="B408" t="s">
        <v>303</v>
      </c>
      <c r="C408" s="733">
        <v>40926</v>
      </c>
      <c r="D4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8" t="s">
        <v>485</v>
      </c>
      <c r="F408" t="s">
        <v>2084</v>
      </c>
      <c r="G408" t="s">
        <v>3076</v>
      </c>
      <c r="H408">
        <v>40201</v>
      </c>
      <c r="I408" t="s">
        <v>423</v>
      </c>
      <c r="J408" t="s">
        <v>2813</v>
      </c>
      <c r="K408" t="s">
        <v>2814</v>
      </c>
      <c r="L408" t="s">
        <v>2815</v>
      </c>
      <c r="M408">
        <v>365</v>
      </c>
      <c r="N408">
        <v>23.876999999999999</v>
      </c>
      <c r="O408">
        <v>6427.21</v>
      </c>
      <c r="P408">
        <v>0</v>
      </c>
      <c r="Q408">
        <v>6427.21</v>
      </c>
      <c r="R408">
        <v>1028.3499999999999</v>
      </c>
      <c r="S408">
        <v>257.08999999999997</v>
      </c>
      <c r="T408">
        <v>7198.47</v>
      </c>
      <c r="U408" t="s">
        <v>2826</v>
      </c>
      <c r="V408" t="s">
        <v>9408</v>
      </c>
      <c r="W408" t="s">
        <v>423</v>
      </c>
    </row>
    <row r="409" spans="1:23" hidden="1" x14ac:dyDescent="0.2">
      <c r="A409">
        <v>2012</v>
      </c>
      <c r="B409" t="s">
        <v>304</v>
      </c>
      <c r="C409" s="733">
        <v>40953</v>
      </c>
      <c r="D4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9" t="s">
        <v>485</v>
      </c>
      <c r="F409" t="s">
        <v>2084</v>
      </c>
      <c r="G409" t="s">
        <v>3077</v>
      </c>
      <c r="H409">
        <v>41449</v>
      </c>
      <c r="I409" t="s">
        <v>423</v>
      </c>
      <c r="J409" t="s">
        <v>2813</v>
      </c>
      <c r="K409" t="s">
        <v>2814</v>
      </c>
      <c r="L409" t="s">
        <v>2815</v>
      </c>
      <c r="M409">
        <v>365</v>
      </c>
      <c r="N409">
        <v>24.472000000000001</v>
      </c>
      <c r="O409">
        <v>6587.37</v>
      </c>
      <c r="P409">
        <v>0</v>
      </c>
      <c r="Q409">
        <v>6587.37</v>
      </c>
      <c r="R409">
        <v>724.61</v>
      </c>
      <c r="S409">
        <v>263.49</v>
      </c>
      <c r="T409">
        <v>7048.49</v>
      </c>
      <c r="U409" t="s">
        <v>7527</v>
      </c>
      <c r="V409" t="s">
        <v>9408</v>
      </c>
      <c r="W409" t="s">
        <v>423</v>
      </c>
    </row>
    <row r="410" spans="1:23" hidden="1" x14ac:dyDescent="0.2">
      <c r="A410">
        <v>2012</v>
      </c>
      <c r="B410" t="s">
        <v>304</v>
      </c>
      <c r="C410" s="733">
        <v>40940</v>
      </c>
      <c r="D4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0" t="s">
        <v>485</v>
      </c>
      <c r="F410" t="s">
        <v>2084</v>
      </c>
      <c r="G410" t="s">
        <v>3085</v>
      </c>
      <c r="H410">
        <v>41140</v>
      </c>
      <c r="I410" t="s">
        <v>423</v>
      </c>
      <c r="J410" t="s">
        <v>2813</v>
      </c>
      <c r="K410" t="s">
        <v>2814</v>
      </c>
      <c r="L410" t="s">
        <v>2815</v>
      </c>
      <c r="M410">
        <v>365</v>
      </c>
      <c r="N410">
        <v>23.831</v>
      </c>
      <c r="O410">
        <v>6414.83</v>
      </c>
      <c r="P410">
        <v>0</v>
      </c>
      <c r="Q410">
        <v>6414.83</v>
      </c>
      <c r="R410">
        <v>1026.3699999999999</v>
      </c>
      <c r="S410">
        <v>256.58999999999997</v>
      </c>
      <c r="T410">
        <v>7184.61</v>
      </c>
      <c r="U410" t="s">
        <v>8522</v>
      </c>
      <c r="V410" t="s">
        <v>9408</v>
      </c>
      <c r="W410" t="s">
        <v>423</v>
      </c>
    </row>
    <row r="411" spans="1:23" hidden="1" x14ac:dyDescent="0.2">
      <c r="A411">
        <v>2012</v>
      </c>
      <c r="B411" t="s">
        <v>304</v>
      </c>
      <c r="C411" s="733">
        <v>40940</v>
      </c>
      <c r="D4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1" t="s">
        <v>485</v>
      </c>
      <c r="F411" t="s">
        <v>2084</v>
      </c>
      <c r="G411" t="s">
        <v>3082</v>
      </c>
      <c r="H411">
        <v>40801</v>
      </c>
      <c r="I411" t="s">
        <v>423</v>
      </c>
      <c r="J411" t="s">
        <v>2813</v>
      </c>
      <c r="K411" t="s">
        <v>2814</v>
      </c>
      <c r="L411" t="s">
        <v>2815</v>
      </c>
      <c r="M411">
        <v>365</v>
      </c>
      <c r="N411">
        <v>24.120999999999999</v>
      </c>
      <c r="O411">
        <v>6492.89</v>
      </c>
      <c r="P411">
        <v>0</v>
      </c>
      <c r="Q411">
        <v>6492.89</v>
      </c>
      <c r="R411">
        <v>1038.8599999999999</v>
      </c>
      <c r="S411">
        <v>259.72000000000003</v>
      </c>
      <c r="T411">
        <v>7272.03</v>
      </c>
      <c r="U411" t="s">
        <v>2826</v>
      </c>
      <c r="V411" t="s">
        <v>9408</v>
      </c>
      <c r="W411" t="s">
        <v>423</v>
      </c>
    </row>
    <row r="412" spans="1:23" hidden="1" x14ac:dyDescent="0.2">
      <c r="A412">
        <v>2012</v>
      </c>
      <c r="B412" t="s">
        <v>303</v>
      </c>
      <c r="C412" s="733">
        <v>40932</v>
      </c>
      <c r="D4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2" t="s">
        <v>485</v>
      </c>
      <c r="F412" t="s">
        <v>2084</v>
      </c>
      <c r="G412" t="s">
        <v>3071</v>
      </c>
      <c r="H412">
        <v>40363</v>
      </c>
      <c r="I412" t="s">
        <v>423</v>
      </c>
      <c r="J412" t="s">
        <v>2813</v>
      </c>
      <c r="K412" t="s">
        <v>2814</v>
      </c>
      <c r="L412" t="s">
        <v>2815</v>
      </c>
      <c r="M412">
        <v>365</v>
      </c>
      <c r="N412">
        <v>24.135999999999999</v>
      </c>
      <c r="O412">
        <v>6496.93</v>
      </c>
      <c r="P412">
        <v>0</v>
      </c>
      <c r="Q412">
        <v>6496.93</v>
      </c>
      <c r="R412">
        <v>1039.51</v>
      </c>
      <c r="S412">
        <v>259.88</v>
      </c>
      <c r="T412">
        <v>7276.56</v>
      </c>
      <c r="U412" t="s">
        <v>2826</v>
      </c>
      <c r="V412" t="s">
        <v>9408</v>
      </c>
      <c r="W412" t="s">
        <v>423</v>
      </c>
    </row>
    <row r="413" spans="1:23" x14ac:dyDescent="0.2">
      <c r="A413">
        <v>2012</v>
      </c>
      <c r="B413" t="s">
        <v>304</v>
      </c>
      <c r="C413" s="733">
        <v>40967</v>
      </c>
      <c r="D4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3" t="s">
        <v>485</v>
      </c>
      <c r="F413" t="s">
        <v>2084</v>
      </c>
      <c r="G413" t="s">
        <v>8878</v>
      </c>
      <c r="H413">
        <v>42271</v>
      </c>
      <c r="I413" t="s">
        <v>423</v>
      </c>
      <c r="J413" t="s">
        <v>2813</v>
      </c>
      <c r="K413" t="s">
        <v>2814</v>
      </c>
      <c r="L413" t="s">
        <v>2815</v>
      </c>
      <c r="M413">
        <v>365</v>
      </c>
      <c r="N413">
        <v>23.966000000000001</v>
      </c>
      <c r="O413">
        <v>6451.17</v>
      </c>
      <c r="P413">
        <v>0</v>
      </c>
      <c r="Q413">
        <v>6451.17</v>
      </c>
      <c r="R413">
        <v>709.63</v>
      </c>
      <c r="S413">
        <v>258.05</v>
      </c>
      <c r="T413">
        <v>6902.75</v>
      </c>
      <c r="U413" t="s">
        <v>8877</v>
      </c>
      <c r="V413" t="s">
        <v>9408</v>
      </c>
      <c r="W413" t="s">
        <v>423</v>
      </c>
    </row>
    <row r="414" spans="1:23" hidden="1" x14ac:dyDescent="0.2">
      <c r="A414">
        <v>2012</v>
      </c>
      <c r="B414" t="s">
        <v>303</v>
      </c>
      <c r="C414" s="733">
        <v>40938</v>
      </c>
      <c r="D4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4" t="s">
        <v>485</v>
      </c>
      <c r="F414" t="s">
        <v>2084</v>
      </c>
      <c r="G414" t="s">
        <v>3073</v>
      </c>
      <c r="H414">
        <v>40803</v>
      </c>
      <c r="I414" t="s">
        <v>423</v>
      </c>
      <c r="J414" t="s">
        <v>2813</v>
      </c>
      <c r="K414" t="s">
        <v>2814</v>
      </c>
      <c r="L414" t="s">
        <v>2815</v>
      </c>
      <c r="M414">
        <v>365</v>
      </c>
      <c r="N414">
        <v>23.881</v>
      </c>
      <c r="O414">
        <v>6428.29</v>
      </c>
      <c r="P414">
        <v>0</v>
      </c>
      <c r="Q414">
        <v>6428.29</v>
      </c>
      <c r="R414">
        <v>1028.53</v>
      </c>
      <c r="S414">
        <v>257.13</v>
      </c>
      <c r="T414">
        <v>7199.69</v>
      </c>
      <c r="U414" t="s">
        <v>2826</v>
      </c>
      <c r="V414" t="s">
        <v>9408</v>
      </c>
      <c r="W414" t="s">
        <v>423</v>
      </c>
    </row>
    <row r="415" spans="1:23" hidden="1" x14ac:dyDescent="0.2">
      <c r="A415">
        <v>2012</v>
      </c>
      <c r="B415" t="s">
        <v>303</v>
      </c>
      <c r="C415" s="733">
        <v>40932</v>
      </c>
      <c r="D4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5" t="s">
        <v>485</v>
      </c>
      <c r="F415" t="s">
        <v>2084</v>
      </c>
      <c r="G415" t="s">
        <v>3081</v>
      </c>
      <c r="H415">
        <v>40629</v>
      </c>
      <c r="I415" t="s">
        <v>423</v>
      </c>
      <c r="J415" t="s">
        <v>2813</v>
      </c>
      <c r="K415" t="s">
        <v>2814</v>
      </c>
      <c r="L415" t="s">
        <v>2815</v>
      </c>
      <c r="M415">
        <v>365</v>
      </c>
      <c r="N415">
        <v>23.966000000000001</v>
      </c>
      <c r="O415">
        <v>6451.17</v>
      </c>
      <c r="P415">
        <v>0</v>
      </c>
      <c r="Q415">
        <v>6451.17</v>
      </c>
      <c r="R415">
        <v>1032.19</v>
      </c>
      <c r="S415">
        <v>258.05</v>
      </c>
      <c r="T415">
        <v>7225.31</v>
      </c>
      <c r="U415" t="s">
        <v>8522</v>
      </c>
      <c r="V415" t="s">
        <v>9408</v>
      </c>
      <c r="W415" t="s">
        <v>423</v>
      </c>
    </row>
    <row r="416" spans="1:23" hidden="1" x14ac:dyDescent="0.2">
      <c r="A416">
        <v>2012</v>
      </c>
      <c r="B416" t="s">
        <v>304</v>
      </c>
      <c r="C416" s="733">
        <v>40953</v>
      </c>
      <c r="D4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6" t="s">
        <v>485</v>
      </c>
      <c r="F416" t="s">
        <v>2084</v>
      </c>
      <c r="G416" t="s">
        <v>3066</v>
      </c>
      <c r="H416">
        <v>41754</v>
      </c>
      <c r="I416" t="s">
        <v>423</v>
      </c>
      <c r="J416" t="s">
        <v>2813</v>
      </c>
      <c r="K416" t="s">
        <v>2814</v>
      </c>
      <c r="L416" t="s">
        <v>2815</v>
      </c>
      <c r="M416">
        <v>365</v>
      </c>
      <c r="N416">
        <v>24.481000000000002</v>
      </c>
      <c r="O416">
        <v>6589.8</v>
      </c>
      <c r="P416">
        <v>0</v>
      </c>
      <c r="Q416">
        <v>6589.8</v>
      </c>
      <c r="R416">
        <v>724.88</v>
      </c>
      <c r="S416">
        <v>263.58999999999997</v>
      </c>
      <c r="T416">
        <v>7051.09</v>
      </c>
      <c r="U416" t="s">
        <v>8877</v>
      </c>
      <c r="V416" t="s">
        <v>9408</v>
      </c>
      <c r="W416" t="s">
        <v>423</v>
      </c>
    </row>
    <row r="417" spans="1:23" hidden="1" x14ac:dyDescent="0.2">
      <c r="A417">
        <v>2012</v>
      </c>
      <c r="B417" t="s">
        <v>304</v>
      </c>
      <c r="C417" s="733">
        <v>40953</v>
      </c>
      <c r="D4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7" t="s">
        <v>485</v>
      </c>
      <c r="F417" t="s">
        <v>2084</v>
      </c>
      <c r="G417" t="s">
        <v>3075</v>
      </c>
      <c r="H417">
        <v>41560</v>
      </c>
      <c r="I417" t="s">
        <v>423</v>
      </c>
      <c r="J417" t="s">
        <v>2813</v>
      </c>
      <c r="K417" t="s">
        <v>2814</v>
      </c>
      <c r="L417" t="s">
        <v>2815</v>
      </c>
      <c r="M417">
        <v>365</v>
      </c>
      <c r="N417">
        <v>23.673999999999999</v>
      </c>
      <c r="O417">
        <v>6372.57</v>
      </c>
      <c r="P417">
        <v>0</v>
      </c>
      <c r="Q417">
        <v>6372.57</v>
      </c>
      <c r="R417">
        <v>700.98</v>
      </c>
      <c r="S417">
        <v>254.9</v>
      </c>
      <c r="T417">
        <v>6818.65</v>
      </c>
      <c r="U417" t="s">
        <v>7527</v>
      </c>
      <c r="V417" t="s">
        <v>9408</v>
      </c>
      <c r="W417" t="s">
        <v>423</v>
      </c>
    </row>
    <row r="418" spans="1:23" hidden="1" x14ac:dyDescent="0.2">
      <c r="A418">
        <v>2012</v>
      </c>
      <c r="B418" t="s">
        <v>303</v>
      </c>
      <c r="C418" s="733">
        <v>40932</v>
      </c>
      <c r="D4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8" t="s">
        <v>485</v>
      </c>
      <c r="F418" t="s">
        <v>2084</v>
      </c>
      <c r="G418" t="s">
        <v>3074</v>
      </c>
      <c r="H418">
        <v>40695</v>
      </c>
      <c r="I418" t="s">
        <v>423</v>
      </c>
      <c r="J418" t="s">
        <v>2813</v>
      </c>
      <c r="K418" t="s">
        <v>2814</v>
      </c>
      <c r="L418" t="s">
        <v>2815</v>
      </c>
      <c r="M418">
        <v>365</v>
      </c>
      <c r="N418">
        <v>23.788</v>
      </c>
      <c r="O418">
        <v>6403.25</v>
      </c>
      <c r="P418">
        <v>0</v>
      </c>
      <c r="Q418">
        <v>6403.25</v>
      </c>
      <c r="R418">
        <v>1024.52</v>
      </c>
      <c r="S418">
        <v>256.13</v>
      </c>
      <c r="T418">
        <v>7171.64</v>
      </c>
      <c r="U418" t="s">
        <v>8522</v>
      </c>
      <c r="V418" t="s">
        <v>9408</v>
      </c>
      <c r="W418" t="s">
        <v>423</v>
      </c>
    </row>
    <row r="419" spans="1:23" hidden="1" x14ac:dyDescent="0.2">
      <c r="A419">
        <v>2012</v>
      </c>
      <c r="B419" t="s">
        <v>303</v>
      </c>
      <c r="C419" s="733">
        <v>40912</v>
      </c>
      <c r="D4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9" t="s">
        <v>485</v>
      </c>
      <c r="F419" t="s">
        <v>2084</v>
      </c>
      <c r="G419" t="s">
        <v>3068</v>
      </c>
      <c r="H419">
        <v>39677</v>
      </c>
      <c r="I419" t="s">
        <v>423</v>
      </c>
      <c r="J419" t="s">
        <v>2813</v>
      </c>
      <c r="K419" t="s">
        <v>2814</v>
      </c>
      <c r="L419" t="s">
        <v>2815</v>
      </c>
      <c r="M419">
        <v>365</v>
      </c>
      <c r="N419">
        <v>23.88</v>
      </c>
      <c r="O419">
        <v>2706.32</v>
      </c>
      <c r="P419">
        <v>3047.0186250000002</v>
      </c>
      <c r="Q419">
        <v>5753.3386250000003</v>
      </c>
      <c r="R419">
        <v>920.53417999999999</v>
      </c>
      <c r="S419">
        <v>230.133545</v>
      </c>
      <c r="T419">
        <v>6443.7392600000003</v>
      </c>
      <c r="U419" t="s">
        <v>2846</v>
      </c>
      <c r="V419" t="s">
        <v>9408</v>
      </c>
      <c r="W419" t="s">
        <v>423</v>
      </c>
    </row>
    <row r="420" spans="1:23" hidden="1" x14ac:dyDescent="0.2">
      <c r="A420">
        <v>2012</v>
      </c>
      <c r="B420" t="s">
        <v>303</v>
      </c>
      <c r="C420" s="733">
        <v>40932</v>
      </c>
      <c r="D4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0" t="s">
        <v>485</v>
      </c>
      <c r="F420" t="s">
        <v>2084</v>
      </c>
      <c r="G420" t="s">
        <v>3069</v>
      </c>
      <c r="H420">
        <v>40440</v>
      </c>
      <c r="I420" t="s">
        <v>423</v>
      </c>
      <c r="J420" t="s">
        <v>2813</v>
      </c>
      <c r="K420" t="s">
        <v>2814</v>
      </c>
      <c r="L420" t="s">
        <v>2815</v>
      </c>
      <c r="M420">
        <v>365</v>
      </c>
      <c r="N420">
        <v>24.042999999999999</v>
      </c>
      <c r="O420">
        <v>6471.89</v>
      </c>
      <c r="P420">
        <v>0</v>
      </c>
      <c r="Q420">
        <v>6471.89</v>
      </c>
      <c r="R420">
        <v>1035.5</v>
      </c>
      <c r="S420">
        <v>258.88</v>
      </c>
      <c r="T420">
        <v>7248.51</v>
      </c>
      <c r="U420" t="s">
        <v>2826</v>
      </c>
      <c r="V420" t="s">
        <v>9408</v>
      </c>
      <c r="W420" t="s">
        <v>423</v>
      </c>
    </row>
    <row r="421" spans="1:23" hidden="1" x14ac:dyDescent="0.2">
      <c r="A421">
        <v>2012</v>
      </c>
      <c r="B421" t="s">
        <v>303</v>
      </c>
      <c r="C421" s="733">
        <v>40938</v>
      </c>
      <c r="D4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1" t="s">
        <v>485</v>
      </c>
      <c r="F421" t="s">
        <v>2084</v>
      </c>
      <c r="G421" t="s">
        <v>3067</v>
      </c>
      <c r="H421">
        <v>39853</v>
      </c>
      <c r="I421" t="s">
        <v>423</v>
      </c>
      <c r="J421" t="s">
        <v>2813</v>
      </c>
      <c r="K421" t="s">
        <v>2814</v>
      </c>
      <c r="L421" t="s">
        <v>2815</v>
      </c>
      <c r="M421">
        <v>365</v>
      </c>
      <c r="N421">
        <v>24.309000000000001</v>
      </c>
      <c r="O421">
        <v>6543.5</v>
      </c>
      <c r="P421">
        <v>0</v>
      </c>
      <c r="Q421">
        <v>6543.5</v>
      </c>
      <c r="R421">
        <v>1046.96</v>
      </c>
      <c r="S421">
        <v>261.74</v>
      </c>
      <c r="T421">
        <v>7328.72</v>
      </c>
      <c r="U421" t="s">
        <v>2826</v>
      </c>
      <c r="V421" t="s">
        <v>9408</v>
      </c>
      <c r="W421" t="s">
        <v>423</v>
      </c>
    </row>
    <row r="422" spans="1:23" x14ac:dyDescent="0.2">
      <c r="A422">
        <v>2012</v>
      </c>
      <c r="B422" t="s">
        <v>304</v>
      </c>
      <c r="C422" s="733">
        <v>40967</v>
      </c>
      <c r="D4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2" t="s">
        <v>485</v>
      </c>
      <c r="F422" t="s">
        <v>2084</v>
      </c>
      <c r="G422" t="s">
        <v>8879</v>
      </c>
      <c r="H422">
        <v>42205</v>
      </c>
      <c r="I422" t="s">
        <v>423</v>
      </c>
      <c r="J422" t="s">
        <v>2813</v>
      </c>
      <c r="K422" t="s">
        <v>2814</v>
      </c>
      <c r="L422" t="s">
        <v>2815</v>
      </c>
      <c r="M422">
        <v>365</v>
      </c>
      <c r="N422">
        <v>23.852</v>
      </c>
      <c r="O422">
        <v>6420.48</v>
      </c>
      <c r="P422">
        <v>0</v>
      </c>
      <c r="Q422">
        <v>6420.48</v>
      </c>
      <c r="R422">
        <v>706.25</v>
      </c>
      <c r="S422">
        <v>256.82</v>
      </c>
      <c r="T422">
        <v>6869.91</v>
      </c>
      <c r="U422" t="s">
        <v>8877</v>
      </c>
      <c r="V422" t="s">
        <v>9408</v>
      </c>
      <c r="W422" t="s">
        <v>423</v>
      </c>
    </row>
    <row r="423" spans="1:23" hidden="1" x14ac:dyDescent="0.2">
      <c r="A423">
        <v>2012</v>
      </c>
      <c r="B423" t="s">
        <v>304</v>
      </c>
      <c r="C423" s="733">
        <v>40966</v>
      </c>
      <c r="D4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3" t="s">
        <v>485</v>
      </c>
      <c r="F423" t="s">
        <v>2065</v>
      </c>
      <c r="G423" t="s">
        <v>8815</v>
      </c>
      <c r="H423">
        <v>42656</v>
      </c>
      <c r="I423" t="s">
        <v>423</v>
      </c>
      <c r="J423" t="s">
        <v>5260</v>
      </c>
      <c r="K423" t="s">
        <v>2102</v>
      </c>
      <c r="L423" t="s">
        <v>2115</v>
      </c>
      <c r="M423">
        <v>832</v>
      </c>
      <c r="N423">
        <v>27.18</v>
      </c>
      <c r="O423">
        <v>13562</v>
      </c>
      <c r="P423">
        <v>0</v>
      </c>
      <c r="Q423">
        <v>13562</v>
      </c>
      <c r="R423">
        <v>2169.92</v>
      </c>
      <c r="S423">
        <v>542.48</v>
      </c>
      <c r="T423">
        <v>15189.44</v>
      </c>
      <c r="V423" t="s">
        <v>9408</v>
      </c>
      <c r="W423" t="s">
        <v>423</v>
      </c>
    </row>
    <row r="424" spans="1:23" x14ac:dyDescent="0.2">
      <c r="A424">
        <v>2012</v>
      </c>
      <c r="B424" t="s">
        <v>304</v>
      </c>
      <c r="C424" s="733">
        <v>40967</v>
      </c>
      <c r="D4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4" t="s">
        <v>485</v>
      </c>
      <c r="F424" t="s">
        <v>2065</v>
      </c>
      <c r="G424" t="s">
        <v>9142</v>
      </c>
      <c r="H424">
        <v>42680</v>
      </c>
      <c r="I424" t="s">
        <v>423</v>
      </c>
      <c r="J424" t="s">
        <v>5260</v>
      </c>
      <c r="K424" t="s">
        <v>2102</v>
      </c>
      <c r="L424" t="s">
        <v>2115</v>
      </c>
      <c r="M424">
        <v>832</v>
      </c>
      <c r="N424">
        <v>27.06</v>
      </c>
      <c r="O424">
        <v>13502.13</v>
      </c>
      <c r="P424">
        <v>0</v>
      </c>
      <c r="Q424">
        <v>13502.13</v>
      </c>
      <c r="R424">
        <v>2160.34</v>
      </c>
      <c r="S424">
        <v>540.09</v>
      </c>
      <c r="T424">
        <v>15122.38</v>
      </c>
      <c r="V424" t="s">
        <v>9408</v>
      </c>
      <c r="W424" t="s">
        <v>423</v>
      </c>
    </row>
    <row r="425" spans="1:23" x14ac:dyDescent="0.2">
      <c r="A425">
        <v>2012</v>
      </c>
      <c r="B425" t="s">
        <v>304</v>
      </c>
      <c r="C425" s="733">
        <v>40967</v>
      </c>
      <c r="D4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5" t="s">
        <v>485</v>
      </c>
      <c r="F425" t="s">
        <v>2065</v>
      </c>
      <c r="G425" t="s">
        <v>8881</v>
      </c>
      <c r="H425">
        <v>42770</v>
      </c>
      <c r="I425" t="s">
        <v>423</v>
      </c>
      <c r="J425" t="s">
        <v>5260</v>
      </c>
      <c r="K425" t="s">
        <v>2102</v>
      </c>
      <c r="L425" t="s">
        <v>2115</v>
      </c>
      <c r="M425">
        <v>832</v>
      </c>
      <c r="N425">
        <v>51.02</v>
      </c>
      <c r="O425">
        <v>25457.45</v>
      </c>
      <c r="P425">
        <v>0</v>
      </c>
      <c r="Q425">
        <v>25457.45</v>
      </c>
      <c r="R425">
        <v>4073.19</v>
      </c>
      <c r="S425">
        <v>1018.3</v>
      </c>
      <c r="T425">
        <v>28512.34</v>
      </c>
      <c r="V425" t="s">
        <v>9409</v>
      </c>
      <c r="W425" t="s">
        <v>423</v>
      </c>
    </row>
    <row r="426" spans="1:23" x14ac:dyDescent="0.2">
      <c r="A426">
        <v>2012</v>
      </c>
      <c r="B426" t="s">
        <v>304</v>
      </c>
      <c r="C426" s="733">
        <v>40967</v>
      </c>
      <c r="D4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6" t="s">
        <v>485</v>
      </c>
      <c r="F426" t="s">
        <v>2084</v>
      </c>
      <c r="G426" t="s">
        <v>8876</v>
      </c>
      <c r="H426">
        <v>42268</v>
      </c>
      <c r="I426" t="s">
        <v>423</v>
      </c>
      <c r="J426" t="s">
        <v>2813</v>
      </c>
      <c r="K426" t="s">
        <v>2814</v>
      </c>
      <c r="L426" t="s">
        <v>2815</v>
      </c>
      <c r="M426">
        <v>365</v>
      </c>
      <c r="N426">
        <v>24.065000000000001</v>
      </c>
      <c r="O426">
        <v>6477.82</v>
      </c>
      <c r="P426">
        <v>0</v>
      </c>
      <c r="Q426">
        <v>6477.82</v>
      </c>
      <c r="R426">
        <v>712.56</v>
      </c>
      <c r="S426">
        <v>259.11</v>
      </c>
      <c r="T426">
        <v>6931.27</v>
      </c>
      <c r="U426" t="s">
        <v>8877</v>
      </c>
      <c r="V426" t="s">
        <v>9408</v>
      </c>
      <c r="W426" t="s">
        <v>423</v>
      </c>
    </row>
    <row r="427" spans="1:23" hidden="1" x14ac:dyDescent="0.2">
      <c r="A427">
        <v>2012</v>
      </c>
      <c r="B427" t="s">
        <v>303</v>
      </c>
      <c r="C427" s="733">
        <v>40932</v>
      </c>
      <c r="D4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7" t="s">
        <v>485</v>
      </c>
      <c r="F427" t="s">
        <v>2084</v>
      </c>
      <c r="G427" t="s">
        <v>3065</v>
      </c>
      <c r="H427">
        <v>40453</v>
      </c>
      <c r="I427" t="s">
        <v>423</v>
      </c>
      <c r="J427" t="s">
        <v>2813</v>
      </c>
      <c r="K427" t="s">
        <v>2814</v>
      </c>
      <c r="L427" t="s">
        <v>2815</v>
      </c>
      <c r="M427">
        <v>365</v>
      </c>
      <c r="N427">
        <v>23.466999999999999</v>
      </c>
      <c r="O427">
        <v>6316.85</v>
      </c>
      <c r="P427">
        <v>0</v>
      </c>
      <c r="Q427">
        <v>6316.85</v>
      </c>
      <c r="R427">
        <v>1010.7</v>
      </c>
      <c r="S427">
        <v>252.67</v>
      </c>
      <c r="T427">
        <v>7074.88</v>
      </c>
      <c r="U427" t="s">
        <v>8522</v>
      </c>
      <c r="V427" t="s">
        <v>9408</v>
      </c>
      <c r="W427" t="s">
        <v>423</v>
      </c>
    </row>
    <row r="428" spans="1:23" x14ac:dyDescent="0.2">
      <c r="A428">
        <v>2012</v>
      </c>
      <c r="B428" t="s">
        <v>304</v>
      </c>
      <c r="C428" s="733">
        <v>40967</v>
      </c>
      <c r="D4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8" t="s">
        <v>485</v>
      </c>
      <c r="F428" t="s">
        <v>2065</v>
      </c>
      <c r="G428" t="s">
        <v>8880</v>
      </c>
      <c r="H428">
        <v>42557</v>
      </c>
      <c r="I428" t="s">
        <v>423</v>
      </c>
      <c r="J428" t="s">
        <v>2813</v>
      </c>
      <c r="K428" t="s">
        <v>2814</v>
      </c>
      <c r="L428" t="s">
        <v>2815</v>
      </c>
      <c r="M428">
        <v>365</v>
      </c>
      <c r="N428">
        <v>23.887</v>
      </c>
      <c r="O428">
        <v>6429.9</v>
      </c>
      <c r="P428">
        <v>0</v>
      </c>
      <c r="Q428">
        <v>6429.9</v>
      </c>
      <c r="R428">
        <v>707.29</v>
      </c>
      <c r="S428">
        <v>257.2</v>
      </c>
      <c r="T428">
        <v>6879.99</v>
      </c>
      <c r="V428" t="s">
        <v>9408</v>
      </c>
      <c r="W428" t="s">
        <v>423</v>
      </c>
    </row>
    <row r="429" spans="1:23" hidden="1" x14ac:dyDescent="0.2">
      <c r="A429">
        <v>2012</v>
      </c>
      <c r="B429" t="s">
        <v>303</v>
      </c>
      <c r="C429" s="733">
        <v>40938</v>
      </c>
      <c r="D4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9" t="s">
        <v>485</v>
      </c>
      <c r="F429" t="s">
        <v>2084</v>
      </c>
      <c r="G429" t="s">
        <v>3072</v>
      </c>
      <c r="H429">
        <v>40627</v>
      </c>
      <c r="I429" t="s">
        <v>423</v>
      </c>
      <c r="J429" t="s">
        <v>2813</v>
      </c>
      <c r="K429" t="s">
        <v>2814</v>
      </c>
      <c r="L429" t="s">
        <v>2815</v>
      </c>
      <c r="M429">
        <v>365</v>
      </c>
      <c r="N429">
        <v>24.029</v>
      </c>
      <c r="O429">
        <v>6468.13</v>
      </c>
      <c r="P429">
        <v>0</v>
      </c>
      <c r="Q429">
        <v>6468.13</v>
      </c>
      <c r="R429">
        <v>1034.9000000000001</v>
      </c>
      <c r="S429">
        <v>258.73</v>
      </c>
      <c r="T429">
        <v>7244.3</v>
      </c>
      <c r="U429" t="s">
        <v>2826</v>
      </c>
      <c r="V429" t="s">
        <v>9408</v>
      </c>
      <c r="W429" t="s">
        <v>423</v>
      </c>
    </row>
    <row r="430" spans="1:23" hidden="1" x14ac:dyDescent="0.2">
      <c r="A430">
        <v>2012</v>
      </c>
      <c r="B430" t="s">
        <v>303</v>
      </c>
      <c r="C430" s="733">
        <v>40926</v>
      </c>
      <c r="D4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0" t="s">
        <v>485</v>
      </c>
      <c r="F430" t="s">
        <v>2065</v>
      </c>
      <c r="G430" t="s">
        <v>3080</v>
      </c>
      <c r="H430">
        <v>40208</v>
      </c>
      <c r="I430" t="s">
        <v>423</v>
      </c>
      <c r="J430" t="s">
        <v>2813</v>
      </c>
      <c r="K430" t="s">
        <v>2814</v>
      </c>
      <c r="L430" t="s">
        <v>2815</v>
      </c>
      <c r="M430">
        <v>365</v>
      </c>
      <c r="N430">
        <v>23.834</v>
      </c>
      <c r="O430">
        <v>6415.64</v>
      </c>
      <c r="P430">
        <v>0</v>
      </c>
      <c r="Q430">
        <v>6415.64</v>
      </c>
      <c r="R430">
        <v>1026.5</v>
      </c>
      <c r="S430">
        <v>256.63</v>
      </c>
      <c r="T430">
        <v>7185.51</v>
      </c>
      <c r="U430" t="s">
        <v>2824</v>
      </c>
      <c r="V430" t="s">
        <v>9408</v>
      </c>
      <c r="W430" t="s">
        <v>423</v>
      </c>
    </row>
    <row r="431" spans="1:23" hidden="1" x14ac:dyDescent="0.2">
      <c r="A431">
        <v>2012</v>
      </c>
      <c r="B431" t="s">
        <v>304</v>
      </c>
      <c r="C431" s="733">
        <v>40953</v>
      </c>
      <c r="D4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1" t="s">
        <v>485</v>
      </c>
      <c r="F431" t="s">
        <v>2065</v>
      </c>
      <c r="G431" t="s">
        <v>3078</v>
      </c>
      <c r="H431">
        <v>41452</v>
      </c>
      <c r="I431" t="s">
        <v>423</v>
      </c>
      <c r="J431" t="s">
        <v>2813</v>
      </c>
      <c r="K431" t="s">
        <v>2814</v>
      </c>
      <c r="L431" t="s">
        <v>2815</v>
      </c>
      <c r="M431">
        <v>365</v>
      </c>
      <c r="N431">
        <v>24.052</v>
      </c>
      <c r="O431">
        <v>6474.32</v>
      </c>
      <c r="P431">
        <v>0</v>
      </c>
      <c r="Q431">
        <v>6474.32</v>
      </c>
      <c r="R431">
        <v>712.17</v>
      </c>
      <c r="S431">
        <v>258.97000000000003</v>
      </c>
      <c r="T431">
        <v>6927.52</v>
      </c>
      <c r="U431" t="s">
        <v>7527</v>
      </c>
      <c r="V431" t="s">
        <v>9408</v>
      </c>
      <c r="W431" t="s">
        <v>423</v>
      </c>
    </row>
    <row r="432" spans="1:23" hidden="1" x14ac:dyDescent="0.2">
      <c r="A432">
        <v>2012</v>
      </c>
      <c r="B432" t="s">
        <v>303</v>
      </c>
      <c r="C432" s="733">
        <v>40932</v>
      </c>
      <c r="D4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2" t="s">
        <v>485</v>
      </c>
      <c r="F432" t="s">
        <v>2065</v>
      </c>
      <c r="G432" t="s">
        <v>3079</v>
      </c>
      <c r="H432">
        <v>40444</v>
      </c>
      <c r="I432" t="s">
        <v>423</v>
      </c>
      <c r="J432" t="s">
        <v>2813</v>
      </c>
      <c r="K432" t="s">
        <v>2814</v>
      </c>
      <c r="L432" t="s">
        <v>2815</v>
      </c>
      <c r="M432">
        <v>365</v>
      </c>
      <c r="N432">
        <v>24.125</v>
      </c>
      <c r="O432">
        <v>6493.97</v>
      </c>
      <c r="P432">
        <v>0</v>
      </c>
      <c r="Q432">
        <v>6493.97</v>
      </c>
      <c r="R432">
        <v>1039.03</v>
      </c>
      <c r="S432">
        <v>259.76</v>
      </c>
      <c r="T432">
        <v>7273.24</v>
      </c>
      <c r="U432" t="s">
        <v>2826</v>
      </c>
      <c r="V432" t="s">
        <v>9408</v>
      </c>
      <c r="W432" t="s">
        <v>423</v>
      </c>
    </row>
    <row r="433" spans="1:23" hidden="1" x14ac:dyDescent="0.2">
      <c r="A433">
        <v>2012</v>
      </c>
      <c r="B433" t="s">
        <v>304</v>
      </c>
      <c r="C433" s="733">
        <v>40961</v>
      </c>
      <c r="D4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3" t="s">
        <v>505</v>
      </c>
      <c r="F433" t="s">
        <v>1915</v>
      </c>
      <c r="G433" t="s">
        <v>8336</v>
      </c>
      <c r="H433">
        <v>22925</v>
      </c>
      <c r="I433" t="s">
        <v>424</v>
      </c>
      <c r="J433" t="s">
        <v>1917</v>
      </c>
      <c r="K433" t="s">
        <v>1918</v>
      </c>
      <c r="L433" t="s">
        <v>1919</v>
      </c>
      <c r="M433">
        <v>267</v>
      </c>
      <c r="N433">
        <v>30</v>
      </c>
      <c r="O433">
        <v>4613.7</v>
      </c>
      <c r="P433">
        <v>0</v>
      </c>
      <c r="Q433">
        <v>4613.7</v>
      </c>
      <c r="R433">
        <v>738.19</v>
      </c>
      <c r="S433">
        <v>184.55</v>
      </c>
      <c r="T433">
        <v>5167.34</v>
      </c>
      <c r="U433" t="s">
        <v>8491</v>
      </c>
      <c r="V433" t="s">
        <v>9408</v>
      </c>
      <c r="W433" t="s">
        <v>424</v>
      </c>
    </row>
    <row r="434" spans="1:23" hidden="1" x14ac:dyDescent="0.2">
      <c r="A434">
        <v>2012</v>
      </c>
      <c r="B434" t="s">
        <v>304</v>
      </c>
      <c r="C434" s="733">
        <v>40940</v>
      </c>
      <c r="D4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4" t="s">
        <v>505</v>
      </c>
      <c r="F434" t="s">
        <v>1915</v>
      </c>
      <c r="G434" t="s">
        <v>3834</v>
      </c>
      <c r="H434">
        <v>22389</v>
      </c>
      <c r="I434" t="s">
        <v>424</v>
      </c>
      <c r="J434" t="s">
        <v>1917</v>
      </c>
      <c r="K434" t="s">
        <v>1918</v>
      </c>
      <c r="L434" t="s">
        <v>1919</v>
      </c>
      <c r="M434">
        <v>267</v>
      </c>
      <c r="N434">
        <v>30</v>
      </c>
      <c r="O434">
        <v>2929.97</v>
      </c>
      <c r="P434">
        <v>1683.8244589999999</v>
      </c>
      <c r="Q434">
        <v>4613.7944589999997</v>
      </c>
      <c r="R434">
        <v>738.20711300000005</v>
      </c>
      <c r="S434">
        <v>184.55177800000001</v>
      </c>
      <c r="T434">
        <v>5167.4497940000001</v>
      </c>
      <c r="U434" t="s">
        <v>1926</v>
      </c>
      <c r="V434" t="s">
        <v>9408</v>
      </c>
      <c r="W434" t="s">
        <v>424</v>
      </c>
    </row>
    <row r="435" spans="1:23" hidden="1" x14ac:dyDescent="0.2">
      <c r="A435">
        <v>2012</v>
      </c>
      <c r="B435" t="s">
        <v>304</v>
      </c>
      <c r="C435" s="733">
        <v>40953</v>
      </c>
      <c r="D4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5" t="s">
        <v>485</v>
      </c>
      <c r="F435" t="s">
        <v>2065</v>
      </c>
      <c r="G435" t="s">
        <v>4442</v>
      </c>
      <c r="H435">
        <v>41894</v>
      </c>
      <c r="I435" t="s">
        <v>423</v>
      </c>
      <c r="J435" t="s">
        <v>3147</v>
      </c>
      <c r="K435" t="s">
        <v>2183</v>
      </c>
      <c r="L435" t="s">
        <v>2184</v>
      </c>
      <c r="M435">
        <v>528</v>
      </c>
      <c r="N435">
        <v>27.78</v>
      </c>
      <c r="O435">
        <v>8600.69</v>
      </c>
      <c r="P435">
        <v>0</v>
      </c>
      <c r="Q435">
        <v>8600.69</v>
      </c>
      <c r="R435">
        <v>1376.11</v>
      </c>
      <c r="S435">
        <v>344.03</v>
      </c>
      <c r="T435">
        <v>9632.77</v>
      </c>
      <c r="U435" t="s">
        <v>8048</v>
      </c>
      <c r="V435" t="s">
        <v>9408</v>
      </c>
      <c r="W435" t="s">
        <v>423</v>
      </c>
    </row>
    <row r="436" spans="1:23" hidden="1" x14ac:dyDescent="0.2">
      <c r="A436">
        <v>2012</v>
      </c>
      <c r="B436" t="s">
        <v>303</v>
      </c>
      <c r="C436" s="733">
        <v>40921</v>
      </c>
      <c r="D4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6" t="s">
        <v>485</v>
      </c>
      <c r="F436" t="s">
        <v>2065</v>
      </c>
      <c r="G436" t="s">
        <v>4301</v>
      </c>
      <c r="H436">
        <v>40229</v>
      </c>
      <c r="I436" t="s">
        <v>423</v>
      </c>
      <c r="J436" t="s">
        <v>2182</v>
      </c>
      <c r="K436" t="s">
        <v>2183</v>
      </c>
      <c r="L436" t="s">
        <v>2184</v>
      </c>
      <c r="M436">
        <v>62</v>
      </c>
      <c r="N436">
        <v>15.06</v>
      </c>
      <c r="O436">
        <v>2230.9899999999998</v>
      </c>
      <c r="P436">
        <v>0</v>
      </c>
      <c r="Q436">
        <v>2230.9899999999998</v>
      </c>
      <c r="R436">
        <v>356.96</v>
      </c>
      <c r="S436">
        <v>89.24</v>
      </c>
      <c r="T436">
        <v>2498.71</v>
      </c>
      <c r="U436" t="s">
        <v>7520</v>
      </c>
      <c r="V436" t="s">
        <v>9408</v>
      </c>
      <c r="W436" t="s">
        <v>423</v>
      </c>
    </row>
    <row r="437" spans="1:23" hidden="1" x14ac:dyDescent="0.2">
      <c r="A437">
        <v>2012</v>
      </c>
      <c r="B437" t="s">
        <v>304</v>
      </c>
      <c r="C437" s="733">
        <v>40952</v>
      </c>
      <c r="D4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7" t="s">
        <v>485</v>
      </c>
      <c r="F437" t="s">
        <v>2065</v>
      </c>
      <c r="G437" t="s">
        <v>2911</v>
      </c>
      <c r="H437">
        <v>41711</v>
      </c>
      <c r="I437" t="s">
        <v>424</v>
      </c>
      <c r="J437" t="s">
        <v>2114</v>
      </c>
      <c r="K437" t="s">
        <v>2102</v>
      </c>
      <c r="L437" t="s">
        <v>2115</v>
      </c>
      <c r="M437">
        <v>500</v>
      </c>
      <c r="N437">
        <v>54</v>
      </c>
      <c r="O437">
        <v>10009.44</v>
      </c>
      <c r="P437">
        <v>0</v>
      </c>
      <c r="Q437">
        <v>10009.44</v>
      </c>
      <c r="R437">
        <v>1601.51</v>
      </c>
      <c r="S437">
        <v>400.38</v>
      </c>
      <c r="T437">
        <v>11210.57</v>
      </c>
      <c r="U437" t="s">
        <v>8871</v>
      </c>
      <c r="V437" t="s">
        <v>9409</v>
      </c>
      <c r="W437" t="s">
        <v>424</v>
      </c>
    </row>
    <row r="438" spans="1:23" hidden="1" x14ac:dyDescent="0.2">
      <c r="A438">
        <v>2012</v>
      </c>
      <c r="B438" t="s">
        <v>304</v>
      </c>
      <c r="C438" s="733">
        <v>40948</v>
      </c>
      <c r="D4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8" t="s">
        <v>485</v>
      </c>
      <c r="F438" t="s">
        <v>2065</v>
      </c>
      <c r="G438" t="s">
        <v>2916</v>
      </c>
      <c r="H438">
        <v>41607</v>
      </c>
      <c r="I438" t="s">
        <v>424</v>
      </c>
      <c r="J438" t="s">
        <v>2135</v>
      </c>
      <c r="K438" t="s">
        <v>2102</v>
      </c>
      <c r="L438" t="s">
        <v>2115</v>
      </c>
      <c r="M438">
        <v>494</v>
      </c>
      <c r="N438">
        <v>54.030999999999999</v>
      </c>
      <c r="O438">
        <v>11382.17</v>
      </c>
      <c r="P438">
        <v>0</v>
      </c>
      <c r="Q438">
        <v>11382.17</v>
      </c>
      <c r="R438">
        <v>1821.15</v>
      </c>
      <c r="S438">
        <v>455.29</v>
      </c>
      <c r="T438">
        <v>12748.03</v>
      </c>
      <c r="U438" t="s">
        <v>7461</v>
      </c>
      <c r="V438" t="s">
        <v>9409</v>
      </c>
      <c r="W438" t="s">
        <v>424</v>
      </c>
    </row>
    <row r="439" spans="1:23" hidden="1" x14ac:dyDescent="0.2">
      <c r="A439">
        <v>2012</v>
      </c>
      <c r="B439" t="s">
        <v>303</v>
      </c>
      <c r="C439" s="733">
        <v>40935</v>
      </c>
      <c r="D4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9" t="s">
        <v>485</v>
      </c>
      <c r="F439" t="s">
        <v>2065</v>
      </c>
      <c r="G439" t="s">
        <v>2919</v>
      </c>
      <c r="H439">
        <v>40922</v>
      </c>
      <c r="I439" t="s">
        <v>424</v>
      </c>
      <c r="J439" t="s">
        <v>2114</v>
      </c>
      <c r="K439" t="s">
        <v>2102</v>
      </c>
      <c r="L439" t="s">
        <v>2115</v>
      </c>
      <c r="M439">
        <v>500</v>
      </c>
      <c r="N439">
        <v>54</v>
      </c>
      <c r="O439">
        <v>10009.44</v>
      </c>
      <c r="P439">
        <v>0</v>
      </c>
      <c r="Q439">
        <v>10009.44</v>
      </c>
      <c r="R439">
        <v>1601.51</v>
      </c>
      <c r="S439">
        <v>400.38</v>
      </c>
      <c r="T439">
        <v>11210.57</v>
      </c>
      <c r="U439" t="s">
        <v>2116</v>
      </c>
      <c r="V439" t="s">
        <v>9409</v>
      </c>
      <c r="W439" t="s">
        <v>424</v>
      </c>
    </row>
    <row r="440" spans="1:23" hidden="1" x14ac:dyDescent="0.2">
      <c r="A440">
        <v>2012</v>
      </c>
      <c r="B440" t="s">
        <v>303</v>
      </c>
      <c r="C440" s="733">
        <v>40939</v>
      </c>
      <c r="D4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0" t="s">
        <v>485</v>
      </c>
      <c r="F440" t="s">
        <v>2065</v>
      </c>
      <c r="G440" t="s">
        <v>4319</v>
      </c>
      <c r="H440">
        <v>41158</v>
      </c>
      <c r="I440" t="s">
        <v>423</v>
      </c>
      <c r="J440" t="s">
        <v>3204</v>
      </c>
      <c r="K440" t="s">
        <v>2183</v>
      </c>
      <c r="L440" t="s">
        <v>2184</v>
      </c>
      <c r="M440">
        <v>80</v>
      </c>
      <c r="N440">
        <v>51.26</v>
      </c>
      <c r="O440">
        <v>5785.72</v>
      </c>
      <c r="P440">
        <v>0</v>
      </c>
      <c r="Q440">
        <v>5785.72</v>
      </c>
      <c r="R440">
        <v>925.71</v>
      </c>
      <c r="S440">
        <v>231.43</v>
      </c>
      <c r="T440">
        <v>6480</v>
      </c>
      <c r="U440" t="s">
        <v>2192</v>
      </c>
      <c r="V440" t="s">
        <v>9409</v>
      </c>
      <c r="W440" t="s">
        <v>423</v>
      </c>
    </row>
    <row r="441" spans="1:23" hidden="1" x14ac:dyDescent="0.2">
      <c r="A441">
        <v>2012</v>
      </c>
      <c r="B441" t="s">
        <v>303</v>
      </c>
      <c r="C441" s="733">
        <v>40920.490567129629</v>
      </c>
      <c r="D4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1" t="s">
        <v>485</v>
      </c>
      <c r="F441" t="s">
        <v>2065</v>
      </c>
      <c r="G441" t="s">
        <v>5464</v>
      </c>
      <c r="H441">
        <v>40193</v>
      </c>
      <c r="I441" t="s">
        <v>423</v>
      </c>
      <c r="J441" t="s">
        <v>3204</v>
      </c>
      <c r="K441" t="s">
        <v>2183</v>
      </c>
      <c r="L441" t="s">
        <v>2184</v>
      </c>
      <c r="M441">
        <v>80</v>
      </c>
      <c r="N441">
        <v>25.08</v>
      </c>
      <c r="O441">
        <v>2830.78</v>
      </c>
      <c r="P441">
        <v>0</v>
      </c>
      <c r="Q441">
        <v>2830.78</v>
      </c>
      <c r="R441">
        <v>452.92</v>
      </c>
      <c r="S441">
        <v>113.23</v>
      </c>
      <c r="T441">
        <v>3170.47</v>
      </c>
      <c r="U441" t="s">
        <v>7587</v>
      </c>
      <c r="V441" t="s">
        <v>9408</v>
      </c>
      <c r="W441" t="s">
        <v>423</v>
      </c>
    </row>
    <row r="442" spans="1:23" hidden="1" x14ac:dyDescent="0.2">
      <c r="A442">
        <v>2012</v>
      </c>
      <c r="B442" t="s">
        <v>304</v>
      </c>
      <c r="C442" s="733">
        <v>40962</v>
      </c>
      <c r="D4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2" t="s">
        <v>485</v>
      </c>
      <c r="F442" t="s">
        <v>2065</v>
      </c>
      <c r="G442" t="s">
        <v>8640</v>
      </c>
      <c r="H442">
        <v>42365</v>
      </c>
      <c r="I442" t="s">
        <v>423</v>
      </c>
      <c r="J442" t="s">
        <v>3204</v>
      </c>
      <c r="K442" t="s">
        <v>2183</v>
      </c>
      <c r="L442" t="s">
        <v>2184</v>
      </c>
      <c r="M442">
        <v>80</v>
      </c>
      <c r="N442">
        <v>50.23</v>
      </c>
      <c r="O442">
        <v>5669.46</v>
      </c>
      <c r="P442">
        <v>0</v>
      </c>
      <c r="Q442">
        <v>5669.46</v>
      </c>
      <c r="R442">
        <v>907.11</v>
      </c>
      <c r="S442">
        <v>226.78</v>
      </c>
      <c r="T442">
        <v>6349.79</v>
      </c>
      <c r="U442" t="s">
        <v>9411</v>
      </c>
      <c r="V442" t="s">
        <v>9409</v>
      </c>
      <c r="W442" t="s">
        <v>423</v>
      </c>
    </row>
    <row r="443" spans="1:23" hidden="1" x14ac:dyDescent="0.2">
      <c r="A443">
        <v>2012</v>
      </c>
      <c r="B443" t="s">
        <v>303</v>
      </c>
      <c r="C443" s="733">
        <v>40927</v>
      </c>
      <c r="D4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3" t="s">
        <v>485</v>
      </c>
      <c r="F443" t="s">
        <v>2065</v>
      </c>
      <c r="G443" t="s">
        <v>6698</v>
      </c>
      <c r="H443">
        <v>39774</v>
      </c>
      <c r="I443" t="s">
        <v>423</v>
      </c>
      <c r="J443" t="s">
        <v>5479</v>
      </c>
      <c r="K443" t="s">
        <v>2102</v>
      </c>
      <c r="L443" t="s">
        <v>2115</v>
      </c>
      <c r="M443">
        <v>979</v>
      </c>
      <c r="N443">
        <v>23.83</v>
      </c>
      <c r="O443">
        <v>12775.98</v>
      </c>
      <c r="P443">
        <v>0</v>
      </c>
      <c r="Q443">
        <v>12775.98</v>
      </c>
      <c r="R443">
        <v>2044.16</v>
      </c>
      <c r="S443">
        <v>511.04</v>
      </c>
      <c r="T443">
        <v>14309.1</v>
      </c>
      <c r="U443" t="s">
        <v>2108</v>
      </c>
      <c r="V443" t="s">
        <v>9408</v>
      </c>
      <c r="W443" t="s">
        <v>423</v>
      </c>
    </row>
    <row r="444" spans="1:23" hidden="1" x14ac:dyDescent="0.2">
      <c r="A444">
        <v>2012</v>
      </c>
      <c r="B444" t="s">
        <v>304</v>
      </c>
      <c r="C444" s="733">
        <v>40962</v>
      </c>
      <c r="D4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4" t="s">
        <v>485</v>
      </c>
      <c r="F444" t="s">
        <v>2065</v>
      </c>
      <c r="G444" t="s">
        <v>8558</v>
      </c>
      <c r="H444">
        <v>42423</v>
      </c>
      <c r="I444" t="s">
        <v>424</v>
      </c>
      <c r="J444" t="s">
        <v>2114</v>
      </c>
      <c r="K444" t="s">
        <v>2102</v>
      </c>
      <c r="L444" t="s">
        <v>2115</v>
      </c>
      <c r="M444">
        <v>500</v>
      </c>
      <c r="N444">
        <v>54</v>
      </c>
      <c r="O444">
        <v>10009.44</v>
      </c>
      <c r="P444">
        <v>0</v>
      </c>
      <c r="Q444">
        <v>10009.44</v>
      </c>
      <c r="R444">
        <v>1601.51</v>
      </c>
      <c r="S444">
        <v>400.38</v>
      </c>
      <c r="T444">
        <v>11210.57</v>
      </c>
      <c r="V444" t="s">
        <v>9409</v>
      </c>
      <c r="W444" t="s">
        <v>424</v>
      </c>
    </row>
    <row r="445" spans="1:23" hidden="1" x14ac:dyDescent="0.2">
      <c r="A445">
        <v>2012</v>
      </c>
      <c r="B445" t="s">
        <v>304</v>
      </c>
      <c r="C445" s="733">
        <v>40963</v>
      </c>
      <c r="D4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5" t="s">
        <v>485</v>
      </c>
      <c r="F445" t="s">
        <v>2065</v>
      </c>
      <c r="G445" t="s">
        <v>8541</v>
      </c>
      <c r="H445">
        <v>42435</v>
      </c>
      <c r="I445" t="s">
        <v>424</v>
      </c>
      <c r="J445" t="s">
        <v>2114</v>
      </c>
      <c r="K445" t="s">
        <v>2102</v>
      </c>
      <c r="L445" t="s">
        <v>2115</v>
      </c>
      <c r="M445">
        <v>500</v>
      </c>
      <c r="N445">
        <v>54</v>
      </c>
      <c r="O445">
        <v>10009.44</v>
      </c>
      <c r="P445">
        <v>0</v>
      </c>
      <c r="Q445">
        <v>10009.44</v>
      </c>
      <c r="R445">
        <v>1601.51</v>
      </c>
      <c r="S445">
        <v>400.38</v>
      </c>
      <c r="T445">
        <v>11210.57</v>
      </c>
      <c r="V445" t="s">
        <v>9409</v>
      </c>
      <c r="W445" t="s">
        <v>424</v>
      </c>
    </row>
    <row r="446" spans="1:23" hidden="1" x14ac:dyDescent="0.2">
      <c r="A446">
        <v>2012</v>
      </c>
      <c r="B446" t="s">
        <v>303</v>
      </c>
      <c r="C446" s="733">
        <v>40920</v>
      </c>
      <c r="D4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6" t="s">
        <v>485</v>
      </c>
      <c r="F446" t="s">
        <v>2065</v>
      </c>
      <c r="G446" t="s">
        <v>2918</v>
      </c>
      <c r="H446">
        <v>40031</v>
      </c>
      <c r="I446" t="s">
        <v>423</v>
      </c>
      <c r="J446" t="s">
        <v>2114</v>
      </c>
      <c r="K446" t="s">
        <v>2102</v>
      </c>
      <c r="L446" t="s">
        <v>2115</v>
      </c>
      <c r="M446">
        <v>500</v>
      </c>
      <c r="N446">
        <v>50.96</v>
      </c>
      <c r="O446">
        <v>17135.3</v>
      </c>
      <c r="P446">
        <v>0</v>
      </c>
      <c r="Q446">
        <v>17135.3</v>
      </c>
      <c r="R446">
        <v>2741.65</v>
      </c>
      <c r="S446">
        <v>685.41</v>
      </c>
      <c r="T446">
        <v>19191.54</v>
      </c>
      <c r="U446" t="s">
        <v>2106</v>
      </c>
      <c r="V446" t="s">
        <v>9409</v>
      </c>
      <c r="W446" t="s">
        <v>423</v>
      </c>
    </row>
    <row r="447" spans="1:23" hidden="1" x14ac:dyDescent="0.2">
      <c r="A447">
        <v>2012</v>
      </c>
      <c r="B447" t="s">
        <v>303</v>
      </c>
      <c r="C447" s="733">
        <v>40932</v>
      </c>
      <c r="D4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7" t="s">
        <v>485</v>
      </c>
      <c r="F447" t="s">
        <v>2084</v>
      </c>
      <c r="G447" t="s">
        <v>5085</v>
      </c>
      <c r="H447">
        <v>40618</v>
      </c>
      <c r="I447" t="s">
        <v>423</v>
      </c>
      <c r="J447" t="s">
        <v>2836</v>
      </c>
      <c r="K447" t="s">
        <v>2814</v>
      </c>
      <c r="L447" t="s">
        <v>2815</v>
      </c>
      <c r="M447">
        <v>70</v>
      </c>
      <c r="N447">
        <v>25.925999999999998</v>
      </c>
      <c r="O447">
        <v>2926.27</v>
      </c>
      <c r="P447">
        <v>0</v>
      </c>
      <c r="Q447">
        <v>2926.27</v>
      </c>
      <c r="R447">
        <v>468.2</v>
      </c>
      <c r="S447">
        <v>117.05</v>
      </c>
      <c r="T447">
        <v>3277.42</v>
      </c>
      <c r="U447" t="s">
        <v>2826</v>
      </c>
      <c r="V447" t="s">
        <v>9408</v>
      </c>
      <c r="W447" t="s">
        <v>423</v>
      </c>
    </row>
    <row r="448" spans="1:23" hidden="1" x14ac:dyDescent="0.2">
      <c r="A448">
        <v>2012</v>
      </c>
      <c r="B448" t="s">
        <v>303</v>
      </c>
      <c r="C448" s="733">
        <v>40918</v>
      </c>
      <c r="D4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8" t="s">
        <v>485</v>
      </c>
      <c r="F448" t="s">
        <v>2065</v>
      </c>
      <c r="G448" t="s">
        <v>2917</v>
      </c>
      <c r="H448">
        <v>39922</v>
      </c>
      <c r="I448" t="s">
        <v>423</v>
      </c>
      <c r="J448" t="s">
        <v>2345</v>
      </c>
      <c r="K448" t="s">
        <v>2102</v>
      </c>
      <c r="L448" t="s">
        <v>2115</v>
      </c>
      <c r="M448">
        <v>426</v>
      </c>
      <c r="N448">
        <v>49.74</v>
      </c>
      <c r="O448">
        <v>16725.080000000002</v>
      </c>
      <c r="P448">
        <v>0</v>
      </c>
      <c r="Q448">
        <v>16725.080000000002</v>
      </c>
      <c r="R448">
        <v>2676.01</v>
      </c>
      <c r="S448">
        <v>669</v>
      </c>
      <c r="T448">
        <v>18732.09</v>
      </c>
      <c r="U448" t="s">
        <v>2106</v>
      </c>
      <c r="V448" t="s">
        <v>9409</v>
      </c>
      <c r="W448" t="s">
        <v>423</v>
      </c>
    </row>
    <row r="449" spans="1:23" x14ac:dyDescent="0.2">
      <c r="A449">
        <v>2012</v>
      </c>
      <c r="B449" t="s">
        <v>304</v>
      </c>
      <c r="C449" s="733">
        <v>40967</v>
      </c>
      <c r="D4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9" t="s">
        <v>485</v>
      </c>
      <c r="F449" t="s">
        <v>2065</v>
      </c>
      <c r="G449" t="s">
        <v>8899</v>
      </c>
      <c r="H449">
        <v>42126</v>
      </c>
      <c r="I449" t="s">
        <v>423</v>
      </c>
      <c r="J449" t="s">
        <v>2836</v>
      </c>
      <c r="K449" t="s">
        <v>2814</v>
      </c>
      <c r="L449" t="s">
        <v>2815</v>
      </c>
      <c r="M449">
        <v>70</v>
      </c>
      <c r="N449">
        <v>23.902999999999999</v>
      </c>
      <c r="O449">
        <v>2697.93</v>
      </c>
      <c r="P449">
        <v>0</v>
      </c>
      <c r="Q449">
        <v>2697.93</v>
      </c>
      <c r="R449">
        <v>296.77</v>
      </c>
      <c r="S449">
        <v>107.92</v>
      </c>
      <c r="T449">
        <v>2886.78</v>
      </c>
      <c r="U449" t="s">
        <v>8877</v>
      </c>
      <c r="V449" t="s">
        <v>9408</v>
      </c>
      <c r="W449" t="s">
        <v>423</v>
      </c>
    </row>
    <row r="450" spans="1:23" hidden="1" x14ac:dyDescent="0.2">
      <c r="A450">
        <v>2012</v>
      </c>
      <c r="B450" t="s">
        <v>303</v>
      </c>
      <c r="C450" s="733">
        <v>40920</v>
      </c>
      <c r="D4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0" t="s">
        <v>485</v>
      </c>
      <c r="F450" t="s">
        <v>2084</v>
      </c>
      <c r="G450" t="s">
        <v>5084</v>
      </c>
      <c r="H450">
        <v>39891</v>
      </c>
      <c r="I450" t="s">
        <v>423</v>
      </c>
      <c r="J450" t="s">
        <v>2836</v>
      </c>
      <c r="K450" t="s">
        <v>2814</v>
      </c>
      <c r="L450" t="s">
        <v>2815</v>
      </c>
      <c r="M450">
        <v>70</v>
      </c>
      <c r="N450">
        <v>24.273</v>
      </c>
      <c r="O450">
        <v>2739.69</v>
      </c>
      <c r="P450">
        <v>0</v>
      </c>
      <c r="Q450">
        <v>2739.69</v>
      </c>
      <c r="R450">
        <v>438.35</v>
      </c>
      <c r="S450">
        <v>109.59</v>
      </c>
      <c r="T450">
        <v>3068.45</v>
      </c>
      <c r="U450" t="s">
        <v>2826</v>
      </c>
      <c r="V450" t="s">
        <v>9408</v>
      </c>
      <c r="W450" t="s">
        <v>423</v>
      </c>
    </row>
    <row r="451" spans="1:23" hidden="1" x14ac:dyDescent="0.2">
      <c r="A451">
        <v>2012</v>
      </c>
      <c r="B451" t="s">
        <v>304</v>
      </c>
      <c r="C451" s="733">
        <v>40955</v>
      </c>
      <c r="D4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1" t="s">
        <v>485</v>
      </c>
      <c r="F451" t="s">
        <v>2065</v>
      </c>
      <c r="G451" t="s">
        <v>7974</v>
      </c>
      <c r="H451">
        <v>41941</v>
      </c>
      <c r="I451" t="s">
        <v>423</v>
      </c>
      <c r="J451" t="s">
        <v>3147</v>
      </c>
      <c r="K451" t="s">
        <v>2183</v>
      </c>
      <c r="L451" t="s">
        <v>2184</v>
      </c>
      <c r="M451">
        <v>528</v>
      </c>
      <c r="N451">
        <v>27.26</v>
      </c>
      <c r="O451">
        <v>8439.7000000000007</v>
      </c>
      <c r="P451">
        <v>0</v>
      </c>
      <c r="Q451">
        <v>8439.7000000000007</v>
      </c>
      <c r="R451">
        <v>1350.35</v>
      </c>
      <c r="S451">
        <v>337.59</v>
      </c>
      <c r="T451">
        <v>9452.4599999999991</v>
      </c>
      <c r="U451" t="s">
        <v>8048</v>
      </c>
      <c r="V451" t="s">
        <v>9408</v>
      </c>
      <c r="W451" t="s">
        <v>423</v>
      </c>
    </row>
    <row r="452" spans="1:23" hidden="1" x14ac:dyDescent="0.2">
      <c r="A452">
        <v>2012</v>
      </c>
      <c r="B452" t="s">
        <v>304</v>
      </c>
      <c r="C452" s="733">
        <v>40966</v>
      </c>
      <c r="D4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2" t="s">
        <v>485</v>
      </c>
      <c r="F452" t="s">
        <v>2065</v>
      </c>
      <c r="G452" t="s">
        <v>8814</v>
      </c>
      <c r="H452">
        <v>42517</v>
      </c>
      <c r="I452" t="s">
        <v>423</v>
      </c>
      <c r="J452" t="s">
        <v>3147</v>
      </c>
      <c r="K452" t="s">
        <v>2183</v>
      </c>
      <c r="L452" t="s">
        <v>2184</v>
      </c>
      <c r="M452">
        <v>528</v>
      </c>
      <c r="N452">
        <v>27.01</v>
      </c>
      <c r="O452">
        <v>8362.2999999999993</v>
      </c>
      <c r="P452">
        <v>0</v>
      </c>
      <c r="Q452">
        <v>8362.2999999999993</v>
      </c>
      <c r="R452">
        <v>1337.97</v>
      </c>
      <c r="S452">
        <v>334.49</v>
      </c>
      <c r="T452">
        <v>9365.7800000000007</v>
      </c>
      <c r="V452" t="s">
        <v>9408</v>
      </c>
      <c r="W452" t="s">
        <v>423</v>
      </c>
    </row>
    <row r="453" spans="1:23" hidden="1" x14ac:dyDescent="0.2">
      <c r="A453">
        <v>2012</v>
      </c>
      <c r="B453" t="s">
        <v>304</v>
      </c>
      <c r="C453" s="733">
        <v>40948</v>
      </c>
      <c r="D4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3" t="s">
        <v>485</v>
      </c>
      <c r="F453" t="s">
        <v>2065</v>
      </c>
      <c r="G453" t="s">
        <v>4312</v>
      </c>
      <c r="H453">
        <v>41598</v>
      </c>
      <c r="I453" t="s">
        <v>423</v>
      </c>
      <c r="J453" t="s">
        <v>2182</v>
      </c>
      <c r="K453" t="s">
        <v>2183</v>
      </c>
      <c r="L453" t="s">
        <v>2184</v>
      </c>
      <c r="M453">
        <v>62</v>
      </c>
      <c r="N453">
        <v>46.55</v>
      </c>
      <c r="O453">
        <v>6895.92</v>
      </c>
      <c r="P453">
        <v>0</v>
      </c>
      <c r="Q453">
        <v>6895.92</v>
      </c>
      <c r="R453">
        <v>1103.3499999999999</v>
      </c>
      <c r="S453">
        <v>275.83999999999997</v>
      </c>
      <c r="T453">
        <v>7723.43</v>
      </c>
      <c r="U453" t="s">
        <v>2192</v>
      </c>
      <c r="V453" t="s">
        <v>9409</v>
      </c>
      <c r="W453" t="s">
        <v>423</v>
      </c>
    </row>
    <row r="454" spans="1:23" hidden="1" x14ac:dyDescent="0.2">
      <c r="A454">
        <v>2012</v>
      </c>
      <c r="B454" t="s">
        <v>303</v>
      </c>
      <c r="C454" s="733">
        <v>40931</v>
      </c>
      <c r="D4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4" t="s">
        <v>485</v>
      </c>
      <c r="F454" t="s">
        <v>2065</v>
      </c>
      <c r="G454" t="s">
        <v>4322</v>
      </c>
      <c r="H454">
        <v>40686</v>
      </c>
      <c r="I454" t="s">
        <v>423</v>
      </c>
      <c r="J454" t="s">
        <v>2182</v>
      </c>
      <c r="K454" t="s">
        <v>2183</v>
      </c>
      <c r="L454" t="s">
        <v>2184</v>
      </c>
      <c r="M454">
        <v>62</v>
      </c>
      <c r="N454">
        <v>27.78</v>
      </c>
      <c r="O454">
        <v>4115.33</v>
      </c>
      <c r="P454">
        <v>0</v>
      </c>
      <c r="Q454">
        <v>4115.33</v>
      </c>
      <c r="R454">
        <v>658.45</v>
      </c>
      <c r="S454">
        <v>164.61</v>
      </c>
      <c r="T454">
        <v>4609.17</v>
      </c>
      <c r="U454" t="s">
        <v>2187</v>
      </c>
      <c r="V454" t="s">
        <v>9408</v>
      </c>
      <c r="W454" t="s">
        <v>423</v>
      </c>
    </row>
    <row r="455" spans="1:23" hidden="1" x14ac:dyDescent="0.2">
      <c r="A455">
        <v>2012</v>
      </c>
      <c r="B455" t="s">
        <v>303</v>
      </c>
      <c r="C455" s="733">
        <v>40933</v>
      </c>
      <c r="D4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5" t="s">
        <v>485</v>
      </c>
      <c r="F455" t="s">
        <v>2065</v>
      </c>
      <c r="G455" t="s">
        <v>4316</v>
      </c>
      <c r="H455">
        <v>40843</v>
      </c>
      <c r="I455" t="s">
        <v>423</v>
      </c>
      <c r="J455" t="s">
        <v>3204</v>
      </c>
      <c r="K455" t="s">
        <v>2183</v>
      </c>
      <c r="L455" t="s">
        <v>2184</v>
      </c>
      <c r="M455">
        <v>80</v>
      </c>
      <c r="N455">
        <v>15.88</v>
      </c>
      <c r="O455">
        <v>1792.38</v>
      </c>
      <c r="P455">
        <v>0</v>
      </c>
      <c r="Q455">
        <v>1792.38</v>
      </c>
      <c r="R455">
        <v>286.77999999999997</v>
      </c>
      <c r="S455">
        <v>71.7</v>
      </c>
      <c r="T455">
        <v>2007.46</v>
      </c>
      <c r="U455" t="s">
        <v>2187</v>
      </c>
      <c r="V455" t="s">
        <v>9408</v>
      </c>
      <c r="W455" t="s">
        <v>423</v>
      </c>
    </row>
    <row r="456" spans="1:23" hidden="1" x14ac:dyDescent="0.2">
      <c r="A456">
        <v>2012</v>
      </c>
      <c r="B456" t="s">
        <v>304</v>
      </c>
      <c r="C456" s="733">
        <v>40948</v>
      </c>
      <c r="D4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6" t="s">
        <v>485</v>
      </c>
      <c r="F456" t="s">
        <v>2065</v>
      </c>
      <c r="G456" t="s">
        <v>4449</v>
      </c>
      <c r="H456">
        <v>41563</v>
      </c>
      <c r="I456" t="s">
        <v>423</v>
      </c>
      <c r="J456" t="s">
        <v>3204</v>
      </c>
      <c r="K456" t="s">
        <v>2183</v>
      </c>
      <c r="L456" t="s">
        <v>2184</v>
      </c>
      <c r="M456">
        <v>80</v>
      </c>
      <c r="N456">
        <v>25.26</v>
      </c>
      <c r="O456">
        <v>2851.1</v>
      </c>
      <c r="P456">
        <v>0</v>
      </c>
      <c r="Q456">
        <v>2851.1</v>
      </c>
      <c r="R456">
        <v>456.18</v>
      </c>
      <c r="S456">
        <v>114.04</v>
      </c>
      <c r="T456">
        <v>3193.24</v>
      </c>
      <c r="U456" t="s">
        <v>2192</v>
      </c>
      <c r="V456" t="s">
        <v>9408</v>
      </c>
      <c r="W456" t="s">
        <v>423</v>
      </c>
    </row>
    <row r="457" spans="1:23" hidden="1" x14ac:dyDescent="0.2">
      <c r="A457">
        <v>2012</v>
      </c>
      <c r="B457" t="s">
        <v>304</v>
      </c>
      <c r="C457" s="733">
        <v>40947</v>
      </c>
      <c r="D4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7" t="s">
        <v>485</v>
      </c>
      <c r="F457" t="s">
        <v>2065</v>
      </c>
      <c r="G457" t="s">
        <v>4320</v>
      </c>
      <c r="H457">
        <v>41443</v>
      </c>
      <c r="I457" t="s">
        <v>423</v>
      </c>
      <c r="J457" t="s">
        <v>3204</v>
      </c>
      <c r="K457" t="s">
        <v>2183</v>
      </c>
      <c r="L457" t="s">
        <v>2184</v>
      </c>
      <c r="M457">
        <v>80</v>
      </c>
      <c r="N457">
        <v>50.85</v>
      </c>
      <c r="O457">
        <v>5739.44</v>
      </c>
      <c r="P457">
        <v>0</v>
      </c>
      <c r="Q457">
        <v>5739.44</v>
      </c>
      <c r="R457">
        <v>918.31</v>
      </c>
      <c r="S457">
        <v>229.58</v>
      </c>
      <c r="T457">
        <v>6428.17</v>
      </c>
      <c r="U457" t="s">
        <v>2192</v>
      </c>
      <c r="V457" t="s">
        <v>9409</v>
      </c>
      <c r="W457" t="s">
        <v>423</v>
      </c>
    </row>
    <row r="458" spans="1:23" hidden="1" x14ac:dyDescent="0.2">
      <c r="A458">
        <v>2012</v>
      </c>
      <c r="B458" t="s">
        <v>303</v>
      </c>
      <c r="C458" s="733">
        <v>40931</v>
      </c>
      <c r="D4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8" t="s">
        <v>485</v>
      </c>
      <c r="F458" t="s">
        <v>2065</v>
      </c>
      <c r="G458" t="s">
        <v>4448</v>
      </c>
      <c r="H458">
        <v>40687</v>
      </c>
      <c r="I458" t="s">
        <v>423</v>
      </c>
      <c r="J458" t="s">
        <v>3204</v>
      </c>
      <c r="K458" t="s">
        <v>2183</v>
      </c>
      <c r="L458" t="s">
        <v>2184</v>
      </c>
      <c r="M458">
        <v>80</v>
      </c>
      <c r="N458">
        <v>53.27</v>
      </c>
      <c r="O458">
        <v>6012.58</v>
      </c>
      <c r="P458">
        <v>0</v>
      </c>
      <c r="Q458">
        <v>6012.58</v>
      </c>
      <c r="R458">
        <v>962.01</v>
      </c>
      <c r="S458">
        <v>240.5</v>
      </c>
      <c r="T458">
        <v>6734.09</v>
      </c>
      <c r="U458" t="s">
        <v>2187</v>
      </c>
      <c r="V458" t="s">
        <v>9409</v>
      </c>
      <c r="W458" t="s">
        <v>423</v>
      </c>
    </row>
    <row r="459" spans="1:23" hidden="1" x14ac:dyDescent="0.2">
      <c r="A459">
        <v>2012</v>
      </c>
      <c r="B459" t="s">
        <v>304</v>
      </c>
      <c r="C459" s="733">
        <v>40960</v>
      </c>
      <c r="D4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9" t="s">
        <v>485</v>
      </c>
      <c r="F459" t="s">
        <v>2065</v>
      </c>
      <c r="G459" t="s">
        <v>8138</v>
      </c>
      <c r="H459">
        <v>42259</v>
      </c>
      <c r="I459" t="s">
        <v>423</v>
      </c>
      <c r="J459" t="s">
        <v>2182</v>
      </c>
      <c r="K459" t="s">
        <v>2183</v>
      </c>
      <c r="L459" t="s">
        <v>2184</v>
      </c>
      <c r="M459">
        <v>62</v>
      </c>
      <c r="N459">
        <v>15.66</v>
      </c>
      <c r="O459">
        <v>2319.87</v>
      </c>
      <c r="P459">
        <v>0</v>
      </c>
      <c r="Q459">
        <v>2319.87</v>
      </c>
      <c r="R459">
        <v>371.18</v>
      </c>
      <c r="S459">
        <v>92.79</v>
      </c>
      <c r="T459">
        <v>2598.2600000000002</v>
      </c>
      <c r="U459" t="s">
        <v>9411</v>
      </c>
      <c r="V459" t="s">
        <v>9408</v>
      </c>
      <c r="W459" t="s">
        <v>423</v>
      </c>
    </row>
    <row r="460" spans="1:23" hidden="1" x14ac:dyDescent="0.2">
      <c r="A460">
        <v>2012</v>
      </c>
      <c r="B460" t="s">
        <v>304</v>
      </c>
      <c r="C460" s="733">
        <v>40949</v>
      </c>
      <c r="D4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0" t="s">
        <v>505</v>
      </c>
      <c r="F460" t="s">
        <v>1915</v>
      </c>
      <c r="G460" t="s">
        <v>2020</v>
      </c>
      <c r="H460">
        <v>22648</v>
      </c>
      <c r="I460" t="s">
        <v>424</v>
      </c>
      <c r="J460" t="s">
        <v>1917</v>
      </c>
      <c r="K460" t="s">
        <v>1918</v>
      </c>
      <c r="L460" t="s">
        <v>1919</v>
      </c>
      <c r="M460">
        <v>267</v>
      </c>
      <c r="N460">
        <v>30</v>
      </c>
      <c r="O460">
        <v>2929.97</v>
      </c>
      <c r="P460">
        <v>1683.8244589999999</v>
      </c>
      <c r="Q460">
        <v>4613.7944589999997</v>
      </c>
      <c r="R460">
        <v>738.20711300000005</v>
      </c>
      <c r="S460">
        <v>184.55177800000001</v>
      </c>
      <c r="T460">
        <v>5167.4497940000001</v>
      </c>
      <c r="U460" t="s">
        <v>1924</v>
      </c>
      <c r="V460" t="s">
        <v>9408</v>
      </c>
      <c r="W460" t="s">
        <v>424</v>
      </c>
    </row>
    <row r="461" spans="1:23" hidden="1" x14ac:dyDescent="0.2">
      <c r="A461">
        <v>2012</v>
      </c>
      <c r="B461" t="s">
        <v>303</v>
      </c>
      <c r="C461" s="733">
        <v>40934</v>
      </c>
      <c r="D4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1" t="s">
        <v>505</v>
      </c>
      <c r="F461" t="s">
        <v>1915</v>
      </c>
      <c r="G461" t="s">
        <v>2032</v>
      </c>
      <c r="H461">
        <v>22255</v>
      </c>
      <c r="I461" t="s">
        <v>424</v>
      </c>
      <c r="J461" t="s">
        <v>1917</v>
      </c>
      <c r="K461" t="s">
        <v>1918</v>
      </c>
      <c r="L461" t="s">
        <v>1919</v>
      </c>
      <c r="M461">
        <v>267</v>
      </c>
      <c r="N461">
        <v>30</v>
      </c>
      <c r="O461">
        <v>2929.97</v>
      </c>
      <c r="P461">
        <v>1683.8244589999999</v>
      </c>
      <c r="Q461">
        <v>4613.7944589999997</v>
      </c>
      <c r="R461">
        <v>738.20711300000005</v>
      </c>
      <c r="S461">
        <v>184.55177800000001</v>
      </c>
      <c r="T461">
        <v>5167.4497940000001</v>
      </c>
      <c r="U461" t="s">
        <v>1928</v>
      </c>
      <c r="V461" t="s">
        <v>9408</v>
      </c>
      <c r="W461" t="s">
        <v>424</v>
      </c>
    </row>
    <row r="462" spans="1:23" hidden="1" x14ac:dyDescent="0.2">
      <c r="A462">
        <v>2012</v>
      </c>
      <c r="B462" t="s">
        <v>303</v>
      </c>
      <c r="C462" s="733">
        <v>40915</v>
      </c>
      <c r="D4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2" t="s">
        <v>505</v>
      </c>
      <c r="F462" t="s">
        <v>2065</v>
      </c>
      <c r="G462" t="s">
        <v>2031</v>
      </c>
      <c r="H462">
        <v>21760</v>
      </c>
      <c r="I462" t="s">
        <v>424</v>
      </c>
      <c r="J462" t="s">
        <v>1917</v>
      </c>
      <c r="K462" t="s">
        <v>1918</v>
      </c>
      <c r="L462" t="s">
        <v>1919</v>
      </c>
      <c r="M462">
        <v>267</v>
      </c>
      <c r="N462">
        <v>30</v>
      </c>
      <c r="O462">
        <v>2929.97</v>
      </c>
      <c r="P462">
        <v>1683.8244589999999</v>
      </c>
      <c r="Q462">
        <v>4613.7944589999997</v>
      </c>
      <c r="R462">
        <v>738.20711300000005</v>
      </c>
      <c r="S462">
        <v>184.55177800000001</v>
      </c>
      <c r="T462">
        <v>5167.4497940000001</v>
      </c>
      <c r="U462" t="s">
        <v>1920</v>
      </c>
      <c r="V462" t="s">
        <v>9408</v>
      </c>
      <c r="W462" t="s">
        <v>424</v>
      </c>
    </row>
    <row r="463" spans="1:23" hidden="1" x14ac:dyDescent="0.2">
      <c r="A463">
        <v>2012</v>
      </c>
      <c r="B463" t="s">
        <v>304</v>
      </c>
      <c r="C463" s="733">
        <v>40949</v>
      </c>
      <c r="D4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3" t="s">
        <v>505</v>
      </c>
      <c r="F463" t="s">
        <v>2065</v>
      </c>
      <c r="G463" t="s">
        <v>2034</v>
      </c>
      <c r="H463">
        <v>22654</v>
      </c>
      <c r="I463" t="s">
        <v>424</v>
      </c>
      <c r="J463" t="s">
        <v>1917</v>
      </c>
      <c r="K463" t="s">
        <v>1918</v>
      </c>
      <c r="L463" t="s">
        <v>1919</v>
      </c>
      <c r="M463">
        <v>267</v>
      </c>
      <c r="N463">
        <v>30</v>
      </c>
      <c r="O463">
        <v>2929.97</v>
      </c>
      <c r="P463">
        <v>1683.8244589999999</v>
      </c>
      <c r="Q463">
        <v>4613.7944589999997</v>
      </c>
      <c r="R463">
        <v>738.20711300000005</v>
      </c>
      <c r="S463">
        <v>184.55177800000001</v>
      </c>
      <c r="T463">
        <v>5167.4497940000001</v>
      </c>
      <c r="U463" t="s">
        <v>1924</v>
      </c>
      <c r="V463" t="s">
        <v>9408</v>
      </c>
      <c r="W463" t="s">
        <v>424</v>
      </c>
    </row>
    <row r="464" spans="1:23" hidden="1" x14ac:dyDescent="0.2">
      <c r="A464">
        <v>2012</v>
      </c>
      <c r="B464" t="s">
        <v>303</v>
      </c>
      <c r="C464" s="733">
        <v>40928</v>
      </c>
      <c r="D4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4" t="s">
        <v>505</v>
      </c>
      <c r="F464" t="s">
        <v>2065</v>
      </c>
      <c r="G464" t="s">
        <v>2037</v>
      </c>
      <c r="H464">
        <v>22126</v>
      </c>
      <c r="I464" t="s">
        <v>424</v>
      </c>
      <c r="J464" t="s">
        <v>1917</v>
      </c>
      <c r="K464" t="s">
        <v>1918</v>
      </c>
      <c r="L464" t="s">
        <v>1919</v>
      </c>
      <c r="M464">
        <v>267</v>
      </c>
      <c r="N464">
        <v>30</v>
      </c>
      <c r="O464">
        <v>2929.97</v>
      </c>
      <c r="P464">
        <v>1683.8244589999999</v>
      </c>
      <c r="Q464">
        <v>4613.7944589999997</v>
      </c>
      <c r="R464">
        <v>738.20711300000005</v>
      </c>
      <c r="S464">
        <v>184.55177800000001</v>
      </c>
      <c r="T464">
        <v>5167.4497940000001</v>
      </c>
      <c r="U464" t="s">
        <v>1928</v>
      </c>
      <c r="V464" t="s">
        <v>9408</v>
      </c>
      <c r="W464" t="s">
        <v>424</v>
      </c>
    </row>
    <row r="465" spans="1:23" hidden="1" x14ac:dyDescent="0.2">
      <c r="A465">
        <v>2012</v>
      </c>
      <c r="B465" t="s">
        <v>303</v>
      </c>
      <c r="C465" s="733">
        <v>40918.75922453704</v>
      </c>
      <c r="D4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5" t="s">
        <v>505</v>
      </c>
      <c r="F465" t="s">
        <v>1915</v>
      </c>
      <c r="G465" t="s">
        <v>2029</v>
      </c>
      <c r="H465">
        <v>21882</v>
      </c>
      <c r="I465" t="s">
        <v>423</v>
      </c>
      <c r="J465" t="s">
        <v>1917</v>
      </c>
      <c r="K465" t="s">
        <v>1918</v>
      </c>
      <c r="L465" t="s">
        <v>1919</v>
      </c>
      <c r="M465">
        <v>267</v>
      </c>
      <c r="N465">
        <v>49.84</v>
      </c>
      <c r="O465">
        <v>11206.03</v>
      </c>
      <c r="P465">
        <v>0</v>
      </c>
      <c r="Q465">
        <v>11206.03</v>
      </c>
      <c r="R465">
        <v>1792.96</v>
      </c>
      <c r="S465">
        <v>448.24</v>
      </c>
      <c r="T465">
        <v>12550.75</v>
      </c>
      <c r="U465" t="s">
        <v>1931</v>
      </c>
      <c r="V465" t="s">
        <v>9409</v>
      </c>
      <c r="W465" t="s">
        <v>423</v>
      </c>
    </row>
    <row r="466" spans="1:23" hidden="1" x14ac:dyDescent="0.2">
      <c r="A466">
        <v>2012</v>
      </c>
      <c r="B466" t="s">
        <v>304</v>
      </c>
      <c r="C466" s="733">
        <v>40956</v>
      </c>
      <c r="D4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6" t="s">
        <v>505</v>
      </c>
      <c r="F466" t="s">
        <v>1915</v>
      </c>
      <c r="G466" t="s">
        <v>7842</v>
      </c>
      <c r="H466">
        <v>22836</v>
      </c>
      <c r="I466" t="s">
        <v>424</v>
      </c>
      <c r="J466" t="s">
        <v>1917</v>
      </c>
      <c r="K466" t="s">
        <v>1918</v>
      </c>
      <c r="L466" t="s">
        <v>1919</v>
      </c>
      <c r="M466">
        <v>267</v>
      </c>
      <c r="N466">
        <v>27</v>
      </c>
      <c r="O466">
        <v>2636.97</v>
      </c>
      <c r="P466">
        <v>1515.4402889999999</v>
      </c>
      <c r="Q466">
        <v>4152.4102890000004</v>
      </c>
      <c r="R466">
        <v>664.38564599999995</v>
      </c>
      <c r="S466">
        <v>166.09641199999999</v>
      </c>
      <c r="T466">
        <v>4650.6995230000002</v>
      </c>
      <c r="V466" t="s">
        <v>9408</v>
      </c>
      <c r="W466" t="s">
        <v>424</v>
      </c>
    </row>
    <row r="467" spans="1:23" hidden="1" x14ac:dyDescent="0.2">
      <c r="A467">
        <v>2012</v>
      </c>
      <c r="B467" t="s">
        <v>304</v>
      </c>
      <c r="C467" s="733">
        <v>40963</v>
      </c>
      <c r="D4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7" t="s">
        <v>505</v>
      </c>
      <c r="F467" t="s">
        <v>1915</v>
      </c>
      <c r="G467" t="s">
        <v>8654</v>
      </c>
      <c r="H467">
        <v>22952</v>
      </c>
      <c r="I467" t="s">
        <v>423</v>
      </c>
      <c r="J467" t="s">
        <v>1917</v>
      </c>
      <c r="K467" t="s">
        <v>1918</v>
      </c>
      <c r="L467" t="s">
        <v>1919</v>
      </c>
      <c r="M467">
        <v>267</v>
      </c>
      <c r="N467">
        <v>50.15</v>
      </c>
      <c r="O467">
        <v>11275.73</v>
      </c>
      <c r="P467">
        <v>0</v>
      </c>
      <c r="Q467">
        <v>11275.73</v>
      </c>
      <c r="R467">
        <v>1804.12</v>
      </c>
      <c r="S467">
        <v>451.03</v>
      </c>
      <c r="T467">
        <v>12628.82</v>
      </c>
      <c r="U467" t="s">
        <v>8778</v>
      </c>
      <c r="V467" t="s">
        <v>9409</v>
      </c>
      <c r="W467" t="s">
        <v>423</v>
      </c>
    </row>
    <row r="468" spans="1:23" hidden="1" x14ac:dyDescent="0.2">
      <c r="A468">
        <v>2012</v>
      </c>
      <c r="B468" t="s">
        <v>303</v>
      </c>
      <c r="C468" s="733">
        <v>40924</v>
      </c>
      <c r="D4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8" t="s">
        <v>505</v>
      </c>
      <c r="F468" t="s">
        <v>1915</v>
      </c>
      <c r="G468" t="s">
        <v>2534</v>
      </c>
      <c r="H468">
        <v>22002</v>
      </c>
      <c r="I468" t="s">
        <v>424</v>
      </c>
      <c r="J468" t="s">
        <v>1917</v>
      </c>
      <c r="K468" t="s">
        <v>1918</v>
      </c>
      <c r="L468" t="s">
        <v>1919</v>
      </c>
      <c r="M468">
        <v>267</v>
      </c>
      <c r="N468">
        <v>30</v>
      </c>
      <c r="O468">
        <v>2929.97</v>
      </c>
      <c r="P468">
        <v>1683.8244589999999</v>
      </c>
      <c r="Q468">
        <v>4613.7944589999997</v>
      </c>
      <c r="R468">
        <v>738.20711300000005</v>
      </c>
      <c r="S468">
        <v>184.55177800000001</v>
      </c>
      <c r="T468">
        <v>5167.4497940000001</v>
      </c>
      <c r="U468" t="s">
        <v>1931</v>
      </c>
      <c r="V468" t="s">
        <v>9408</v>
      </c>
      <c r="W468" t="s">
        <v>424</v>
      </c>
    </row>
    <row r="469" spans="1:23" hidden="1" x14ac:dyDescent="0.2">
      <c r="A469">
        <v>2012</v>
      </c>
      <c r="B469" t="s">
        <v>304</v>
      </c>
      <c r="C469" s="733">
        <v>40949.808287037034</v>
      </c>
      <c r="D4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9" t="s">
        <v>505</v>
      </c>
      <c r="F469" t="s">
        <v>1915</v>
      </c>
      <c r="G469" t="s">
        <v>2038</v>
      </c>
      <c r="H469">
        <v>22653</v>
      </c>
      <c r="I469" t="s">
        <v>424</v>
      </c>
      <c r="J469" t="s">
        <v>1917</v>
      </c>
      <c r="K469" t="s">
        <v>1918</v>
      </c>
      <c r="L469" t="s">
        <v>1919</v>
      </c>
      <c r="M469">
        <v>267</v>
      </c>
      <c r="N469">
        <v>30</v>
      </c>
      <c r="O469">
        <v>2929.97</v>
      </c>
      <c r="P469">
        <v>1683.8244589999999</v>
      </c>
      <c r="Q469">
        <v>4613.7944589999997</v>
      </c>
      <c r="R469">
        <v>738.20711300000005</v>
      </c>
      <c r="S469">
        <v>184.55177800000001</v>
      </c>
      <c r="T469">
        <v>5167.4497940000001</v>
      </c>
      <c r="U469" t="s">
        <v>1924</v>
      </c>
      <c r="V469" t="s">
        <v>9408</v>
      </c>
      <c r="W469" t="s">
        <v>424</v>
      </c>
    </row>
    <row r="470" spans="1:23" hidden="1" x14ac:dyDescent="0.2">
      <c r="A470">
        <v>2012</v>
      </c>
      <c r="B470" t="s">
        <v>304</v>
      </c>
      <c r="C470" s="733">
        <v>40955</v>
      </c>
      <c r="D4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0" t="s">
        <v>505</v>
      </c>
      <c r="F470" t="s">
        <v>1915</v>
      </c>
      <c r="G470" t="s">
        <v>8009</v>
      </c>
      <c r="H470">
        <v>22717</v>
      </c>
      <c r="I470" t="s">
        <v>423</v>
      </c>
      <c r="J470" t="s">
        <v>1917</v>
      </c>
      <c r="K470" t="s">
        <v>1918</v>
      </c>
      <c r="L470" t="s">
        <v>1919</v>
      </c>
      <c r="M470">
        <v>267</v>
      </c>
      <c r="N470">
        <v>26.78</v>
      </c>
      <c r="O470">
        <v>6021.22</v>
      </c>
      <c r="P470">
        <v>0</v>
      </c>
      <c r="Q470">
        <v>6021.22</v>
      </c>
      <c r="R470">
        <v>963.39</v>
      </c>
      <c r="S470">
        <v>240.85</v>
      </c>
      <c r="T470">
        <v>6743.76</v>
      </c>
      <c r="U470" t="s">
        <v>7529</v>
      </c>
      <c r="V470" t="s">
        <v>9408</v>
      </c>
      <c r="W470" t="s">
        <v>423</v>
      </c>
    </row>
    <row r="471" spans="1:23" hidden="1" x14ac:dyDescent="0.2">
      <c r="A471">
        <v>2012</v>
      </c>
      <c r="B471" t="s">
        <v>304</v>
      </c>
      <c r="C471" s="733">
        <v>40947</v>
      </c>
      <c r="D4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1" t="s">
        <v>505</v>
      </c>
      <c r="F471" t="s">
        <v>2065</v>
      </c>
      <c r="G471" t="s">
        <v>6142</v>
      </c>
      <c r="H471">
        <v>22541</v>
      </c>
      <c r="I471" t="s">
        <v>424</v>
      </c>
      <c r="J471" t="s">
        <v>1917</v>
      </c>
      <c r="K471" t="s">
        <v>1918</v>
      </c>
      <c r="L471" t="s">
        <v>1919</v>
      </c>
      <c r="M471">
        <v>267</v>
      </c>
      <c r="N471">
        <v>30</v>
      </c>
      <c r="O471">
        <v>2929.97</v>
      </c>
      <c r="P471">
        <v>1683.8244589999999</v>
      </c>
      <c r="Q471">
        <v>4613.7944589999997</v>
      </c>
      <c r="R471">
        <v>738.20711300000005</v>
      </c>
      <c r="S471">
        <v>184.55177800000001</v>
      </c>
      <c r="T471">
        <v>5167.4497940000001</v>
      </c>
      <c r="U471" t="s">
        <v>1924</v>
      </c>
      <c r="V471" t="s">
        <v>9408</v>
      </c>
      <c r="W471" t="s">
        <v>424</v>
      </c>
    </row>
    <row r="472" spans="1:23" hidden="1" x14ac:dyDescent="0.2">
      <c r="A472">
        <v>2012</v>
      </c>
      <c r="B472" t="s">
        <v>304</v>
      </c>
      <c r="C472" s="733">
        <v>40955</v>
      </c>
      <c r="D4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2" t="s">
        <v>505</v>
      </c>
      <c r="F472" t="s">
        <v>2065</v>
      </c>
      <c r="G472" t="s">
        <v>7643</v>
      </c>
      <c r="H472">
        <v>22769</v>
      </c>
      <c r="I472" t="s">
        <v>424</v>
      </c>
      <c r="J472" t="s">
        <v>1917</v>
      </c>
      <c r="K472" t="s">
        <v>1918</v>
      </c>
      <c r="L472" t="s">
        <v>1919</v>
      </c>
      <c r="M472">
        <v>267</v>
      </c>
      <c r="N472">
        <v>30</v>
      </c>
      <c r="O472">
        <v>2929.97</v>
      </c>
      <c r="P472">
        <v>1683.8244589999999</v>
      </c>
      <c r="Q472">
        <v>4613.7944589999997</v>
      </c>
      <c r="R472">
        <v>738.20711300000005</v>
      </c>
      <c r="S472">
        <v>184.55177800000001</v>
      </c>
      <c r="T472">
        <v>5167.4497940000001</v>
      </c>
      <c r="U472" t="s">
        <v>7522</v>
      </c>
      <c r="V472" t="s">
        <v>9408</v>
      </c>
      <c r="W472" t="s">
        <v>424</v>
      </c>
    </row>
    <row r="473" spans="1:23" hidden="1" x14ac:dyDescent="0.2">
      <c r="A473">
        <v>2012</v>
      </c>
      <c r="B473" t="s">
        <v>304</v>
      </c>
      <c r="C473" s="733">
        <v>40941</v>
      </c>
      <c r="D4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3" t="s">
        <v>505</v>
      </c>
      <c r="F473" t="s">
        <v>1915</v>
      </c>
      <c r="G473" t="s">
        <v>2028</v>
      </c>
      <c r="H473">
        <v>22418</v>
      </c>
      <c r="I473" t="s">
        <v>424</v>
      </c>
      <c r="J473" t="s">
        <v>1917</v>
      </c>
      <c r="K473" t="s">
        <v>1918</v>
      </c>
      <c r="L473" t="s">
        <v>1919</v>
      </c>
      <c r="M473">
        <v>267</v>
      </c>
      <c r="N473">
        <v>30</v>
      </c>
      <c r="O473">
        <v>2929.97</v>
      </c>
      <c r="P473">
        <v>1683.8244589999999</v>
      </c>
      <c r="Q473">
        <v>4613.7944589999997</v>
      </c>
      <c r="R473">
        <v>738.20711300000005</v>
      </c>
      <c r="S473">
        <v>184.55177800000001</v>
      </c>
      <c r="T473">
        <v>5167.4497940000001</v>
      </c>
      <c r="U473" t="s">
        <v>1926</v>
      </c>
      <c r="V473" t="s">
        <v>9408</v>
      </c>
      <c r="W473" t="s">
        <v>424</v>
      </c>
    </row>
    <row r="474" spans="1:23" hidden="1" x14ac:dyDescent="0.2">
      <c r="A474">
        <v>2012</v>
      </c>
      <c r="B474" t="s">
        <v>303</v>
      </c>
      <c r="C474" s="733">
        <v>40939</v>
      </c>
      <c r="D4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4" t="s">
        <v>505</v>
      </c>
      <c r="F474" t="s">
        <v>1915</v>
      </c>
      <c r="G474" t="s">
        <v>6140</v>
      </c>
      <c r="H474">
        <v>22362</v>
      </c>
      <c r="I474" t="s">
        <v>424</v>
      </c>
      <c r="J474" t="s">
        <v>1917</v>
      </c>
      <c r="K474" t="s">
        <v>1918</v>
      </c>
      <c r="L474" t="s">
        <v>1919</v>
      </c>
      <c r="M474">
        <v>267</v>
      </c>
      <c r="N474">
        <v>30</v>
      </c>
      <c r="O474">
        <v>2929.97</v>
      </c>
      <c r="P474">
        <v>1683.8244589999999</v>
      </c>
      <c r="Q474">
        <v>4613.7944589999997</v>
      </c>
      <c r="R474">
        <v>738.20711300000005</v>
      </c>
      <c r="S474">
        <v>184.55177800000001</v>
      </c>
      <c r="T474">
        <v>5167.4497940000001</v>
      </c>
      <c r="U474" t="s">
        <v>1936</v>
      </c>
      <c r="V474" t="s">
        <v>9408</v>
      </c>
      <c r="W474" t="s">
        <v>424</v>
      </c>
    </row>
    <row r="475" spans="1:23" hidden="1" x14ac:dyDescent="0.2">
      <c r="A475">
        <v>2012</v>
      </c>
      <c r="B475" t="s">
        <v>303</v>
      </c>
      <c r="C475" s="733">
        <v>40934</v>
      </c>
      <c r="D4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5" t="s">
        <v>505</v>
      </c>
      <c r="F475" t="s">
        <v>1915</v>
      </c>
      <c r="G475" t="s">
        <v>2025</v>
      </c>
      <c r="H475">
        <v>22258</v>
      </c>
      <c r="I475" t="s">
        <v>424</v>
      </c>
      <c r="J475" t="s">
        <v>1917</v>
      </c>
      <c r="K475" t="s">
        <v>1918</v>
      </c>
      <c r="L475" t="s">
        <v>1919</v>
      </c>
      <c r="M475">
        <v>267</v>
      </c>
      <c r="N475">
        <v>30</v>
      </c>
      <c r="O475">
        <v>2929.97</v>
      </c>
      <c r="P475">
        <v>1683.8244589999999</v>
      </c>
      <c r="Q475">
        <v>4613.7944589999997</v>
      </c>
      <c r="R475">
        <v>738.20711300000005</v>
      </c>
      <c r="S475">
        <v>184.55177800000001</v>
      </c>
      <c r="T475">
        <v>5167.4497940000001</v>
      </c>
      <c r="U475" t="s">
        <v>1928</v>
      </c>
      <c r="V475" t="s">
        <v>9408</v>
      </c>
      <c r="W475" t="s">
        <v>424</v>
      </c>
    </row>
    <row r="476" spans="1:23" hidden="1" x14ac:dyDescent="0.2">
      <c r="A476">
        <v>2012</v>
      </c>
      <c r="B476" t="s">
        <v>304</v>
      </c>
      <c r="C476" s="733">
        <v>40959</v>
      </c>
      <c r="D4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6" t="s">
        <v>505</v>
      </c>
      <c r="F476" t="s">
        <v>1915</v>
      </c>
      <c r="G476" t="s">
        <v>8141</v>
      </c>
      <c r="H476">
        <v>22887</v>
      </c>
      <c r="I476" t="s">
        <v>424</v>
      </c>
      <c r="J476" t="s">
        <v>1917</v>
      </c>
      <c r="K476" t="s">
        <v>1918</v>
      </c>
      <c r="L476" t="s">
        <v>1919</v>
      </c>
      <c r="M476">
        <v>267</v>
      </c>
      <c r="N476">
        <v>27</v>
      </c>
      <c r="O476">
        <v>4152.33</v>
      </c>
      <c r="P476">
        <v>0</v>
      </c>
      <c r="Q476">
        <v>4152.33</v>
      </c>
      <c r="R476">
        <v>664.37</v>
      </c>
      <c r="S476">
        <v>166.09</v>
      </c>
      <c r="T476">
        <v>4650.6099999999997</v>
      </c>
      <c r="U476" t="s">
        <v>8491</v>
      </c>
      <c r="V476" t="s">
        <v>9408</v>
      </c>
      <c r="W476" t="s">
        <v>424</v>
      </c>
    </row>
    <row r="477" spans="1:23" hidden="1" x14ac:dyDescent="0.2">
      <c r="A477">
        <v>2012</v>
      </c>
      <c r="B477" t="s">
        <v>303</v>
      </c>
      <c r="C477" s="733">
        <v>40935.626689814817</v>
      </c>
      <c r="D4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7" t="s">
        <v>505</v>
      </c>
      <c r="F477" t="s">
        <v>1915</v>
      </c>
      <c r="G477" t="s">
        <v>2023</v>
      </c>
      <c r="H477">
        <v>22303</v>
      </c>
      <c r="I477" t="s">
        <v>424</v>
      </c>
      <c r="J477" t="s">
        <v>1917</v>
      </c>
      <c r="K477" t="s">
        <v>1918</v>
      </c>
      <c r="L477" t="s">
        <v>1919</v>
      </c>
      <c r="M477">
        <v>267</v>
      </c>
      <c r="N477">
        <v>27</v>
      </c>
      <c r="O477">
        <v>2636.97</v>
      </c>
      <c r="P477">
        <v>1515.4402889999999</v>
      </c>
      <c r="Q477">
        <v>4152.4102890000004</v>
      </c>
      <c r="R477">
        <v>664.38564599999995</v>
      </c>
      <c r="S477">
        <v>166.09641199999999</v>
      </c>
      <c r="T477">
        <v>4650.6995230000002</v>
      </c>
      <c r="U477" t="s">
        <v>7529</v>
      </c>
      <c r="V477" t="s">
        <v>9408</v>
      </c>
      <c r="W477" t="s">
        <v>424</v>
      </c>
    </row>
    <row r="478" spans="1:23" hidden="1" x14ac:dyDescent="0.2">
      <c r="A478">
        <v>2012</v>
      </c>
      <c r="B478" t="s">
        <v>304</v>
      </c>
      <c r="C478" s="733">
        <v>40962</v>
      </c>
      <c r="D4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8" t="s">
        <v>505</v>
      </c>
      <c r="F478" t="s">
        <v>1915</v>
      </c>
      <c r="G478" t="s">
        <v>8498</v>
      </c>
      <c r="H478">
        <v>22946</v>
      </c>
      <c r="I478" t="s">
        <v>424</v>
      </c>
      <c r="J478" t="s">
        <v>1917</v>
      </c>
      <c r="K478" t="s">
        <v>1918</v>
      </c>
      <c r="L478" t="s">
        <v>1919</v>
      </c>
      <c r="M478">
        <v>267</v>
      </c>
      <c r="N478">
        <v>27</v>
      </c>
      <c r="O478">
        <v>4152.33</v>
      </c>
      <c r="P478">
        <v>0</v>
      </c>
      <c r="Q478">
        <v>4152.33</v>
      </c>
      <c r="R478">
        <v>664.37</v>
      </c>
      <c r="S478">
        <v>166.09</v>
      </c>
      <c r="T478">
        <v>4650.6099999999997</v>
      </c>
      <c r="U478" t="s">
        <v>8778</v>
      </c>
      <c r="V478" t="s">
        <v>9408</v>
      </c>
      <c r="W478" t="s">
        <v>424</v>
      </c>
    </row>
    <row r="479" spans="1:23" hidden="1" x14ac:dyDescent="0.2">
      <c r="A479">
        <v>2012</v>
      </c>
      <c r="B479" t="s">
        <v>304</v>
      </c>
      <c r="C479" s="733">
        <v>40941</v>
      </c>
      <c r="D4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9" t="s">
        <v>505</v>
      </c>
      <c r="F479" t="s">
        <v>1915</v>
      </c>
      <c r="G479" t="s">
        <v>2030</v>
      </c>
      <c r="H479">
        <v>22416</v>
      </c>
      <c r="I479" t="s">
        <v>424</v>
      </c>
      <c r="J479" t="s">
        <v>1917</v>
      </c>
      <c r="K479" t="s">
        <v>1918</v>
      </c>
      <c r="L479" t="s">
        <v>1919</v>
      </c>
      <c r="M479">
        <v>267</v>
      </c>
      <c r="N479">
        <v>30</v>
      </c>
      <c r="O479">
        <v>2929.97</v>
      </c>
      <c r="P479">
        <v>1683.8244589999999</v>
      </c>
      <c r="Q479">
        <v>4613.7944589999997</v>
      </c>
      <c r="R479">
        <v>738.20711300000005</v>
      </c>
      <c r="S479">
        <v>184.55177800000001</v>
      </c>
      <c r="T479">
        <v>5167.4497940000001</v>
      </c>
      <c r="U479" t="s">
        <v>1926</v>
      </c>
      <c r="V479" t="s">
        <v>9408</v>
      </c>
      <c r="W479" t="s">
        <v>424</v>
      </c>
    </row>
    <row r="480" spans="1:23" hidden="1" x14ac:dyDescent="0.2">
      <c r="A480">
        <v>2012</v>
      </c>
      <c r="B480" t="s">
        <v>304</v>
      </c>
      <c r="C480" s="733">
        <v>40964</v>
      </c>
      <c r="D4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0" t="s">
        <v>505</v>
      </c>
      <c r="F480" t="s">
        <v>1915</v>
      </c>
      <c r="G480" t="s">
        <v>8746</v>
      </c>
      <c r="H480">
        <v>23004</v>
      </c>
      <c r="I480" t="s">
        <v>424</v>
      </c>
      <c r="J480" t="s">
        <v>1917</v>
      </c>
      <c r="K480" t="s">
        <v>1918</v>
      </c>
      <c r="L480" t="s">
        <v>1919</v>
      </c>
      <c r="M480">
        <v>267</v>
      </c>
      <c r="N480">
        <v>30</v>
      </c>
      <c r="O480">
        <v>4613.7</v>
      </c>
      <c r="P480">
        <v>0</v>
      </c>
      <c r="Q480">
        <v>4613.7</v>
      </c>
      <c r="R480">
        <v>738.19</v>
      </c>
      <c r="S480">
        <v>184.55</v>
      </c>
      <c r="T480">
        <v>5167.34</v>
      </c>
      <c r="U480" t="s">
        <v>8778</v>
      </c>
      <c r="V480" t="s">
        <v>9408</v>
      </c>
      <c r="W480" t="s">
        <v>424</v>
      </c>
    </row>
    <row r="481" spans="1:23" hidden="1" x14ac:dyDescent="0.2">
      <c r="A481">
        <v>2012</v>
      </c>
      <c r="B481" t="s">
        <v>303</v>
      </c>
      <c r="C481" s="733">
        <v>40931</v>
      </c>
      <c r="D4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1" t="s">
        <v>505</v>
      </c>
      <c r="F481" t="s">
        <v>1915</v>
      </c>
      <c r="G481" t="s">
        <v>7000</v>
      </c>
      <c r="H481">
        <v>22183</v>
      </c>
      <c r="I481" t="s">
        <v>423</v>
      </c>
      <c r="J481" t="s">
        <v>1917</v>
      </c>
      <c r="K481" t="s">
        <v>1918</v>
      </c>
      <c r="L481" t="s">
        <v>1919</v>
      </c>
      <c r="M481">
        <v>267</v>
      </c>
      <c r="N481">
        <v>24.53</v>
      </c>
      <c r="O481">
        <v>5515.33</v>
      </c>
      <c r="P481">
        <v>0</v>
      </c>
      <c r="Q481">
        <v>5515.33</v>
      </c>
      <c r="R481">
        <v>882.45</v>
      </c>
      <c r="S481">
        <v>220.61</v>
      </c>
      <c r="T481">
        <v>6177.17</v>
      </c>
      <c r="V481" t="s">
        <v>9408</v>
      </c>
      <c r="W481" t="s">
        <v>423</v>
      </c>
    </row>
    <row r="482" spans="1:23" hidden="1" x14ac:dyDescent="0.2">
      <c r="A482">
        <v>2012</v>
      </c>
      <c r="B482" t="s">
        <v>304</v>
      </c>
      <c r="C482" s="733">
        <v>40941</v>
      </c>
      <c r="D4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2" t="s">
        <v>485</v>
      </c>
      <c r="F482" t="s">
        <v>2065</v>
      </c>
      <c r="G482" t="s">
        <v>7008</v>
      </c>
      <c r="H482">
        <v>39743</v>
      </c>
      <c r="I482" t="s">
        <v>423</v>
      </c>
      <c r="J482" t="s">
        <v>4626</v>
      </c>
      <c r="K482" t="s">
        <v>2102</v>
      </c>
      <c r="L482" t="s">
        <v>2115</v>
      </c>
      <c r="M482">
        <v>1457</v>
      </c>
      <c r="N482">
        <v>50.41</v>
      </c>
      <c r="O482">
        <v>37299.370000000003</v>
      </c>
      <c r="P482">
        <v>0</v>
      </c>
      <c r="Q482">
        <v>37299.370000000003</v>
      </c>
      <c r="R482">
        <v>5967.9</v>
      </c>
      <c r="S482">
        <v>1491.97</v>
      </c>
      <c r="T482">
        <v>41775.300000000003</v>
      </c>
      <c r="V482" t="s">
        <v>9409</v>
      </c>
      <c r="W482" t="s">
        <v>423</v>
      </c>
    </row>
    <row r="483" spans="1:23" hidden="1" x14ac:dyDescent="0.2">
      <c r="A483">
        <v>2012</v>
      </c>
      <c r="B483" t="s">
        <v>303</v>
      </c>
      <c r="C483" s="733">
        <v>40918.723124999997</v>
      </c>
      <c r="D4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3" t="s">
        <v>505</v>
      </c>
      <c r="F483" t="s">
        <v>1915</v>
      </c>
      <c r="G483" t="s">
        <v>2036</v>
      </c>
      <c r="H483">
        <v>21879</v>
      </c>
      <c r="I483" t="s">
        <v>424</v>
      </c>
      <c r="J483" t="s">
        <v>1917</v>
      </c>
      <c r="K483" t="s">
        <v>1918</v>
      </c>
      <c r="L483" t="s">
        <v>1919</v>
      </c>
      <c r="M483">
        <v>267</v>
      </c>
      <c r="N483">
        <v>30</v>
      </c>
      <c r="O483">
        <v>2929.97</v>
      </c>
      <c r="P483">
        <v>1683.8244589999999</v>
      </c>
      <c r="Q483">
        <v>4613.7944589999997</v>
      </c>
      <c r="R483">
        <v>738.20711300000005</v>
      </c>
      <c r="S483">
        <v>184.55177800000001</v>
      </c>
      <c r="T483">
        <v>5167.4497940000001</v>
      </c>
      <c r="U483" t="s">
        <v>1931</v>
      </c>
      <c r="V483" t="s">
        <v>9408</v>
      </c>
      <c r="W483" t="s">
        <v>424</v>
      </c>
    </row>
    <row r="484" spans="1:23" hidden="1" x14ac:dyDescent="0.2">
      <c r="A484">
        <v>2012</v>
      </c>
      <c r="B484" t="s">
        <v>303</v>
      </c>
      <c r="C484" s="733">
        <v>40933</v>
      </c>
      <c r="D4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4" t="s">
        <v>505</v>
      </c>
      <c r="F484" t="s">
        <v>1915</v>
      </c>
      <c r="G484" t="s">
        <v>2035</v>
      </c>
      <c r="H484">
        <v>22237</v>
      </c>
      <c r="I484" t="s">
        <v>424</v>
      </c>
      <c r="J484" t="s">
        <v>1917</v>
      </c>
      <c r="K484" t="s">
        <v>1918</v>
      </c>
      <c r="L484" t="s">
        <v>1919</v>
      </c>
      <c r="M484">
        <v>267</v>
      </c>
      <c r="N484">
        <v>30</v>
      </c>
      <c r="O484">
        <v>2929.97</v>
      </c>
      <c r="P484">
        <v>1683.8244589999999</v>
      </c>
      <c r="Q484">
        <v>4613.7944589999997</v>
      </c>
      <c r="R484">
        <v>738.20711300000005</v>
      </c>
      <c r="S484">
        <v>184.55177800000001</v>
      </c>
      <c r="T484">
        <v>5167.4497940000001</v>
      </c>
      <c r="U484" t="s">
        <v>1928</v>
      </c>
      <c r="V484" t="s">
        <v>9408</v>
      </c>
      <c r="W484" t="s">
        <v>424</v>
      </c>
    </row>
    <row r="485" spans="1:23" hidden="1" x14ac:dyDescent="0.2">
      <c r="A485">
        <v>2012</v>
      </c>
      <c r="B485" t="s">
        <v>303</v>
      </c>
      <c r="C485" s="733">
        <v>40928.528993055559</v>
      </c>
      <c r="D4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5" t="s">
        <v>485</v>
      </c>
      <c r="F485" t="s">
        <v>2048</v>
      </c>
      <c r="G485" t="s">
        <v>6118</v>
      </c>
      <c r="H485">
        <v>40652</v>
      </c>
      <c r="I485" t="s">
        <v>423</v>
      </c>
      <c r="J485" t="s">
        <v>4073</v>
      </c>
      <c r="K485" t="s">
        <v>2051</v>
      </c>
      <c r="L485" t="s">
        <v>2052</v>
      </c>
      <c r="M485">
        <v>610</v>
      </c>
      <c r="N485">
        <v>53.7</v>
      </c>
      <c r="O485">
        <v>19036.11</v>
      </c>
      <c r="P485">
        <v>0</v>
      </c>
      <c r="Q485">
        <v>19036.11</v>
      </c>
      <c r="R485">
        <v>3045.78</v>
      </c>
      <c r="S485">
        <v>761.44</v>
      </c>
      <c r="T485">
        <v>21320.45</v>
      </c>
      <c r="V485" t="s">
        <v>9409</v>
      </c>
      <c r="W485" t="s">
        <v>423</v>
      </c>
    </row>
    <row r="486" spans="1:23" hidden="1" x14ac:dyDescent="0.2">
      <c r="A486">
        <v>2012</v>
      </c>
      <c r="B486" t="s">
        <v>303</v>
      </c>
      <c r="C486" s="733">
        <v>40928</v>
      </c>
      <c r="D4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6" t="s">
        <v>485</v>
      </c>
      <c r="F486" t="s">
        <v>2048</v>
      </c>
      <c r="G486" t="s">
        <v>6138</v>
      </c>
      <c r="H486">
        <v>40649</v>
      </c>
      <c r="I486" t="s">
        <v>423</v>
      </c>
      <c r="J486" t="s">
        <v>4073</v>
      </c>
      <c r="K486" t="s">
        <v>2051</v>
      </c>
      <c r="L486" t="s">
        <v>2052</v>
      </c>
      <c r="M486">
        <v>610</v>
      </c>
      <c r="N486">
        <v>52.5</v>
      </c>
      <c r="O486">
        <v>18610.72</v>
      </c>
      <c r="P486">
        <v>0</v>
      </c>
      <c r="Q486">
        <v>18610.72</v>
      </c>
      <c r="R486">
        <v>2977.72</v>
      </c>
      <c r="S486">
        <v>744.43</v>
      </c>
      <c r="T486">
        <v>20844.009999999998</v>
      </c>
      <c r="V486" t="s">
        <v>9409</v>
      </c>
      <c r="W486" t="s">
        <v>423</v>
      </c>
    </row>
    <row r="487" spans="1:23" hidden="1" x14ac:dyDescent="0.2">
      <c r="A487">
        <v>2012</v>
      </c>
      <c r="B487" t="s">
        <v>304</v>
      </c>
      <c r="C487" s="733">
        <v>40953</v>
      </c>
      <c r="D4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7" t="s">
        <v>505</v>
      </c>
      <c r="F487" t="s">
        <v>1915</v>
      </c>
      <c r="G487" t="s">
        <v>1986</v>
      </c>
      <c r="H487">
        <v>22723</v>
      </c>
      <c r="I487" t="s">
        <v>424</v>
      </c>
      <c r="J487" t="s">
        <v>1917</v>
      </c>
      <c r="K487" t="s">
        <v>1918</v>
      </c>
      <c r="L487" t="s">
        <v>1919</v>
      </c>
      <c r="M487">
        <v>267</v>
      </c>
      <c r="N487">
        <v>30</v>
      </c>
      <c r="O487">
        <v>2929.97</v>
      </c>
      <c r="P487">
        <v>1683.8244589999999</v>
      </c>
      <c r="Q487">
        <v>4613.7944589999997</v>
      </c>
      <c r="R487">
        <v>738.20711300000005</v>
      </c>
      <c r="S487">
        <v>184.55177800000001</v>
      </c>
      <c r="T487">
        <v>5167.4497940000001</v>
      </c>
      <c r="U487" t="s">
        <v>7522</v>
      </c>
      <c r="V487" t="s">
        <v>9408</v>
      </c>
      <c r="W487" t="s">
        <v>424</v>
      </c>
    </row>
    <row r="488" spans="1:23" hidden="1" x14ac:dyDescent="0.2">
      <c r="A488">
        <v>2012</v>
      </c>
      <c r="B488" t="s">
        <v>304</v>
      </c>
      <c r="C488" s="733">
        <v>40941</v>
      </c>
      <c r="D4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8" t="s">
        <v>505</v>
      </c>
      <c r="F488" t="s">
        <v>2065</v>
      </c>
      <c r="G488" t="s">
        <v>7170</v>
      </c>
      <c r="H488">
        <v>22421</v>
      </c>
      <c r="I488" t="s">
        <v>424</v>
      </c>
      <c r="J488" t="s">
        <v>1917</v>
      </c>
      <c r="K488" t="s">
        <v>1918</v>
      </c>
      <c r="L488" t="s">
        <v>1919</v>
      </c>
      <c r="M488">
        <v>267</v>
      </c>
      <c r="N488">
        <v>30</v>
      </c>
      <c r="O488">
        <v>2929.97</v>
      </c>
      <c r="P488">
        <v>1683.8244589999999</v>
      </c>
      <c r="Q488">
        <v>4613.7944589999997</v>
      </c>
      <c r="R488">
        <v>738.20711300000005</v>
      </c>
      <c r="S488">
        <v>184.55177800000001</v>
      </c>
      <c r="T488">
        <v>5167.4497940000001</v>
      </c>
      <c r="U488" t="s">
        <v>1926</v>
      </c>
      <c r="V488" t="s">
        <v>9408</v>
      </c>
      <c r="W488" t="s">
        <v>424</v>
      </c>
    </row>
    <row r="489" spans="1:23" hidden="1" x14ac:dyDescent="0.2">
      <c r="A489">
        <v>2012</v>
      </c>
      <c r="B489" t="s">
        <v>303</v>
      </c>
      <c r="C489" s="733">
        <v>40928</v>
      </c>
      <c r="D4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9" t="s">
        <v>505</v>
      </c>
      <c r="F489" t="s">
        <v>2065</v>
      </c>
      <c r="G489" t="s">
        <v>1966</v>
      </c>
      <c r="H489">
        <v>22129</v>
      </c>
      <c r="I489" t="s">
        <v>424</v>
      </c>
      <c r="J489" t="s">
        <v>1917</v>
      </c>
      <c r="K489" t="s">
        <v>1918</v>
      </c>
      <c r="L489" t="s">
        <v>1919</v>
      </c>
      <c r="M489">
        <v>267</v>
      </c>
      <c r="N489">
        <v>30</v>
      </c>
      <c r="O489">
        <v>2929.97</v>
      </c>
      <c r="P489">
        <v>1683.8244589999999</v>
      </c>
      <c r="Q489">
        <v>4613.7944589999997</v>
      </c>
      <c r="R489">
        <v>738.20711300000005</v>
      </c>
      <c r="S489">
        <v>184.55177800000001</v>
      </c>
      <c r="T489">
        <v>5167.4497940000001</v>
      </c>
      <c r="U489" t="s">
        <v>1928</v>
      </c>
      <c r="V489" t="s">
        <v>9408</v>
      </c>
      <c r="W489" t="s">
        <v>424</v>
      </c>
    </row>
    <row r="490" spans="1:23" hidden="1" x14ac:dyDescent="0.2">
      <c r="A490">
        <v>2012</v>
      </c>
      <c r="B490" t="s">
        <v>303</v>
      </c>
      <c r="C490" s="733">
        <v>40932</v>
      </c>
      <c r="D4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0" t="s">
        <v>505</v>
      </c>
      <c r="F490" t="s">
        <v>2065</v>
      </c>
      <c r="G490" t="s">
        <v>1967</v>
      </c>
      <c r="H490">
        <v>22196</v>
      </c>
      <c r="I490" t="s">
        <v>424</v>
      </c>
      <c r="J490" t="s">
        <v>1917</v>
      </c>
      <c r="K490" t="s">
        <v>1918</v>
      </c>
      <c r="L490" t="s">
        <v>1919</v>
      </c>
      <c r="M490">
        <v>267</v>
      </c>
      <c r="N490">
        <v>30</v>
      </c>
      <c r="O490">
        <v>2929.97</v>
      </c>
      <c r="P490">
        <v>1683.8244589999999</v>
      </c>
      <c r="Q490">
        <v>4613.7944589999997</v>
      </c>
      <c r="R490">
        <v>738.20711300000005</v>
      </c>
      <c r="S490">
        <v>184.55177800000001</v>
      </c>
      <c r="T490">
        <v>5167.4497940000001</v>
      </c>
      <c r="U490" t="s">
        <v>1928</v>
      </c>
      <c r="V490" t="s">
        <v>9408</v>
      </c>
      <c r="W490" t="s">
        <v>424</v>
      </c>
    </row>
    <row r="491" spans="1:23" hidden="1" x14ac:dyDescent="0.2">
      <c r="A491">
        <v>2012</v>
      </c>
      <c r="B491" t="s">
        <v>304</v>
      </c>
      <c r="C491" s="733">
        <v>40953</v>
      </c>
      <c r="D4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1" t="s">
        <v>505</v>
      </c>
      <c r="F491" t="s">
        <v>2065</v>
      </c>
      <c r="G491" t="s">
        <v>1971</v>
      </c>
      <c r="H491">
        <v>22726</v>
      </c>
      <c r="I491" t="s">
        <v>424</v>
      </c>
      <c r="J491" t="s">
        <v>1917</v>
      </c>
      <c r="K491" t="s">
        <v>1918</v>
      </c>
      <c r="L491" t="s">
        <v>1919</v>
      </c>
      <c r="M491">
        <v>267</v>
      </c>
      <c r="N491">
        <v>30</v>
      </c>
      <c r="O491">
        <v>2929.97</v>
      </c>
      <c r="P491">
        <v>1683.8244589999999</v>
      </c>
      <c r="Q491">
        <v>4613.7944589999997</v>
      </c>
      <c r="R491">
        <v>738.20711300000005</v>
      </c>
      <c r="S491">
        <v>184.55177800000001</v>
      </c>
      <c r="T491">
        <v>5167.4497940000001</v>
      </c>
      <c r="U491" t="s">
        <v>7522</v>
      </c>
      <c r="V491" t="s">
        <v>9408</v>
      </c>
      <c r="W491" t="s">
        <v>424</v>
      </c>
    </row>
    <row r="492" spans="1:23" hidden="1" x14ac:dyDescent="0.2">
      <c r="A492">
        <v>2012</v>
      </c>
      <c r="B492" t="s">
        <v>303</v>
      </c>
      <c r="C492" s="733">
        <v>40915</v>
      </c>
      <c r="D4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2" t="s">
        <v>505</v>
      </c>
      <c r="F492" t="s">
        <v>2065</v>
      </c>
      <c r="G492" t="s">
        <v>1968</v>
      </c>
      <c r="H492">
        <v>21777</v>
      </c>
      <c r="I492" t="s">
        <v>424</v>
      </c>
      <c r="J492" t="s">
        <v>1917</v>
      </c>
      <c r="K492" t="s">
        <v>1918</v>
      </c>
      <c r="L492" t="s">
        <v>1919</v>
      </c>
      <c r="M492">
        <v>267</v>
      </c>
      <c r="N492">
        <v>30</v>
      </c>
      <c r="O492">
        <v>2929.97</v>
      </c>
      <c r="P492">
        <v>1683.8244589999999</v>
      </c>
      <c r="Q492">
        <v>4613.7944589999997</v>
      </c>
      <c r="R492">
        <v>738.20711300000005</v>
      </c>
      <c r="S492">
        <v>184.55177800000001</v>
      </c>
      <c r="T492">
        <v>5167.4497940000001</v>
      </c>
      <c r="U492" t="s">
        <v>1920</v>
      </c>
      <c r="V492" t="s">
        <v>9408</v>
      </c>
      <c r="W492" t="s">
        <v>424</v>
      </c>
    </row>
    <row r="493" spans="1:23" hidden="1" x14ac:dyDescent="0.2">
      <c r="A493">
        <v>2012</v>
      </c>
      <c r="B493" t="s">
        <v>303</v>
      </c>
      <c r="C493" s="733">
        <v>40912</v>
      </c>
      <c r="D4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3" t="s">
        <v>505</v>
      </c>
      <c r="F493" t="s">
        <v>1915</v>
      </c>
      <c r="G493" t="s">
        <v>6965</v>
      </c>
      <c r="H493">
        <v>21721</v>
      </c>
      <c r="I493" t="s">
        <v>424</v>
      </c>
      <c r="J493" t="s">
        <v>1917</v>
      </c>
      <c r="K493" t="s">
        <v>1918</v>
      </c>
      <c r="L493" t="s">
        <v>1919</v>
      </c>
      <c r="M493">
        <v>267</v>
      </c>
      <c r="N493">
        <v>30</v>
      </c>
      <c r="O493">
        <v>2929.97</v>
      </c>
      <c r="P493">
        <v>1683.8244589999999</v>
      </c>
      <c r="Q493">
        <v>4613.7944589999997</v>
      </c>
      <c r="R493">
        <v>738.20711300000005</v>
      </c>
      <c r="S493">
        <v>184.55177800000001</v>
      </c>
      <c r="T493">
        <v>5167.4497940000001</v>
      </c>
      <c r="V493" t="s">
        <v>9408</v>
      </c>
      <c r="W493" t="s">
        <v>424</v>
      </c>
    </row>
    <row r="494" spans="1:23" hidden="1" x14ac:dyDescent="0.2">
      <c r="A494">
        <v>2012</v>
      </c>
      <c r="B494" t="s">
        <v>303</v>
      </c>
      <c r="C494" s="733">
        <v>40922</v>
      </c>
      <c r="D4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4" t="s">
        <v>505</v>
      </c>
      <c r="F494" t="s">
        <v>1915</v>
      </c>
      <c r="G494" t="s">
        <v>1969</v>
      </c>
      <c r="H494">
        <v>21957</v>
      </c>
      <c r="I494" t="s">
        <v>423</v>
      </c>
      <c r="J494" t="s">
        <v>1917</v>
      </c>
      <c r="K494" t="s">
        <v>1918</v>
      </c>
      <c r="L494" t="s">
        <v>1919</v>
      </c>
      <c r="M494">
        <v>267</v>
      </c>
      <c r="N494">
        <v>50.06</v>
      </c>
      <c r="O494">
        <v>11255.49</v>
      </c>
      <c r="P494">
        <v>0</v>
      </c>
      <c r="Q494">
        <v>11255.49</v>
      </c>
      <c r="R494">
        <v>1800.88</v>
      </c>
      <c r="S494">
        <v>450.22</v>
      </c>
      <c r="T494">
        <v>12606.15</v>
      </c>
      <c r="U494" t="s">
        <v>1931</v>
      </c>
      <c r="V494" t="s">
        <v>9409</v>
      </c>
      <c r="W494" t="s">
        <v>423</v>
      </c>
    </row>
    <row r="495" spans="1:23" hidden="1" x14ac:dyDescent="0.2">
      <c r="A495">
        <v>2012</v>
      </c>
      <c r="B495" t="s">
        <v>303</v>
      </c>
      <c r="C495" s="733">
        <v>40925</v>
      </c>
      <c r="D4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5" t="s">
        <v>505</v>
      </c>
      <c r="F495" t="s">
        <v>1915</v>
      </c>
      <c r="G495" t="s">
        <v>1985</v>
      </c>
      <c r="H495">
        <v>22013</v>
      </c>
      <c r="I495" t="s">
        <v>424</v>
      </c>
      <c r="J495" t="s">
        <v>1917</v>
      </c>
      <c r="K495" t="s">
        <v>1918</v>
      </c>
      <c r="L495" t="s">
        <v>1919</v>
      </c>
      <c r="M495">
        <v>267</v>
      </c>
      <c r="N495">
        <v>30</v>
      </c>
      <c r="O495">
        <v>2929.97</v>
      </c>
      <c r="P495">
        <v>1683.8244589999999</v>
      </c>
      <c r="Q495">
        <v>4613.7944589999997</v>
      </c>
      <c r="R495">
        <v>738.20711300000005</v>
      </c>
      <c r="S495">
        <v>184.55177800000001</v>
      </c>
      <c r="T495">
        <v>5167.4497940000001</v>
      </c>
      <c r="U495" t="s">
        <v>1931</v>
      </c>
      <c r="V495" t="s">
        <v>9408</v>
      </c>
      <c r="W495" t="s">
        <v>424</v>
      </c>
    </row>
    <row r="496" spans="1:23" hidden="1" x14ac:dyDescent="0.2">
      <c r="A496">
        <v>2012</v>
      </c>
      <c r="B496" t="s">
        <v>303</v>
      </c>
      <c r="C496" s="733">
        <v>40912</v>
      </c>
      <c r="D4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6" t="s">
        <v>505</v>
      </c>
      <c r="F496" t="s">
        <v>1915</v>
      </c>
      <c r="G496" t="s">
        <v>1961</v>
      </c>
      <c r="H496">
        <v>21717</v>
      </c>
      <c r="I496" t="s">
        <v>424</v>
      </c>
      <c r="J496" t="s">
        <v>1917</v>
      </c>
      <c r="K496" t="s">
        <v>1918</v>
      </c>
      <c r="L496" t="s">
        <v>1919</v>
      </c>
      <c r="M496">
        <v>267</v>
      </c>
      <c r="N496">
        <v>27</v>
      </c>
      <c r="O496">
        <v>2636.97</v>
      </c>
      <c r="P496">
        <v>1515.4402889999999</v>
      </c>
      <c r="Q496">
        <v>4152.4102890000004</v>
      </c>
      <c r="R496">
        <v>664.38564599999995</v>
      </c>
      <c r="S496">
        <v>166.09641199999999</v>
      </c>
      <c r="T496">
        <v>4650.6995230000002</v>
      </c>
      <c r="V496" t="s">
        <v>9408</v>
      </c>
      <c r="W496" t="s">
        <v>424</v>
      </c>
    </row>
    <row r="497" spans="1:23" hidden="1" x14ac:dyDescent="0.2">
      <c r="A497">
        <v>2012</v>
      </c>
      <c r="B497" t="s">
        <v>304</v>
      </c>
      <c r="C497" s="733">
        <v>40941</v>
      </c>
      <c r="D4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7" t="s">
        <v>505</v>
      </c>
      <c r="F497" t="s">
        <v>2065</v>
      </c>
      <c r="G497" t="s">
        <v>1970</v>
      </c>
      <c r="H497">
        <v>22430</v>
      </c>
      <c r="I497" t="s">
        <v>424</v>
      </c>
      <c r="J497" t="s">
        <v>1917</v>
      </c>
      <c r="K497" t="s">
        <v>1918</v>
      </c>
      <c r="L497" t="s">
        <v>1919</v>
      </c>
      <c r="M497">
        <v>267</v>
      </c>
      <c r="N497">
        <v>30</v>
      </c>
      <c r="O497">
        <v>2929.97</v>
      </c>
      <c r="P497">
        <v>1683.8244589999999</v>
      </c>
      <c r="Q497">
        <v>4613.7944589999997</v>
      </c>
      <c r="R497">
        <v>738.20711300000005</v>
      </c>
      <c r="S497">
        <v>184.55177800000001</v>
      </c>
      <c r="T497">
        <v>5167.4497940000001</v>
      </c>
      <c r="U497" t="s">
        <v>1926</v>
      </c>
      <c r="V497" t="s">
        <v>9408</v>
      </c>
      <c r="W497" t="s">
        <v>424</v>
      </c>
    </row>
    <row r="498" spans="1:23" hidden="1" x14ac:dyDescent="0.2">
      <c r="A498">
        <v>2012</v>
      </c>
      <c r="B498" t="s">
        <v>303</v>
      </c>
      <c r="C498" s="733">
        <v>40915.904745370368</v>
      </c>
      <c r="D4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8" t="s">
        <v>505</v>
      </c>
      <c r="F498" t="s">
        <v>1915</v>
      </c>
      <c r="G498" t="s">
        <v>1973</v>
      </c>
      <c r="H498">
        <v>21831</v>
      </c>
      <c r="I498" t="s">
        <v>424</v>
      </c>
      <c r="J498" t="s">
        <v>1917</v>
      </c>
      <c r="K498" t="s">
        <v>1918</v>
      </c>
      <c r="L498" t="s">
        <v>1919</v>
      </c>
      <c r="M498">
        <v>267</v>
      </c>
      <c r="N498">
        <v>30</v>
      </c>
      <c r="O498">
        <v>2929.97</v>
      </c>
      <c r="P498">
        <v>1683.8244589999999</v>
      </c>
      <c r="Q498">
        <v>4613.7944589999997</v>
      </c>
      <c r="R498">
        <v>738.20711300000005</v>
      </c>
      <c r="S498">
        <v>184.55177800000001</v>
      </c>
      <c r="T498">
        <v>5167.4497940000001</v>
      </c>
      <c r="U498" t="s">
        <v>1920</v>
      </c>
      <c r="V498" t="s">
        <v>9408</v>
      </c>
      <c r="W498" t="s">
        <v>424</v>
      </c>
    </row>
    <row r="499" spans="1:23" hidden="1" x14ac:dyDescent="0.2">
      <c r="A499">
        <v>2012</v>
      </c>
      <c r="B499" t="s">
        <v>303</v>
      </c>
      <c r="C499" s="733">
        <v>40929</v>
      </c>
      <c r="D4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9" t="s">
        <v>505</v>
      </c>
      <c r="F499" t="s">
        <v>1915</v>
      </c>
      <c r="G499" t="s">
        <v>1972</v>
      </c>
      <c r="H499">
        <v>22138</v>
      </c>
      <c r="I499" t="s">
        <v>424</v>
      </c>
      <c r="J499" t="s">
        <v>1917</v>
      </c>
      <c r="K499" t="s">
        <v>1918</v>
      </c>
      <c r="L499" t="s">
        <v>1919</v>
      </c>
      <c r="M499">
        <v>267</v>
      </c>
      <c r="N499">
        <v>27</v>
      </c>
      <c r="O499">
        <v>2636.97</v>
      </c>
      <c r="P499">
        <v>1515.4402889999999</v>
      </c>
      <c r="Q499">
        <v>4152.4102890000004</v>
      </c>
      <c r="R499">
        <v>664.38564599999995</v>
      </c>
      <c r="S499">
        <v>166.09641199999999</v>
      </c>
      <c r="T499">
        <v>4650.6995230000002</v>
      </c>
      <c r="U499" t="s">
        <v>1928</v>
      </c>
      <c r="V499" t="s">
        <v>9408</v>
      </c>
      <c r="W499" t="s">
        <v>424</v>
      </c>
    </row>
    <row r="500" spans="1:23" hidden="1" x14ac:dyDescent="0.2">
      <c r="A500">
        <v>2012</v>
      </c>
      <c r="B500" t="s">
        <v>303</v>
      </c>
      <c r="C500" s="733">
        <v>40928</v>
      </c>
      <c r="D5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0" t="s">
        <v>505</v>
      </c>
      <c r="F500" t="s">
        <v>1915</v>
      </c>
      <c r="G500" t="s">
        <v>7174</v>
      </c>
      <c r="H500">
        <v>22132</v>
      </c>
      <c r="I500" t="s">
        <v>423</v>
      </c>
      <c r="J500" t="s">
        <v>1917</v>
      </c>
      <c r="K500" t="s">
        <v>1918</v>
      </c>
      <c r="L500" t="s">
        <v>1919</v>
      </c>
      <c r="M500">
        <v>267</v>
      </c>
      <c r="N500">
        <v>25.16</v>
      </c>
      <c r="O500">
        <v>5656.97</v>
      </c>
      <c r="P500">
        <v>0</v>
      </c>
      <c r="Q500">
        <v>5656.97</v>
      </c>
      <c r="R500">
        <v>905.12</v>
      </c>
      <c r="S500">
        <v>226.28</v>
      </c>
      <c r="T500">
        <v>6335.81</v>
      </c>
      <c r="U500" t="s">
        <v>8778</v>
      </c>
      <c r="V500" t="s">
        <v>9408</v>
      </c>
      <c r="W500" t="s">
        <v>423</v>
      </c>
    </row>
    <row r="501" spans="1:23" hidden="1" x14ac:dyDescent="0.2">
      <c r="A501">
        <v>2012</v>
      </c>
      <c r="B501" t="s">
        <v>304</v>
      </c>
      <c r="C501" s="733">
        <v>40952</v>
      </c>
      <c r="D5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1" t="s">
        <v>505</v>
      </c>
      <c r="F501" t="s">
        <v>1915</v>
      </c>
      <c r="G501" t="s">
        <v>7175</v>
      </c>
      <c r="H501">
        <v>22660</v>
      </c>
      <c r="I501" t="s">
        <v>423</v>
      </c>
      <c r="J501" t="s">
        <v>1917</v>
      </c>
      <c r="K501" t="s">
        <v>1918</v>
      </c>
      <c r="L501" t="s">
        <v>1919</v>
      </c>
      <c r="M501">
        <v>267</v>
      </c>
      <c r="N501">
        <v>27.06</v>
      </c>
      <c r="O501">
        <v>6084.17</v>
      </c>
      <c r="P501">
        <v>0</v>
      </c>
      <c r="Q501">
        <v>6084.17</v>
      </c>
      <c r="R501">
        <v>973.47</v>
      </c>
      <c r="S501">
        <v>243.37</v>
      </c>
      <c r="T501">
        <v>6814.27</v>
      </c>
      <c r="U501" t="s">
        <v>7522</v>
      </c>
      <c r="V501" t="s">
        <v>9408</v>
      </c>
      <c r="W501" t="s">
        <v>423</v>
      </c>
    </row>
    <row r="502" spans="1:23" hidden="1" x14ac:dyDescent="0.2">
      <c r="A502">
        <v>2012</v>
      </c>
      <c r="B502" t="s">
        <v>304</v>
      </c>
      <c r="C502" s="733">
        <v>40964</v>
      </c>
      <c r="D5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2" t="s">
        <v>505</v>
      </c>
      <c r="F502" t="s">
        <v>1915</v>
      </c>
      <c r="G502" t="s">
        <v>8757</v>
      </c>
      <c r="H502">
        <v>23019</v>
      </c>
      <c r="I502" t="s">
        <v>423</v>
      </c>
      <c r="J502" t="s">
        <v>1917</v>
      </c>
      <c r="K502" t="s">
        <v>1918</v>
      </c>
      <c r="L502" t="s">
        <v>1919</v>
      </c>
      <c r="M502">
        <v>267</v>
      </c>
      <c r="N502">
        <v>24.88</v>
      </c>
      <c r="O502">
        <v>5594.02</v>
      </c>
      <c r="P502">
        <v>0</v>
      </c>
      <c r="Q502">
        <v>5594.02</v>
      </c>
      <c r="R502">
        <v>895.04</v>
      </c>
      <c r="S502">
        <v>223.76</v>
      </c>
      <c r="T502">
        <v>6265.3</v>
      </c>
      <c r="U502" t="s">
        <v>9415</v>
      </c>
      <c r="V502" t="s">
        <v>9408</v>
      </c>
      <c r="W502" t="s">
        <v>423</v>
      </c>
    </row>
    <row r="503" spans="1:23" hidden="1" x14ac:dyDescent="0.2">
      <c r="A503">
        <v>2012</v>
      </c>
      <c r="B503" t="s">
        <v>305</v>
      </c>
      <c r="C503" s="733">
        <v>40973</v>
      </c>
      <c r="D503" s="733" t="str">
        <f>CHOOSE(MONTH(Tabla_sqldatos_bonampakdb_Bon_v_ingresos2012[[#This Row],[fecha_guia]]),"Enero","Febrero","Marzo","Abril","Mayo","Junio","Julio","Agosto","Septiembre","Octubre","Noviembre","Diciembre")</f>
        <v>Marzo</v>
      </c>
      <c r="E503" t="s">
        <v>505</v>
      </c>
      <c r="F503" t="s">
        <v>1915</v>
      </c>
      <c r="G503" t="s">
        <v>9658</v>
      </c>
      <c r="H503">
        <v>23191</v>
      </c>
      <c r="I503" t="s">
        <v>424</v>
      </c>
      <c r="J503" t="s">
        <v>1917</v>
      </c>
      <c r="K503" t="s">
        <v>1918</v>
      </c>
      <c r="L503" t="s">
        <v>1919</v>
      </c>
      <c r="M503">
        <v>267</v>
      </c>
      <c r="N503">
        <v>30</v>
      </c>
      <c r="O503">
        <v>4613.7</v>
      </c>
      <c r="P503">
        <v>0</v>
      </c>
      <c r="Q503">
        <v>4613.7</v>
      </c>
      <c r="R503">
        <v>738.19</v>
      </c>
      <c r="S503">
        <v>184.55</v>
      </c>
      <c r="T503">
        <v>5167.34</v>
      </c>
      <c r="V503" t="s">
        <v>9408</v>
      </c>
      <c r="W503" t="s">
        <v>424</v>
      </c>
    </row>
    <row r="504" spans="1:23" hidden="1" x14ac:dyDescent="0.2">
      <c r="A504">
        <v>2012</v>
      </c>
      <c r="B504" t="s">
        <v>303</v>
      </c>
      <c r="C504" s="733">
        <v>40929</v>
      </c>
      <c r="D5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4" t="s">
        <v>505</v>
      </c>
      <c r="F504" t="s">
        <v>1915</v>
      </c>
      <c r="G504" t="s">
        <v>1965</v>
      </c>
      <c r="H504">
        <v>22135</v>
      </c>
      <c r="I504" t="s">
        <v>424</v>
      </c>
      <c r="J504" t="s">
        <v>1917</v>
      </c>
      <c r="K504" t="s">
        <v>1918</v>
      </c>
      <c r="L504" t="s">
        <v>1919</v>
      </c>
      <c r="M504">
        <v>267</v>
      </c>
      <c r="N504">
        <v>30</v>
      </c>
      <c r="O504">
        <v>2929.97</v>
      </c>
      <c r="P504">
        <v>1683.8244589999999</v>
      </c>
      <c r="Q504">
        <v>4613.7944589999997</v>
      </c>
      <c r="R504">
        <v>738.20711300000005</v>
      </c>
      <c r="S504">
        <v>184.55177800000001</v>
      </c>
      <c r="T504">
        <v>5167.4497940000001</v>
      </c>
      <c r="U504" t="s">
        <v>1928</v>
      </c>
      <c r="V504" t="s">
        <v>9408</v>
      </c>
      <c r="W504" t="s">
        <v>424</v>
      </c>
    </row>
    <row r="505" spans="1:23" hidden="1" x14ac:dyDescent="0.2">
      <c r="A505">
        <v>2012</v>
      </c>
      <c r="B505" t="s">
        <v>304</v>
      </c>
      <c r="C505" s="733">
        <v>40942.618935185186</v>
      </c>
      <c r="D5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5" t="s">
        <v>505</v>
      </c>
      <c r="F505" t="s">
        <v>1915</v>
      </c>
      <c r="G505" t="s">
        <v>6966</v>
      </c>
      <c r="H505">
        <v>22482</v>
      </c>
      <c r="I505" t="s">
        <v>424</v>
      </c>
      <c r="J505" t="s">
        <v>1917</v>
      </c>
      <c r="K505" t="s">
        <v>1918</v>
      </c>
      <c r="L505" t="s">
        <v>1919</v>
      </c>
      <c r="M505">
        <v>267</v>
      </c>
      <c r="N505">
        <v>30</v>
      </c>
      <c r="O505">
        <v>2929.97</v>
      </c>
      <c r="P505">
        <v>1683.8244589999999</v>
      </c>
      <c r="Q505">
        <v>4613.7944589999997</v>
      </c>
      <c r="R505">
        <v>738.20711300000005</v>
      </c>
      <c r="S505">
        <v>184.55177800000001</v>
      </c>
      <c r="T505">
        <v>5167.4497940000001</v>
      </c>
      <c r="U505" t="s">
        <v>1924</v>
      </c>
      <c r="V505" t="s">
        <v>9408</v>
      </c>
      <c r="W505" t="s">
        <v>424</v>
      </c>
    </row>
    <row r="506" spans="1:23" hidden="1" x14ac:dyDescent="0.2">
      <c r="A506">
        <v>2012</v>
      </c>
      <c r="B506" t="s">
        <v>305</v>
      </c>
      <c r="C506" s="733">
        <v>40969</v>
      </c>
      <c r="D506" s="733" t="str">
        <f>CHOOSE(MONTH(Tabla_sqldatos_bonampakdb_Bon_v_ingresos2012[[#This Row],[fecha_guia]]),"Enero","Febrero","Marzo","Abril","Mayo","Junio","Julio","Agosto","Septiembre","Octubre","Noviembre","Diciembre")</f>
        <v>Marzo</v>
      </c>
      <c r="E506" t="s">
        <v>505</v>
      </c>
      <c r="F506" t="s">
        <v>1915</v>
      </c>
      <c r="G506" t="s">
        <v>9521</v>
      </c>
      <c r="H506">
        <v>23126</v>
      </c>
      <c r="I506" t="s">
        <v>424</v>
      </c>
      <c r="J506" t="s">
        <v>1954</v>
      </c>
      <c r="K506" t="s">
        <v>1918</v>
      </c>
      <c r="L506" t="s">
        <v>1919</v>
      </c>
      <c r="M506">
        <v>303</v>
      </c>
      <c r="N506">
        <v>30</v>
      </c>
      <c r="O506">
        <v>5862.3</v>
      </c>
      <c r="P506">
        <v>0</v>
      </c>
      <c r="Q506">
        <v>5862.3</v>
      </c>
      <c r="R506">
        <v>937.97</v>
      </c>
      <c r="S506">
        <v>234.49</v>
      </c>
      <c r="T506">
        <v>6565.78</v>
      </c>
      <c r="V506" t="s">
        <v>9408</v>
      </c>
      <c r="W506" t="s">
        <v>424</v>
      </c>
    </row>
    <row r="507" spans="1:23" hidden="1" x14ac:dyDescent="0.2">
      <c r="A507">
        <v>2012</v>
      </c>
      <c r="B507" t="s">
        <v>303</v>
      </c>
      <c r="C507" s="733">
        <v>40939</v>
      </c>
      <c r="D5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7" t="s">
        <v>505</v>
      </c>
      <c r="F507" t="s">
        <v>1915</v>
      </c>
      <c r="G507" t="s">
        <v>7172</v>
      </c>
      <c r="H507">
        <v>22365</v>
      </c>
      <c r="I507" t="s">
        <v>424</v>
      </c>
      <c r="J507" t="s">
        <v>1917</v>
      </c>
      <c r="K507" t="s">
        <v>1918</v>
      </c>
      <c r="L507" t="s">
        <v>1919</v>
      </c>
      <c r="M507">
        <v>267</v>
      </c>
      <c r="N507">
        <v>27</v>
      </c>
      <c r="O507">
        <v>2636.97</v>
      </c>
      <c r="P507">
        <v>1515.4402889999999</v>
      </c>
      <c r="Q507">
        <v>4152.4102890000004</v>
      </c>
      <c r="R507">
        <v>664.38564599999995</v>
      </c>
      <c r="S507">
        <v>166.09641199999999</v>
      </c>
      <c r="T507">
        <v>4650.6995230000002</v>
      </c>
      <c r="U507" t="s">
        <v>1936</v>
      </c>
      <c r="V507" t="s">
        <v>9408</v>
      </c>
      <c r="W507" t="s">
        <v>424</v>
      </c>
    </row>
    <row r="508" spans="1:23" hidden="1" x14ac:dyDescent="0.2">
      <c r="A508">
        <v>2012</v>
      </c>
      <c r="B508" t="s">
        <v>304</v>
      </c>
      <c r="C508" s="733">
        <v>40957</v>
      </c>
      <c r="D5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8" t="s">
        <v>505</v>
      </c>
      <c r="F508" t="s">
        <v>1915</v>
      </c>
      <c r="G508" t="s">
        <v>7910</v>
      </c>
      <c r="H508">
        <v>22844</v>
      </c>
      <c r="I508" t="s">
        <v>424</v>
      </c>
      <c r="J508" t="s">
        <v>1917</v>
      </c>
      <c r="K508" t="s">
        <v>1918</v>
      </c>
      <c r="L508" t="s">
        <v>1919</v>
      </c>
      <c r="M508">
        <v>267</v>
      </c>
      <c r="N508">
        <v>27</v>
      </c>
      <c r="O508">
        <v>2636.97</v>
      </c>
      <c r="P508">
        <v>1515.4402889999999</v>
      </c>
      <c r="Q508">
        <v>4152.4102890000004</v>
      </c>
      <c r="R508">
        <v>664.38564599999995</v>
      </c>
      <c r="S508">
        <v>166.09641199999999</v>
      </c>
      <c r="T508">
        <v>4650.6995230000002</v>
      </c>
      <c r="U508" t="s">
        <v>7529</v>
      </c>
      <c r="V508" t="s">
        <v>9408</v>
      </c>
      <c r="W508" t="s">
        <v>424</v>
      </c>
    </row>
    <row r="509" spans="1:23" hidden="1" x14ac:dyDescent="0.2">
      <c r="A509">
        <v>2012</v>
      </c>
      <c r="B509" t="s">
        <v>304</v>
      </c>
      <c r="C509" s="733">
        <v>40960</v>
      </c>
      <c r="D5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9" t="s">
        <v>505</v>
      </c>
      <c r="F509" t="s">
        <v>1915</v>
      </c>
      <c r="G509" t="s">
        <v>8230</v>
      </c>
      <c r="H509">
        <v>22903</v>
      </c>
      <c r="I509" t="s">
        <v>424</v>
      </c>
      <c r="J509" t="s">
        <v>1917</v>
      </c>
      <c r="K509" t="s">
        <v>1918</v>
      </c>
      <c r="L509" t="s">
        <v>1919</v>
      </c>
      <c r="M509">
        <v>267</v>
      </c>
      <c r="N509">
        <v>27</v>
      </c>
      <c r="O509">
        <v>4152.33</v>
      </c>
      <c r="P509">
        <v>0</v>
      </c>
      <c r="Q509">
        <v>4152.33</v>
      </c>
      <c r="R509">
        <v>664.37</v>
      </c>
      <c r="S509">
        <v>166.09</v>
      </c>
      <c r="T509">
        <v>4650.6099999999997</v>
      </c>
      <c r="U509" t="s">
        <v>8491</v>
      </c>
      <c r="V509" t="s">
        <v>9408</v>
      </c>
      <c r="W509" t="s">
        <v>424</v>
      </c>
    </row>
    <row r="510" spans="1:23" hidden="1" x14ac:dyDescent="0.2">
      <c r="A510">
        <v>2012</v>
      </c>
      <c r="B510" t="s">
        <v>303</v>
      </c>
      <c r="C510" s="733">
        <v>40922</v>
      </c>
      <c r="D5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0" t="s">
        <v>505</v>
      </c>
      <c r="F510" t="s">
        <v>1915</v>
      </c>
      <c r="G510" t="s">
        <v>1962</v>
      </c>
      <c r="H510">
        <v>21951</v>
      </c>
      <c r="I510" t="s">
        <v>424</v>
      </c>
      <c r="J510" t="s">
        <v>1917</v>
      </c>
      <c r="K510" t="s">
        <v>1918</v>
      </c>
      <c r="L510" t="s">
        <v>1919</v>
      </c>
      <c r="M510">
        <v>267</v>
      </c>
      <c r="N510">
        <v>27</v>
      </c>
      <c r="O510">
        <v>2636.97</v>
      </c>
      <c r="P510">
        <v>1522.74</v>
      </c>
      <c r="Q510">
        <v>4159.71</v>
      </c>
      <c r="R510">
        <v>665.56</v>
      </c>
      <c r="S510">
        <v>166.39</v>
      </c>
      <c r="T510">
        <v>4658.88</v>
      </c>
      <c r="U510" t="s">
        <v>1931</v>
      </c>
      <c r="V510" t="s">
        <v>9408</v>
      </c>
      <c r="W510" t="s">
        <v>424</v>
      </c>
    </row>
    <row r="511" spans="1:23" hidden="1" x14ac:dyDescent="0.2">
      <c r="A511">
        <v>2012</v>
      </c>
      <c r="B511" t="s">
        <v>304</v>
      </c>
      <c r="C511" s="733">
        <v>40968</v>
      </c>
      <c r="D5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1" t="s">
        <v>505</v>
      </c>
      <c r="F511" t="s">
        <v>1915</v>
      </c>
      <c r="G511" t="s">
        <v>8867</v>
      </c>
      <c r="H511">
        <v>23073</v>
      </c>
      <c r="I511" t="s">
        <v>424</v>
      </c>
      <c r="J511" t="s">
        <v>1917</v>
      </c>
      <c r="K511" t="s">
        <v>1918</v>
      </c>
      <c r="L511" t="s">
        <v>1919</v>
      </c>
      <c r="M511">
        <v>267</v>
      </c>
      <c r="N511">
        <v>30</v>
      </c>
      <c r="O511">
        <v>4613.7</v>
      </c>
      <c r="P511">
        <v>0</v>
      </c>
      <c r="Q511">
        <v>4613.7</v>
      </c>
      <c r="R511">
        <v>738.19</v>
      </c>
      <c r="S511">
        <v>184.55</v>
      </c>
      <c r="T511">
        <v>5167.34</v>
      </c>
      <c r="V511" t="s">
        <v>9408</v>
      </c>
      <c r="W511" t="s">
        <v>424</v>
      </c>
    </row>
    <row r="512" spans="1:23" hidden="1" x14ac:dyDescent="0.2">
      <c r="A512">
        <v>2012</v>
      </c>
      <c r="B512" t="s">
        <v>303</v>
      </c>
      <c r="C512" s="733">
        <v>40927</v>
      </c>
      <c r="D5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2" t="s">
        <v>505</v>
      </c>
      <c r="F512" t="s">
        <v>1915</v>
      </c>
      <c r="G512" t="s">
        <v>1963</v>
      </c>
      <c r="H512">
        <v>22077</v>
      </c>
      <c r="I512" t="s">
        <v>424</v>
      </c>
      <c r="J512" t="s">
        <v>1917</v>
      </c>
      <c r="K512" t="s">
        <v>1918</v>
      </c>
      <c r="L512" t="s">
        <v>1919</v>
      </c>
      <c r="M512">
        <v>267</v>
      </c>
      <c r="N512">
        <v>30</v>
      </c>
      <c r="O512">
        <v>2929.97</v>
      </c>
      <c r="P512">
        <v>1683.8244589999999</v>
      </c>
      <c r="Q512">
        <v>4613.7944589999997</v>
      </c>
      <c r="R512">
        <v>738.20711300000005</v>
      </c>
      <c r="S512">
        <v>184.55177800000001</v>
      </c>
      <c r="T512">
        <v>5167.4497940000001</v>
      </c>
      <c r="U512" t="s">
        <v>1928</v>
      </c>
      <c r="V512" t="s">
        <v>9408</v>
      </c>
      <c r="W512" t="s">
        <v>424</v>
      </c>
    </row>
    <row r="513" spans="1:23" hidden="1" x14ac:dyDescent="0.2">
      <c r="A513">
        <v>2012</v>
      </c>
      <c r="B513" t="s">
        <v>303</v>
      </c>
      <c r="C513" s="733">
        <v>40927</v>
      </c>
      <c r="D5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3" t="s">
        <v>505</v>
      </c>
      <c r="F513" t="s">
        <v>1915</v>
      </c>
      <c r="G513" t="s">
        <v>7173</v>
      </c>
      <c r="H513">
        <v>22069</v>
      </c>
      <c r="I513" t="s">
        <v>1979</v>
      </c>
      <c r="J513" t="s">
        <v>1917</v>
      </c>
      <c r="K513" t="s">
        <v>1918</v>
      </c>
      <c r="L513" t="s">
        <v>1919</v>
      </c>
      <c r="M513">
        <v>267</v>
      </c>
      <c r="N513">
        <v>49.76</v>
      </c>
      <c r="O513">
        <v>11188.04</v>
      </c>
      <c r="P513">
        <v>0</v>
      </c>
      <c r="Q513">
        <v>11188.04</v>
      </c>
      <c r="R513">
        <v>1790.09</v>
      </c>
      <c r="S513">
        <v>447.52</v>
      </c>
      <c r="T513">
        <v>12530.61</v>
      </c>
      <c r="U513" t="s">
        <v>1928</v>
      </c>
      <c r="V513" t="s">
        <v>9409</v>
      </c>
      <c r="W513" t="s">
        <v>1979</v>
      </c>
    </row>
    <row r="514" spans="1:23" hidden="1" x14ac:dyDescent="0.2">
      <c r="A514">
        <v>2012</v>
      </c>
      <c r="B514" t="s">
        <v>305</v>
      </c>
      <c r="C514" s="733">
        <v>40970</v>
      </c>
      <c r="D514" s="733" t="str">
        <f>CHOOSE(MONTH(Tabla_sqldatos_bonampakdb_Bon_v_ingresos2012[[#This Row],[fecha_guia]]),"Enero","Febrero","Marzo","Abril","Mayo","Junio","Julio","Agosto","Septiembre","Octubre","Noviembre","Diciembre")</f>
        <v>Marzo</v>
      </c>
      <c r="E514" t="s">
        <v>485</v>
      </c>
      <c r="F514" t="s">
        <v>2065</v>
      </c>
      <c r="G514" t="s">
        <v>9433</v>
      </c>
      <c r="H514">
        <v>42810</v>
      </c>
      <c r="I514" t="s">
        <v>423</v>
      </c>
      <c r="J514" t="s">
        <v>4626</v>
      </c>
      <c r="K514" t="s">
        <v>2102</v>
      </c>
      <c r="L514" t="s">
        <v>2115</v>
      </c>
      <c r="M514">
        <v>1457</v>
      </c>
      <c r="N514">
        <v>53.26</v>
      </c>
      <c r="O514">
        <v>39408.14</v>
      </c>
      <c r="P514">
        <v>0</v>
      </c>
      <c r="Q514">
        <v>39408.14</v>
      </c>
      <c r="R514">
        <v>6305.3</v>
      </c>
      <c r="S514">
        <v>1576.33</v>
      </c>
      <c r="T514">
        <v>44137.11</v>
      </c>
      <c r="V514" t="s">
        <v>9409</v>
      </c>
      <c r="W514" t="s">
        <v>423</v>
      </c>
    </row>
    <row r="515" spans="1:23" hidden="1" x14ac:dyDescent="0.2">
      <c r="A515">
        <v>2012</v>
      </c>
      <c r="B515" t="s">
        <v>304</v>
      </c>
      <c r="C515" s="733">
        <v>40942</v>
      </c>
      <c r="D5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5" t="s">
        <v>485</v>
      </c>
      <c r="F515" t="s">
        <v>2065</v>
      </c>
      <c r="G515" t="s">
        <v>5917</v>
      </c>
      <c r="H515">
        <v>41250</v>
      </c>
      <c r="I515" t="s">
        <v>423</v>
      </c>
      <c r="J515" t="s">
        <v>4626</v>
      </c>
      <c r="K515" t="s">
        <v>2102</v>
      </c>
      <c r="L515" t="s">
        <v>2115</v>
      </c>
      <c r="M515">
        <v>1457</v>
      </c>
      <c r="N515">
        <v>27.93</v>
      </c>
      <c r="O515">
        <v>20665.97</v>
      </c>
      <c r="P515">
        <v>0</v>
      </c>
      <c r="Q515">
        <v>20665.97</v>
      </c>
      <c r="R515">
        <v>3306.55</v>
      </c>
      <c r="S515">
        <v>826.64</v>
      </c>
      <c r="T515">
        <v>23145.88</v>
      </c>
      <c r="U515" t="s">
        <v>7462</v>
      </c>
      <c r="V515" t="s">
        <v>9408</v>
      </c>
      <c r="W515" t="s">
        <v>423</v>
      </c>
    </row>
    <row r="516" spans="1:23" hidden="1" x14ac:dyDescent="0.2">
      <c r="A516">
        <v>2012</v>
      </c>
      <c r="B516" t="s">
        <v>303</v>
      </c>
      <c r="C516" s="733">
        <v>40939</v>
      </c>
      <c r="D5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6" t="s">
        <v>485</v>
      </c>
      <c r="F516" t="s">
        <v>2065</v>
      </c>
      <c r="G516" t="s">
        <v>4224</v>
      </c>
      <c r="H516">
        <v>41063</v>
      </c>
      <c r="I516" t="s">
        <v>423</v>
      </c>
      <c r="J516" t="s">
        <v>3147</v>
      </c>
      <c r="K516" t="s">
        <v>2183</v>
      </c>
      <c r="L516" t="s">
        <v>2184</v>
      </c>
      <c r="M516">
        <v>528</v>
      </c>
      <c r="N516">
        <v>52.14</v>
      </c>
      <c r="O516">
        <v>16142.54</v>
      </c>
      <c r="P516">
        <v>0</v>
      </c>
      <c r="Q516">
        <v>16142.54</v>
      </c>
      <c r="R516">
        <v>2582.81</v>
      </c>
      <c r="S516">
        <v>645.70000000000005</v>
      </c>
      <c r="T516">
        <v>18079.650000000001</v>
      </c>
      <c r="U516" t="s">
        <v>2192</v>
      </c>
      <c r="V516" t="s">
        <v>9409</v>
      </c>
      <c r="W516" t="s">
        <v>423</v>
      </c>
    </row>
    <row r="517" spans="1:23" hidden="1" x14ac:dyDescent="0.2">
      <c r="A517">
        <v>2012</v>
      </c>
      <c r="B517" t="s">
        <v>305</v>
      </c>
      <c r="C517" s="733">
        <v>40970.425011574072</v>
      </c>
      <c r="D51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17" t="s">
        <v>485</v>
      </c>
      <c r="F517" t="s">
        <v>2065</v>
      </c>
      <c r="G517" t="s">
        <v>9423</v>
      </c>
      <c r="H517">
        <v>43002</v>
      </c>
      <c r="I517" t="s">
        <v>423</v>
      </c>
      <c r="J517" t="s">
        <v>2182</v>
      </c>
      <c r="K517" t="s">
        <v>2183</v>
      </c>
      <c r="L517" t="s">
        <v>2184</v>
      </c>
      <c r="M517">
        <v>62</v>
      </c>
      <c r="N517">
        <v>15.56</v>
      </c>
      <c r="O517">
        <v>2305.06</v>
      </c>
      <c r="P517">
        <v>0</v>
      </c>
      <c r="Q517">
        <v>2305.06</v>
      </c>
      <c r="R517">
        <v>368.81</v>
      </c>
      <c r="S517">
        <v>92.2</v>
      </c>
      <c r="T517">
        <v>2581.67</v>
      </c>
      <c r="V517" t="s">
        <v>9408</v>
      </c>
      <c r="W517" t="s">
        <v>423</v>
      </c>
    </row>
    <row r="518" spans="1:23" hidden="1" x14ac:dyDescent="0.2">
      <c r="A518">
        <v>2012</v>
      </c>
      <c r="B518" t="s">
        <v>303</v>
      </c>
      <c r="C518" s="733">
        <v>40928</v>
      </c>
      <c r="D5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8" t="s">
        <v>485</v>
      </c>
      <c r="F518" t="s">
        <v>2065</v>
      </c>
      <c r="G518" t="s">
        <v>3003</v>
      </c>
      <c r="H518">
        <v>40357</v>
      </c>
      <c r="I518" t="s">
        <v>424</v>
      </c>
      <c r="J518" t="s">
        <v>2114</v>
      </c>
      <c r="K518" t="s">
        <v>2102</v>
      </c>
      <c r="L518" t="s">
        <v>2115</v>
      </c>
      <c r="M518">
        <v>500</v>
      </c>
      <c r="N518">
        <v>52</v>
      </c>
      <c r="O518">
        <v>9638.7199999999993</v>
      </c>
      <c r="P518">
        <v>0</v>
      </c>
      <c r="Q518">
        <v>9638.7199999999993</v>
      </c>
      <c r="R518">
        <v>1542.2</v>
      </c>
      <c r="S518">
        <v>385.55</v>
      </c>
      <c r="T518">
        <v>10795.37</v>
      </c>
      <c r="U518" t="s">
        <v>2116</v>
      </c>
      <c r="V518" t="s">
        <v>9409</v>
      </c>
      <c r="W518" t="s">
        <v>424</v>
      </c>
    </row>
    <row r="519" spans="1:23" hidden="1" x14ac:dyDescent="0.2">
      <c r="A519">
        <v>2012</v>
      </c>
      <c r="B519" t="s">
        <v>303</v>
      </c>
      <c r="C519" s="733">
        <v>40928</v>
      </c>
      <c r="D5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9" t="s">
        <v>485</v>
      </c>
      <c r="F519" t="s">
        <v>2065</v>
      </c>
      <c r="G519" t="s">
        <v>3002</v>
      </c>
      <c r="H519">
        <v>39785</v>
      </c>
      <c r="I519" t="s">
        <v>424</v>
      </c>
      <c r="J519" t="s">
        <v>2114</v>
      </c>
      <c r="K519" t="s">
        <v>2102</v>
      </c>
      <c r="L519" t="s">
        <v>2115</v>
      </c>
      <c r="M519">
        <v>500</v>
      </c>
      <c r="N519">
        <v>54</v>
      </c>
      <c r="O519">
        <v>10009.44</v>
      </c>
      <c r="P519">
        <v>0</v>
      </c>
      <c r="Q519">
        <v>10009.44</v>
      </c>
      <c r="R519">
        <v>1601.51</v>
      </c>
      <c r="S519">
        <v>400.38</v>
      </c>
      <c r="T519">
        <v>11210.57</v>
      </c>
      <c r="U519" t="s">
        <v>8871</v>
      </c>
      <c r="V519" t="s">
        <v>9409</v>
      </c>
      <c r="W519" t="s">
        <v>424</v>
      </c>
    </row>
    <row r="520" spans="1:23" hidden="1" x14ac:dyDescent="0.2">
      <c r="A520">
        <v>2012</v>
      </c>
      <c r="B520" t="s">
        <v>304</v>
      </c>
      <c r="C520" s="733">
        <v>40940</v>
      </c>
      <c r="D5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0" t="s">
        <v>485</v>
      </c>
      <c r="F520" t="s">
        <v>2065</v>
      </c>
      <c r="G520" t="s">
        <v>3004</v>
      </c>
      <c r="H520">
        <v>41209</v>
      </c>
      <c r="I520" t="s">
        <v>424</v>
      </c>
      <c r="J520" t="s">
        <v>2114</v>
      </c>
      <c r="K520" t="s">
        <v>2102</v>
      </c>
      <c r="L520" t="s">
        <v>2115</v>
      </c>
      <c r="M520">
        <v>500</v>
      </c>
      <c r="N520">
        <v>54</v>
      </c>
      <c r="O520">
        <v>10009.44</v>
      </c>
      <c r="P520">
        <v>0</v>
      </c>
      <c r="Q520">
        <v>10009.44</v>
      </c>
      <c r="R520">
        <v>1601.51</v>
      </c>
      <c r="S520">
        <v>400.38</v>
      </c>
      <c r="T520">
        <v>11210.57</v>
      </c>
      <c r="U520" t="s">
        <v>8871</v>
      </c>
      <c r="V520" t="s">
        <v>9409</v>
      </c>
      <c r="W520" t="s">
        <v>424</v>
      </c>
    </row>
    <row r="521" spans="1:23" hidden="1" x14ac:dyDescent="0.2">
      <c r="A521">
        <v>2012</v>
      </c>
      <c r="B521" t="s">
        <v>303</v>
      </c>
      <c r="C521" s="733">
        <v>40934</v>
      </c>
      <c r="D5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1" t="s">
        <v>485</v>
      </c>
      <c r="F521" t="s">
        <v>2065</v>
      </c>
      <c r="G521" t="s">
        <v>3005</v>
      </c>
      <c r="H521">
        <v>40814</v>
      </c>
      <c r="I521" t="s">
        <v>424</v>
      </c>
      <c r="J521" t="s">
        <v>2114</v>
      </c>
      <c r="K521" t="s">
        <v>2102</v>
      </c>
      <c r="L521" t="s">
        <v>2115</v>
      </c>
      <c r="M521">
        <v>500</v>
      </c>
      <c r="N521">
        <v>54</v>
      </c>
      <c r="O521">
        <v>10009.44</v>
      </c>
      <c r="P521">
        <v>0</v>
      </c>
      <c r="Q521">
        <v>10009.44</v>
      </c>
      <c r="R521">
        <v>1601.51</v>
      </c>
      <c r="S521">
        <v>400.38</v>
      </c>
      <c r="T521">
        <v>11210.57</v>
      </c>
      <c r="U521" t="s">
        <v>2116</v>
      </c>
      <c r="V521" t="s">
        <v>9409</v>
      </c>
      <c r="W521" t="s">
        <v>424</v>
      </c>
    </row>
    <row r="522" spans="1:23" hidden="1" x14ac:dyDescent="0.2">
      <c r="A522">
        <v>2012</v>
      </c>
      <c r="B522" t="s">
        <v>303</v>
      </c>
      <c r="C522" s="733">
        <v>40935</v>
      </c>
      <c r="D5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2" t="s">
        <v>485</v>
      </c>
      <c r="F522" t="s">
        <v>2065</v>
      </c>
      <c r="G522" t="s">
        <v>3006</v>
      </c>
      <c r="H522">
        <v>40923</v>
      </c>
      <c r="I522" t="s">
        <v>424</v>
      </c>
      <c r="J522" t="s">
        <v>2114</v>
      </c>
      <c r="K522" t="s">
        <v>2102</v>
      </c>
      <c r="L522" t="s">
        <v>2115</v>
      </c>
      <c r="M522">
        <v>500</v>
      </c>
      <c r="N522">
        <v>54</v>
      </c>
      <c r="O522">
        <v>10009.44</v>
      </c>
      <c r="P522">
        <v>0</v>
      </c>
      <c r="Q522">
        <v>10009.44</v>
      </c>
      <c r="R522">
        <v>1601.51</v>
      </c>
      <c r="S522">
        <v>400.38</v>
      </c>
      <c r="T522">
        <v>11210.57</v>
      </c>
      <c r="U522" t="s">
        <v>2116</v>
      </c>
      <c r="V522" t="s">
        <v>9409</v>
      </c>
      <c r="W522" t="s">
        <v>424</v>
      </c>
    </row>
    <row r="523" spans="1:23" hidden="1" x14ac:dyDescent="0.2">
      <c r="A523">
        <v>2012</v>
      </c>
      <c r="B523" t="s">
        <v>303</v>
      </c>
      <c r="C523" s="733">
        <v>40934</v>
      </c>
      <c r="D5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3" t="s">
        <v>485</v>
      </c>
      <c r="F523" t="s">
        <v>2065</v>
      </c>
      <c r="G523" t="s">
        <v>3001</v>
      </c>
      <c r="H523">
        <v>40828</v>
      </c>
      <c r="I523" t="s">
        <v>424</v>
      </c>
      <c r="J523" t="s">
        <v>2114</v>
      </c>
      <c r="K523" t="s">
        <v>2102</v>
      </c>
      <c r="L523" t="s">
        <v>2115</v>
      </c>
      <c r="M523">
        <v>500</v>
      </c>
      <c r="N523">
        <v>54</v>
      </c>
      <c r="O523">
        <v>10009.44</v>
      </c>
      <c r="P523">
        <v>0</v>
      </c>
      <c r="Q523">
        <v>10009.44</v>
      </c>
      <c r="R523">
        <v>1601.51</v>
      </c>
      <c r="S523">
        <v>400.38</v>
      </c>
      <c r="T523">
        <v>11210.57</v>
      </c>
      <c r="U523" t="s">
        <v>2116</v>
      </c>
      <c r="V523" t="s">
        <v>9409</v>
      </c>
      <c r="W523" t="s">
        <v>424</v>
      </c>
    </row>
    <row r="524" spans="1:23" hidden="1" x14ac:dyDescent="0.2">
      <c r="A524">
        <v>2012</v>
      </c>
      <c r="B524" t="s">
        <v>303</v>
      </c>
      <c r="C524" s="733">
        <v>40927</v>
      </c>
      <c r="D5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4" t="s">
        <v>485</v>
      </c>
      <c r="F524" t="s">
        <v>2065</v>
      </c>
      <c r="G524" t="s">
        <v>4831</v>
      </c>
      <c r="H524">
        <v>40542</v>
      </c>
      <c r="I524" t="s">
        <v>423</v>
      </c>
      <c r="J524" t="s">
        <v>3204</v>
      </c>
      <c r="K524" t="s">
        <v>2183</v>
      </c>
      <c r="L524" t="s">
        <v>2184</v>
      </c>
      <c r="M524">
        <v>80</v>
      </c>
      <c r="N524">
        <v>51.81</v>
      </c>
      <c r="O524">
        <v>5847.79</v>
      </c>
      <c r="P524">
        <v>0</v>
      </c>
      <c r="Q524">
        <v>5847.79</v>
      </c>
      <c r="R524">
        <v>935.65</v>
      </c>
      <c r="S524">
        <v>233.91</v>
      </c>
      <c r="T524">
        <v>6549.53</v>
      </c>
      <c r="U524" t="s">
        <v>7554</v>
      </c>
      <c r="V524" t="s">
        <v>9409</v>
      </c>
      <c r="W524" t="s">
        <v>423</v>
      </c>
    </row>
    <row r="525" spans="1:23" hidden="1" x14ac:dyDescent="0.2">
      <c r="A525">
        <v>2012</v>
      </c>
      <c r="B525" t="s">
        <v>303</v>
      </c>
      <c r="C525" s="733">
        <v>40928</v>
      </c>
      <c r="D5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5" t="s">
        <v>485</v>
      </c>
      <c r="F525" t="s">
        <v>2065</v>
      </c>
      <c r="G525" t="s">
        <v>3011</v>
      </c>
      <c r="H525">
        <v>39817</v>
      </c>
      <c r="I525" t="s">
        <v>424</v>
      </c>
      <c r="J525" t="s">
        <v>2114</v>
      </c>
      <c r="K525" t="s">
        <v>2102</v>
      </c>
      <c r="L525" t="s">
        <v>2115</v>
      </c>
      <c r="M525">
        <v>500</v>
      </c>
      <c r="N525">
        <v>54</v>
      </c>
      <c r="O525">
        <v>10009.44</v>
      </c>
      <c r="P525">
        <v>0</v>
      </c>
      <c r="Q525">
        <v>10009.44</v>
      </c>
      <c r="R525">
        <v>1601.51</v>
      </c>
      <c r="S525">
        <v>400.38</v>
      </c>
      <c r="T525">
        <v>11210.57</v>
      </c>
      <c r="U525" t="s">
        <v>8871</v>
      </c>
      <c r="V525" t="s">
        <v>9409</v>
      </c>
      <c r="W525" t="s">
        <v>424</v>
      </c>
    </row>
    <row r="526" spans="1:23" hidden="1" x14ac:dyDescent="0.2">
      <c r="A526">
        <v>2012</v>
      </c>
      <c r="B526" t="s">
        <v>303</v>
      </c>
      <c r="C526" s="733">
        <v>40927</v>
      </c>
      <c r="D5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6" t="s">
        <v>485</v>
      </c>
      <c r="F526" t="s">
        <v>2065</v>
      </c>
      <c r="G526" t="s">
        <v>3016</v>
      </c>
      <c r="H526">
        <v>40421</v>
      </c>
      <c r="I526" t="s">
        <v>423</v>
      </c>
      <c r="J526" t="s">
        <v>2345</v>
      </c>
      <c r="K526" t="s">
        <v>2102</v>
      </c>
      <c r="L526" t="s">
        <v>2115</v>
      </c>
      <c r="M526">
        <v>426</v>
      </c>
      <c r="N526">
        <v>52.98</v>
      </c>
      <c r="O526">
        <v>17814.52</v>
      </c>
      <c r="P526">
        <v>0</v>
      </c>
      <c r="Q526">
        <v>17814.52</v>
      </c>
      <c r="R526">
        <v>2850.32</v>
      </c>
      <c r="S526">
        <v>712.58</v>
      </c>
      <c r="T526">
        <v>19952.259999999998</v>
      </c>
      <c r="U526" t="s">
        <v>2108</v>
      </c>
      <c r="V526" t="s">
        <v>9409</v>
      </c>
      <c r="W526" t="s">
        <v>423</v>
      </c>
    </row>
    <row r="527" spans="1:23" hidden="1" x14ac:dyDescent="0.2">
      <c r="A527">
        <v>2012</v>
      </c>
      <c r="B527" t="s">
        <v>303</v>
      </c>
      <c r="C527" s="733">
        <v>40932</v>
      </c>
      <c r="D5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7" t="s">
        <v>485</v>
      </c>
      <c r="F527" t="s">
        <v>2065</v>
      </c>
      <c r="G527" t="s">
        <v>3021</v>
      </c>
      <c r="H527">
        <v>40768</v>
      </c>
      <c r="I527" t="s">
        <v>423</v>
      </c>
      <c r="J527" t="s">
        <v>2345</v>
      </c>
      <c r="K527" t="s">
        <v>2102</v>
      </c>
      <c r="L527" t="s">
        <v>2115</v>
      </c>
      <c r="M527">
        <v>426</v>
      </c>
      <c r="N527">
        <v>36.67</v>
      </c>
      <c r="O527">
        <v>12330.29</v>
      </c>
      <c r="P527">
        <v>0</v>
      </c>
      <c r="Q527">
        <v>12330.29</v>
      </c>
      <c r="R527">
        <v>1972.85</v>
      </c>
      <c r="S527">
        <v>493.21</v>
      </c>
      <c r="T527">
        <v>13809.93</v>
      </c>
      <c r="U527" t="s">
        <v>2108</v>
      </c>
      <c r="V527" t="s">
        <v>9409</v>
      </c>
      <c r="W527" t="s">
        <v>423</v>
      </c>
    </row>
    <row r="528" spans="1:23" hidden="1" x14ac:dyDescent="0.2">
      <c r="A528">
        <v>2012</v>
      </c>
      <c r="B528" t="s">
        <v>304</v>
      </c>
      <c r="C528" s="733">
        <v>40949</v>
      </c>
      <c r="D5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8" t="s">
        <v>485</v>
      </c>
      <c r="F528" t="s">
        <v>2065</v>
      </c>
      <c r="G528" t="s">
        <v>5910</v>
      </c>
      <c r="H528">
        <v>41634</v>
      </c>
      <c r="I528" t="s">
        <v>424</v>
      </c>
      <c r="J528" t="s">
        <v>2114</v>
      </c>
      <c r="K528" t="s">
        <v>2102</v>
      </c>
      <c r="L528" t="s">
        <v>2115</v>
      </c>
      <c r="M528">
        <v>500</v>
      </c>
      <c r="N528">
        <v>52.031999999999996</v>
      </c>
      <c r="O528">
        <v>9644.65</v>
      </c>
      <c r="P528">
        <v>0</v>
      </c>
      <c r="Q528">
        <v>9644.65</v>
      </c>
      <c r="R528">
        <v>1543.14</v>
      </c>
      <c r="S528">
        <v>385.79</v>
      </c>
      <c r="T528">
        <v>10802</v>
      </c>
      <c r="U528" t="s">
        <v>8871</v>
      </c>
      <c r="V528" t="s">
        <v>9409</v>
      </c>
      <c r="W528" t="s">
        <v>424</v>
      </c>
    </row>
    <row r="529" spans="1:23" hidden="1" x14ac:dyDescent="0.2">
      <c r="A529">
        <v>2012</v>
      </c>
      <c r="B529" t="s">
        <v>303</v>
      </c>
      <c r="C529" s="733">
        <v>40912</v>
      </c>
      <c r="D5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9" t="s">
        <v>485</v>
      </c>
      <c r="F529" t="s">
        <v>2084</v>
      </c>
      <c r="G529" t="s">
        <v>4249</v>
      </c>
      <c r="H529">
        <v>39474</v>
      </c>
      <c r="I529" t="s">
        <v>423</v>
      </c>
      <c r="J529" t="s">
        <v>2836</v>
      </c>
      <c r="K529" t="s">
        <v>2814</v>
      </c>
      <c r="L529" t="s">
        <v>2815</v>
      </c>
      <c r="M529">
        <v>70</v>
      </c>
      <c r="N529">
        <v>24.064</v>
      </c>
      <c r="O529">
        <v>1143.52</v>
      </c>
      <c r="P529">
        <v>1287.4777329999999</v>
      </c>
      <c r="Q529">
        <v>2430.9977330000002</v>
      </c>
      <c r="R529">
        <v>388.95963699999999</v>
      </c>
      <c r="S529">
        <v>97.239908999999997</v>
      </c>
      <c r="T529">
        <v>2722.7174610000002</v>
      </c>
      <c r="U529" t="s">
        <v>2846</v>
      </c>
      <c r="V529" t="s">
        <v>9408</v>
      </c>
      <c r="W529" t="s">
        <v>423</v>
      </c>
    </row>
    <row r="530" spans="1:23" hidden="1" x14ac:dyDescent="0.2">
      <c r="A530">
        <v>2012</v>
      </c>
      <c r="B530" t="s">
        <v>304</v>
      </c>
      <c r="C530" s="733">
        <v>40949</v>
      </c>
      <c r="D5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0" t="s">
        <v>485</v>
      </c>
      <c r="F530" t="s">
        <v>2084</v>
      </c>
      <c r="G530" t="s">
        <v>4250</v>
      </c>
      <c r="H530">
        <v>41190</v>
      </c>
      <c r="I530" t="s">
        <v>423</v>
      </c>
      <c r="J530" t="s">
        <v>2836</v>
      </c>
      <c r="K530" t="s">
        <v>2814</v>
      </c>
      <c r="L530" t="s">
        <v>2815</v>
      </c>
      <c r="M530">
        <v>70</v>
      </c>
      <c r="N530">
        <v>24.172000000000001</v>
      </c>
      <c r="O530">
        <v>2728.29</v>
      </c>
      <c r="P530">
        <v>0</v>
      </c>
      <c r="Q530">
        <v>2728.29</v>
      </c>
      <c r="R530">
        <v>300.11</v>
      </c>
      <c r="S530">
        <v>109.13</v>
      </c>
      <c r="T530">
        <v>2919.27</v>
      </c>
      <c r="U530" t="s">
        <v>7527</v>
      </c>
      <c r="V530" t="s">
        <v>9408</v>
      </c>
      <c r="W530" t="s">
        <v>423</v>
      </c>
    </row>
    <row r="531" spans="1:23" hidden="1" x14ac:dyDescent="0.2">
      <c r="A531">
        <v>2012</v>
      </c>
      <c r="B531" t="s">
        <v>304</v>
      </c>
      <c r="C531" s="733">
        <v>40947.523784722223</v>
      </c>
      <c r="D5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1" t="s">
        <v>485</v>
      </c>
      <c r="F531" t="s">
        <v>2099</v>
      </c>
      <c r="G531" t="s">
        <v>3009</v>
      </c>
      <c r="H531">
        <v>41576</v>
      </c>
      <c r="I531" t="s">
        <v>423</v>
      </c>
      <c r="J531" t="s">
        <v>2345</v>
      </c>
      <c r="K531" t="s">
        <v>2102</v>
      </c>
      <c r="L531" t="s">
        <v>2115</v>
      </c>
      <c r="M531">
        <v>426</v>
      </c>
      <c r="N531">
        <v>24.85</v>
      </c>
      <c r="O531">
        <v>8355.81</v>
      </c>
      <c r="P531">
        <v>0</v>
      </c>
      <c r="Q531">
        <v>8355.81</v>
      </c>
      <c r="R531">
        <v>1336.93</v>
      </c>
      <c r="S531">
        <v>334.23</v>
      </c>
      <c r="T531">
        <v>9358.51</v>
      </c>
      <c r="U531" t="s">
        <v>7462</v>
      </c>
      <c r="V531" t="s">
        <v>9408</v>
      </c>
      <c r="W531" t="s">
        <v>423</v>
      </c>
    </row>
    <row r="532" spans="1:23" hidden="1" x14ac:dyDescent="0.2">
      <c r="A532">
        <v>2012</v>
      </c>
      <c r="B532" t="s">
        <v>304</v>
      </c>
      <c r="C532" s="733">
        <v>40955</v>
      </c>
      <c r="D5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2" t="s">
        <v>485</v>
      </c>
      <c r="F532" t="s">
        <v>2065</v>
      </c>
      <c r="G532" t="s">
        <v>7651</v>
      </c>
      <c r="H532">
        <v>41932</v>
      </c>
      <c r="I532" t="s">
        <v>423</v>
      </c>
      <c r="J532" t="s">
        <v>2114</v>
      </c>
      <c r="K532" t="s">
        <v>2102</v>
      </c>
      <c r="L532" t="s">
        <v>2115</v>
      </c>
      <c r="M532">
        <v>500</v>
      </c>
      <c r="N532">
        <v>54.25</v>
      </c>
      <c r="O532">
        <v>18241.560000000001</v>
      </c>
      <c r="P532">
        <v>0</v>
      </c>
      <c r="Q532">
        <v>18241.560000000001</v>
      </c>
      <c r="R532">
        <v>2918.65</v>
      </c>
      <c r="S532">
        <v>729.66</v>
      </c>
      <c r="T532">
        <v>20430.55</v>
      </c>
      <c r="U532" t="s">
        <v>8051</v>
      </c>
      <c r="V532" t="s">
        <v>9409</v>
      </c>
      <c r="W532" t="s">
        <v>423</v>
      </c>
    </row>
    <row r="533" spans="1:23" hidden="1" x14ac:dyDescent="0.2">
      <c r="A533">
        <v>2012</v>
      </c>
      <c r="B533" t="s">
        <v>303</v>
      </c>
      <c r="C533" s="733">
        <v>40912</v>
      </c>
      <c r="D5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3" t="s">
        <v>485</v>
      </c>
      <c r="F533" t="s">
        <v>2084</v>
      </c>
      <c r="G533" t="s">
        <v>4421</v>
      </c>
      <c r="H533">
        <v>39471</v>
      </c>
      <c r="I533" t="s">
        <v>423</v>
      </c>
      <c r="J533" t="s">
        <v>2836</v>
      </c>
      <c r="K533" t="s">
        <v>2814</v>
      </c>
      <c r="L533" t="s">
        <v>2815</v>
      </c>
      <c r="M533">
        <v>70</v>
      </c>
      <c r="N533">
        <v>23.721</v>
      </c>
      <c r="O533">
        <v>1127.22</v>
      </c>
      <c r="P533">
        <v>1269.125726</v>
      </c>
      <c r="Q533">
        <v>2396.345726</v>
      </c>
      <c r="R533">
        <v>383.41531600000002</v>
      </c>
      <c r="S533">
        <v>95.853829000000005</v>
      </c>
      <c r="T533">
        <v>2683.907213</v>
      </c>
      <c r="U533" t="s">
        <v>2846</v>
      </c>
      <c r="V533" t="s">
        <v>9408</v>
      </c>
      <c r="W533" t="s">
        <v>423</v>
      </c>
    </row>
    <row r="534" spans="1:23" hidden="1" x14ac:dyDescent="0.2">
      <c r="A534">
        <v>2012</v>
      </c>
      <c r="B534" t="s">
        <v>303</v>
      </c>
      <c r="C534" s="733">
        <v>40924</v>
      </c>
      <c r="D5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4" t="s">
        <v>485</v>
      </c>
      <c r="F534" t="s">
        <v>2065</v>
      </c>
      <c r="G534" t="s">
        <v>3900</v>
      </c>
      <c r="H534">
        <v>40350</v>
      </c>
      <c r="I534" t="s">
        <v>423</v>
      </c>
      <c r="J534" t="s">
        <v>2182</v>
      </c>
      <c r="K534" t="s">
        <v>2183</v>
      </c>
      <c r="L534" t="s">
        <v>2184</v>
      </c>
      <c r="M534">
        <v>62</v>
      </c>
      <c r="N534">
        <v>16.82</v>
      </c>
      <c r="O534">
        <v>2491.71</v>
      </c>
      <c r="P534">
        <v>0</v>
      </c>
      <c r="Q534">
        <v>2491.71</v>
      </c>
      <c r="R534">
        <v>398.67</v>
      </c>
      <c r="S534">
        <v>99.67</v>
      </c>
      <c r="T534">
        <v>2790.71</v>
      </c>
      <c r="U534" t="s">
        <v>7587</v>
      </c>
      <c r="V534" t="s">
        <v>9408</v>
      </c>
      <c r="W534" t="s">
        <v>423</v>
      </c>
    </row>
    <row r="535" spans="1:23" hidden="1" x14ac:dyDescent="0.2">
      <c r="A535">
        <v>2012</v>
      </c>
      <c r="B535" t="s">
        <v>304</v>
      </c>
      <c r="C535" s="733">
        <v>40940</v>
      </c>
      <c r="D5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5" t="s">
        <v>485</v>
      </c>
      <c r="F535" t="s">
        <v>2065</v>
      </c>
      <c r="G535" t="s">
        <v>3899</v>
      </c>
      <c r="H535">
        <v>41189</v>
      </c>
      <c r="I535" t="s">
        <v>423</v>
      </c>
      <c r="J535" t="s">
        <v>2182</v>
      </c>
      <c r="K535" t="s">
        <v>2183</v>
      </c>
      <c r="L535" t="s">
        <v>2184</v>
      </c>
      <c r="M535">
        <v>62</v>
      </c>
      <c r="N535">
        <v>15.75</v>
      </c>
      <c r="O535">
        <v>2333.1999999999998</v>
      </c>
      <c r="P535">
        <v>0</v>
      </c>
      <c r="Q535">
        <v>2333.1999999999998</v>
      </c>
      <c r="R535">
        <v>373.31</v>
      </c>
      <c r="S535">
        <v>93.33</v>
      </c>
      <c r="T535">
        <v>2613.1799999999998</v>
      </c>
      <c r="U535" t="s">
        <v>2192</v>
      </c>
      <c r="V535" t="s">
        <v>9408</v>
      </c>
      <c r="W535" t="s">
        <v>423</v>
      </c>
    </row>
    <row r="536" spans="1:23" hidden="1" x14ac:dyDescent="0.2">
      <c r="A536">
        <v>2012</v>
      </c>
      <c r="B536" t="s">
        <v>305</v>
      </c>
      <c r="C536" s="733">
        <v>40970</v>
      </c>
      <c r="D536" s="733" t="str">
        <f>CHOOSE(MONTH(Tabla_sqldatos_bonampakdb_Bon_v_ingresos2012[[#This Row],[fecha_guia]]),"Enero","Febrero","Marzo","Abril","Mayo","Junio","Julio","Agosto","Septiembre","Octubre","Noviembre","Diciembre")</f>
        <v>Marzo</v>
      </c>
      <c r="E536" t="s">
        <v>485</v>
      </c>
      <c r="F536" t="s">
        <v>2065</v>
      </c>
      <c r="G536" t="s">
        <v>9507</v>
      </c>
      <c r="H536">
        <v>42828</v>
      </c>
      <c r="I536" t="s">
        <v>423</v>
      </c>
      <c r="J536" t="s">
        <v>2182</v>
      </c>
      <c r="K536" t="s">
        <v>2183</v>
      </c>
      <c r="L536" t="s">
        <v>2184</v>
      </c>
      <c r="M536">
        <v>62</v>
      </c>
      <c r="N536">
        <v>23.36</v>
      </c>
      <c r="O536">
        <v>2636.64</v>
      </c>
      <c r="P536">
        <v>0</v>
      </c>
      <c r="Q536">
        <v>2636.64</v>
      </c>
      <c r="R536">
        <v>421.86</v>
      </c>
      <c r="S536">
        <v>105.47</v>
      </c>
      <c r="T536">
        <v>2953.03</v>
      </c>
      <c r="V536" t="s">
        <v>9408</v>
      </c>
      <c r="W536" t="s">
        <v>423</v>
      </c>
    </row>
    <row r="537" spans="1:23" hidden="1" x14ac:dyDescent="0.2">
      <c r="A537">
        <v>2012</v>
      </c>
      <c r="B537" t="s">
        <v>304</v>
      </c>
      <c r="C537" s="733">
        <v>40959</v>
      </c>
      <c r="D5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7" t="s">
        <v>485</v>
      </c>
      <c r="F537" t="s">
        <v>2065</v>
      </c>
      <c r="G537" t="s">
        <v>7850</v>
      </c>
      <c r="H537">
        <v>42194</v>
      </c>
      <c r="I537" t="s">
        <v>423</v>
      </c>
      <c r="J537" t="s">
        <v>2182</v>
      </c>
      <c r="K537" t="s">
        <v>2183</v>
      </c>
      <c r="L537" t="s">
        <v>2184</v>
      </c>
      <c r="M537">
        <v>62</v>
      </c>
      <c r="N537">
        <v>47.59</v>
      </c>
      <c r="O537">
        <v>7049.98</v>
      </c>
      <c r="P537">
        <v>0</v>
      </c>
      <c r="Q537">
        <v>7049.98</v>
      </c>
      <c r="R537">
        <v>1128</v>
      </c>
      <c r="S537">
        <v>282</v>
      </c>
      <c r="T537">
        <v>7895.98</v>
      </c>
      <c r="U537" t="s">
        <v>9411</v>
      </c>
      <c r="V537" t="s">
        <v>9409</v>
      </c>
      <c r="W537" t="s">
        <v>423</v>
      </c>
    </row>
    <row r="538" spans="1:23" hidden="1" x14ac:dyDescent="0.2">
      <c r="A538">
        <v>2012</v>
      </c>
      <c r="B538" t="s">
        <v>304</v>
      </c>
      <c r="C538" s="733">
        <v>40956.457627314812</v>
      </c>
      <c r="D5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8" t="s">
        <v>485</v>
      </c>
      <c r="F538" t="s">
        <v>2065</v>
      </c>
      <c r="G538" t="s">
        <v>7605</v>
      </c>
      <c r="H538">
        <v>42117</v>
      </c>
      <c r="I538" t="s">
        <v>423</v>
      </c>
      <c r="J538" t="s">
        <v>2182</v>
      </c>
      <c r="K538" t="s">
        <v>2183</v>
      </c>
      <c r="L538" t="s">
        <v>2184</v>
      </c>
      <c r="M538">
        <v>62</v>
      </c>
      <c r="N538">
        <v>14.14</v>
      </c>
      <c r="O538">
        <v>2094.6999999999998</v>
      </c>
      <c r="P538">
        <v>0</v>
      </c>
      <c r="Q538">
        <v>2094.6999999999998</v>
      </c>
      <c r="R538">
        <v>335.15</v>
      </c>
      <c r="S538">
        <v>83.79</v>
      </c>
      <c r="T538">
        <v>2346.06</v>
      </c>
      <c r="U538" t="s">
        <v>8048</v>
      </c>
      <c r="V538" t="s">
        <v>9408</v>
      </c>
      <c r="W538" t="s">
        <v>423</v>
      </c>
    </row>
    <row r="539" spans="1:23" hidden="1" x14ac:dyDescent="0.2">
      <c r="A539">
        <v>2012</v>
      </c>
      <c r="B539" t="s">
        <v>303</v>
      </c>
      <c r="C539" s="733">
        <v>40934</v>
      </c>
      <c r="D5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9" t="s">
        <v>485</v>
      </c>
      <c r="F539" t="s">
        <v>2065</v>
      </c>
      <c r="G539" t="s">
        <v>4227</v>
      </c>
      <c r="H539">
        <v>40924</v>
      </c>
      <c r="I539" t="s">
        <v>423</v>
      </c>
      <c r="J539" t="s">
        <v>3204</v>
      </c>
      <c r="K539" t="s">
        <v>2183</v>
      </c>
      <c r="L539" t="s">
        <v>2184</v>
      </c>
      <c r="M539">
        <v>80</v>
      </c>
      <c r="N539">
        <v>47.27</v>
      </c>
      <c r="O539">
        <v>5335.36</v>
      </c>
      <c r="P539">
        <v>0</v>
      </c>
      <c r="Q539">
        <v>5335.36</v>
      </c>
      <c r="R539">
        <v>853.66</v>
      </c>
      <c r="S539">
        <v>213.41</v>
      </c>
      <c r="T539">
        <v>5975.61</v>
      </c>
      <c r="U539" t="s">
        <v>2187</v>
      </c>
      <c r="V539" t="s">
        <v>9409</v>
      </c>
      <c r="W539" t="s">
        <v>423</v>
      </c>
    </row>
    <row r="540" spans="1:23" hidden="1" x14ac:dyDescent="0.2">
      <c r="A540">
        <v>2012</v>
      </c>
      <c r="B540" t="s">
        <v>303</v>
      </c>
      <c r="C540" s="733">
        <v>40920</v>
      </c>
      <c r="D5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0" t="s">
        <v>485</v>
      </c>
      <c r="F540" t="s">
        <v>2065</v>
      </c>
      <c r="G540" t="s">
        <v>4222</v>
      </c>
      <c r="H540">
        <v>39971</v>
      </c>
      <c r="I540" t="s">
        <v>423</v>
      </c>
      <c r="J540" t="s">
        <v>3204</v>
      </c>
      <c r="K540" t="s">
        <v>2183</v>
      </c>
      <c r="L540" t="s">
        <v>2184</v>
      </c>
      <c r="M540">
        <v>80</v>
      </c>
      <c r="N540">
        <v>52.01</v>
      </c>
      <c r="O540">
        <v>5870.37</v>
      </c>
      <c r="P540">
        <v>0</v>
      </c>
      <c r="Q540">
        <v>5870.37</v>
      </c>
      <c r="R540">
        <v>939.26</v>
      </c>
      <c r="S540">
        <v>234.81</v>
      </c>
      <c r="T540">
        <v>6574.82</v>
      </c>
      <c r="U540" t="s">
        <v>7520</v>
      </c>
      <c r="V540" t="s">
        <v>9409</v>
      </c>
      <c r="W540" t="s">
        <v>423</v>
      </c>
    </row>
    <row r="541" spans="1:23" hidden="1" x14ac:dyDescent="0.2">
      <c r="A541">
        <v>2012</v>
      </c>
      <c r="B541" t="s">
        <v>304</v>
      </c>
      <c r="C541" s="733">
        <v>40960</v>
      </c>
      <c r="D5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1" t="s">
        <v>505</v>
      </c>
      <c r="F541" t="s">
        <v>1915</v>
      </c>
      <c r="G541" t="s">
        <v>8153</v>
      </c>
      <c r="H541">
        <v>22902</v>
      </c>
      <c r="I541" t="s">
        <v>424</v>
      </c>
      <c r="J541" t="s">
        <v>1917</v>
      </c>
      <c r="K541" t="s">
        <v>1918</v>
      </c>
      <c r="L541" t="s">
        <v>1919</v>
      </c>
      <c r="M541">
        <v>267</v>
      </c>
      <c r="N541">
        <v>30</v>
      </c>
      <c r="O541">
        <v>4613.7</v>
      </c>
      <c r="P541">
        <v>0</v>
      </c>
      <c r="Q541">
        <v>4613.7</v>
      </c>
      <c r="R541">
        <v>738.19</v>
      </c>
      <c r="S541">
        <v>184.55</v>
      </c>
      <c r="T541">
        <v>5167.34</v>
      </c>
      <c r="U541" t="s">
        <v>8491</v>
      </c>
      <c r="V541" t="s">
        <v>9408</v>
      </c>
      <c r="W541" t="s">
        <v>424</v>
      </c>
    </row>
    <row r="542" spans="1:23" hidden="1" x14ac:dyDescent="0.2">
      <c r="A542">
        <v>2012</v>
      </c>
      <c r="B542" t="s">
        <v>304</v>
      </c>
      <c r="C542" s="733">
        <v>40940</v>
      </c>
      <c r="D5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2" t="s">
        <v>485</v>
      </c>
      <c r="F542" t="s">
        <v>2065</v>
      </c>
      <c r="G542" t="s">
        <v>3579</v>
      </c>
      <c r="H542">
        <v>40235</v>
      </c>
      <c r="I542" t="s">
        <v>423</v>
      </c>
      <c r="J542" t="s">
        <v>2182</v>
      </c>
      <c r="K542" t="s">
        <v>2183</v>
      </c>
      <c r="L542" t="s">
        <v>2184</v>
      </c>
      <c r="M542">
        <v>62</v>
      </c>
      <c r="N542">
        <v>16.47</v>
      </c>
      <c r="O542">
        <v>2439.87</v>
      </c>
      <c r="P542">
        <v>0</v>
      </c>
      <c r="Q542">
        <v>2439.87</v>
      </c>
      <c r="R542">
        <v>390.38</v>
      </c>
      <c r="S542">
        <v>97.59</v>
      </c>
      <c r="T542">
        <v>2732.66</v>
      </c>
      <c r="U542" t="s">
        <v>2187</v>
      </c>
      <c r="V542" t="s">
        <v>9408</v>
      </c>
      <c r="W542" t="s">
        <v>423</v>
      </c>
    </row>
    <row r="543" spans="1:23" hidden="1" x14ac:dyDescent="0.2">
      <c r="A543">
        <v>2012</v>
      </c>
      <c r="B543" t="s">
        <v>304</v>
      </c>
      <c r="C543" s="733">
        <v>40947</v>
      </c>
      <c r="D5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3" t="s">
        <v>485</v>
      </c>
      <c r="F543" t="s">
        <v>2065</v>
      </c>
      <c r="G543" t="s">
        <v>3578</v>
      </c>
      <c r="H543">
        <v>41535</v>
      </c>
      <c r="I543" t="s">
        <v>423</v>
      </c>
      <c r="J543" t="s">
        <v>2182</v>
      </c>
      <c r="K543" t="s">
        <v>2183</v>
      </c>
      <c r="L543" t="s">
        <v>2184</v>
      </c>
      <c r="M543">
        <v>62</v>
      </c>
      <c r="N543">
        <v>16.72</v>
      </c>
      <c r="O543">
        <v>2476.9</v>
      </c>
      <c r="P543">
        <v>0</v>
      </c>
      <c r="Q543">
        <v>2476.9</v>
      </c>
      <c r="R543">
        <v>396.3</v>
      </c>
      <c r="S543">
        <v>99.08</v>
      </c>
      <c r="T543">
        <v>2774.12</v>
      </c>
      <c r="U543" t="s">
        <v>2192</v>
      </c>
      <c r="V543" t="s">
        <v>9408</v>
      </c>
      <c r="W543" t="s">
        <v>423</v>
      </c>
    </row>
    <row r="544" spans="1:23" hidden="1" x14ac:dyDescent="0.2">
      <c r="A544">
        <v>2012</v>
      </c>
      <c r="B544" t="s">
        <v>303</v>
      </c>
      <c r="C544" s="733">
        <v>40928</v>
      </c>
      <c r="D5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4" t="s">
        <v>485</v>
      </c>
      <c r="F544" t="s">
        <v>2065</v>
      </c>
      <c r="G544" t="s">
        <v>3213</v>
      </c>
      <c r="H544">
        <v>39932</v>
      </c>
      <c r="I544" t="s">
        <v>424</v>
      </c>
      <c r="J544" t="s">
        <v>2114</v>
      </c>
      <c r="K544" t="s">
        <v>2102</v>
      </c>
      <c r="L544" t="s">
        <v>2115</v>
      </c>
      <c r="M544">
        <v>500</v>
      </c>
      <c r="N544">
        <v>54</v>
      </c>
      <c r="O544">
        <v>10009.44</v>
      </c>
      <c r="P544">
        <v>0</v>
      </c>
      <c r="Q544">
        <v>10009.44</v>
      </c>
      <c r="R544">
        <v>1601.51</v>
      </c>
      <c r="S544">
        <v>400.38</v>
      </c>
      <c r="T544">
        <v>11210.57</v>
      </c>
      <c r="U544" t="s">
        <v>2119</v>
      </c>
      <c r="V544" t="s">
        <v>9409</v>
      </c>
      <c r="W544" t="s">
        <v>424</v>
      </c>
    </row>
    <row r="545" spans="1:23" hidden="1" x14ac:dyDescent="0.2">
      <c r="A545">
        <v>2012</v>
      </c>
      <c r="B545" t="s">
        <v>304</v>
      </c>
      <c r="C545" s="733">
        <v>40959</v>
      </c>
      <c r="D5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5" t="s">
        <v>485</v>
      </c>
      <c r="F545" t="s">
        <v>2065</v>
      </c>
      <c r="G545" t="s">
        <v>7627</v>
      </c>
      <c r="H545">
        <v>42074</v>
      </c>
      <c r="I545" t="s">
        <v>424</v>
      </c>
      <c r="J545" t="s">
        <v>2114</v>
      </c>
      <c r="K545" t="s">
        <v>2102</v>
      </c>
      <c r="L545" t="s">
        <v>2115</v>
      </c>
      <c r="M545">
        <v>500</v>
      </c>
      <c r="N545">
        <v>54</v>
      </c>
      <c r="O545">
        <v>10009.44</v>
      </c>
      <c r="P545">
        <v>0</v>
      </c>
      <c r="Q545">
        <v>10009.44</v>
      </c>
      <c r="R545">
        <v>1601.51</v>
      </c>
      <c r="S545">
        <v>400.38</v>
      </c>
      <c r="T545">
        <v>11210.57</v>
      </c>
      <c r="U545" t="s">
        <v>8871</v>
      </c>
      <c r="V545" t="s">
        <v>9409</v>
      </c>
      <c r="W545" t="s">
        <v>424</v>
      </c>
    </row>
    <row r="546" spans="1:23" hidden="1" x14ac:dyDescent="0.2">
      <c r="A546">
        <v>2012</v>
      </c>
      <c r="B546" t="s">
        <v>303</v>
      </c>
      <c r="C546" s="733">
        <v>40931</v>
      </c>
      <c r="D5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6" t="s">
        <v>485</v>
      </c>
      <c r="F546" t="s">
        <v>2065</v>
      </c>
      <c r="G546" t="s">
        <v>5531</v>
      </c>
      <c r="H546">
        <v>40670</v>
      </c>
      <c r="I546" t="s">
        <v>424</v>
      </c>
      <c r="J546" t="s">
        <v>2135</v>
      </c>
      <c r="K546" t="s">
        <v>2102</v>
      </c>
      <c r="L546" t="s">
        <v>2115</v>
      </c>
      <c r="M546">
        <v>494</v>
      </c>
      <c r="N546">
        <v>54</v>
      </c>
      <c r="O546">
        <v>11375.64</v>
      </c>
      <c r="P546">
        <v>0</v>
      </c>
      <c r="Q546">
        <v>11375.64</v>
      </c>
      <c r="R546">
        <v>1820.1</v>
      </c>
      <c r="S546">
        <v>455.03</v>
      </c>
      <c r="T546">
        <v>12740.71</v>
      </c>
      <c r="U546" t="s">
        <v>2116</v>
      </c>
      <c r="V546" t="s">
        <v>9409</v>
      </c>
      <c r="W546" t="s">
        <v>424</v>
      </c>
    </row>
    <row r="547" spans="1:23" hidden="1" x14ac:dyDescent="0.2">
      <c r="A547">
        <v>2012</v>
      </c>
      <c r="B547" t="s">
        <v>303</v>
      </c>
      <c r="C547" s="733">
        <v>40933</v>
      </c>
      <c r="D5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7" t="s">
        <v>485</v>
      </c>
      <c r="F547" t="s">
        <v>2065</v>
      </c>
      <c r="G547" t="s">
        <v>3218</v>
      </c>
      <c r="H547">
        <v>40771</v>
      </c>
      <c r="I547" t="s">
        <v>423</v>
      </c>
      <c r="J547" t="s">
        <v>2135</v>
      </c>
      <c r="K547" t="s">
        <v>2102</v>
      </c>
      <c r="L547" t="s">
        <v>2115</v>
      </c>
      <c r="M547">
        <v>494</v>
      </c>
      <c r="N547">
        <v>38.75</v>
      </c>
      <c r="O547">
        <v>13029.69</v>
      </c>
      <c r="P547">
        <v>0</v>
      </c>
      <c r="Q547">
        <v>13029.69</v>
      </c>
      <c r="R547">
        <v>2084.75</v>
      </c>
      <c r="S547">
        <v>521.19000000000005</v>
      </c>
      <c r="T547">
        <v>14593.25</v>
      </c>
      <c r="U547" t="s">
        <v>2110</v>
      </c>
      <c r="V547" t="s">
        <v>9409</v>
      </c>
      <c r="W547" t="s">
        <v>423</v>
      </c>
    </row>
    <row r="548" spans="1:23" hidden="1" x14ac:dyDescent="0.2">
      <c r="A548">
        <v>2012</v>
      </c>
      <c r="B548" t="s">
        <v>303</v>
      </c>
      <c r="C548" s="733">
        <v>40932</v>
      </c>
      <c r="D5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8" t="s">
        <v>485</v>
      </c>
      <c r="F548" t="s">
        <v>2065</v>
      </c>
      <c r="G548" t="s">
        <v>5530</v>
      </c>
      <c r="H548">
        <v>40766</v>
      </c>
      <c r="I548" t="s">
        <v>424</v>
      </c>
      <c r="J548" t="s">
        <v>2114</v>
      </c>
      <c r="K548" t="s">
        <v>2102</v>
      </c>
      <c r="L548" t="s">
        <v>2115</v>
      </c>
      <c r="M548">
        <v>500</v>
      </c>
      <c r="N548">
        <v>54</v>
      </c>
      <c r="O548">
        <v>10009.44</v>
      </c>
      <c r="P548">
        <v>0</v>
      </c>
      <c r="Q548">
        <v>10009.44</v>
      </c>
      <c r="R548">
        <v>1601.51</v>
      </c>
      <c r="S548">
        <v>400.38</v>
      </c>
      <c r="T548">
        <v>11210.57</v>
      </c>
      <c r="U548" t="s">
        <v>2121</v>
      </c>
      <c r="V548" t="s">
        <v>9409</v>
      </c>
      <c r="W548" t="s">
        <v>424</v>
      </c>
    </row>
    <row r="549" spans="1:23" hidden="1" x14ac:dyDescent="0.2">
      <c r="A549">
        <v>2012</v>
      </c>
      <c r="B549" t="s">
        <v>304</v>
      </c>
      <c r="C549" s="733">
        <v>40947</v>
      </c>
      <c r="D5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9" t="s">
        <v>485</v>
      </c>
      <c r="F549" t="s">
        <v>2065</v>
      </c>
      <c r="G549" t="s">
        <v>3214</v>
      </c>
      <c r="H549">
        <v>41438</v>
      </c>
      <c r="I549" t="s">
        <v>424</v>
      </c>
      <c r="J549" t="s">
        <v>2114</v>
      </c>
      <c r="K549" t="s">
        <v>2102</v>
      </c>
      <c r="L549" t="s">
        <v>2115</v>
      </c>
      <c r="M549">
        <v>500</v>
      </c>
      <c r="N549">
        <v>54</v>
      </c>
      <c r="O549">
        <v>10009.44</v>
      </c>
      <c r="P549">
        <v>0</v>
      </c>
      <c r="Q549">
        <v>10009.44</v>
      </c>
      <c r="R549">
        <v>1601.51</v>
      </c>
      <c r="S549">
        <v>400.38</v>
      </c>
      <c r="T549">
        <v>11210.57</v>
      </c>
      <c r="V549" t="s">
        <v>9409</v>
      </c>
      <c r="W549" t="s">
        <v>424</v>
      </c>
    </row>
    <row r="550" spans="1:23" hidden="1" x14ac:dyDescent="0.2">
      <c r="A550">
        <v>2012</v>
      </c>
      <c r="B550" t="s">
        <v>304</v>
      </c>
      <c r="C550" s="733">
        <v>40941</v>
      </c>
      <c r="D5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0" t="s">
        <v>485</v>
      </c>
      <c r="F550" t="s">
        <v>2065</v>
      </c>
      <c r="G550" t="s">
        <v>3210</v>
      </c>
      <c r="H550">
        <v>41206</v>
      </c>
      <c r="I550" t="s">
        <v>424</v>
      </c>
      <c r="J550" t="s">
        <v>2114</v>
      </c>
      <c r="K550" t="s">
        <v>2102</v>
      </c>
      <c r="L550" t="s">
        <v>2115</v>
      </c>
      <c r="M550">
        <v>500</v>
      </c>
      <c r="N550">
        <v>54</v>
      </c>
      <c r="O550">
        <v>10009.44</v>
      </c>
      <c r="P550">
        <v>0</v>
      </c>
      <c r="Q550">
        <v>10009.44</v>
      </c>
      <c r="R550">
        <v>1601.51</v>
      </c>
      <c r="S550">
        <v>400.38</v>
      </c>
      <c r="T550">
        <v>11210.57</v>
      </c>
      <c r="U550" t="s">
        <v>8871</v>
      </c>
      <c r="V550" t="s">
        <v>9409</v>
      </c>
      <c r="W550" t="s">
        <v>424</v>
      </c>
    </row>
    <row r="551" spans="1:23" hidden="1" x14ac:dyDescent="0.2">
      <c r="A551">
        <v>2012</v>
      </c>
      <c r="B551" t="s">
        <v>304</v>
      </c>
      <c r="C551" s="733">
        <v>40966</v>
      </c>
      <c r="D5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1" t="s">
        <v>485</v>
      </c>
      <c r="F551" t="s">
        <v>2065</v>
      </c>
      <c r="G551" t="s">
        <v>8791</v>
      </c>
      <c r="H551">
        <v>42690</v>
      </c>
      <c r="I551" t="s">
        <v>423</v>
      </c>
      <c r="J551" t="s">
        <v>3204</v>
      </c>
      <c r="K551" t="s">
        <v>2183</v>
      </c>
      <c r="L551" t="s">
        <v>2184</v>
      </c>
      <c r="M551">
        <v>80</v>
      </c>
      <c r="N551">
        <v>15.14</v>
      </c>
      <c r="O551">
        <v>1708.85</v>
      </c>
      <c r="P551">
        <v>0</v>
      </c>
      <c r="Q551">
        <v>1708.85</v>
      </c>
      <c r="R551">
        <v>273.42</v>
      </c>
      <c r="S551">
        <v>68.349999999999994</v>
      </c>
      <c r="T551">
        <v>1913.92</v>
      </c>
      <c r="V551" t="s">
        <v>9408</v>
      </c>
      <c r="W551" t="s">
        <v>423</v>
      </c>
    </row>
    <row r="552" spans="1:23" hidden="1" x14ac:dyDescent="0.2">
      <c r="A552">
        <v>2012</v>
      </c>
      <c r="B552" t="s">
        <v>303</v>
      </c>
      <c r="C552" s="733">
        <v>40931</v>
      </c>
      <c r="D5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2" t="s">
        <v>485</v>
      </c>
      <c r="F552" t="s">
        <v>2065</v>
      </c>
      <c r="G552" t="s">
        <v>3221</v>
      </c>
      <c r="H552">
        <v>40640</v>
      </c>
      <c r="I552" t="s">
        <v>424</v>
      </c>
      <c r="J552" t="s">
        <v>2114</v>
      </c>
      <c r="K552" t="s">
        <v>2102</v>
      </c>
      <c r="L552" t="s">
        <v>2115</v>
      </c>
      <c r="M552">
        <v>500</v>
      </c>
      <c r="N552">
        <v>54</v>
      </c>
      <c r="O552">
        <v>10009.44</v>
      </c>
      <c r="P552">
        <v>0</v>
      </c>
      <c r="Q552">
        <v>10009.44</v>
      </c>
      <c r="R552">
        <v>1601.51</v>
      </c>
      <c r="S552">
        <v>400.38</v>
      </c>
      <c r="T552">
        <v>11210.57</v>
      </c>
      <c r="U552" t="s">
        <v>2116</v>
      </c>
      <c r="V552" t="s">
        <v>9409</v>
      </c>
      <c r="W552" t="s">
        <v>424</v>
      </c>
    </row>
    <row r="553" spans="1:23" hidden="1" x14ac:dyDescent="0.2">
      <c r="A553">
        <v>2012</v>
      </c>
      <c r="B553" t="s">
        <v>305</v>
      </c>
      <c r="C553" s="733">
        <v>40969</v>
      </c>
      <c r="D553" s="733" t="str">
        <f>CHOOSE(MONTH(Tabla_sqldatos_bonampakdb_Bon_v_ingresos2012[[#This Row],[fecha_guia]]),"Enero","Febrero","Marzo","Abril","Mayo","Junio","Julio","Agosto","Septiembre","Octubre","Noviembre","Diciembre")</f>
        <v>Marzo</v>
      </c>
      <c r="E553" t="s">
        <v>485</v>
      </c>
      <c r="F553" t="s">
        <v>2065</v>
      </c>
      <c r="G553" t="s">
        <v>9410</v>
      </c>
      <c r="H553">
        <v>42802</v>
      </c>
      <c r="I553" t="s">
        <v>423</v>
      </c>
      <c r="J553" t="s">
        <v>5479</v>
      </c>
      <c r="K553" t="s">
        <v>2102</v>
      </c>
      <c r="L553" t="s">
        <v>2115</v>
      </c>
      <c r="M553">
        <v>979</v>
      </c>
      <c r="N553">
        <v>27.69</v>
      </c>
      <c r="O553">
        <v>14845.44</v>
      </c>
      <c r="P553">
        <v>0</v>
      </c>
      <c r="Q553">
        <v>14845.44</v>
      </c>
      <c r="R553">
        <v>2375.27</v>
      </c>
      <c r="S553">
        <v>593.82000000000005</v>
      </c>
      <c r="T553">
        <v>16626.89</v>
      </c>
      <c r="V553" t="s">
        <v>9408</v>
      </c>
      <c r="W553" t="s">
        <v>423</v>
      </c>
    </row>
    <row r="554" spans="1:23" hidden="1" x14ac:dyDescent="0.2">
      <c r="A554">
        <v>2012</v>
      </c>
      <c r="B554" t="s">
        <v>304</v>
      </c>
      <c r="C554" s="733">
        <v>40941</v>
      </c>
      <c r="D5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4" t="s">
        <v>485</v>
      </c>
      <c r="F554" t="s">
        <v>2065</v>
      </c>
      <c r="G554" t="s">
        <v>3219</v>
      </c>
      <c r="H554">
        <v>41242</v>
      </c>
      <c r="I554" t="s">
        <v>423</v>
      </c>
      <c r="J554" t="s">
        <v>2345</v>
      </c>
      <c r="K554" t="s">
        <v>2102</v>
      </c>
      <c r="L554" t="s">
        <v>2115</v>
      </c>
      <c r="M554">
        <v>426</v>
      </c>
      <c r="N554">
        <v>24.83</v>
      </c>
      <c r="O554">
        <v>8349.09</v>
      </c>
      <c r="P554">
        <v>0</v>
      </c>
      <c r="Q554">
        <v>8349.09</v>
      </c>
      <c r="R554">
        <v>1335.85</v>
      </c>
      <c r="S554">
        <v>333.96</v>
      </c>
      <c r="T554">
        <v>9350.98</v>
      </c>
      <c r="V554" t="s">
        <v>9408</v>
      </c>
      <c r="W554" t="s">
        <v>423</v>
      </c>
    </row>
    <row r="555" spans="1:23" hidden="1" x14ac:dyDescent="0.2">
      <c r="A555">
        <v>2012</v>
      </c>
      <c r="B555" t="s">
        <v>303</v>
      </c>
      <c r="C555" s="733">
        <v>40912</v>
      </c>
      <c r="D5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5" t="s">
        <v>485</v>
      </c>
      <c r="F555" t="s">
        <v>2084</v>
      </c>
      <c r="G555" t="s">
        <v>3715</v>
      </c>
      <c r="H555">
        <v>39594</v>
      </c>
      <c r="I555" t="s">
        <v>423</v>
      </c>
      <c r="J555" t="s">
        <v>2836</v>
      </c>
      <c r="K555" t="s">
        <v>2814</v>
      </c>
      <c r="L555" t="s">
        <v>2815</v>
      </c>
      <c r="M555">
        <v>70</v>
      </c>
      <c r="N555">
        <v>23.216999999999999</v>
      </c>
      <c r="O555">
        <v>1103.27</v>
      </c>
      <c r="P555">
        <v>1242.16066</v>
      </c>
      <c r="Q555">
        <v>2345.43066</v>
      </c>
      <c r="R555">
        <v>375.26890600000002</v>
      </c>
      <c r="S555">
        <v>93.817226000000005</v>
      </c>
      <c r="T555">
        <v>2626.8823400000001</v>
      </c>
      <c r="U555" t="s">
        <v>2846</v>
      </c>
      <c r="V555" t="s">
        <v>9408</v>
      </c>
      <c r="W555" t="s">
        <v>423</v>
      </c>
    </row>
    <row r="556" spans="1:23" hidden="1" x14ac:dyDescent="0.2">
      <c r="A556">
        <v>2012</v>
      </c>
      <c r="B556" t="s">
        <v>304</v>
      </c>
      <c r="C556" s="733">
        <v>40940</v>
      </c>
      <c r="D5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6" t="s">
        <v>485</v>
      </c>
      <c r="F556" t="s">
        <v>2084</v>
      </c>
      <c r="G556" t="s">
        <v>3716</v>
      </c>
      <c r="H556">
        <v>41042</v>
      </c>
      <c r="I556" t="s">
        <v>423</v>
      </c>
      <c r="J556" t="s">
        <v>2836</v>
      </c>
      <c r="K556" t="s">
        <v>2814</v>
      </c>
      <c r="L556" t="s">
        <v>2815</v>
      </c>
      <c r="M556">
        <v>70</v>
      </c>
      <c r="N556">
        <v>26.315000000000001</v>
      </c>
      <c r="O556">
        <v>2970.17</v>
      </c>
      <c r="P556">
        <v>0</v>
      </c>
      <c r="Q556">
        <v>2970.17</v>
      </c>
      <c r="R556">
        <v>475.23</v>
      </c>
      <c r="S556">
        <v>118.81</v>
      </c>
      <c r="T556">
        <v>3326.59</v>
      </c>
      <c r="U556" t="s">
        <v>2826</v>
      </c>
      <c r="V556" t="s">
        <v>9408</v>
      </c>
      <c r="W556" t="s">
        <v>423</v>
      </c>
    </row>
    <row r="557" spans="1:23" hidden="1" x14ac:dyDescent="0.2">
      <c r="A557">
        <v>2012</v>
      </c>
      <c r="B557" t="s">
        <v>303</v>
      </c>
      <c r="C557" s="733">
        <v>40927</v>
      </c>
      <c r="D5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7" t="s">
        <v>485</v>
      </c>
      <c r="F557" t="s">
        <v>2065</v>
      </c>
      <c r="G557" t="s">
        <v>3223</v>
      </c>
      <c r="H557">
        <v>39691</v>
      </c>
      <c r="I557" t="s">
        <v>423</v>
      </c>
      <c r="J557" t="s">
        <v>2114</v>
      </c>
      <c r="K557" t="s">
        <v>2102</v>
      </c>
      <c r="L557" t="s">
        <v>2115</v>
      </c>
      <c r="M557">
        <v>500</v>
      </c>
      <c r="N557">
        <v>25.84</v>
      </c>
      <c r="O557">
        <v>8688.7000000000007</v>
      </c>
      <c r="P557">
        <v>0</v>
      </c>
      <c r="Q557">
        <v>8688.7000000000007</v>
      </c>
      <c r="R557">
        <v>1390.19</v>
      </c>
      <c r="S557">
        <v>347.55</v>
      </c>
      <c r="T557">
        <v>9731.34</v>
      </c>
      <c r="U557" t="s">
        <v>2108</v>
      </c>
      <c r="V557" t="s">
        <v>9408</v>
      </c>
      <c r="W557" t="s">
        <v>423</v>
      </c>
    </row>
    <row r="558" spans="1:23" hidden="1" x14ac:dyDescent="0.2">
      <c r="A558">
        <v>2012</v>
      </c>
      <c r="B558" t="s">
        <v>304</v>
      </c>
      <c r="C558" s="733">
        <v>40959</v>
      </c>
      <c r="D5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8" t="s">
        <v>485</v>
      </c>
      <c r="F558" t="s">
        <v>2065</v>
      </c>
      <c r="G558" t="s">
        <v>8193</v>
      </c>
      <c r="H558">
        <v>42180</v>
      </c>
      <c r="I558" t="s">
        <v>423</v>
      </c>
      <c r="J558" t="s">
        <v>2135</v>
      </c>
      <c r="K558" t="s">
        <v>2102</v>
      </c>
      <c r="L558" t="s">
        <v>2115</v>
      </c>
      <c r="M558">
        <v>494</v>
      </c>
      <c r="N558">
        <v>25.71</v>
      </c>
      <c r="O558">
        <v>8644.99</v>
      </c>
      <c r="P558">
        <v>0</v>
      </c>
      <c r="Q558">
        <v>8644.99</v>
      </c>
      <c r="R558">
        <v>1383.2</v>
      </c>
      <c r="S558">
        <v>345.8</v>
      </c>
      <c r="T558">
        <v>9682.39</v>
      </c>
      <c r="U558" t="s">
        <v>8883</v>
      </c>
      <c r="V558" t="s">
        <v>9408</v>
      </c>
      <c r="W558" t="s">
        <v>423</v>
      </c>
    </row>
    <row r="559" spans="1:23" hidden="1" x14ac:dyDescent="0.2">
      <c r="A559">
        <v>2012</v>
      </c>
      <c r="B559" t="s">
        <v>303</v>
      </c>
      <c r="C559" s="733">
        <v>40928</v>
      </c>
      <c r="D5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9" t="s">
        <v>485</v>
      </c>
      <c r="F559" t="s">
        <v>2065</v>
      </c>
      <c r="G559" t="s">
        <v>3217</v>
      </c>
      <c r="H559">
        <v>39921</v>
      </c>
      <c r="I559" t="s">
        <v>424</v>
      </c>
      <c r="J559" t="s">
        <v>2135</v>
      </c>
      <c r="K559" t="s">
        <v>2102</v>
      </c>
      <c r="L559" t="s">
        <v>2115</v>
      </c>
      <c r="M559">
        <v>494</v>
      </c>
      <c r="N559">
        <v>53.853000000000002</v>
      </c>
      <c r="O559">
        <v>11344.67</v>
      </c>
      <c r="P559">
        <v>0</v>
      </c>
      <c r="Q559">
        <v>11344.67</v>
      </c>
      <c r="R559">
        <v>1815.15</v>
      </c>
      <c r="S559">
        <v>453.79</v>
      </c>
      <c r="T559">
        <v>12706.03</v>
      </c>
      <c r="U559" t="s">
        <v>2119</v>
      </c>
      <c r="V559" t="s">
        <v>9409</v>
      </c>
      <c r="W559" t="s">
        <v>424</v>
      </c>
    </row>
    <row r="560" spans="1:23" hidden="1" x14ac:dyDescent="0.2">
      <c r="A560">
        <v>2012</v>
      </c>
      <c r="B560" t="s">
        <v>304</v>
      </c>
      <c r="C560" s="733">
        <v>40941</v>
      </c>
      <c r="D5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0" t="s">
        <v>485</v>
      </c>
      <c r="F560" t="s">
        <v>2065</v>
      </c>
      <c r="G560" t="s">
        <v>3222</v>
      </c>
      <c r="H560">
        <v>40171</v>
      </c>
      <c r="I560" t="s">
        <v>423</v>
      </c>
      <c r="J560" t="s">
        <v>2114</v>
      </c>
      <c r="K560" t="s">
        <v>2102</v>
      </c>
      <c r="L560" t="s">
        <v>2115</v>
      </c>
      <c r="M560">
        <v>500</v>
      </c>
      <c r="N560">
        <v>55.34</v>
      </c>
      <c r="O560">
        <v>18608.080000000002</v>
      </c>
      <c r="P560">
        <v>0</v>
      </c>
      <c r="Q560">
        <v>18608.080000000002</v>
      </c>
      <c r="R560">
        <v>2977.29</v>
      </c>
      <c r="S560">
        <v>744.32</v>
      </c>
      <c r="T560">
        <v>20841.05</v>
      </c>
      <c r="V560" t="s">
        <v>9409</v>
      </c>
      <c r="W560" t="s">
        <v>423</v>
      </c>
    </row>
    <row r="561" spans="1:23" hidden="1" x14ac:dyDescent="0.2">
      <c r="A561">
        <v>2012</v>
      </c>
      <c r="B561" t="s">
        <v>303</v>
      </c>
      <c r="C561" s="733">
        <v>40912</v>
      </c>
      <c r="D5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1" t="s">
        <v>485</v>
      </c>
      <c r="F561" t="s">
        <v>2084</v>
      </c>
      <c r="G561" t="s">
        <v>4015</v>
      </c>
      <c r="H561">
        <v>39595</v>
      </c>
      <c r="I561" t="s">
        <v>423</v>
      </c>
      <c r="J561" t="s">
        <v>2836</v>
      </c>
      <c r="K561" t="s">
        <v>2814</v>
      </c>
      <c r="L561" t="s">
        <v>2815</v>
      </c>
      <c r="M561">
        <v>70</v>
      </c>
      <c r="N561">
        <v>23.971</v>
      </c>
      <c r="O561">
        <v>1139.0999999999999</v>
      </c>
      <c r="P561">
        <v>1282.501299</v>
      </c>
      <c r="Q561">
        <v>2421.6012989999999</v>
      </c>
      <c r="R561">
        <v>387.456208</v>
      </c>
      <c r="S561">
        <v>96.864052000000001</v>
      </c>
      <c r="T561">
        <v>2712.1934550000001</v>
      </c>
      <c r="U561" t="s">
        <v>2846</v>
      </c>
      <c r="V561" t="s">
        <v>9408</v>
      </c>
      <c r="W561" t="s">
        <v>423</v>
      </c>
    </row>
    <row r="562" spans="1:23" hidden="1" x14ac:dyDescent="0.2">
      <c r="A562">
        <v>2012</v>
      </c>
      <c r="B562" t="s">
        <v>304</v>
      </c>
      <c r="C562" s="733">
        <v>40960</v>
      </c>
      <c r="D5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2" t="s">
        <v>485</v>
      </c>
      <c r="F562" t="s">
        <v>2084</v>
      </c>
      <c r="G562" t="s">
        <v>8087</v>
      </c>
      <c r="H562">
        <v>42047</v>
      </c>
      <c r="I562" t="s">
        <v>423</v>
      </c>
      <c r="J562" t="s">
        <v>2836</v>
      </c>
      <c r="K562" t="s">
        <v>2814</v>
      </c>
      <c r="L562" t="s">
        <v>2815</v>
      </c>
      <c r="M562">
        <v>70</v>
      </c>
      <c r="N562">
        <v>23.850999999999999</v>
      </c>
      <c r="O562">
        <v>2692.06</v>
      </c>
      <c r="P562">
        <v>0</v>
      </c>
      <c r="Q562">
        <v>2692.06</v>
      </c>
      <c r="R562">
        <v>296.13</v>
      </c>
      <c r="S562">
        <v>107.68</v>
      </c>
      <c r="T562">
        <v>2880.51</v>
      </c>
      <c r="U562" t="s">
        <v>8877</v>
      </c>
      <c r="V562" t="s">
        <v>9408</v>
      </c>
      <c r="W562" t="s">
        <v>423</v>
      </c>
    </row>
    <row r="563" spans="1:23" hidden="1" x14ac:dyDescent="0.2">
      <c r="A563">
        <v>2012</v>
      </c>
      <c r="B563" t="s">
        <v>305</v>
      </c>
      <c r="C563" s="733">
        <v>40970.425462962965</v>
      </c>
      <c r="D563" s="733" t="str">
        <f>CHOOSE(MONTH(Tabla_sqldatos_bonampakdb_Bon_v_ingresos2012[[#This Row],[fecha_guia]]),"Enero","Febrero","Marzo","Abril","Mayo","Junio","Julio","Agosto","Septiembre","Octubre","Noviembre","Diciembre")</f>
        <v>Marzo</v>
      </c>
      <c r="E563" t="s">
        <v>485</v>
      </c>
      <c r="F563" t="s">
        <v>2065</v>
      </c>
      <c r="G563" t="s">
        <v>9412</v>
      </c>
      <c r="H563">
        <v>43000</v>
      </c>
      <c r="I563" t="s">
        <v>423</v>
      </c>
      <c r="J563" t="s">
        <v>2182</v>
      </c>
      <c r="K563" t="s">
        <v>2183</v>
      </c>
      <c r="L563" t="s">
        <v>2184</v>
      </c>
      <c r="M563">
        <v>62</v>
      </c>
      <c r="N563">
        <v>15.65</v>
      </c>
      <c r="O563">
        <v>2318.39</v>
      </c>
      <c r="P563">
        <v>0</v>
      </c>
      <c r="Q563">
        <v>2318.39</v>
      </c>
      <c r="R563">
        <v>370.94</v>
      </c>
      <c r="S563">
        <v>92.74</v>
      </c>
      <c r="T563">
        <v>2596.59</v>
      </c>
      <c r="V563" t="s">
        <v>9408</v>
      </c>
      <c r="W563" t="s">
        <v>423</v>
      </c>
    </row>
    <row r="564" spans="1:23" hidden="1" x14ac:dyDescent="0.2">
      <c r="A564">
        <v>2012</v>
      </c>
      <c r="B564" t="s">
        <v>303</v>
      </c>
      <c r="C564" s="733">
        <v>40924</v>
      </c>
      <c r="D5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4" t="s">
        <v>485</v>
      </c>
      <c r="F564" t="s">
        <v>2065</v>
      </c>
      <c r="G564" t="s">
        <v>3577</v>
      </c>
      <c r="H564">
        <v>40344</v>
      </c>
      <c r="I564" t="s">
        <v>423</v>
      </c>
      <c r="J564" t="s">
        <v>2182</v>
      </c>
      <c r="K564" t="s">
        <v>2183</v>
      </c>
      <c r="L564" t="s">
        <v>2184</v>
      </c>
      <c r="M564">
        <v>62</v>
      </c>
      <c r="N564">
        <v>16.21</v>
      </c>
      <c r="O564">
        <v>2401.35</v>
      </c>
      <c r="P564">
        <v>0</v>
      </c>
      <c r="Q564">
        <v>2401.35</v>
      </c>
      <c r="R564">
        <v>384.22</v>
      </c>
      <c r="S564">
        <v>96.05</v>
      </c>
      <c r="T564">
        <v>2689.52</v>
      </c>
      <c r="U564" t="s">
        <v>7554</v>
      </c>
      <c r="V564" t="s">
        <v>9408</v>
      </c>
      <c r="W564" t="s">
        <v>423</v>
      </c>
    </row>
    <row r="565" spans="1:23" hidden="1" x14ac:dyDescent="0.2">
      <c r="A565">
        <v>2012</v>
      </c>
      <c r="B565" t="s">
        <v>304</v>
      </c>
      <c r="C565" s="733">
        <v>40952</v>
      </c>
      <c r="D5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5" t="s">
        <v>485</v>
      </c>
      <c r="F565" t="s">
        <v>2065</v>
      </c>
      <c r="G565" t="s">
        <v>4535</v>
      </c>
      <c r="H565">
        <v>41781</v>
      </c>
      <c r="I565" t="s">
        <v>423</v>
      </c>
      <c r="J565" t="s">
        <v>3204</v>
      </c>
      <c r="K565" t="s">
        <v>2183</v>
      </c>
      <c r="L565" t="s">
        <v>2184</v>
      </c>
      <c r="M565">
        <v>80</v>
      </c>
      <c r="N565">
        <v>26.94</v>
      </c>
      <c r="O565">
        <v>3040.72</v>
      </c>
      <c r="P565">
        <v>0</v>
      </c>
      <c r="Q565">
        <v>3040.72</v>
      </c>
      <c r="R565">
        <v>486.51</v>
      </c>
      <c r="S565">
        <v>121.63</v>
      </c>
      <c r="T565">
        <v>3405.6</v>
      </c>
      <c r="U565" t="s">
        <v>8048</v>
      </c>
      <c r="V565" t="s">
        <v>9408</v>
      </c>
      <c r="W565" t="s">
        <v>423</v>
      </c>
    </row>
    <row r="566" spans="1:23" hidden="1" x14ac:dyDescent="0.2">
      <c r="A566">
        <v>2012</v>
      </c>
      <c r="B566" t="s">
        <v>303</v>
      </c>
      <c r="C566" s="733">
        <v>40928</v>
      </c>
      <c r="D5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6" t="s">
        <v>485</v>
      </c>
      <c r="F566" t="s">
        <v>2065</v>
      </c>
      <c r="G566" t="s">
        <v>3598</v>
      </c>
      <c r="H566">
        <v>40544</v>
      </c>
      <c r="I566" t="s">
        <v>423</v>
      </c>
      <c r="J566" t="s">
        <v>3204</v>
      </c>
      <c r="K566" t="s">
        <v>2183</v>
      </c>
      <c r="L566" t="s">
        <v>2184</v>
      </c>
      <c r="M566">
        <v>80</v>
      </c>
      <c r="N566">
        <v>45.96</v>
      </c>
      <c r="O566">
        <v>5187.51</v>
      </c>
      <c r="P566">
        <v>0</v>
      </c>
      <c r="Q566">
        <v>5187.51</v>
      </c>
      <c r="R566">
        <v>830</v>
      </c>
      <c r="S566">
        <v>207.5</v>
      </c>
      <c r="T566">
        <v>5810.01</v>
      </c>
      <c r="U566" t="s">
        <v>7554</v>
      </c>
      <c r="V566" t="s">
        <v>9409</v>
      </c>
      <c r="W566" t="s">
        <v>423</v>
      </c>
    </row>
    <row r="567" spans="1:23" hidden="1" x14ac:dyDescent="0.2">
      <c r="A567">
        <v>2012</v>
      </c>
      <c r="B567" t="s">
        <v>304</v>
      </c>
      <c r="C567" s="733">
        <v>40942</v>
      </c>
      <c r="D5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7" t="s">
        <v>485</v>
      </c>
      <c r="F567" t="s">
        <v>2065</v>
      </c>
      <c r="G567" t="s">
        <v>3693</v>
      </c>
      <c r="H567">
        <v>41265</v>
      </c>
      <c r="I567" t="s">
        <v>423</v>
      </c>
      <c r="J567" t="s">
        <v>3204</v>
      </c>
      <c r="K567" t="s">
        <v>2183</v>
      </c>
      <c r="L567" t="s">
        <v>2184</v>
      </c>
      <c r="M567">
        <v>80</v>
      </c>
      <c r="N567">
        <v>48.7</v>
      </c>
      <c r="O567">
        <v>5496.77</v>
      </c>
      <c r="P567">
        <v>0</v>
      </c>
      <c r="Q567">
        <v>5496.77</v>
      </c>
      <c r="R567">
        <v>879.48</v>
      </c>
      <c r="S567">
        <v>219.87</v>
      </c>
      <c r="T567">
        <v>6156.38</v>
      </c>
      <c r="U567" t="s">
        <v>2192</v>
      </c>
      <c r="V567" t="s">
        <v>9409</v>
      </c>
      <c r="W567" t="s">
        <v>423</v>
      </c>
    </row>
    <row r="568" spans="1:23" hidden="1" x14ac:dyDescent="0.2">
      <c r="A568">
        <v>2012</v>
      </c>
      <c r="B568" t="s">
        <v>303</v>
      </c>
      <c r="C568" s="733">
        <v>40912</v>
      </c>
      <c r="D5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8" t="s">
        <v>505</v>
      </c>
      <c r="F568" t="s">
        <v>1915</v>
      </c>
      <c r="G568" t="s">
        <v>1921</v>
      </c>
      <c r="H568">
        <v>21682</v>
      </c>
      <c r="I568" t="s">
        <v>424</v>
      </c>
      <c r="J568" t="s">
        <v>1917</v>
      </c>
      <c r="K568" t="s">
        <v>1918</v>
      </c>
      <c r="L568" t="s">
        <v>1919</v>
      </c>
      <c r="M568">
        <v>267</v>
      </c>
      <c r="N568">
        <v>27</v>
      </c>
      <c r="O568">
        <v>2636.97</v>
      </c>
      <c r="P568">
        <v>1515.4402889999999</v>
      </c>
      <c r="Q568">
        <v>4152.4102890000004</v>
      </c>
      <c r="R568">
        <v>664.38564599999995</v>
      </c>
      <c r="S568">
        <v>166.09641199999999</v>
      </c>
      <c r="T568">
        <v>4650.6995230000002</v>
      </c>
      <c r="U568" t="s">
        <v>8778</v>
      </c>
      <c r="V568" t="s">
        <v>9408</v>
      </c>
      <c r="W568" t="s">
        <v>424</v>
      </c>
    </row>
    <row r="569" spans="1:23" hidden="1" x14ac:dyDescent="0.2">
      <c r="A569">
        <v>2012</v>
      </c>
      <c r="B569" t="s">
        <v>304</v>
      </c>
      <c r="C569" s="733">
        <v>40966</v>
      </c>
      <c r="D5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9" t="s">
        <v>505</v>
      </c>
      <c r="F569" t="s">
        <v>1915</v>
      </c>
      <c r="G569" t="s">
        <v>8781</v>
      </c>
      <c r="H569">
        <v>23044</v>
      </c>
      <c r="I569" t="s">
        <v>424</v>
      </c>
      <c r="J569" t="s">
        <v>1917</v>
      </c>
      <c r="K569" t="s">
        <v>1918</v>
      </c>
      <c r="L569" t="s">
        <v>1919</v>
      </c>
      <c r="M569">
        <v>267</v>
      </c>
      <c r="N569">
        <v>27</v>
      </c>
      <c r="O569">
        <v>4152.33</v>
      </c>
      <c r="P569">
        <v>0</v>
      </c>
      <c r="Q569">
        <v>4152.33</v>
      </c>
      <c r="R569">
        <v>664.37</v>
      </c>
      <c r="S569">
        <v>166.09</v>
      </c>
      <c r="T569">
        <v>4650.6099999999997</v>
      </c>
      <c r="U569" t="s">
        <v>9415</v>
      </c>
      <c r="V569" t="s">
        <v>9408</v>
      </c>
      <c r="W569" t="s">
        <v>424</v>
      </c>
    </row>
    <row r="570" spans="1:23" hidden="1" x14ac:dyDescent="0.2">
      <c r="A570">
        <v>2012</v>
      </c>
      <c r="B570" t="s">
        <v>304</v>
      </c>
      <c r="C570" s="733">
        <v>40941</v>
      </c>
      <c r="D5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0" t="s">
        <v>485</v>
      </c>
      <c r="F570" t="s">
        <v>2065</v>
      </c>
      <c r="G570" t="s">
        <v>4325</v>
      </c>
      <c r="H570">
        <v>41256</v>
      </c>
      <c r="I570" t="s">
        <v>423</v>
      </c>
      <c r="J570" t="s">
        <v>2182</v>
      </c>
      <c r="K570" t="s">
        <v>2183</v>
      </c>
      <c r="L570" t="s">
        <v>2184</v>
      </c>
      <c r="M570">
        <v>62</v>
      </c>
      <c r="N570">
        <v>26.79</v>
      </c>
      <c r="O570">
        <v>3968.67</v>
      </c>
      <c r="P570">
        <v>0</v>
      </c>
      <c r="Q570">
        <v>3968.67</v>
      </c>
      <c r="R570">
        <v>634.99</v>
      </c>
      <c r="S570">
        <v>158.75</v>
      </c>
      <c r="T570">
        <v>4444.91</v>
      </c>
      <c r="U570" t="s">
        <v>2192</v>
      </c>
      <c r="V570" t="s">
        <v>9408</v>
      </c>
      <c r="W570" t="s">
        <v>423</v>
      </c>
    </row>
    <row r="571" spans="1:23" hidden="1" x14ac:dyDescent="0.2">
      <c r="A571">
        <v>2012</v>
      </c>
      <c r="B571" t="s">
        <v>303</v>
      </c>
      <c r="C571" s="733">
        <v>40910.471539351849</v>
      </c>
      <c r="D5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1" t="s">
        <v>485</v>
      </c>
      <c r="F571" t="s">
        <v>2065</v>
      </c>
      <c r="G571" t="s">
        <v>4049</v>
      </c>
      <c r="H571">
        <v>39663</v>
      </c>
      <c r="I571" t="s">
        <v>423</v>
      </c>
      <c r="J571" t="s">
        <v>2182</v>
      </c>
      <c r="K571" t="s">
        <v>2183</v>
      </c>
      <c r="L571" t="s">
        <v>2184</v>
      </c>
      <c r="M571">
        <v>62</v>
      </c>
      <c r="N571">
        <v>16.440000000000001</v>
      </c>
      <c r="O571">
        <v>1025.3599999999999</v>
      </c>
      <c r="P571">
        <v>1154.4425699999999</v>
      </c>
      <c r="Q571">
        <v>2179.8025699999998</v>
      </c>
      <c r="R571">
        <v>348.76841100000001</v>
      </c>
      <c r="S571">
        <v>87.192103000000003</v>
      </c>
      <c r="T571">
        <v>2441.378878</v>
      </c>
      <c r="U571" t="s">
        <v>3038</v>
      </c>
      <c r="V571" t="s">
        <v>9408</v>
      </c>
      <c r="W571" t="s">
        <v>423</v>
      </c>
    </row>
    <row r="572" spans="1:23" hidden="1" x14ac:dyDescent="0.2">
      <c r="A572">
        <v>2012</v>
      </c>
      <c r="B572" t="s">
        <v>303</v>
      </c>
      <c r="C572" s="733">
        <v>40927</v>
      </c>
      <c r="D5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2" t="s">
        <v>485</v>
      </c>
      <c r="F572" t="s">
        <v>2065</v>
      </c>
      <c r="G572" t="s">
        <v>4048</v>
      </c>
      <c r="H572">
        <v>40233</v>
      </c>
      <c r="I572" t="s">
        <v>423</v>
      </c>
      <c r="J572" t="s">
        <v>2182</v>
      </c>
      <c r="K572" t="s">
        <v>2183</v>
      </c>
      <c r="L572" t="s">
        <v>2184</v>
      </c>
      <c r="M572">
        <v>62</v>
      </c>
      <c r="N572">
        <v>16.329999999999998</v>
      </c>
      <c r="O572">
        <v>2419.13</v>
      </c>
      <c r="P572">
        <v>0</v>
      </c>
      <c r="Q572">
        <v>2419.13</v>
      </c>
      <c r="R572">
        <v>387.06</v>
      </c>
      <c r="S572">
        <v>96.77</v>
      </c>
      <c r="T572">
        <v>2709.42</v>
      </c>
      <c r="U572" t="s">
        <v>7554</v>
      </c>
      <c r="V572" t="s">
        <v>9408</v>
      </c>
      <c r="W572" t="s">
        <v>423</v>
      </c>
    </row>
    <row r="573" spans="1:23" hidden="1" x14ac:dyDescent="0.2">
      <c r="A573">
        <v>2012</v>
      </c>
      <c r="B573" t="s">
        <v>303</v>
      </c>
      <c r="C573" s="733">
        <v>40928</v>
      </c>
      <c r="D5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3" t="s">
        <v>485</v>
      </c>
      <c r="F573" t="s">
        <v>2065</v>
      </c>
      <c r="G573" t="s">
        <v>3722</v>
      </c>
      <c r="H573">
        <v>40041</v>
      </c>
      <c r="I573" t="s">
        <v>424</v>
      </c>
      <c r="J573" t="s">
        <v>2114</v>
      </c>
      <c r="K573" t="s">
        <v>2102</v>
      </c>
      <c r="L573" t="s">
        <v>2115</v>
      </c>
      <c r="M573">
        <v>500</v>
      </c>
      <c r="N573">
        <v>54</v>
      </c>
      <c r="O573">
        <v>10009.44</v>
      </c>
      <c r="P573">
        <v>0</v>
      </c>
      <c r="Q573">
        <v>10009.44</v>
      </c>
      <c r="R573">
        <v>1601.51</v>
      </c>
      <c r="S573">
        <v>400.38</v>
      </c>
      <c r="T573">
        <v>11210.57</v>
      </c>
      <c r="U573" t="s">
        <v>2119</v>
      </c>
      <c r="V573" t="s">
        <v>9409</v>
      </c>
      <c r="W573" t="s">
        <v>424</v>
      </c>
    </row>
    <row r="574" spans="1:23" hidden="1" x14ac:dyDescent="0.2">
      <c r="A574">
        <v>2012</v>
      </c>
      <c r="B574" t="s">
        <v>304</v>
      </c>
      <c r="C574" s="733">
        <v>40940</v>
      </c>
      <c r="D5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4" t="s">
        <v>485</v>
      </c>
      <c r="F574" t="s">
        <v>2065</v>
      </c>
      <c r="G574" t="s">
        <v>3723</v>
      </c>
      <c r="H574">
        <v>41197</v>
      </c>
      <c r="I574" t="s">
        <v>424</v>
      </c>
      <c r="J574" t="s">
        <v>2114</v>
      </c>
      <c r="K574" t="s">
        <v>2102</v>
      </c>
      <c r="L574" t="s">
        <v>2115</v>
      </c>
      <c r="M574">
        <v>500</v>
      </c>
      <c r="N574">
        <v>54</v>
      </c>
      <c r="O574">
        <v>10009.44</v>
      </c>
      <c r="P574">
        <v>0</v>
      </c>
      <c r="Q574">
        <v>10009.44</v>
      </c>
      <c r="R574">
        <v>1601.51</v>
      </c>
      <c r="S574">
        <v>400.38</v>
      </c>
      <c r="T574">
        <v>11210.57</v>
      </c>
      <c r="U574" t="s">
        <v>8871</v>
      </c>
      <c r="V574" t="s">
        <v>9409</v>
      </c>
      <c r="W574" t="s">
        <v>424</v>
      </c>
    </row>
    <row r="575" spans="1:23" hidden="1" x14ac:dyDescent="0.2">
      <c r="A575">
        <v>2012</v>
      </c>
      <c r="B575" t="s">
        <v>304</v>
      </c>
      <c r="C575" s="733">
        <v>40949</v>
      </c>
      <c r="D5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5" t="s">
        <v>485</v>
      </c>
      <c r="F575" t="s">
        <v>2065</v>
      </c>
      <c r="G575" t="s">
        <v>3738</v>
      </c>
      <c r="H575">
        <v>41611</v>
      </c>
      <c r="I575" t="s">
        <v>424</v>
      </c>
      <c r="J575" t="s">
        <v>2114</v>
      </c>
      <c r="K575" t="s">
        <v>2102</v>
      </c>
      <c r="L575" t="s">
        <v>2115</v>
      </c>
      <c r="M575">
        <v>500</v>
      </c>
      <c r="N575">
        <v>54</v>
      </c>
      <c r="O575">
        <v>10009.44</v>
      </c>
      <c r="P575">
        <v>0</v>
      </c>
      <c r="Q575">
        <v>10009.44</v>
      </c>
      <c r="R575">
        <v>1601.51</v>
      </c>
      <c r="S575">
        <v>400.38</v>
      </c>
      <c r="T575">
        <v>11210.57</v>
      </c>
      <c r="U575" t="s">
        <v>7461</v>
      </c>
      <c r="V575" t="s">
        <v>9409</v>
      </c>
      <c r="W575" t="s">
        <v>424</v>
      </c>
    </row>
    <row r="576" spans="1:23" hidden="1" x14ac:dyDescent="0.2">
      <c r="A576">
        <v>2012</v>
      </c>
      <c r="B576" t="s">
        <v>303</v>
      </c>
      <c r="C576" s="733">
        <v>40938</v>
      </c>
      <c r="D5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6" t="s">
        <v>485</v>
      </c>
      <c r="F576" t="s">
        <v>2065</v>
      </c>
      <c r="G576" t="s">
        <v>3724</v>
      </c>
      <c r="H576">
        <v>41041</v>
      </c>
      <c r="I576" t="s">
        <v>424</v>
      </c>
      <c r="J576" t="s">
        <v>2114</v>
      </c>
      <c r="K576" t="s">
        <v>2102</v>
      </c>
      <c r="L576" t="s">
        <v>2115</v>
      </c>
      <c r="M576">
        <v>500</v>
      </c>
      <c r="N576">
        <v>52</v>
      </c>
      <c r="O576">
        <v>9638.7199999999993</v>
      </c>
      <c r="P576">
        <v>0</v>
      </c>
      <c r="Q576">
        <v>9638.7199999999993</v>
      </c>
      <c r="R576">
        <v>1542.2</v>
      </c>
      <c r="S576">
        <v>385.55</v>
      </c>
      <c r="T576">
        <v>10795.37</v>
      </c>
      <c r="U576" t="s">
        <v>2116</v>
      </c>
      <c r="V576" t="s">
        <v>9409</v>
      </c>
      <c r="W576" t="s">
        <v>424</v>
      </c>
    </row>
    <row r="577" spans="1:23" hidden="1" x14ac:dyDescent="0.2">
      <c r="A577">
        <v>2012</v>
      </c>
      <c r="B577" t="s">
        <v>303</v>
      </c>
      <c r="C577" s="733">
        <v>40928</v>
      </c>
      <c r="D5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7" t="s">
        <v>485</v>
      </c>
      <c r="F577" t="s">
        <v>2065</v>
      </c>
      <c r="G577" t="s">
        <v>3721</v>
      </c>
      <c r="H577">
        <v>39978</v>
      </c>
      <c r="I577" t="s">
        <v>424</v>
      </c>
      <c r="J577" t="s">
        <v>2114</v>
      </c>
      <c r="K577" t="s">
        <v>2102</v>
      </c>
      <c r="L577" t="s">
        <v>2115</v>
      </c>
      <c r="M577">
        <v>500</v>
      </c>
      <c r="N577">
        <v>54</v>
      </c>
      <c r="O577">
        <v>10009.44</v>
      </c>
      <c r="P577">
        <v>0</v>
      </c>
      <c r="Q577">
        <v>10009.44</v>
      </c>
      <c r="R577">
        <v>1601.51</v>
      </c>
      <c r="S577">
        <v>400.38</v>
      </c>
      <c r="T577">
        <v>11210.57</v>
      </c>
      <c r="U577" t="s">
        <v>2119</v>
      </c>
      <c r="V577" t="s">
        <v>9409</v>
      </c>
      <c r="W577" t="s">
        <v>424</v>
      </c>
    </row>
    <row r="578" spans="1:23" hidden="1" x14ac:dyDescent="0.2">
      <c r="A578">
        <v>2012</v>
      </c>
      <c r="B578" t="s">
        <v>304</v>
      </c>
      <c r="C578" s="733">
        <v>40960</v>
      </c>
      <c r="D5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8" t="s">
        <v>485</v>
      </c>
      <c r="F578" t="s">
        <v>2065</v>
      </c>
      <c r="G578" t="s">
        <v>8178</v>
      </c>
      <c r="H578">
        <v>42265</v>
      </c>
      <c r="I578" t="s">
        <v>423</v>
      </c>
      <c r="J578" t="s">
        <v>3204</v>
      </c>
      <c r="K578" t="s">
        <v>2183</v>
      </c>
      <c r="L578" t="s">
        <v>2184</v>
      </c>
      <c r="M578">
        <v>80</v>
      </c>
      <c r="N578">
        <v>16.21</v>
      </c>
      <c r="O578">
        <v>1829.62</v>
      </c>
      <c r="P578">
        <v>0</v>
      </c>
      <c r="Q578">
        <v>1829.62</v>
      </c>
      <c r="R578">
        <v>292.74</v>
      </c>
      <c r="S578">
        <v>73.180000000000007</v>
      </c>
      <c r="T578">
        <v>2049.1799999999998</v>
      </c>
      <c r="U578" t="s">
        <v>9411</v>
      </c>
      <c r="V578" t="s">
        <v>9408</v>
      </c>
      <c r="W578" t="s">
        <v>423</v>
      </c>
    </row>
    <row r="579" spans="1:23" hidden="1" x14ac:dyDescent="0.2">
      <c r="A579">
        <v>2012</v>
      </c>
      <c r="B579" t="s">
        <v>303</v>
      </c>
      <c r="C579" s="733">
        <v>40935</v>
      </c>
      <c r="D5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9" t="s">
        <v>485</v>
      </c>
      <c r="F579" t="s">
        <v>2065</v>
      </c>
      <c r="G579" t="s">
        <v>3728</v>
      </c>
      <c r="H579">
        <v>40921</v>
      </c>
      <c r="I579" t="s">
        <v>424</v>
      </c>
      <c r="J579" t="s">
        <v>2114</v>
      </c>
      <c r="K579" t="s">
        <v>2102</v>
      </c>
      <c r="L579" t="s">
        <v>2115</v>
      </c>
      <c r="M579">
        <v>500</v>
      </c>
      <c r="N579">
        <v>54</v>
      </c>
      <c r="O579">
        <v>10009.44</v>
      </c>
      <c r="P579">
        <v>0</v>
      </c>
      <c r="Q579">
        <v>10009.44</v>
      </c>
      <c r="R579">
        <v>1601.51</v>
      </c>
      <c r="S579">
        <v>400.38</v>
      </c>
      <c r="T579">
        <v>11210.57</v>
      </c>
      <c r="U579" t="s">
        <v>2116</v>
      </c>
      <c r="V579" t="s">
        <v>9409</v>
      </c>
      <c r="W579" t="s">
        <v>424</v>
      </c>
    </row>
    <row r="580" spans="1:23" hidden="1" x14ac:dyDescent="0.2">
      <c r="A580">
        <v>2012</v>
      </c>
      <c r="B580" t="s">
        <v>303</v>
      </c>
      <c r="C580" s="733">
        <v>40918</v>
      </c>
      <c r="D5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0" t="s">
        <v>485</v>
      </c>
      <c r="F580" t="s">
        <v>2065</v>
      </c>
      <c r="G580" t="s">
        <v>5478</v>
      </c>
      <c r="H580">
        <v>39924</v>
      </c>
      <c r="I580" t="s">
        <v>423</v>
      </c>
      <c r="J580" t="s">
        <v>5479</v>
      </c>
      <c r="K580" t="s">
        <v>2102</v>
      </c>
      <c r="L580" t="s">
        <v>2115</v>
      </c>
      <c r="M580">
        <v>979</v>
      </c>
      <c r="N580">
        <v>52.59</v>
      </c>
      <c r="O580">
        <v>28195.08</v>
      </c>
      <c r="P580">
        <v>0</v>
      </c>
      <c r="Q580">
        <v>28195.08</v>
      </c>
      <c r="R580">
        <v>4511.21</v>
      </c>
      <c r="S580">
        <v>1127.8</v>
      </c>
      <c r="T580">
        <v>31578.49</v>
      </c>
      <c r="U580" t="s">
        <v>2106</v>
      </c>
      <c r="V580" t="s">
        <v>9409</v>
      </c>
      <c r="W580" t="s">
        <v>423</v>
      </c>
    </row>
    <row r="581" spans="1:23" hidden="1" x14ac:dyDescent="0.2">
      <c r="A581">
        <v>2012</v>
      </c>
      <c r="B581" t="s">
        <v>304</v>
      </c>
      <c r="C581" s="733">
        <v>40961</v>
      </c>
      <c r="D5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1" t="s">
        <v>485</v>
      </c>
      <c r="F581" t="s">
        <v>2065</v>
      </c>
      <c r="G581" t="s">
        <v>8270</v>
      </c>
      <c r="H581">
        <v>42315</v>
      </c>
      <c r="I581" t="s">
        <v>424</v>
      </c>
      <c r="J581" t="s">
        <v>2135</v>
      </c>
      <c r="K581" t="s">
        <v>2102</v>
      </c>
      <c r="L581" t="s">
        <v>2115</v>
      </c>
      <c r="M581">
        <v>494</v>
      </c>
      <c r="N581">
        <v>54</v>
      </c>
      <c r="O581">
        <v>11375.64</v>
      </c>
      <c r="P581">
        <v>0</v>
      </c>
      <c r="Q581">
        <v>11375.64</v>
      </c>
      <c r="R581">
        <v>1820.1</v>
      </c>
      <c r="S581">
        <v>455.03</v>
      </c>
      <c r="T581">
        <v>12740.71</v>
      </c>
      <c r="U581" t="s">
        <v>8871</v>
      </c>
      <c r="V581" t="s">
        <v>9409</v>
      </c>
      <c r="W581" t="s">
        <v>424</v>
      </c>
    </row>
    <row r="582" spans="1:23" hidden="1" x14ac:dyDescent="0.2">
      <c r="A582">
        <v>2012</v>
      </c>
      <c r="B582" t="s">
        <v>303</v>
      </c>
      <c r="C582" s="733">
        <v>40920</v>
      </c>
      <c r="D5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2" t="s">
        <v>485</v>
      </c>
      <c r="F582" t="s">
        <v>2065</v>
      </c>
      <c r="G582" t="s">
        <v>3740</v>
      </c>
      <c r="H582">
        <v>40025</v>
      </c>
      <c r="I582" t="s">
        <v>423</v>
      </c>
      <c r="J582" t="s">
        <v>2345</v>
      </c>
      <c r="K582" t="s">
        <v>2102</v>
      </c>
      <c r="L582" t="s">
        <v>2115</v>
      </c>
      <c r="M582">
        <v>426</v>
      </c>
      <c r="N582">
        <v>25.71</v>
      </c>
      <c r="O582">
        <v>8644.99</v>
      </c>
      <c r="P582">
        <v>0</v>
      </c>
      <c r="Q582">
        <v>8644.99</v>
      </c>
      <c r="R582">
        <v>1383.2</v>
      </c>
      <c r="S582">
        <v>345.8</v>
      </c>
      <c r="T582">
        <v>9682.39</v>
      </c>
      <c r="U582" t="s">
        <v>2106</v>
      </c>
      <c r="V582" t="s">
        <v>9408</v>
      </c>
      <c r="W582" t="s">
        <v>423</v>
      </c>
    </row>
    <row r="583" spans="1:23" hidden="1" x14ac:dyDescent="0.2">
      <c r="A583">
        <v>2012</v>
      </c>
      <c r="B583" t="s">
        <v>303</v>
      </c>
      <c r="C583" s="733">
        <v>40912</v>
      </c>
      <c r="D5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3" t="s">
        <v>485</v>
      </c>
      <c r="F583" t="s">
        <v>2084</v>
      </c>
      <c r="G583" t="s">
        <v>3857</v>
      </c>
      <c r="H583">
        <v>39477</v>
      </c>
      <c r="I583" t="s">
        <v>423</v>
      </c>
      <c r="J583" t="s">
        <v>2836</v>
      </c>
      <c r="K583" t="s">
        <v>2814</v>
      </c>
      <c r="L583" t="s">
        <v>2815</v>
      </c>
      <c r="M583">
        <v>70</v>
      </c>
      <c r="N583">
        <v>23.805</v>
      </c>
      <c r="O583">
        <v>1131.21</v>
      </c>
      <c r="P583">
        <v>1273.618027</v>
      </c>
      <c r="Q583">
        <v>2404.828027</v>
      </c>
      <c r="R583">
        <v>384.77248400000002</v>
      </c>
      <c r="S583">
        <v>96.193121000000005</v>
      </c>
      <c r="T583">
        <v>2693.4073899999999</v>
      </c>
      <c r="U583" t="s">
        <v>2846</v>
      </c>
      <c r="V583" t="s">
        <v>9408</v>
      </c>
      <c r="W583" t="s">
        <v>423</v>
      </c>
    </row>
    <row r="584" spans="1:23" x14ac:dyDescent="0.2">
      <c r="A584">
        <v>2012</v>
      </c>
      <c r="B584" t="s">
        <v>304</v>
      </c>
      <c r="C584" s="733">
        <v>40967</v>
      </c>
      <c r="D5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4" t="s">
        <v>485</v>
      </c>
      <c r="F584" t="s">
        <v>2084</v>
      </c>
      <c r="G584" t="s">
        <v>8942</v>
      </c>
      <c r="H584">
        <v>42171</v>
      </c>
      <c r="I584" t="s">
        <v>423</v>
      </c>
      <c r="J584" t="s">
        <v>2836</v>
      </c>
      <c r="K584" t="s">
        <v>2814</v>
      </c>
      <c r="L584" t="s">
        <v>2815</v>
      </c>
      <c r="M584">
        <v>70</v>
      </c>
      <c r="N584">
        <v>24.629000000000001</v>
      </c>
      <c r="O584">
        <v>2779.88</v>
      </c>
      <c r="P584">
        <v>0</v>
      </c>
      <c r="Q584">
        <v>2779.88</v>
      </c>
      <c r="R584">
        <v>305.79000000000002</v>
      </c>
      <c r="S584">
        <v>111.2</v>
      </c>
      <c r="T584">
        <v>2974.47</v>
      </c>
      <c r="U584" t="s">
        <v>8877</v>
      </c>
      <c r="V584" t="s">
        <v>9408</v>
      </c>
      <c r="W584" t="s">
        <v>423</v>
      </c>
    </row>
    <row r="585" spans="1:23" hidden="1" x14ac:dyDescent="0.2">
      <c r="A585">
        <v>2012</v>
      </c>
      <c r="B585" t="s">
        <v>304</v>
      </c>
      <c r="C585" s="733">
        <v>40948</v>
      </c>
      <c r="D5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5" t="s">
        <v>485</v>
      </c>
      <c r="F585" t="s">
        <v>2065</v>
      </c>
      <c r="G585" t="s">
        <v>3726</v>
      </c>
      <c r="H585">
        <v>41583</v>
      </c>
      <c r="I585" t="s">
        <v>423</v>
      </c>
      <c r="J585" t="s">
        <v>2345</v>
      </c>
      <c r="K585" t="s">
        <v>2102</v>
      </c>
      <c r="L585" t="s">
        <v>2115</v>
      </c>
      <c r="M585">
        <v>426</v>
      </c>
      <c r="N585">
        <v>48.52</v>
      </c>
      <c r="O585">
        <v>16314.85</v>
      </c>
      <c r="P585">
        <v>0</v>
      </c>
      <c r="Q585">
        <v>16314.85</v>
      </c>
      <c r="R585">
        <v>2610.38</v>
      </c>
      <c r="S585">
        <v>652.59</v>
      </c>
      <c r="T585">
        <v>18272.64</v>
      </c>
      <c r="U585" t="s">
        <v>7462</v>
      </c>
      <c r="V585" t="s">
        <v>9409</v>
      </c>
      <c r="W585" t="s">
        <v>423</v>
      </c>
    </row>
    <row r="586" spans="1:23" hidden="1" x14ac:dyDescent="0.2">
      <c r="A586">
        <v>2012</v>
      </c>
      <c r="B586" t="s">
        <v>303</v>
      </c>
      <c r="C586" s="733">
        <v>40928</v>
      </c>
      <c r="D5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6" t="s">
        <v>485</v>
      </c>
      <c r="F586" t="s">
        <v>2065</v>
      </c>
      <c r="G586" t="s">
        <v>5484</v>
      </c>
      <c r="H586">
        <v>40475</v>
      </c>
      <c r="I586" t="s">
        <v>424</v>
      </c>
      <c r="J586" t="s">
        <v>2135</v>
      </c>
      <c r="K586" t="s">
        <v>2102</v>
      </c>
      <c r="L586" t="s">
        <v>2115</v>
      </c>
      <c r="M586">
        <v>494</v>
      </c>
      <c r="N586">
        <v>54</v>
      </c>
      <c r="O586">
        <v>11375.64</v>
      </c>
      <c r="P586">
        <v>0</v>
      </c>
      <c r="Q586">
        <v>11375.64</v>
      </c>
      <c r="R586">
        <v>1820.1</v>
      </c>
      <c r="S586">
        <v>455.03</v>
      </c>
      <c r="T586">
        <v>12740.71</v>
      </c>
      <c r="U586" t="s">
        <v>2119</v>
      </c>
      <c r="V586" t="s">
        <v>9409</v>
      </c>
      <c r="W586" t="s">
        <v>424</v>
      </c>
    </row>
    <row r="587" spans="1:23" hidden="1" x14ac:dyDescent="0.2">
      <c r="A587">
        <v>2012</v>
      </c>
      <c r="B587" t="s">
        <v>303</v>
      </c>
      <c r="C587" s="733">
        <v>40932</v>
      </c>
      <c r="D5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7" t="s">
        <v>485</v>
      </c>
      <c r="F587" t="s">
        <v>2084</v>
      </c>
      <c r="G587" t="s">
        <v>3986</v>
      </c>
      <c r="H587">
        <v>40315</v>
      </c>
      <c r="I587" t="s">
        <v>423</v>
      </c>
      <c r="J587" t="s">
        <v>2836</v>
      </c>
      <c r="K587" t="s">
        <v>2814</v>
      </c>
      <c r="L587" t="s">
        <v>2815</v>
      </c>
      <c r="M587">
        <v>70</v>
      </c>
      <c r="N587">
        <v>24.132000000000001</v>
      </c>
      <c r="O587">
        <v>2723.78</v>
      </c>
      <c r="P587">
        <v>0</v>
      </c>
      <c r="Q587">
        <v>2723.78</v>
      </c>
      <c r="R587">
        <v>435.8</v>
      </c>
      <c r="S587">
        <v>108.95</v>
      </c>
      <c r="T587">
        <v>3050.63</v>
      </c>
      <c r="U587" t="s">
        <v>2826</v>
      </c>
      <c r="V587" t="s">
        <v>9408</v>
      </c>
      <c r="W587" t="s">
        <v>423</v>
      </c>
    </row>
    <row r="588" spans="1:23" hidden="1" x14ac:dyDescent="0.2">
      <c r="A588">
        <v>2012</v>
      </c>
      <c r="B588" t="s">
        <v>304</v>
      </c>
      <c r="C588" s="733">
        <v>40949</v>
      </c>
      <c r="D5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8" t="s">
        <v>485</v>
      </c>
      <c r="F588" t="s">
        <v>2084</v>
      </c>
      <c r="G588" t="s">
        <v>3987</v>
      </c>
      <c r="H588">
        <v>41423</v>
      </c>
      <c r="I588" t="s">
        <v>423</v>
      </c>
      <c r="J588" t="s">
        <v>2836</v>
      </c>
      <c r="K588" t="s">
        <v>2814</v>
      </c>
      <c r="L588" t="s">
        <v>2815</v>
      </c>
      <c r="M588">
        <v>70</v>
      </c>
      <c r="N588">
        <v>26.02</v>
      </c>
      <c r="O588">
        <v>2936.88</v>
      </c>
      <c r="P588">
        <v>0</v>
      </c>
      <c r="Q588">
        <v>2936.88</v>
      </c>
      <c r="R588">
        <v>323.06</v>
      </c>
      <c r="S588">
        <v>117.48</v>
      </c>
      <c r="T588">
        <v>3142.46</v>
      </c>
      <c r="U588" t="s">
        <v>7527</v>
      </c>
      <c r="V588" t="s">
        <v>9408</v>
      </c>
      <c r="W588" t="s">
        <v>423</v>
      </c>
    </row>
    <row r="589" spans="1:23" hidden="1" x14ac:dyDescent="0.2">
      <c r="A589">
        <v>2012</v>
      </c>
      <c r="B589" t="s">
        <v>303</v>
      </c>
      <c r="C589" s="733">
        <v>40926</v>
      </c>
      <c r="D5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9" t="s">
        <v>485</v>
      </c>
      <c r="F589" t="s">
        <v>2084</v>
      </c>
      <c r="G589" t="s">
        <v>4339</v>
      </c>
      <c r="H589">
        <v>40262</v>
      </c>
      <c r="I589" t="s">
        <v>423</v>
      </c>
      <c r="J589" t="s">
        <v>2836</v>
      </c>
      <c r="K589" t="s">
        <v>2814</v>
      </c>
      <c r="L589" t="s">
        <v>2815</v>
      </c>
      <c r="M589">
        <v>70</v>
      </c>
      <c r="N589">
        <v>23.765999999999998</v>
      </c>
      <c r="O589">
        <v>2682.47</v>
      </c>
      <c r="P589">
        <v>0</v>
      </c>
      <c r="Q589">
        <v>2682.47</v>
      </c>
      <c r="R589">
        <v>429.19</v>
      </c>
      <c r="S589">
        <v>107.3</v>
      </c>
      <c r="T589">
        <v>3004.36</v>
      </c>
      <c r="U589" t="s">
        <v>2824</v>
      </c>
      <c r="V589" t="s">
        <v>9408</v>
      </c>
      <c r="W589" t="s">
        <v>423</v>
      </c>
    </row>
    <row r="590" spans="1:23" hidden="1" x14ac:dyDescent="0.2">
      <c r="A590">
        <v>2012</v>
      </c>
      <c r="B590" t="s">
        <v>303</v>
      </c>
      <c r="C590" s="733">
        <v>40932</v>
      </c>
      <c r="D5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0" t="s">
        <v>485</v>
      </c>
      <c r="F590" t="s">
        <v>2084</v>
      </c>
      <c r="G590" t="s">
        <v>3856</v>
      </c>
      <c r="H590">
        <v>40617</v>
      </c>
      <c r="I590" t="s">
        <v>423</v>
      </c>
      <c r="J590" t="s">
        <v>2836</v>
      </c>
      <c r="K590" t="s">
        <v>2814</v>
      </c>
      <c r="L590" t="s">
        <v>2815</v>
      </c>
      <c r="M590">
        <v>70</v>
      </c>
      <c r="N590">
        <v>27.780999999999999</v>
      </c>
      <c r="O590">
        <v>3135.64</v>
      </c>
      <c r="P590">
        <v>0</v>
      </c>
      <c r="Q590">
        <v>3135.64</v>
      </c>
      <c r="R590">
        <v>501.7</v>
      </c>
      <c r="S590">
        <v>125.43</v>
      </c>
      <c r="T590">
        <v>3511.91</v>
      </c>
      <c r="U590" t="s">
        <v>2826</v>
      </c>
      <c r="V590" t="s">
        <v>9408</v>
      </c>
      <c r="W590" t="s">
        <v>423</v>
      </c>
    </row>
    <row r="591" spans="1:23" hidden="1" x14ac:dyDescent="0.2">
      <c r="A591">
        <v>2012</v>
      </c>
      <c r="B591" t="s">
        <v>304</v>
      </c>
      <c r="C591" s="733">
        <v>40947</v>
      </c>
      <c r="D5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1" t="s">
        <v>485</v>
      </c>
      <c r="F591" t="s">
        <v>2065</v>
      </c>
      <c r="G591" t="s">
        <v>4046</v>
      </c>
      <c r="H591">
        <v>41530</v>
      </c>
      <c r="I591" t="s">
        <v>423</v>
      </c>
      <c r="J591" t="s">
        <v>2182</v>
      </c>
      <c r="K591" t="s">
        <v>2183</v>
      </c>
      <c r="L591" t="s">
        <v>2184</v>
      </c>
      <c r="M591">
        <v>62</v>
      </c>
      <c r="N591">
        <v>15.59</v>
      </c>
      <c r="O591">
        <v>2309.5</v>
      </c>
      <c r="P591">
        <v>0</v>
      </c>
      <c r="Q591">
        <v>2309.5</v>
      </c>
      <c r="R591">
        <v>369.52</v>
      </c>
      <c r="S591">
        <v>92.38</v>
      </c>
      <c r="T591">
        <v>2586.64</v>
      </c>
      <c r="U591" t="s">
        <v>2192</v>
      </c>
      <c r="V591" t="s">
        <v>9408</v>
      </c>
      <c r="W591" t="s">
        <v>423</v>
      </c>
    </row>
    <row r="592" spans="1:23" hidden="1" x14ac:dyDescent="0.2">
      <c r="A592">
        <v>2012</v>
      </c>
      <c r="B592" t="s">
        <v>304</v>
      </c>
      <c r="C592" s="733">
        <v>40953</v>
      </c>
      <c r="D5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2" t="s">
        <v>485</v>
      </c>
      <c r="F592" t="s">
        <v>2065</v>
      </c>
      <c r="G592" t="s">
        <v>4329</v>
      </c>
      <c r="H592">
        <v>41902</v>
      </c>
      <c r="I592" t="s">
        <v>423</v>
      </c>
      <c r="J592" t="s">
        <v>3204</v>
      </c>
      <c r="K592" t="s">
        <v>2183</v>
      </c>
      <c r="L592" t="s">
        <v>2184</v>
      </c>
      <c r="M592">
        <v>80</v>
      </c>
      <c r="N592">
        <v>49.25</v>
      </c>
      <c r="O592">
        <v>5558.85</v>
      </c>
      <c r="P592">
        <v>0</v>
      </c>
      <c r="Q592">
        <v>5558.85</v>
      </c>
      <c r="R592">
        <v>889.42</v>
      </c>
      <c r="S592">
        <v>222.35</v>
      </c>
      <c r="T592">
        <v>6225.92</v>
      </c>
      <c r="U592" t="s">
        <v>8048</v>
      </c>
      <c r="V592" t="s">
        <v>9409</v>
      </c>
      <c r="W592" t="s">
        <v>423</v>
      </c>
    </row>
    <row r="593" spans="1:23" hidden="1" x14ac:dyDescent="0.2">
      <c r="A593">
        <v>2012</v>
      </c>
      <c r="B593" t="s">
        <v>305</v>
      </c>
      <c r="C593" s="733">
        <v>40969</v>
      </c>
      <c r="D593" s="733" t="str">
        <f>CHOOSE(MONTH(Tabla_sqldatos_bonampakdb_Bon_v_ingresos2012[[#This Row],[fecha_guia]]),"Enero","Febrero","Marzo","Abril","Mayo","Junio","Julio","Agosto","Septiembre","Octubre","Noviembre","Diciembre")</f>
        <v>Marzo</v>
      </c>
      <c r="E593" t="s">
        <v>485</v>
      </c>
      <c r="F593" t="s">
        <v>2065</v>
      </c>
      <c r="G593" t="s">
        <v>9594</v>
      </c>
      <c r="H593">
        <v>42878</v>
      </c>
      <c r="I593" t="s">
        <v>423</v>
      </c>
      <c r="J593" t="s">
        <v>3204</v>
      </c>
      <c r="K593" t="s">
        <v>2183</v>
      </c>
      <c r="L593" t="s">
        <v>2184</v>
      </c>
      <c r="M593">
        <v>80</v>
      </c>
      <c r="N593">
        <v>49.04</v>
      </c>
      <c r="O593">
        <v>5535.14</v>
      </c>
      <c r="P593">
        <v>0</v>
      </c>
      <c r="Q593">
        <v>5535.14</v>
      </c>
      <c r="R593">
        <v>885.62</v>
      </c>
      <c r="S593">
        <v>221.41</v>
      </c>
      <c r="T593">
        <v>6199.35</v>
      </c>
      <c r="V593" t="s">
        <v>9409</v>
      </c>
      <c r="W593" t="s">
        <v>423</v>
      </c>
    </row>
    <row r="594" spans="1:23" hidden="1" x14ac:dyDescent="0.2">
      <c r="A594">
        <v>2012</v>
      </c>
      <c r="B594" t="s">
        <v>304</v>
      </c>
      <c r="C594" s="733">
        <v>40948</v>
      </c>
      <c r="D5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4" t="s">
        <v>485</v>
      </c>
      <c r="F594" t="s">
        <v>2065</v>
      </c>
      <c r="G594" t="s">
        <v>4324</v>
      </c>
      <c r="H594">
        <v>41545</v>
      </c>
      <c r="I594" t="s">
        <v>423</v>
      </c>
      <c r="J594" t="s">
        <v>3204</v>
      </c>
      <c r="K594" t="s">
        <v>2183</v>
      </c>
      <c r="L594" t="s">
        <v>2184</v>
      </c>
      <c r="M594">
        <v>80</v>
      </c>
      <c r="N594">
        <v>45.32</v>
      </c>
      <c r="O594">
        <v>5115.2700000000004</v>
      </c>
      <c r="P594">
        <v>0</v>
      </c>
      <c r="Q594">
        <v>5115.2700000000004</v>
      </c>
      <c r="R594">
        <v>818.44</v>
      </c>
      <c r="S594">
        <v>204.61</v>
      </c>
      <c r="T594">
        <v>5729.1</v>
      </c>
      <c r="U594" t="s">
        <v>2192</v>
      </c>
      <c r="V594" t="s">
        <v>9409</v>
      </c>
      <c r="W594" t="s">
        <v>423</v>
      </c>
    </row>
    <row r="595" spans="1:23" hidden="1" x14ac:dyDescent="0.2">
      <c r="A595">
        <v>2012</v>
      </c>
      <c r="B595" t="s">
        <v>304</v>
      </c>
      <c r="C595" s="733">
        <v>40963</v>
      </c>
      <c r="D5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5" t="s">
        <v>485</v>
      </c>
      <c r="F595" t="s">
        <v>2065</v>
      </c>
      <c r="G595" t="s">
        <v>8526</v>
      </c>
      <c r="H595">
        <v>42513</v>
      </c>
      <c r="I595" t="s">
        <v>423</v>
      </c>
      <c r="J595" t="s">
        <v>3204</v>
      </c>
      <c r="K595" t="s">
        <v>2183</v>
      </c>
      <c r="L595" t="s">
        <v>2184</v>
      </c>
      <c r="M595">
        <v>80</v>
      </c>
      <c r="N595">
        <v>52.25</v>
      </c>
      <c r="O595">
        <v>5897.46</v>
      </c>
      <c r="P595">
        <v>0</v>
      </c>
      <c r="Q595">
        <v>5897.46</v>
      </c>
      <c r="R595">
        <v>943.59</v>
      </c>
      <c r="S595">
        <v>235.9</v>
      </c>
      <c r="T595">
        <v>6605.15</v>
      </c>
      <c r="U595" t="s">
        <v>9411</v>
      </c>
      <c r="V595" t="s">
        <v>9409</v>
      </c>
      <c r="W595" t="s">
        <v>423</v>
      </c>
    </row>
    <row r="596" spans="1:23" hidden="1" x14ac:dyDescent="0.2">
      <c r="A596">
        <v>2012</v>
      </c>
      <c r="B596" t="s">
        <v>304</v>
      </c>
      <c r="C596" s="733">
        <v>40960</v>
      </c>
      <c r="D5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6" t="s">
        <v>485</v>
      </c>
      <c r="F596" t="s">
        <v>2065</v>
      </c>
      <c r="G596" t="s">
        <v>7513</v>
      </c>
      <c r="H596">
        <v>41970</v>
      </c>
      <c r="I596" t="s">
        <v>423</v>
      </c>
      <c r="J596" t="s">
        <v>3204</v>
      </c>
      <c r="K596" t="s">
        <v>2183</v>
      </c>
      <c r="L596" t="s">
        <v>2184</v>
      </c>
      <c r="M596">
        <v>80</v>
      </c>
      <c r="N596">
        <v>15.98</v>
      </c>
      <c r="O596">
        <v>2367.2800000000002</v>
      </c>
      <c r="P596">
        <v>0</v>
      </c>
      <c r="Q596">
        <v>2367.2800000000002</v>
      </c>
      <c r="R596">
        <v>378.76</v>
      </c>
      <c r="S596">
        <v>94.69</v>
      </c>
      <c r="T596">
        <v>2651.35</v>
      </c>
      <c r="U596" t="s">
        <v>9411</v>
      </c>
      <c r="V596" t="s">
        <v>9408</v>
      </c>
      <c r="W596" t="s">
        <v>423</v>
      </c>
    </row>
    <row r="597" spans="1:23" hidden="1" x14ac:dyDescent="0.2">
      <c r="A597">
        <v>2012</v>
      </c>
      <c r="B597" t="s">
        <v>303</v>
      </c>
      <c r="C597" s="733">
        <v>40913.870023148149</v>
      </c>
      <c r="D5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7" t="s">
        <v>478</v>
      </c>
      <c r="F597" t="s">
        <v>2622</v>
      </c>
      <c r="G597" t="s">
        <v>2949</v>
      </c>
      <c r="H597">
        <v>34269</v>
      </c>
      <c r="I597" t="s">
        <v>423</v>
      </c>
      <c r="J597" t="s">
        <v>2624</v>
      </c>
      <c r="K597" t="s">
        <v>2625</v>
      </c>
      <c r="L597" t="s">
        <v>2626</v>
      </c>
      <c r="M597">
        <v>10</v>
      </c>
      <c r="N597">
        <v>23.47</v>
      </c>
      <c r="O597">
        <v>1115.29</v>
      </c>
      <c r="P597">
        <v>1255.481953</v>
      </c>
      <c r="Q597">
        <v>2370.7719529999999</v>
      </c>
      <c r="R597">
        <v>379.32351199999999</v>
      </c>
      <c r="S597">
        <v>94.830877999999998</v>
      </c>
      <c r="T597">
        <v>2655.2645870000001</v>
      </c>
      <c r="U597" t="s">
        <v>2635</v>
      </c>
      <c r="V597" t="s">
        <v>9408</v>
      </c>
      <c r="W597" t="s">
        <v>423</v>
      </c>
    </row>
    <row r="598" spans="1:23" hidden="1" x14ac:dyDescent="0.2">
      <c r="A598">
        <v>2012</v>
      </c>
      <c r="B598" t="s">
        <v>305</v>
      </c>
      <c r="C598" s="733">
        <v>40969.696979166663</v>
      </c>
      <c r="D598" s="733" t="str">
        <f>CHOOSE(MONTH(Tabla_sqldatos_bonampakdb_Bon_v_ingresos2012[[#This Row],[fecha_guia]]),"Enero","Febrero","Marzo","Abril","Mayo","Junio","Julio","Agosto","Septiembre","Octubre","Noviembre","Diciembre")</f>
        <v>Marzo</v>
      </c>
      <c r="E598" t="s">
        <v>478</v>
      </c>
      <c r="F598" t="s">
        <v>2622</v>
      </c>
      <c r="G598" t="s">
        <v>9454</v>
      </c>
      <c r="H598">
        <v>36226</v>
      </c>
      <c r="I598" t="s">
        <v>423</v>
      </c>
      <c r="J598" t="s">
        <v>2624</v>
      </c>
      <c r="K598" t="s">
        <v>2625</v>
      </c>
      <c r="L598" t="s">
        <v>2626</v>
      </c>
      <c r="M598">
        <v>10</v>
      </c>
      <c r="N598">
        <v>24.57</v>
      </c>
      <c r="O598">
        <v>2772.72</v>
      </c>
      <c r="P598">
        <v>0</v>
      </c>
      <c r="Q598">
        <v>2772.72</v>
      </c>
      <c r="R598">
        <v>443.64</v>
      </c>
      <c r="S598">
        <v>110.91</v>
      </c>
      <c r="T598">
        <v>3105.45</v>
      </c>
      <c r="V598" t="s">
        <v>9408</v>
      </c>
      <c r="W598" t="s">
        <v>423</v>
      </c>
    </row>
    <row r="599" spans="1:23" hidden="1" x14ac:dyDescent="0.2">
      <c r="A599">
        <v>2012</v>
      </c>
      <c r="B599" t="s">
        <v>303</v>
      </c>
      <c r="C599" s="733">
        <v>40932.475763888891</v>
      </c>
      <c r="D5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9" t="s">
        <v>478</v>
      </c>
      <c r="F599" t="s">
        <v>2622</v>
      </c>
      <c r="G599" t="s">
        <v>2944</v>
      </c>
      <c r="H599">
        <v>34900</v>
      </c>
      <c r="I599" t="s">
        <v>423</v>
      </c>
      <c r="J599" t="s">
        <v>2624</v>
      </c>
      <c r="K599" t="s">
        <v>2625</v>
      </c>
      <c r="L599" t="s">
        <v>2626</v>
      </c>
      <c r="M599">
        <v>10</v>
      </c>
      <c r="N599">
        <v>23.8</v>
      </c>
      <c r="O599">
        <v>2685.83</v>
      </c>
      <c r="P599">
        <v>0</v>
      </c>
      <c r="Q599">
        <v>2685.83</v>
      </c>
      <c r="R599">
        <v>429.73</v>
      </c>
      <c r="S599">
        <v>107.43</v>
      </c>
      <c r="T599">
        <v>3008.13</v>
      </c>
      <c r="U599" t="s">
        <v>2633</v>
      </c>
      <c r="V599" t="s">
        <v>9408</v>
      </c>
      <c r="W599" t="s">
        <v>423</v>
      </c>
    </row>
    <row r="600" spans="1:23" hidden="1" x14ac:dyDescent="0.2">
      <c r="A600">
        <v>2012</v>
      </c>
      <c r="B600" t="s">
        <v>303</v>
      </c>
      <c r="C600" s="733">
        <v>40929.888113425928</v>
      </c>
      <c r="D6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0" t="s">
        <v>478</v>
      </c>
      <c r="F600" t="s">
        <v>2622</v>
      </c>
      <c r="G600" t="s">
        <v>2959</v>
      </c>
      <c r="H600">
        <v>34822</v>
      </c>
      <c r="I600" t="s">
        <v>423</v>
      </c>
      <c r="J600" t="s">
        <v>2624</v>
      </c>
      <c r="K600" t="s">
        <v>2625</v>
      </c>
      <c r="L600" t="s">
        <v>2626</v>
      </c>
      <c r="M600">
        <v>10</v>
      </c>
      <c r="N600">
        <v>22.85</v>
      </c>
      <c r="O600">
        <v>2578.62</v>
      </c>
      <c r="P600">
        <v>0</v>
      </c>
      <c r="Q600">
        <v>2578.62</v>
      </c>
      <c r="R600">
        <v>412.58</v>
      </c>
      <c r="S600">
        <v>103.14</v>
      </c>
      <c r="T600">
        <v>2888.06</v>
      </c>
      <c r="U600" t="s">
        <v>2633</v>
      </c>
      <c r="V600" t="s">
        <v>9408</v>
      </c>
      <c r="W600" t="s">
        <v>423</v>
      </c>
    </row>
    <row r="601" spans="1:23" hidden="1" x14ac:dyDescent="0.2">
      <c r="A601">
        <v>2012</v>
      </c>
      <c r="B601" t="s">
        <v>303</v>
      </c>
      <c r="C601" s="733">
        <v>40921.591284722221</v>
      </c>
      <c r="D6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1" t="s">
        <v>478</v>
      </c>
      <c r="F601" t="s">
        <v>2622</v>
      </c>
      <c r="G601" t="s">
        <v>2967</v>
      </c>
      <c r="H601">
        <v>34496</v>
      </c>
      <c r="I601" t="s">
        <v>423</v>
      </c>
      <c r="J601" t="s">
        <v>2624</v>
      </c>
      <c r="K601" t="s">
        <v>2625</v>
      </c>
      <c r="L601" t="s">
        <v>2626</v>
      </c>
      <c r="M601">
        <v>10</v>
      </c>
      <c r="N601">
        <v>23.17</v>
      </c>
      <c r="O601">
        <v>2614.73</v>
      </c>
      <c r="P601">
        <v>0</v>
      </c>
      <c r="Q601">
        <v>2614.73</v>
      </c>
      <c r="R601">
        <v>418.36</v>
      </c>
      <c r="S601">
        <v>104.59</v>
      </c>
      <c r="T601">
        <v>2928.5</v>
      </c>
      <c r="U601" t="s">
        <v>2627</v>
      </c>
      <c r="V601" t="s">
        <v>9408</v>
      </c>
      <c r="W601" t="s">
        <v>423</v>
      </c>
    </row>
    <row r="602" spans="1:23" hidden="1" x14ac:dyDescent="0.2">
      <c r="A602">
        <v>2012</v>
      </c>
      <c r="B602" t="s">
        <v>303</v>
      </c>
      <c r="C602" s="733">
        <v>40939</v>
      </c>
      <c r="D6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2" t="s">
        <v>478</v>
      </c>
      <c r="F602" t="s">
        <v>2622</v>
      </c>
      <c r="G602" t="s">
        <v>2960</v>
      </c>
      <c r="H602">
        <v>35123</v>
      </c>
      <c r="I602" t="s">
        <v>423</v>
      </c>
      <c r="J602" t="s">
        <v>2624</v>
      </c>
      <c r="K602" t="s">
        <v>2625</v>
      </c>
      <c r="L602" t="s">
        <v>2626</v>
      </c>
      <c r="M602">
        <v>10</v>
      </c>
      <c r="N602">
        <v>20.83</v>
      </c>
      <c r="O602">
        <v>2350.67</v>
      </c>
      <c r="P602">
        <v>0</v>
      </c>
      <c r="Q602">
        <v>2350.67</v>
      </c>
      <c r="R602">
        <v>376.11</v>
      </c>
      <c r="S602">
        <v>94.03</v>
      </c>
      <c r="T602">
        <v>2632.75</v>
      </c>
      <c r="U602" t="s">
        <v>2630</v>
      </c>
      <c r="V602" t="s">
        <v>9408</v>
      </c>
      <c r="W602" t="s">
        <v>423</v>
      </c>
    </row>
    <row r="603" spans="1:23" hidden="1" x14ac:dyDescent="0.2">
      <c r="A603">
        <v>2012</v>
      </c>
      <c r="B603" t="s">
        <v>304</v>
      </c>
      <c r="C603" s="733">
        <v>40954</v>
      </c>
      <c r="D6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3" t="s">
        <v>478</v>
      </c>
      <c r="F603" t="s">
        <v>2622</v>
      </c>
      <c r="G603" t="s">
        <v>7748</v>
      </c>
      <c r="H603">
        <v>35648</v>
      </c>
      <c r="I603" t="s">
        <v>423</v>
      </c>
      <c r="J603" t="s">
        <v>2624</v>
      </c>
      <c r="K603" t="s">
        <v>2625</v>
      </c>
      <c r="L603" t="s">
        <v>2626</v>
      </c>
      <c r="M603">
        <v>10</v>
      </c>
      <c r="N603">
        <v>26.92</v>
      </c>
      <c r="O603">
        <v>3037.92</v>
      </c>
      <c r="P603">
        <v>0</v>
      </c>
      <c r="Q603">
        <v>3037.92</v>
      </c>
      <c r="R603">
        <v>486.07</v>
      </c>
      <c r="S603">
        <v>121.52</v>
      </c>
      <c r="T603">
        <v>3402.47</v>
      </c>
      <c r="U603" t="s">
        <v>7548</v>
      </c>
      <c r="V603" t="s">
        <v>9408</v>
      </c>
      <c r="W603" t="s">
        <v>423</v>
      </c>
    </row>
    <row r="604" spans="1:23" hidden="1" x14ac:dyDescent="0.2">
      <c r="A604">
        <v>2012</v>
      </c>
      <c r="B604" t="s">
        <v>303</v>
      </c>
      <c r="C604" s="733">
        <v>40927</v>
      </c>
      <c r="D6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4" t="s">
        <v>478</v>
      </c>
      <c r="F604" t="s">
        <v>2622</v>
      </c>
      <c r="G604" t="s">
        <v>2950</v>
      </c>
      <c r="H604">
        <v>34606</v>
      </c>
      <c r="I604" t="s">
        <v>423</v>
      </c>
      <c r="J604" t="s">
        <v>2624</v>
      </c>
      <c r="K604" t="s">
        <v>2625</v>
      </c>
      <c r="L604" t="s">
        <v>2626</v>
      </c>
      <c r="M604">
        <v>10</v>
      </c>
      <c r="N604">
        <v>26.96</v>
      </c>
      <c r="O604">
        <v>3042.44</v>
      </c>
      <c r="P604">
        <v>0</v>
      </c>
      <c r="Q604">
        <v>3042.44</v>
      </c>
      <c r="R604">
        <v>486.79</v>
      </c>
      <c r="S604">
        <v>121.7</v>
      </c>
      <c r="T604">
        <v>3407.53</v>
      </c>
      <c r="U604" t="s">
        <v>2627</v>
      </c>
      <c r="V604" t="s">
        <v>9408</v>
      </c>
      <c r="W604" t="s">
        <v>423</v>
      </c>
    </row>
    <row r="605" spans="1:23" hidden="1" x14ac:dyDescent="0.2">
      <c r="A605">
        <v>2012</v>
      </c>
      <c r="B605" t="s">
        <v>304</v>
      </c>
      <c r="C605" s="733">
        <v>40967.439363425925</v>
      </c>
      <c r="D6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5" t="s">
        <v>478</v>
      </c>
      <c r="F605" t="s">
        <v>2622</v>
      </c>
      <c r="G605" t="s">
        <v>8892</v>
      </c>
      <c r="H605">
        <v>36117</v>
      </c>
      <c r="I605" t="s">
        <v>423</v>
      </c>
      <c r="J605" t="s">
        <v>2624</v>
      </c>
      <c r="K605" t="s">
        <v>2625</v>
      </c>
      <c r="L605" t="s">
        <v>2626</v>
      </c>
      <c r="M605">
        <v>10</v>
      </c>
      <c r="N605">
        <v>24.02</v>
      </c>
      <c r="O605">
        <v>2710.66</v>
      </c>
      <c r="P605">
        <v>0</v>
      </c>
      <c r="Q605">
        <v>2710.66</v>
      </c>
      <c r="R605">
        <v>433.71</v>
      </c>
      <c r="S605">
        <v>108.43</v>
      </c>
      <c r="T605">
        <v>3035.94</v>
      </c>
      <c r="U605" t="s">
        <v>9428</v>
      </c>
      <c r="V605" t="s">
        <v>9408</v>
      </c>
      <c r="W605" t="s">
        <v>423</v>
      </c>
    </row>
    <row r="606" spans="1:23" hidden="1" x14ac:dyDescent="0.2">
      <c r="A606">
        <v>2012</v>
      </c>
      <c r="B606" t="s">
        <v>305</v>
      </c>
      <c r="C606" s="733">
        <v>40970</v>
      </c>
      <c r="D606" s="733" t="str">
        <f>CHOOSE(MONTH(Tabla_sqldatos_bonampakdb_Bon_v_ingresos2012[[#This Row],[fecha_guia]]),"Enero","Febrero","Marzo","Abril","Mayo","Junio","Julio","Agosto","Septiembre","Octubre","Noviembre","Diciembre")</f>
        <v>Marzo</v>
      </c>
      <c r="E606" t="s">
        <v>478</v>
      </c>
      <c r="F606" t="s">
        <v>2136</v>
      </c>
      <c r="G606" t="s">
        <v>9659</v>
      </c>
      <c r="H606">
        <v>36295</v>
      </c>
      <c r="I606" t="s">
        <v>423</v>
      </c>
      <c r="J606" t="s">
        <v>2624</v>
      </c>
      <c r="K606" t="s">
        <v>2625</v>
      </c>
      <c r="L606" t="s">
        <v>2626</v>
      </c>
      <c r="M606">
        <v>10</v>
      </c>
      <c r="N606">
        <v>21.8</v>
      </c>
      <c r="O606">
        <v>2460.13</v>
      </c>
      <c r="P606">
        <v>0</v>
      </c>
      <c r="Q606">
        <v>2460.13</v>
      </c>
      <c r="R606">
        <v>393.62</v>
      </c>
      <c r="S606">
        <v>98.41</v>
      </c>
      <c r="T606">
        <v>2755.34</v>
      </c>
      <c r="V606" t="s">
        <v>9408</v>
      </c>
      <c r="W606" t="s">
        <v>423</v>
      </c>
    </row>
    <row r="607" spans="1:23" hidden="1" x14ac:dyDescent="0.2">
      <c r="A607">
        <v>2012</v>
      </c>
      <c r="B607" t="s">
        <v>305</v>
      </c>
      <c r="C607" s="733">
        <v>40970</v>
      </c>
      <c r="D607" s="733" t="str">
        <f>CHOOSE(MONTH(Tabla_sqldatos_bonampakdb_Bon_v_ingresos2012[[#This Row],[fecha_guia]]),"Enero","Febrero","Marzo","Abril","Mayo","Junio","Julio","Agosto","Septiembre","Octubre","Noviembre","Diciembre")</f>
        <v>Marzo</v>
      </c>
      <c r="E607" t="s">
        <v>478</v>
      </c>
      <c r="F607" t="s">
        <v>2136</v>
      </c>
      <c r="G607" t="s">
        <v>9660</v>
      </c>
      <c r="H607">
        <v>36298</v>
      </c>
      <c r="I607" t="s">
        <v>423</v>
      </c>
      <c r="J607" t="s">
        <v>2624</v>
      </c>
      <c r="K607" t="s">
        <v>2625</v>
      </c>
      <c r="L607" t="s">
        <v>2626</v>
      </c>
      <c r="M607">
        <v>10</v>
      </c>
      <c r="N607">
        <v>20.190000000000001</v>
      </c>
      <c r="O607">
        <v>2278.44</v>
      </c>
      <c r="P607">
        <v>0</v>
      </c>
      <c r="Q607">
        <v>2278.44</v>
      </c>
      <c r="R607">
        <v>364.55</v>
      </c>
      <c r="S607">
        <v>91.14</v>
      </c>
      <c r="T607">
        <v>2551.85</v>
      </c>
      <c r="V607" t="s">
        <v>9408</v>
      </c>
      <c r="W607" t="s">
        <v>423</v>
      </c>
    </row>
    <row r="608" spans="1:23" hidden="1" x14ac:dyDescent="0.2">
      <c r="A608">
        <v>2012</v>
      </c>
      <c r="B608" t="s">
        <v>304</v>
      </c>
      <c r="C608" s="733">
        <v>40960</v>
      </c>
      <c r="D6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8" t="s">
        <v>478</v>
      </c>
      <c r="F608" t="s">
        <v>2136</v>
      </c>
      <c r="G608" t="s">
        <v>8296</v>
      </c>
      <c r="H608">
        <v>35869</v>
      </c>
      <c r="I608" t="s">
        <v>423</v>
      </c>
      <c r="J608" t="s">
        <v>2624</v>
      </c>
      <c r="K608" t="s">
        <v>2625</v>
      </c>
      <c r="L608" t="s">
        <v>2626</v>
      </c>
      <c r="M608">
        <v>10</v>
      </c>
      <c r="N608">
        <v>22.93</v>
      </c>
      <c r="O608">
        <v>2587.65</v>
      </c>
      <c r="P608">
        <v>0</v>
      </c>
      <c r="Q608">
        <v>2587.65</v>
      </c>
      <c r="R608">
        <v>414.02</v>
      </c>
      <c r="S608">
        <v>103.51</v>
      </c>
      <c r="T608">
        <v>2898.16</v>
      </c>
      <c r="U608" t="s">
        <v>8267</v>
      </c>
      <c r="V608" t="s">
        <v>9408</v>
      </c>
      <c r="W608" t="s">
        <v>423</v>
      </c>
    </row>
    <row r="609" spans="1:23" hidden="1" x14ac:dyDescent="0.2">
      <c r="A609">
        <v>2012</v>
      </c>
      <c r="B609" t="s">
        <v>304</v>
      </c>
      <c r="C609" s="733">
        <v>40966</v>
      </c>
      <c r="D6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9" t="s">
        <v>478</v>
      </c>
      <c r="F609" t="s">
        <v>2136</v>
      </c>
      <c r="G609" t="s">
        <v>8893</v>
      </c>
      <c r="H609">
        <v>36010</v>
      </c>
      <c r="I609" t="s">
        <v>423</v>
      </c>
      <c r="J609" t="s">
        <v>2624</v>
      </c>
      <c r="K609" t="s">
        <v>2625</v>
      </c>
      <c r="L609" t="s">
        <v>2626</v>
      </c>
      <c r="M609">
        <v>10</v>
      </c>
      <c r="N609">
        <v>21.14</v>
      </c>
      <c r="O609">
        <v>2385.65</v>
      </c>
      <c r="P609">
        <v>0</v>
      </c>
      <c r="Q609">
        <v>2385.65</v>
      </c>
      <c r="R609">
        <v>381.7</v>
      </c>
      <c r="S609">
        <v>95.43</v>
      </c>
      <c r="T609">
        <v>2671.92</v>
      </c>
      <c r="U609" t="s">
        <v>9428</v>
      </c>
      <c r="V609" t="s">
        <v>9408</v>
      </c>
      <c r="W609" t="s">
        <v>423</v>
      </c>
    </row>
    <row r="610" spans="1:23" hidden="1" x14ac:dyDescent="0.2">
      <c r="A610">
        <v>2012</v>
      </c>
      <c r="B610" t="s">
        <v>303</v>
      </c>
      <c r="C610" s="733">
        <v>40932.463217592594</v>
      </c>
      <c r="D6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0" t="s">
        <v>478</v>
      </c>
      <c r="F610" t="s">
        <v>2136</v>
      </c>
      <c r="G610" t="s">
        <v>2952</v>
      </c>
      <c r="H610">
        <v>34897</v>
      </c>
      <c r="I610" t="s">
        <v>423</v>
      </c>
      <c r="J610" t="s">
        <v>2624</v>
      </c>
      <c r="K610" t="s">
        <v>2625</v>
      </c>
      <c r="L610" t="s">
        <v>2626</v>
      </c>
      <c r="M610">
        <v>10</v>
      </c>
      <c r="N610">
        <v>22.91</v>
      </c>
      <c r="O610">
        <v>2585.39</v>
      </c>
      <c r="P610">
        <v>0</v>
      </c>
      <c r="Q610">
        <v>2585.39</v>
      </c>
      <c r="R610">
        <v>413.66</v>
      </c>
      <c r="S610">
        <v>103.42</v>
      </c>
      <c r="T610">
        <v>2895.63</v>
      </c>
      <c r="U610" t="s">
        <v>2633</v>
      </c>
      <c r="V610" t="s">
        <v>9408</v>
      </c>
      <c r="W610" t="s">
        <v>423</v>
      </c>
    </row>
    <row r="611" spans="1:23" hidden="1" x14ac:dyDescent="0.2">
      <c r="A611">
        <v>2012</v>
      </c>
      <c r="B611" t="s">
        <v>304</v>
      </c>
      <c r="C611" s="733">
        <v>40954</v>
      </c>
      <c r="D6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1" t="s">
        <v>478</v>
      </c>
      <c r="F611" t="s">
        <v>2622</v>
      </c>
      <c r="G611" t="s">
        <v>7675</v>
      </c>
      <c r="H611">
        <v>35594</v>
      </c>
      <c r="I611" t="s">
        <v>423</v>
      </c>
      <c r="J611" t="s">
        <v>2624</v>
      </c>
      <c r="K611" t="s">
        <v>2625</v>
      </c>
      <c r="L611" t="s">
        <v>2626</v>
      </c>
      <c r="M611">
        <v>10</v>
      </c>
      <c r="N611">
        <v>25.21</v>
      </c>
      <c r="O611">
        <v>2844.95</v>
      </c>
      <c r="P611">
        <v>0</v>
      </c>
      <c r="Q611">
        <v>2844.95</v>
      </c>
      <c r="R611">
        <v>455.19</v>
      </c>
      <c r="S611">
        <v>113.8</v>
      </c>
      <c r="T611">
        <v>3186.34</v>
      </c>
      <c r="U611" t="s">
        <v>7548</v>
      </c>
      <c r="V611" t="s">
        <v>9408</v>
      </c>
      <c r="W611" t="s">
        <v>423</v>
      </c>
    </row>
    <row r="612" spans="1:23" hidden="1" x14ac:dyDescent="0.2">
      <c r="A612">
        <v>2012</v>
      </c>
      <c r="B612" t="s">
        <v>304</v>
      </c>
      <c r="C612" s="733">
        <v>40954</v>
      </c>
      <c r="D6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2" t="s">
        <v>478</v>
      </c>
      <c r="F612" t="s">
        <v>2622</v>
      </c>
      <c r="G612" t="s">
        <v>7673</v>
      </c>
      <c r="H612">
        <v>35588</v>
      </c>
      <c r="I612" t="s">
        <v>423</v>
      </c>
      <c r="J612" t="s">
        <v>2624</v>
      </c>
      <c r="K612" t="s">
        <v>2625</v>
      </c>
      <c r="L612" t="s">
        <v>2626</v>
      </c>
      <c r="M612">
        <v>10</v>
      </c>
      <c r="N612">
        <v>25.66</v>
      </c>
      <c r="O612">
        <v>2895.73</v>
      </c>
      <c r="P612">
        <v>0</v>
      </c>
      <c r="Q612">
        <v>2895.73</v>
      </c>
      <c r="R612">
        <v>463.32</v>
      </c>
      <c r="S612">
        <v>115.83</v>
      </c>
      <c r="T612">
        <v>3243.22</v>
      </c>
      <c r="U612" t="s">
        <v>7548</v>
      </c>
      <c r="V612" t="s">
        <v>9408</v>
      </c>
      <c r="W612" t="s">
        <v>423</v>
      </c>
    </row>
    <row r="613" spans="1:23" hidden="1" x14ac:dyDescent="0.2">
      <c r="A613">
        <v>2012</v>
      </c>
      <c r="B613" t="s">
        <v>303</v>
      </c>
      <c r="C613" s="733">
        <v>40926</v>
      </c>
      <c r="D6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3" t="s">
        <v>478</v>
      </c>
      <c r="F613" t="s">
        <v>2622</v>
      </c>
      <c r="G613" t="s">
        <v>2943</v>
      </c>
      <c r="H613">
        <v>34603</v>
      </c>
      <c r="I613" t="s">
        <v>423</v>
      </c>
      <c r="J613" t="s">
        <v>2624</v>
      </c>
      <c r="K613" t="s">
        <v>2625</v>
      </c>
      <c r="L613" t="s">
        <v>2626</v>
      </c>
      <c r="M613">
        <v>10</v>
      </c>
      <c r="N613">
        <v>26.14</v>
      </c>
      <c r="O613">
        <v>2949.9</v>
      </c>
      <c r="P613">
        <v>0</v>
      </c>
      <c r="Q613">
        <v>2949.9</v>
      </c>
      <c r="R613">
        <v>471.98</v>
      </c>
      <c r="S613">
        <v>118</v>
      </c>
      <c r="T613">
        <v>3303.88</v>
      </c>
      <c r="U613" t="s">
        <v>2627</v>
      </c>
      <c r="V613" t="s">
        <v>9408</v>
      </c>
      <c r="W613" t="s">
        <v>423</v>
      </c>
    </row>
    <row r="614" spans="1:23" hidden="1" x14ac:dyDescent="0.2">
      <c r="A614">
        <v>2012</v>
      </c>
      <c r="B614" t="s">
        <v>304</v>
      </c>
      <c r="C614" s="733">
        <v>40954</v>
      </c>
      <c r="D6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4" t="s">
        <v>478</v>
      </c>
      <c r="F614" t="s">
        <v>2622</v>
      </c>
      <c r="G614" t="s">
        <v>7700</v>
      </c>
      <c r="H614">
        <v>35636</v>
      </c>
      <c r="I614" t="s">
        <v>423</v>
      </c>
      <c r="J614" t="s">
        <v>2668</v>
      </c>
      <c r="K614" t="s">
        <v>2625</v>
      </c>
      <c r="L614" t="s">
        <v>2626</v>
      </c>
      <c r="M614">
        <v>76</v>
      </c>
      <c r="N614">
        <v>25.15</v>
      </c>
      <c r="O614">
        <v>2838.18</v>
      </c>
      <c r="P614">
        <v>0</v>
      </c>
      <c r="Q614">
        <v>2838.18</v>
      </c>
      <c r="R614">
        <v>454.11</v>
      </c>
      <c r="S614">
        <v>113.53</v>
      </c>
      <c r="T614">
        <v>3178.76</v>
      </c>
      <c r="U614" t="s">
        <v>8267</v>
      </c>
      <c r="V614" t="s">
        <v>9408</v>
      </c>
      <c r="W614" t="s">
        <v>423</v>
      </c>
    </row>
    <row r="615" spans="1:23" hidden="1" x14ac:dyDescent="0.2">
      <c r="A615">
        <v>2012</v>
      </c>
      <c r="B615" t="s">
        <v>303</v>
      </c>
      <c r="C615" s="733">
        <v>40935</v>
      </c>
      <c r="D6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5" t="s">
        <v>485</v>
      </c>
      <c r="F615" t="s">
        <v>2048</v>
      </c>
      <c r="G615" t="s">
        <v>6756</v>
      </c>
      <c r="H615">
        <v>40979</v>
      </c>
      <c r="I615" t="s">
        <v>423</v>
      </c>
      <c r="J615" t="s">
        <v>4093</v>
      </c>
      <c r="K615" t="s">
        <v>2051</v>
      </c>
      <c r="L615" t="s">
        <v>2052</v>
      </c>
      <c r="M615">
        <v>647</v>
      </c>
      <c r="N615">
        <v>49.05</v>
      </c>
      <c r="O615">
        <v>18557.09</v>
      </c>
      <c r="P615">
        <v>0</v>
      </c>
      <c r="Q615">
        <v>18557.09</v>
      </c>
      <c r="R615">
        <v>2969.13</v>
      </c>
      <c r="S615">
        <v>742.28</v>
      </c>
      <c r="T615">
        <v>20783.939999999999</v>
      </c>
      <c r="U615" t="s">
        <v>2053</v>
      </c>
      <c r="V615" t="s">
        <v>9409</v>
      </c>
      <c r="W615" t="s">
        <v>423</v>
      </c>
    </row>
    <row r="616" spans="1:23" hidden="1" x14ac:dyDescent="0.2">
      <c r="A616">
        <v>2012</v>
      </c>
      <c r="B616" t="s">
        <v>303</v>
      </c>
      <c r="C616" s="733">
        <v>40933.777256944442</v>
      </c>
      <c r="D6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6" t="s">
        <v>478</v>
      </c>
      <c r="F616" t="s">
        <v>2142</v>
      </c>
      <c r="G616" t="s">
        <v>2953</v>
      </c>
      <c r="H616">
        <v>34955</v>
      </c>
      <c r="I616" t="s">
        <v>423</v>
      </c>
      <c r="J616" t="s">
        <v>2639</v>
      </c>
      <c r="K616" t="s">
        <v>2640</v>
      </c>
      <c r="L616" t="s">
        <v>2641</v>
      </c>
      <c r="M616">
        <v>274</v>
      </c>
      <c r="N616">
        <v>53.7</v>
      </c>
      <c r="O616">
        <v>6902.6</v>
      </c>
      <c r="P616">
        <v>0</v>
      </c>
      <c r="Q616">
        <v>6902.6</v>
      </c>
      <c r="R616">
        <v>1104.42</v>
      </c>
      <c r="S616">
        <v>276.10000000000002</v>
      </c>
      <c r="T616">
        <v>7730.92</v>
      </c>
      <c r="V616" t="s">
        <v>9409</v>
      </c>
      <c r="W616" t="s">
        <v>423</v>
      </c>
    </row>
    <row r="617" spans="1:23" hidden="1" x14ac:dyDescent="0.2">
      <c r="A617">
        <v>2012</v>
      </c>
      <c r="B617" t="s">
        <v>304</v>
      </c>
      <c r="C617" s="733">
        <v>40947</v>
      </c>
      <c r="D6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7" t="s">
        <v>478</v>
      </c>
      <c r="F617" t="s">
        <v>2142</v>
      </c>
      <c r="G617" t="s">
        <v>2954</v>
      </c>
      <c r="H617">
        <v>35222</v>
      </c>
      <c r="I617" t="s">
        <v>423</v>
      </c>
      <c r="J617" t="s">
        <v>2639</v>
      </c>
      <c r="K617" t="s">
        <v>2640</v>
      </c>
      <c r="L617" t="s">
        <v>2641</v>
      </c>
      <c r="M617">
        <v>274</v>
      </c>
      <c r="N617">
        <v>51.03</v>
      </c>
      <c r="O617">
        <v>6559.4</v>
      </c>
      <c r="P617">
        <v>0</v>
      </c>
      <c r="Q617">
        <v>6559.4</v>
      </c>
      <c r="R617">
        <v>1049.5</v>
      </c>
      <c r="S617">
        <v>262.38</v>
      </c>
      <c r="T617">
        <v>7346.52</v>
      </c>
      <c r="U617" t="s">
        <v>2887</v>
      </c>
      <c r="V617" t="s">
        <v>9409</v>
      </c>
      <c r="W617" t="s">
        <v>423</v>
      </c>
    </row>
    <row r="618" spans="1:23" hidden="1" x14ac:dyDescent="0.2">
      <c r="A618">
        <v>2012</v>
      </c>
      <c r="B618" t="s">
        <v>303</v>
      </c>
      <c r="C618" s="733">
        <v>40932.449189814812</v>
      </c>
      <c r="D6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8" t="s">
        <v>478</v>
      </c>
      <c r="F618" t="s">
        <v>2622</v>
      </c>
      <c r="G618" t="s">
        <v>2968</v>
      </c>
      <c r="H618">
        <v>34891</v>
      </c>
      <c r="I618" t="s">
        <v>423</v>
      </c>
      <c r="J618" t="s">
        <v>2624</v>
      </c>
      <c r="K618" t="s">
        <v>2625</v>
      </c>
      <c r="L618" t="s">
        <v>2626</v>
      </c>
      <c r="M618">
        <v>10</v>
      </c>
      <c r="N618">
        <v>24.19</v>
      </c>
      <c r="O618">
        <v>2729.84</v>
      </c>
      <c r="P618">
        <v>0</v>
      </c>
      <c r="Q618">
        <v>2729.84</v>
      </c>
      <c r="R618">
        <v>436.77</v>
      </c>
      <c r="S618">
        <v>109.19</v>
      </c>
      <c r="T618">
        <v>3057.42</v>
      </c>
      <c r="U618" t="s">
        <v>2630</v>
      </c>
      <c r="V618" t="s">
        <v>9408</v>
      </c>
      <c r="W618" t="s">
        <v>423</v>
      </c>
    </row>
    <row r="619" spans="1:23" hidden="1" x14ac:dyDescent="0.2">
      <c r="A619">
        <v>2012</v>
      </c>
      <c r="B619" t="s">
        <v>304</v>
      </c>
      <c r="C619" s="733">
        <v>40947.394525462965</v>
      </c>
      <c r="D6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9" t="s">
        <v>478</v>
      </c>
      <c r="F619" t="s">
        <v>2622</v>
      </c>
      <c r="G619" t="s">
        <v>3264</v>
      </c>
      <c r="H619">
        <v>35412</v>
      </c>
      <c r="I619" t="s">
        <v>423</v>
      </c>
      <c r="J619" t="s">
        <v>2624</v>
      </c>
      <c r="K619" t="s">
        <v>2625</v>
      </c>
      <c r="L619" t="s">
        <v>2626</v>
      </c>
      <c r="M619">
        <v>10</v>
      </c>
      <c r="N619">
        <v>22.95</v>
      </c>
      <c r="O619">
        <v>2589.91</v>
      </c>
      <c r="P619">
        <v>0</v>
      </c>
      <c r="Q619">
        <v>2589.91</v>
      </c>
      <c r="R619">
        <v>414.39</v>
      </c>
      <c r="S619">
        <v>103.6</v>
      </c>
      <c r="T619">
        <v>2900.7</v>
      </c>
      <c r="U619" t="s">
        <v>2630</v>
      </c>
      <c r="V619" t="s">
        <v>9408</v>
      </c>
      <c r="W619" t="s">
        <v>423</v>
      </c>
    </row>
    <row r="620" spans="1:23" hidden="1" x14ac:dyDescent="0.2">
      <c r="A620">
        <v>2012</v>
      </c>
      <c r="B620" t="s">
        <v>304</v>
      </c>
      <c r="C620" s="733">
        <v>40960</v>
      </c>
      <c r="D6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0" t="s">
        <v>478</v>
      </c>
      <c r="F620" t="s">
        <v>2136</v>
      </c>
      <c r="G620" t="s">
        <v>8297</v>
      </c>
      <c r="H620">
        <v>35883</v>
      </c>
      <c r="I620" t="s">
        <v>423</v>
      </c>
      <c r="J620" t="s">
        <v>2624</v>
      </c>
      <c r="K620" t="s">
        <v>2625</v>
      </c>
      <c r="L620" t="s">
        <v>2626</v>
      </c>
      <c r="M620">
        <v>10</v>
      </c>
      <c r="N620">
        <v>25.33</v>
      </c>
      <c r="O620">
        <v>2858.49</v>
      </c>
      <c r="P620">
        <v>0</v>
      </c>
      <c r="Q620">
        <v>2858.49</v>
      </c>
      <c r="R620">
        <v>457.36</v>
      </c>
      <c r="S620">
        <v>114.34</v>
      </c>
      <c r="T620">
        <v>3201.51</v>
      </c>
      <c r="U620" t="s">
        <v>8267</v>
      </c>
      <c r="V620" t="s">
        <v>9408</v>
      </c>
      <c r="W620" t="s">
        <v>423</v>
      </c>
    </row>
    <row r="621" spans="1:23" hidden="1" x14ac:dyDescent="0.2">
      <c r="A621">
        <v>2012</v>
      </c>
      <c r="B621" t="s">
        <v>304</v>
      </c>
      <c r="C621" s="733">
        <v>40946.613981481481</v>
      </c>
      <c r="D6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1" t="s">
        <v>478</v>
      </c>
      <c r="F621" t="s">
        <v>2136</v>
      </c>
      <c r="G621" t="s">
        <v>2956</v>
      </c>
      <c r="H621">
        <v>35383</v>
      </c>
      <c r="I621" t="s">
        <v>423</v>
      </c>
      <c r="J621" t="s">
        <v>2624</v>
      </c>
      <c r="K621" t="s">
        <v>2625</v>
      </c>
      <c r="L621" t="s">
        <v>2626</v>
      </c>
      <c r="M621">
        <v>10</v>
      </c>
      <c r="N621">
        <v>22.42</v>
      </c>
      <c r="O621">
        <v>2530.1</v>
      </c>
      <c r="P621">
        <v>0</v>
      </c>
      <c r="Q621">
        <v>2530.1</v>
      </c>
      <c r="R621">
        <v>404.82</v>
      </c>
      <c r="S621">
        <v>101.2</v>
      </c>
      <c r="T621">
        <v>2833.72</v>
      </c>
      <c r="U621" t="s">
        <v>2630</v>
      </c>
      <c r="V621" t="s">
        <v>9408</v>
      </c>
      <c r="W621" t="s">
        <v>423</v>
      </c>
    </row>
    <row r="622" spans="1:23" hidden="1" x14ac:dyDescent="0.2">
      <c r="A622">
        <v>2012</v>
      </c>
      <c r="B622" t="s">
        <v>303</v>
      </c>
      <c r="C622" s="733">
        <v>40912.432442129626</v>
      </c>
      <c r="D6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2" t="s">
        <v>485</v>
      </c>
      <c r="F622" t="s">
        <v>2065</v>
      </c>
      <c r="G622" t="s">
        <v>5666</v>
      </c>
      <c r="H622">
        <v>39763</v>
      </c>
      <c r="I622" t="s">
        <v>423</v>
      </c>
      <c r="J622" t="s">
        <v>3054</v>
      </c>
      <c r="K622" t="s">
        <v>2183</v>
      </c>
      <c r="L622" t="s">
        <v>2184</v>
      </c>
      <c r="M622">
        <v>43</v>
      </c>
      <c r="N622">
        <v>15.31</v>
      </c>
      <c r="O622">
        <v>727.53</v>
      </c>
      <c r="P622">
        <v>819.11875199999997</v>
      </c>
      <c r="Q622">
        <v>1546.6487520000001</v>
      </c>
      <c r="R622">
        <v>247.46379999999999</v>
      </c>
      <c r="S622">
        <v>61.865949999999998</v>
      </c>
      <c r="T622">
        <v>1732.2466019999999</v>
      </c>
      <c r="V622" t="s">
        <v>9408</v>
      </c>
      <c r="W622" t="s">
        <v>423</v>
      </c>
    </row>
    <row r="623" spans="1:23" hidden="1" x14ac:dyDescent="0.2">
      <c r="A623">
        <v>2012</v>
      </c>
      <c r="B623" t="s">
        <v>304</v>
      </c>
      <c r="C623" s="733">
        <v>40942</v>
      </c>
      <c r="D6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3" t="s">
        <v>485</v>
      </c>
      <c r="F623" t="s">
        <v>2065</v>
      </c>
      <c r="G623" t="s">
        <v>5667</v>
      </c>
      <c r="H623">
        <v>39883</v>
      </c>
      <c r="I623" t="s">
        <v>423</v>
      </c>
      <c r="J623" t="s">
        <v>3054</v>
      </c>
      <c r="K623" t="s">
        <v>2183</v>
      </c>
      <c r="L623" t="s">
        <v>2184</v>
      </c>
      <c r="M623">
        <v>43</v>
      </c>
      <c r="N623">
        <v>16.73</v>
      </c>
      <c r="O623">
        <v>1888.32</v>
      </c>
      <c r="P623">
        <v>0</v>
      </c>
      <c r="Q623">
        <v>1888.32</v>
      </c>
      <c r="R623">
        <v>302.13</v>
      </c>
      <c r="S623">
        <v>75.53</v>
      </c>
      <c r="T623">
        <v>2114.92</v>
      </c>
      <c r="U623" t="s">
        <v>2192</v>
      </c>
      <c r="V623" t="s">
        <v>9408</v>
      </c>
      <c r="W623" t="s">
        <v>423</v>
      </c>
    </row>
    <row r="624" spans="1:23" hidden="1" x14ac:dyDescent="0.2">
      <c r="A624">
        <v>2012</v>
      </c>
      <c r="B624" t="s">
        <v>304</v>
      </c>
      <c r="C624" s="733">
        <v>40953.459479166668</v>
      </c>
      <c r="D6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4" t="s">
        <v>485</v>
      </c>
      <c r="F624" t="s">
        <v>2065</v>
      </c>
      <c r="G624" t="s">
        <v>3182</v>
      </c>
      <c r="H624">
        <v>41923</v>
      </c>
      <c r="I624" t="s">
        <v>423</v>
      </c>
      <c r="J624" t="s">
        <v>2182</v>
      </c>
      <c r="K624" t="s">
        <v>2183</v>
      </c>
      <c r="L624" t="s">
        <v>2184</v>
      </c>
      <c r="M624">
        <v>62</v>
      </c>
      <c r="N624">
        <v>16.260000000000002</v>
      </c>
      <c r="O624">
        <v>2408.7600000000002</v>
      </c>
      <c r="P624">
        <v>0</v>
      </c>
      <c r="Q624">
        <v>2408.7600000000002</v>
      </c>
      <c r="R624">
        <v>385.4</v>
      </c>
      <c r="S624">
        <v>96.35</v>
      </c>
      <c r="T624">
        <v>2697.81</v>
      </c>
      <c r="U624" t="s">
        <v>8048</v>
      </c>
      <c r="V624" t="s">
        <v>9408</v>
      </c>
      <c r="W624" t="s">
        <v>423</v>
      </c>
    </row>
    <row r="625" spans="1:23" hidden="1" x14ac:dyDescent="0.2">
      <c r="A625">
        <v>2012</v>
      </c>
      <c r="B625" t="s">
        <v>304</v>
      </c>
      <c r="C625" s="733">
        <v>40952</v>
      </c>
      <c r="D6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5" t="s">
        <v>485</v>
      </c>
      <c r="F625" t="s">
        <v>2065</v>
      </c>
      <c r="G625" t="s">
        <v>3181</v>
      </c>
      <c r="H625">
        <v>41708</v>
      </c>
      <c r="I625" t="s">
        <v>423</v>
      </c>
      <c r="J625" t="s">
        <v>2182</v>
      </c>
      <c r="K625" t="s">
        <v>2183</v>
      </c>
      <c r="L625" t="s">
        <v>2184</v>
      </c>
      <c r="M625">
        <v>62</v>
      </c>
      <c r="N625">
        <v>16.170000000000002</v>
      </c>
      <c r="O625">
        <v>2395.42</v>
      </c>
      <c r="P625">
        <v>0</v>
      </c>
      <c r="Q625">
        <v>2395.42</v>
      </c>
      <c r="R625">
        <v>383.27</v>
      </c>
      <c r="S625">
        <v>95.82</v>
      </c>
      <c r="T625">
        <v>2682.87</v>
      </c>
      <c r="U625" t="s">
        <v>8048</v>
      </c>
      <c r="V625" t="s">
        <v>9408</v>
      </c>
      <c r="W625" t="s">
        <v>423</v>
      </c>
    </row>
    <row r="626" spans="1:23" hidden="1" x14ac:dyDescent="0.2">
      <c r="A626">
        <v>2012</v>
      </c>
      <c r="B626" t="s">
        <v>303</v>
      </c>
      <c r="C626" s="733">
        <v>40928</v>
      </c>
      <c r="D6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6" t="s">
        <v>485</v>
      </c>
      <c r="F626" t="s">
        <v>2065</v>
      </c>
      <c r="G626" t="s">
        <v>2790</v>
      </c>
      <c r="H626">
        <v>39864</v>
      </c>
      <c r="I626" t="s">
        <v>424</v>
      </c>
      <c r="J626" t="s">
        <v>2114</v>
      </c>
      <c r="K626" t="s">
        <v>2102</v>
      </c>
      <c r="L626" t="s">
        <v>2115</v>
      </c>
      <c r="M626">
        <v>500</v>
      </c>
      <c r="N626">
        <v>54</v>
      </c>
      <c r="O626">
        <v>10009.44</v>
      </c>
      <c r="P626">
        <v>0</v>
      </c>
      <c r="Q626">
        <v>10009.44</v>
      </c>
      <c r="R626">
        <v>1601.51</v>
      </c>
      <c r="S626">
        <v>400.38</v>
      </c>
      <c r="T626">
        <v>11210.57</v>
      </c>
      <c r="U626" t="s">
        <v>8871</v>
      </c>
      <c r="V626" t="s">
        <v>9409</v>
      </c>
      <c r="W626" t="s">
        <v>424</v>
      </c>
    </row>
    <row r="627" spans="1:23" hidden="1" x14ac:dyDescent="0.2">
      <c r="A627">
        <v>2012</v>
      </c>
      <c r="B627" t="s">
        <v>303</v>
      </c>
      <c r="C627" s="733">
        <v>40910</v>
      </c>
      <c r="D6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7" t="s">
        <v>485</v>
      </c>
      <c r="F627" t="s">
        <v>2065</v>
      </c>
      <c r="G627" t="s">
        <v>7011</v>
      </c>
      <c r="H627">
        <v>39636</v>
      </c>
      <c r="I627" t="s">
        <v>423</v>
      </c>
      <c r="J627" t="s">
        <v>2114</v>
      </c>
      <c r="K627" t="s">
        <v>2102</v>
      </c>
      <c r="L627" t="s">
        <v>2115</v>
      </c>
      <c r="M627">
        <v>500</v>
      </c>
      <c r="N627">
        <v>27.23</v>
      </c>
      <c r="O627">
        <v>3854.95</v>
      </c>
      <c r="P627">
        <v>4340.2496549999996</v>
      </c>
      <c r="Q627">
        <v>8195.1996550000003</v>
      </c>
      <c r="R627">
        <v>1311.231945</v>
      </c>
      <c r="S627">
        <v>327.80798600000003</v>
      </c>
      <c r="T627">
        <v>9178.6236140000001</v>
      </c>
      <c r="U627" t="s">
        <v>2104</v>
      </c>
      <c r="V627" t="s">
        <v>9408</v>
      </c>
      <c r="W627" t="s">
        <v>423</v>
      </c>
    </row>
    <row r="628" spans="1:23" hidden="1" x14ac:dyDescent="0.2">
      <c r="A628">
        <v>2012</v>
      </c>
      <c r="B628" t="s">
        <v>303</v>
      </c>
      <c r="C628" s="733">
        <v>40939</v>
      </c>
      <c r="D6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8" t="s">
        <v>485</v>
      </c>
      <c r="F628" t="s">
        <v>2065</v>
      </c>
      <c r="G628" t="s">
        <v>2796</v>
      </c>
      <c r="H628">
        <v>41094</v>
      </c>
      <c r="I628" t="s">
        <v>424</v>
      </c>
      <c r="J628" t="s">
        <v>2114</v>
      </c>
      <c r="K628" t="s">
        <v>2102</v>
      </c>
      <c r="L628" t="s">
        <v>2115</v>
      </c>
      <c r="M628">
        <v>500</v>
      </c>
      <c r="N628">
        <v>54</v>
      </c>
      <c r="O628">
        <v>10009.44</v>
      </c>
      <c r="P628">
        <v>0</v>
      </c>
      <c r="Q628">
        <v>10009.44</v>
      </c>
      <c r="R628">
        <v>1601.51</v>
      </c>
      <c r="S628">
        <v>400.38</v>
      </c>
      <c r="T628">
        <v>11210.57</v>
      </c>
      <c r="U628" t="s">
        <v>2116</v>
      </c>
      <c r="V628" t="s">
        <v>9409</v>
      </c>
      <c r="W628" t="s">
        <v>424</v>
      </c>
    </row>
    <row r="629" spans="1:23" hidden="1" x14ac:dyDescent="0.2">
      <c r="A629">
        <v>2012</v>
      </c>
      <c r="B629" t="s">
        <v>303</v>
      </c>
      <c r="C629" s="733">
        <v>40928</v>
      </c>
      <c r="D6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9" t="s">
        <v>485</v>
      </c>
      <c r="F629" t="s">
        <v>2065</v>
      </c>
      <c r="G629" t="s">
        <v>2789</v>
      </c>
      <c r="H629">
        <v>40271</v>
      </c>
      <c r="I629" t="s">
        <v>424</v>
      </c>
      <c r="J629" t="s">
        <v>2114</v>
      </c>
      <c r="K629" t="s">
        <v>2102</v>
      </c>
      <c r="L629" t="s">
        <v>2115</v>
      </c>
      <c r="M629">
        <v>500</v>
      </c>
      <c r="N629">
        <v>54</v>
      </c>
      <c r="O629">
        <v>10009.44</v>
      </c>
      <c r="P629">
        <v>0</v>
      </c>
      <c r="Q629">
        <v>10009.44</v>
      </c>
      <c r="R629">
        <v>1601.51</v>
      </c>
      <c r="S629">
        <v>400.38</v>
      </c>
      <c r="T629">
        <v>11210.57</v>
      </c>
      <c r="U629" t="s">
        <v>2121</v>
      </c>
      <c r="V629" t="s">
        <v>9409</v>
      </c>
      <c r="W629" t="s">
        <v>424</v>
      </c>
    </row>
    <row r="630" spans="1:23" hidden="1" x14ac:dyDescent="0.2">
      <c r="A630">
        <v>2012</v>
      </c>
      <c r="B630" t="s">
        <v>303</v>
      </c>
      <c r="C630" s="733">
        <v>40928</v>
      </c>
      <c r="D6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0" t="s">
        <v>485</v>
      </c>
      <c r="F630" t="s">
        <v>2065</v>
      </c>
      <c r="G630" t="s">
        <v>2788</v>
      </c>
      <c r="H630">
        <v>39707</v>
      </c>
      <c r="I630" t="s">
        <v>424</v>
      </c>
      <c r="J630" t="s">
        <v>2114</v>
      </c>
      <c r="K630" t="s">
        <v>2102</v>
      </c>
      <c r="L630" t="s">
        <v>2115</v>
      </c>
      <c r="M630">
        <v>500</v>
      </c>
      <c r="N630">
        <v>52</v>
      </c>
      <c r="O630">
        <v>9638.7199999999993</v>
      </c>
      <c r="P630">
        <v>0</v>
      </c>
      <c r="Q630">
        <v>9638.7199999999993</v>
      </c>
      <c r="R630">
        <v>1542.2</v>
      </c>
      <c r="S630">
        <v>385.55</v>
      </c>
      <c r="T630">
        <v>10795.37</v>
      </c>
      <c r="U630" t="s">
        <v>2116</v>
      </c>
      <c r="V630" t="s">
        <v>9409</v>
      </c>
      <c r="W630" t="s">
        <v>424</v>
      </c>
    </row>
    <row r="631" spans="1:23" hidden="1" x14ac:dyDescent="0.2">
      <c r="A631">
        <v>2012</v>
      </c>
      <c r="B631" t="s">
        <v>303</v>
      </c>
      <c r="C631" s="733">
        <v>40928</v>
      </c>
      <c r="D6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1" t="s">
        <v>485</v>
      </c>
      <c r="F631" t="s">
        <v>2065</v>
      </c>
      <c r="G631" t="s">
        <v>2798</v>
      </c>
      <c r="H631">
        <v>39761</v>
      </c>
      <c r="I631" t="s">
        <v>424</v>
      </c>
      <c r="J631" t="s">
        <v>2114</v>
      </c>
      <c r="K631" t="s">
        <v>2102</v>
      </c>
      <c r="L631" t="s">
        <v>2115</v>
      </c>
      <c r="M631">
        <v>500</v>
      </c>
      <c r="N631">
        <v>54</v>
      </c>
      <c r="O631">
        <v>10009.44</v>
      </c>
      <c r="P631">
        <v>0</v>
      </c>
      <c r="Q631">
        <v>10009.44</v>
      </c>
      <c r="R631">
        <v>1601.51</v>
      </c>
      <c r="S631">
        <v>400.38</v>
      </c>
      <c r="T631">
        <v>11210.57</v>
      </c>
      <c r="U631" t="s">
        <v>8871</v>
      </c>
      <c r="V631" t="s">
        <v>9409</v>
      </c>
      <c r="W631" t="s">
        <v>424</v>
      </c>
    </row>
    <row r="632" spans="1:23" hidden="1" x14ac:dyDescent="0.2">
      <c r="A632">
        <v>2012</v>
      </c>
      <c r="B632" t="s">
        <v>303</v>
      </c>
      <c r="C632" s="733">
        <v>40920</v>
      </c>
      <c r="D6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2" t="s">
        <v>485</v>
      </c>
      <c r="F632" t="s">
        <v>2065</v>
      </c>
      <c r="G632" t="s">
        <v>3203</v>
      </c>
      <c r="H632">
        <v>40177</v>
      </c>
      <c r="I632" t="s">
        <v>423</v>
      </c>
      <c r="J632" t="s">
        <v>3204</v>
      </c>
      <c r="K632" t="s">
        <v>2183</v>
      </c>
      <c r="L632" t="s">
        <v>2184</v>
      </c>
      <c r="M632">
        <v>80</v>
      </c>
      <c r="N632">
        <v>52.46</v>
      </c>
      <c r="O632">
        <v>5921.16</v>
      </c>
      <c r="P632">
        <v>0</v>
      </c>
      <c r="Q632">
        <v>5921.16</v>
      </c>
      <c r="R632">
        <v>947.39</v>
      </c>
      <c r="S632">
        <v>236.85</v>
      </c>
      <c r="T632">
        <v>6631.7</v>
      </c>
      <c r="U632" t="s">
        <v>7520</v>
      </c>
      <c r="V632" t="s">
        <v>9409</v>
      </c>
      <c r="W632" t="s">
        <v>423</v>
      </c>
    </row>
    <row r="633" spans="1:23" hidden="1" x14ac:dyDescent="0.2">
      <c r="A633">
        <v>2012</v>
      </c>
      <c r="B633" t="s">
        <v>304</v>
      </c>
      <c r="C633" s="733">
        <v>40960.494351851848</v>
      </c>
      <c r="D6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3" t="s">
        <v>485</v>
      </c>
      <c r="F633" t="s">
        <v>2065</v>
      </c>
      <c r="G633" t="s">
        <v>8161</v>
      </c>
      <c r="H633">
        <v>42235</v>
      </c>
      <c r="I633" t="s">
        <v>423</v>
      </c>
      <c r="J633" t="s">
        <v>3204</v>
      </c>
      <c r="K633" t="s">
        <v>2183</v>
      </c>
      <c r="L633" t="s">
        <v>2184</v>
      </c>
      <c r="M633">
        <v>80</v>
      </c>
      <c r="N633">
        <v>23.38</v>
      </c>
      <c r="O633">
        <v>3463.51</v>
      </c>
      <c r="P633">
        <v>0</v>
      </c>
      <c r="Q633">
        <v>3463.51</v>
      </c>
      <c r="R633">
        <v>554.16</v>
      </c>
      <c r="S633">
        <v>138.54</v>
      </c>
      <c r="T633">
        <v>3879.13</v>
      </c>
      <c r="U633" t="s">
        <v>9411</v>
      </c>
      <c r="V633" t="s">
        <v>9409</v>
      </c>
      <c r="W633" t="s">
        <v>423</v>
      </c>
    </row>
    <row r="634" spans="1:23" hidden="1" x14ac:dyDescent="0.2">
      <c r="A634">
        <v>2012</v>
      </c>
      <c r="B634" t="s">
        <v>304</v>
      </c>
      <c r="C634" s="733">
        <v>40962</v>
      </c>
      <c r="D6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4" t="s">
        <v>485</v>
      </c>
      <c r="F634" t="s">
        <v>2065</v>
      </c>
      <c r="G634" t="s">
        <v>8508</v>
      </c>
      <c r="H634">
        <v>42469</v>
      </c>
      <c r="I634" t="s">
        <v>423</v>
      </c>
      <c r="J634" t="s">
        <v>3204</v>
      </c>
      <c r="K634" t="s">
        <v>2183</v>
      </c>
      <c r="L634" t="s">
        <v>2184</v>
      </c>
      <c r="M634">
        <v>80</v>
      </c>
      <c r="N634">
        <v>49.19</v>
      </c>
      <c r="O634">
        <v>5552.08</v>
      </c>
      <c r="P634">
        <v>0</v>
      </c>
      <c r="Q634">
        <v>5552.08</v>
      </c>
      <c r="R634">
        <v>888.33</v>
      </c>
      <c r="S634">
        <v>222.08</v>
      </c>
      <c r="T634">
        <v>6218.33</v>
      </c>
      <c r="U634" t="s">
        <v>9411</v>
      </c>
      <c r="V634" t="s">
        <v>9409</v>
      </c>
      <c r="W634" t="s">
        <v>423</v>
      </c>
    </row>
    <row r="635" spans="1:23" hidden="1" x14ac:dyDescent="0.2">
      <c r="A635">
        <v>2012</v>
      </c>
      <c r="B635" t="s">
        <v>304</v>
      </c>
      <c r="C635" s="733">
        <v>40954.451412037037</v>
      </c>
      <c r="D6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5" t="s">
        <v>485</v>
      </c>
      <c r="F635" t="s">
        <v>2065</v>
      </c>
      <c r="G635" t="s">
        <v>7501</v>
      </c>
      <c r="H635">
        <v>41976</v>
      </c>
      <c r="I635" t="s">
        <v>423</v>
      </c>
      <c r="J635" t="s">
        <v>3204</v>
      </c>
      <c r="K635" t="s">
        <v>2183</v>
      </c>
      <c r="L635" t="s">
        <v>2184</v>
      </c>
      <c r="M635">
        <v>80</v>
      </c>
      <c r="N635">
        <v>15.73</v>
      </c>
      <c r="O635">
        <v>1775.45</v>
      </c>
      <c r="P635">
        <v>0</v>
      </c>
      <c r="Q635">
        <v>1775.45</v>
      </c>
      <c r="R635">
        <v>284.07</v>
      </c>
      <c r="S635">
        <v>71.02</v>
      </c>
      <c r="T635">
        <v>1988.5</v>
      </c>
      <c r="U635" t="s">
        <v>8048</v>
      </c>
      <c r="V635" t="s">
        <v>9408</v>
      </c>
      <c r="W635" t="s">
        <v>423</v>
      </c>
    </row>
    <row r="636" spans="1:23" hidden="1" x14ac:dyDescent="0.2">
      <c r="A636">
        <v>2012</v>
      </c>
      <c r="B636" t="s">
        <v>304</v>
      </c>
      <c r="C636" s="733">
        <v>40963</v>
      </c>
      <c r="D6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6" t="s">
        <v>485</v>
      </c>
      <c r="F636" t="s">
        <v>2065</v>
      </c>
      <c r="G636" t="s">
        <v>8507</v>
      </c>
      <c r="H636">
        <v>42520</v>
      </c>
      <c r="I636" t="s">
        <v>424</v>
      </c>
      <c r="J636" t="s">
        <v>2114</v>
      </c>
      <c r="K636" t="s">
        <v>2102</v>
      </c>
      <c r="L636" t="s">
        <v>2115</v>
      </c>
      <c r="M636">
        <v>500</v>
      </c>
      <c r="N636">
        <v>54</v>
      </c>
      <c r="O636">
        <v>10009.44</v>
      </c>
      <c r="P636">
        <v>0</v>
      </c>
      <c r="Q636">
        <v>10009.44</v>
      </c>
      <c r="R636">
        <v>1601.51</v>
      </c>
      <c r="S636">
        <v>400.38</v>
      </c>
      <c r="T636">
        <v>11210.57</v>
      </c>
      <c r="V636" t="s">
        <v>9409</v>
      </c>
      <c r="W636" t="s">
        <v>424</v>
      </c>
    </row>
    <row r="637" spans="1:23" hidden="1" x14ac:dyDescent="0.2">
      <c r="A637">
        <v>2012</v>
      </c>
      <c r="B637" t="s">
        <v>303</v>
      </c>
      <c r="C637" s="733">
        <v>40910</v>
      </c>
      <c r="D6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7" t="s">
        <v>485</v>
      </c>
      <c r="F637" t="s">
        <v>2065</v>
      </c>
      <c r="G637" t="s">
        <v>2791</v>
      </c>
      <c r="H637">
        <v>39535</v>
      </c>
      <c r="I637" t="s">
        <v>423</v>
      </c>
      <c r="J637" t="s">
        <v>2114</v>
      </c>
      <c r="K637" t="s">
        <v>2102</v>
      </c>
      <c r="L637" t="s">
        <v>2115</v>
      </c>
      <c r="M637">
        <v>500</v>
      </c>
      <c r="N637">
        <v>51.51</v>
      </c>
      <c r="O637">
        <v>7292.27</v>
      </c>
      <c r="P637">
        <v>8210.2938699999995</v>
      </c>
      <c r="Q637">
        <v>15502.56387</v>
      </c>
      <c r="R637">
        <v>2480.4102189999999</v>
      </c>
      <c r="S637">
        <v>620.10255500000005</v>
      </c>
      <c r="T637">
        <v>17362.871534000002</v>
      </c>
      <c r="U637" t="s">
        <v>2104</v>
      </c>
      <c r="V637" t="s">
        <v>9409</v>
      </c>
      <c r="W637" t="s">
        <v>423</v>
      </c>
    </row>
    <row r="638" spans="1:23" hidden="1" x14ac:dyDescent="0.2">
      <c r="A638">
        <v>2012</v>
      </c>
      <c r="B638" t="s">
        <v>304</v>
      </c>
      <c r="C638" s="733">
        <v>40949</v>
      </c>
      <c r="D6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8" t="s">
        <v>485</v>
      </c>
      <c r="F638" t="s">
        <v>2084</v>
      </c>
      <c r="G638" t="s">
        <v>3471</v>
      </c>
      <c r="H638">
        <v>41232</v>
      </c>
      <c r="I638" t="s">
        <v>423</v>
      </c>
      <c r="J638" t="s">
        <v>2836</v>
      </c>
      <c r="K638" t="s">
        <v>2814</v>
      </c>
      <c r="L638" t="s">
        <v>2815</v>
      </c>
      <c r="M638">
        <v>70</v>
      </c>
      <c r="N638">
        <v>25.983000000000001</v>
      </c>
      <c r="O638">
        <v>2932.7</v>
      </c>
      <c r="P638">
        <v>0</v>
      </c>
      <c r="Q638">
        <v>2932.7</v>
      </c>
      <c r="R638">
        <v>322.60000000000002</v>
      </c>
      <c r="S638">
        <v>117.31</v>
      </c>
      <c r="T638">
        <v>3137.99</v>
      </c>
      <c r="U638" t="s">
        <v>7527</v>
      </c>
      <c r="V638" t="s">
        <v>9408</v>
      </c>
      <c r="W638" t="s">
        <v>423</v>
      </c>
    </row>
    <row r="639" spans="1:23" hidden="1" x14ac:dyDescent="0.2">
      <c r="A639">
        <v>2012</v>
      </c>
      <c r="B639" t="s">
        <v>304</v>
      </c>
      <c r="C639" s="733">
        <v>40940</v>
      </c>
      <c r="D6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9" t="s">
        <v>485</v>
      </c>
      <c r="F639" t="s">
        <v>2084</v>
      </c>
      <c r="G639" t="s">
        <v>3469</v>
      </c>
      <c r="H639">
        <v>40934</v>
      </c>
      <c r="I639" t="s">
        <v>423</v>
      </c>
      <c r="J639" t="s">
        <v>2836</v>
      </c>
      <c r="K639" t="s">
        <v>2814</v>
      </c>
      <c r="L639" t="s">
        <v>2815</v>
      </c>
      <c r="M639">
        <v>70</v>
      </c>
      <c r="N639">
        <v>24.001000000000001</v>
      </c>
      <c r="O639">
        <v>2708.99</v>
      </c>
      <c r="P639">
        <v>0</v>
      </c>
      <c r="Q639">
        <v>2708.99</v>
      </c>
      <c r="R639">
        <v>433.44</v>
      </c>
      <c r="S639">
        <v>108.36</v>
      </c>
      <c r="T639">
        <v>3034.07</v>
      </c>
      <c r="U639" t="s">
        <v>2826</v>
      </c>
      <c r="V639" t="s">
        <v>9408</v>
      </c>
      <c r="W639" t="s">
        <v>423</v>
      </c>
    </row>
    <row r="640" spans="1:23" hidden="1" x14ac:dyDescent="0.2">
      <c r="A640">
        <v>2012</v>
      </c>
      <c r="B640" t="s">
        <v>304</v>
      </c>
      <c r="C640" s="733">
        <v>40953</v>
      </c>
      <c r="D6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0" t="s">
        <v>485</v>
      </c>
      <c r="F640" t="s">
        <v>2084</v>
      </c>
      <c r="G640" t="s">
        <v>3470</v>
      </c>
      <c r="H640">
        <v>41617</v>
      </c>
      <c r="I640" t="s">
        <v>423</v>
      </c>
      <c r="J640" t="s">
        <v>2836</v>
      </c>
      <c r="K640" t="s">
        <v>2814</v>
      </c>
      <c r="L640" t="s">
        <v>2815</v>
      </c>
      <c r="M640">
        <v>70</v>
      </c>
      <c r="N640">
        <v>27.835999999999999</v>
      </c>
      <c r="O640">
        <v>3141.85</v>
      </c>
      <c r="P640">
        <v>0</v>
      </c>
      <c r="Q640">
        <v>3141.85</v>
      </c>
      <c r="R640">
        <v>345.6</v>
      </c>
      <c r="S640">
        <v>125.67</v>
      </c>
      <c r="T640">
        <v>3361.78</v>
      </c>
      <c r="U640" t="s">
        <v>7527</v>
      </c>
      <c r="V640" t="s">
        <v>9408</v>
      </c>
      <c r="W640" t="s">
        <v>423</v>
      </c>
    </row>
    <row r="641" spans="1:23" hidden="1" x14ac:dyDescent="0.2">
      <c r="A641">
        <v>2012</v>
      </c>
      <c r="B641" t="s">
        <v>303</v>
      </c>
      <c r="C641" s="733">
        <v>40938</v>
      </c>
      <c r="D6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1" t="s">
        <v>485</v>
      </c>
      <c r="F641" t="s">
        <v>2065</v>
      </c>
      <c r="G641" t="s">
        <v>2799</v>
      </c>
      <c r="H641">
        <v>40945</v>
      </c>
      <c r="I641" t="s">
        <v>423</v>
      </c>
      <c r="J641" t="s">
        <v>2114</v>
      </c>
      <c r="K641" t="s">
        <v>2102</v>
      </c>
      <c r="L641" t="s">
        <v>2115</v>
      </c>
      <c r="M641">
        <v>500</v>
      </c>
      <c r="N641">
        <v>56.25</v>
      </c>
      <c r="O641">
        <v>18914.060000000001</v>
      </c>
      <c r="P641">
        <v>0</v>
      </c>
      <c r="Q641">
        <v>18914.060000000001</v>
      </c>
      <c r="R641">
        <v>3026.25</v>
      </c>
      <c r="S641">
        <v>756.56</v>
      </c>
      <c r="T641">
        <v>21183.75</v>
      </c>
      <c r="U641" t="s">
        <v>2110</v>
      </c>
      <c r="V641" t="s">
        <v>9409</v>
      </c>
      <c r="W641" t="s">
        <v>423</v>
      </c>
    </row>
    <row r="642" spans="1:23" hidden="1" x14ac:dyDescent="0.2">
      <c r="A642">
        <v>2012</v>
      </c>
      <c r="B642" t="s">
        <v>303</v>
      </c>
      <c r="C642" s="733">
        <v>40932</v>
      </c>
      <c r="D6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2" t="s">
        <v>485</v>
      </c>
      <c r="F642" t="s">
        <v>2084</v>
      </c>
      <c r="G642" t="s">
        <v>3473</v>
      </c>
      <c r="H642">
        <v>40364</v>
      </c>
      <c r="I642" t="s">
        <v>423</v>
      </c>
      <c r="J642" t="s">
        <v>2836</v>
      </c>
      <c r="K642" t="s">
        <v>2814</v>
      </c>
      <c r="L642" t="s">
        <v>2815</v>
      </c>
      <c r="M642">
        <v>70</v>
      </c>
      <c r="N642">
        <v>25.962</v>
      </c>
      <c r="O642">
        <v>2930.33</v>
      </c>
      <c r="P642">
        <v>0</v>
      </c>
      <c r="Q642">
        <v>2930.33</v>
      </c>
      <c r="R642">
        <v>468.85</v>
      </c>
      <c r="S642">
        <v>117.21</v>
      </c>
      <c r="T642">
        <v>3281.97</v>
      </c>
      <c r="U642" t="s">
        <v>2826</v>
      </c>
      <c r="V642" t="s">
        <v>9408</v>
      </c>
      <c r="W642" t="s">
        <v>423</v>
      </c>
    </row>
    <row r="643" spans="1:23" hidden="1" x14ac:dyDescent="0.2">
      <c r="A643">
        <v>2012</v>
      </c>
      <c r="B643" t="s">
        <v>303</v>
      </c>
      <c r="C643" s="733">
        <v>40932</v>
      </c>
      <c r="D6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3" t="s">
        <v>485</v>
      </c>
      <c r="F643" t="s">
        <v>2084</v>
      </c>
      <c r="G643" t="s">
        <v>3472</v>
      </c>
      <c r="H643">
        <v>40698</v>
      </c>
      <c r="I643" t="s">
        <v>423</v>
      </c>
      <c r="J643" t="s">
        <v>2836</v>
      </c>
      <c r="K643" t="s">
        <v>2814</v>
      </c>
      <c r="L643" t="s">
        <v>2815</v>
      </c>
      <c r="M643">
        <v>70</v>
      </c>
      <c r="N643">
        <v>25.77</v>
      </c>
      <c r="O643">
        <v>2908.66</v>
      </c>
      <c r="P643">
        <v>0</v>
      </c>
      <c r="Q643">
        <v>2908.66</v>
      </c>
      <c r="R643">
        <v>465.39</v>
      </c>
      <c r="S643">
        <v>116.35</v>
      </c>
      <c r="T643">
        <v>3257.7</v>
      </c>
      <c r="U643" t="s">
        <v>2826</v>
      </c>
      <c r="V643" t="s">
        <v>9408</v>
      </c>
      <c r="W643" t="s">
        <v>423</v>
      </c>
    </row>
    <row r="644" spans="1:23" hidden="1" x14ac:dyDescent="0.2">
      <c r="A644">
        <v>2012</v>
      </c>
      <c r="B644" t="s">
        <v>303</v>
      </c>
      <c r="C644" s="733">
        <v>40926</v>
      </c>
      <c r="D6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4" t="s">
        <v>485</v>
      </c>
      <c r="F644" t="s">
        <v>2084</v>
      </c>
      <c r="G644" t="s">
        <v>3477</v>
      </c>
      <c r="H644">
        <v>40163</v>
      </c>
      <c r="I644" t="s">
        <v>423</v>
      </c>
      <c r="J644" t="s">
        <v>2836</v>
      </c>
      <c r="K644" t="s">
        <v>2814</v>
      </c>
      <c r="L644" t="s">
        <v>2815</v>
      </c>
      <c r="M644">
        <v>70</v>
      </c>
      <c r="N644">
        <v>23.876999999999999</v>
      </c>
      <c r="O644">
        <v>2695</v>
      </c>
      <c r="P644">
        <v>0</v>
      </c>
      <c r="Q644">
        <v>2695</v>
      </c>
      <c r="R644">
        <v>431.2</v>
      </c>
      <c r="S644">
        <v>107.8</v>
      </c>
      <c r="T644">
        <v>3018.4</v>
      </c>
      <c r="U644" t="s">
        <v>2826</v>
      </c>
      <c r="V644" t="s">
        <v>9408</v>
      </c>
      <c r="W644" t="s">
        <v>423</v>
      </c>
    </row>
    <row r="645" spans="1:23" hidden="1" x14ac:dyDescent="0.2">
      <c r="A645">
        <v>2012</v>
      </c>
      <c r="B645" t="s">
        <v>304</v>
      </c>
      <c r="C645" s="733">
        <v>40966</v>
      </c>
      <c r="D6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5" t="s">
        <v>485</v>
      </c>
      <c r="F645" t="s">
        <v>2065</v>
      </c>
      <c r="G645" t="s">
        <v>8788</v>
      </c>
      <c r="H645">
        <v>42572</v>
      </c>
      <c r="I645" t="s">
        <v>423</v>
      </c>
      <c r="J645" t="s">
        <v>2182</v>
      </c>
      <c r="K645" t="s">
        <v>2183</v>
      </c>
      <c r="L645" t="s">
        <v>2184</v>
      </c>
      <c r="M645">
        <v>62</v>
      </c>
      <c r="N645">
        <v>16.37</v>
      </c>
      <c r="O645">
        <v>2425.0500000000002</v>
      </c>
      <c r="P645">
        <v>0</v>
      </c>
      <c r="Q645">
        <v>2425.0500000000002</v>
      </c>
      <c r="R645">
        <v>388.01</v>
      </c>
      <c r="S645">
        <v>97</v>
      </c>
      <c r="T645">
        <v>2716.06</v>
      </c>
      <c r="V645" t="s">
        <v>9408</v>
      </c>
      <c r="W645" t="s">
        <v>423</v>
      </c>
    </row>
    <row r="646" spans="1:23" hidden="1" x14ac:dyDescent="0.2">
      <c r="A646">
        <v>2012</v>
      </c>
      <c r="B646" t="s">
        <v>304</v>
      </c>
      <c r="C646" s="733">
        <v>40946</v>
      </c>
      <c r="D6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6" t="s">
        <v>485</v>
      </c>
      <c r="F646" t="s">
        <v>2065</v>
      </c>
      <c r="G646" t="s">
        <v>3205</v>
      </c>
      <c r="H646">
        <v>41410</v>
      </c>
      <c r="I646" t="s">
        <v>423</v>
      </c>
      <c r="J646" t="s">
        <v>3147</v>
      </c>
      <c r="K646" t="s">
        <v>2183</v>
      </c>
      <c r="L646" t="s">
        <v>2184</v>
      </c>
      <c r="M646">
        <v>528</v>
      </c>
      <c r="N646">
        <v>27.95</v>
      </c>
      <c r="O646">
        <v>8653.32</v>
      </c>
      <c r="P646">
        <v>0</v>
      </c>
      <c r="Q646">
        <v>8653.32</v>
      </c>
      <c r="R646">
        <v>1384.53</v>
      </c>
      <c r="S646">
        <v>346.13</v>
      </c>
      <c r="T646">
        <v>9691.7199999999993</v>
      </c>
      <c r="U646" t="s">
        <v>2192</v>
      </c>
      <c r="V646" t="s">
        <v>9408</v>
      </c>
      <c r="W646" t="s">
        <v>423</v>
      </c>
    </row>
    <row r="647" spans="1:23" hidden="1" x14ac:dyDescent="0.2">
      <c r="A647">
        <v>2012</v>
      </c>
      <c r="B647" t="s">
        <v>303</v>
      </c>
      <c r="C647" s="733">
        <v>40925</v>
      </c>
      <c r="D6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7" t="s">
        <v>485</v>
      </c>
      <c r="F647" t="s">
        <v>2065</v>
      </c>
      <c r="G647" t="s">
        <v>3444</v>
      </c>
      <c r="H647">
        <v>40436</v>
      </c>
      <c r="I647" t="s">
        <v>423</v>
      </c>
      <c r="J647" t="s">
        <v>3204</v>
      </c>
      <c r="K647" t="s">
        <v>2183</v>
      </c>
      <c r="L647" t="s">
        <v>2184</v>
      </c>
      <c r="M647">
        <v>80</v>
      </c>
      <c r="N647">
        <v>15.84</v>
      </c>
      <c r="O647">
        <v>1787.86</v>
      </c>
      <c r="P647">
        <v>0</v>
      </c>
      <c r="Q647">
        <v>1787.86</v>
      </c>
      <c r="R647">
        <v>286.06</v>
      </c>
      <c r="S647">
        <v>71.510000000000005</v>
      </c>
      <c r="T647">
        <v>2002.41</v>
      </c>
      <c r="U647" t="s">
        <v>7587</v>
      </c>
      <c r="V647" t="s">
        <v>9408</v>
      </c>
      <c r="W647" t="s">
        <v>423</v>
      </c>
    </row>
    <row r="648" spans="1:23" x14ac:dyDescent="0.2">
      <c r="A648">
        <v>2012</v>
      </c>
      <c r="B648" t="s">
        <v>304</v>
      </c>
      <c r="C648" s="733">
        <v>40968</v>
      </c>
      <c r="D6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8" t="s">
        <v>485</v>
      </c>
      <c r="F648" t="s">
        <v>2065</v>
      </c>
      <c r="G648" t="s">
        <v>8983</v>
      </c>
      <c r="H648">
        <v>42850</v>
      </c>
      <c r="I648" t="s">
        <v>423</v>
      </c>
      <c r="J648" t="s">
        <v>3204</v>
      </c>
      <c r="K648" t="s">
        <v>2183</v>
      </c>
      <c r="L648" t="s">
        <v>2184</v>
      </c>
      <c r="M648">
        <v>80</v>
      </c>
      <c r="N648">
        <v>16.010000000000002</v>
      </c>
      <c r="O648">
        <v>1807.05</v>
      </c>
      <c r="P648">
        <v>0</v>
      </c>
      <c r="Q648">
        <v>1807.05</v>
      </c>
      <c r="R648">
        <v>289.13</v>
      </c>
      <c r="S648">
        <v>72.28</v>
      </c>
      <c r="T648">
        <v>2023.9</v>
      </c>
      <c r="V648" t="s">
        <v>9408</v>
      </c>
      <c r="W648" t="s">
        <v>423</v>
      </c>
    </row>
    <row r="649" spans="1:23" hidden="1" x14ac:dyDescent="0.2">
      <c r="A649">
        <v>2012</v>
      </c>
      <c r="B649" t="s">
        <v>304</v>
      </c>
      <c r="C649" s="733">
        <v>40941</v>
      </c>
      <c r="D6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9" t="s">
        <v>485</v>
      </c>
      <c r="F649" t="s">
        <v>2048</v>
      </c>
      <c r="G649" t="s">
        <v>4956</v>
      </c>
      <c r="H649">
        <v>41307</v>
      </c>
      <c r="I649" t="s">
        <v>423</v>
      </c>
      <c r="J649" t="s">
        <v>4073</v>
      </c>
      <c r="K649" t="s">
        <v>2051</v>
      </c>
      <c r="L649" t="s">
        <v>2052</v>
      </c>
      <c r="M649">
        <v>610</v>
      </c>
      <c r="N649">
        <v>26.35</v>
      </c>
      <c r="O649">
        <v>9340.81</v>
      </c>
      <c r="P649">
        <v>0</v>
      </c>
      <c r="Q649">
        <v>9340.81</v>
      </c>
      <c r="R649">
        <v>1494.53</v>
      </c>
      <c r="S649">
        <v>373.63</v>
      </c>
      <c r="T649">
        <v>10461.709999999999</v>
      </c>
      <c r="U649" t="s">
        <v>2067</v>
      </c>
      <c r="V649" t="s">
        <v>9408</v>
      </c>
      <c r="W649" t="s">
        <v>423</v>
      </c>
    </row>
    <row r="650" spans="1:23" hidden="1" x14ac:dyDescent="0.2">
      <c r="A650">
        <v>2012</v>
      </c>
      <c r="B650" t="s">
        <v>303</v>
      </c>
      <c r="C650" s="733">
        <v>40932</v>
      </c>
      <c r="D6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0" t="s">
        <v>485</v>
      </c>
      <c r="F650" t="s">
        <v>2048</v>
      </c>
      <c r="G650" t="s">
        <v>3616</v>
      </c>
      <c r="H650">
        <v>39835</v>
      </c>
      <c r="I650" t="s">
        <v>423</v>
      </c>
      <c r="J650" t="s">
        <v>2050</v>
      </c>
      <c r="K650" t="s">
        <v>2051</v>
      </c>
      <c r="L650" t="s">
        <v>2052</v>
      </c>
      <c r="M650">
        <v>90</v>
      </c>
      <c r="N650">
        <v>23.65</v>
      </c>
      <c r="O650">
        <v>3318.33</v>
      </c>
      <c r="P650">
        <v>0</v>
      </c>
      <c r="Q650">
        <v>3318.33</v>
      </c>
      <c r="R650">
        <v>530.92999999999995</v>
      </c>
      <c r="S650">
        <v>132.72999999999999</v>
      </c>
      <c r="T650">
        <v>3716.53</v>
      </c>
      <c r="U650" t="s">
        <v>2053</v>
      </c>
      <c r="V650" t="s">
        <v>9408</v>
      </c>
      <c r="W650" t="s">
        <v>423</v>
      </c>
    </row>
    <row r="651" spans="1:23" hidden="1" x14ac:dyDescent="0.2">
      <c r="A651">
        <v>2012</v>
      </c>
      <c r="B651" t="s">
        <v>304</v>
      </c>
      <c r="C651" s="733">
        <v>40946</v>
      </c>
      <c r="D6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1" t="s">
        <v>485</v>
      </c>
      <c r="F651" t="s">
        <v>2048</v>
      </c>
      <c r="G651" t="s">
        <v>3605</v>
      </c>
      <c r="H651">
        <v>41474</v>
      </c>
      <c r="I651" t="s">
        <v>423</v>
      </c>
      <c r="J651" t="s">
        <v>2050</v>
      </c>
      <c r="K651" t="s">
        <v>2051</v>
      </c>
      <c r="L651" t="s">
        <v>2052</v>
      </c>
      <c r="M651">
        <v>90</v>
      </c>
      <c r="N651">
        <v>29.05</v>
      </c>
      <c r="O651">
        <v>4076.01</v>
      </c>
      <c r="P651">
        <v>0</v>
      </c>
      <c r="Q651">
        <v>4076.01</v>
      </c>
      <c r="R651">
        <v>652.16</v>
      </c>
      <c r="S651">
        <v>163.04</v>
      </c>
      <c r="T651">
        <v>4565.13</v>
      </c>
      <c r="U651" t="s">
        <v>2067</v>
      </c>
      <c r="V651" t="s">
        <v>9408</v>
      </c>
      <c r="W651" t="s">
        <v>423</v>
      </c>
    </row>
    <row r="652" spans="1:23" hidden="1" x14ac:dyDescent="0.2">
      <c r="A652">
        <v>2012</v>
      </c>
      <c r="B652" t="s">
        <v>304</v>
      </c>
      <c r="C652" s="733">
        <v>40952</v>
      </c>
      <c r="D6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2" t="s">
        <v>485</v>
      </c>
      <c r="F652" t="s">
        <v>2065</v>
      </c>
      <c r="G652" t="s">
        <v>3625</v>
      </c>
      <c r="H652">
        <v>41726</v>
      </c>
      <c r="I652" t="s">
        <v>423</v>
      </c>
      <c r="J652" t="s">
        <v>2050</v>
      </c>
      <c r="K652" t="s">
        <v>2051</v>
      </c>
      <c r="L652" t="s">
        <v>2052</v>
      </c>
      <c r="M652">
        <v>90</v>
      </c>
      <c r="N652">
        <v>47.65</v>
      </c>
      <c r="O652">
        <v>6685.77</v>
      </c>
      <c r="P652">
        <v>0</v>
      </c>
      <c r="Q652">
        <v>6685.77</v>
      </c>
      <c r="R652">
        <v>1069.72</v>
      </c>
      <c r="S652">
        <v>267.43</v>
      </c>
      <c r="T652">
        <v>7488.06</v>
      </c>
      <c r="U652" t="s">
        <v>7568</v>
      </c>
      <c r="V652" t="s">
        <v>9409</v>
      </c>
      <c r="W652" t="s">
        <v>423</v>
      </c>
    </row>
    <row r="653" spans="1:23" x14ac:dyDescent="0.2">
      <c r="A653">
        <v>2012</v>
      </c>
      <c r="B653" t="s">
        <v>304</v>
      </c>
      <c r="C653" s="733">
        <v>40967</v>
      </c>
      <c r="D6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3" t="s">
        <v>485</v>
      </c>
      <c r="F653" t="s">
        <v>2065</v>
      </c>
      <c r="G653" t="s">
        <v>8932</v>
      </c>
      <c r="H653">
        <v>42717</v>
      </c>
      <c r="I653" t="s">
        <v>423</v>
      </c>
      <c r="J653" t="s">
        <v>2171</v>
      </c>
      <c r="K653" t="s">
        <v>2051</v>
      </c>
      <c r="L653" t="s">
        <v>2052</v>
      </c>
      <c r="M653">
        <v>57</v>
      </c>
      <c r="N653">
        <v>51.3</v>
      </c>
      <c r="O653">
        <v>7197.9</v>
      </c>
      <c r="P653">
        <v>0</v>
      </c>
      <c r="Q653">
        <v>7197.9</v>
      </c>
      <c r="R653">
        <v>1151.6600000000001</v>
      </c>
      <c r="S653">
        <v>287.92</v>
      </c>
      <c r="T653">
        <v>8061.64</v>
      </c>
      <c r="V653" t="s">
        <v>9409</v>
      </c>
      <c r="W653" t="s">
        <v>423</v>
      </c>
    </row>
    <row r="654" spans="1:23" hidden="1" x14ac:dyDescent="0.2">
      <c r="A654">
        <v>2012</v>
      </c>
      <c r="B654" t="s">
        <v>304</v>
      </c>
      <c r="C654" s="733">
        <v>40941</v>
      </c>
      <c r="D6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4" t="s">
        <v>485</v>
      </c>
      <c r="F654" t="s">
        <v>2048</v>
      </c>
      <c r="G654" t="s">
        <v>3923</v>
      </c>
      <c r="H654">
        <v>41310</v>
      </c>
      <c r="I654" t="s">
        <v>423</v>
      </c>
      <c r="J654" t="s">
        <v>2171</v>
      </c>
      <c r="K654" t="s">
        <v>2051</v>
      </c>
      <c r="L654" t="s">
        <v>2052</v>
      </c>
      <c r="M654">
        <v>57</v>
      </c>
      <c r="N654">
        <v>30.9</v>
      </c>
      <c r="O654">
        <v>4335.58</v>
      </c>
      <c r="P654">
        <v>0</v>
      </c>
      <c r="Q654">
        <v>4335.58</v>
      </c>
      <c r="R654">
        <v>693.69</v>
      </c>
      <c r="S654">
        <v>173.42</v>
      </c>
      <c r="T654">
        <v>4855.8500000000004</v>
      </c>
      <c r="U654" t="s">
        <v>2067</v>
      </c>
      <c r="V654" t="s">
        <v>9408</v>
      </c>
      <c r="W654" t="s">
        <v>423</v>
      </c>
    </row>
    <row r="655" spans="1:23" hidden="1" x14ac:dyDescent="0.2">
      <c r="A655">
        <v>2012</v>
      </c>
      <c r="B655" t="s">
        <v>304</v>
      </c>
      <c r="C655" s="733">
        <v>40960</v>
      </c>
      <c r="D6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5" t="s">
        <v>485</v>
      </c>
      <c r="F655" t="s">
        <v>2065</v>
      </c>
      <c r="G655" t="s">
        <v>8055</v>
      </c>
      <c r="H655">
        <v>42340</v>
      </c>
      <c r="I655" t="s">
        <v>423</v>
      </c>
      <c r="J655" t="s">
        <v>2050</v>
      </c>
      <c r="K655" t="s">
        <v>2051</v>
      </c>
      <c r="L655" t="s">
        <v>2052</v>
      </c>
      <c r="M655">
        <v>90</v>
      </c>
      <c r="N655">
        <v>51.45</v>
      </c>
      <c r="O655">
        <v>7218.95</v>
      </c>
      <c r="P655">
        <v>0</v>
      </c>
      <c r="Q655">
        <v>7218.95</v>
      </c>
      <c r="R655">
        <v>1155.03</v>
      </c>
      <c r="S655">
        <v>288.76</v>
      </c>
      <c r="T655">
        <v>8085.22</v>
      </c>
      <c r="U655" t="s">
        <v>8780</v>
      </c>
      <c r="V655" t="s">
        <v>9409</v>
      </c>
      <c r="W655" t="s">
        <v>423</v>
      </c>
    </row>
    <row r="656" spans="1:23" hidden="1" x14ac:dyDescent="0.2">
      <c r="A656">
        <v>2012</v>
      </c>
      <c r="B656" t="s">
        <v>305</v>
      </c>
      <c r="C656" s="733">
        <v>40970</v>
      </c>
      <c r="D656" s="733" t="str">
        <f>CHOOSE(MONTH(Tabla_sqldatos_bonampakdb_Bon_v_ingresos2012[[#This Row],[fecha_guia]]),"Enero","Febrero","Marzo","Abril","Mayo","Junio","Julio","Agosto","Septiembre","Octubre","Noviembre","Diciembre")</f>
        <v>Marzo</v>
      </c>
      <c r="E656" t="s">
        <v>485</v>
      </c>
      <c r="F656" t="s">
        <v>2054</v>
      </c>
      <c r="G656" t="s">
        <v>9661</v>
      </c>
      <c r="H656">
        <v>10622</v>
      </c>
      <c r="I656" t="s">
        <v>423</v>
      </c>
      <c r="J656" t="s">
        <v>2056</v>
      </c>
      <c r="K656" t="s">
        <v>2057</v>
      </c>
      <c r="L656" t="s">
        <v>2058</v>
      </c>
      <c r="M656">
        <v>19</v>
      </c>
      <c r="N656">
        <v>46.75</v>
      </c>
      <c r="O656">
        <v>5276.67</v>
      </c>
      <c r="P656">
        <v>0</v>
      </c>
      <c r="Q656">
        <v>5276.67</v>
      </c>
      <c r="R656">
        <v>580.42999999999995</v>
      </c>
      <c r="S656">
        <v>211.07</v>
      </c>
      <c r="T656">
        <v>5646.03</v>
      </c>
      <c r="V656" t="s">
        <v>9409</v>
      </c>
      <c r="W656" t="s">
        <v>423</v>
      </c>
    </row>
    <row r="657" spans="1:23" x14ac:dyDescent="0.2">
      <c r="A657">
        <v>2012</v>
      </c>
      <c r="B657" t="s">
        <v>304</v>
      </c>
      <c r="C657" s="733">
        <v>40967</v>
      </c>
      <c r="D6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7" t="s">
        <v>485</v>
      </c>
      <c r="F657" t="s">
        <v>2054</v>
      </c>
      <c r="G657" t="s">
        <v>8934</v>
      </c>
      <c r="H657">
        <v>42600</v>
      </c>
      <c r="I657" t="s">
        <v>423</v>
      </c>
      <c r="J657" t="s">
        <v>2050</v>
      </c>
      <c r="K657" t="s">
        <v>2051</v>
      </c>
      <c r="L657" t="s">
        <v>2052</v>
      </c>
      <c r="M657">
        <v>90</v>
      </c>
      <c r="N657">
        <v>49.75</v>
      </c>
      <c r="O657">
        <v>6980.42</v>
      </c>
      <c r="P657">
        <v>0</v>
      </c>
      <c r="Q657">
        <v>6980.42</v>
      </c>
      <c r="R657">
        <v>1116.8699999999999</v>
      </c>
      <c r="S657">
        <v>279.22000000000003</v>
      </c>
      <c r="T657">
        <v>7818.07</v>
      </c>
      <c r="U657" t="s">
        <v>8780</v>
      </c>
      <c r="V657" t="s">
        <v>9409</v>
      </c>
      <c r="W657" t="s">
        <v>423</v>
      </c>
    </row>
    <row r="658" spans="1:23" hidden="1" x14ac:dyDescent="0.2">
      <c r="A658">
        <v>2012</v>
      </c>
      <c r="B658" t="s">
        <v>305</v>
      </c>
      <c r="C658" s="733">
        <v>40970</v>
      </c>
      <c r="D658" s="733" t="str">
        <f>CHOOSE(MONTH(Tabla_sqldatos_bonampakdb_Bon_v_ingresos2012[[#This Row],[fecha_guia]]),"Enero","Febrero","Marzo","Abril","Mayo","Junio","Julio","Agosto","Septiembre","Octubre","Noviembre","Diciembre")</f>
        <v>Marzo</v>
      </c>
      <c r="E658" t="s">
        <v>485</v>
      </c>
      <c r="F658" t="s">
        <v>2065</v>
      </c>
      <c r="G658" t="s">
        <v>9662</v>
      </c>
      <c r="H658">
        <v>42944</v>
      </c>
      <c r="I658" t="s">
        <v>423</v>
      </c>
      <c r="J658" t="s">
        <v>2050</v>
      </c>
      <c r="K658" t="s">
        <v>2051</v>
      </c>
      <c r="L658" t="s">
        <v>2052</v>
      </c>
      <c r="M658">
        <v>90</v>
      </c>
      <c r="N658">
        <v>58.65</v>
      </c>
      <c r="O658">
        <v>8229.18</v>
      </c>
      <c r="P658">
        <v>0</v>
      </c>
      <c r="Q658">
        <v>8229.18</v>
      </c>
      <c r="R658">
        <v>1316.67</v>
      </c>
      <c r="S658">
        <v>329.17</v>
      </c>
      <c r="T658">
        <v>9216.68</v>
      </c>
      <c r="V658" t="s">
        <v>9409</v>
      </c>
      <c r="W658" t="s">
        <v>423</v>
      </c>
    </row>
    <row r="659" spans="1:23" hidden="1" x14ac:dyDescent="0.2">
      <c r="A659">
        <v>2012</v>
      </c>
      <c r="B659" t="s">
        <v>303</v>
      </c>
      <c r="C659" s="733">
        <v>40911</v>
      </c>
      <c r="D6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9" t="s">
        <v>485</v>
      </c>
      <c r="F659" t="s">
        <v>2048</v>
      </c>
      <c r="G659" t="s">
        <v>3606</v>
      </c>
      <c r="H659">
        <v>39716</v>
      </c>
      <c r="I659" t="s">
        <v>423</v>
      </c>
      <c r="J659" t="s">
        <v>2050</v>
      </c>
      <c r="K659" t="s">
        <v>2051</v>
      </c>
      <c r="L659" t="s">
        <v>2052</v>
      </c>
      <c r="M659">
        <v>90</v>
      </c>
      <c r="N659">
        <v>52.95</v>
      </c>
      <c r="O659">
        <v>3127.76</v>
      </c>
      <c r="P659">
        <v>3521.5137060000002</v>
      </c>
      <c r="Q659">
        <v>6649.2737059999999</v>
      </c>
      <c r="R659">
        <v>1063.883793</v>
      </c>
      <c r="S659">
        <v>265.97094800000002</v>
      </c>
      <c r="T659">
        <v>7447.1865509999998</v>
      </c>
      <c r="U659" t="s">
        <v>2089</v>
      </c>
      <c r="V659" t="s">
        <v>9409</v>
      </c>
      <c r="W659" t="s">
        <v>423</v>
      </c>
    </row>
    <row r="660" spans="1:23" hidden="1" x14ac:dyDescent="0.2">
      <c r="A660">
        <v>2012</v>
      </c>
      <c r="B660" t="s">
        <v>304</v>
      </c>
      <c r="C660" s="733">
        <v>40964</v>
      </c>
      <c r="D6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0" t="s">
        <v>485</v>
      </c>
      <c r="F660" t="s">
        <v>2054</v>
      </c>
      <c r="G660" t="s">
        <v>8833</v>
      </c>
      <c r="H660">
        <v>10542</v>
      </c>
      <c r="I660" t="s">
        <v>423</v>
      </c>
      <c r="J660" t="s">
        <v>2056</v>
      </c>
      <c r="K660" t="s">
        <v>2057</v>
      </c>
      <c r="L660" t="s">
        <v>2058</v>
      </c>
      <c r="M660">
        <v>19</v>
      </c>
      <c r="N660">
        <v>45.47</v>
      </c>
      <c r="O660">
        <v>5132.2</v>
      </c>
      <c r="P660">
        <v>0</v>
      </c>
      <c r="Q660">
        <v>5132.2</v>
      </c>
      <c r="R660">
        <v>564.54</v>
      </c>
      <c r="S660">
        <v>205.29</v>
      </c>
      <c r="T660">
        <v>5491.45</v>
      </c>
      <c r="U660" t="s">
        <v>8864</v>
      </c>
      <c r="V660" t="s">
        <v>9409</v>
      </c>
      <c r="W660" t="s">
        <v>423</v>
      </c>
    </row>
    <row r="661" spans="1:23" hidden="1" x14ac:dyDescent="0.2">
      <c r="A661">
        <v>2012</v>
      </c>
      <c r="B661" t="s">
        <v>303</v>
      </c>
      <c r="C661" s="733">
        <v>40919</v>
      </c>
      <c r="D6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1" t="s">
        <v>485</v>
      </c>
      <c r="F661" t="s">
        <v>2048</v>
      </c>
      <c r="G661" t="s">
        <v>4954</v>
      </c>
      <c r="H661">
        <v>40140</v>
      </c>
      <c r="I661" t="s">
        <v>423</v>
      </c>
      <c r="J661" t="s">
        <v>2050</v>
      </c>
      <c r="K661" t="s">
        <v>2051</v>
      </c>
      <c r="L661" t="s">
        <v>2052</v>
      </c>
      <c r="M661">
        <v>90</v>
      </c>
      <c r="N661">
        <v>53.35</v>
      </c>
      <c r="O661">
        <v>7485.54</v>
      </c>
      <c r="P661">
        <v>0</v>
      </c>
      <c r="Q661">
        <v>7485.54</v>
      </c>
      <c r="R661">
        <v>1197.69</v>
      </c>
      <c r="S661">
        <v>299.42</v>
      </c>
      <c r="T661">
        <v>8383.81</v>
      </c>
      <c r="U661" t="s">
        <v>2062</v>
      </c>
      <c r="V661" t="s">
        <v>9409</v>
      </c>
      <c r="W661" t="s">
        <v>423</v>
      </c>
    </row>
    <row r="662" spans="1:23" hidden="1" x14ac:dyDescent="0.2">
      <c r="A662">
        <v>2012</v>
      </c>
      <c r="B662" t="s">
        <v>304</v>
      </c>
      <c r="C662" s="733">
        <v>40960</v>
      </c>
      <c r="D6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2" t="s">
        <v>485</v>
      </c>
      <c r="F662" t="s">
        <v>2065</v>
      </c>
      <c r="G662" t="s">
        <v>8162</v>
      </c>
      <c r="H662">
        <v>42301</v>
      </c>
      <c r="I662" t="s">
        <v>423</v>
      </c>
      <c r="J662" t="s">
        <v>2050</v>
      </c>
      <c r="K662" t="s">
        <v>2051</v>
      </c>
      <c r="L662" t="s">
        <v>2052</v>
      </c>
      <c r="M662">
        <v>90</v>
      </c>
      <c r="N662">
        <v>24.75</v>
      </c>
      <c r="O662">
        <v>3472.67</v>
      </c>
      <c r="P662">
        <v>0</v>
      </c>
      <c r="Q662">
        <v>3472.67</v>
      </c>
      <c r="R662">
        <v>555.63</v>
      </c>
      <c r="S662">
        <v>138.91</v>
      </c>
      <c r="T662">
        <v>3889.39</v>
      </c>
      <c r="U662" t="s">
        <v>8780</v>
      </c>
      <c r="V662" t="s">
        <v>9409</v>
      </c>
      <c r="W662" t="s">
        <v>423</v>
      </c>
    </row>
    <row r="663" spans="1:23" hidden="1" x14ac:dyDescent="0.2">
      <c r="A663">
        <v>2012</v>
      </c>
      <c r="B663" t="s">
        <v>304</v>
      </c>
      <c r="C663" s="733">
        <v>40960</v>
      </c>
      <c r="D6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3" t="s">
        <v>485</v>
      </c>
      <c r="F663" t="s">
        <v>2048</v>
      </c>
      <c r="G663" t="s">
        <v>8164</v>
      </c>
      <c r="H663">
        <v>42304</v>
      </c>
      <c r="I663" t="s">
        <v>423</v>
      </c>
      <c r="J663" t="s">
        <v>2050</v>
      </c>
      <c r="K663" t="s">
        <v>2051</v>
      </c>
      <c r="L663" t="s">
        <v>2052</v>
      </c>
      <c r="M663">
        <v>90</v>
      </c>
      <c r="N663">
        <v>55.55</v>
      </c>
      <c r="O663">
        <v>7794.22</v>
      </c>
      <c r="P663">
        <v>0</v>
      </c>
      <c r="Q663">
        <v>7794.22</v>
      </c>
      <c r="R663">
        <v>1247.08</v>
      </c>
      <c r="S663">
        <v>311.77</v>
      </c>
      <c r="T663">
        <v>8729.5300000000007</v>
      </c>
      <c r="U663" t="s">
        <v>8780</v>
      </c>
      <c r="V663" t="s">
        <v>9409</v>
      </c>
      <c r="W663" t="s">
        <v>423</v>
      </c>
    </row>
    <row r="664" spans="1:23" hidden="1" x14ac:dyDescent="0.2">
      <c r="A664">
        <v>2012</v>
      </c>
      <c r="B664" t="s">
        <v>304</v>
      </c>
      <c r="C664" s="733">
        <v>40952</v>
      </c>
      <c r="D6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4" t="s">
        <v>485</v>
      </c>
      <c r="F664" t="s">
        <v>2065</v>
      </c>
      <c r="G664" t="s">
        <v>3623</v>
      </c>
      <c r="H664">
        <v>41724</v>
      </c>
      <c r="I664" t="s">
        <v>423</v>
      </c>
      <c r="J664" t="s">
        <v>2050</v>
      </c>
      <c r="K664" t="s">
        <v>2051</v>
      </c>
      <c r="L664" t="s">
        <v>2052</v>
      </c>
      <c r="M664">
        <v>90</v>
      </c>
      <c r="N664">
        <v>27.7</v>
      </c>
      <c r="O664">
        <v>3886.59</v>
      </c>
      <c r="P664">
        <v>0</v>
      </c>
      <c r="Q664">
        <v>3886.59</v>
      </c>
      <c r="R664">
        <v>621.85</v>
      </c>
      <c r="S664">
        <v>155.46</v>
      </c>
      <c r="T664">
        <v>4352.9799999999996</v>
      </c>
      <c r="U664" t="s">
        <v>7568</v>
      </c>
      <c r="V664" t="s">
        <v>9408</v>
      </c>
      <c r="W664" t="s">
        <v>423</v>
      </c>
    </row>
    <row r="665" spans="1:23" hidden="1" x14ac:dyDescent="0.2">
      <c r="A665">
        <v>2012</v>
      </c>
      <c r="B665" t="s">
        <v>303</v>
      </c>
      <c r="C665" s="733">
        <v>40911</v>
      </c>
      <c r="D6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5" t="s">
        <v>485</v>
      </c>
      <c r="F665" t="s">
        <v>2048</v>
      </c>
      <c r="G665" t="s">
        <v>3624</v>
      </c>
      <c r="H665">
        <v>39718</v>
      </c>
      <c r="I665" t="s">
        <v>423</v>
      </c>
      <c r="J665" t="s">
        <v>2050</v>
      </c>
      <c r="K665" t="s">
        <v>2051</v>
      </c>
      <c r="L665" t="s">
        <v>2052</v>
      </c>
      <c r="M665">
        <v>90</v>
      </c>
      <c r="N665">
        <v>29.95</v>
      </c>
      <c r="O665">
        <v>1769.15</v>
      </c>
      <c r="P665">
        <v>1991.8682940000001</v>
      </c>
      <c r="Q665">
        <v>3761.018294</v>
      </c>
      <c r="R665">
        <v>601.76292699999999</v>
      </c>
      <c r="S665">
        <v>150.440732</v>
      </c>
      <c r="T665">
        <v>4212.3404890000002</v>
      </c>
      <c r="U665" t="s">
        <v>2089</v>
      </c>
      <c r="V665" t="s">
        <v>9408</v>
      </c>
      <c r="W665" t="s">
        <v>423</v>
      </c>
    </row>
    <row r="666" spans="1:23" hidden="1" x14ac:dyDescent="0.2">
      <c r="A666">
        <v>2012</v>
      </c>
      <c r="B666" t="s">
        <v>304</v>
      </c>
      <c r="C666" s="733">
        <v>40954</v>
      </c>
      <c r="D6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6" t="s">
        <v>485</v>
      </c>
      <c r="F666" t="s">
        <v>2048</v>
      </c>
      <c r="G666" t="s">
        <v>7650</v>
      </c>
      <c r="H666">
        <v>42000</v>
      </c>
      <c r="I666" t="s">
        <v>423</v>
      </c>
      <c r="J666" t="s">
        <v>2050</v>
      </c>
      <c r="K666" t="s">
        <v>2051</v>
      </c>
      <c r="L666" t="s">
        <v>2052</v>
      </c>
      <c r="M666">
        <v>90</v>
      </c>
      <c r="N666">
        <v>57.05</v>
      </c>
      <c r="O666">
        <v>8004.69</v>
      </c>
      <c r="P666">
        <v>0</v>
      </c>
      <c r="Q666">
        <v>8004.69</v>
      </c>
      <c r="R666">
        <v>1280.75</v>
      </c>
      <c r="S666">
        <v>320.19</v>
      </c>
      <c r="T666">
        <v>8965.25</v>
      </c>
      <c r="U666" t="s">
        <v>8780</v>
      </c>
      <c r="V666" t="s">
        <v>9409</v>
      </c>
      <c r="W666" t="s">
        <v>423</v>
      </c>
    </row>
    <row r="667" spans="1:23" x14ac:dyDescent="0.2">
      <c r="A667">
        <v>2012</v>
      </c>
      <c r="B667" t="s">
        <v>304</v>
      </c>
      <c r="C667" s="733">
        <v>40968.760868055557</v>
      </c>
      <c r="D6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7" t="s">
        <v>485</v>
      </c>
      <c r="F667" t="s">
        <v>2054</v>
      </c>
      <c r="G667" t="s">
        <v>9577</v>
      </c>
      <c r="H667">
        <v>10612</v>
      </c>
      <c r="I667" t="s">
        <v>423</v>
      </c>
      <c r="J667" t="s">
        <v>2056</v>
      </c>
      <c r="K667" t="s">
        <v>2057</v>
      </c>
      <c r="L667" t="s">
        <v>2058</v>
      </c>
      <c r="M667">
        <v>19</v>
      </c>
      <c r="N667">
        <v>23.62</v>
      </c>
      <c r="O667">
        <v>2665.99</v>
      </c>
      <c r="P667">
        <v>0</v>
      </c>
      <c r="Q667">
        <v>2665.99</v>
      </c>
      <c r="R667">
        <v>293.26</v>
      </c>
      <c r="S667">
        <v>106.64</v>
      </c>
      <c r="T667">
        <v>2852.61</v>
      </c>
      <c r="V667" t="s">
        <v>9408</v>
      </c>
      <c r="W667" t="s">
        <v>423</v>
      </c>
    </row>
    <row r="668" spans="1:23" hidden="1" x14ac:dyDescent="0.2">
      <c r="A668">
        <v>2012</v>
      </c>
      <c r="B668" t="s">
        <v>303</v>
      </c>
      <c r="C668" s="733">
        <v>40932.562638888892</v>
      </c>
      <c r="D6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8" t="s">
        <v>485</v>
      </c>
      <c r="F668" t="s">
        <v>2054</v>
      </c>
      <c r="G668" t="s">
        <v>3603</v>
      </c>
      <c r="H668">
        <v>10195</v>
      </c>
      <c r="I668" t="s">
        <v>423</v>
      </c>
      <c r="J668" t="s">
        <v>2056</v>
      </c>
      <c r="K668" t="s">
        <v>2057</v>
      </c>
      <c r="L668" t="s">
        <v>2058</v>
      </c>
      <c r="M668">
        <v>19</v>
      </c>
      <c r="N668">
        <v>22.84</v>
      </c>
      <c r="O668">
        <v>2577.9499999999998</v>
      </c>
      <c r="P668">
        <v>0</v>
      </c>
      <c r="Q668">
        <v>2577.9499999999998</v>
      </c>
      <c r="R668">
        <v>412.47</v>
      </c>
      <c r="S668">
        <v>103.12</v>
      </c>
      <c r="T668">
        <v>2887.3</v>
      </c>
      <c r="U668" t="s">
        <v>2077</v>
      </c>
      <c r="V668" t="s">
        <v>9408</v>
      </c>
      <c r="W668" t="s">
        <v>423</v>
      </c>
    </row>
    <row r="669" spans="1:23" hidden="1" x14ac:dyDescent="0.2">
      <c r="A669">
        <v>2012</v>
      </c>
      <c r="B669" t="s">
        <v>304</v>
      </c>
      <c r="C669" s="733">
        <v>40954</v>
      </c>
      <c r="D6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9" t="s">
        <v>485</v>
      </c>
      <c r="F669" t="s">
        <v>2048</v>
      </c>
      <c r="G669" t="s">
        <v>7474</v>
      </c>
      <c r="H669">
        <v>41997</v>
      </c>
      <c r="I669" t="s">
        <v>423</v>
      </c>
      <c r="J669" t="s">
        <v>2050</v>
      </c>
      <c r="K669" t="s">
        <v>2051</v>
      </c>
      <c r="L669" t="s">
        <v>2052</v>
      </c>
      <c r="M669">
        <v>90</v>
      </c>
      <c r="N669">
        <v>52.65</v>
      </c>
      <c r="O669">
        <v>7387.32</v>
      </c>
      <c r="P669">
        <v>0</v>
      </c>
      <c r="Q669">
        <v>7387.32</v>
      </c>
      <c r="R669">
        <v>1181.97</v>
      </c>
      <c r="S669">
        <v>295.49</v>
      </c>
      <c r="T669">
        <v>8273.7999999999993</v>
      </c>
      <c r="U669" t="s">
        <v>8780</v>
      </c>
      <c r="V669" t="s">
        <v>9409</v>
      </c>
      <c r="W669" t="s">
        <v>423</v>
      </c>
    </row>
    <row r="670" spans="1:23" hidden="1" x14ac:dyDescent="0.2">
      <c r="A670">
        <v>2012</v>
      </c>
      <c r="B670" t="s">
        <v>304</v>
      </c>
      <c r="C670" s="733">
        <v>40950</v>
      </c>
      <c r="D6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0" t="s">
        <v>485</v>
      </c>
      <c r="F670" t="s">
        <v>2054</v>
      </c>
      <c r="G670" t="s">
        <v>3611</v>
      </c>
      <c r="H670">
        <v>10390</v>
      </c>
      <c r="I670" t="s">
        <v>423</v>
      </c>
      <c r="J670" t="s">
        <v>2056</v>
      </c>
      <c r="K670" t="s">
        <v>2057</v>
      </c>
      <c r="L670" t="s">
        <v>2058</v>
      </c>
      <c r="M670">
        <v>19</v>
      </c>
      <c r="N670">
        <v>24.87</v>
      </c>
      <c r="O670">
        <v>2807.08</v>
      </c>
      <c r="P670">
        <v>0</v>
      </c>
      <c r="Q670">
        <v>2807.08</v>
      </c>
      <c r="R670">
        <v>308.77999999999997</v>
      </c>
      <c r="S670">
        <v>112.28</v>
      </c>
      <c r="T670">
        <v>3003.58</v>
      </c>
      <c r="U670" t="s">
        <v>2082</v>
      </c>
      <c r="V670" t="s">
        <v>9408</v>
      </c>
      <c r="W670" t="s">
        <v>423</v>
      </c>
    </row>
    <row r="671" spans="1:23" hidden="1" x14ac:dyDescent="0.2">
      <c r="A671">
        <v>2012</v>
      </c>
      <c r="B671" t="s">
        <v>303</v>
      </c>
      <c r="C671" s="733">
        <v>40919</v>
      </c>
      <c r="D6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1" t="s">
        <v>485</v>
      </c>
      <c r="F671" t="s">
        <v>2054</v>
      </c>
      <c r="G671" t="s">
        <v>3618</v>
      </c>
      <c r="H671">
        <v>9969</v>
      </c>
      <c r="I671" t="s">
        <v>423</v>
      </c>
      <c r="J671" t="s">
        <v>2056</v>
      </c>
      <c r="K671" t="s">
        <v>2057</v>
      </c>
      <c r="L671" t="s">
        <v>2058</v>
      </c>
      <c r="M671">
        <v>19</v>
      </c>
      <c r="N671">
        <v>23.62</v>
      </c>
      <c r="O671">
        <v>2665.99</v>
      </c>
      <c r="P671">
        <v>0</v>
      </c>
      <c r="Q671">
        <v>2665.99</v>
      </c>
      <c r="R671">
        <v>426.56</v>
      </c>
      <c r="S671">
        <v>106.64</v>
      </c>
      <c r="T671">
        <v>2985.91</v>
      </c>
      <c r="U671" t="s">
        <v>2070</v>
      </c>
      <c r="V671" t="s">
        <v>9409</v>
      </c>
      <c r="W671" t="s">
        <v>423</v>
      </c>
    </row>
    <row r="672" spans="1:23" hidden="1" x14ac:dyDescent="0.2">
      <c r="A672">
        <v>2012</v>
      </c>
      <c r="B672" t="s">
        <v>303</v>
      </c>
      <c r="C672" s="733">
        <v>40928</v>
      </c>
      <c r="D6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2" t="s">
        <v>485</v>
      </c>
      <c r="F672" t="s">
        <v>2054</v>
      </c>
      <c r="G672" t="s">
        <v>4957</v>
      </c>
      <c r="H672">
        <v>10141</v>
      </c>
      <c r="I672" t="s">
        <v>423</v>
      </c>
      <c r="J672" t="s">
        <v>2056</v>
      </c>
      <c r="K672" t="s">
        <v>2057</v>
      </c>
      <c r="L672" t="s">
        <v>2058</v>
      </c>
      <c r="M672">
        <v>19</v>
      </c>
      <c r="N672">
        <v>30.44</v>
      </c>
      <c r="O672">
        <v>3435.76</v>
      </c>
      <c r="P672">
        <v>0</v>
      </c>
      <c r="Q672">
        <v>3435.76</v>
      </c>
      <c r="R672">
        <v>549.72</v>
      </c>
      <c r="S672">
        <v>137.43</v>
      </c>
      <c r="T672">
        <v>3848.05</v>
      </c>
      <c r="U672" t="s">
        <v>2077</v>
      </c>
      <c r="V672" t="s">
        <v>9408</v>
      </c>
      <c r="W672" t="s">
        <v>423</v>
      </c>
    </row>
    <row r="673" spans="1:23" x14ac:dyDescent="0.2">
      <c r="A673">
        <v>2012</v>
      </c>
      <c r="B673" t="s">
        <v>304</v>
      </c>
      <c r="C673" s="733">
        <v>40967</v>
      </c>
      <c r="D6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3" t="s">
        <v>485</v>
      </c>
      <c r="F673" t="s">
        <v>2048</v>
      </c>
      <c r="G673" t="s">
        <v>9004</v>
      </c>
      <c r="H673">
        <v>42720</v>
      </c>
      <c r="I673" t="s">
        <v>423</v>
      </c>
      <c r="J673" t="s">
        <v>2050</v>
      </c>
      <c r="K673" t="s">
        <v>2051</v>
      </c>
      <c r="L673" t="s">
        <v>2052</v>
      </c>
      <c r="M673">
        <v>90</v>
      </c>
      <c r="N673">
        <v>26.25</v>
      </c>
      <c r="O673">
        <v>3683.14</v>
      </c>
      <c r="P673">
        <v>0</v>
      </c>
      <c r="Q673">
        <v>3683.14</v>
      </c>
      <c r="R673">
        <v>589.29999999999995</v>
      </c>
      <c r="S673">
        <v>147.33000000000001</v>
      </c>
      <c r="T673">
        <v>4125.1099999999997</v>
      </c>
      <c r="V673" t="s">
        <v>9408</v>
      </c>
      <c r="W673" t="s">
        <v>423</v>
      </c>
    </row>
    <row r="674" spans="1:23" hidden="1" x14ac:dyDescent="0.2">
      <c r="A674">
        <v>2012</v>
      </c>
      <c r="B674" t="s">
        <v>304</v>
      </c>
      <c r="C674" s="733">
        <v>40960</v>
      </c>
      <c r="D6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4" t="s">
        <v>485</v>
      </c>
      <c r="F674" t="s">
        <v>2048</v>
      </c>
      <c r="G674" t="s">
        <v>8173</v>
      </c>
      <c r="H674">
        <v>42298</v>
      </c>
      <c r="I674" t="s">
        <v>423</v>
      </c>
      <c r="J674" t="s">
        <v>2050</v>
      </c>
      <c r="K674" t="s">
        <v>2051</v>
      </c>
      <c r="L674" t="s">
        <v>2052</v>
      </c>
      <c r="M674">
        <v>90</v>
      </c>
      <c r="N674">
        <v>50.9</v>
      </c>
      <c r="O674">
        <v>7141.78</v>
      </c>
      <c r="P674">
        <v>0</v>
      </c>
      <c r="Q674">
        <v>7141.78</v>
      </c>
      <c r="R674">
        <v>1142.68</v>
      </c>
      <c r="S674">
        <v>285.67</v>
      </c>
      <c r="T674">
        <v>7998.79</v>
      </c>
      <c r="U674" t="s">
        <v>8780</v>
      </c>
      <c r="V674" t="s">
        <v>9409</v>
      </c>
      <c r="W674" t="s">
        <v>423</v>
      </c>
    </row>
    <row r="675" spans="1:23" hidden="1" x14ac:dyDescent="0.2">
      <c r="A675">
        <v>2012</v>
      </c>
      <c r="B675" t="s">
        <v>304</v>
      </c>
      <c r="C675" s="733">
        <v>40966</v>
      </c>
      <c r="D6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5" t="s">
        <v>505</v>
      </c>
      <c r="F675" t="s">
        <v>1915</v>
      </c>
      <c r="G675" t="s">
        <v>8859</v>
      </c>
      <c r="H675">
        <v>23042</v>
      </c>
      <c r="I675" t="s">
        <v>424</v>
      </c>
      <c r="J675" t="s">
        <v>1917</v>
      </c>
      <c r="K675" t="s">
        <v>1918</v>
      </c>
      <c r="L675" t="s">
        <v>1919</v>
      </c>
      <c r="M675">
        <v>267</v>
      </c>
      <c r="N675">
        <v>54</v>
      </c>
      <c r="O675">
        <v>8304.66</v>
      </c>
      <c r="P675">
        <v>0</v>
      </c>
      <c r="Q675">
        <v>8304.66</v>
      </c>
      <c r="R675">
        <v>1328.75</v>
      </c>
      <c r="S675">
        <v>332.19</v>
      </c>
      <c r="T675">
        <v>9301.2199999999993</v>
      </c>
      <c r="U675" t="s">
        <v>9415</v>
      </c>
      <c r="V675" t="s">
        <v>9408</v>
      </c>
      <c r="W675" t="s">
        <v>424</v>
      </c>
    </row>
    <row r="676" spans="1:23" hidden="1" x14ac:dyDescent="0.2">
      <c r="A676">
        <v>2012</v>
      </c>
      <c r="B676" t="s">
        <v>303</v>
      </c>
      <c r="C676" s="733">
        <v>40933</v>
      </c>
      <c r="D6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6" t="s">
        <v>485</v>
      </c>
      <c r="F676" t="s">
        <v>2065</v>
      </c>
      <c r="G676" t="s">
        <v>6418</v>
      </c>
      <c r="H676">
        <v>40859</v>
      </c>
      <c r="I676" t="s">
        <v>423</v>
      </c>
      <c r="J676" t="s">
        <v>4073</v>
      </c>
      <c r="K676" t="s">
        <v>2051</v>
      </c>
      <c r="L676" t="s">
        <v>2052</v>
      </c>
      <c r="M676">
        <v>610</v>
      </c>
      <c r="N676">
        <v>48.9</v>
      </c>
      <c r="O676">
        <v>17334.560000000001</v>
      </c>
      <c r="P676">
        <v>0</v>
      </c>
      <c r="Q676">
        <v>17334.560000000001</v>
      </c>
      <c r="R676">
        <v>2773.53</v>
      </c>
      <c r="S676">
        <v>693.38</v>
      </c>
      <c r="T676">
        <v>19414.71</v>
      </c>
      <c r="U676" t="s">
        <v>2053</v>
      </c>
      <c r="V676" t="s">
        <v>9409</v>
      </c>
      <c r="W676" t="s">
        <v>423</v>
      </c>
    </row>
    <row r="677" spans="1:23" hidden="1" x14ac:dyDescent="0.2">
      <c r="A677">
        <v>2012</v>
      </c>
      <c r="B677" t="s">
        <v>303</v>
      </c>
      <c r="C677" s="733">
        <v>40927.710659722223</v>
      </c>
      <c r="D6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7" t="s">
        <v>478</v>
      </c>
      <c r="F677" t="s">
        <v>2622</v>
      </c>
      <c r="G677" t="s">
        <v>6307</v>
      </c>
      <c r="H677">
        <v>34736</v>
      </c>
      <c r="I677" t="s">
        <v>423</v>
      </c>
      <c r="J677" t="s">
        <v>2629</v>
      </c>
      <c r="K677" t="s">
        <v>2625</v>
      </c>
      <c r="L677" t="s">
        <v>2626</v>
      </c>
      <c r="M677">
        <v>33</v>
      </c>
      <c r="N677">
        <v>25.92</v>
      </c>
      <c r="O677">
        <v>3023.31</v>
      </c>
      <c r="P677">
        <v>0</v>
      </c>
      <c r="Q677">
        <v>3023.31</v>
      </c>
      <c r="R677">
        <v>483.73</v>
      </c>
      <c r="S677">
        <v>120.93</v>
      </c>
      <c r="T677">
        <v>3386.11</v>
      </c>
      <c r="U677" t="s">
        <v>2627</v>
      </c>
      <c r="V677" t="s">
        <v>9408</v>
      </c>
      <c r="W677" t="s">
        <v>423</v>
      </c>
    </row>
    <row r="678" spans="1:23" hidden="1" x14ac:dyDescent="0.2">
      <c r="A678">
        <v>2012</v>
      </c>
      <c r="B678" t="s">
        <v>304</v>
      </c>
      <c r="C678" s="733">
        <v>40967.444768518515</v>
      </c>
      <c r="D6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8" t="s">
        <v>478</v>
      </c>
      <c r="F678" t="s">
        <v>2622</v>
      </c>
      <c r="G678" t="s">
        <v>9382</v>
      </c>
      <c r="H678">
        <v>36126</v>
      </c>
      <c r="I678" t="s">
        <v>423</v>
      </c>
      <c r="J678" t="s">
        <v>2629</v>
      </c>
      <c r="K678" t="s">
        <v>2625</v>
      </c>
      <c r="L678" t="s">
        <v>2626</v>
      </c>
      <c r="M678">
        <v>33</v>
      </c>
      <c r="N678">
        <v>23.79</v>
      </c>
      <c r="O678">
        <v>2774.87</v>
      </c>
      <c r="P678">
        <v>0</v>
      </c>
      <c r="Q678">
        <v>2774.87</v>
      </c>
      <c r="R678">
        <v>443.98</v>
      </c>
      <c r="S678">
        <v>110.99</v>
      </c>
      <c r="T678">
        <v>3107.86</v>
      </c>
      <c r="U678" t="s">
        <v>9428</v>
      </c>
      <c r="V678" t="s">
        <v>9408</v>
      </c>
      <c r="W678" t="s">
        <v>423</v>
      </c>
    </row>
    <row r="679" spans="1:23" hidden="1" x14ac:dyDescent="0.2">
      <c r="A679">
        <v>2012</v>
      </c>
      <c r="B679" t="s">
        <v>303</v>
      </c>
      <c r="C679" s="733">
        <v>40927.711724537039</v>
      </c>
      <c r="D6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9" t="s">
        <v>478</v>
      </c>
      <c r="F679" t="s">
        <v>2622</v>
      </c>
      <c r="G679" t="s">
        <v>5578</v>
      </c>
      <c r="H679">
        <v>34739</v>
      </c>
      <c r="I679" t="s">
        <v>423</v>
      </c>
      <c r="J679" t="s">
        <v>2629</v>
      </c>
      <c r="K679" t="s">
        <v>2625</v>
      </c>
      <c r="L679" t="s">
        <v>2626</v>
      </c>
      <c r="M679">
        <v>33</v>
      </c>
      <c r="N679">
        <v>24.83</v>
      </c>
      <c r="O679">
        <v>2896.17</v>
      </c>
      <c r="P679">
        <v>0</v>
      </c>
      <c r="Q679">
        <v>2896.17</v>
      </c>
      <c r="R679">
        <v>463.39</v>
      </c>
      <c r="S679">
        <v>115.85</v>
      </c>
      <c r="T679">
        <v>3243.71</v>
      </c>
      <c r="U679" t="s">
        <v>2635</v>
      </c>
      <c r="V679" t="s">
        <v>9408</v>
      </c>
      <c r="W679" t="s">
        <v>423</v>
      </c>
    </row>
    <row r="680" spans="1:23" hidden="1" x14ac:dyDescent="0.2">
      <c r="A680">
        <v>2012</v>
      </c>
      <c r="B680" t="s">
        <v>303</v>
      </c>
      <c r="C680" s="733">
        <v>40939.51290509259</v>
      </c>
      <c r="D6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0" t="s">
        <v>478</v>
      </c>
      <c r="F680" t="s">
        <v>2136</v>
      </c>
      <c r="G680" t="s">
        <v>5577</v>
      </c>
      <c r="H680">
        <v>35132</v>
      </c>
      <c r="I680" t="s">
        <v>423</v>
      </c>
      <c r="J680" t="s">
        <v>2629</v>
      </c>
      <c r="K680" t="s">
        <v>2625</v>
      </c>
      <c r="L680" t="s">
        <v>2626</v>
      </c>
      <c r="M680">
        <v>33</v>
      </c>
      <c r="N680">
        <v>23.64</v>
      </c>
      <c r="O680">
        <v>2757.37</v>
      </c>
      <c r="P680">
        <v>0</v>
      </c>
      <c r="Q680">
        <v>2757.37</v>
      </c>
      <c r="R680">
        <v>441.18</v>
      </c>
      <c r="S680">
        <v>110.29</v>
      </c>
      <c r="T680">
        <v>3088.26</v>
      </c>
      <c r="U680" t="s">
        <v>2630</v>
      </c>
      <c r="V680" t="s">
        <v>9408</v>
      </c>
      <c r="W680" t="s">
        <v>423</v>
      </c>
    </row>
    <row r="681" spans="1:23" hidden="1" x14ac:dyDescent="0.2">
      <c r="A681">
        <v>2012</v>
      </c>
      <c r="B681" t="s">
        <v>303</v>
      </c>
      <c r="C681" s="733">
        <v>40933</v>
      </c>
      <c r="D6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1" t="s">
        <v>485</v>
      </c>
      <c r="F681" t="s">
        <v>2065</v>
      </c>
      <c r="G681" t="s">
        <v>4990</v>
      </c>
      <c r="H681">
        <v>40838</v>
      </c>
      <c r="I681" t="s">
        <v>423</v>
      </c>
      <c r="J681" t="s">
        <v>2186</v>
      </c>
      <c r="K681" t="s">
        <v>2183</v>
      </c>
      <c r="L681" t="s">
        <v>2184</v>
      </c>
      <c r="M681">
        <v>19</v>
      </c>
      <c r="N681">
        <v>16.559999999999999</v>
      </c>
      <c r="O681">
        <v>1869.13</v>
      </c>
      <c r="P681">
        <v>0</v>
      </c>
      <c r="Q681">
        <v>1869.13</v>
      </c>
      <c r="R681">
        <v>299.06</v>
      </c>
      <c r="S681">
        <v>74.77</v>
      </c>
      <c r="T681">
        <v>2093.42</v>
      </c>
      <c r="U681" t="s">
        <v>2187</v>
      </c>
      <c r="V681" t="s">
        <v>9408</v>
      </c>
      <c r="W681" t="s">
        <v>423</v>
      </c>
    </row>
    <row r="682" spans="1:23" hidden="1" x14ac:dyDescent="0.2">
      <c r="A682">
        <v>2012</v>
      </c>
      <c r="B682" t="s">
        <v>303</v>
      </c>
      <c r="C682" s="733">
        <v>40933</v>
      </c>
      <c r="D6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2" t="s">
        <v>485</v>
      </c>
      <c r="F682" t="s">
        <v>2065</v>
      </c>
      <c r="G682" t="s">
        <v>4973</v>
      </c>
      <c r="H682">
        <v>40841</v>
      </c>
      <c r="I682" t="s">
        <v>423</v>
      </c>
      <c r="J682" t="s">
        <v>2186</v>
      </c>
      <c r="K682" t="s">
        <v>2183</v>
      </c>
      <c r="L682" t="s">
        <v>2184</v>
      </c>
      <c r="M682">
        <v>19</v>
      </c>
      <c r="N682">
        <v>15.31</v>
      </c>
      <c r="O682">
        <v>2268.02</v>
      </c>
      <c r="P682">
        <v>0</v>
      </c>
      <c r="Q682">
        <v>2268.02</v>
      </c>
      <c r="R682">
        <v>362.88</v>
      </c>
      <c r="S682">
        <v>90.72</v>
      </c>
      <c r="T682">
        <v>2540.1799999999998</v>
      </c>
      <c r="U682" t="s">
        <v>2187</v>
      </c>
      <c r="V682" t="s">
        <v>9408</v>
      </c>
      <c r="W682" t="s">
        <v>423</v>
      </c>
    </row>
    <row r="683" spans="1:23" hidden="1" x14ac:dyDescent="0.2">
      <c r="A683">
        <v>2012</v>
      </c>
      <c r="B683" t="s">
        <v>304</v>
      </c>
      <c r="C683" s="733">
        <v>40952</v>
      </c>
      <c r="D6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3" t="s">
        <v>485</v>
      </c>
      <c r="F683" t="s">
        <v>2065</v>
      </c>
      <c r="G683" t="s">
        <v>4984</v>
      </c>
      <c r="H683">
        <v>41699</v>
      </c>
      <c r="I683" t="s">
        <v>423</v>
      </c>
      <c r="J683" t="s">
        <v>2189</v>
      </c>
      <c r="K683" t="s">
        <v>2183</v>
      </c>
      <c r="L683" t="s">
        <v>2184</v>
      </c>
      <c r="M683">
        <v>720</v>
      </c>
      <c r="N683">
        <v>26.41</v>
      </c>
      <c r="O683">
        <v>11723.13</v>
      </c>
      <c r="P683">
        <v>0</v>
      </c>
      <c r="Q683">
        <v>11723.13</v>
      </c>
      <c r="R683">
        <v>1875.7</v>
      </c>
      <c r="S683">
        <v>468.93</v>
      </c>
      <c r="T683">
        <v>13129.9</v>
      </c>
      <c r="U683" t="s">
        <v>8048</v>
      </c>
      <c r="V683" t="s">
        <v>9408</v>
      </c>
      <c r="W683" t="s">
        <v>423</v>
      </c>
    </row>
    <row r="684" spans="1:23" hidden="1" x14ac:dyDescent="0.2">
      <c r="A684">
        <v>2012</v>
      </c>
      <c r="B684" t="s">
        <v>303</v>
      </c>
      <c r="C684" s="733">
        <v>40927</v>
      </c>
      <c r="D6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4" t="s">
        <v>478</v>
      </c>
      <c r="F684" t="s">
        <v>2136</v>
      </c>
      <c r="G684" t="s">
        <v>5580</v>
      </c>
      <c r="H684">
        <v>34619</v>
      </c>
      <c r="I684" t="s">
        <v>423</v>
      </c>
      <c r="J684" t="s">
        <v>2629</v>
      </c>
      <c r="K684" t="s">
        <v>2625</v>
      </c>
      <c r="L684" t="s">
        <v>2626</v>
      </c>
      <c r="M684">
        <v>33</v>
      </c>
      <c r="N684">
        <v>23.67</v>
      </c>
      <c r="O684">
        <v>2760.87</v>
      </c>
      <c r="P684">
        <v>0</v>
      </c>
      <c r="Q684">
        <v>2760.87</v>
      </c>
      <c r="R684">
        <v>441.74</v>
      </c>
      <c r="S684">
        <v>110.43</v>
      </c>
      <c r="T684">
        <v>3092.18</v>
      </c>
      <c r="U684" t="s">
        <v>2627</v>
      </c>
      <c r="V684" t="s">
        <v>9408</v>
      </c>
      <c r="W684" t="s">
        <v>423</v>
      </c>
    </row>
    <row r="685" spans="1:23" hidden="1" x14ac:dyDescent="0.2">
      <c r="A685">
        <v>2012</v>
      </c>
      <c r="B685" t="s">
        <v>304</v>
      </c>
      <c r="C685" s="733">
        <v>40946.623715277776</v>
      </c>
      <c r="D6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5" t="s">
        <v>478</v>
      </c>
      <c r="F685" t="s">
        <v>2622</v>
      </c>
      <c r="G685" t="s">
        <v>5582</v>
      </c>
      <c r="H685">
        <v>35398</v>
      </c>
      <c r="I685" t="s">
        <v>423</v>
      </c>
      <c r="J685" t="s">
        <v>2629</v>
      </c>
      <c r="K685" t="s">
        <v>2625</v>
      </c>
      <c r="L685" t="s">
        <v>2626</v>
      </c>
      <c r="M685">
        <v>33</v>
      </c>
      <c r="N685">
        <v>23.55</v>
      </c>
      <c r="O685">
        <v>2746.87</v>
      </c>
      <c r="P685">
        <v>0</v>
      </c>
      <c r="Q685">
        <v>2746.87</v>
      </c>
      <c r="R685">
        <v>439.5</v>
      </c>
      <c r="S685">
        <v>109.87</v>
      </c>
      <c r="T685">
        <v>3076.5</v>
      </c>
      <c r="U685" t="s">
        <v>2652</v>
      </c>
      <c r="V685" t="s">
        <v>9408</v>
      </c>
      <c r="W685" t="s">
        <v>423</v>
      </c>
    </row>
    <row r="686" spans="1:23" hidden="1" x14ac:dyDescent="0.2">
      <c r="A686">
        <v>2012</v>
      </c>
      <c r="B686" t="s">
        <v>304</v>
      </c>
      <c r="C686" s="733">
        <v>40963.552719907406</v>
      </c>
      <c r="D6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6" t="s">
        <v>478</v>
      </c>
      <c r="F686" t="s">
        <v>2622</v>
      </c>
      <c r="G686" t="s">
        <v>9380</v>
      </c>
      <c r="H686">
        <v>35993</v>
      </c>
      <c r="I686" t="s">
        <v>423</v>
      </c>
      <c r="J686" t="s">
        <v>2629</v>
      </c>
      <c r="K686" t="s">
        <v>2625</v>
      </c>
      <c r="L686" t="s">
        <v>2626</v>
      </c>
      <c r="M686">
        <v>33</v>
      </c>
      <c r="N686">
        <v>22.55</v>
      </c>
      <c r="O686">
        <v>2630.23</v>
      </c>
      <c r="P686">
        <v>0</v>
      </c>
      <c r="Q686">
        <v>2630.23</v>
      </c>
      <c r="R686">
        <v>420.84</v>
      </c>
      <c r="S686">
        <v>105.21</v>
      </c>
      <c r="T686">
        <v>2945.86</v>
      </c>
      <c r="U686" t="s">
        <v>9428</v>
      </c>
      <c r="V686" t="s">
        <v>9408</v>
      </c>
      <c r="W686" t="s">
        <v>423</v>
      </c>
    </row>
    <row r="687" spans="1:23" hidden="1" x14ac:dyDescent="0.2">
      <c r="A687">
        <v>2012</v>
      </c>
      <c r="B687" t="s">
        <v>303</v>
      </c>
      <c r="C687" s="733">
        <v>40911.81077546296</v>
      </c>
      <c r="D6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7" t="s">
        <v>478</v>
      </c>
      <c r="F687" t="s">
        <v>2136</v>
      </c>
      <c r="G687" t="s">
        <v>5581</v>
      </c>
      <c r="H687">
        <v>34222</v>
      </c>
      <c r="I687" t="s">
        <v>423</v>
      </c>
      <c r="J687" t="s">
        <v>2629</v>
      </c>
      <c r="K687" t="s">
        <v>2625</v>
      </c>
      <c r="L687" t="s">
        <v>2626</v>
      </c>
      <c r="M687">
        <v>33</v>
      </c>
      <c r="N687">
        <v>23.17</v>
      </c>
      <c r="O687">
        <v>1295.67</v>
      </c>
      <c r="P687">
        <v>1123.281107</v>
      </c>
      <c r="Q687">
        <v>2418.9511069999999</v>
      </c>
      <c r="R687">
        <v>387.03217699999999</v>
      </c>
      <c r="S687">
        <v>96.758043999999998</v>
      </c>
      <c r="T687">
        <v>2709.2252400000002</v>
      </c>
      <c r="U687" t="s">
        <v>2660</v>
      </c>
      <c r="V687" t="s">
        <v>9408</v>
      </c>
      <c r="W687" t="s">
        <v>423</v>
      </c>
    </row>
    <row r="688" spans="1:23" hidden="1" x14ac:dyDescent="0.2">
      <c r="A688">
        <v>2012</v>
      </c>
      <c r="B688" t="s">
        <v>304</v>
      </c>
      <c r="C688" s="733">
        <v>40955.734351851854</v>
      </c>
      <c r="D6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8" t="s">
        <v>478</v>
      </c>
      <c r="F688" t="s">
        <v>2136</v>
      </c>
      <c r="G688" t="s">
        <v>8042</v>
      </c>
      <c r="H688">
        <v>35720</v>
      </c>
      <c r="I688" t="s">
        <v>423</v>
      </c>
      <c r="J688" t="s">
        <v>2629</v>
      </c>
      <c r="K688" t="s">
        <v>2625</v>
      </c>
      <c r="L688" t="s">
        <v>2626</v>
      </c>
      <c r="M688">
        <v>33</v>
      </c>
      <c r="N688">
        <v>22.46</v>
      </c>
      <c r="O688">
        <v>2619.73</v>
      </c>
      <c r="P688">
        <v>0</v>
      </c>
      <c r="Q688">
        <v>2619.73</v>
      </c>
      <c r="R688">
        <v>419.16</v>
      </c>
      <c r="S688">
        <v>104.79</v>
      </c>
      <c r="T688">
        <v>2934.1</v>
      </c>
      <c r="U688" t="s">
        <v>7548</v>
      </c>
      <c r="V688" t="s">
        <v>9408</v>
      </c>
      <c r="W688" t="s">
        <v>423</v>
      </c>
    </row>
    <row r="689" spans="1:23" hidden="1" x14ac:dyDescent="0.2">
      <c r="A689">
        <v>2012</v>
      </c>
      <c r="B689" t="s">
        <v>304</v>
      </c>
      <c r="C689" s="733">
        <v>40946.621400462966</v>
      </c>
      <c r="D6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9" t="s">
        <v>478</v>
      </c>
      <c r="F689" t="s">
        <v>2622</v>
      </c>
      <c r="G689" t="s">
        <v>6303</v>
      </c>
      <c r="H689">
        <v>35392</v>
      </c>
      <c r="I689" t="s">
        <v>423</v>
      </c>
      <c r="J689" t="s">
        <v>2629</v>
      </c>
      <c r="K689" t="s">
        <v>2625</v>
      </c>
      <c r="L689" t="s">
        <v>2626</v>
      </c>
      <c r="M689">
        <v>33</v>
      </c>
      <c r="N689">
        <v>23.55</v>
      </c>
      <c r="O689">
        <v>2746.87</v>
      </c>
      <c r="P689">
        <v>0</v>
      </c>
      <c r="Q689">
        <v>2746.87</v>
      </c>
      <c r="R689">
        <v>439.5</v>
      </c>
      <c r="S689">
        <v>109.87</v>
      </c>
      <c r="T689">
        <v>3076.5</v>
      </c>
      <c r="U689" t="s">
        <v>2630</v>
      </c>
      <c r="V689" t="s">
        <v>9408</v>
      </c>
      <c r="W689" t="s">
        <v>423</v>
      </c>
    </row>
    <row r="690" spans="1:23" hidden="1" x14ac:dyDescent="0.2">
      <c r="A690">
        <v>2012</v>
      </c>
      <c r="B690" t="s">
        <v>304</v>
      </c>
      <c r="C690" s="733">
        <v>40946.622511574074</v>
      </c>
      <c r="D6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0" t="s">
        <v>478</v>
      </c>
      <c r="F690" t="s">
        <v>2622</v>
      </c>
      <c r="G690" t="s">
        <v>6304</v>
      </c>
      <c r="H690">
        <v>35395</v>
      </c>
      <c r="I690" t="s">
        <v>423</v>
      </c>
      <c r="J690" t="s">
        <v>2629</v>
      </c>
      <c r="K690" t="s">
        <v>2625</v>
      </c>
      <c r="L690" t="s">
        <v>2626</v>
      </c>
      <c r="M690">
        <v>33</v>
      </c>
      <c r="N690">
        <v>22.96</v>
      </c>
      <c r="O690">
        <v>2678.05</v>
      </c>
      <c r="P690">
        <v>0</v>
      </c>
      <c r="Q690">
        <v>2678.05</v>
      </c>
      <c r="R690">
        <v>428.49</v>
      </c>
      <c r="S690">
        <v>107.12</v>
      </c>
      <c r="T690">
        <v>2999.42</v>
      </c>
      <c r="U690" t="s">
        <v>2652</v>
      </c>
      <c r="V690" t="s">
        <v>9408</v>
      </c>
      <c r="W690" t="s">
        <v>423</v>
      </c>
    </row>
    <row r="691" spans="1:23" hidden="1" x14ac:dyDescent="0.2">
      <c r="A691">
        <v>2012</v>
      </c>
      <c r="B691" t="s">
        <v>303</v>
      </c>
      <c r="C691" s="733">
        <v>40910</v>
      </c>
      <c r="D6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1" t="s">
        <v>478</v>
      </c>
      <c r="F691" t="s">
        <v>2622</v>
      </c>
      <c r="G691" t="s">
        <v>5583</v>
      </c>
      <c r="H691">
        <v>34160</v>
      </c>
      <c r="I691" t="s">
        <v>423</v>
      </c>
      <c r="J691" t="s">
        <v>2629</v>
      </c>
      <c r="K691" t="s">
        <v>2625</v>
      </c>
      <c r="L691" t="s">
        <v>2626</v>
      </c>
      <c r="M691">
        <v>33</v>
      </c>
      <c r="N691">
        <v>26.48</v>
      </c>
      <c r="O691">
        <v>1480.76</v>
      </c>
      <c r="P691">
        <v>1283.744882</v>
      </c>
      <c r="Q691">
        <v>2764.5048820000002</v>
      </c>
      <c r="R691">
        <v>442.32078100000001</v>
      </c>
      <c r="S691">
        <v>110.580195</v>
      </c>
      <c r="T691">
        <v>3096.2454680000001</v>
      </c>
      <c r="U691" t="s">
        <v>2660</v>
      </c>
      <c r="V691" t="s">
        <v>9408</v>
      </c>
      <c r="W691" t="s">
        <v>423</v>
      </c>
    </row>
    <row r="692" spans="1:23" hidden="1" x14ac:dyDescent="0.2">
      <c r="A692">
        <v>2012</v>
      </c>
      <c r="B692" t="s">
        <v>303</v>
      </c>
      <c r="C692" s="733">
        <v>40910</v>
      </c>
      <c r="D6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2" t="s">
        <v>478</v>
      </c>
      <c r="F692" t="s">
        <v>2622</v>
      </c>
      <c r="G692" t="s">
        <v>5887</v>
      </c>
      <c r="H692">
        <v>34163</v>
      </c>
      <c r="I692" t="s">
        <v>423</v>
      </c>
      <c r="J692" t="s">
        <v>2629</v>
      </c>
      <c r="K692" t="s">
        <v>2625</v>
      </c>
      <c r="L692" t="s">
        <v>2626</v>
      </c>
      <c r="M692">
        <v>33</v>
      </c>
      <c r="N692">
        <v>23.66</v>
      </c>
      <c r="O692">
        <v>1323.07</v>
      </c>
      <c r="P692">
        <v>1147.035537</v>
      </c>
      <c r="Q692">
        <v>2470.1055369999999</v>
      </c>
      <c r="R692">
        <v>395.21688599999999</v>
      </c>
      <c r="S692">
        <v>98.804220999999998</v>
      </c>
      <c r="T692">
        <v>2766.5182020000002</v>
      </c>
      <c r="U692" t="s">
        <v>2665</v>
      </c>
      <c r="V692" t="s">
        <v>9408</v>
      </c>
      <c r="W692" t="s">
        <v>423</v>
      </c>
    </row>
    <row r="693" spans="1:23" hidden="1" x14ac:dyDescent="0.2">
      <c r="A693">
        <v>2012</v>
      </c>
      <c r="B693" t="s">
        <v>304</v>
      </c>
      <c r="C693" s="733">
        <v>40941</v>
      </c>
      <c r="D6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3" t="s">
        <v>485</v>
      </c>
      <c r="F693" t="s">
        <v>2099</v>
      </c>
      <c r="G693" t="s">
        <v>2581</v>
      </c>
      <c r="H693">
        <v>39844</v>
      </c>
      <c r="I693" t="s">
        <v>423</v>
      </c>
      <c r="J693" t="s">
        <v>2141</v>
      </c>
      <c r="K693" t="s">
        <v>2102</v>
      </c>
      <c r="L693" t="s">
        <v>2103</v>
      </c>
      <c r="M693">
        <v>114</v>
      </c>
      <c r="N693">
        <v>26.47</v>
      </c>
      <c r="O693">
        <v>4253.2</v>
      </c>
      <c r="P693">
        <v>0</v>
      </c>
      <c r="Q693">
        <v>4253.2</v>
      </c>
      <c r="R693">
        <v>680.51</v>
      </c>
      <c r="S693">
        <v>170.13</v>
      </c>
      <c r="T693">
        <v>4763.58</v>
      </c>
      <c r="V693" t="s">
        <v>9408</v>
      </c>
      <c r="W693" t="s">
        <v>423</v>
      </c>
    </row>
    <row r="694" spans="1:23" hidden="1" x14ac:dyDescent="0.2">
      <c r="A694">
        <v>2012</v>
      </c>
      <c r="B694" t="s">
        <v>304</v>
      </c>
      <c r="C694" s="733">
        <v>40962.524108796293</v>
      </c>
      <c r="D6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4" t="s">
        <v>478</v>
      </c>
      <c r="F694" t="s">
        <v>2136</v>
      </c>
      <c r="G694" t="s">
        <v>8702</v>
      </c>
      <c r="H694">
        <v>35966</v>
      </c>
      <c r="I694" t="s">
        <v>423</v>
      </c>
      <c r="J694" t="s">
        <v>4791</v>
      </c>
      <c r="K694" t="s">
        <v>425</v>
      </c>
      <c r="L694" t="s">
        <v>2145</v>
      </c>
      <c r="M694">
        <v>139</v>
      </c>
      <c r="N694">
        <v>25.62</v>
      </c>
      <c r="O694">
        <v>4279.05</v>
      </c>
      <c r="P694">
        <v>0</v>
      </c>
      <c r="Q694">
        <v>4279.05</v>
      </c>
      <c r="R694">
        <v>684.65</v>
      </c>
      <c r="S694">
        <v>171.16</v>
      </c>
      <c r="T694">
        <v>4792.54</v>
      </c>
      <c r="U694" t="s">
        <v>9430</v>
      </c>
      <c r="V694" t="s">
        <v>9408</v>
      </c>
      <c r="W694" t="s">
        <v>423</v>
      </c>
    </row>
    <row r="695" spans="1:23" hidden="1" x14ac:dyDescent="0.2">
      <c r="A695">
        <v>2012</v>
      </c>
      <c r="B695" t="s">
        <v>305</v>
      </c>
      <c r="C695" s="733">
        <v>40970</v>
      </c>
      <c r="D695" s="733" t="str">
        <f>CHOOSE(MONTH(Tabla_sqldatos_bonampakdb_Bon_v_ingresos2012[[#This Row],[fecha_guia]]),"Enero","Febrero","Marzo","Abril","Mayo","Junio","Julio","Agosto","Septiembre","Octubre","Noviembre","Diciembre")</f>
        <v>Marzo</v>
      </c>
      <c r="E695" t="s">
        <v>478</v>
      </c>
      <c r="F695" t="s">
        <v>2136</v>
      </c>
      <c r="G695" t="s">
        <v>9663</v>
      </c>
      <c r="H695">
        <v>36059</v>
      </c>
      <c r="I695" t="s">
        <v>423</v>
      </c>
      <c r="J695" t="s">
        <v>2144</v>
      </c>
      <c r="K695" t="s">
        <v>425</v>
      </c>
      <c r="L695" t="s">
        <v>2145</v>
      </c>
      <c r="M695">
        <v>1354</v>
      </c>
      <c r="N695">
        <v>46.53</v>
      </c>
      <c r="O695">
        <v>42192.94</v>
      </c>
      <c r="P695">
        <v>0</v>
      </c>
      <c r="Q695">
        <v>42192.94</v>
      </c>
      <c r="R695">
        <v>6750.87</v>
      </c>
      <c r="S695">
        <v>1687.72</v>
      </c>
      <c r="T695">
        <v>47256.09</v>
      </c>
      <c r="V695" t="s">
        <v>9409</v>
      </c>
      <c r="W695" t="s">
        <v>423</v>
      </c>
    </row>
    <row r="696" spans="1:23" hidden="1" x14ac:dyDescent="0.2">
      <c r="A696">
        <v>2012</v>
      </c>
      <c r="B696" t="s">
        <v>303</v>
      </c>
      <c r="C696" s="733">
        <v>40921</v>
      </c>
      <c r="D6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6" t="s">
        <v>478</v>
      </c>
      <c r="F696" t="s">
        <v>2136</v>
      </c>
      <c r="G696" t="s">
        <v>2582</v>
      </c>
      <c r="H696">
        <v>34351</v>
      </c>
      <c r="I696" t="s">
        <v>423</v>
      </c>
      <c r="J696" t="s">
        <v>2144</v>
      </c>
      <c r="K696" t="s">
        <v>425</v>
      </c>
      <c r="L696" t="s">
        <v>2145</v>
      </c>
      <c r="M696">
        <v>1354</v>
      </c>
      <c r="N696">
        <v>53</v>
      </c>
      <c r="O696">
        <v>48059.87</v>
      </c>
      <c r="P696">
        <v>0</v>
      </c>
      <c r="Q696">
        <v>48059.87</v>
      </c>
      <c r="R696">
        <v>7689.58</v>
      </c>
      <c r="S696">
        <v>1922.39</v>
      </c>
      <c r="T696">
        <v>53827.06</v>
      </c>
      <c r="U696" t="s">
        <v>2350</v>
      </c>
      <c r="V696" t="s">
        <v>9409</v>
      </c>
      <c r="W696" t="s">
        <v>423</v>
      </c>
    </row>
    <row r="697" spans="1:23" hidden="1" x14ac:dyDescent="0.2">
      <c r="A697">
        <v>2012</v>
      </c>
      <c r="B697" t="s">
        <v>304</v>
      </c>
      <c r="C697" s="733">
        <v>40955.749421296299</v>
      </c>
      <c r="D6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7" t="s">
        <v>478</v>
      </c>
      <c r="F697" t="s">
        <v>2622</v>
      </c>
      <c r="G697" t="s">
        <v>7600</v>
      </c>
      <c r="H697">
        <v>35726</v>
      </c>
      <c r="I697" t="s">
        <v>423</v>
      </c>
      <c r="J697" t="s">
        <v>2629</v>
      </c>
      <c r="K697" t="s">
        <v>2625</v>
      </c>
      <c r="L697" t="s">
        <v>2626</v>
      </c>
      <c r="M697">
        <v>33</v>
      </c>
      <c r="N697">
        <v>26.13</v>
      </c>
      <c r="O697">
        <v>3047.8</v>
      </c>
      <c r="P697">
        <v>0</v>
      </c>
      <c r="Q697">
        <v>3047.8</v>
      </c>
      <c r="R697">
        <v>487.65</v>
      </c>
      <c r="S697">
        <v>121.91</v>
      </c>
      <c r="T697">
        <v>3413.54</v>
      </c>
      <c r="U697" t="s">
        <v>7548</v>
      </c>
      <c r="V697" t="s">
        <v>9408</v>
      </c>
      <c r="W697" t="s">
        <v>423</v>
      </c>
    </row>
    <row r="698" spans="1:23" hidden="1" x14ac:dyDescent="0.2">
      <c r="A698">
        <v>2012</v>
      </c>
      <c r="B698" t="s">
        <v>303</v>
      </c>
      <c r="C698" s="733">
        <v>40929.931840277779</v>
      </c>
      <c r="D6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8" t="s">
        <v>478</v>
      </c>
      <c r="F698" t="s">
        <v>2622</v>
      </c>
      <c r="G698" t="s">
        <v>6305</v>
      </c>
      <c r="H698">
        <v>34831</v>
      </c>
      <c r="I698" t="s">
        <v>423</v>
      </c>
      <c r="J698" t="s">
        <v>2629</v>
      </c>
      <c r="K698" t="s">
        <v>2625</v>
      </c>
      <c r="L698" t="s">
        <v>2626</v>
      </c>
      <c r="M698">
        <v>33</v>
      </c>
      <c r="N698">
        <v>28.03</v>
      </c>
      <c r="O698">
        <v>3269.42</v>
      </c>
      <c r="P698">
        <v>0</v>
      </c>
      <c r="Q698">
        <v>3269.42</v>
      </c>
      <c r="R698">
        <v>523.11</v>
      </c>
      <c r="S698">
        <v>130.78</v>
      </c>
      <c r="T698">
        <v>3661.75</v>
      </c>
      <c r="U698" t="s">
        <v>2633</v>
      </c>
      <c r="V698" t="s">
        <v>9408</v>
      </c>
      <c r="W698" t="s">
        <v>423</v>
      </c>
    </row>
    <row r="699" spans="1:23" hidden="1" x14ac:dyDescent="0.2">
      <c r="A699">
        <v>2012</v>
      </c>
      <c r="B699" t="s">
        <v>304</v>
      </c>
      <c r="C699" s="733">
        <v>40942</v>
      </c>
      <c r="D6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9" t="s">
        <v>478</v>
      </c>
      <c r="F699" t="s">
        <v>2622</v>
      </c>
      <c r="G699" t="s">
        <v>6306</v>
      </c>
      <c r="H699">
        <v>35255</v>
      </c>
      <c r="I699" t="s">
        <v>423</v>
      </c>
      <c r="J699" t="s">
        <v>2629</v>
      </c>
      <c r="K699" t="s">
        <v>2625</v>
      </c>
      <c r="L699" t="s">
        <v>2626</v>
      </c>
      <c r="M699">
        <v>33</v>
      </c>
      <c r="N699">
        <v>21.24</v>
      </c>
      <c r="O699">
        <v>2477.4299999999998</v>
      </c>
      <c r="P699">
        <v>0</v>
      </c>
      <c r="Q699">
        <v>2477.4299999999998</v>
      </c>
      <c r="R699">
        <v>396.39</v>
      </c>
      <c r="S699">
        <v>99.1</v>
      </c>
      <c r="T699">
        <v>2774.72</v>
      </c>
      <c r="U699" t="s">
        <v>2630</v>
      </c>
      <c r="V699" t="s">
        <v>9408</v>
      </c>
      <c r="W699" t="s">
        <v>423</v>
      </c>
    </row>
    <row r="700" spans="1:23" hidden="1" x14ac:dyDescent="0.2">
      <c r="A700">
        <v>2012</v>
      </c>
      <c r="B700" t="s">
        <v>303</v>
      </c>
      <c r="C700" s="733">
        <v>40932</v>
      </c>
      <c r="D7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0" t="s">
        <v>485</v>
      </c>
      <c r="F700" t="s">
        <v>2065</v>
      </c>
      <c r="G700" t="s">
        <v>4975</v>
      </c>
      <c r="H700">
        <v>40782</v>
      </c>
      <c r="I700" t="s">
        <v>423</v>
      </c>
      <c r="J700" t="s">
        <v>2186</v>
      </c>
      <c r="K700" t="s">
        <v>2183</v>
      </c>
      <c r="L700" t="s">
        <v>2184</v>
      </c>
      <c r="M700">
        <v>19</v>
      </c>
      <c r="N700">
        <v>15.28</v>
      </c>
      <c r="O700">
        <v>1724.65</v>
      </c>
      <c r="P700">
        <v>0</v>
      </c>
      <c r="Q700">
        <v>1724.65</v>
      </c>
      <c r="R700">
        <v>275.94</v>
      </c>
      <c r="S700">
        <v>68.989999999999995</v>
      </c>
      <c r="T700">
        <v>1931.6</v>
      </c>
      <c r="U700" t="s">
        <v>2187</v>
      </c>
      <c r="V700" t="s">
        <v>9408</v>
      </c>
      <c r="W700" t="s">
        <v>423</v>
      </c>
    </row>
    <row r="701" spans="1:23" hidden="1" x14ac:dyDescent="0.2">
      <c r="A701">
        <v>2012</v>
      </c>
      <c r="B701" t="s">
        <v>304</v>
      </c>
      <c r="C701" s="733">
        <v>40953</v>
      </c>
      <c r="D7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1" t="s">
        <v>485</v>
      </c>
      <c r="F701" t="s">
        <v>2065</v>
      </c>
      <c r="G701" t="s">
        <v>4976</v>
      </c>
      <c r="H701">
        <v>41822</v>
      </c>
      <c r="I701" t="s">
        <v>423</v>
      </c>
      <c r="J701" t="s">
        <v>2186</v>
      </c>
      <c r="K701" t="s">
        <v>2183</v>
      </c>
      <c r="L701" t="s">
        <v>2184</v>
      </c>
      <c r="M701">
        <v>19</v>
      </c>
      <c r="N701">
        <v>15.93</v>
      </c>
      <c r="O701">
        <v>1798.02</v>
      </c>
      <c r="P701">
        <v>0</v>
      </c>
      <c r="Q701">
        <v>1798.02</v>
      </c>
      <c r="R701">
        <v>287.68</v>
      </c>
      <c r="S701">
        <v>71.92</v>
      </c>
      <c r="T701">
        <v>2013.78</v>
      </c>
      <c r="U701" t="s">
        <v>8048</v>
      </c>
      <c r="V701" t="s">
        <v>9408</v>
      </c>
      <c r="W701" t="s">
        <v>423</v>
      </c>
    </row>
    <row r="702" spans="1:23" x14ac:dyDescent="0.2">
      <c r="A702">
        <v>2012</v>
      </c>
      <c r="B702" t="s">
        <v>304</v>
      </c>
      <c r="C702" s="733">
        <v>40967</v>
      </c>
      <c r="D7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2" t="s">
        <v>485</v>
      </c>
      <c r="F702" t="s">
        <v>2048</v>
      </c>
      <c r="G702" t="s">
        <v>8933</v>
      </c>
      <c r="H702">
        <v>42714</v>
      </c>
      <c r="I702" t="s">
        <v>423</v>
      </c>
      <c r="J702" t="s">
        <v>2050</v>
      </c>
      <c r="K702" t="s">
        <v>2051</v>
      </c>
      <c r="L702" t="s">
        <v>2052</v>
      </c>
      <c r="M702">
        <v>90</v>
      </c>
      <c r="N702">
        <v>50.4</v>
      </c>
      <c r="O702">
        <v>7071.62</v>
      </c>
      <c r="P702">
        <v>0</v>
      </c>
      <c r="Q702">
        <v>7071.62</v>
      </c>
      <c r="R702">
        <v>1131.46</v>
      </c>
      <c r="S702">
        <v>282.86</v>
      </c>
      <c r="T702">
        <v>7920.22</v>
      </c>
      <c r="V702" t="s">
        <v>9409</v>
      </c>
      <c r="W702" t="s">
        <v>423</v>
      </c>
    </row>
    <row r="703" spans="1:23" hidden="1" x14ac:dyDescent="0.2">
      <c r="A703">
        <v>2012</v>
      </c>
      <c r="B703" t="s">
        <v>304</v>
      </c>
      <c r="C703" s="733">
        <v>40946</v>
      </c>
      <c r="D7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3" t="s">
        <v>485</v>
      </c>
      <c r="F703" t="s">
        <v>2065</v>
      </c>
      <c r="G703" t="s">
        <v>3607</v>
      </c>
      <c r="H703">
        <v>41479</v>
      </c>
      <c r="I703" t="s">
        <v>423</v>
      </c>
      <c r="J703" t="s">
        <v>2050</v>
      </c>
      <c r="K703" t="s">
        <v>2051</v>
      </c>
      <c r="L703" t="s">
        <v>2052</v>
      </c>
      <c r="M703">
        <v>90</v>
      </c>
      <c r="N703">
        <v>54.4</v>
      </c>
      <c r="O703">
        <v>7632.86</v>
      </c>
      <c r="P703">
        <v>0</v>
      </c>
      <c r="Q703">
        <v>7632.86</v>
      </c>
      <c r="R703">
        <v>1221.26</v>
      </c>
      <c r="S703">
        <v>305.31</v>
      </c>
      <c r="T703">
        <v>8548.81</v>
      </c>
      <c r="U703" t="s">
        <v>7568</v>
      </c>
      <c r="V703" t="s">
        <v>9409</v>
      </c>
      <c r="W703" t="s">
        <v>423</v>
      </c>
    </row>
    <row r="704" spans="1:23" hidden="1" x14ac:dyDescent="0.2">
      <c r="A704">
        <v>2012</v>
      </c>
      <c r="B704" t="s">
        <v>304</v>
      </c>
      <c r="C704" s="733">
        <v>40959.484120370369</v>
      </c>
      <c r="D7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4" t="s">
        <v>485</v>
      </c>
      <c r="F704" t="s">
        <v>2054</v>
      </c>
      <c r="G704" t="s">
        <v>8163</v>
      </c>
      <c r="H704">
        <v>10488</v>
      </c>
      <c r="I704" t="s">
        <v>423</v>
      </c>
      <c r="J704" t="s">
        <v>2056</v>
      </c>
      <c r="K704" t="s">
        <v>2057</v>
      </c>
      <c r="L704" t="s">
        <v>2058</v>
      </c>
      <c r="M704">
        <v>19</v>
      </c>
      <c r="N704">
        <v>45.78</v>
      </c>
      <c r="O704">
        <v>5167.1899999999996</v>
      </c>
      <c r="P704">
        <v>0</v>
      </c>
      <c r="Q704">
        <v>5167.1899999999996</v>
      </c>
      <c r="R704">
        <v>568.39</v>
      </c>
      <c r="S704">
        <v>206.69</v>
      </c>
      <c r="T704">
        <v>5528.89</v>
      </c>
      <c r="U704" t="s">
        <v>8864</v>
      </c>
      <c r="V704" t="s">
        <v>9409</v>
      </c>
      <c r="W704" t="s">
        <v>423</v>
      </c>
    </row>
    <row r="705" spans="1:23" hidden="1" x14ac:dyDescent="0.2">
      <c r="A705">
        <v>2012</v>
      </c>
      <c r="B705" t="s">
        <v>304</v>
      </c>
      <c r="C705" s="733">
        <v>40953</v>
      </c>
      <c r="D7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5" t="s">
        <v>485</v>
      </c>
      <c r="F705" t="s">
        <v>2065</v>
      </c>
      <c r="G705" t="s">
        <v>3931</v>
      </c>
      <c r="H705">
        <v>41825</v>
      </c>
      <c r="I705" t="s">
        <v>423</v>
      </c>
      <c r="J705" t="s">
        <v>2182</v>
      </c>
      <c r="K705" t="s">
        <v>2183</v>
      </c>
      <c r="L705" t="s">
        <v>2184</v>
      </c>
      <c r="M705">
        <v>62</v>
      </c>
      <c r="N705">
        <v>16.28</v>
      </c>
      <c r="O705">
        <v>2411.7199999999998</v>
      </c>
      <c r="P705">
        <v>0</v>
      </c>
      <c r="Q705">
        <v>2411.7199999999998</v>
      </c>
      <c r="R705">
        <v>385.88</v>
      </c>
      <c r="S705">
        <v>96.47</v>
      </c>
      <c r="T705">
        <v>2701.13</v>
      </c>
      <c r="U705" t="s">
        <v>8048</v>
      </c>
      <c r="V705" t="s">
        <v>9408</v>
      </c>
      <c r="W705" t="s">
        <v>423</v>
      </c>
    </row>
    <row r="706" spans="1:23" hidden="1" x14ac:dyDescent="0.2">
      <c r="A706">
        <v>2012</v>
      </c>
      <c r="B706" t="s">
        <v>304</v>
      </c>
      <c r="C706" s="733">
        <v>40963</v>
      </c>
      <c r="D7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6" t="s">
        <v>485</v>
      </c>
      <c r="F706" t="s">
        <v>2065</v>
      </c>
      <c r="G706" t="s">
        <v>8504</v>
      </c>
      <c r="H706">
        <v>42551</v>
      </c>
      <c r="I706" t="s">
        <v>423</v>
      </c>
      <c r="J706" t="s">
        <v>2182</v>
      </c>
      <c r="K706" t="s">
        <v>2183</v>
      </c>
      <c r="L706" t="s">
        <v>2184</v>
      </c>
      <c r="M706">
        <v>62</v>
      </c>
      <c r="N706">
        <v>16.100000000000001</v>
      </c>
      <c r="O706">
        <v>2385.0500000000002</v>
      </c>
      <c r="P706">
        <v>0</v>
      </c>
      <c r="Q706">
        <v>2385.0500000000002</v>
      </c>
      <c r="R706">
        <v>381.61</v>
      </c>
      <c r="S706">
        <v>95.4</v>
      </c>
      <c r="T706">
        <v>2671.26</v>
      </c>
      <c r="U706" t="s">
        <v>9411</v>
      </c>
      <c r="V706" t="s">
        <v>9408</v>
      </c>
      <c r="W706" t="s">
        <v>423</v>
      </c>
    </row>
    <row r="707" spans="1:23" hidden="1" x14ac:dyDescent="0.2">
      <c r="A707">
        <v>2012</v>
      </c>
      <c r="B707" t="s">
        <v>305</v>
      </c>
      <c r="C707" s="733">
        <v>40970.426018518519</v>
      </c>
      <c r="D707" s="733" t="str">
        <f>CHOOSE(MONTH(Tabla_sqldatos_bonampakdb_Bon_v_ingresos2012[[#This Row],[fecha_guia]]),"Enero","Febrero","Marzo","Abril","Mayo","Junio","Julio","Agosto","Septiembre","Octubre","Noviembre","Diciembre")</f>
        <v>Marzo</v>
      </c>
      <c r="E707" t="s">
        <v>485</v>
      </c>
      <c r="F707" t="s">
        <v>2065</v>
      </c>
      <c r="G707" t="s">
        <v>9424</v>
      </c>
      <c r="H707">
        <v>42999</v>
      </c>
      <c r="I707" t="s">
        <v>423</v>
      </c>
      <c r="J707" t="s">
        <v>2182</v>
      </c>
      <c r="K707" t="s">
        <v>2183</v>
      </c>
      <c r="L707" t="s">
        <v>2184</v>
      </c>
      <c r="M707">
        <v>62</v>
      </c>
      <c r="N707">
        <v>14.74</v>
      </c>
      <c r="O707">
        <v>2183.58</v>
      </c>
      <c r="P707">
        <v>0</v>
      </c>
      <c r="Q707">
        <v>2183.58</v>
      </c>
      <c r="R707">
        <v>349.37</v>
      </c>
      <c r="S707">
        <v>87.34</v>
      </c>
      <c r="T707">
        <v>2445.61</v>
      </c>
      <c r="V707" t="s">
        <v>9408</v>
      </c>
      <c r="W707" t="s">
        <v>423</v>
      </c>
    </row>
    <row r="708" spans="1:23" hidden="1" x14ac:dyDescent="0.2">
      <c r="A708">
        <v>2012</v>
      </c>
      <c r="B708" t="s">
        <v>303</v>
      </c>
      <c r="C708" s="733">
        <v>40928</v>
      </c>
      <c r="D7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8" t="s">
        <v>485</v>
      </c>
      <c r="F708" t="s">
        <v>2065</v>
      </c>
      <c r="G708" t="s">
        <v>3240</v>
      </c>
      <c r="H708">
        <v>40276</v>
      </c>
      <c r="I708" t="s">
        <v>424</v>
      </c>
      <c r="J708" t="s">
        <v>2114</v>
      </c>
      <c r="K708" t="s">
        <v>2102</v>
      </c>
      <c r="L708" t="s">
        <v>2115</v>
      </c>
      <c r="M708">
        <v>500</v>
      </c>
      <c r="N708">
        <v>54</v>
      </c>
      <c r="O708">
        <v>10009.44</v>
      </c>
      <c r="P708">
        <v>0</v>
      </c>
      <c r="Q708">
        <v>10009.44</v>
      </c>
      <c r="R708">
        <v>1601.51</v>
      </c>
      <c r="S708">
        <v>400.38</v>
      </c>
      <c r="T708">
        <v>11210.57</v>
      </c>
      <c r="U708" t="s">
        <v>2121</v>
      </c>
      <c r="V708" t="s">
        <v>9409</v>
      </c>
      <c r="W708" t="s">
        <v>424</v>
      </c>
    </row>
    <row r="709" spans="1:23" hidden="1" x14ac:dyDescent="0.2">
      <c r="A709">
        <v>2012</v>
      </c>
      <c r="B709" t="s">
        <v>303</v>
      </c>
      <c r="C709" s="733">
        <v>40928</v>
      </c>
      <c r="D7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9" t="s">
        <v>485</v>
      </c>
      <c r="F709" t="s">
        <v>2065</v>
      </c>
      <c r="G709" t="s">
        <v>3241</v>
      </c>
      <c r="H709">
        <v>39935</v>
      </c>
      <c r="I709" t="s">
        <v>424</v>
      </c>
      <c r="J709" t="s">
        <v>2114</v>
      </c>
      <c r="K709" t="s">
        <v>2102</v>
      </c>
      <c r="L709" t="s">
        <v>2115</v>
      </c>
      <c r="M709">
        <v>500</v>
      </c>
      <c r="N709">
        <v>54</v>
      </c>
      <c r="O709">
        <v>10009.44</v>
      </c>
      <c r="P709">
        <v>0</v>
      </c>
      <c r="Q709">
        <v>10009.44</v>
      </c>
      <c r="R709">
        <v>1601.51</v>
      </c>
      <c r="S709">
        <v>400.38</v>
      </c>
      <c r="T709">
        <v>11210.57</v>
      </c>
      <c r="U709" t="s">
        <v>2119</v>
      </c>
      <c r="V709" t="s">
        <v>9409</v>
      </c>
      <c r="W709" t="s">
        <v>424</v>
      </c>
    </row>
    <row r="710" spans="1:23" hidden="1" x14ac:dyDescent="0.2">
      <c r="A710">
        <v>2012</v>
      </c>
      <c r="B710" t="s">
        <v>304</v>
      </c>
      <c r="C710" s="733">
        <v>40963</v>
      </c>
      <c r="D7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0" t="s">
        <v>485</v>
      </c>
      <c r="F710" t="s">
        <v>2065</v>
      </c>
      <c r="G710" t="s">
        <v>8503</v>
      </c>
      <c r="H710">
        <v>42514</v>
      </c>
      <c r="I710" t="s">
        <v>424</v>
      </c>
      <c r="J710" t="s">
        <v>2114</v>
      </c>
      <c r="K710" t="s">
        <v>2102</v>
      </c>
      <c r="L710" t="s">
        <v>2115</v>
      </c>
      <c r="M710">
        <v>500</v>
      </c>
      <c r="N710">
        <v>54</v>
      </c>
      <c r="O710">
        <v>10009.44</v>
      </c>
      <c r="P710">
        <v>0</v>
      </c>
      <c r="Q710">
        <v>10009.44</v>
      </c>
      <c r="R710">
        <v>1601.51</v>
      </c>
      <c r="S710">
        <v>400.38</v>
      </c>
      <c r="T710">
        <v>11210.57</v>
      </c>
      <c r="V710" t="s">
        <v>9409</v>
      </c>
      <c r="W710" t="s">
        <v>424</v>
      </c>
    </row>
    <row r="711" spans="1:23" hidden="1" x14ac:dyDescent="0.2">
      <c r="A711">
        <v>2012</v>
      </c>
      <c r="B711" t="s">
        <v>303</v>
      </c>
      <c r="C711" s="733">
        <v>40939</v>
      </c>
      <c r="D7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1" t="s">
        <v>485</v>
      </c>
      <c r="F711" t="s">
        <v>2065</v>
      </c>
      <c r="G711" t="s">
        <v>3246</v>
      </c>
      <c r="H711">
        <v>41152</v>
      </c>
      <c r="I711" t="s">
        <v>424</v>
      </c>
      <c r="J711" t="s">
        <v>2114</v>
      </c>
      <c r="K711" t="s">
        <v>2102</v>
      </c>
      <c r="L711" t="s">
        <v>2115</v>
      </c>
      <c r="M711">
        <v>500</v>
      </c>
      <c r="N711">
        <v>54</v>
      </c>
      <c r="O711">
        <v>10009.44</v>
      </c>
      <c r="P711">
        <v>0</v>
      </c>
      <c r="Q711">
        <v>10009.44</v>
      </c>
      <c r="R711">
        <v>1601.51</v>
      </c>
      <c r="S711">
        <v>400.38</v>
      </c>
      <c r="T711">
        <v>11210.57</v>
      </c>
      <c r="U711" t="s">
        <v>8871</v>
      </c>
      <c r="V711" t="s">
        <v>9409</v>
      </c>
      <c r="W711" t="s">
        <v>424</v>
      </c>
    </row>
    <row r="712" spans="1:23" hidden="1" x14ac:dyDescent="0.2">
      <c r="A712">
        <v>2012</v>
      </c>
      <c r="B712" t="s">
        <v>304</v>
      </c>
      <c r="C712" s="733">
        <v>40959</v>
      </c>
      <c r="D7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2" t="s">
        <v>485</v>
      </c>
      <c r="F712" t="s">
        <v>2065</v>
      </c>
      <c r="G712" t="s">
        <v>7921</v>
      </c>
      <c r="H712">
        <v>42097</v>
      </c>
      <c r="I712" t="s">
        <v>424</v>
      </c>
      <c r="J712" t="s">
        <v>2114</v>
      </c>
      <c r="K712" t="s">
        <v>2102</v>
      </c>
      <c r="L712" t="s">
        <v>2115</v>
      </c>
      <c r="M712">
        <v>500</v>
      </c>
      <c r="N712">
        <v>54</v>
      </c>
      <c r="O712">
        <v>10009.44</v>
      </c>
      <c r="P712">
        <v>0</v>
      </c>
      <c r="Q712">
        <v>10009.44</v>
      </c>
      <c r="R712">
        <v>1601.51</v>
      </c>
      <c r="S712">
        <v>400.38</v>
      </c>
      <c r="T712">
        <v>11210.57</v>
      </c>
      <c r="U712" t="s">
        <v>8871</v>
      </c>
      <c r="V712" t="s">
        <v>9409</v>
      </c>
      <c r="W712" t="s">
        <v>424</v>
      </c>
    </row>
    <row r="713" spans="1:23" hidden="1" x14ac:dyDescent="0.2">
      <c r="A713">
        <v>2012</v>
      </c>
      <c r="B713" t="s">
        <v>303</v>
      </c>
      <c r="C713" s="733">
        <v>40928</v>
      </c>
      <c r="D7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3" t="s">
        <v>485</v>
      </c>
      <c r="F713" t="s">
        <v>2065</v>
      </c>
      <c r="G713" t="s">
        <v>3249</v>
      </c>
      <c r="H713">
        <v>39660</v>
      </c>
      <c r="I713" t="s">
        <v>424</v>
      </c>
      <c r="J713" t="s">
        <v>2114</v>
      </c>
      <c r="K713" t="s">
        <v>2102</v>
      </c>
      <c r="L713" t="s">
        <v>2115</v>
      </c>
      <c r="M713">
        <v>500</v>
      </c>
      <c r="N713">
        <v>54</v>
      </c>
      <c r="O713">
        <v>10009.44</v>
      </c>
      <c r="P713">
        <v>0</v>
      </c>
      <c r="Q713">
        <v>10009.44</v>
      </c>
      <c r="R713">
        <v>1601.51</v>
      </c>
      <c r="S713">
        <v>400.38</v>
      </c>
      <c r="T713">
        <v>11210.57</v>
      </c>
      <c r="U713" t="s">
        <v>8871</v>
      </c>
      <c r="V713" t="s">
        <v>9409</v>
      </c>
      <c r="W713" t="s">
        <v>424</v>
      </c>
    </row>
    <row r="714" spans="1:23" hidden="1" x14ac:dyDescent="0.2">
      <c r="A714">
        <v>2012</v>
      </c>
      <c r="B714" t="s">
        <v>304</v>
      </c>
      <c r="C714" s="733">
        <v>40953</v>
      </c>
      <c r="D7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4" t="s">
        <v>485</v>
      </c>
      <c r="F714" t="s">
        <v>2065</v>
      </c>
      <c r="G714" t="s">
        <v>3239</v>
      </c>
      <c r="H714">
        <v>41806</v>
      </c>
      <c r="I714" t="s">
        <v>424</v>
      </c>
      <c r="J714" t="s">
        <v>2114</v>
      </c>
      <c r="K714" t="s">
        <v>2102</v>
      </c>
      <c r="L714" t="s">
        <v>2115</v>
      </c>
      <c r="M714">
        <v>500</v>
      </c>
      <c r="N714">
        <v>54</v>
      </c>
      <c r="O714">
        <v>10009.44</v>
      </c>
      <c r="P714">
        <v>0</v>
      </c>
      <c r="Q714">
        <v>10009.44</v>
      </c>
      <c r="R714">
        <v>1601.51</v>
      </c>
      <c r="S714">
        <v>400.38</v>
      </c>
      <c r="T714">
        <v>11210.57</v>
      </c>
      <c r="U714" t="s">
        <v>8871</v>
      </c>
      <c r="V714" t="s">
        <v>9409</v>
      </c>
      <c r="W714" t="s">
        <v>424</v>
      </c>
    </row>
    <row r="715" spans="1:23" hidden="1" x14ac:dyDescent="0.2">
      <c r="A715">
        <v>2012</v>
      </c>
      <c r="B715" t="s">
        <v>303</v>
      </c>
      <c r="C715" s="733">
        <v>40928</v>
      </c>
      <c r="D7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5" t="s">
        <v>485</v>
      </c>
      <c r="F715" t="s">
        <v>2065</v>
      </c>
      <c r="G715" t="s">
        <v>3252</v>
      </c>
      <c r="H715">
        <v>40179</v>
      </c>
      <c r="I715" t="s">
        <v>424</v>
      </c>
      <c r="J715" t="s">
        <v>2114</v>
      </c>
      <c r="K715" t="s">
        <v>2102</v>
      </c>
      <c r="L715" t="s">
        <v>2115</v>
      </c>
      <c r="M715">
        <v>500</v>
      </c>
      <c r="N715">
        <v>54</v>
      </c>
      <c r="O715">
        <v>10009.44</v>
      </c>
      <c r="P715">
        <v>0</v>
      </c>
      <c r="Q715">
        <v>10009.44</v>
      </c>
      <c r="R715">
        <v>1601.51</v>
      </c>
      <c r="S715">
        <v>400.38</v>
      </c>
      <c r="T715">
        <v>11210.57</v>
      </c>
      <c r="V715" t="s">
        <v>9409</v>
      </c>
      <c r="W715" t="s">
        <v>424</v>
      </c>
    </row>
    <row r="716" spans="1:23" hidden="1" x14ac:dyDescent="0.2">
      <c r="A716">
        <v>2012</v>
      </c>
      <c r="B716" t="s">
        <v>303</v>
      </c>
      <c r="C716" s="733">
        <v>40928</v>
      </c>
      <c r="D7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6" t="s">
        <v>485</v>
      </c>
      <c r="F716" t="s">
        <v>2065</v>
      </c>
      <c r="G716" t="s">
        <v>3251</v>
      </c>
      <c r="H716">
        <v>39977</v>
      </c>
      <c r="I716" t="s">
        <v>424</v>
      </c>
      <c r="J716" t="s">
        <v>2114</v>
      </c>
      <c r="K716" t="s">
        <v>2102</v>
      </c>
      <c r="L716" t="s">
        <v>2115</v>
      </c>
      <c r="M716">
        <v>500</v>
      </c>
      <c r="N716">
        <v>54</v>
      </c>
      <c r="O716">
        <v>10009.44</v>
      </c>
      <c r="P716">
        <v>0</v>
      </c>
      <c r="Q716">
        <v>10009.44</v>
      </c>
      <c r="R716">
        <v>1601.51</v>
      </c>
      <c r="S716">
        <v>400.38</v>
      </c>
      <c r="T716">
        <v>11210.57</v>
      </c>
      <c r="U716" t="s">
        <v>2119</v>
      </c>
      <c r="V716" t="s">
        <v>9409</v>
      </c>
      <c r="W716" t="s">
        <v>424</v>
      </c>
    </row>
    <row r="717" spans="1:23" hidden="1" x14ac:dyDescent="0.2">
      <c r="A717">
        <v>2012</v>
      </c>
      <c r="B717" t="s">
        <v>304</v>
      </c>
      <c r="C717" s="733">
        <v>40949</v>
      </c>
      <c r="D7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7" t="s">
        <v>485</v>
      </c>
      <c r="F717" t="s">
        <v>2084</v>
      </c>
      <c r="G717" t="s">
        <v>4702</v>
      </c>
      <c r="H717">
        <v>41193</v>
      </c>
      <c r="I717" t="s">
        <v>423</v>
      </c>
      <c r="J717" t="s">
        <v>2836</v>
      </c>
      <c r="K717" t="s">
        <v>2814</v>
      </c>
      <c r="L717" t="s">
        <v>2815</v>
      </c>
      <c r="M717">
        <v>70</v>
      </c>
      <c r="N717">
        <v>27.87</v>
      </c>
      <c r="O717">
        <v>3145.69</v>
      </c>
      <c r="P717">
        <v>0</v>
      </c>
      <c r="Q717">
        <v>3145.69</v>
      </c>
      <c r="R717">
        <v>346.03</v>
      </c>
      <c r="S717">
        <v>125.83</v>
      </c>
      <c r="T717">
        <v>3365.89</v>
      </c>
      <c r="U717" t="s">
        <v>7527</v>
      </c>
      <c r="V717" t="s">
        <v>9408</v>
      </c>
      <c r="W717" t="s">
        <v>423</v>
      </c>
    </row>
    <row r="718" spans="1:23" hidden="1" x14ac:dyDescent="0.2">
      <c r="A718">
        <v>2012</v>
      </c>
      <c r="B718" t="s">
        <v>303</v>
      </c>
      <c r="C718" s="733">
        <v>40932</v>
      </c>
      <c r="D7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8" t="s">
        <v>485</v>
      </c>
      <c r="F718" t="s">
        <v>2084</v>
      </c>
      <c r="G718" t="s">
        <v>4703</v>
      </c>
      <c r="H718">
        <v>40427</v>
      </c>
      <c r="I718" t="s">
        <v>423</v>
      </c>
      <c r="J718" t="s">
        <v>2836</v>
      </c>
      <c r="K718" t="s">
        <v>2814</v>
      </c>
      <c r="L718" t="s">
        <v>2815</v>
      </c>
      <c r="M718">
        <v>70</v>
      </c>
      <c r="N718">
        <v>28.027999999999999</v>
      </c>
      <c r="O718">
        <v>3163.52</v>
      </c>
      <c r="P718">
        <v>0</v>
      </c>
      <c r="Q718">
        <v>3163.52</v>
      </c>
      <c r="R718">
        <v>506.16</v>
      </c>
      <c r="S718">
        <v>126.54</v>
      </c>
      <c r="T718">
        <v>3543.14</v>
      </c>
      <c r="U718" t="s">
        <v>2826</v>
      </c>
      <c r="V718" t="s">
        <v>9408</v>
      </c>
      <c r="W718" t="s">
        <v>423</v>
      </c>
    </row>
    <row r="719" spans="1:23" hidden="1" x14ac:dyDescent="0.2">
      <c r="A719">
        <v>2012</v>
      </c>
      <c r="B719" t="s">
        <v>304</v>
      </c>
      <c r="C719" s="733">
        <v>40941</v>
      </c>
      <c r="D7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9" t="s">
        <v>485</v>
      </c>
      <c r="F719" t="s">
        <v>2065</v>
      </c>
      <c r="G719" t="s">
        <v>3253</v>
      </c>
      <c r="H719">
        <v>39784</v>
      </c>
      <c r="I719" t="s">
        <v>423</v>
      </c>
      <c r="J719" t="s">
        <v>2114</v>
      </c>
      <c r="K719" t="s">
        <v>2102</v>
      </c>
      <c r="L719" t="s">
        <v>2115</v>
      </c>
      <c r="M719">
        <v>500</v>
      </c>
      <c r="N719">
        <v>53.47</v>
      </c>
      <c r="O719">
        <v>17979.29</v>
      </c>
      <c r="P719">
        <v>0</v>
      </c>
      <c r="Q719">
        <v>17979.29</v>
      </c>
      <c r="R719">
        <v>2876.69</v>
      </c>
      <c r="S719">
        <v>719.17</v>
      </c>
      <c r="T719">
        <v>20136.810000000001</v>
      </c>
      <c r="U719" t="s">
        <v>2110</v>
      </c>
      <c r="V719" t="s">
        <v>9409</v>
      </c>
      <c r="W719" t="s">
        <v>423</v>
      </c>
    </row>
    <row r="720" spans="1:23" hidden="1" x14ac:dyDescent="0.2">
      <c r="A720">
        <v>2012</v>
      </c>
      <c r="B720" t="s">
        <v>303</v>
      </c>
      <c r="C720" s="733">
        <v>40932</v>
      </c>
      <c r="D7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0" t="s">
        <v>485</v>
      </c>
      <c r="F720" t="s">
        <v>2084</v>
      </c>
      <c r="G720" t="s">
        <v>4714</v>
      </c>
      <c r="H720">
        <v>40314</v>
      </c>
      <c r="I720" t="s">
        <v>423</v>
      </c>
      <c r="J720" t="s">
        <v>2836</v>
      </c>
      <c r="K720" t="s">
        <v>2814</v>
      </c>
      <c r="L720" t="s">
        <v>2815</v>
      </c>
      <c r="M720">
        <v>70</v>
      </c>
      <c r="N720">
        <v>29.966000000000001</v>
      </c>
      <c r="O720">
        <v>3382.26</v>
      </c>
      <c r="P720">
        <v>0</v>
      </c>
      <c r="Q720">
        <v>3382.26</v>
      </c>
      <c r="R720">
        <v>541.16</v>
      </c>
      <c r="S720">
        <v>135.29</v>
      </c>
      <c r="T720">
        <v>3788.13</v>
      </c>
      <c r="U720" t="s">
        <v>2826</v>
      </c>
      <c r="V720" t="s">
        <v>9408</v>
      </c>
      <c r="W720" t="s">
        <v>423</v>
      </c>
    </row>
    <row r="721" spans="1:23" hidden="1" x14ac:dyDescent="0.2">
      <c r="A721">
        <v>2012</v>
      </c>
      <c r="B721" t="s">
        <v>304</v>
      </c>
      <c r="C721" s="733">
        <v>40940</v>
      </c>
      <c r="D7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1" t="s">
        <v>485</v>
      </c>
      <c r="F721" t="s">
        <v>2084</v>
      </c>
      <c r="G721" t="s">
        <v>4715</v>
      </c>
      <c r="H721">
        <v>41043</v>
      </c>
      <c r="I721" t="s">
        <v>423</v>
      </c>
      <c r="J721" t="s">
        <v>2836</v>
      </c>
      <c r="K721" t="s">
        <v>2814</v>
      </c>
      <c r="L721" t="s">
        <v>2815</v>
      </c>
      <c r="M721">
        <v>70</v>
      </c>
      <c r="N721">
        <v>23.954000000000001</v>
      </c>
      <c r="O721">
        <v>2703.69</v>
      </c>
      <c r="P721">
        <v>0</v>
      </c>
      <c r="Q721">
        <v>2703.69</v>
      </c>
      <c r="R721">
        <v>432.59</v>
      </c>
      <c r="S721">
        <v>108.15</v>
      </c>
      <c r="T721">
        <v>3028.13</v>
      </c>
      <c r="U721" t="s">
        <v>8522</v>
      </c>
      <c r="V721" t="s">
        <v>9408</v>
      </c>
      <c r="W721" t="s">
        <v>423</v>
      </c>
    </row>
    <row r="722" spans="1:23" hidden="1" x14ac:dyDescent="0.2">
      <c r="A722">
        <v>2012</v>
      </c>
      <c r="B722" t="s">
        <v>303</v>
      </c>
      <c r="C722" s="733">
        <v>40938</v>
      </c>
      <c r="D7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2" t="s">
        <v>485</v>
      </c>
      <c r="F722" t="s">
        <v>2065</v>
      </c>
      <c r="G722" t="s">
        <v>3927</v>
      </c>
      <c r="H722">
        <v>41090</v>
      </c>
      <c r="I722" t="s">
        <v>423</v>
      </c>
      <c r="J722" t="s">
        <v>2182</v>
      </c>
      <c r="K722" t="s">
        <v>2183</v>
      </c>
      <c r="L722" t="s">
        <v>2184</v>
      </c>
      <c r="M722">
        <v>62</v>
      </c>
      <c r="N722">
        <v>15.76</v>
      </c>
      <c r="O722">
        <v>2334.69</v>
      </c>
      <c r="P722">
        <v>0</v>
      </c>
      <c r="Q722">
        <v>2334.69</v>
      </c>
      <c r="R722">
        <v>373.55</v>
      </c>
      <c r="S722">
        <v>93.39</v>
      </c>
      <c r="T722">
        <v>2614.85</v>
      </c>
      <c r="U722" t="s">
        <v>2187</v>
      </c>
      <c r="V722" t="s">
        <v>9408</v>
      </c>
      <c r="W722" t="s">
        <v>423</v>
      </c>
    </row>
    <row r="723" spans="1:23" hidden="1" x14ac:dyDescent="0.2">
      <c r="A723">
        <v>2012</v>
      </c>
      <c r="B723" t="s">
        <v>303</v>
      </c>
      <c r="C723" s="733">
        <v>40921.477083333331</v>
      </c>
      <c r="D7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3" t="s">
        <v>485</v>
      </c>
      <c r="F723" t="s">
        <v>2065</v>
      </c>
      <c r="G723" t="s">
        <v>4354</v>
      </c>
      <c r="H723">
        <v>40295</v>
      </c>
      <c r="I723" t="s">
        <v>423</v>
      </c>
      <c r="J723" t="s">
        <v>2182</v>
      </c>
      <c r="K723" t="s">
        <v>2183</v>
      </c>
      <c r="L723" t="s">
        <v>2184</v>
      </c>
      <c r="M723">
        <v>62</v>
      </c>
      <c r="N723">
        <v>52.43</v>
      </c>
      <c r="O723">
        <v>7766.98</v>
      </c>
      <c r="P723">
        <v>0</v>
      </c>
      <c r="Q723">
        <v>7766.98</v>
      </c>
      <c r="R723">
        <v>1242.72</v>
      </c>
      <c r="S723">
        <v>310.68</v>
      </c>
      <c r="T723">
        <v>8699.02</v>
      </c>
      <c r="U723" t="s">
        <v>7587</v>
      </c>
      <c r="V723" t="s">
        <v>9409</v>
      </c>
      <c r="W723" t="s">
        <v>423</v>
      </c>
    </row>
    <row r="724" spans="1:23" hidden="1" x14ac:dyDescent="0.2">
      <c r="A724">
        <v>2012</v>
      </c>
      <c r="B724" t="s">
        <v>304</v>
      </c>
      <c r="C724" s="733">
        <v>40941</v>
      </c>
      <c r="D7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4" t="s">
        <v>485</v>
      </c>
      <c r="F724" t="s">
        <v>2065</v>
      </c>
      <c r="G724" t="s">
        <v>4353</v>
      </c>
      <c r="H724">
        <v>41266</v>
      </c>
      <c r="I724" t="s">
        <v>423</v>
      </c>
      <c r="J724" t="s">
        <v>3204</v>
      </c>
      <c r="K724" t="s">
        <v>2183</v>
      </c>
      <c r="L724" t="s">
        <v>2184</v>
      </c>
      <c r="M724">
        <v>80</v>
      </c>
      <c r="N724">
        <v>32.03</v>
      </c>
      <c r="O724">
        <v>3615.23</v>
      </c>
      <c r="P724">
        <v>0</v>
      </c>
      <c r="Q724">
        <v>3615.23</v>
      </c>
      <c r="R724">
        <v>578.44000000000005</v>
      </c>
      <c r="S724">
        <v>144.61000000000001</v>
      </c>
      <c r="T724">
        <v>4049.06</v>
      </c>
      <c r="U724" t="s">
        <v>2192</v>
      </c>
      <c r="V724" t="s">
        <v>9408</v>
      </c>
      <c r="W724" t="s">
        <v>423</v>
      </c>
    </row>
    <row r="725" spans="1:23" hidden="1" x14ac:dyDescent="0.2">
      <c r="A725">
        <v>2012</v>
      </c>
      <c r="B725" t="s">
        <v>303</v>
      </c>
      <c r="C725" s="733">
        <v>40938</v>
      </c>
      <c r="D7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5" t="s">
        <v>485</v>
      </c>
      <c r="F725" t="s">
        <v>2065</v>
      </c>
      <c r="G725" t="s">
        <v>4940</v>
      </c>
      <c r="H725">
        <v>41037</v>
      </c>
      <c r="I725" t="s">
        <v>423</v>
      </c>
      <c r="J725" t="s">
        <v>3204</v>
      </c>
      <c r="K725" t="s">
        <v>2183</v>
      </c>
      <c r="L725" t="s">
        <v>2184</v>
      </c>
      <c r="M725">
        <v>80</v>
      </c>
      <c r="N725">
        <v>24.1</v>
      </c>
      <c r="O725">
        <v>2720.17</v>
      </c>
      <c r="P725">
        <v>0</v>
      </c>
      <c r="Q725">
        <v>2720.17</v>
      </c>
      <c r="R725">
        <v>435.23</v>
      </c>
      <c r="S725">
        <v>108.81</v>
      </c>
      <c r="T725">
        <v>3046.59</v>
      </c>
      <c r="U725" t="s">
        <v>2187</v>
      </c>
      <c r="V725" t="s">
        <v>9408</v>
      </c>
      <c r="W725" t="s">
        <v>423</v>
      </c>
    </row>
    <row r="726" spans="1:23" hidden="1" x14ac:dyDescent="0.2">
      <c r="A726">
        <v>2012</v>
      </c>
      <c r="B726" t="s">
        <v>305</v>
      </c>
      <c r="C726" s="733">
        <v>40970.429756944446</v>
      </c>
      <c r="D726" s="733" t="str">
        <f>CHOOSE(MONTH(Tabla_sqldatos_bonampakdb_Bon_v_ingresos2012[[#This Row],[fecha_guia]]),"Enero","Febrero","Marzo","Abril","Mayo","Junio","Julio","Agosto","Septiembre","Octubre","Noviembre","Diciembre")</f>
        <v>Marzo</v>
      </c>
      <c r="E726" t="s">
        <v>485</v>
      </c>
      <c r="F726" t="s">
        <v>2065</v>
      </c>
      <c r="G726" t="s">
        <v>9558</v>
      </c>
      <c r="H726">
        <v>42994</v>
      </c>
      <c r="I726" t="s">
        <v>423</v>
      </c>
      <c r="J726" t="s">
        <v>2182</v>
      </c>
      <c r="K726" t="s">
        <v>2183</v>
      </c>
      <c r="L726" t="s">
        <v>2184</v>
      </c>
      <c r="M726">
        <v>62</v>
      </c>
      <c r="N726">
        <v>16.43</v>
      </c>
      <c r="O726">
        <v>2433.94</v>
      </c>
      <c r="P726">
        <v>0</v>
      </c>
      <c r="Q726">
        <v>2433.94</v>
      </c>
      <c r="R726">
        <v>389.43</v>
      </c>
      <c r="S726">
        <v>97.36</v>
      </c>
      <c r="T726">
        <v>2726.01</v>
      </c>
      <c r="V726" t="s">
        <v>9408</v>
      </c>
      <c r="W726" t="s">
        <v>423</v>
      </c>
    </row>
    <row r="727" spans="1:23" hidden="1" x14ac:dyDescent="0.2">
      <c r="A727">
        <v>2012</v>
      </c>
      <c r="B727" t="s">
        <v>304</v>
      </c>
      <c r="C727" s="733">
        <v>40942</v>
      </c>
      <c r="D7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7" t="s">
        <v>485</v>
      </c>
      <c r="F727" t="s">
        <v>2065</v>
      </c>
      <c r="G727" t="s">
        <v>3932</v>
      </c>
      <c r="H727">
        <v>40225</v>
      </c>
      <c r="I727" t="s">
        <v>423</v>
      </c>
      <c r="J727" t="s">
        <v>2182</v>
      </c>
      <c r="K727" t="s">
        <v>2183</v>
      </c>
      <c r="L727" t="s">
        <v>2184</v>
      </c>
      <c r="M727">
        <v>62</v>
      </c>
      <c r="N727">
        <v>15.69</v>
      </c>
      <c r="O727">
        <v>2324.3200000000002</v>
      </c>
      <c r="P727">
        <v>0</v>
      </c>
      <c r="Q727">
        <v>2324.3200000000002</v>
      </c>
      <c r="R727">
        <v>371.89</v>
      </c>
      <c r="S727">
        <v>92.97</v>
      </c>
      <c r="T727">
        <v>2603.2399999999998</v>
      </c>
      <c r="U727" t="s">
        <v>2192</v>
      </c>
      <c r="V727" t="s">
        <v>9408</v>
      </c>
      <c r="W727" t="s">
        <v>423</v>
      </c>
    </row>
    <row r="728" spans="1:23" hidden="1" x14ac:dyDescent="0.2">
      <c r="A728">
        <v>2012</v>
      </c>
      <c r="B728" t="s">
        <v>303</v>
      </c>
      <c r="C728" s="733">
        <v>40932</v>
      </c>
      <c r="D7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8" t="s">
        <v>485</v>
      </c>
      <c r="F728" t="s">
        <v>2065</v>
      </c>
      <c r="G728" t="s">
        <v>3263</v>
      </c>
      <c r="H728">
        <v>40673</v>
      </c>
      <c r="I728" t="s">
        <v>423</v>
      </c>
      <c r="J728" t="s">
        <v>2135</v>
      </c>
      <c r="K728" t="s">
        <v>2102</v>
      </c>
      <c r="L728" t="s">
        <v>2115</v>
      </c>
      <c r="M728">
        <v>494</v>
      </c>
      <c r="N728">
        <v>52.14</v>
      </c>
      <c r="O728">
        <v>17532.080000000002</v>
      </c>
      <c r="P728">
        <v>0</v>
      </c>
      <c r="Q728">
        <v>17532.080000000002</v>
      </c>
      <c r="R728">
        <v>2805.13</v>
      </c>
      <c r="S728">
        <v>701.28</v>
      </c>
      <c r="T728">
        <v>19635.93</v>
      </c>
      <c r="U728" t="s">
        <v>2108</v>
      </c>
      <c r="V728" t="s">
        <v>9409</v>
      </c>
      <c r="W728" t="s">
        <v>423</v>
      </c>
    </row>
    <row r="729" spans="1:23" hidden="1" x14ac:dyDescent="0.2">
      <c r="A729">
        <v>2012</v>
      </c>
      <c r="B729" t="s">
        <v>304</v>
      </c>
      <c r="C729" s="733">
        <v>40940</v>
      </c>
      <c r="D7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9" t="s">
        <v>505</v>
      </c>
      <c r="F729" t="s">
        <v>1915</v>
      </c>
      <c r="G729" t="s">
        <v>7048</v>
      </c>
      <c r="H729">
        <v>22385</v>
      </c>
      <c r="I729" t="s">
        <v>423</v>
      </c>
      <c r="J729" t="s">
        <v>1917</v>
      </c>
      <c r="K729" t="s">
        <v>1918</v>
      </c>
      <c r="L729" t="s">
        <v>1919</v>
      </c>
      <c r="M729">
        <v>267</v>
      </c>
      <c r="N729">
        <v>24.99</v>
      </c>
      <c r="O729">
        <v>5618.75</v>
      </c>
      <c r="P729">
        <v>0</v>
      </c>
      <c r="Q729">
        <v>5618.75</v>
      </c>
      <c r="R729">
        <v>899</v>
      </c>
      <c r="S729">
        <v>224.75</v>
      </c>
      <c r="T729">
        <v>6293</v>
      </c>
      <c r="U729" t="s">
        <v>1926</v>
      </c>
      <c r="V729" t="s">
        <v>9408</v>
      </c>
      <c r="W729" t="s">
        <v>423</v>
      </c>
    </row>
    <row r="730" spans="1:23" hidden="1" x14ac:dyDescent="0.2">
      <c r="A730">
        <v>2012</v>
      </c>
      <c r="B730" t="s">
        <v>303</v>
      </c>
      <c r="C730" s="733">
        <v>40938</v>
      </c>
      <c r="D7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0" t="s">
        <v>485</v>
      </c>
      <c r="F730" t="s">
        <v>2084</v>
      </c>
      <c r="G730" t="s">
        <v>6670</v>
      </c>
      <c r="H730">
        <v>41124</v>
      </c>
      <c r="I730" t="s">
        <v>423</v>
      </c>
      <c r="J730" t="s">
        <v>4073</v>
      </c>
      <c r="K730" t="s">
        <v>2051</v>
      </c>
      <c r="L730" t="s">
        <v>2052</v>
      </c>
      <c r="M730">
        <v>610</v>
      </c>
      <c r="N730">
        <v>52.85</v>
      </c>
      <c r="O730">
        <v>18734.8</v>
      </c>
      <c r="P730">
        <v>0</v>
      </c>
      <c r="Q730">
        <v>18734.8</v>
      </c>
      <c r="R730">
        <v>2997.57</v>
      </c>
      <c r="S730">
        <v>749.39</v>
      </c>
      <c r="T730">
        <v>20982.98</v>
      </c>
      <c r="U730" t="s">
        <v>2067</v>
      </c>
      <c r="V730" t="s">
        <v>9409</v>
      </c>
      <c r="W730" t="s">
        <v>423</v>
      </c>
    </row>
    <row r="731" spans="1:23" x14ac:dyDescent="0.2">
      <c r="A731">
        <v>2012</v>
      </c>
      <c r="B731" t="s">
        <v>304</v>
      </c>
      <c r="C731" s="733">
        <v>40967</v>
      </c>
      <c r="D7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1" t="s">
        <v>485</v>
      </c>
      <c r="F731" t="s">
        <v>2065</v>
      </c>
      <c r="G731" t="s">
        <v>8872</v>
      </c>
      <c r="H731">
        <v>42794</v>
      </c>
      <c r="I731" t="s">
        <v>423</v>
      </c>
      <c r="J731" t="s">
        <v>2182</v>
      </c>
      <c r="K731" t="s">
        <v>2183</v>
      </c>
      <c r="L731" t="s">
        <v>2184</v>
      </c>
      <c r="M731">
        <v>62</v>
      </c>
      <c r="N731">
        <v>51.03</v>
      </c>
      <c r="O731">
        <v>5759.76</v>
      </c>
      <c r="P731">
        <v>0</v>
      </c>
      <c r="Q731">
        <v>5759.76</v>
      </c>
      <c r="R731">
        <v>921.56</v>
      </c>
      <c r="S731">
        <v>230.39</v>
      </c>
      <c r="T731">
        <v>6450.93</v>
      </c>
      <c r="V731" t="s">
        <v>9409</v>
      </c>
      <c r="W731" t="s">
        <v>423</v>
      </c>
    </row>
    <row r="732" spans="1:23" hidden="1" x14ac:dyDescent="0.2">
      <c r="A732">
        <v>2012</v>
      </c>
      <c r="B732" t="s">
        <v>304</v>
      </c>
      <c r="C732" s="733">
        <v>40961</v>
      </c>
      <c r="D7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2" t="s">
        <v>485</v>
      </c>
      <c r="F732" t="s">
        <v>2065</v>
      </c>
      <c r="G732" t="s">
        <v>8265</v>
      </c>
      <c r="H732">
        <v>42377</v>
      </c>
      <c r="I732" t="s">
        <v>423</v>
      </c>
      <c r="J732" t="s">
        <v>2182</v>
      </c>
      <c r="K732" t="s">
        <v>2183</v>
      </c>
      <c r="L732" t="s">
        <v>2184</v>
      </c>
      <c r="M732">
        <v>62</v>
      </c>
      <c r="N732">
        <v>16.670000000000002</v>
      </c>
      <c r="O732">
        <v>2469.4899999999998</v>
      </c>
      <c r="P732">
        <v>0</v>
      </c>
      <c r="Q732">
        <v>2469.4899999999998</v>
      </c>
      <c r="R732">
        <v>395.12</v>
      </c>
      <c r="S732">
        <v>98.78</v>
      </c>
      <c r="T732">
        <v>2765.83</v>
      </c>
      <c r="U732" t="s">
        <v>9411</v>
      </c>
      <c r="V732" t="s">
        <v>9408</v>
      </c>
      <c r="W732" t="s">
        <v>423</v>
      </c>
    </row>
    <row r="733" spans="1:23" hidden="1" x14ac:dyDescent="0.2">
      <c r="A733">
        <v>2012</v>
      </c>
      <c r="B733" t="s">
        <v>304</v>
      </c>
      <c r="C733" s="733">
        <v>40942</v>
      </c>
      <c r="D7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3" t="s">
        <v>485</v>
      </c>
      <c r="F733" t="s">
        <v>2065</v>
      </c>
      <c r="G733" t="s">
        <v>3125</v>
      </c>
      <c r="H733">
        <v>41382</v>
      </c>
      <c r="I733" t="s">
        <v>423</v>
      </c>
      <c r="J733" t="s">
        <v>2182</v>
      </c>
      <c r="K733" t="s">
        <v>2183</v>
      </c>
      <c r="L733" t="s">
        <v>2184</v>
      </c>
      <c r="M733">
        <v>62</v>
      </c>
      <c r="N733">
        <v>15.49</v>
      </c>
      <c r="O733">
        <v>2294.69</v>
      </c>
      <c r="P733">
        <v>0</v>
      </c>
      <c r="Q733">
        <v>2294.69</v>
      </c>
      <c r="R733">
        <v>367.15</v>
      </c>
      <c r="S733">
        <v>91.79</v>
      </c>
      <c r="T733">
        <v>2570.0500000000002</v>
      </c>
      <c r="U733" t="s">
        <v>2192</v>
      </c>
      <c r="V733" t="s">
        <v>9408</v>
      </c>
      <c r="W733" t="s">
        <v>423</v>
      </c>
    </row>
    <row r="734" spans="1:23" hidden="1" x14ac:dyDescent="0.2">
      <c r="A734">
        <v>2012</v>
      </c>
      <c r="B734" t="s">
        <v>303</v>
      </c>
      <c r="C734" s="733">
        <v>40932</v>
      </c>
      <c r="D7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4" t="s">
        <v>485</v>
      </c>
      <c r="F734" t="s">
        <v>2065</v>
      </c>
      <c r="G734" t="s">
        <v>2359</v>
      </c>
      <c r="H734">
        <v>40612</v>
      </c>
      <c r="I734" t="s">
        <v>424</v>
      </c>
      <c r="J734" t="s">
        <v>2114</v>
      </c>
      <c r="K734" t="s">
        <v>2102</v>
      </c>
      <c r="L734" t="s">
        <v>2115</v>
      </c>
      <c r="M734">
        <v>500</v>
      </c>
      <c r="N734">
        <v>54</v>
      </c>
      <c r="O734">
        <v>10009.44</v>
      </c>
      <c r="P734">
        <v>0</v>
      </c>
      <c r="Q734">
        <v>10009.44</v>
      </c>
      <c r="R734">
        <v>1601.51</v>
      </c>
      <c r="S734">
        <v>400.38</v>
      </c>
      <c r="T734">
        <v>11210.57</v>
      </c>
      <c r="U734" t="s">
        <v>2121</v>
      </c>
      <c r="V734" t="s">
        <v>9409</v>
      </c>
      <c r="W734" t="s">
        <v>424</v>
      </c>
    </row>
    <row r="735" spans="1:23" hidden="1" x14ac:dyDescent="0.2">
      <c r="A735">
        <v>2012</v>
      </c>
      <c r="B735" t="s">
        <v>304</v>
      </c>
      <c r="C735" s="733">
        <v>40955</v>
      </c>
      <c r="D7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5" t="s">
        <v>485</v>
      </c>
      <c r="F735" t="s">
        <v>2065</v>
      </c>
      <c r="G735" t="s">
        <v>7775</v>
      </c>
      <c r="H735">
        <v>41967</v>
      </c>
      <c r="I735" t="s">
        <v>424</v>
      </c>
      <c r="J735" t="s">
        <v>2114</v>
      </c>
      <c r="K735" t="s">
        <v>2102</v>
      </c>
      <c r="L735" t="s">
        <v>2115</v>
      </c>
      <c r="M735">
        <v>500</v>
      </c>
      <c r="N735">
        <v>54</v>
      </c>
      <c r="O735">
        <v>10009.44</v>
      </c>
      <c r="P735">
        <v>0</v>
      </c>
      <c r="Q735">
        <v>10009.44</v>
      </c>
      <c r="R735">
        <v>1601.51</v>
      </c>
      <c r="S735">
        <v>400.38</v>
      </c>
      <c r="T735">
        <v>11210.57</v>
      </c>
      <c r="U735" t="s">
        <v>8871</v>
      </c>
      <c r="V735" t="s">
        <v>9409</v>
      </c>
      <c r="W735" t="s">
        <v>424</v>
      </c>
    </row>
    <row r="736" spans="1:23" hidden="1" x14ac:dyDescent="0.2">
      <c r="A736">
        <v>2012</v>
      </c>
      <c r="B736" t="s">
        <v>304</v>
      </c>
      <c r="C736" s="733">
        <v>40955</v>
      </c>
      <c r="D7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6" t="s">
        <v>485</v>
      </c>
      <c r="F736" t="s">
        <v>2065</v>
      </c>
      <c r="G736" t="s">
        <v>7892</v>
      </c>
      <c r="H736">
        <v>42037</v>
      </c>
      <c r="I736" t="s">
        <v>424</v>
      </c>
      <c r="J736" t="s">
        <v>2114</v>
      </c>
      <c r="K736" t="s">
        <v>2102</v>
      </c>
      <c r="L736" t="s">
        <v>2115</v>
      </c>
      <c r="M736">
        <v>500</v>
      </c>
      <c r="N736">
        <v>54</v>
      </c>
      <c r="O736">
        <v>10009.44</v>
      </c>
      <c r="P736">
        <v>0</v>
      </c>
      <c r="Q736">
        <v>10009.44</v>
      </c>
      <c r="R736">
        <v>1601.51</v>
      </c>
      <c r="S736">
        <v>400.38</v>
      </c>
      <c r="T736">
        <v>11210.57</v>
      </c>
      <c r="U736" t="s">
        <v>8871</v>
      </c>
      <c r="V736" t="s">
        <v>9409</v>
      </c>
      <c r="W736" t="s">
        <v>424</v>
      </c>
    </row>
    <row r="737" spans="1:23" hidden="1" x14ac:dyDescent="0.2">
      <c r="A737">
        <v>2012</v>
      </c>
      <c r="B737" t="s">
        <v>303</v>
      </c>
      <c r="C737" s="733">
        <v>40928</v>
      </c>
      <c r="D7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7" t="s">
        <v>485</v>
      </c>
      <c r="F737" t="s">
        <v>2065</v>
      </c>
      <c r="G737" t="s">
        <v>2335</v>
      </c>
      <c r="H737">
        <v>39800</v>
      </c>
      <c r="I737" t="s">
        <v>424</v>
      </c>
      <c r="J737" t="s">
        <v>2114</v>
      </c>
      <c r="K737" t="s">
        <v>2102</v>
      </c>
      <c r="L737" t="s">
        <v>2115</v>
      </c>
      <c r="M737">
        <v>500</v>
      </c>
      <c r="N737">
        <v>54</v>
      </c>
      <c r="O737">
        <v>10009.44</v>
      </c>
      <c r="P737">
        <v>0</v>
      </c>
      <c r="Q737">
        <v>10009.44</v>
      </c>
      <c r="R737">
        <v>1601.51</v>
      </c>
      <c r="S737">
        <v>400.38</v>
      </c>
      <c r="T737">
        <v>11210.57</v>
      </c>
      <c r="U737" t="s">
        <v>8871</v>
      </c>
      <c r="V737" t="s">
        <v>9409</v>
      </c>
      <c r="W737" t="s">
        <v>424</v>
      </c>
    </row>
    <row r="738" spans="1:23" hidden="1" x14ac:dyDescent="0.2">
      <c r="A738">
        <v>2012</v>
      </c>
      <c r="B738" t="s">
        <v>304</v>
      </c>
      <c r="C738" s="733">
        <v>40952</v>
      </c>
      <c r="D7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8" t="s">
        <v>485</v>
      </c>
      <c r="F738" t="s">
        <v>2065</v>
      </c>
      <c r="G738" t="s">
        <v>2340</v>
      </c>
      <c r="H738">
        <v>41747</v>
      </c>
      <c r="I738" t="s">
        <v>424</v>
      </c>
      <c r="J738" t="s">
        <v>2114</v>
      </c>
      <c r="K738" t="s">
        <v>2102</v>
      </c>
      <c r="L738" t="s">
        <v>2115</v>
      </c>
      <c r="M738">
        <v>500</v>
      </c>
      <c r="N738">
        <v>54</v>
      </c>
      <c r="O738">
        <v>10009.44</v>
      </c>
      <c r="P738">
        <v>0</v>
      </c>
      <c r="Q738">
        <v>10009.44</v>
      </c>
      <c r="R738">
        <v>1601.51</v>
      </c>
      <c r="S738">
        <v>400.38</v>
      </c>
      <c r="T738">
        <v>11210.57</v>
      </c>
      <c r="U738" t="s">
        <v>8262</v>
      </c>
      <c r="V738" t="s">
        <v>9409</v>
      </c>
      <c r="W738" t="s">
        <v>424</v>
      </c>
    </row>
    <row r="739" spans="1:23" hidden="1" x14ac:dyDescent="0.2">
      <c r="A739">
        <v>2012</v>
      </c>
      <c r="B739" t="s">
        <v>304</v>
      </c>
      <c r="C739" s="733">
        <v>40942</v>
      </c>
      <c r="D7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9" t="s">
        <v>485</v>
      </c>
      <c r="F739" t="s">
        <v>2065</v>
      </c>
      <c r="G739" t="s">
        <v>2346</v>
      </c>
      <c r="H739">
        <v>41354</v>
      </c>
      <c r="I739" t="s">
        <v>423</v>
      </c>
      <c r="J739" t="s">
        <v>2345</v>
      </c>
      <c r="K739" t="s">
        <v>2102</v>
      </c>
      <c r="L739" t="s">
        <v>2115</v>
      </c>
      <c r="M739">
        <v>426</v>
      </c>
      <c r="N739">
        <v>50.42</v>
      </c>
      <c r="O739">
        <v>16953.72</v>
      </c>
      <c r="P739">
        <v>0</v>
      </c>
      <c r="Q739">
        <v>16953.72</v>
      </c>
      <c r="R739">
        <v>2712.6</v>
      </c>
      <c r="S739">
        <v>678.15</v>
      </c>
      <c r="T739">
        <v>18988.169999999998</v>
      </c>
      <c r="U739" t="s">
        <v>8051</v>
      </c>
      <c r="V739" t="s">
        <v>9409</v>
      </c>
      <c r="W739" t="s">
        <v>423</v>
      </c>
    </row>
    <row r="740" spans="1:23" hidden="1" x14ac:dyDescent="0.2">
      <c r="A740">
        <v>2012</v>
      </c>
      <c r="B740" t="s">
        <v>303</v>
      </c>
      <c r="C740" s="733">
        <v>40935</v>
      </c>
      <c r="D7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0" t="s">
        <v>485</v>
      </c>
      <c r="F740" t="s">
        <v>2065</v>
      </c>
      <c r="G740" t="s">
        <v>2344</v>
      </c>
      <c r="H740">
        <v>40941</v>
      </c>
      <c r="I740" t="s">
        <v>423</v>
      </c>
      <c r="J740" t="s">
        <v>2345</v>
      </c>
      <c r="K740" t="s">
        <v>2102</v>
      </c>
      <c r="L740" t="s">
        <v>2115</v>
      </c>
      <c r="M740">
        <v>426</v>
      </c>
      <c r="N740">
        <v>51.57</v>
      </c>
      <c r="O740">
        <v>17340.41</v>
      </c>
      <c r="P740">
        <v>0</v>
      </c>
      <c r="Q740">
        <v>17340.41</v>
      </c>
      <c r="R740">
        <v>2774.47</v>
      </c>
      <c r="S740">
        <v>693.62</v>
      </c>
      <c r="T740">
        <v>19421.259999999998</v>
      </c>
      <c r="U740" t="s">
        <v>2110</v>
      </c>
      <c r="V740" t="s">
        <v>9409</v>
      </c>
      <c r="W740" t="s">
        <v>423</v>
      </c>
    </row>
    <row r="741" spans="1:23" hidden="1" x14ac:dyDescent="0.2">
      <c r="A741">
        <v>2012</v>
      </c>
      <c r="B741" t="s">
        <v>303</v>
      </c>
      <c r="C741" s="733">
        <v>40934</v>
      </c>
      <c r="D7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1" t="s">
        <v>485</v>
      </c>
      <c r="F741" t="s">
        <v>2065</v>
      </c>
      <c r="G741" t="s">
        <v>2341</v>
      </c>
      <c r="H741">
        <v>40821</v>
      </c>
      <c r="I741" t="s">
        <v>424</v>
      </c>
      <c r="J741" t="s">
        <v>2114</v>
      </c>
      <c r="K741" t="s">
        <v>2102</v>
      </c>
      <c r="L741" t="s">
        <v>2115</v>
      </c>
      <c r="M741">
        <v>500</v>
      </c>
      <c r="N741">
        <v>54</v>
      </c>
      <c r="O741">
        <v>10009.44</v>
      </c>
      <c r="P741">
        <v>0</v>
      </c>
      <c r="Q741">
        <v>10009.44</v>
      </c>
      <c r="R741">
        <v>1601.51</v>
      </c>
      <c r="S741">
        <v>400.38</v>
      </c>
      <c r="T741">
        <v>11210.57</v>
      </c>
      <c r="U741" t="s">
        <v>2116</v>
      </c>
      <c r="V741" t="s">
        <v>9409</v>
      </c>
      <c r="W741" t="s">
        <v>424</v>
      </c>
    </row>
    <row r="742" spans="1:23" hidden="1" x14ac:dyDescent="0.2">
      <c r="A742">
        <v>2012</v>
      </c>
      <c r="B742" t="s">
        <v>303</v>
      </c>
      <c r="C742" s="733">
        <v>40928</v>
      </c>
      <c r="D7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2" t="s">
        <v>485</v>
      </c>
      <c r="F742" t="s">
        <v>2065</v>
      </c>
      <c r="G742" t="s">
        <v>2338</v>
      </c>
      <c r="H742">
        <v>40066</v>
      </c>
      <c r="I742" t="s">
        <v>424</v>
      </c>
      <c r="J742" t="s">
        <v>2114</v>
      </c>
      <c r="K742" t="s">
        <v>2102</v>
      </c>
      <c r="L742" t="s">
        <v>2115</v>
      </c>
      <c r="M742">
        <v>500</v>
      </c>
      <c r="N742">
        <v>54</v>
      </c>
      <c r="O742">
        <v>10009.44</v>
      </c>
      <c r="P742">
        <v>0</v>
      </c>
      <c r="Q742">
        <v>10009.44</v>
      </c>
      <c r="R742">
        <v>1601.51</v>
      </c>
      <c r="S742">
        <v>400.38</v>
      </c>
      <c r="T742">
        <v>11210.57</v>
      </c>
      <c r="U742" t="s">
        <v>2121</v>
      </c>
      <c r="V742" t="s">
        <v>9409</v>
      </c>
      <c r="W742" t="s">
        <v>424</v>
      </c>
    </row>
    <row r="743" spans="1:23" hidden="1" x14ac:dyDescent="0.2">
      <c r="A743">
        <v>2012</v>
      </c>
      <c r="B743" t="s">
        <v>303</v>
      </c>
      <c r="C743" s="733">
        <v>40912</v>
      </c>
      <c r="D7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3" t="s">
        <v>485</v>
      </c>
      <c r="F743" t="s">
        <v>2084</v>
      </c>
      <c r="G743" t="s">
        <v>6347</v>
      </c>
      <c r="H743">
        <v>39640</v>
      </c>
      <c r="I743" t="s">
        <v>423</v>
      </c>
      <c r="J743" t="s">
        <v>2836</v>
      </c>
      <c r="K743" t="s">
        <v>2814</v>
      </c>
      <c r="L743" t="s">
        <v>2815</v>
      </c>
      <c r="M743">
        <v>70</v>
      </c>
      <c r="N743">
        <v>24.24</v>
      </c>
      <c r="O743">
        <v>1151.8800000000001</v>
      </c>
      <c r="P743">
        <v>1296.890173</v>
      </c>
      <c r="Q743">
        <v>2448.7701729999999</v>
      </c>
      <c r="R743">
        <v>391.80322799999999</v>
      </c>
      <c r="S743">
        <v>97.950806999999998</v>
      </c>
      <c r="T743">
        <v>2742.6225939999999</v>
      </c>
      <c r="U743" t="s">
        <v>2846</v>
      </c>
      <c r="V743" t="s">
        <v>9408</v>
      </c>
      <c r="W743" t="s">
        <v>423</v>
      </c>
    </row>
    <row r="744" spans="1:23" hidden="1" x14ac:dyDescent="0.2">
      <c r="A744">
        <v>2012</v>
      </c>
      <c r="B744" t="s">
        <v>304</v>
      </c>
      <c r="C744" s="733">
        <v>40949</v>
      </c>
      <c r="D7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4" t="s">
        <v>485</v>
      </c>
      <c r="F744" t="s">
        <v>2084</v>
      </c>
      <c r="G744" t="s">
        <v>6029</v>
      </c>
      <c r="H744">
        <v>41460</v>
      </c>
      <c r="I744" t="s">
        <v>423</v>
      </c>
      <c r="J744" t="s">
        <v>2836</v>
      </c>
      <c r="K744" t="s">
        <v>2814</v>
      </c>
      <c r="L744" t="s">
        <v>2815</v>
      </c>
      <c r="M744">
        <v>70</v>
      </c>
      <c r="N744">
        <v>23.673999999999999</v>
      </c>
      <c r="O744">
        <v>2672.08</v>
      </c>
      <c r="P744">
        <v>0</v>
      </c>
      <c r="Q744">
        <v>2672.08</v>
      </c>
      <c r="R744">
        <v>293.93</v>
      </c>
      <c r="S744">
        <v>106.88</v>
      </c>
      <c r="T744">
        <v>2859.13</v>
      </c>
      <c r="U744" t="s">
        <v>7527</v>
      </c>
      <c r="V744" t="s">
        <v>9408</v>
      </c>
      <c r="W744" t="s">
        <v>423</v>
      </c>
    </row>
    <row r="745" spans="1:23" x14ac:dyDescent="0.2">
      <c r="A745">
        <v>2012</v>
      </c>
      <c r="B745" t="s">
        <v>304</v>
      </c>
      <c r="C745" s="733">
        <v>40967</v>
      </c>
      <c r="D7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5" t="s">
        <v>485</v>
      </c>
      <c r="F745" t="s">
        <v>2084</v>
      </c>
      <c r="G745" t="s">
        <v>8894</v>
      </c>
      <c r="H745">
        <v>42084</v>
      </c>
      <c r="I745" t="s">
        <v>423</v>
      </c>
      <c r="J745" t="s">
        <v>2836</v>
      </c>
      <c r="K745" t="s">
        <v>2814</v>
      </c>
      <c r="L745" t="s">
        <v>2815</v>
      </c>
      <c r="M745">
        <v>70</v>
      </c>
      <c r="N745">
        <v>28.434000000000001</v>
      </c>
      <c r="O745">
        <v>3209.35</v>
      </c>
      <c r="P745">
        <v>0</v>
      </c>
      <c r="Q745">
        <v>3209.35</v>
      </c>
      <c r="R745">
        <v>353.03</v>
      </c>
      <c r="S745">
        <v>128.37</v>
      </c>
      <c r="T745">
        <v>3434.01</v>
      </c>
      <c r="U745" t="s">
        <v>8877</v>
      </c>
      <c r="V745" t="s">
        <v>9408</v>
      </c>
      <c r="W745" t="s">
        <v>423</v>
      </c>
    </row>
    <row r="746" spans="1:23" hidden="1" x14ac:dyDescent="0.2">
      <c r="A746">
        <v>2012</v>
      </c>
      <c r="B746" t="s">
        <v>304</v>
      </c>
      <c r="C746" s="733">
        <v>40962</v>
      </c>
      <c r="D7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6" t="s">
        <v>478</v>
      </c>
      <c r="F746" t="s">
        <v>2136</v>
      </c>
      <c r="G746" t="s">
        <v>8509</v>
      </c>
      <c r="H746">
        <v>35568</v>
      </c>
      <c r="I746" t="s">
        <v>423</v>
      </c>
      <c r="J746" t="s">
        <v>5689</v>
      </c>
      <c r="K746" t="s">
        <v>425</v>
      </c>
      <c r="L746" t="s">
        <v>2145</v>
      </c>
      <c r="M746">
        <v>764</v>
      </c>
      <c r="N746">
        <v>49.83</v>
      </c>
      <c r="O746">
        <v>15920.68</v>
      </c>
      <c r="P746">
        <v>0</v>
      </c>
      <c r="Q746">
        <v>15920.68</v>
      </c>
      <c r="R746">
        <v>2547.31</v>
      </c>
      <c r="S746">
        <v>636.83000000000004</v>
      </c>
      <c r="T746">
        <v>17831.16</v>
      </c>
      <c r="U746" t="s">
        <v>8510</v>
      </c>
      <c r="V746" t="s">
        <v>9409</v>
      </c>
      <c r="W746" t="s">
        <v>423</v>
      </c>
    </row>
    <row r="747" spans="1:23" hidden="1" x14ac:dyDescent="0.2">
      <c r="A747">
        <v>2012</v>
      </c>
      <c r="B747" t="s">
        <v>303</v>
      </c>
      <c r="C747" s="733">
        <v>40928</v>
      </c>
      <c r="D7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7" t="s">
        <v>485</v>
      </c>
      <c r="F747" t="s">
        <v>2065</v>
      </c>
      <c r="G747" t="s">
        <v>7237</v>
      </c>
      <c r="H747">
        <v>40490</v>
      </c>
      <c r="I747" t="s">
        <v>424</v>
      </c>
      <c r="J747" t="s">
        <v>2135</v>
      </c>
      <c r="K747" t="s">
        <v>2102</v>
      </c>
      <c r="L747" t="s">
        <v>2115</v>
      </c>
      <c r="M747">
        <v>494</v>
      </c>
      <c r="N747">
        <v>54</v>
      </c>
      <c r="O747">
        <v>11375.64</v>
      </c>
      <c r="P747">
        <v>0</v>
      </c>
      <c r="Q747">
        <v>11375.64</v>
      </c>
      <c r="R747">
        <v>1820.1</v>
      </c>
      <c r="S747">
        <v>455.03</v>
      </c>
      <c r="T747">
        <v>12740.71</v>
      </c>
      <c r="U747" t="s">
        <v>2119</v>
      </c>
      <c r="V747" t="s">
        <v>9409</v>
      </c>
      <c r="W747" t="s">
        <v>424</v>
      </c>
    </row>
    <row r="748" spans="1:23" hidden="1" x14ac:dyDescent="0.2">
      <c r="A748">
        <v>2012</v>
      </c>
      <c r="B748" t="s">
        <v>303</v>
      </c>
      <c r="C748" s="733">
        <v>40926</v>
      </c>
      <c r="D7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8" t="s">
        <v>485</v>
      </c>
      <c r="F748" t="s">
        <v>2084</v>
      </c>
      <c r="G748" t="s">
        <v>6348</v>
      </c>
      <c r="H748">
        <v>40165</v>
      </c>
      <c r="I748" t="s">
        <v>423</v>
      </c>
      <c r="J748" t="s">
        <v>2836</v>
      </c>
      <c r="K748" t="s">
        <v>2814</v>
      </c>
      <c r="L748" t="s">
        <v>2815</v>
      </c>
      <c r="M748">
        <v>70</v>
      </c>
      <c r="N748">
        <v>23.84</v>
      </c>
      <c r="O748">
        <v>2690.82</v>
      </c>
      <c r="P748">
        <v>0</v>
      </c>
      <c r="Q748">
        <v>2690.82</v>
      </c>
      <c r="R748">
        <v>430.53</v>
      </c>
      <c r="S748">
        <v>107.63</v>
      </c>
      <c r="T748">
        <v>3013.72</v>
      </c>
      <c r="U748" t="s">
        <v>2826</v>
      </c>
      <c r="V748" t="s">
        <v>9408</v>
      </c>
      <c r="W748" t="s">
        <v>423</v>
      </c>
    </row>
    <row r="749" spans="1:23" hidden="1" x14ac:dyDescent="0.2">
      <c r="A749">
        <v>2012</v>
      </c>
      <c r="B749" t="s">
        <v>303</v>
      </c>
      <c r="C749" s="733">
        <v>40920</v>
      </c>
      <c r="D7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9" t="s">
        <v>485</v>
      </c>
      <c r="F749" t="s">
        <v>2084</v>
      </c>
      <c r="G749" t="s">
        <v>6349</v>
      </c>
      <c r="H749">
        <v>39938</v>
      </c>
      <c r="I749" t="s">
        <v>423</v>
      </c>
      <c r="J749" t="s">
        <v>2836</v>
      </c>
      <c r="K749" t="s">
        <v>2814</v>
      </c>
      <c r="L749" t="s">
        <v>2815</v>
      </c>
      <c r="M749">
        <v>70</v>
      </c>
      <c r="N749">
        <v>23.507000000000001</v>
      </c>
      <c r="O749">
        <v>2653.24</v>
      </c>
      <c r="P749">
        <v>0</v>
      </c>
      <c r="Q749">
        <v>2653.24</v>
      </c>
      <c r="R749">
        <v>424.52</v>
      </c>
      <c r="S749">
        <v>106.13</v>
      </c>
      <c r="T749">
        <v>2971.63</v>
      </c>
      <c r="U749" t="s">
        <v>2826</v>
      </c>
      <c r="V749" t="s">
        <v>9408</v>
      </c>
      <c r="W749" t="s">
        <v>423</v>
      </c>
    </row>
    <row r="750" spans="1:23" hidden="1" x14ac:dyDescent="0.2">
      <c r="A750">
        <v>2012</v>
      </c>
      <c r="B750" t="s">
        <v>304</v>
      </c>
      <c r="C750" s="733">
        <v>40966</v>
      </c>
      <c r="D7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50" t="s">
        <v>485</v>
      </c>
      <c r="F750" t="s">
        <v>2065</v>
      </c>
      <c r="G750" t="s">
        <v>8785</v>
      </c>
      <c r="H750">
        <v>42693</v>
      </c>
      <c r="I750" t="s">
        <v>423</v>
      </c>
      <c r="J750" t="s">
        <v>2182</v>
      </c>
      <c r="K750" t="s">
        <v>2183</v>
      </c>
      <c r="L750" t="s">
        <v>2184</v>
      </c>
      <c r="M750">
        <v>62</v>
      </c>
      <c r="N750">
        <v>16.12</v>
      </c>
      <c r="O750">
        <v>2388.02</v>
      </c>
      <c r="P750">
        <v>0</v>
      </c>
      <c r="Q750">
        <v>2388.02</v>
      </c>
      <c r="R750">
        <v>382.08</v>
      </c>
      <c r="S750">
        <v>95.52</v>
      </c>
      <c r="T750">
        <v>2674.58</v>
      </c>
      <c r="V750" t="s">
        <v>9408</v>
      </c>
      <c r="W750" t="s">
        <v>423</v>
      </c>
    </row>
    <row r="751" spans="1:23" hidden="1" x14ac:dyDescent="0.2">
      <c r="A751">
        <v>2012</v>
      </c>
      <c r="B751" t="s">
        <v>303</v>
      </c>
      <c r="C751" s="733">
        <v>40912</v>
      </c>
      <c r="D7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51" t="s">
        <v>485</v>
      </c>
      <c r="F751" t="s">
        <v>2065</v>
      </c>
      <c r="G751" t="s">
        <v>3126</v>
      </c>
      <c r="H751">
        <v>39764</v>
      </c>
      <c r="I751" t="s">
        <v>423</v>
      </c>
      <c r="J751" t="s">
        <v>2182</v>
      </c>
      <c r="K751" t="s">
        <v>2183</v>
      </c>
      <c r="L751" t="s">
        <v>2184</v>
      </c>
      <c r="M751">
        <v>62</v>
      </c>
      <c r="N751">
        <v>15.87</v>
      </c>
      <c r="O751">
        <v>989.81</v>
      </c>
      <c r="P751">
        <v>1114.417181</v>
      </c>
      <c r="Q751">
        <v>2104.2271810000002</v>
      </c>
      <c r="R751">
        <v>336.67634900000002</v>
      </c>
      <c r="S751">
        <v>84.169087000000005</v>
      </c>
      <c r="T751">
        <v>2356.7344429999998</v>
      </c>
      <c r="V751" t="s">
        <v>9408</v>
      </c>
      <c r="W751" t="s">
        <v>423</v>
      </c>
    </row>
    <row r="752" spans="1:23" hidden="1" x14ac:dyDescent="0.2">
      <c r="A752">
        <v>2012</v>
      </c>
      <c r="B752" t="s">
        <v>304</v>
      </c>
      <c r="C752" s="733">
        <v>40940</v>
      </c>
      <c r="D7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52" t="s">
        <v>485</v>
      </c>
      <c r="F752" t="s">
        <v>2065</v>
      </c>
      <c r="G752" t="s">
        <v>3124</v>
      </c>
      <c r="H752">
        <v>41188</v>
      </c>
      <c r="I752" t="s">
        <v>423</v>
      </c>
      <c r="J752" t="s">
        <v>2182</v>
      </c>
      <c r="K752" t="s">
        <v>2183</v>
      </c>
      <c r="L752" t="s">
        <v>2184</v>
      </c>
      <c r="M752">
        <v>62</v>
      </c>
      <c r="N752">
        <v>15.14</v>
      </c>
      <c r="O752">
        <v>2242.84</v>
      </c>
      <c r="P752">
        <v>0</v>
      </c>
      <c r="Q752">
        <v>2242.84</v>
      </c>
      <c r="R752">
        <v>358.85</v>
      </c>
      <c r="S752">
        <v>89.71</v>
      </c>
      <c r="T752">
        <v>2511.98</v>
      </c>
      <c r="U752" t="s">
        <v>2192</v>
      </c>
      <c r="V752" t="s">
        <v>9408</v>
      </c>
      <c r="W752" t="s">
        <v>423</v>
      </c>
    </row>
    <row r="753" spans="1:23" hidden="1" x14ac:dyDescent="0.2">
      <c r="A753">
        <v>2012</v>
      </c>
      <c r="B753" t="s">
        <v>303</v>
      </c>
      <c r="C753" s="733">
        <v>40931</v>
      </c>
      <c r="D7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53" t="s">
        <v>485</v>
      </c>
      <c r="F753" t="s">
        <v>2065</v>
      </c>
      <c r="G753" t="s">
        <v>3415</v>
      </c>
      <c r="H753">
        <v>40589</v>
      </c>
      <c r="I753" t="s">
        <v>423</v>
      </c>
      <c r="J753" t="s">
        <v>3147</v>
      </c>
      <c r="K753" t="s">
        <v>2183</v>
      </c>
      <c r="L753" t="s">
        <v>2184</v>
      </c>
      <c r="M753">
        <v>528</v>
      </c>
      <c r="N753">
        <v>53.86</v>
      </c>
      <c r="O753">
        <v>16675.060000000001</v>
      </c>
      <c r="P753">
        <v>0</v>
      </c>
      <c r="Q753">
        <v>16675.060000000001</v>
      </c>
      <c r="R753">
        <v>2668.01</v>
      </c>
      <c r="S753">
        <v>667</v>
      </c>
      <c r="T753">
        <v>18676.07</v>
      </c>
      <c r="U753" t="s">
        <v>2187</v>
      </c>
      <c r="V753" t="s">
        <v>9409</v>
      </c>
      <c r="W753" t="s">
        <v>423</v>
      </c>
    </row>
    <row r="754" spans="1:23" hidden="1" x14ac:dyDescent="0.2">
      <c r="A754">
        <v>2012</v>
      </c>
      <c r="B754" t="s">
        <v>303</v>
      </c>
      <c r="C754" s="733">
        <v>40939</v>
      </c>
      <c r="D7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54" t="s">
        <v>485</v>
      </c>
      <c r="F754" t="s">
        <v>2065</v>
      </c>
      <c r="G754" t="s">
        <v>3416</v>
      </c>
      <c r="H754">
        <v>41068</v>
      </c>
      <c r="I754" t="s">
        <v>423</v>
      </c>
      <c r="J754" t="s">
        <v>3204</v>
      </c>
      <c r="K754" t="s">
        <v>2183</v>
      </c>
      <c r="L754" t="s">
        <v>2184</v>
      </c>
      <c r="M754">
        <v>80</v>
      </c>
      <c r="N754">
        <v>51.47</v>
      </c>
      <c r="O754">
        <v>5809.42</v>
      </c>
      <c r="P754">
        <v>0</v>
      </c>
      <c r="Q754">
        <v>5809.42</v>
      </c>
      <c r="R754">
        <v>929.51</v>
      </c>
      <c r="S754">
        <v>232.38</v>
      </c>
      <c r="T754">
        <v>6506.55</v>
      </c>
      <c r="U754" t="s">
        <v>2192</v>
      </c>
      <c r="V754" t="s">
        <v>9409</v>
      </c>
      <c r="W754" t="s">
        <v>423</v>
      </c>
    </row>
    <row r="755" spans="1:23" hidden="1" x14ac:dyDescent="0.2">
      <c r="A755">
        <v>2012</v>
      </c>
      <c r="B755" t="s">
        <v>303</v>
      </c>
      <c r="C755" s="733">
        <v>40928</v>
      </c>
      <c r="D7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55" t="s">
        <v>485</v>
      </c>
      <c r="F755" t="s">
        <v>2065</v>
      </c>
      <c r="G755" t="s">
        <v>3136</v>
      </c>
      <c r="H755">
        <v>39698</v>
      </c>
      <c r="I755" t="s">
        <v>423</v>
      </c>
      <c r="J755" t="s">
        <v>2182</v>
      </c>
      <c r="K755" t="s">
        <v>2183</v>
      </c>
      <c r="L755" t="s">
        <v>2184</v>
      </c>
      <c r="M755">
        <v>62</v>
      </c>
      <c r="N755">
        <v>15.61</v>
      </c>
      <c r="O755">
        <v>2312.4699999999998</v>
      </c>
      <c r="P755">
        <v>0</v>
      </c>
      <c r="Q755">
        <v>2312.4699999999998</v>
      </c>
      <c r="R755">
        <v>369.99</v>
      </c>
      <c r="S755">
        <v>92.5</v>
      </c>
      <c r="T755">
        <v>2589.96</v>
      </c>
      <c r="U755" t="s">
        <v>7554</v>
      </c>
      <c r="V755" t="s">
        <v>9408</v>
      </c>
      <c r="W755" t="s">
        <v>423</v>
      </c>
    </row>
    <row r="756" spans="1:23" hidden="1" x14ac:dyDescent="0.2">
      <c r="A756">
        <v>2012</v>
      </c>
      <c r="B756" t="s">
        <v>303</v>
      </c>
      <c r="C756" s="733">
        <v>40910.472453703704</v>
      </c>
      <c r="D7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56" t="s">
        <v>485</v>
      </c>
      <c r="F756" t="s">
        <v>2065</v>
      </c>
      <c r="G756" t="s">
        <v>4989</v>
      </c>
      <c r="H756">
        <v>39661</v>
      </c>
      <c r="I756" t="s">
        <v>423</v>
      </c>
      <c r="J756" t="s">
        <v>2186</v>
      </c>
      <c r="K756" t="s">
        <v>2183</v>
      </c>
      <c r="L756" t="s">
        <v>2184</v>
      </c>
      <c r="M756">
        <v>19</v>
      </c>
      <c r="N756">
        <v>15.68</v>
      </c>
      <c r="O756">
        <v>977.96</v>
      </c>
      <c r="P756">
        <v>1101.075384</v>
      </c>
      <c r="Q756">
        <v>2079.0353839999998</v>
      </c>
      <c r="R756">
        <v>332.64566200000002</v>
      </c>
      <c r="S756">
        <v>83.161415000000005</v>
      </c>
      <c r="T756">
        <v>2328.5196310000001</v>
      </c>
      <c r="U756" t="s">
        <v>3038</v>
      </c>
      <c r="V756" t="s">
        <v>9408</v>
      </c>
      <c r="W756" t="s">
        <v>423</v>
      </c>
    </row>
    <row r="757" spans="1:23" hidden="1" x14ac:dyDescent="0.2">
      <c r="A757">
        <v>2012</v>
      </c>
      <c r="B757" t="s">
        <v>303</v>
      </c>
      <c r="C757" s="733">
        <v>40933</v>
      </c>
      <c r="D7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57" t="s">
        <v>485</v>
      </c>
      <c r="F757" t="s">
        <v>2065</v>
      </c>
      <c r="G757" t="s">
        <v>6317</v>
      </c>
      <c r="H757">
        <v>40834</v>
      </c>
      <c r="I757" t="s">
        <v>423</v>
      </c>
      <c r="J757" t="s">
        <v>2186</v>
      </c>
      <c r="K757" t="s">
        <v>2183</v>
      </c>
      <c r="L757" t="s">
        <v>2184</v>
      </c>
      <c r="M757">
        <v>19</v>
      </c>
      <c r="N757">
        <v>16.21</v>
      </c>
      <c r="O757">
        <v>1829.62</v>
      </c>
      <c r="P757">
        <v>0</v>
      </c>
      <c r="Q757">
        <v>1829.62</v>
      </c>
      <c r="R757">
        <v>292.74</v>
      </c>
      <c r="S757">
        <v>73.180000000000007</v>
      </c>
      <c r="T757">
        <v>2049.1799999999998</v>
      </c>
      <c r="U757" t="s">
        <v>2187</v>
      </c>
      <c r="V757" t="s">
        <v>9408</v>
      </c>
      <c r="W757" t="s">
        <v>423</v>
      </c>
    </row>
    <row r="758" spans="1:23" hidden="1" x14ac:dyDescent="0.2">
      <c r="A758">
        <v>2012</v>
      </c>
      <c r="B758" t="s">
        <v>304</v>
      </c>
      <c r="C758" s="733">
        <v>40940</v>
      </c>
      <c r="D7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58" t="s">
        <v>485</v>
      </c>
      <c r="F758" t="s">
        <v>2065</v>
      </c>
      <c r="G758" t="s">
        <v>6318</v>
      </c>
      <c r="H758">
        <v>40341</v>
      </c>
      <c r="I758" t="s">
        <v>423</v>
      </c>
      <c r="J758" t="s">
        <v>2186</v>
      </c>
      <c r="K758" t="s">
        <v>2183</v>
      </c>
      <c r="L758" t="s">
        <v>2184</v>
      </c>
      <c r="M758">
        <v>19</v>
      </c>
      <c r="N758">
        <v>16.16</v>
      </c>
      <c r="O758">
        <v>1823.98</v>
      </c>
      <c r="P758">
        <v>0</v>
      </c>
      <c r="Q758">
        <v>1823.98</v>
      </c>
      <c r="R758">
        <v>291.83999999999997</v>
      </c>
      <c r="S758">
        <v>72.959999999999994</v>
      </c>
      <c r="T758">
        <v>2042.86</v>
      </c>
      <c r="U758" t="s">
        <v>2187</v>
      </c>
      <c r="V758" t="s">
        <v>9408</v>
      </c>
      <c r="W758" t="s">
        <v>423</v>
      </c>
    </row>
    <row r="759" spans="1:23" hidden="1" x14ac:dyDescent="0.2">
      <c r="A759">
        <v>2012</v>
      </c>
      <c r="B759" t="s">
        <v>303</v>
      </c>
      <c r="C759" s="733">
        <v>40938</v>
      </c>
      <c r="D7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59" t="s">
        <v>485</v>
      </c>
      <c r="F759" t="s">
        <v>2065</v>
      </c>
      <c r="G759" t="s">
        <v>6319</v>
      </c>
      <c r="H759">
        <v>41083</v>
      </c>
      <c r="I759" t="s">
        <v>423</v>
      </c>
      <c r="J759" t="s">
        <v>2186</v>
      </c>
      <c r="K759" t="s">
        <v>2183</v>
      </c>
      <c r="L759" t="s">
        <v>2184</v>
      </c>
      <c r="M759">
        <v>19</v>
      </c>
      <c r="N759">
        <v>16.09</v>
      </c>
      <c r="O759">
        <v>1816.08</v>
      </c>
      <c r="P759">
        <v>0</v>
      </c>
      <c r="Q759">
        <v>1816.08</v>
      </c>
      <c r="R759">
        <v>290.57</v>
      </c>
      <c r="S759">
        <v>72.64</v>
      </c>
      <c r="T759">
        <v>2034.01</v>
      </c>
      <c r="U759" t="s">
        <v>2187</v>
      </c>
      <c r="V759" t="s">
        <v>9408</v>
      </c>
      <c r="W759" t="s">
        <v>423</v>
      </c>
    </row>
    <row r="760" spans="1:23" hidden="1" x14ac:dyDescent="0.2">
      <c r="A760">
        <v>2012</v>
      </c>
      <c r="B760" t="s">
        <v>304</v>
      </c>
      <c r="C760" s="733">
        <v>40963</v>
      </c>
      <c r="D7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60" t="s">
        <v>485</v>
      </c>
      <c r="F760" t="s">
        <v>2065</v>
      </c>
      <c r="G760" t="s">
        <v>8696</v>
      </c>
      <c r="H760">
        <v>42546</v>
      </c>
      <c r="I760" t="s">
        <v>423</v>
      </c>
      <c r="J760" t="s">
        <v>2182</v>
      </c>
      <c r="K760" t="s">
        <v>2183</v>
      </c>
      <c r="L760" t="s">
        <v>2184</v>
      </c>
      <c r="M760">
        <v>62</v>
      </c>
      <c r="N760">
        <v>14.93</v>
      </c>
      <c r="O760">
        <v>2211.73</v>
      </c>
      <c r="P760">
        <v>0</v>
      </c>
      <c r="Q760">
        <v>2211.73</v>
      </c>
      <c r="R760">
        <v>353.88</v>
      </c>
      <c r="S760">
        <v>88.47</v>
      </c>
      <c r="T760">
        <v>2477.14</v>
      </c>
      <c r="U760" t="s">
        <v>9411</v>
      </c>
      <c r="V760" t="s">
        <v>9408</v>
      </c>
      <c r="W760" t="s">
        <v>423</v>
      </c>
    </row>
    <row r="761" spans="1:23" hidden="1" x14ac:dyDescent="0.2">
      <c r="A761">
        <v>2012</v>
      </c>
      <c r="B761" t="s">
        <v>304</v>
      </c>
      <c r="C761" s="733">
        <v>40960</v>
      </c>
      <c r="D7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61" t="s">
        <v>485</v>
      </c>
      <c r="F761" t="s">
        <v>2065</v>
      </c>
      <c r="G761" t="s">
        <v>8229</v>
      </c>
      <c r="H761">
        <v>42255</v>
      </c>
      <c r="I761" t="s">
        <v>423</v>
      </c>
      <c r="J761" t="s">
        <v>2182</v>
      </c>
      <c r="K761" t="s">
        <v>2183</v>
      </c>
      <c r="L761" t="s">
        <v>2184</v>
      </c>
      <c r="M761">
        <v>62</v>
      </c>
      <c r="N761">
        <v>16.510000000000002</v>
      </c>
      <c r="O761">
        <v>2445.79</v>
      </c>
      <c r="P761">
        <v>0</v>
      </c>
      <c r="Q761">
        <v>2445.79</v>
      </c>
      <c r="R761">
        <v>391.33</v>
      </c>
      <c r="S761">
        <v>97.83</v>
      </c>
      <c r="T761">
        <v>2739.29</v>
      </c>
      <c r="V761" t="s">
        <v>9408</v>
      </c>
      <c r="W761" t="s">
        <v>423</v>
      </c>
    </row>
    <row r="762" spans="1:23" hidden="1" x14ac:dyDescent="0.2">
      <c r="A762">
        <v>2012</v>
      </c>
      <c r="B762" t="s">
        <v>304</v>
      </c>
      <c r="C762" s="733">
        <v>40952</v>
      </c>
      <c r="D7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62" t="s">
        <v>485</v>
      </c>
      <c r="F762" t="s">
        <v>2065</v>
      </c>
      <c r="G762" t="s">
        <v>4971</v>
      </c>
      <c r="H762">
        <v>41791</v>
      </c>
      <c r="I762" t="s">
        <v>423</v>
      </c>
      <c r="J762" t="s">
        <v>2182</v>
      </c>
      <c r="K762" t="s">
        <v>2183</v>
      </c>
      <c r="L762" t="s">
        <v>2184</v>
      </c>
      <c r="M762">
        <v>62</v>
      </c>
      <c r="N762">
        <v>15.89</v>
      </c>
      <c r="O762">
        <v>2353.94</v>
      </c>
      <c r="P762">
        <v>0</v>
      </c>
      <c r="Q762">
        <v>2353.94</v>
      </c>
      <c r="R762">
        <v>376.63</v>
      </c>
      <c r="S762">
        <v>94.16</v>
      </c>
      <c r="T762">
        <v>2636.41</v>
      </c>
      <c r="U762" t="s">
        <v>8048</v>
      </c>
      <c r="V762" t="s">
        <v>9408</v>
      </c>
      <c r="W762" t="s">
        <v>423</v>
      </c>
    </row>
    <row r="763" spans="1:23" hidden="1" x14ac:dyDescent="0.2">
      <c r="A763">
        <v>2012</v>
      </c>
      <c r="B763" t="s">
        <v>303</v>
      </c>
      <c r="C763" s="733">
        <v>40939</v>
      </c>
      <c r="D7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63" t="s">
        <v>485</v>
      </c>
      <c r="F763" t="s">
        <v>2065</v>
      </c>
      <c r="G763" t="s">
        <v>4972</v>
      </c>
      <c r="H763">
        <v>39957</v>
      </c>
      <c r="I763" t="s">
        <v>423</v>
      </c>
      <c r="J763" t="s">
        <v>2182</v>
      </c>
      <c r="K763" t="s">
        <v>2183</v>
      </c>
      <c r="L763" t="s">
        <v>2184</v>
      </c>
      <c r="M763">
        <v>62</v>
      </c>
      <c r="N763">
        <v>16.02</v>
      </c>
      <c r="O763">
        <v>2373.1999999999998</v>
      </c>
      <c r="P763">
        <v>0</v>
      </c>
      <c r="Q763">
        <v>2373.1999999999998</v>
      </c>
      <c r="R763">
        <v>379.71</v>
      </c>
      <c r="S763">
        <v>94.93</v>
      </c>
      <c r="T763">
        <v>2657.98</v>
      </c>
      <c r="U763" t="s">
        <v>2187</v>
      </c>
      <c r="V763" t="s">
        <v>9408</v>
      </c>
      <c r="W763" t="s">
        <v>423</v>
      </c>
    </row>
    <row r="764" spans="1:23" hidden="1" x14ac:dyDescent="0.2">
      <c r="A764">
        <v>2012</v>
      </c>
      <c r="B764" t="s">
        <v>304</v>
      </c>
      <c r="C764" s="733">
        <v>40947</v>
      </c>
      <c r="D7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64" t="s">
        <v>485</v>
      </c>
      <c r="F764" t="s">
        <v>2065</v>
      </c>
      <c r="G764" t="s">
        <v>2566</v>
      </c>
      <c r="H764">
        <v>41444</v>
      </c>
      <c r="I764" t="s">
        <v>424</v>
      </c>
      <c r="J764" t="s">
        <v>2114</v>
      </c>
      <c r="K764" t="s">
        <v>2102</v>
      </c>
      <c r="L764" t="s">
        <v>2115</v>
      </c>
      <c r="M764">
        <v>500</v>
      </c>
      <c r="N764">
        <v>54</v>
      </c>
      <c r="O764">
        <v>10009.44</v>
      </c>
      <c r="P764">
        <v>0</v>
      </c>
      <c r="Q764">
        <v>10009.44</v>
      </c>
      <c r="R764">
        <v>1601.51</v>
      </c>
      <c r="S764">
        <v>400.38</v>
      </c>
      <c r="T764">
        <v>11210.57</v>
      </c>
      <c r="U764" t="s">
        <v>8871</v>
      </c>
      <c r="V764" t="s">
        <v>9409</v>
      </c>
      <c r="W764" t="s">
        <v>424</v>
      </c>
    </row>
    <row r="765" spans="1:23" hidden="1" x14ac:dyDescent="0.2">
      <c r="A765">
        <v>2012</v>
      </c>
      <c r="B765" t="s">
        <v>304</v>
      </c>
      <c r="C765" s="733">
        <v>40952</v>
      </c>
      <c r="D7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65" t="s">
        <v>485</v>
      </c>
      <c r="F765" t="s">
        <v>2065</v>
      </c>
      <c r="G765" t="s">
        <v>6941</v>
      </c>
      <c r="H765">
        <v>41773</v>
      </c>
      <c r="I765" t="s">
        <v>424</v>
      </c>
      <c r="J765" t="s">
        <v>2114</v>
      </c>
      <c r="K765" t="s">
        <v>2102</v>
      </c>
      <c r="L765" t="s">
        <v>2115</v>
      </c>
      <c r="M765">
        <v>500</v>
      </c>
      <c r="N765">
        <v>54</v>
      </c>
      <c r="O765">
        <v>10009.44</v>
      </c>
      <c r="P765">
        <v>0</v>
      </c>
      <c r="Q765">
        <v>10009.44</v>
      </c>
      <c r="R765">
        <v>1601.51</v>
      </c>
      <c r="S765">
        <v>400.38</v>
      </c>
      <c r="T765">
        <v>11210.57</v>
      </c>
      <c r="U765" t="s">
        <v>7461</v>
      </c>
      <c r="V765" t="s">
        <v>9409</v>
      </c>
      <c r="W765" t="s">
        <v>424</v>
      </c>
    </row>
    <row r="766" spans="1:23" hidden="1" x14ac:dyDescent="0.2">
      <c r="A766">
        <v>2012</v>
      </c>
      <c r="B766" t="s">
        <v>303</v>
      </c>
      <c r="C766" s="733">
        <v>40921</v>
      </c>
      <c r="D7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66" t="s">
        <v>485</v>
      </c>
      <c r="F766" t="s">
        <v>2065</v>
      </c>
      <c r="G766" t="s">
        <v>2567</v>
      </c>
      <c r="H766">
        <v>40168</v>
      </c>
      <c r="I766" t="s">
        <v>423</v>
      </c>
      <c r="J766" t="s">
        <v>2114</v>
      </c>
      <c r="K766" t="s">
        <v>2102</v>
      </c>
      <c r="L766" t="s">
        <v>2115</v>
      </c>
      <c r="M766">
        <v>500</v>
      </c>
      <c r="N766">
        <v>50.41</v>
      </c>
      <c r="O766">
        <v>16950.36</v>
      </c>
      <c r="P766">
        <v>0</v>
      </c>
      <c r="Q766">
        <v>16950.36</v>
      </c>
      <c r="R766">
        <v>2712.06</v>
      </c>
      <c r="S766">
        <v>678.01</v>
      </c>
      <c r="T766">
        <v>18984.41</v>
      </c>
      <c r="U766" t="s">
        <v>2106</v>
      </c>
      <c r="V766" t="s">
        <v>9409</v>
      </c>
      <c r="W766" t="s">
        <v>423</v>
      </c>
    </row>
    <row r="767" spans="1:23" hidden="1" x14ac:dyDescent="0.2">
      <c r="A767">
        <v>2012</v>
      </c>
      <c r="B767" t="s">
        <v>303</v>
      </c>
      <c r="C767" s="733">
        <v>40928</v>
      </c>
      <c r="D7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67" t="s">
        <v>485</v>
      </c>
      <c r="F767" t="s">
        <v>2065</v>
      </c>
      <c r="G767" t="s">
        <v>2563</v>
      </c>
      <c r="H767">
        <v>39760</v>
      </c>
      <c r="I767" t="s">
        <v>424</v>
      </c>
      <c r="J767" t="s">
        <v>2114</v>
      </c>
      <c r="K767" t="s">
        <v>2102</v>
      </c>
      <c r="L767" t="s">
        <v>2115</v>
      </c>
      <c r="M767">
        <v>500</v>
      </c>
      <c r="N767">
        <v>54</v>
      </c>
      <c r="O767">
        <v>10009.44</v>
      </c>
      <c r="P767">
        <v>0</v>
      </c>
      <c r="Q767">
        <v>10009.44</v>
      </c>
      <c r="R767">
        <v>1601.51</v>
      </c>
      <c r="S767">
        <v>400.38</v>
      </c>
      <c r="T767">
        <v>11210.57</v>
      </c>
      <c r="U767" t="s">
        <v>8871</v>
      </c>
      <c r="V767" t="s">
        <v>9409</v>
      </c>
      <c r="W767" t="s">
        <v>424</v>
      </c>
    </row>
    <row r="768" spans="1:23" hidden="1" x14ac:dyDescent="0.2">
      <c r="A768">
        <v>2012</v>
      </c>
      <c r="B768" t="s">
        <v>303</v>
      </c>
      <c r="C768" s="733">
        <v>40938</v>
      </c>
      <c r="D7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68" t="s">
        <v>485</v>
      </c>
      <c r="F768" t="s">
        <v>2065</v>
      </c>
      <c r="G768" t="s">
        <v>2564</v>
      </c>
      <c r="H768">
        <v>41029</v>
      </c>
      <c r="I768" t="s">
        <v>424</v>
      </c>
      <c r="J768" t="s">
        <v>2114</v>
      </c>
      <c r="K768" t="s">
        <v>2102</v>
      </c>
      <c r="L768" t="s">
        <v>2115</v>
      </c>
      <c r="M768">
        <v>500</v>
      </c>
      <c r="N768">
        <v>54</v>
      </c>
      <c r="O768">
        <v>10009.44</v>
      </c>
      <c r="P768">
        <v>0</v>
      </c>
      <c r="Q768">
        <v>10009.44</v>
      </c>
      <c r="R768">
        <v>1601.51</v>
      </c>
      <c r="S768">
        <v>400.38</v>
      </c>
      <c r="T768">
        <v>11210.57</v>
      </c>
      <c r="U768" t="s">
        <v>2116</v>
      </c>
      <c r="V768" t="s">
        <v>9409</v>
      </c>
      <c r="W768" t="s">
        <v>424</v>
      </c>
    </row>
    <row r="769" spans="1:23" hidden="1" x14ac:dyDescent="0.2">
      <c r="A769">
        <v>2012</v>
      </c>
      <c r="B769" t="s">
        <v>303</v>
      </c>
      <c r="C769" s="733">
        <v>40931</v>
      </c>
      <c r="D7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69" t="s">
        <v>485</v>
      </c>
      <c r="F769" t="s">
        <v>2065</v>
      </c>
      <c r="G769" t="s">
        <v>2576</v>
      </c>
      <c r="H769">
        <v>40696</v>
      </c>
      <c r="I769" t="s">
        <v>424</v>
      </c>
      <c r="J769" t="s">
        <v>2114</v>
      </c>
      <c r="K769" t="s">
        <v>2102</v>
      </c>
      <c r="L769" t="s">
        <v>2115</v>
      </c>
      <c r="M769">
        <v>500</v>
      </c>
      <c r="N769">
        <v>54</v>
      </c>
      <c r="O769">
        <v>10009.44</v>
      </c>
      <c r="P769">
        <v>0</v>
      </c>
      <c r="Q769">
        <v>10009.44</v>
      </c>
      <c r="R769">
        <v>1601.51</v>
      </c>
      <c r="S769">
        <v>400.38</v>
      </c>
      <c r="T769">
        <v>11210.57</v>
      </c>
      <c r="U769" t="s">
        <v>2116</v>
      </c>
      <c r="V769" t="s">
        <v>9409</v>
      </c>
      <c r="W769" t="s">
        <v>424</v>
      </c>
    </row>
    <row r="770" spans="1:23" hidden="1" x14ac:dyDescent="0.2">
      <c r="A770">
        <v>2012</v>
      </c>
      <c r="B770" t="s">
        <v>304</v>
      </c>
      <c r="C770" s="733">
        <v>40962</v>
      </c>
      <c r="D7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70" t="s">
        <v>485</v>
      </c>
      <c r="F770" t="s">
        <v>2065</v>
      </c>
      <c r="G770" t="s">
        <v>8532</v>
      </c>
      <c r="H770">
        <v>42354</v>
      </c>
      <c r="I770" t="s">
        <v>424</v>
      </c>
      <c r="J770" t="s">
        <v>2114</v>
      </c>
      <c r="K770" t="s">
        <v>2102</v>
      </c>
      <c r="L770" t="s">
        <v>2115</v>
      </c>
      <c r="M770">
        <v>500</v>
      </c>
      <c r="N770">
        <v>54</v>
      </c>
      <c r="O770">
        <v>10009.44</v>
      </c>
      <c r="P770">
        <v>0</v>
      </c>
      <c r="Q770">
        <v>10009.44</v>
      </c>
      <c r="R770">
        <v>1601.51</v>
      </c>
      <c r="S770">
        <v>400.38</v>
      </c>
      <c r="T770">
        <v>11210.57</v>
      </c>
      <c r="V770" t="s">
        <v>9409</v>
      </c>
      <c r="W770" t="s">
        <v>424</v>
      </c>
    </row>
    <row r="771" spans="1:23" hidden="1" x14ac:dyDescent="0.2">
      <c r="A771">
        <v>2012</v>
      </c>
      <c r="B771" t="s">
        <v>303</v>
      </c>
      <c r="C771" s="733">
        <v>40927</v>
      </c>
      <c r="D7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71" t="s">
        <v>485</v>
      </c>
      <c r="F771" t="s">
        <v>2065</v>
      </c>
      <c r="G771" t="s">
        <v>4970</v>
      </c>
      <c r="H771">
        <v>40566</v>
      </c>
      <c r="I771" t="s">
        <v>423</v>
      </c>
      <c r="J771" t="s">
        <v>2182</v>
      </c>
      <c r="K771" t="s">
        <v>2183</v>
      </c>
      <c r="L771" t="s">
        <v>2184</v>
      </c>
      <c r="M771">
        <v>62</v>
      </c>
      <c r="N771">
        <v>15.76</v>
      </c>
      <c r="O771">
        <v>2334.69</v>
      </c>
      <c r="P771">
        <v>0</v>
      </c>
      <c r="Q771">
        <v>2334.69</v>
      </c>
      <c r="R771">
        <v>373.55</v>
      </c>
      <c r="S771">
        <v>93.39</v>
      </c>
      <c r="T771">
        <v>2614.85</v>
      </c>
      <c r="U771" t="s">
        <v>7554</v>
      </c>
      <c r="V771" t="s">
        <v>9408</v>
      </c>
      <c r="W771" t="s">
        <v>423</v>
      </c>
    </row>
    <row r="772" spans="1:23" hidden="1" x14ac:dyDescent="0.2">
      <c r="A772">
        <v>2012</v>
      </c>
      <c r="B772" t="s">
        <v>304</v>
      </c>
      <c r="C772" s="733">
        <v>40959.643043981479</v>
      </c>
      <c r="D7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72" t="s">
        <v>485</v>
      </c>
      <c r="F772" t="s">
        <v>2065</v>
      </c>
      <c r="G772" t="s">
        <v>8235</v>
      </c>
      <c r="H772">
        <v>42276</v>
      </c>
      <c r="I772" t="s">
        <v>423</v>
      </c>
      <c r="J772" t="s">
        <v>3204</v>
      </c>
      <c r="K772" t="s">
        <v>2183</v>
      </c>
      <c r="L772" t="s">
        <v>2184</v>
      </c>
      <c r="M772">
        <v>80</v>
      </c>
      <c r="N772">
        <v>23.72</v>
      </c>
      <c r="O772">
        <v>2677.28</v>
      </c>
      <c r="P772">
        <v>0</v>
      </c>
      <c r="Q772">
        <v>2677.28</v>
      </c>
      <c r="R772">
        <v>428.36</v>
      </c>
      <c r="S772">
        <v>107.09</v>
      </c>
      <c r="T772">
        <v>2998.55</v>
      </c>
      <c r="U772" t="s">
        <v>9411</v>
      </c>
      <c r="V772" t="s">
        <v>9408</v>
      </c>
      <c r="W772" t="s">
        <v>423</v>
      </c>
    </row>
    <row r="773" spans="1:23" hidden="1" x14ac:dyDescent="0.2">
      <c r="A773">
        <v>2012</v>
      </c>
      <c r="B773" t="s">
        <v>304</v>
      </c>
      <c r="C773" s="733">
        <v>40955.447372685187</v>
      </c>
      <c r="D7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73" t="s">
        <v>485</v>
      </c>
      <c r="F773" t="s">
        <v>2065</v>
      </c>
      <c r="G773" t="s">
        <v>8038</v>
      </c>
      <c r="H773">
        <v>42068</v>
      </c>
      <c r="I773" t="s">
        <v>423</v>
      </c>
      <c r="J773" t="s">
        <v>3204</v>
      </c>
      <c r="K773" t="s">
        <v>2183</v>
      </c>
      <c r="L773" t="s">
        <v>2184</v>
      </c>
      <c r="M773">
        <v>80</v>
      </c>
      <c r="N773">
        <v>15.14</v>
      </c>
      <c r="O773">
        <v>1708.85</v>
      </c>
      <c r="P773">
        <v>0</v>
      </c>
      <c r="Q773">
        <v>1708.85</v>
      </c>
      <c r="R773">
        <v>273.42</v>
      </c>
      <c r="S773">
        <v>68.349999999999994</v>
      </c>
      <c r="T773">
        <v>1913.92</v>
      </c>
      <c r="U773" t="s">
        <v>8048</v>
      </c>
      <c r="V773" t="s">
        <v>9408</v>
      </c>
      <c r="W773" t="s">
        <v>423</v>
      </c>
    </row>
    <row r="774" spans="1:23" x14ac:dyDescent="0.2">
      <c r="A774">
        <v>2012</v>
      </c>
      <c r="B774" t="s">
        <v>304</v>
      </c>
      <c r="C774" s="733">
        <v>40967</v>
      </c>
      <c r="D7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74" t="s">
        <v>485</v>
      </c>
      <c r="F774" t="s">
        <v>2084</v>
      </c>
      <c r="G774" t="s">
        <v>8921</v>
      </c>
      <c r="H774">
        <v>42181</v>
      </c>
      <c r="I774" t="s">
        <v>423</v>
      </c>
      <c r="J774" t="s">
        <v>2836</v>
      </c>
      <c r="K774" t="s">
        <v>2814</v>
      </c>
      <c r="L774" t="s">
        <v>2815</v>
      </c>
      <c r="M774">
        <v>70</v>
      </c>
      <c r="N774">
        <v>23.774999999999999</v>
      </c>
      <c r="O774">
        <v>2683.48</v>
      </c>
      <c r="P774">
        <v>0</v>
      </c>
      <c r="Q774">
        <v>2683.48</v>
      </c>
      <c r="R774">
        <v>295.18</v>
      </c>
      <c r="S774">
        <v>107.34</v>
      </c>
      <c r="T774">
        <v>2871.32</v>
      </c>
      <c r="U774" t="s">
        <v>8877</v>
      </c>
      <c r="V774" t="s">
        <v>9408</v>
      </c>
      <c r="W774" t="s">
        <v>423</v>
      </c>
    </row>
    <row r="775" spans="1:23" hidden="1" x14ac:dyDescent="0.2">
      <c r="A775">
        <v>2012</v>
      </c>
      <c r="B775" t="s">
        <v>303</v>
      </c>
      <c r="C775" s="733">
        <v>40939</v>
      </c>
      <c r="D7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75" t="s">
        <v>485</v>
      </c>
      <c r="F775" t="s">
        <v>2084</v>
      </c>
      <c r="G775" t="s">
        <v>6113</v>
      </c>
      <c r="H775">
        <v>39892</v>
      </c>
      <c r="I775" t="s">
        <v>423</v>
      </c>
      <c r="J775" t="s">
        <v>2836</v>
      </c>
      <c r="K775" t="s">
        <v>2814</v>
      </c>
      <c r="L775" t="s">
        <v>2815</v>
      </c>
      <c r="M775">
        <v>70</v>
      </c>
      <c r="N775">
        <v>23.812999999999999</v>
      </c>
      <c r="O775">
        <v>2687.77</v>
      </c>
      <c r="P775">
        <v>0</v>
      </c>
      <c r="Q775">
        <v>2687.77</v>
      </c>
      <c r="R775">
        <v>430.04</v>
      </c>
      <c r="S775">
        <v>107.51</v>
      </c>
      <c r="T775">
        <v>3010.3</v>
      </c>
      <c r="U775" t="s">
        <v>2826</v>
      </c>
      <c r="V775" t="s">
        <v>9408</v>
      </c>
      <c r="W775" t="s">
        <v>423</v>
      </c>
    </row>
    <row r="776" spans="1:23" hidden="1" x14ac:dyDescent="0.2">
      <c r="A776">
        <v>2012</v>
      </c>
      <c r="B776" t="s">
        <v>303</v>
      </c>
      <c r="C776" s="733">
        <v>40912</v>
      </c>
      <c r="D7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76" t="s">
        <v>485</v>
      </c>
      <c r="F776" t="s">
        <v>2084</v>
      </c>
      <c r="G776" t="s">
        <v>6291</v>
      </c>
      <c r="H776">
        <v>39610</v>
      </c>
      <c r="I776" t="s">
        <v>423</v>
      </c>
      <c r="J776" t="s">
        <v>2836</v>
      </c>
      <c r="K776" t="s">
        <v>2814</v>
      </c>
      <c r="L776" t="s">
        <v>2815</v>
      </c>
      <c r="M776">
        <v>70</v>
      </c>
      <c r="N776">
        <v>23.71</v>
      </c>
      <c r="O776">
        <v>1126.7</v>
      </c>
      <c r="P776">
        <v>1268.5402630000001</v>
      </c>
      <c r="Q776">
        <v>2395.2402630000001</v>
      </c>
      <c r="R776">
        <v>383.23844200000002</v>
      </c>
      <c r="S776">
        <v>95.809611000000004</v>
      </c>
      <c r="T776">
        <v>2682.6690939999999</v>
      </c>
      <c r="U776" t="s">
        <v>2846</v>
      </c>
      <c r="V776" t="s">
        <v>9408</v>
      </c>
      <c r="W776" t="s">
        <v>423</v>
      </c>
    </row>
    <row r="777" spans="1:23" hidden="1" x14ac:dyDescent="0.2">
      <c r="A777">
        <v>2012</v>
      </c>
      <c r="B777" t="s">
        <v>304</v>
      </c>
      <c r="C777" s="733">
        <v>40953</v>
      </c>
      <c r="D7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77" t="s">
        <v>485</v>
      </c>
      <c r="F777" t="s">
        <v>2065</v>
      </c>
      <c r="G777" t="s">
        <v>6316</v>
      </c>
      <c r="H777">
        <v>41898</v>
      </c>
      <c r="I777" t="s">
        <v>423</v>
      </c>
      <c r="J777" t="s">
        <v>3204</v>
      </c>
      <c r="K777" t="s">
        <v>2183</v>
      </c>
      <c r="L777" t="s">
        <v>2184</v>
      </c>
      <c r="M777">
        <v>80</v>
      </c>
      <c r="N777">
        <v>31.58</v>
      </c>
      <c r="O777">
        <v>3564.43</v>
      </c>
      <c r="P777">
        <v>0</v>
      </c>
      <c r="Q777">
        <v>3564.43</v>
      </c>
      <c r="R777">
        <v>570.30999999999995</v>
      </c>
      <c r="S777">
        <v>142.58000000000001</v>
      </c>
      <c r="T777">
        <v>3992.16</v>
      </c>
      <c r="U777" t="s">
        <v>8048</v>
      </c>
      <c r="V777" t="s">
        <v>9408</v>
      </c>
      <c r="W777" t="s">
        <v>423</v>
      </c>
    </row>
    <row r="778" spans="1:23" hidden="1" x14ac:dyDescent="0.2">
      <c r="A778">
        <v>2012</v>
      </c>
      <c r="B778" t="s">
        <v>304</v>
      </c>
      <c r="C778" s="733">
        <v>40952</v>
      </c>
      <c r="D7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78" t="s">
        <v>485</v>
      </c>
      <c r="F778" t="s">
        <v>2065</v>
      </c>
      <c r="G778" t="s">
        <v>6320</v>
      </c>
      <c r="H778">
        <v>41660</v>
      </c>
      <c r="I778" t="s">
        <v>423</v>
      </c>
      <c r="J778" t="s">
        <v>3204</v>
      </c>
      <c r="K778" t="s">
        <v>2183</v>
      </c>
      <c r="L778" t="s">
        <v>2184</v>
      </c>
      <c r="M778">
        <v>80</v>
      </c>
      <c r="N778">
        <v>49.79</v>
      </c>
      <c r="O778">
        <v>5619.8</v>
      </c>
      <c r="P778">
        <v>0</v>
      </c>
      <c r="Q778">
        <v>5619.8</v>
      </c>
      <c r="R778">
        <v>899.17</v>
      </c>
      <c r="S778">
        <v>224.79</v>
      </c>
      <c r="T778">
        <v>6294.18</v>
      </c>
      <c r="U778" t="s">
        <v>8048</v>
      </c>
      <c r="V778" t="s">
        <v>9409</v>
      </c>
      <c r="W778" t="s">
        <v>423</v>
      </c>
    </row>
    <row r="779" spans="1:23" x14ac:dyDescent="0.2">
      <c r="A779">
        <v>2012</v>
      </c>
      <c r="B779" t="s">
        <v>304</v>
      </c>
      <c r="C779" s="733">
        <v>40967</v>
      </c>
      <c r="D7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79" t="s">
        <v>485</v>
      </c>
      <c r="F779" t="s">
        <v>2065</v>
      </c>
      <c r="G779" t="s">
        <v>9383</v>
      </c>
      <c r="H779">
        <v>42751</v>
      </c>
      <c r="I779" t="s">
        <v>423</v>
      </c>
      <c r="J779" t="s">
        <v>3204</v>
      </c>
      <c r="K779" t="s">
        <v>2183</v>
      </c>
      <c r="L779" t="s">
        <v>2184</v>
      </c>
      <c r="M779">
        <v>80</v>
      </c>
      <c r="N779">
        <v>24.11</v>
      </c>
      <c r="O779">
        <v>2721.3</v>
      </c>
      <c r="P779">
        <v>0</v>
      </c>
      <c r="Q779">
        <v>2721.3</v>
      </c>
      <c r="R779">
        <v>435.41</v>
      </c>
      <c r="S779">
        <v>108.85</v>
      </c>
      <c r="T779">
        <v>3047.86</v>
      </c>
      <c r="V779" t="s">
        <v>9408</v>
      </c>
      <c r="W779" t="s">
        <v>423</v>
      </c>
    </row>
    <row r="780" spans="1:23" hidden="1" x14ac:dyDescent="0.2">
      <c r="A780">
        <v>2012</v>
      </c>
      <c r="B780" t="s">
        <v>304</v>
      </c>
      <c r="C780" s="733">
        <v>40952</v>
      </c>
      <c r="D7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80" t="s">
        <v>485</v>
      </c>
      <c r="F780" t="s">
        <v>2065</v>
      </c>
      <c r="G780" t="s">
        <v>4977</v>
      </c>
      <c r="H780">
        <v>41783</v>
      </c>
      <c r="I780" t="s">
        <v>423</v>
      </c>
      <c r="J780" t="s">
        <v>2182</v>
      </c>
      <c r="K780" t="s">
        <v>2183</v>
      </c>
      <c r="L780" t="s">
        <v>2184</v>
      </c>
      <c r="M780">
        <v>62</v>
      </c>
      <c r="N780">
        <v>16.13</v>
      </c>
      <c r="O780">
        <v>2389.5</v>
      </c>
      <c r="P780">
        <v>0</v>
      </c>
      <c r="Q780">
        <v>2389.5</v>
      </c>
      <c r="R780">
        <v>382.32</v>
      </c>
      <c r="S780">
        <v>95.58</v>
      </c>
      <c r="T780">
        <v>2676.24</v>
      </c>
      <c r="U780" t="s">
        <v>8048</v>
      </c>
      <c r="V780" t="s">
        <v>9408</v>
      </c>
      <c r="W780" t="s">
        <v>423</v>
      </c>
    </row>
    <row r="781" spans="1:23" hidden="1" x14ac:dyDescent="0.2">
      <c r="A781">
        <v>2012</v>
      </c>
      <c r="B781" t="s">
        <v>304</v>
      </c>
      <c r="C781" s="733">
        <v>40941</v>
      </c>
      <c r="D7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81" t="s">
        <v>485</v>
      </c>
      <c r="F781" t="s">
        <v>2065</v>
      </c>
      <c r="G781" t="s">
        <v>5564</v>
      </c>
      <c r="H781">
        <v>41246</v>
      </c>
      <c r="I781" t="s">
        <v>423</v>
      </c>
      <c r="J781" t="s">
        <v>2182</v>
      </c>
      <c r="K781" t="s">
        <v>2183</v>
      </c>
      <c r="L781" t="s">
        <v>2184</v>
      </c>
      <c r="M781">
        <v>62</v>
      </c>
      <c r="N781">
        <v>48.79</v>
      </c>
      <c r="O781">
        <v>7227.75</v>
      </c>
      <c r="P781">
        <v>0</v>
      </c>
      <c r="Q781">
        <v>7227.75</v>
      </c>
      <c r="R781">
        <v>1156.44</v>
      </c>
      <c r="S781">
        <v>289.11</v>
      </c>
      <c r="T781">
        <v>8095.08</v>
      </c>
      <c r="U781" t="s">
        <v>2192</v>
      </c>
      <c r="V781" t="s">
        <v>9409</v>
      </c>
      <c r="W781" t="s">
        <v>423</v>
      </c>
    </row>
    <row r="782" spans="1:23" hidden="1" x14ac:dyDescent="0.2">
      <c r="A782">
        <v>2012</v>
      </c>
      <c r="B782" t="s">
        <v>304</v>
      </c>
      <c r="C782" s="733">
        <v>40962</v>
      </c>
      <c r="D7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82" t="s">
        <v>485</v>
      </c>
      <c r="F782" t="s">
        <v>2065</v>
      </c>
      <c r="G782" t="s">
        <v>8531</v>
      </c>
      <c r="H782">
        <v>42385</v>
      </c>
      <c r="I782" t="s">
        <v>424</v>
      </c>
      <c r="J782" t="s">
        <v>2114</v>
      </c>
      <c r="K782" t="s">
        <v>2102</v>
      </c>
      <c r="L782" t="s">
        <v>2115</v>
      </c>
      <c r="M782">
        <v>500</v>
      </c>
      <c r="N782">
        <v>54</v>
      </c>
      <c r="O782">
        <v>10009.44</v>
      </c>
      <c r="P782">
        <v>0</v>
      </c>
      <c r="Q782">
        <v>10009.44</v>
      </c>
      <c r="R782">
        <v>1601.51</v>
      </c>
      <c r="S782">
        <v>400.38</v>
      </c>
      <c r="T782">
        <v>11210.57</v>
      </c>
      <c r="V782" t="s">
        <v>9409</v>
      </c>
      <c r="W782" t="s">
        <v>424</v>
      </c>
    </row>
    <row r="783" spans="1:23" hidden="1" x14ac:dyDescent="0.2">
      <c r="A783">
        <v>2012</v>
      </c>
      <c r="B783" t="s">
        <v>304</v>
      </c>
      <c r="C783" s="733">
        <v>40954</v>
      </c>
      <c r="D7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83" t="s">
        <v>505</v>
      </c>
      <c r="F783" t="s">
        <v>1915</v>
      </c>
      <c r="G783" t="s">
        <v>7499</v>
      </c>
      <c r="H783">
        <v>22733</v>
      </c>
      <c r="I783" t="s">
        <v>424</v>
      </c>
      <c r="J783" t="s">
        <v>1917</v>
      </c>
      <c r="K783" t="s">
        <v>1918</v>
      </c>
      <c r="L783" t="s">
        <v>1919</v>
      </c>
      <c r="M783">
        <v>267</v>
      </c>
      <c r="N783">
        <v>30</v>
      </c>
      <c r="O783">
        <v>2929.97</v>
      </c>
      <c r="P783">
        <v>1683.8244589999999</v>
      </c>
      <c r="Q783">
        <v>4613.7944589999997</v>
      </c>
      <c r="R783">
        <v>738.20711300000005</v>
      </c>
      <c r="S783">
        <v>184.55177800000001</v>
      </c>
      <c r="T783">
        <v>5167.4497940000001</v>
      </c>
      <c r="U783" t="s">
        <v>7522</v>
      </c>
      <c r="V783" t="s">
        <v>9408</v>
      </c>
      <c r="W783" t="s">
        <v>424</v>
      </c>
    </row>
    <row r="784" spans="1:23" hidden="1" x14ac:dyDescent="0.2">
      <c r="A784">
        <v>2012</v>
      </c>
      <c r="B784" t="s">
        <v>304</v>
      </c>
      <c r="C784" s="733">
        <v>40952</v>
      </c>
      <c r="D7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84" t="s">
        <v>505</v>
      </c>
      <c r="F784" t="s">
        <v>2065</v>
      </c>
      <c r="G784" t="s">
        <v>3400</v>
      </c>
      <c r="H784">
        <v>22678</v>
      </c>
      <c r="I784" t="s">
        <v>424</v>
      </c>
      <c r="J784" t="s">
        <v>1917</v>
      </c>
      <c r="K784" t="s">
        <v>1918</v>
      </c>
      <c r="L784" t="s">
        <v>1919</v>
      </c>
      <c r="M784">
        <v>267</v>
      </c>
      <c r="N784">
        <v>30</v>
      </c>
      <c r="O784">
        <v>2929.97</v>
      </c>
      <c r="P784">
        <v>1683.8244589999999</v>
      </c>
      <c r="Q784">
        <v>4613.7944589999997</v>
      </c>
      <c r="R784">
        <v>738.20711300000005</v>
      </c>
      <c r="S784">
        <v>184.55177800000001</v>
      </c>
      <c r="T784">
        <v>5167.4497940000001</v>
      </c>
      <c r="U784" t="s">
        <v>7522</v>
      </c>
      <c r="V784" t="s">
        <v>9408</v>
      </c>
      <c r="W784" t="s">
        <v>424</v>
      </c>
    </row>
    <row r="785" spans="1:23" hidden="1" x14ac:dyDescent="0.2">
      <c r="A785">
        <v>2012</v>
      </c>
      <c r="B785" t="s">
        <v>305</v>
      </c>
      <c r="C785" s="733">
        <v>40970.420520833337</v>
      </c>
      <c r="D785" s="733" t="str">
        <f>CHOOSE(MONTH(Tabla_sqldatos_bonampakdb_Bon_v_ingresos2012[[#This Row],[fecha_guia]]),"Enero","Febrero","Marzo","Abril","Mayo","Junio","Julio","Agosto","Septiembre","Octubre","Noviembre","Diciembre")</f>
        <v>Marzo</v>
      </c>
      <c r="E785" t="s">
        <v>485</v>
      </c>
      <c r="F785" t="s">
        <v>2065</v>
      </c>
      <c r="G785" t="s">
        <v>9548</v>
      </c>
      <c r="H785">
        <v>43008</v>
      </c>
      <c r="I785" t="s">
        <v>423</v>
      </c>
      <c r="J785" t="s">
        <v>2182</v>
      </c>
      <c r="K785" t="s">
        <v>2183</v>
      </c>
      <c r="L785" t="s">
        <v>2184</v>
      </c>
      <c r="M785">
        <v>62</v>
      </c>
      <c r="N785">
        <v>15.1</v>
      </c>
      <c r="O785">
        <v>2236.91</v>
      </c>
      <c r="P785">
        <v>0</v>
      </c>
      <c r="Q785">
        <v>2236.91</v>
      </c>
      <c r="R785">
        <v>357.91</v>
      </c>
      <c r="S785">
        <v>89.48</v>
      </c>
      <c r="T785">
        <v>2505.34</v>
      </c>
      <c r="V785" t="s">
        <v>9408</v>
      </c>
      <c r="W785" t="s">
        <v>423</v>
      </c>
    </row>
    <row r="786" spans="1:23" hidden="1" x14ac:dyDescent="0.2">
      <c r="A786">
        <v>2012</v>
      </c>
      <c r="B786" t="s">
        <v>303</v>
      </c>
      <c r="C786" s="733">
        <v>40935</v>
      </c>
      <c r="D7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86" t="s">
        <v>485</v>
      </c>
      <c r="F786" t="s">
        <v>2065</v>
      </c>
      <c r="G786" t="s">
        <v>3153</v>
      </c>
      <c r="H786">
        <v>39876</v>
      </c>
      <c r="I786" t="s">
        <v>423</v>
      </c>
      <c r="J786" t="s">
        <v>2182</v>
      </c>
      <c r="K786" t="s">
        <v>2183</v>
      </c>
      <c r="L786" t="s">
        <v>2184</v>
      </c>
      <c r="M786">
        <v>62</v>
      </c>
      <c r="N786">
        <v>16.010000000000002</v>
      </c>
      <c r="O786">
        <v>2371.7199999999998</v>
      </c>
      <c r="P786">
        <v>0</v>
      </c>
      <c r="Q786">
        <v>2371.7199999999998</v>
      </c>
      <c r="R786">
        <v>379.48</v>
      </c>
      <c r="S786">
        <v>94.87</v>
      </c>
      <c r="T786">
        <v>2656.33</v>
      </c>
      <c r="U786" t="s">
        <v>2187</v>
      </c>
      <c r="V786" t="s">
        <v>9408</v>
      </c>
      <c r="W786" t="s">
        <v>423</v>
      </c>
    </row>
    <row r="787" spans="1:23" hidden="1" x14ac:dyDescent="0.2">
      <c r="A787">
        <v>2012</v>
      </c>
      <c r="B787" t="s">
        <v>304</v>
      </c>
      <c r="C787" s="733">
        <v>40940</v>
      </c>
      <c r="D7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87" t="s">
        <v>485</v>
      </c>
      <c r="F787" t="s">
        <v>2065</v>
      </c>
      <c r="G787" t="s">
        <v>3167</v>
      </c>
      <c r="H787">
        <v>40005</v>
      </c>
      <c r="I787" t="s">
        <v>423</v>
      </c>
      <c r="J787" t="s">
        <v>2182</v>
      </c>
      <c r="K787" t="s">
        <v>2183</v>
      </c>
      <c r="L787" t="s">
        <v>2184</v>
      </c>
      <c r="M787">
        <v>62</v>
      </c>
      <c r="N787">
        <v>15.52</v>
      </c>
      <c r="O787">
        <v>2299.13</v>
      </c>
      <c r="P787">
        <v>0</v>
      </c>
      <c r="Q787">
        <v>2299.13</v>
      </c>
      <c r="R787">
        <v>367.86</v>
      </c>
      <c r="S787">
        <v>91.97</v>
      </c>
      <c r="T787">
        <v>2575.02</v>
      </c>
      <c r="U787" t="s">
        <v>2187</v>
      </c>
      <c r="V787" t="s">
        <v>9408</v>
      </c>
      <c r="W787" t="s">
        <v>423</v>
      </c>
    </row>
    <row r="788" spans="1:23" hidden="1" x14ac:dyDescent="0.2">
      <c r="A788">
        <v>2012</v>
      </c>
      <c r="B788" t="s">
        <v>303</v>
      </c>
      <c r="C788" s="733">
        <v>40924</v>
      </c>
      <c r="D7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88" t="s">
        <v>485</v>
      </c>
      <c r="F788" t="s">
        <v>2065</v>
      </c>
      <c r="G788" t="s">
        <v>3152</v>
      </c>
      <c r="H788">
        <v>40351</v>
      </c>
      <c r="I788" t="s">
        <v>423</v>
      </c>
      <c r="J788" t="s">
        <v>2182</v>
      </c>
      <c r="K788" t="s">
        <v>2183</v>
      </c>
      <c r="L788" t="s">
        <v>2184</v>
      </c>
      <c r="M788">
        <v>62</v>
      </c>
      <c r="N788">
        <v>16.350000000000001</v>
      </c>
      <c r="O788">
        <v>2422.09</v>
      </c>
      <c r="P788">
        <v>0</v>
      </c>
      <c r="Q788">
        <v>2422.09</v>
      </c>
      <c r="R788">
        <v>387.53</v>
      </c>
      <c r="S788">
        <v>96.88</v>
      </c>
      <c r="T788">
        <v>2712.74</v>
      </c>
      <c r="U788" t="s">
        <v>7587</v>
      </c>
      <c r="V788" t="s">
        <v>9408</v>
      </c>
      <c r="W788" t="s">
        <v>423</v>
      </c>
    </row>
    <row r="789" spans="1:23" hidden="1" x14ac:dyDescent="0.2">
      <c r="A789">
        <v>2012</v>
      </c>
      <c r="B789" t="s">
        <v>303</v>
      </c>
      <c r="C789" s="733">
        <v>40934</v>
      </c>
      <c r="D7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89" t="s">
        <v>485</v>
      </c>
      <c r="F789" t="s">
        <v>2065</v>
      </c>
      <c r="G789" t="s">
        <v>5692</v>
      </c>
      <c r="H789">
        <v>40812</v>
      </c>
      <c r="I789" t="s">
        <v>423</v>
      </c>
      <c r="J789" t="s">
        <v>2135</v>
      </c>
      <c r="K789" t="s">
        <v>2102</v>
      </c>
      <c r="L789" t="s">
        <v>2115</v>
      </c>
      <c r="M789">
        <v>494</v>
      </c>
      <c r="N789">
        <v>24.78</v>
      </c>
      <c r="O789">
        <v>8332.2800000000007</v>
      </c>
      <c r="P789">
        <v>0</v>
      </c>
      <c r="Q789">
        <v>8332.2800000000007</v>
      </c>
      <c r="R789">
        <v>1333.16</v>
      </c>
      <c r="S789">
        <v>333.29</v>
      </c>
      <c r="T789">
        <v>9332.15</v>
      </c>
      <c r="U789" t="s">
        <v>2110</v>
      </c>
      <c r="V789" t="s">
        <v>9408</v>
      </c>
      <c r="W789" t="s">
        <v>423</v>
      </c>
    </row>
    <row r="790" spans="1:23" hidden="1" x14ac:dyDescent="0.2">
      <c r="A790">
        <v>2012</v>
      </c>
      <c r="B790" t="s">
        <v>303</v>
      </c>
      <c r="C790" s="733">
        <v>40928</v>
      </c>
      <c r="D7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90" t="s">
        <v>485</v>
      </c>
      <c r="F790" t="s">
        <v>2065</v>
      </c>
      <c r="G790" t="s">
        <v>2701</v>
      </c>
      <c r="H790">
        <v>39780</v>
      </c>
      <c r="I790" t="s">
        <v>424</v>
      </c>
      <c r="J790" t="s">
        <v>2114</v>
      </c>
      <c r="K790" t="s">
        <v>2102</v>
      </c>
      <c r="L790" t="s">
        <v>2115</v>
      </c>
      <c r="M790">
        <v>500</v>
      </c>
      <c r="N790">
        <v>54</v>
      </c>
      <c r="O790">
        <v>10009.44</v>
      </c>
      <c r="P790">
        <v>0</v>
      </c>
      <c r="Q790">
        <v>10009.44</v>
      </c>
      <c r="R790">
        <v>1601.51</v>
      </c>
      <c r="S790">
        <v>400.38</v>
      </c>
      <c r="T790">
        <v>11210.57</v>
      </c>
      <c r="V790" t="s">
        <v>9409</v>
      </c>
      <c r="W790" t="s">
        <v>424</v>
      </c>
    </row>
    <row r="791" spans="1:23" hidden="1" x14ac:dyDescent="0.2">
      <c r="A791">
        <v>2012</v>
      </c>
      <c r="B791" t="s">
        <v>304</v>
      </c>
      <c r="C791" s="733">
        <v>40956</v>
      </c>
      <c r="D7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91" t="s">
        <v>485</v>
      </c>
      <c r="F791" t="s">
        <v>2065</v>
      </c>
      <c r="G791" t="s">
        <v>7524</v>
      </c>
      <c r="H791">
        <v>42033</v>
      </c>
      <c r="I791" t="s">
        <v>424</v>
      </c>
      <c r="J791" t="s">
        <v>2114</v>
      </c>
      <c r="K791" t="s">
        <v>2102</v>
      </c>
      <c r="L791" t="s">
        <v>2115</v>
      </c>
      <c r="M791">
        <v>500</v>
      </c>
      <c r="N791">
        <v>54</v>
      </c>
      <c r="O791">
        <v>10009.44</v>
      </c>
      <c r="P791">
        <v>0</v>
      </c>
      <c r="Q791">
        <v>10009.44</v>
      </c>
      <c r="R791">
        <v>1601.51</v>
      </c>
      <c r="S791">
        <v>400.38</v>
      </c>
      <c r="T791">
        <v>11210.57</v>
      </c>
      <c r="U791" t="s">
        <v>8262</v>
      </c>
      <c r="V791" t="s">
        <v>9409</v>
      </c>
      <c r="W791" t="s">
        <v>424</v>
      </c>
    </row>
    <row r="792" spans="1:23" hidden="1" x14ac:dyDescent="0.2">
      <c r="A792">
        <v>2012</v>
      </c>
      <c r="B792" t="s">
        <v>303</v>
      </c>
      <c r="C792" s="733">
        <v>40928</v>
      </c>
      <c r="D7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92" t="s">
        <v>485</v>
      </c>
      <c r="F792" t="s">
        <v>2065</v>
      </c>
      <c r="G792" t="s">
        <v>2706</v>
      </c>
      <c r="H792">
        <v>40139</v>
      </c>
      <c r="I792" t="s">
        <v>424</v>
      </c>
      <c r="J792" t="s">
        <v>2114</v>
      </c>
      <c r="K792" t="s">
        <v>2102</v>
      </c>
      <c r="L792" t="s">
        <v>2115</v>
      </c>
      <c r="M792">
        <v>500</v>
      </c>
      <c r="N792">
        <v>54</v>
      </c>
      <c r="O792">
        <v>10009.44</v>
      </c>
      <c r="P792">
        <v>0</v>
      </c>
      <c r="Q792">
        <v>10009.44</v>
      </c>
      <c r="R792">
        <v>1601.51</v>
      </c>
      <c r="S792">
        <v>400.38</v>
      </c>
      <c r="T792">
        <v>11210.57</v>
      </c>
      <c r="U792" t="s">
        <v>2119</v>
      </c>
      <c r="V792" t="s">
        <v>9409</v>
      </c>
      <c r="W792" t="s">
        <v>424</v>
      </c>
    </row>
    <row r="793" spans="1:23" hidden="1" x14ac:dyDescent="0.2">
      <c r="A793">
        <v>2012</v>
      </c>
      <c r="B793" t="s">
        <v>303</v>
      </c>
      <c r="C793" s="733">
        <v>40910</v>
      </c>
      <c r="D7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93" t="s">
        <v>485</v>
      </c>
      <c r="F793" t="s">
        <v>2065</v>
      </c>
      <c r="G793" t="s">
        <v>2707</v>
      </c>
      <c r="H793">
        <v>39649</v>
      </c>
      <c r="I793" t="s">
        <v>423</v>
      </c>
      <c r="J793" t="s">
        <v>2114</v>
      </c>
      <c r="K793" t="s">
        <v>2102</v>
      </c>
      <c r="L793" t="s">
        <v>2115</v>
      </c>
      <c r="M793">
        <v>500</v>
      </c>
      <c r="N793">
        <v>51.14</v>
      </c>
      <c r="O793">
        <v>7239.89</v>
      </c>
      <c r="P793">
        <v>8151.3197520000003</v>
      </c>
      <c r="Q793">
        <v>15391.209752000001</v>
      </c>
      <c r="R793">
        <v>2462.5935599999998</v>
      </c>
      <c r="S793">
        <v>615.64838999999995</v>
      </c>
      <c r="T793">
        <v>17238.154922000002</v>
      </c>
      <c r="U793" t="s">
        <v>2104</v>
      </c>
      <c r="V793" t="s">
        <v>9409</v>
      </c>
      <c r="W793" t="s">
        <v>423</v>
      </c>
    </row>
    <row r="794" spans="1:23" hidden="1" x14ac:dyDescent="0.2">
      <c r="A794">
        <v>2012</v>
      </c>
      <c r="B794" t="s">
        <v>303</v>
      </c>
      <c r="C794" s="733">
        <v>40918</v>
      </c>
      <c r="D7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94" t="s">
        <v>485</v>
      </c>
      <c r="F794" t="s">
        <v>2065</v>
      </c>
      <c r="G794" t="s">
        <v>4913</v>
      </c>
      <c r="H794">
        <v>39972</v>
      </c>
      <c r="I794" t="s">
        <v>423</v>
      </c>
      <c r="J794" t="s">
        <v>3204</v>
      </c>
      <c r="K794" t="s">
        <v>2183</v>
      </c>
      <c r="L794" t="s">
        <v>2184</v>
      </c>
      <c r="M794">
        <v>80</v>
      </c>
      <c r="N794">
        <v>53.9</v>
      </c>
      <c r="O794">
        <v>6083.69</v>
      </c>
      <c r="P794">
        <v>0</v>
      </c>
      <c r="Q794">
        <v>6083.69</v>
      </c>
      <c r="R794">
        <v>973.39</v>
      </c>
      <c r="S794">
        <v>243.35</v>
      </c>
      <c r="T794">
        <v>6813.73</v>
      </c>
      <c r="U794" t="s">
        <v>7587</v>
      </c>
      <c r="V794" t="s">
        <v>9409</v>
      </c>
      <c r="W794" t="s">
        <v>423</v>
      </c>
    </row>
    <row r="795" spans="1:23" hidden="1" x14ac:dyDescent="0.2">
      <c r="A795">
        <v>2012</v>
      </c>
      <c r="B795" t="s">
        <v>303</v>
      </c>
      <c r="C795" s="733">
        <v>40928</v>
      </c>
      <c r="D7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95" t="s">
        <v>485</v>
      </c>
      <c r="F795" t="s">
        <v>2065</v>
      </c>
      <c r="G795" t="s">
        <v>2708</v>
      </c>
      <c r="H795">
        <v>40108</v>
      </c>
      <c r="I795" t="s">
        <v>424</v>
      </c>
      <c r="J795" t="s">
        <v>2114</v>
      </c>
      <c r="K795" t="s">
        <v>2102</v>
      </c>
      <c r="L795" t="s">
        <v>2115</v>
      </c>
      <c r="M795">
        <v>500</v>
      </c>
      <c r="N795">
        <v>54</v>
      </c>
      <c r="O795">
        <v>10009.44</v>
      </c>
      <c r="P795">
        <v>0</v>
      </c>
      <c r="Q795">
        <v>10009.44</v>
      </c>
      <c r="R795">
        <v>1601.51</v>
      </c>
      <c r="S795">
        <v>400.38</v>
      </c>
      <c r="T795">
        <v>11210.57</v>
      </c>
      <c r="U795" t="s">
        <v>2119</v>
      </c>
      <c r="V795" t="s">
        <v>9409</v>
      </c>
      <c r="W795" t="s">
        <v>424</v>
      </c>
    </row>
    <row r="796" spans="1:23" hidden="1" x14ac:dyDescent="0.2">
      <c r="A796">
        <v>2012</v>
      </c>
      <c r="B796" t="s">
        <v>303</v>
      </c>
      <c r="C796" s="733">
        <v>40928</v>
      </c>
      <c r="D7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96" t="s">
        <v>485</v>
      </c>
      <c r="F796" t="s">
        <v>2065</v>
      </c>
      <c r="G796" t="s">
        <v>5693</v>
      </c>
      <c r="H796">
        <v>40414</v>
      </c>
      <c r="I796" t="s">
        <v>423</v>
      </c>
      <c r="J796" t="s">
        <v>2135</v>
      </c>
      <c r="K796" t="s">
        <v>2102</v>
      </c>
      <c r="L796" t="s">
        <v>2115</v>
      </c>
      <c r="M796">
        <v>494</v>
      </c>
      <c r="N796">
        <v>51.27</v>
      </c>
      <c r="O796">
        <v>17239.54</v>
      </c>
      <c r="P796">
        <v>0</v>
      </c>
      <c r="Q796">
        <v>17239.54</v>
      </c>
      <c r="R796">
        <v>2758.33</v>
      </c>
      <c r="S796">
        <v>689.58</v>
      </c>
      <c r="T796">
        <v>19308.29</v>
      </c>
      <c r="U796" t="s">
        <v>2110</v>
      </c>
      <c r="V796" t="s">
        <v>9409</v>
      </c>
      <c r="W796" t="s">
        <v>423</v>
      </c>
    </row>
    <row r="797" spans="1:23" hidden="1" x14ac:dyDescent="0.2">
      <c r="A797">
        <v>2012</v>
      </c>
      <c r="B797" t="s">
        <v>303</v>
      </c>
      <c r="C797" s="733">
        <v>40924</v>
      </c>
      <c r="D7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97" t="s">
        <v>485</v>
      </c>
      <c r="F797" t="s">
        <v>2065</v>
      </c>
      <c r="G797" t="s">
        <v>2723</v>
      </c>
      <c r="H797">
        <v>40237</v>
      </c>
      <c r="I797" t="s">
        <v>423</v>
      </c>
      <c r="J797" t="s">
        <v>2345</v>
      </c>
      <c r="K797" t="s">
        <v>2102</v>
      </c>
      <c r="L797" t="s">
        <v>2115</v>
      </c>
      <c r="M797">
        <v>426</v>
      </c>
      <c r="N797">
        <v>49.5</v>
      </c>
      <c r="O797">
        <v>16644.38</v>
      </c>
      <c r="P797">
        <v>0</v>
      </c>
      <c r="Q797">
        <v>16644.38</v>
      </c>
      <c r="R797">
        <v>2663.1</v>
      </c>
      <c r="S797">
        <v>665.78</v>
      </c>
      <c r="T797">
        <v>18641.7</v>
      </c>
      <c r="U797" t="s">
        <v>2106</v>
      </c>
      <c r="V797" t="s">
        <v>9409</v>
      </c>
      <c r="W797" t="s">
        <v>423</v>
      </c>
    </row>
    <row r="798" spans="1:23" hidden="1" x14ac:dyDescent="0.2">
      <c r="A798">
        <v>2012</v>
      </c>
      <c r="B798" t="s">
        <v>303</v>
      </c>
      <c r="C798" s="733">
        <v>40928</v>
      </c>
      <c r="D7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98" t="s">
        <v>485</v>
      </c>
      <c r="F798" t="s">
        <v>2065</v>
      </c>
      <c r="G798" t="s">
        <v>2714</v>
      </c>
      <c r="H798">
        <v>39954</v>
      </c>
      <c r="I798" t="s">
        <v>424</v>
      </c>
      <c r="J798" t="s">
        <v>2135</v>
      </c>
      <c r="K798" t="s">
        <v>2102</v>
      </c>
      <c r="L798" t="s">
        <v>2115</v>
      </c>
      <c r="M798">
        <v>494</v>
      </c>
      <c r="N798">
        <v>54</v>
      </c>
      <c r="O798">
        <v>11375.64</v>
      </c>
      <c r="P798">
        <v>0</v>
      </c>
      <c r="Q798">
        <v>11375.64</v>
      </c>
      <c r="R798">
        <v>1820.1</v>
      </c>
      <c r="S798">
        <v>455.03</v>
      </c>
      <c r="T798">
        <v>12740.71</v>
      </c>
      <c r="U798" t="s">
        <v>2119</v>
      </c>
      <c r="V798" t="s">
        <v>9409</v>
      </c>
      <c r="W798" t="s">
        <v>424</v>
      </c>
    </row>
    <row r="799" spans="1:23" hidden="1" x14ac:dyDescent="0.2">
      <c r="A799">
        <v>2012</v>
      </c>
      <c r="B799" t="s">
        <v>303</v>
      </c>
      <c r="C799" s="733">
        <v>40910</v>
      </c>
      <c r="D7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99" t="s">
        <v>485</v>
      </c>
      <c r="F799" t="s">
        <v>2065</v>
      </c>
      <c r="G799" t="s">
        <v>5691</v>
      </c>
      <c r="H799">
        <v>39565</v>
      </c>
      <c r="I799" t="s">
        <v>423</v>
      </c>
      <c r="J799" t="s">
        <v>5479</v>
      </c>
      <c r="K799" t="s">
        <v>2102</v>
      </c>
      <c r="L799" t="s">
        <v>2115</v>
      </c>
      <c r="M799">
        <v>979</v>
      </c>
      <c r="N799">
        <v>53.44</v>
      </c>
      <c r="O799">
        <v>12062.48</v>
      </c>
      <c r="P799">
        <v>13581.025607</v>
      </c>
      <c r="Q799">
        <v>25643.505606999999</v>
      </c>
      <c r="R799">
        <v>4102.9608969999999</v>
      </c>
      <c r="S799">
        <v>1025.7402239999999</v>
      </c>
      <c r="T799">
        <v>28720.726279999999</v>
      </c>
      <c r="U799" t="s">
        <v>2104</v>
      </c>
      <c r="V799" t="s">
        <v>9409</v>
      </c>
      <c r="W799" t="s">
        <v>423</v>
      </c>
    </row>
    <row r="800" spans="1:23" hidden="1" x14ac:dyDescent="0.2">
      <c r="A800">
        <v>2012</v>
      </c>
      <c r="B800" t="s">
        <v>303</v>
      </c>
      <c r="C800" s="733">
        <v>40938</v>
      </c>
      <c r="D8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800" t="s">
        <v>485</v>
      </c>
      <c r="F800" t="s">
        <v>2065</v>
      </c>
      <c r="G800" t="s">
        <v>2709</v>
      </c>
      <c r="H800">
        <v>41022</v>
      </c>
      <c r="I800" t="s">
        <v>424</v>
      </c>
      <c r="J800" t="s">
        <v>2114</v>
      </c>
      <c r="K800" t="s">
        <v>2102</v>
      </c>
      <c r="L800" t="s">
        <v>2115</v>
      </c>
      <c r="M800">
        <v>500</v>
      </c>
      <c r="N800">
        <v>53.732999999999997</v>
      </c>
      <c r="O800">
        <v>9959.9500000000007</v>
      </c>
      <c r="P800">
        <v>0</v>
      </c>
      <c r="Q800">
        <v>9959.9500000000007</v>
      </c>
      <c r="R800">
        <v>1593.59</v>
      </c>
      <c r="S800">
        <v>398.4</v>
      </c>
      <c r="T800">
        <v>11155.14</v>
      </c>
      <c r="U800" t="s">
        <v>2116</v>
      </c>
      <c r="V800" t="s">
        <v>9409</v>
      </c>
      <c r="W800" t="s">
        <v>424</v>
      </c>
    </row>
    <row r="801" spans="1:23" hidden="1" x14ac:dyDescent="0.2">
      <c r="A801">
        <v>2012</v>
      </c>
      <c r="B801" t="s">
        <v>303</v>
      </c>
      <c r="C801" s="733">
        <v>40910</v>
      </c>
      <c r="D8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801" t="s">
        <v>485</v>
      </c>
      <c r="F801" t="s">
        <v>2065</v>
      </c>
      <c r="G801" t="s">
        <v>2700</v>
      </c>
      <c r="H801">
        <v>39493</v>
      </c>
      <c r="I801" t="s">
        <v>423</v>
      </c>
      <c r="J801" t="s">
        <v>2114</v>
      </c>
      <c r="K801" t="s">
        <v>2102</v>
      </c>
      <c r="L801" t="s">
        <v>2115</v>
      </c>
      <c r="M801">
        <v>500</v>
      </c>
      <c r="N801">
        <v>49.94</v>
      </c>
      <c r="O801">
        <v>7070.01</v>
      </c>
      <c r="P801">
        <v>7960.053559</v>
      </c>
      <c r="Q801">
        <v>15030.063559</v>
      </c>
      <c r="R801">
        <v>2404.8101689999999</v>
      </c>
      <c r="S801">
        <v>601.20254199999999</v>
      </c>
      <c r="T801">
        <v>16833.671186</v>
      </c>
      <c r="U801" t="s">
        <v>2104</v>
      </c>
      <c r="V801" t="s">
        <v>9409</v>
      </c>
      <c r="W801" t="s">
        <v>423</v>
      </c>
    </row>
    <row r="802" spans="1:23" hidden="1" x14ac:dyDescent="0.2">
      <c r="A802">
        <v>2012</v>
      </c>
      <c r="B802" t="s">
        <v>303</v>
      </c>
      <c r="C802" s="733">
        <v>40912</v>
      </c>
      <c r="D8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802" t="s">
        <v>485</v>
      </c>
      <c r="F802" t="s">
        <v>2065</v>
      </c>
      <c r="G802" t="s">
        <v>4618</v>
      </c>
      <c r="H802">
        <v>39590</v>
      </c>
      <c r="I802" t="s">
        <v>423</v>
      </c>
      <c r="J802" t="s">
        <v>2836</v>
      </c>
      <c r="K802" t="s">
        <v>2814</v>
      </c>
      <c r="L802" t="s">
        <v>2815</v>
      </c>
      <c r="M802">
        <v>70</v>
      </c>
      <c r="N802">
        <v>23.888999999999999</v>
      </c>
      <c r="O802">
        <v>1135.21</v>
      </c>
      <c r="P802">
        <v>1278.1215870000001</v>
      </c>
      <c r="Q802">
        <v>2413.3315870000001</v>
      </c>
      <c r="R802">
        <v>386.13305400000002</v>
      </c>
      <c r="S802">
        <v>96.533263000000005</v>
      </c>
      <c r="T802">
        <v>2702.9313780000002</v>
      </c>
      <c r="U802" t="s">
        <v>2846</v>
      </c>
      <c r="V802" t="s">
        <v>9408</v>
      </c>
      <c r="W802" t="s">
        <v>423</v>
      </c>
    </row>
    <row r="803" spans="1:23" hidden="1" x14ac:dyDescent="0.2">
      <c r="A803">
        <v>2012</v>
      </c>
      <c r="B803" t="s">
        <v>304</v>
      </c>
      <c r="C803" s="733">
        <v>40959</v>
      </c>
      <c r="D8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03" t="s">
        <v>485</v>
      </c>
      <c r="F803" t="s">
        <v>2065</v>
      </c>
      <c r="G803" t="s">
        <v>7570</v>
      </c>
      <c r="H803">
        <v>42197</v>
      </c>
      <c r="I803" t="s">
        <v>423</v>
      </c>
      <c r="J803" t="s">
        <v>2114</v>
      </c>
      <c r="K803" t="s">
        <v>2102</v>
      </c>
      <c r="L803" t="s">
        <v>2115</v>
      </c>
      <c r="M803">
        <v>500</v>
      </c>
      <c r="N803">
        <v>25.1</v>
      </c>
      <c r="O803">
        <v>8439.8799999999992</v>
      </c>
      <c r="P803">
        <v>0</v>
      </c>
      <c r="Q803">
        <v>8439.8799999999992</v>
      </c>
      <c r="R803">
        <v>1350.38</v>
      </c>
      <c r="S803">
        <v>337.6</v>
      </c>
      <c r="T803">
        <v>9452.66</v>
      </c>
      <c r="U803" t="s">
        <v>8883</v>
      </c>
      <c r="V803" t="s">
        <v>9408</v>
      </c>
      <c r="W803" t="s">
        <v>423</v>
      </c>
    </row>
    <row r="804" spans="1:23" hidden="1" x14ac:dyDescent="0.2">
      <c r="A804">
        <v>2012</v>
      </c>
      <c r="B804" t="s">
        <v>303</v>
      </c>
      <c r="C804" s="733">
        <v>40926</v>
      </c>
      <c r="D8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804" t="s">
        <v>485</v>
      </c>
      <c r="F804" t="s">
        <v>2065</v>
      </c>
      <c r="G804" t="s">
        <v>2713</v>
      </c>
      <c r="H804">
        <v>40308</v>
      </c>
      <c r="I804" t="s">
        <v>423</v>
      </c>
      <c r="J804" t="s">
        <v>2114</v>
      </c>
      <c r="K804" t="s">
        <v>2102</v>
      </c>
      <c r="L804" t="s">
        <v>2115</v>
      </c>
      <c r="M804">
        <v>500</v>
      </c>
      <c r="N804">
        <v>50.91</v>
      </c>
      <c r="O804">
        <v>17118.490000000002</v>
      </c>
      <c r="P804">
        <v>0</v>
      </c>
      <c r="Q804">
        <v>17118.490000000002</v>
      </c>
      <c r="R804">
        <v>2738.96</v>
      </c>
      <c r="S804">
        <v>684.74</v>
      </c>
      <c r="T804">
        <v>19172.71</v>
      </c>
      <c r="U804" t="s">
        <v>2106</v>
      </c>
      <c r="V804" t="s">
        <v>9409</v>
      </c>
      <c r="W804" t="s">
        <v>423</v>
      </c>
    </row>
    <row r="805" spans="1:23" hidden="1" x14ac:dyDescent="0.2">
      <c r="A805">
        <v>2012</v>
      </c>
      <c r="B805" t="s">
        <v>303</v>
      </c>
      <c r="C805" s="733">
        <v>40919</v>
      </c>
      <c r="D8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805" t="s">
        <v>485</v>
      </c>
      <c r="F805" t="s">
        <v>2065</v>
      </c>
      <c r="G805" t="s">
        <v>2702</v>
      </c>
      <c r="H805">
        <v>40094</v>
      </c>
      <c r="I805" t="s">
        <v>423</v>
      </c>
      <c r="J805" t="s">
        <v>2135</v>
      </c>
      <c r="K805" t="s">
        <v>2102</v>
      </c>
      <c r="L805" t="s">
        <v>2115</v>
      </c>
      <c r="M805">
        <v>494</v>
      </c>
      <c r="N805">
        <v>51.39</v>
      </c>
      <c r="O805">
        <v>17279.89</v>
      </c>
      <c r="P805">
        <v>0</v>
      </c>
      <c r="Q805">
        <v>17279.89</v>
      </c>
      <c r="R805">
        <v>2764.78</v>
      </c>
      <c r="S805">
        <v>691.2</v>
      </c>
      <c r="T805">
        <v>19353.47</v>
      </c>
      <c r="U805" t="s">
        <v>2106</v>
      </c>
      <c r="V805" t="s">
        <v>9409</v>
      </c>
      <c r="W805" t="s">
        <v>423</v>
      </c>
    </row>
    <row r="806" spans="1:23" hidden="1" x14ac:dyDescent="0.2">
      <c r="A806">
        <v>2012</v>
      </c>
      <c r="B806" t="s">
        <v>304</v>
      </c>
      <c r="C806" s="733">
        <v>40941</v>
      </c>
      <c r="D8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06" t="s">
        <v>485</v>
      </c>
      <c r="F806" t="s">
        <v>2065</v>
      </c>
      <c r="G806" t="s">
        <v>2711</v>
      </c>
      <c r="H806">
        <v>40244</v>
      </c>
      <c r="I806" t="s">
        <v>423</v>
      </c>
      <c r="J806" t="s">
        <v>2114</v>
      </c>
      <c r="K806" t="s">
        <v>2102</v>
      </c>
      <c r="L806" t="s">
        <v>2115</v>
      </c>
      <c r="M806">
        <v>500</v>
      </c>
      <c r="N806">
        <v>53.83</v>
      </c>
      <c r="O806">
        <v>18100.34</v>
      </c>
      <c r="P806">
        <v>0</v>
      </c>
      <c r="Q806">
        <v>18100.34</v>
      </c>
      <c r="R806">
        <v>2896.05</v>
      </c>
      <c r="S806">
        <v>724.01</v>
      </c>
      <c r="T806">
        <v>20272.38</v>
      </c>
      <c r="V806" t="s">
        <v>9409</v>
      </c>
      <c r="W806" t="s">
        <v>423</v>
      </c>
    </row>
    <row r="807" spans="1:23" hidden="1" x14ac:dyDescent="0.2">
      <c r="A807">
        <v>2012</v>
      </c>
      <c r="B807" t="s">
        <v>304</v>
      </c>
      <c r="C807" s="733">
        <v>40954</v>
      </c>
      <c r="D8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07" t="s">
        <v>485</v>
      </c>
      <c r="F807" t="s">
        <v>2065</v>
      </c>
      <c r="G807" t="s">
        <v>7472</v>
      </c>
      <c r="H807">
        <v>41937</v>
      </c>
      <c r="I807" t="s">
        <v>423</v>
      </c>
      <c r="J807" t="s">
        <v>2114</v>
      </c>
      <c r="K807" t="s">
        <v>2102</v>
      </c>
      <c r="L807" t="s">
        <v>2115</v>
      </c>
      <c r="M807">
        <v>500</v>
      </c>
      <c r="N807">
        <v>53.53</v>
      </c>
      <c r="O807">
        <v>17999.46</v>
      </c>
      <c r="P807">
        <v>0</v>
      </c>
      <c r="Q807">
        <v>17999.46</v>
      </c>
      <c r="R807">
        <v>2879.91</v>
      </c>
      <c r="S807">
        <v>719.98</v>
      </c>
      <c r="T807">
        <v>20159.39</v>
      </c>
      <c r="U807" t="s">
        <v>8051</v>
      </c>
      <c r="V807" t="s">
        <v>9409</v>
      </c>
      <c r="W807" t="s">
        <v>423</v>
      </c>
    </row>
    <row r="808" spans="1:23" hidden="1" x14ac:dyDescent="0.2">
      <c r="A808">
        <v>2012</v>
      </c>
      <c r="B808" t="s">
        <v>304</v>
      </c>
      <c r="C808" s="733">
        <v>40941</v>
      </c>
      <c r="D8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08" t="s">
        <v>485</v>
      </c>
      <c r="F808" t="s">
        <v>2065</v>
      </c>
      <c r="G808" t="s">
        <v>2710</v>
      </c>
      <c r="H808">
        <v>41243</v>
      </c>
      <c r="I808" t="s">
        <v>423</v>
      </c>
      <c r="J808" t="s">
        <v>2114</v>
      </c>
      <c r="K808" t="s">
        <v>2102</v>
      </c>
      <c r="L808" t="s">
        <v>2115</v>
      </c>
      <c r="M808">
        <v>500</v>
      </c>
      <c r="N808">
        <v>52.41</v>
      </c>
      <c r="O808">
        <v>17622.86</v>
      </c>
      <c r="P808">
        <v>0</v>
      </c>
      <c r="Q808">
        <v>17622.86</v>
      </c>
      <c r="R808">
        <v>2819.66</v>
      </c>
      <c r="S808">
        <v>704.91</v>
      </c>
      <c r="T808">
        <v>19737.61</v>
      </c>
      <c r="V808" t="s">
        <v>9409</v>
      </c>
      <c r="W808" t="s">
        <v>423</v>
      </c>
    </row>
    <row r="809" spans="1:23" hidden="1" x14ac:dyDescent="0.2">
      <c r="A809">
        <v>2012</v>
      </c>
      <c r="B809" t="s">
        <v>304</v>
      </c>
      <c r="C809" s="733">
        <v>40953</v>
      </c>
      <c r="D8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09" t="s">
        <v>485</v>
      </c>
      <c r="F809" t="s">
        <v>2084</v>
      </c>
      <c r="G809" t="s">
        <v>4798</v>
      </c>
      <c r="H809">
        <v>41771</v>
      </c>
      <c r="I809" t="s">
        <v>423</v>
      </c>
      <c r="J809" t="s">
        <v>2836</v>
      </c>
      <c r="K809" t="s">
        <v>2814</v>
      </c>
      <c r="L809" t="s">
        <v>2815</v>
      </c>
      <c r="M809">
        <v>70</v>
      </c>
      <c r="N809">
        <v>23.420999999999999</v>
      </c>
      <c r="O809">
        <v>2643.53</v>
      </c>
      <c r="P809">
        <v>0</v>
      </c>
      <c r="Q809">
        <v>2643.53</v>
      </c>
      <c r="R809">
        <v>290.79000000000002</v>
      </c>
      <c r="S809">
        <v>105.74</v>
      </c>
      <c r="T809">
        <v>2828.58</v>
      </c>
      <c r="U809" t="s">
        <v>8877</v>
      </c>
      <c r="V809" t="s">
        <v>9408</v>
      </c>
      <c r="W809" t="s">
        <v>423</v>
      </c>
    </row>
    <row r="810" spans="1:23" hidden="1" x14ac:dyDescent="0.2">
      <c r="A810">
        <v>2012</v>
      </c>
      <c r="B810" t="s">
        <v>304</v>
      </c>
      <c r="C810" s="733">
        <v>40949</v>
      </c>
      <c r="D8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10" t="s">
        <v>505</v>
      </c>
      <c r="F810" t="s">
        <v>2065</v>
      </c>
      <c r="G810" t="s">
        <v>4134</v>
      </c>
      <c r="H810">
        <v>22646</v>
      </c>
      <c r="I810" t="s">
        <v>424</v>
      </c>
      <c r="J810" t="s">
        <v>1917</v>
      </c>
      <c r="K810" t="s">
        <v>1918</v>
      </c>
      <c r="L810" t="s">
        <v>1919</v>
      </c>
      <c r="M810">
        <v>267</v>
      </c>
      <c r="N810">
        <v>30</v>
      </c>
      <c r="O810">
        <v>2929.97</v>
      </c>
      <c r="P810">
        <v>1683.8244589999999</v>
      </c>
      <c r="Q810">
        <v>4613.7944589999997</v>
      </c>
      <c r="R810">
        <v>738.20711300000005</v>
      </c>
      <c r="S810">
        <v>184.55177800000001</v>
      </c>
      <c r="T810">
        <v>5167.4497940000001</v>
      </c>
      <c r="U810" t="s">
        <v>1924</v>
      </c>
      <c r="V810" t="s">
        <v>9408</v>
      </c>
      <c r="W810" t="s">
        <v>424</v>
      </c>
    </row>
    <row r="811" spans="1:23" hidden="1" x14ac:dyDescent="0.2">
      <c r="A811">
        <v>2012</v>
      </c>
      <c r="B811" t="s">
        <v>303</v>
      </c>
      <c r="C811" s="733">
        <v>40939</v>
      </c>
      <c r="D8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811" t="s">
        <v>485</v>
      </c>
      <c r="F811" t="s">
        <v>2065</v>
      </c>
      <c r="G811" t="s">
        <v>2190</v>
      </c>
      <c r="H811">
        <v>39961</v>
      </c>
      <c r="I811" t="s">
        <v>423</v>
      </c>
      <c r="J811" t="s">
        <v>2182</v>
      </c>
      <c r="K811" t="s">
        <v>2183</v>
      </c>
      <c r="L811" t="s">
        <v>2184</v>
      </c>
      <c r="M811">
        <v>62</v>
      </c>
      <c r="N811">
        <v>16.46</v>
      </c>
      <c r="O811">
        <v>2438.38</v>
      </c>
      <c r="P811">
        <v>0</v>
      </c>
      <c r="Q811">
        <v>2438.38</v>
      </c>
      <c r="R811">
        <v>390.14</v>
      </c>
      <c r="S811">
        <v>97.54</v>
      </c>
      <c r="T811">
        <v>2730.98</v>
      </c>
      <c r="U811" t="s">
        <v>2187</v>
      </c>
      <c r="V811" t="s">
        <v>9408</v>
      </c>
      <c r="W811" t="s">
        <v>423</v>
      </c>
    </row>
    <row r="812" spans="1:23" hidden="1" x14ac:dyDescent="0.2">
      <c r="A812">
        <v>2012</v>
      </c>
      <c r="B812" t="s">
        <v>304</v>
      </c>
      <c r="C812" s="733">
        <v>40960</v>
      </c>
      <c r="D8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12" t="s">
        <v>485</v>
      </c>
      <c r="F812" t="s">
        <v>2065</v>
      </c>
      <c r="G812" t="s">
        <v>8067</v>
      </c>
      <c r="H812">
        <v>42254</v>
      </c>
      <c r="I812" t="s">
        <v>423</v>
      </c>
      <c r="J812" t="s">
        <v>2182</v>
      </c>
      <c r="K812" t="s">
        <v>2183</v>
      </c>
      <c r="L812" t="s">
        <v>2184</v>
      </c>
      <c r="M812">
        <v>62</v>
      </c>
      <c r="N812">
        <v>16.16</v>
      </c>
      <c r="O812">
        <v>2393.94</v>
      </c>
      <c r="P812">
        <v>0</v>
      </c>
      <c r="Q812">
        <v>2393.94</v>
      </c>
      <c r="R812">
        <v>383.03</v>
      </c>
      <c r="S812">
        <v>95.76</v>
      </c>
      <c r="T812">
        <v>2681.21</v>
      </c>
      <c r="U812" t="s">
        <v>9411</v>
      </c>
      <c r="V812" t="s">
        <v>9408</v>
      </c>
      <c r="W812" t="s">
        <v>423</v>
      </c>
    </row>
    <row r="813" spans="1:23" hidden="1" x14ac:dyDescent="0.2">
      <c r="A813">
        <v>2012</v>
      </c>
      <c r="B813" t="s">
        <v>303</v>
      </c>
      <c r="C813" s="733">
        <v>40932</v>
      </c>
      <c r="D8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813" t="s">
        <v>485</v>
      </c>
      <c r="F813" t="s">
        <v>2065</v>
      </c>
      <c r="G813" t="s">
        <v>3301</v>
      </c>
      <c r="H813">
        <v>40712</v>
      </c>
      <c r="I813" t="s">
        <v>424</v>
      </c>
      <c r="J813" t="s">
        <v>2114</v>
      </c>
      <c r="K813" t="s">
        <v>2102</v>
      </c>
      <c r="L813" t="s">
        <v>2115</v>
      </c>
      <c r="M813">
        <v>500</v>
      </c>
      <c r="N813">
        <v>54</v>
      </c>
      <c r="O813">
        <v>10009.44</v>
      </c>
      <c r="P813">
        <v>0</v>
      </c>
      <c r="Q813">
        <v>10009.44</v>
      </c>
      <c r="R813">
        <v>1601.51</v>
      </c>
      <c r="S813">
        <v>400.38</v>
      </c>
      <c r="T813">
        <v>11210.57</v>
      </c>
      <c r="U813" t="s">
        <v>2121</v>
      </c>
      <c r="V813" t="s">
        <v>9409</v>
      </c>
      <c r="W813" t="s">
        <v>424</v>
      </c>
    </row>
    <row r="814" spans="1:23" hidden="1" x14ac:dyDescent="0.2">
      <c r="A814">
        <v>2012</v>
      </c>
      <c r="B814" t="s">
        <v>304</v>
      </c>
      <c r="C814" s="733">
        <v>40953</v>
      </c>
      <c r="D8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14" t="s">
        <v>485</v>
      </c>
      <c r="F814" t="s">
        <v>2065</v>
      </c>
      <c r="G814" t="s">
        <v>3302</v>
      </c>
      <c r="H814">
        <v>41893</v>
      </c>
      <c r="I814" t="s">
        <v>424</v>
      </c>
      <c r="J814" t="s">
        <v>2114</v>
      </c>
      <c r="K814" t="s">
        <v>2102</v>
      </c>
      <c r="L814" t="s">
        <v>2115</v>
      </c>
      <c r="M814">
        <v>500</v>
      </c>
      <c r="N814">
        <v>54</v>
      </c>
      <c r="O814">
        <v>10009.44</v>
      </c>
      <c r="P814">
        <v>0</v>
      </c>
      <c r="Q814">
        <v>10009.44</v>
      </c>
      <c r="R814">
        <v>1601.51</v>
      </c>
      <c r="S814">
        <v>400.38</v>
      </c>
      <c r="T814">
        <v>11210.57</v>
      </c>
      <c r="U814" t="s">
        <v>8871</v>
      </c>
      <c r="V814" t="s">
        <v>9409</v>
      </c>
      <c r="W814" t="s">
        <v>424</v>
      </c>
    </row>
    <row r="815" spans="1:23" hidden="1" x14ac:dyDescent="0.2">
      <c r="A815">
        <v>2012</v>
      </c>
      <c r="B815" t="s">
        <v>304</v>
      </c>
      <c r="C815" s="733">
        <v>40947</v>
      </c>
      <c r="D8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15" t="s">
        <v>485</v>
      </c>
      <c r="F815" t="s">
        <v>2065</v>
      </c>
      <c r="G815" t="s">
        <v>3308</v>
      </c>
      <c r="H815">
        <v>41469</v>
      </c>
      <c r="I815" t="s">
        <v>424</v>
      </c>
      <c r="J815" t="s">
        <v>2114</v>
      </c>
      <c r="K815" t="s">
        <v>2102</v>
      </c>
      <c r="L815" t="s">
        <v>2115</v>
      </c>
      <c r="M815">
        <v>500</v>
      </c>
      <c r="N815">
        <v>54</v>
      </c>
      <c r="O815">
        <v>10009.44</v>
      </c>
      <c r="P815">
        <v>0</v>
      </c>
      <c r="Q815">
        <v>10009.44</v>
      </c>
      <c r="R815">
        <v>1601.51</v>
      </c>
      <c r="S815">
        <v>400.38</v>
      </c>
      <c r="T815">
        <v>11210.57</v>
      </c>
      <c r="U815" t="s">
        <v>7461</v>
      </c>
      <c r="V815" t="s">
        <v>9409</v>
      </c>
      <c r="W815" t="s">
        <v>424</v>
      </c>
    </row>
    <row r="816" spans="1:23" hidden="1" x14ac:dyDescent="0.2">
      <c r="A816">
        <v>2012</v>
      </c>
      <c r="B816" t="s">
        <v>303</v>
      </c>
      <c r="C816" s="733">
        <v>40928</v>
      </c>
      <c r="D8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816" t="s">
        <v>485</v>
      </c>
      <c r="F816" t="s">
        <v>2065</v>
      </c>
      <c r="G816" t="s">
        <v>3310</v>
      </c>
      <c r="H816">
        <v>39695</v>
      </c>
      <c r="I816" t="s">
        <v>424</v>
      </c>
      <c r="J816" t="s">
        <v>2114</v>
      </c>
      <c r="K816" t="s">
        <v>2102</v>
      </c>
      <c r="L816" t="s">
        <v>2115</v>
      </c>
      <c r="M816">
        <v>500</v>
      </c>
      <c r="N816">
        <v>54</v>
      </c>
      <c r="O816">
        <v>10009.44</v>
      </c>
      <c r="P816">
        <v>0</v>
      </c>
      <c r="Q816">
        <v>10009.44</v>
      </c>
      <c r="R816">
        <v>1601.51</v>
      </c>
      <c r="S816">
        <v>400.38</v>
      </c>
      <c r="T816">
        <v>11210.57</v>
      </c>
      <c r="U816" t="s">
        <v>8871</v>
      </c>
      <c r="V816" t="s">
        <v>9409</v>
      </c>
      <c r="W816" t="s">
        <v>424</v>
      </c>
    </row>
    <row r="817" spans="1:23" hidden="1" x14ac:dyDescent="0.2">
      <c r="A817">
        <v>2012</v>
      </c>
      <c r="B817" t="s">
        <v>303</v>
      </c>
      <c r="C817" s="733">
        <v>40928</v>
      </c>
      <c r="D8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817" t="s">
        <v>485</v>
      </c>
      <c r="F817" t="s">
        <v>2065</v>
      </c>
      <c r="G817" t="s">
        <v>3311</v>
      </c>
      <c r="H817">
        <v>40299</v>
      </c>
      <c r="I817" t="s">
        <v>424</v>
      </c>
      <c r="J817" t="s">
        <v>2114</v>
      </c>
      <c r="K817" t="s">
        <v>2102</v>
      </c>
      <c r="L817" t="s">
        <v>2115</v>
      </c>
      <c r="M817">
        <v>500</v>
      </c>
      <c r="N817">
        <v>54</v>
      </c>
      <c r="O817">
        <v>10009.44</v>
      </c>
      <c r="P817">
        <v>0</v>
      </c>
      <c r="Q817">
        <v>10009.44</v>
      </c>
      <c r="R817">
        <v>1601.51</v>
      </c>
      <c r="S817">
        <v>400.38</v>
      </c>
      <c r="T817">
        <v>11210.57</v>
      </c>
      <c r="U817" t="s">
        <v>2121</v>
      </c>
      <c r="V817" t="s">
        <v>9409</v>
      </c>
      <c r="W817" t="s">
        <v>424</v>
      </c>
    </row>
    <row r="818" spans="1:23" hidden="1" x14ac:dyDescent="0.2">
      <c r="A818">
        <v>2012</v>
      </c>
      <c r="B818" t="s">
        <v>304</v>
      </c>
      <c r="C818" s="733">
        <v>40960</v>
      </c>
      <c r="D8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18" t="s">
        <v>485</v>
      </c>
      <c r="F818" t="s">
        <v>2065</v>
      </c>
      <c r="G818" t="s">
        <v>8213</v>
      </c>
      <c r="H818">
        <v>42216</v>
      </c>
      <c r="I818" t="s">
        <v>423</v>
      </c>
      <c r="J818" t="s">
        <v>5479</v>
      </c>
      <c r="K818" t="s">
        <v>2102</v>
      </c>
      <c r="L818" t="s">
        <v>2115</v>
      </c>
      <c r="M818">
        <v>979</v>
      </c>
      <c r="N818">
        <v>28.1</v>
      </c>
      <c r="O818">
        <v>15065.25</v>
      </c>
      <c r="P818">
        <v>0</v>
      </c>
      <c r="Q818">
        <v>15065.25</v>
      </c>
      <c r="R818">
        <v>2410.44</v>
      </c>
      <c r="S818">
        <v>602.61</v>
      </c>
      <c r="T818">
        <v>16873.080000000002</v>
      </c>
      <c r="U818" t="s">
        <v>8883</v>
      </c>
      <c r="V818" t="s">
        <v>9408</v>
      </c>
      <c r="W818" t="s">
        <v>423</v>
      </c>
    </row>
    <row r="819" spans="1:23" hidden="1" x14ac:dyDescent="0.2">
      <c r="A819">
        <v>2012</v>
      </c>
      <c r="B819" t="s">
        <v>304</v>
      </c>
      <c r="C819" s="733">
        <v>40940</v>
      </c>
      <c r="D8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19" t="s">
        <v>485</v>
      </c>
      <c r="F819" t="s">
        <v>2065</v>
      </c>
      <c r="G819" t="s">
        <v>3320</v>
      </c>
      <c r="H819">
        <v>41202</v>
      </c>
      <c r="I819" t="s">
        <v>423</v>
      </c>
      <c r="J819" t="s">
        <v>2345</v>
      </c>
      <c r="K819" t="s">
        <v>2102</v>
      </c>
      <c r="L819" t="s">
        <v>2115</v>
      </c>
      <c r="M819">
        <v>426</v>
      </c>
      <c r="N819">
        <v>47.32</v>
      </c>
      <c r="O819">
        <v>15911.35</v>
      </c>
      <c r="P819">
        <v>0</v>
      </c>
      <c r="Q819">
        <v>15911.35</v>
      </c>
      <c r="R819">
        <v>2545.8200000000002</v>
      </c>
      <c r="S819">
        <v>636.45000000000005</v>
      </c>
      <c r="T819">
        <v>17820.72</v>
      </c>
      <c r="V819" t="s">
        <v>9409</v>
      </c>
      <c r="W819" t="s">
        <v>423</v>
      </c>
    </row>
    <row r="820" spans="1:23" hidden="1" x14ac:dyDescent="0.2">
      <c r="A820">
        <v>2012</v>
      </c>
      <c r="B820" t="s">
        <v>304</v>
      </c>
      <c r="C820" s="733">
        <v>40954</v>
      </c>
      <c r="D8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20" t="s">
        <v>485</v>
      </c>
      <c r="F820" t="s">
        <v>2065</v>
      </c>
      <c r="G820" t="s">
        <v>4629</v>
      </c>
      <c r="H820">
        <v>41908</v>
      </c>
      <c r="I820" t="s">
        <v>423</v>
      </c>
      <c r="J820" t="s">
        <v>2135</v>
      </c>
      <c r="K820" t="s">
        <v>2102</v>
      </c>
      <c r="L820" t="s">
        <v>2115</v>
      </c>
      <c r="M820">
        <v>494</v>
      </c>
      <c r="N820">
        <v>24.68</v>
      </c>
      <c r="O820">
        <v>8298.65</v>
      </c>
      <c r="P820">
        <v>0</v>
      </c>
      <c r="Q820">
        <v>8298.65</v>
      </c>
      <c r="R820">
        <v>1327.78</v>
      </c>
      <c r="S820">
        <v>331.95</v>
      </c>
      <c r="T820">
        <v>9294.48</v>
      </c>
      <c r="U820" t="s">
        <v>8051</v>
      </c>
      <c r="V820" t="s">
        <v>9408</v>
      </c>
      <c r="W820" t="s">
        <v>423</v>
      </c>
    </row>
    <row r="821" spans="1:23" hidden="1" x14ac:dyDescent="0.2">
      <c r="A821">
        <v>2012</v>
      </c>
      <c r="B821" t="s">
        <v>303</v>
      </c>
      <c r="C821" s="733">
        <v>40928</v>
      </c>
      <c r="D8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821" t="s">
        <v>485</v>
      </c>
      <c r="F821" t="s">
        <v>2065</v>
      </c>
      <c r="G821" t="s">
        <v>3309</v>
      </c>
      <c r="H821">
        <v>39739</v>
      </c>
      <c r="I821" t="s">
        <v>424</v>
      </c>
      <c r="J821" t="s">
        <v>2114</v>
      </c>
      <c r="K821" t="s">
        <v>2102</v>
      </c>
      <c r="L821" t="s">
        <v>2115</v>
      </c>
      <c r="M821">
        <v>500</v>
      </c>
      <c r="N821">
        <v>54</v>
      </c>
      <c r="O821">
        <v>10009.44</v>
      </c>
      <c r="P821">
        <v>0</v>
      </c>
      <c r="Q821">
        <v>10009.44</v>
      </c>
      <c r="R821">
        <v>1601.51</v>
      </c>
      <c r="S821">
        <v>400.38</v>
      </c>
      <c r="T821">
        <v>11210.57</v>
      </c>
      <c r="U821" t="s">
        <v>8871</v>
      </c>
      <c r="V821" t="s">
        <v>9409</v>
      </c>
      <c r="W821" t="s">
        <v>424</v>
      </c>
    </row>
    <row r="822" spans="1:23" hidden="1" x14ac:dyDescent="0.2">
      <c r="A822">
        <v>2012</v>
      </c>
      <c r="B822" t="s">
        <v>304</v>
      </c>
      <c r="C822" s="733">
        <v>40960</v>
      </c>
      <c r="D8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22" t="s">
        <v>485</v>
      </c>
      <c r="F822" t="s">
        <v>2065</v>
      </c>
      <c r="G822" t="s">
        <v>8214</v>
      </c>
      <c r="H822">
        <v>42217</v>
      </c>
      <c r="I822" t="s">
        <v>424</v>
      </c>
      <c r="J822" t="s">
        <v>2114</v>
      </c>
      <c r="K822" t="s">
        <v>2102</v>
      </c>
      <c r="L822" t="s">
        <v>2115</v>
      </c>
      <c r="M822">
        <v>500</v>
      </c>
      <c r="N822">
        <v>54</v>
      </c>
      <c r="O822">
        <v>10009.44</v>
      </c>
      <c r="P822">
        <v>0</v>
      </c>
      <c r="Q822">
        <v>10009.44</v>
      </c>
      <c r="R822">
        <v>1601.51</v>
      </c>
      <c r="S822">
        <v>400.38</v>
      </c>
      <c r="T822">
        <v>11210.57</v>
      </c>
      <c r="V822" t="s">
        <v>9409</v>
      </c>
      <c r="W822" t="s">
        <v>424</v>
      </c>
    </row>
    <row r="823" spans="1:23" hidden="1" x14ac:dyDescent="0.2">
      <c r="A823">
        <v>2012</v>
      </c>
      <c r="B823" t="s">
        <v>304</v>
      </c>
      <c r="C823" s="733">
        <v>40959</v>
      </c>
      <c r="D8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23" t="s">
        <v>485</v>
      </c>
      <c r="F823" t="s">
        <v>2065</v>
      </c>
      <c r="G823" t="s">
        <v>7764</v>
      </c>
      <c r="H823">
        <v>42178</v>
      </c>
      <c r="I823" t="s">
        <v>424</v>
      </c>
      <c r="J823" t="s">
        <v>2114</v>
      </c>
      <c r="K823" t="s">
        <v>2102</v>
      </c>
      <c r="L823" t="s">
        <v>2115</v>
      </c>
      <c r="M823">
        <v>500</v>
      </c>
      <c r="N823">
        <v>54</v>
      </c>
      <c r="O823">
        <v>10009.44</v>
      </c>
      <c r="P823">
        <v>0</v>
      </c>
      <c r="Q823">
        <v>10009.44</v>
      </c>
      <c r="R823">
        <v>1601.51</v>
      </c>
      <c r="S823">
        <v>400.38</v>
      </c>
      <c r="T823">
        <v>11210.57</v>
      </c>
      <c r="U823" t="s">
        <v>8871</v>
      </c>
      <c r="V823" t="s">
        <v>9409</v>
      </c>
      <c r="W823" t="s">
        <v>424</v>
      </c>
    </row>
    <row r="824" spans="1:23" hidden="1" x14ac:dyDescent="0.2">
      <c r="A824">
        <v>2012</v>
      </c>
      <c r="B824" t="s">
        <v>303</v>
      </c>
      <c r="C824" s="733">
        <v>40926</v>
      </c>
      <c r="D8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824" t="s">
        <v>485</v>
      </c>
      <c r="F824" t="s">
        <v>2065</v>
      </c>
      <c r="G824" t="s">
        <v>3303</v>
      </c>
      <c r="H824">
        <v>39731</v>
      </c>
      <c r="I824" t="s">
        <v>423</v>
      </c>
      <c r="J824" t="s">
        <v>2114</v>
      </c>
      <c r="K824" t="s">
        <v>2102</v>
      </c>
      <c r="L824" t="s">
        <v>2115</v>
      </c>
      <c r="M824">
        <v>500</v>
      </c>
      <c r="N824">
        <v>26.86</v>
      </c>
      <c r="O824">
        <v>9031.68</v>
      </c>
      <c r="P824">
        <v>0</v>
      </c>
      <c r="Q824">
        <v>9031.68</v>
      </c>
      <c r="R824">
        <v>1445.07</v>
      </c>
      <c r="S824">
        <v>361.27</v>
      </c>
      <c r="T824">
        <v>10115.48</v>
      </c>
      <c r="U824" t="s">
        <v>2106</v>
      </c>
      <c r="V824" t="s">
        <v>9408</v>
      </c>
      <c r="W824" t="s">
        <v>423</v>
      </c>
    </row>
    <row r="825" spans="1:23" hidden="1" x14ac:dyDescent="0.2">
      <c r="A825">
        <v>2012</v>
      </c>
      <c r="B825" t="s">
        <v>304</v>
      </c>
      <c r="C825" s="733">
        <v>40949</v>
      </c>
      <c r="D8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25" t="s">
        <v>485</v>
      </c>
      <c r="F825" t="s">
        <v>2065</v>
      </c>
      <c r="G825" t="s">
        <v>3307</v>
      </c>
      <c r="H825">
        <v>41667</v>
      </c>
      <c r="I825" t="s">
        <v>423</v>
      </c>
      <c r="J825" t="s">
        <v>2135</v>
      </c>
      <c r="K825" t="s">
        <v>2102</v>
      </c>
      <c r="L825" t="s">
        <v>2184</v>
      </c>
      <c r="M825">
        <v>494</v>
      </c>
      <c r="N825">
        <v>51.8</v>
      </c>
      <c r="O825">
        <v>17417.75</v>
      </c>
      <c r="P825">
        <v>0</v>
      </c>
      <c r="Q825">
        <v>17417.75</v>
      </c>
      <c r="R825">
        <v>2786.84</v>
      </c>
      <c r="S825">
        <v>696.71</v>
      </c>
      <c r="T825">
        <v>19507.88</v>
      </c>
      <c r="U825" t="s">
        <v>7462</v>
      </c>
      <c r="V825" t="s">
        <v>9409</v>
      </c>
      <c r="W825" t="s">
        <v>423</v>
      </c>
    </row>
    <row r="826" spans="1:23" hidden="1" x14ac:dyDescent="0.2">
      <c r="A826">
        <v>2012</v>
      </c>
      <c r="B826" t="s">
        <v>304</v>
      </c>
      <c r="C826" s="733">
        <v>40948</v>
      </c>
      <c r="D8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26" t="s">
        <v>485</v>
      </c>
      <c r="F826" t="s">
        <v>2084</v>
      </c>
      <c r="G826" t="s">
        <v>3781</v>
      </c>
      <c r="H826">
        <v>41378</v>
      </c>
      <c r="I826" t="s">
        <v>423</v>
      </c>
      <c r="J826" t="s">
        <v>2836</v>
      </c>
      <c r="K826" t="s">
        <v>2814</v>
      </c>
      <c r="L826" t="s">
        <v>2815</v>
      </c>
      <c r="M826">
        <v>70</v>
      </c>
      <c r="N826">
        <v>26.001000000000001</v>
      </c>
      <c r="O826">
        <v>2934.73</v>
      </c>
      <c r="P826">
        <v>0</v>
      </c>
      <c r="Q826">
        <v>2934.73</v>
      </c>
      <c r="R826">
        <v>322.82</v>
      </c>
      <c r="S826">
        <v>117.39</v>
      </c>
      <c r="T826">
        <v>3140.16</v>
      </c>
      <c r="U826" t="s">
        <v>7527</v>
      </c>
      <c r="V826" t="s">
        <v>9408</v>
      </c>
      <c r="W826" t="s">
        <v>423</v>
      </c>
    </row>
    <row r="827" spans="1:23" hidden="1" x14ac:dyDescent="0.2">
      <c r="A827">
        <v>2012</v>
      </c>
      <c r="B827" t="s">
        <v>304</v>
      </c>
      <c r="C827" s="733">
        <v>40952</v>
      </c>
      <c r="D8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27" t="s">
        <v>485</v>
      </c>
      <c r="F827" t="s">
        <v>2065</v>
      </c>
      <c r="G827" t="s">
        <v>2181</v>
      </c>
      <c r="H827">
        <v>41787</v>
      </c>
      <c r="I827" t="s">
        <v>423</v>
      </c>
      <c r="J827" t="s">
        <v>2182</v>
      </c>
      <c r="K827" t="s">
        <v>2183</v>
      </c>
      <c r="L827" t="s">
        <v>2184</v>
      </c>
      <c r="M827">
        <v>62</v>
      </c>
      <c r="N827">
        <v>15.73</v>
      </c>
      <c r="O827">
        <v>2330.2399999999998</v>
      </c>
      <c r="P827">
        <v>0</v>
      </c>
      <c r="Q827">
        <v>2330.2399999999998</v>
      </c>
      <c r="R827">
        <v>372.84</v>
      </c>
      <c r="S827">
        <v>93.21</v>
      </c>
      <c r="T827">
        <v>2609.87</v>
      </c>
      <c r="U827" t="s">
        <v>8048</v>
      </c>
      <c r="V827" t="s">
        <v>9408</v>
      </c>
      <c r="W827" t="s">
        <v>423</v>
      </c>
    </row>
    <row r="828" spans="1:23" hidden="1" x14ac:dyDescent="0.2">
      <c r="A828">
        <v>2012</v>
      </c>
      <c r="B828" t="s">
        <v>303</v>
      </c>
      <c r="C828" s="733">
        <v>40927</v>
      </c>
      <c r="D8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828" t="s">
        <v>485</v>
      </c>
      <c r="F828" t="s">
        <v>2065</v>
      </c>
      <c r="G828" t="s">
        <v>3957</v>
      </c>
      <c r="H828">
        <v>39797</v>
      </c>
      <c r="I828" t="s">
        <v>423</v>
      </c>
      <c r="J828" t="s">
        <v>3204</v>
      </c>
      <c r="K828" t="s">
        <v>2183</v>
      </c>
      <c r="L828" t="s">
        <v>2184</v>
      </c>
      <c r="M828">
        <v>80</v>
      </c>
      <c r="N828">
        <v>49.03</v>
      </c>
      <c r="O828">
        <v>5534.02</v>
      </c>
      <c r="P828">
        <v>0</v>
      </c>
      <c r="Q828">
        <v>5534.02</v>
      </c>
      <c r="R828">
        <v>885.44</v>
      </c>
      <c r="S828">
        <v>221.36</v>
      </c>
      <c r="T828">
        <v>6198.1</v>
      </c>
      <c r="V828" t="s">
        <v>9409</v>
      </c>
      <c r="W828" t="s">
        <v>423</v>
      </c>
    </row>
    <row r="829" spans="1:23" hidden="1" x14ac:dyDescent="0.2">
      <c r="A829">
        <v>2012</v>
      </c>
      <c r="B829" t="s">
        <v>304</v>
      </c>
      <c r="C829" s="733">
        <v>40942</v>
      </c>
      <c r="D8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29" t="s">
        <v>485</v>
      </c>
      <c r="F829" t="s">
        <v>2065</v>
      </c>
      <c r="G829" t="s">
        <v>3961</v>
      </c>
      <c r="H829">
        <v>41196</v>
      </c>
      <c r="I829" t="s">
        <v>423</v>
      </c>
      <c r="J829" t="s">
        <v>3204</v>
      </c>
      <c r="K829" t="s">
        <v>2183</v>
      </c>
      <c r="L829" t="s">
        <v>2184</v>
      </c>
      <c r="M829">
        <v>80</v>
      </c>
      <c r="N829">
        <v>52.76</v>
      </c>
      <c r="O829">
        <v>5955.02</v>
      </c>
      <c r="P829">
        <v>0</v>
      </c>
      <c r="Q829">
        <v>5955.02</v>
      </c>
      <c r="R829">
        <v>952.8</v>
      </c>
      <c r="S829">
        <v>238.2</v>
      </c>
      <c r="T829">
        <v>6669.62</v>
      </c>
      <c r="U829" t="s">
        <v>2192</v>
      </c>
      <c r="V829" t="s">
        <v>9409</v>
      </c>
      <c r="W829" t="s">
        <v>423</v>
      </c>
    </row>
    <row r="830" spans="1:23" hidden="1" x14ac:dyDescent="0.2">
      <c r="A830">
        <v>2012</v>
      </c>
      <c r="B830" t="s">
        <v>304</v>
      </c>
      <c r="C830" s="733">
        <v>40947</v>
      </c>
      <c r="D8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30" t="s">
        <v>485</v>
      </c>
      <c r="F830" t="s">
        <v>2065</v>
      </c>
      <c r="G830" t="s">
        <v>3975</v>
      </c>
      <c r="H830">
        <v>41555</v>
      </c>
      <c r="I830" t="s">
        <v>423</v>
      </c>
      <c r="J830" t="s">
        <v>3204</v>
      </c>
      <c r="K830" t="s">
        <v>2183</v>
      </c>
      <c r="L830" t="s">
        <v>2184</v>
      </c>
      <c r="M830">
        <v>80</v>
      </c>
      <c r="N830">
        <v>25.6</v>
      </c>
      <c r="O830">
        <v>2889.47</v>
      </c>
      <c r="P830">
        <v>0</v>
      </c>
      <c r="Q830">
        <v>2889.47</v>
      </c>
      <c r="R830">
        <v>462.32</v>
      </c>
      <c r="S830">
        <v>115.58</v>
      </c>
      <c r="T830">
        <v>3236.21</v>
      </c>
      <c r="U830" t="s">
        <v>2192</v>
      </c>
      <c r="V830" t="s">
        <v>9408</v>
      </c>
      <c r="W830" t="s">
        <v>423</v>
      </c>
    </row>
    <row r="831" spans="1:23" hidden="1" x14ac:dyDescent="0.2">
      <c r="A831">
        <v>2012</v>
      </c>
      <c r="B831" t="s">
        <v>303</v>
      </c>
      <c r="C831" s="733">
        <v>40925</v>
      </c>
      <c r="D8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831" t="s">
        <v>485</v>
      </c>
      <c r="F831" t="s">
        <v>2065</v>
      </c>
      <c r="G831" t="s">
        <v>3976</v>
      </c>
      <c r="H831">
        <v>40326</v>
      </c>
      <c r="I831" t="s">
        <v>423</v>
      </c>
      <c r="J831" t="s">
        <v>3204</v>
      </c>
      <c r="K831" t="s">
        <v>2183</v>
      </c>
      <c r="L831" t="s">
        <v>2115</v>
      </c>
      <c r="M831">
        <v>80</v>
      </c>
      <c r="N831">
        <v>25.21</v>
      </c>
      <c r="O831">
        <v>2845.45</v>
      </c>
      <c r="P831">
        <v>0</v>
      </c>
      <c r="Q831">
        <v>2845.45</v>
      </c>
      <c r="R831">
        <v>455.27</v>
      </c>
      <c r="S831">
        <v>113.82</v>
      </c>
      <c r="T831">
        <v>3186.9</v>
      </c>
      <c r="U831" t="s">
        <v>2187</v>
      </c>
      <c r="V831" t="s">
        <v>9408</v>
      </c>
      <c r="W831" t="s">
        <v>423</v>
      </c>
    </row>
    <row r="832" spans="1:23" hidden="1" x14ac:dyDescent="0.2">
      <c r="A832">
        <v>2012</v>
      </c>
      <c r="B832" t="s">
        <v>303</v>
      </c>
      <c r="C832" s="733">
        <v>40939</v>
      </c>
      <c r="D8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832" t="s">
        <v>485</v>
      </c>
      <c r="F832" t="s">
        <v>2065</v>
      </c>
      <c r="G832" t="s">
        <v>2194</v>
      </c>
      <c r="H832">
        <v>39955</v>
      </c>
      <c r="I832" t="s">
        <v>423</v>
      </c>
      <c r="J832" t="s">
        <v>2182</v>
      </c>
      <c r="K832" t="s">
        <v>2183</v>
      </c>
      <c r="L832" t="s">
        <v>2184</v>
      </c>
      <c r="M832">
        <v>62</v>
      </c>
      <c r="N832">
        <v>16.16</v>
      </c>
      <c r="O832">
        <v>2393.94</v>
      </c>
      <c r="P832">
        <v>0</v>
      </c>
      <c r="Q832">
        <v>2393.94</v>
      </c>
      <c r="R832">
        <v>383.03</v>
      </c>
      <c r="S832">
        <v>95.76</v>
      </c>
      <c r="T832">
        <v>2681.21</v>
      </c>
      <c r="U832" t="s">
        <v>2187</v>
      </c>
      <c r="V832" t="s">
        <v>9408</v>
      </c>
      <c r="W832" t="s">
        <v>423</v>
      </c>
    </row>
    <row r="833" spans="1:23" hidden="1" x14ac:dyDescent="0.2">
      <c r="A833">
        <v>2012</v>
      </c>
      <c r="B833" t="s">
        <v>303</v>
      </c>
      <c r="C833" s="733">
        <v>40926</v>
      </c>
      <c r="D8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833" t="s">
        <v>485</v>
      </c>
      <c r="F833" t="s">
        <v>2065</v>
      </c>
      <c r="G833" t="s">
        <v>2193</v>
      </c>
      <c r="H833">
        <v>40460</v>
      </c>
      <c r="I833" t="s">
        <v>423</v>
      </c>
      <c r="J833" t="s">
        <v>2182</v>
      </c>
      <c r="K833" t="s">
        <v>2183</v>
      </c>
      <c r="L833" t="s">
        <v>2184</v>
      </c>
      <c r="M833">
        <v>62</v>
      </c>
      <c r="N833">
        <v>15.61</v>
      </c>
      <c r="O833">
        <v>2312.4699999999998</v>
      </c>
      <c r="P833">
        <v>0</v>
      </c>
      <c r="Q833">
        <v>2312.4699999999998</v>
      </c>
      <c r="R833">
        <v>369.99</v>
      </c>
      <c r="S833">
        <v>92.5</v>
      </c>
      <c r="T833">
        <v>2589.96</v>
      </c>
      <c r="U833" t="s">
        <v>7554</v>
      </c>
      <c r="V833" t="s">
        <v>9408</v>
      </c>
      <c r="W833" t="s">
        <v>423</v>
      </c>
    </row>
    <row r="834" spans="1:23" hidden="1" x14ac:dyDescent="0.2">
      <c r="A834">
        <v>2012</v>
      </c>
      <c r="B834" t="s">
        <v>303</v>
      </c>
      <c r="C834" s="733">
        <v>40919</v>
      </c>
      <c r="D8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834" t="s">
        <v>485</v>
      </c>
      <c r="F834" t="s">
        <v>2065</v>
      </c>
      <c r="G834" t="s">
        <v>2275</v>
      </c>
      <c r="H834">
        <v>40038</v>
      </c>
      <c r="I834" t="s">
        <v>423</v>
      </c>
      <c r="J834" t="s">
        <v>2182</v>
      </c>
      <c r="K834" t="s">
        <v>2183</v>
      </c>
      <c r="L834" t="s">
        <v>2184</v>
      </c>
      <c r="M834">
        <v>62</v>
      </c>
      <c r="N834">
        <v>25.19</v>
      </c>
      <c r="O834">
        <v>3731.65</v>
      </c>
      <c r="P834">
        <v>0</v>
      </c>
      <c r="Q834">
        <v>3731.65</v>
      </c>
      <c r="R834">
        <v>597.05999999999995</v>
      </c>
      <c r="S834">
        <v>149.27000000000001</v>
      </c>
      <c r="T834">
        <v>4179.4399999999996</v>
      </c>
      <c r="U834" t="s">
        <v>7587</v>
      </c>
      <c r="V834" t="s">
        <v>9408</v>
      </c>
      <c r="W834" t="s">
        <v>423</v>
      </c>
    </row>
    <row r="835" spans="1:23" hidden="1" x14ac:dyDescent="0.2">
      <c r="A835">
        <v>2012</v>
      </c>
      <c r="B835" t="s">
        <v>303</v>
      </c>
      <c r="C835" s="733">
        <v>40931</v>
      </c>
      <c r="D8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835" t="s">
        <v>505</v>
      </c>
      <c r="F835" t="s">
        <v>1915</v>
      </c>
      <c r="G835" t="s">
        <v>4156</v>
      </c>
      <c r="H835">
        <v>22178</v>
      </c>
      <c r="I835" t="s">
        <v>423</v>
      </c>
      <c r="J835" t="s">
        <v>4155</v>
      </c>
      <c r="K835" t="s">
        <v>1918</v>
      </c>
      <c r="L835" t="s">
        <v>1919</v>
      </c>
      <c r="M835">
        <v>650</v>
      </c>
      <c r="N835">
        <v>54.34</v>
      </c>
      <c r="O835">
        <v>23368.92</v>
      </c>
      <c r="P835">
        <v>0</v>
      </c>
      <c r="Q835">
        <v>23368.92</v>
      </c>
      <c r="R835">
        <v>3739.03</v>
      </c>
      <c r="S835">
        <v>934.76</v>
      </c>
      <c r="T835">
        <v>26173.19</v>
      </c>
      <c r="V835" t="s">
        <v>9409</v>
      </c>
      <c r="W835" t="s">
        <v>423</v>
      </c>
    </row>
    <row r="836" spans="1:23" hidden="1" x14ac:dyDescent="0.2">
      <c r="A836">
        <v>2012</v>
      </c>
      <c r="B836" t="s">
        <v>304</v>
      </c>
      <c r="C836" s="733">
        <v>40942</v>
      </c>
      <c r="D8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36" t="s">
        <v>505</v>
      </c>
      <c r="F836" t="s">
        <v>1915</v>
      </c>
      <c r="G836" t="s">
        <v>4154</v>
      </c>
      <c r="H836">
        <v>22481</v>
      </c>
      <c r="I836" t="s">
        <v>423</v>
      </c>
      <c r="J836" t="s">
        <v>4155</v>
      </c>
      <c r="K836" t="s">
        <v>1918</v>
      </c>
      <c r="L836" t="s">
        <v>1919</v>
      </c>
      <c r="M836">
        <v>650</v>
      </c>
      <c r="N836">
        <v>50.12</v>
      </c>
      <c r="O836">
        <v>21554.11</v>
      </c>
      <c r="P836">
        <v>0</v>
      </c>
      <c r="Q836">
        <v>21554.11</v>
      </c>
      <c r="R836">
        <v>3448.66</v>
      </c>
      <c r="S836">
        <v>862.16</v>
      </c>
      <c r="T836">
        <v>24140.61</v>
      </c>
      <c r="U836" t="s">
        <v>1924</v>
      </c>
      <c r="V836" t="s">
        <v>9409</v>
      </c>
      <c r="W836" t="s">
        <v>423</v>
      </c>
    </row>
    <row r="837" spans="1:23" hidden="1" x14ac:dyDescent="0.2">
      <c r="A837">
        <v>2012</v>
      </c>
      <c r="B837" t="s">
        <v>303</v>
      </c>
      <c r="C837" s="733">
        <v>40925</v>
      </c>
      <c r="D8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837" t="s">
        <v>478</v>
      </c>
      <c r="F837" t="s">
        <v>2136</v>
      </c>
      <c r="G837" t="s">
        <v>5388</v>
      </c>
      <c r="H837">
        <v>34646</v>
      </c>
      <c r="I837" t="s">
        <v>423</v>
      </c>
      <c r="J837" t="s">
        <v>3029</v>
      </c>
      <c r="K837" t="s">
        <v>425</v>
      </c>
      <c r="L837" t="s">
        <v>2145</v>
      </c>
      <c r="M837">
        <v>35</v>
      </c>
      <c r="N837">
        <v>26.18</v>
      </c>
      <c r="O837">
        <v>3514.66</v>
      </c>
      <c r="P837">
        <v>0</v>
      </c>
      <c r="Q837">
        <v>3514.66</v>
      </c>
      <c r="R837">
        <v>562.35</v>
      </c>
      <c r="S837">
        <v>140.59</v>
      </c>
      <c r="T837">
        <v>3936.42</v>
      </c>
      <c r="U837" t="s">
        <v>2146</v>
      </c>
      <c r="V837" t="s">
        <v>9408</v>
      </c>
      <c r="W837" t="s">
        <v>423</v>
      </c>
    </row>
    <row r="838" spans="1:23" hidden="1" x14ac:dyDescent="0.2">
      <c r="A838">
        <v>2012</v>
      </c>
      <c r="B838" t="s">
        <v>303</v>
      </c>
      <c r="C838" s="733">
        <v>40921</v>
      </c>
      <c r="D8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838" t="s">
        <v>478</v>
      </c>
      <c r="F838" t="s">
        <v>2136</v>
      </c>
      <c r="G838" t="s">
        <v>5390</v>
      </c>
      <c r="H838">
        <v>34485</v>
      </c>
      <c r="I838" t="s">
        <v>423</v>
      </c>
      <c r="J838" t="s">
        <v>4699</v>
      </c>
      <c r="K838" t="s">
        <v>425</v>
      </c>
      <c r="L838" t="s">
        <v>2145</v>
      </c>
      <c r="M838">
        <v>555</v>
      </c>
      <c r="N838">
        <v>53.03</v>
      </c>
      <c r="O838">
        <v>16943.080000000002</v>
      </c>
      <c r="P838">
        <v>0</v>
      </c>
      <c r="Q838">
        <v>16943.080000000002</v>
      </c>
      <c r="R838">
        <v>2710.89</v>
      </c>
      <c r="S838">
        <v>677.72</v>
      </c>
      <c r="T838">
        <v>18976.25</v>
      </c>
      <c r="U838" t="s">
        <v>2355</v>
      </c>
      <c r="V838" t="s">
        <v>9409</v>
      </c>
      <c r="W838" t="s">
        <v>423</v>
      </c>
    </row>
    <row r="839" spans="1:23" hidden="1" x14ac:dyDescent="0.2">
      <c r="A839">
        <v>2012</v>
      </c>
      <c r="B839" t="s">
        <v>304</v>
      </c>
      <c r="C839" s="733">
        <v>40962</v>
      </c>
      <c r="D8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39" t="s">
        <v>485</v>
      </c>
      <c r="F839" t="s">
        <v>2065</v>
      </c>
      <c r="G839" t="s">
        <v>8552</v>
      </c>
      <c r="H839">
        <v>42468</v>
      </c>
      <c r="I839" t="s">
        <v>423</v>
      </c>
      <c r="J839" t="s">
        <v>2182</v>
      </c>
      <c r="K839" t="s">
        <v>2183</v>
      </c>
      <c r="L839" t="s">
        <v>2184</v>
      </c>
      <c r="M839">
        <v>62</v>
      </c>
      <c r="N839">
        <v>16.149999999999999</v>
      </c>
      <c r="O839">
        <v>2392.46</v>
      </c>
      <c r="P839">
        <v>0</v>
      </c>
      <c r="Q839">
        <v>2392.46</v>
      </c>
      <c r="R839">
        <v>382.79</v>
      </c>
      <c r="S839">
        <v>95.7</v>
      </c>
      <c r="T839">
        <v>2679.55</v>
      </c>
      <c r="U839" t="s">
        <v>9411</v>
      </c>
      <c r="V839" t="s">
        <v>9408</v>
      </c>
      <c r="W839" t="s">
        <v>423</v>
      </c>
    </row>
    <row r="840" spans="1:23" hidden="1" x14ac:dyDescent="0.2">
      <c r="A840">
        <v>2012</v>
      </c>
      <c r="B840" t="s">
        <v>304</v>
      </c>
      <c r="C840" s="733">
        <v>40952</v>
      </c>
      <c r="D8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40" t="s">
        <v>485</v>
      </c>
      <c r="F840" t="s">
        <v>2065</v>
      </c>
      <c r="G840" t="s">
        <v>5402</v>
      </c>
      <c r="H840">
        <v>41794</v>
      </c>
      <c r="I840" t="s">
        <v>423</v>
      </c>
      <c r="J840" t="s">
        <v>2182</v>
      </c>
      <c r="K840" t="s">
        <v>2183</v>
      </c>
      <c r="L840" t="s">
        <v>2184</v>
      </c>
      <c r="M840">
        <v>62</v>
      </c>
      <c r="N840">
        <v>16.77</v>
      </c>
      <c r="O840">
        <v>2484.31</v>
      </c>
      <c r="P840">
        <v>0</v>
      </c>
      <c r="Q840">
        <v>2484.31</v>
      </c>
      <c r="R840">
        <v>397.49</v>
      </c>
      <c r="S840">
        <v>99.37</v>
      </c>
      <c r="T840">
        <v>2782.43</v>
      </c>
      <c r="U840" t="s">
        <v>8048</v>
      </c>
      <c r="V840" t="s">
        <v>9408</v>
      </c>
      <c r="W840" t="s">
        <v>423</v>
      </c>
    </row>
    <row r="841" spans="1:23" hidden="1" x14ac:dyDescent="0.2">
      <c r="A841">
        <v>2012</v>
      </c>
      <c r="B841" t="s">
        <v>304</v>
      </c>
      <c r="C841" s="733">
        <v>40966</v>
      </c>
      <c r="D8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41" t="s">
        <v>485</v>
      </c>
      <c r="F841" t="s">
        <v>2065</v>
      </c>
      <c r="G841" t="s">
        <v>8795</v>
      </c>
      <c r="H841">
        <v>42578</v>
      </c>
      <c r="I841" t="s">
        <v>423</v>
      </c>
      <c r="J841" t="s">
        <v>2182</v>
      </c>
      <c r="K841" t="s">
        <v>2183</v>
      </c>
      <c r="L841" t="s">
        <v>2184</v>
      </c>
      <c r="M841">
        <v>62</v>
      </c>
      <c r="N841">
        <v>16.3</v>
      </c>
      <c r="O841">
        <v>2414.6799999999998</v>
      </c>
      <c r="P841">
        <v>0</v>
      </c>
      <c r="Q841">
        <v>2414.6799999999998</v>
      </c>
      <c r="R841">
        <v>386.35</v>
      </c>
      <c r="S841">
        <v>96.59</v>
      </c>
      <c r="T841">
        <v>2704.44</v>
      </c>
      <c r="V841" t="s">
        <v>9408</v>
      </c>
      <c r="W841" t="s">
        <v>423</v>
      </c>
    </row>
    <row r="842" spans="1:23" hidden="1" x14ac:dyDescent="0.2">
      <c r="A842">
        <v>2012</v>
      </c>
      <c r="B842" t="s">
        <v>303</v>
      </c>
      <c r="C842" s="733">
        <v>40934.463414351849</v>
      </c>
      <c r="D8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842" t="s">
        <v>485</v>
      </c>
      <c r="F842" t="s">
        <v>2065</v>
      </c>
      <c r="G842" t="s">
        <v>5397</v>
      </c>
      <c r="H842">
        <v>40929</v>
      </c>
      <c r="I842" t="s">
        <v>423</v>
      </c>
      <c r="J842" t="s">
        <v>2182</v>
      </c>
      <c r="K842" t="s">
        <v>2183</v>
      </c>
      <c r="L842" t="s">
        <v>2184</v>
      </c>
      <c r="M842">
        <v>62</v>
      </c>
      <c r="N842">
        <v>15.92</v>
      </c>
      <c r="O842">
        <v>2358.39</v>
      </c>
      <c r="P842">
        <v>0</v>
      </c>
      <c r="Q842">
        <v>2358.39</v>
      </c>
      <c r="R842">
        <v>377.34</v>
      </c>
      <c r="S842">
        <v>94.34</v>
      </c>
      <c r="T842">
        <v>2641.39</v>
      </c>
      <c r="U842" t="s">
        <v>2187</v>
      </c>
      <c r="V842" t="s">
        <v>9408</v>
      </c>
      <c r="W842" t="s">
        <v>423</v>
      </c>
    </row>
    <row r="843" spans="1:23" hidden="1" x14ac:dyDescent="0.2">
      <c r="A843">
        <v>2012</v>
      </c>
      <c r="B843" t="s">
        <v>303</v>
      </c>
      <c r="C843" s="733">
        <v>40924</v>
      </c>
      <c r="D8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843" t="s">
        <v>485</v>
      </c>
      <c r="F843" t="s">
        <v>2065</v>
      </c>
      <c r="G843" t="s">
        <v>5763</v>
      </c>
      <c r="H843">
        <v>40300</v>
      </c>
      <c r="I843" t="s">
        <v>423</v>
      </c>
      <c r="J843" t="s">
        <v>3147</v>
      </c>
      <c r="K843" t="s">
        <v>2183</v>
      </c>
      <c r="L843" t="s">
        <v>2184</v>
      </c>
      <c r="M843">
        <v>528</v>
      </c>
      <c r="N843">
        <v>26.56</v>
      </c>
      <c r="O843">
        <v>8222.98</v>
      </c>
      <c r="P843">
        <v>0</v>
      </c>
      <c r="Q843">
        <v>8222.98</v>
      </c>
      <c r="R843">
        <v>1315.68</v>
      </c>
      <c r="S843">
        <v>328.92</v>
      </c>
      <c r="T843">
        <v>9209.74</v>
      </c>
      <c r="U843" t="s">
        <v>7587</v>
      </c>
      <c r="V843" t="s">
        <v>9409</v>
      </c>
      <c r="W843" t="s">
        <v>423</v>
      </c>
    </row>
    <row r="844" spans="1:23" hidden="1" x14ac:dyDescent="0.2">
      <c r="A844">
        <v>2012</v>
      </c>
      <c r="B844" t="s">
        <v>303</v>
      </c>
      <c r="C844" s="733">
        <v>40939</v>
      </c>
      <c r="D8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844" t="s">
        <v>485</v>
      </c>
      <c r="F844" t="s">
        <v>2065</v>
      </c>
      <c r="G844" t="s">
        <v>5401</v>
      </c>
      <c r="H844">
        <v>40053</v>
      </c>
      <c r="I844" t="s">
        <v>423</v>
      </c>
      <c r="J844" t="s">
        <v>2182</v>
      </c>
      <c r="K844" t="s">
        <v>2183</v>
      </c>
      <c r="L844" t="s">
        <v>2184</v>
      </c>
      <c r="M844">
        <v>62</v>
      </c>
      <c r="N844">
        <v>15.18</v>
      </c>
      <c r="O844">
        <v>2248.77</v>
      </c>
      <c r="P844">
        <v>0</v>
      </c>
      <c r="Q844">
        <v>2248.77</v>
      </c>
      <c r="R844">
        <v>359.8</v>
      </c>
      <c r="S844">
        <v>89.95</v>
      </c>
      <c r="T844">
        <v>2518.62</v>
      </c>
      <c r="U844" t="s">
        <v>2187</v>
      </c>
      <c r="V844" t="s">
        <v>9408</v>
      </c>
      <c r="W844" t="s">
        <v>423</v>
      </c>
    </row>
    <row r="845" spans="1:23" x14ac:dyDescent="0.2">
      <c r="A845">
        <v>2012</v>
      </c>
      <c r="B845" t="s">
        <v>304</v>
      </c>
      <c r="C845" s="733">
        <v>40967</v>
      </c>
      <c r="D8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45" t="s">
        <v>485</v>
      </c>
      <c r="F845" t="s">
        <v>2065</v>
      </c>
      <c r="G845" t="s">
        <v>8946</v>
      </c>
      <c r="H845">
        <v>42781</v>
      </c>
      <c r="I845" t="s">
        <v>423</v>
      </c>
      <c r="J845" t="s">
        <v>2182</v>
      </c>
      <c r="K845" t="s">
        <v>2183</v>
      </c>
      <c r="L845" t="s">
        <v>2184</v>
      </c>
      <c r="M845">
        <v>62</v>
      </c>
      <c r="N845">
        <v>16.559999999999999</v>
      </c>
      <c r="O845">
        <v>2453.1999999999998</v>
      </c>
      <c r="P845">
        <v>0</v>
      </c>
      <c r="Q845">
        <v>2453.1999999999998</v>
      </c>
      <c r="R845">
        <v>392.51</v>
      </c>
      <c r="S845">
        <v>98.13</v>
      </c>
      <c r="T845">
        <v>2747.58</v>
      </c>
      <c r="V845" t="s">
        <v>9408</v>
      </c>
      <c r="W845" t="s">
        <v>423</v>
      </c>
    </row>
    <row r="846" spans="1:23" x14ac:dyDescent="0.2">
      <c r="A846">
        <v>2012</v>
      </c>
      <c r="B846" t="s">
        <v>304</v>
      </c>
      <c r="C846" s="733">
        <v>40967</v>
      </c>
      <c r="D8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46" t="s">
        <v>485</v>
      </c>
      <c r="F846" t="s">
        <v>2065</v>
      </c>
      <c r="G846" t="s">
        <v>8947</v>
      </c>
      <c r="H846">
        <v>42775</v>
      </c>
      <c r="I846" t="s">
        <v>423</v>
      </c>
      <c r="J846" t="s">
        <v>2182</v>
      </c>
      <c r="K846" t="s">
        <v>2183</v>
      </c>
      <c r="L846" t="s">
        <v>2184</v>
      </c>
      <c r="M846">
        <v>62</v>
      </c>
      <c r="N846">
        <v>15.54</v>
      </c>
      <c r="O846">
        <v>2302.1</v>
      </c>
      <c r="P846">
        <v>0</v>
      </c>
      <c r="Q846">
        <v>2302.1</v>
      </c>
      <c r="R846">
        <v>368.34</v>
      </c>
      <c r="S846">
        <v>92.08</v>
      </c>
      <c r="T846">
        <v>2578.36</v>
      </c>
      <c r="V846" t="s">
        <v>9408</v>
      </c>
      <c r="W846" t="s">
        <v>423</v>
      </c>
    </row>
    <row r="847" spans="1:23" hidden="1" x14ac:dyDescent="0.2">
      <c r="A847">
        <v>2012</v>
      </c>
      <c r="B847" t="s">
        <v>303</v>
      </c>
      <c r="C847" s="733">
        <v>40928</v>
      </c>
      <c r="D8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847" t="s">
        <v>485</v>
      </c>
      <c r="F847" t="s">
        <v>2065</v>
      </c>
      <c r="G847" t="s">
        <v>4109</v>
      </c>
      <c r="H847">
        <v>39706</v>
      </c>
      <c r="I847" t="s">
        <v>424</v>
      </c>
      <c r="J847" t="s">
        <v>2114</v>
      </c>
      <c r="K847" t="s">
        <v>2102</v>
      </c>
      <c r="L847" t="s">
        <v>2115</v>
      </c>
      <c r="M847">
        <v>500</v>
      </c>
      <c r="N847">
        <v>54</v>
      </c>
      <c r="O847">
        <v>10009.44</v>
      </c>
      <c r="P847">
        <v>0</v>
      </c>
      <c r="Q847">
        <v>10009.44</v>
      </c>
      <c r="R847">
        <v>1601.51</v>
      </c>
      <c r="S847">
        <v>400.38</v>
      </c>
      <c r="T847">
        <v>11210.57</v>
      </c>
      <c r="U847" t="s">
        <v>8871</v>
      </c>
      <c r="V847" t="s">
        <v>9409</v>
      </c>
      <c r="W847" t="s">
        <v>424</v>
      </c>
    </row>
    <row r="848" spans="1:23" hidden="1" x14ac:dyDescent="0.2">
      <c r="A848">
        <v>2012</v>
      </c>
      <c r="B848" t="s">
        <v>303</v>
      </c>
      <c r="C848" s="733">
        <v>40924</v>
      </c>
      <c r="D8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848" t="s">
        <v>485</v>
      </c>
      <c r="F848" t="s">
        <v>2065</v>
      </c>
      <c r="G848" t="s">
        <v>6996</v>
      </c>
      <c r="H848">
        <v>40296</v>
      </c>
      <c r="I848" t="s">
        <v>423</v>
      </c>
      <c r="J848" t="s">
        <v>2135</v>
      </c>
      <c r="K848" t="s">
        <v>2102</v>
      </c>
      <c r="L848" t="s">
        <v>2115</v>
      </c>
      <c r="M848">
        <v>494</v>
      </c>
      <c r="N848">
        <v>28.06</v>
      </c>
      <c r="O848">
        <v>9435.18</v>
      </c>
      <c r="P848">
        <v>0</v>
      </c>
      <c r="Q848">
        <v>9435.18</v>
      </c>
      <c r="R848">
        <v>1509.63</v>
      </c>
      <c r="S848">
        <v>377.41</v>
      </c>
      <c r="T848">
        <v>10567.4</v>
      </c>
      <c r="U848" t="s">
        <v>2106</v>
      </c>
      <c r="V848" t="s">
        <v>9408</v>
      </c>
      <c r="W848" t="s">
        <v>423</v>
      </c>
    </row>
    <row r="849" spans="1:23" hidden="1" x14ac:dyDescent="0.2">
      <c r="A849">
        <v>2012</v>
      </c>
      <c r="B849" t="s">
        <v>303</v>
      </c>
      <c r="C849" s="733">
        <v>40938</v>
      </c>
      <c r="D8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849" t="s">
        <v>485</v>
      </c>
      <c r="F849" t="s">
        <v>2065</v>
      </c>
      <c r="G849" t="s">
        <v>4112</v>
      </c>
      <c r="H849">
        <v>40948</v>
      </c>
      <c r="I849" t="s">
        <v>424</v>
      </c>
      <c r="J849" t="s">
        <v>2135</v>
      </c>
      <c r="K849" t="s">
        <v>2102</v>
      </c>
      <c r="L849" t="s">
        <v>2115</v>
      </c>
      <c r="M849">
        <v>494</v>
      </c>
      <c r="N849">
        <v>54</v>
      </c>
      <c r="O849">
        <v>11375.64</v>
      </c>
      <c r="P849">
        <v>0</v>
      </c>
      <c r="Q849">
        <v>11375.64</v>
      </c>
      <c r="R849">
        <v>1820.1</v>
      </c>
      <c r="S849">
        <v>455.03</v>
      </c>
      <c r="T849">
        <v>12740.71</v>
      </c>
      <c r="U849" t="s">
        <v>2116</v>
      </c>
      <c r="V849" t="s">
        <v>9409</v>
      </c>
      <c r="W849" t="s">
        <v>424</v>
      </c>
    </row>
    <row r="850" spans="1:23" hidden="1" x14ac:dyDescent="0.2">
      <c r="A850">
        <v>2012</v>
      </c>
      <c r="B850" t="s">
        <v>303</v>
      </c>
      <c r="C850" s="733">
        <v>40910</v>
      </c>
      <c r="D8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850" t="s">
        <v>485</v>
      </c>
      <c r="F850" t="s">
        <v>2065</v>
      </c>
      <c r="G850" t="s">
        <v>4110</v>
      </c>
      <c r="H850">
        <v>39647</v>
      </c>
      <c r="I850" t="s">
        <v>423</v>
      </c>
      <c r="J850" t="s">
        <v>2114</v>
      </c>
      <c r="K850" t="s">
        <v>2102</v>
      </c>
      <c r="L850" t="s">
        <v>2115</v>
      </c>
      <c r="M850">
        <v>500</v>
      </c>
      <c r="N850">
        <v>51.06</v>
      </c>
      <c r="O850">
        <v>7228.56</v>
      </c>
      <c r="P850">
        <v>8138.5634179999997</v>
      </c>
      <c r="Q850">
        <v>15367.123417999999</v>
      </c>
      <c r="R850">
        <v>2458.7397470000001</v>
      </c>
      <c r="S850">
        <v>614.68493699999999</v>
      </c>
      <c r="T850">
        <v>17211.178228000001</v>
      </c>
      <c r="U850" t="s">
        <v>2104</v>
      </c>
      <c r="V850" t="s">
        <v>9409</v>
      </c>
      <c r="W850" t="s">
        <v>423</v>
      </c>
    </row>
    <row r="851" spans="1:23" hidden="1" x14ac:dyDescent="0.2">
      <c r="A851">
        <v>2012</v>
      </c>
      <c r="B851" t="s">
        <v>303</v>
      </c>
      <c r="C851" s="733">
        <v>40928</v>
      </c>
      <c r="D8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851" t="s">
        <v>485</v>
      </c>
      <c r="F851" t="s">
        <v>2065</v>
      </c>
      <c r="G851" t="s">
        <v>4115</v>
      </c>
      <c r="H851">
        <v>40575</v>
      </c>
      <c r="I851" t="s">
        <v>424</v>
      </c>
      <c r="J851" t="s">
        <v>2114</v>
      </c>
      <c r="K851" t="s">
        <v>2102</v>
      </c>
      <c r="L851" t="s">
        <v>2115</v>
      </c>
      <c r="M851">
        <v>500</v>
      </c>
      <c r="N851">
        <v>54</v>
      </c>
      <c r="O851">
        <v>11375.64</v>
      </c>
      <c r="P851">
        <v>0</v>
      </c>
      <c r="Q851">
        <v>11375.64</v>
      </c>
      <c r="R851">
        <v>1820.1</v>
      </c>
      <c r="S851">
        <v>455.03</v>
      </c>
      <c r="T851">
        <v>12740.71</v>
      </c>
      <c r="U851" t="s">
        <v>2119</v>
      </c>
      <c r="V851" t="s">
        <v>9409</v>
      </c>
      <c r="W851" t="s">
        <v>424</v>
      </c>
    </row>
    <row r="852" spans="1:23" hidden="1" x14ac:dyDescent="0.2">
      <c r="A852">
        <v>2012</v>
      </c>
      <c r="B852" t="s">
        <v>304</v>
      </c>
      <c r="C852" s="733">
        <v>40955</v>
      </c>
      <c r="D8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52" t="s">
        <v>485</v>
      </c>
      <c r="F852" t="s">
        <v>2065</v>
      </c>
      <c r="G852" t="s">
        <v>7688</v>
      </c>
      <c r="H852">
        <v>42034</v>
      </c>
      <c r="I852" t="s">
        <v>424</v>
      </c>
      <c r="J852" t="s">
        <v>2114</v>
      </c>
      <c r="K852" t="s">
        <v>2102</v>
      </c>
      <c r="L852" t="s">
        <v>2115</v>
      </c>
      <c r="M852">
        <v>500</v>
      </c>
      <c r="N852">
        <v>54</v>
      </c>
      <c r="O852">
        <v>10009.44</v>
      </c>
      <c r="P852">
        <v>0</v>
      </c>
      <c r="Q852">
        <v>10009.44</v>
      </c>
      <c r="R852">
        <v>1601.51</v>
      </c>
      <c r="S852">
        <v>400.38</v>
      </c>
      <c r="T852">
        <v>11210.57</v>
      </c>
      <c r="V852" t="s">
        <v>9409</v>
      </c>
      <c r="W852" t="s">
        <v>424</v>
      </c>
    </row>
    <row r="853" spans="1:23" hidden="1" x14ac:dyDescent="0.2">
      <c r="A853">
        <v>2012</v>
      </c>
      <c r="B853" t="s">
        <v>304</v>
      </c>
      <c r="C853" s="733">
        <v>40941</v>
      </c>
      <c r="D8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53" t="s">
        <v>485</v>
      </c>
      <c r="F853" t="s">
        <v>2065</v>
      </c>
      <c r="G853" t="s">
        <v>6995</v>
      </c>
      <c r="H853">
        <v>41248</v>
      </c>
      <c r="I853" t="s">
        <v>424</v>
      </c>
      <c r="J853" t="s">
        <v>2114</v>
      </c>
      <c r="K853" t="s">
        <v>2102</v>
      </c>
      <c r="L853" t="s">
        <v>2115</v>
      </c>
      <c r="M853">
        <v>500</v>
      </c>
      <c r="N853">
        <v>54</v>
      </c>
      <c r="O853">
        <v>10009.44</v>
      </c>
      <c r="P853">
        <v>0</v>
      </c>
      <c r="Q853">
        <v>10009.44</v>
      </c>
      <c r="R853">
        <v>1601.51</v>
      </c>
      <c r="S853">
        <v>400.38</v>
      </c>
      <c r="T853">
        <v>11210.57</v>
      </c>
      <c r="U853" t="s">
        <v>8871</v>
      </c>
      <c r="V853" t="s">
        <v>9409</v>
      </c>
      <c r="W853" t="s">
        <v>424</v>
      </c>
    </row>
    <row r="854" spans="1:23" hidden="1" x14ac:dyDescent="0.2">
      <c r="A854">
        <v>2012</v>
      </c>
      <c r="B854" t="s">
        <v>303</v>
      </c>
      <c r="C854" s="733">
        <v>40932</v>
      </c>
      <c r="D8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854" t="s">
        <v>485</v>
      </c>
      <c r="F854" t="s">
        <v>2084</v>
      </c>
      <c r="G854" t="s">
        <v>3084</v>
      </c>
      <c r="H854">
        <v>40684</v>
      </c>
      <c r="I854" t="s">
        <v>423</v>
      </c>
      <c r="J854" t="s">
        <v>2836</v>
      </c>
      <c r="K854" t="s">
        <v>2814</v>
      </c>
      <c r="L854" t="s">
        <v>2815</v>
      </c>
      <c r="M854">
        <v>70</v>
      </c>
      <c r="N854">
        <v>27.831</v>
      </c>
      <c r="O854">
        <v>3141.28</v>
      </c>
      <c r="P854">
        <v>0</v>
      </c>
      <c r="Q854">
        <v>3141.28</v>
      </c>
      <c r="R854">
        <v>502.61</v>
      </c>
      <c r="S854">
        <v>125.65</v>
      </c>
      <c r="T854">
        <v>3518.24</v>
      </c>
      <c r="U854" t="s">
        <v>2826</v>
      </c>
      <c r="V854" t="s">
        <v>9408</v>
      </c>
      <c r="W854" t="s">
        <v>423</v>
      </c>
    </row>
    <row r="855" spans="1:23" hidden="1" x14ac:dyDescent="0.2">
      <c r="A855">
        <v>2012</v>
      </c>
      <c r="B855" t="s">
        <v>304</v>
      </c>
      <c r="C855" s="733">
        <v>40956</v>
      </c>
      <c r="D8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55" t="s">
        <v>485</v>
      </c>
      <c r="F855" t="s">
        <v>2065</v>
      </c>
      <c r="G855" t="s">
        <v>7708</v>
      </c>
      <c r="H855">
        <v>42032</v>
      </c>
      <c r="I855" t="s">
        <v>423</v>
      </c>
      <c r="J855" t="s">
        <v>2114</v>
      </c>
      <c r="K855" t="s">
        <v>2102</v>
      </c>
      <c r="L855" t="s">
        <v>2115</v>
      </c>
      <c r="M855">
        <v>500</v>
      </c>
      <c r="N855">
        <v>54.71</v>
      </c>
      <c r="O855">
        <v>18396.240000000002</v>
      </c>
      <c r="P855">
        <v>0</v>
      </c>
      <c r="Q855">
        <v>18396.240000000002</v>
      </c>
      <c r="R855">
        <v>2943.4</v>
      </c>
      <c r="S855">
        <v>735.85</v>
      </c>
      <c r="T855">
        <v>20603.79</v>
      </c>
      <c r="U855" t="s">
        <v>8883</v>
      </c>
      <c r="V855" t="s">
        <v>9409</v>
      </c>
      <c r="W855" t="s">
        <v>423</v>
      </c>
    </row>
    <row r="856" spans="1:23" hidden="1" x14ac:dyDescent="0.2">
      <c r="A856">
        <v>2012</v>
      </c>
      <c r="B856" t="s">
        <v>303</v>
      </c>
      <c r="C856" s="733">
        <v>40926</v>
      </c>
      <c r="D8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856" t="s">
        <v>485</v>
      </c>
      <c r="F856" t="s">
        <v>2065</v>
      </c>
      <c r="G856" t="s">
        <v>3083</v>
      </c>
      <c r="H856">
        <v>40328</v>
      </c>
      <c r="I856" t="s">
        <v>423</v>
      </c>
      <c r="J856" t="s">
        <v>2836</v>
      </c>
      <c r="K856" t="s">
        <v>2814</v>
      </c>
      <c r="L856" t="s">
        <v>2815</v>
      </c>
      <c r="M856">
        <v>70</v>
      </c>
      <c r="N856">
        <v>23.859000000000002</v>
      </c>
      <c r="O856">
        <v>2692.97</v>
      </c>
      <c r="P856">
        <v>0</v>
      </c>
      <c r="Q856">
        <v>2692.97</v>
      </c>
      <c r="R856">
        <v>430.87</v>
      </c>
      <c r="S856">
        <v>107.72</v>
      </c>
      <c r="T856">
        <v>3016.12</v>
      </c>
      <c r="U856" t="s">
        <v>2824</v>
      </c>
      <c r="V856" t="s">
        <v>9408</v>
      </c>
      <c r="W856" t="s">
        <v>423</v>
      </c>
    </row>
    <row r="857" spans="1:23" hidden="1" x14ac:dyDescent="0.2">
      <c r="A857">
        <v>2012</v>
      </c>
      <c r="B857" t="s">
        <v>304</v>
      </c>
      <c r="C857" s="733">
        <v>40962</v>
      </c>
      <c r="D8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57" t="s">
        <v>485</v>
      </c>
      <c r="F857" t="s">
        <v>2065</v>
      </c>
      <c r="G857" t="s">
        <v>8551</v>
      </c>
      <c r="H857">
        <v>42463</v>
      </c>
      <c r="I857" t="s">
        <v>423</v>
      </c>
      <c r="J857" t="s">
        <v>2182</v>
      </c>
      <c r="K857" t="s">
        <v>2183</v>
      </c>
      <c r="L857" t="s">
        <v>2184</v>
      </c>
      <c r="M857">
        <v>62</v>
      </c>
      <c r="N857">
        <v>15.86</v>
      </c>
      <c r="O857">
        <v>2349.5</v>
      </c>
      <c r="P857">
        <v>0</v>
      </c>
      <c r="Q857">
        <v>2349.5</v>
      </c>
      <c r="R857">
        <v>375.92</v>
      </c>
      <c r="S857">
        <v>93.98</v>
      </c>
      <c r="T857">
        <v>2631.44</v>
      </c>
      <c r="U857" t="s">
        <v>9411</v>
      </c>
      <c r="V857" t="s">
        <v>9408</v>
      </c>
      <c r="W857" t="s">
        <v>423</v>
      </c>
    </row>
    <row r="858" spans="1:23" hidden="1" x14ac:dyDescent="0.2">
      <c r="A858">
        <v>2012</v>
      </c>
      <c r="B858" t="s">
        <v>304</v>
      </c>
      <c r="C858" s="733">
        <v>40954</v>
      </c>
      <c r="D8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58" t="s">
        <v>485</v>
      </c>
      <c r="F858" t="s">
        <v>2065</v>
      </c>
      <c r="G858" t="s">
        <v>5761</v>
      </c>
      <c r="H858">
        <v>41775</v>
      </c>
      <c r="I858" t="s">
        <v>423</v>
      </c>
      <c r="J858" t="s">
        <v>2182</v>
      </c>
      <c r="K858" t="s">
        <v>2183</v>
      </c>
      <c r="L858" t="s">
        <v>2184</v>
      </c>
      <c r="M858">
        <v>62</v>
      </c>
      <c r="N858">
        <v>25.72</v>
      </c>
      <c r="O858">
        <v>3810.16</v>
      </c>
      <c r="P858">
        <v>0</v>
      </c>
      <c r="Q858">
        <v>3810.16</v>
      </c>
      <c r="R858">
        <v>609.63</v>
      </c>
      <c r="S858">
        <v>152.41</v>
      </c>
      <c r="T858">
        <v>4267.38</v>
      </c>
      <c r="U858" t="s">
        <v>8048</v>
      </c>
      <c r="V858" t="s">
        <v>9408</v>
      </c>
      <c r="W858" t="s">
        <v>423</v>
      </c>
    </row>
    <row r="859" spans="1:23" hidden="1" x14ac:dyDescent="0.2">
      <c r="A859">
        <v>2012</v>
      </c>
      <c r="B859" t="s">
        <v>305</v>
      </c>
      <c r="C859" s="733">
        <v>40970</v>
      </c>
      <c r="D859" s="733" t="str">
        <f>CHOOSE(MONTH(Tabla_sqldatos_bonampakdb_Bon_v_ingresos2012[[#This Row],[fecha_guia]]),"Enero","Febrero","Marzo","Abril","Mayo","Junio","Julio","Agosto","Septiembre","Octubre","Noviembre","Diciembre")</f>
        <v>Marzo</v>
      </c>
      <c r="E859" t="s">
        <v>485</v>
      </c>
      <c r="F859" t="s">
        <v>2065</v>
      </c>
      <c r="G859" t="s">
        <v>9484</v>
      </c>
      <c r="H859">
        <v>42913</v>
      </c>
      <c r="I859" t="s">
        <v>423</v>
      </c>
      <c r="J859" t="s">
        <v>3204</v>
      </c>
      <c r="K859" t="s">
        <v>2183</v>
      </c>
      <c r="L859" t="s">
        <v>2184</v>
      </c>
      <c r="M859">
        <v>80</v>
      </c>
      <c r="N859">
        <v>15.98</v>
      </c>
      <c r="O859">
        <v>1803.66</v>
      </c>
      <c r="P859">
        <v>0</v>
      </c>
      <c r="Q859">
        <v>1803.66</v>
      </c>
      <c r="R859">
        <v>288.58999999999997</v>
      </c>
      <c r="S859">
        <v>72.150000000000006</v>
      </c>
      <c r="T859">
        <v>2020.1</v>
      </c>
      <c r="V859" t="s">
        <v>9408</v>
      </c>
      <c r="W859" t="s">
        <v>423</v>
      </c>
    </row>
    <row r="860" spans="1:23" x14ac:dyDescent="0.2">
      <c r="A860">
        <v>2012</v>
      </c>
      <c r="B860" t="s">
        <v>304</v>
      </c>
      <c r="C860" s="733">
        <v>40968</v>
      </c>
      <c r="D8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60" t="s">
        <v>485</v>
      </c>
      <c r="F860" t="s">
        <v>2065</v>
      </c>
      <c r="G860" t="s">
        <v>9132</v>
      </c>
      <c r="H860">
        <v>42849</v>
      </c>
      <c r="I860" t="s">
        <v>423</v>
      </c>
      <c r="J860" t="s">
        <v>3204</v>
      </c>
      <c r="K860" t="s">
        <v>2183</v>
      </c>
      <c r="L860" t="s">
        <v>2184</v>
      </c>
      <c r="M860">
        <v>80</v>
      </c>
      <c r="N860">
        <v>15.76</v>
      </c>
      <c r="O860">
        <v>1778.83</v>
      </c>
      <c r="P860">
        <v>0</v>
      </c>
      <c r="Q860">
        <v>1778.83</v>
      </c>
      <c r="R860">
        <v>284.61</v>
      </c>
      <c r="S860">
        <v>71.150000000000006</v>
      </c>
      <c r="T860">
        <v>1992.29</v>
      </c>
      <c r="V860" t="s">
        <v>9408</v>
      </c>
      <c r="W860" t="s">
        <v>423</v>
      </c>
    </row>
    <row r="861" spans="1:23" x14ac:dyDescent="0.2">
      <c r="A861">
        <v>2012</v>
      </c>
      <c r="B861" t="s">
        <v>304</v>
      </c>
      <c r="C861" s="733">
        <v>40967</v>
      </c>
      <c r="D8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61" t="s">
        <v>485</v>
      </c>
      <c r="F861" t="s">
        <v>2065</v>
      </c>
      <c r="G861" t="s">
        <v>8948</v>
      </c>
      <c r="H861">
        <v>42706</v>
      </c>
      <c r="I861" t="s">
        <v>423</v>
      </c>
      <c r="J861" t="s">
        <v>3204</v>
      </c>
      <c r="K861" t="s">
        <v>2183</v>
      </c>
      <c r="L861" t="s">
        <v>2184</v>
      </c>
      <c r="M861">
        <v>80</v>
      </c>
      <c r="N861">
        <v>24.84</v>
      </c>
      <c r="O861">
        <v>2803.69</v>
      </c>
      <c r="P861">
        <v>0</v>
      </c>
      <c r="Q861">
        <v>2803.69</v>
      </c>
      <c r="R861">
        <v>448.59</v>
      </c>
      <c r="S861">
        <v>112.15</v>
      </c>
      <c r="T861">
        <v>3140.13</v>
      </c>
      <c r="V861" t="s">
        <v>9408</v>
      </c>
      <c r="W861" t="s">
        <v>423</v>
      </c>
    </row>
    <row r="862" spans="1:23" hidden="1" x14ac:dyDescent="0.2">
      <c r="A862">
        <v>2012</v>
      </c>
      <c r="B862" t="s">
        <v>304</v>
      </c>
      <c r="C862" s="733">
        <v>40953</v>
      </c>
      <c r="D8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62" t="s">
        <v>485</v>
      </c>
      <c r="F862" t="s">
        <v>2065</v>
      </c>
      <c r="G862" t="s">
        <v>4116</v>
      </c>
      <c r="H862">
        <v>41688</v>
      </c>
      <c r="I862" t="s">
        <v>423</v>
      </c>
      <c r="J862" t="s">
        <v>2114</v>
      </c>
      <c r="K862" t="s">
        <v>2102</v>
      </c>
      <c r="L862" t="s">
        <v>2115</v>
      </c>
      <c r="M862">
        <v>500</v>
      </c>
      <c r="N862">
        <v>52.59</v>
      </c>
      <c r="O862">
        <v>17683.39</v>
      </c>
      <c r="P862">
        <v>0</v>
      </c>
      <c r="Q862">
        <v>17683.39</v>
      </c>
      <c r="R862">
        <v>2829.34</v>
      </c>
      <c r="S862">
        <v>707.34</v>
      </c>
      <c r="T862">
        <v>19805.39</v>
      </c>
      <c r="U862" t="s">
        <v>8051</v>
      </c>
      <c r="V862" t="s">
        <v>9409</v>
      </c>
      <c r="W862" t="s">
        <v>423</v>
      </c>
    </row>
    <row r="863" spans="1:23" hidden="1" x14ac:dyDescent="0.2">
      <c r="A863">
        <v>2012</v>
      </c>
      <c r="B863" t="s">
        <v>304</v>
      </c>
      <c r="C863" s="733">
        <v>40941</v>
      </c>
      <c r="D8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63" t="s">
        <v>485</v>
      </c>
      <c r="F863" t="s">
        <v>2065</v>
      </c>
      <c r="G863" t="s">
        <v>4122</v>
      </c>
      <c r="H863">
        <v>39900</v>
      </c>
      <c r="I863" t="s">
        <v>424</v>
      </c>
      <c r="J863" t="s">
        <v>2135</v>
      </c>
      <c r="K863" t="s">
        <v>2102</v>
      </c>
      <c r="L863" t="s">
        <v>2115</v>
      </c>
      <c r="M863">
        <v>494</v>
      </c>
      <c r="N863">
        <v>54</v>
      </c>
      <c r="O863">
        <v>11375.64</v>
      </c>
      <c r="P863">
        <v>0</v>
      </c>
      <c r="Q863">
        <v>11375.64</v>
      </c>
      <c r="R863">
        <v>1820.1</v>
      </c>
      <c r="S863">
        <v>455.03</v>
      </c>
      <c r="T863">
        <v>12740.71</v>
      </c>
      <c r="U863" t="s">
        <v>2121</v>
      </c>
      <c r="V863" t="s">
        <v>9409</v>
      </c>
      <c r="W863" t="s">
        <v>424</v>
      </c>
    </row>
    <row r="864" spans="1:23" hidden="1" x14ac:dyDescent="0.2">
      <c r="A864">
        <v>2012</v>
      </c>
      <c r="B864" t="s">
        <v>304</v>
      </c>
      <c r="C864" s="733">
        <v>40953</v>
      </c>
      <c r="D8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64" t="s">
        <v>505</v>
      </c>
      <c r="F864" t="s">
        <v>1915</v>
      </c>
      <c r="G864" t="s">
        <v>6882</v>
      </c>
      <c r="H864">
        <v>22710</v>
      </c>
      <c r="I864" t="s">
        <v>424</v>
      </c>
      <c r="J864" t="s">
        <v>1917</v>
      </c>
      <c r="K864" t="s">
        <v>1918</v>
      </c>
      <c r="L864" t="s">
        <v>1919</v>
      </c>
      <c r="M864">
        <v>267</v>
      </c>
      <c r="N864">
        <v>30</v>
      </c>
      <c r="O864">
        <v>2929.97</v>
      </c>
      <c r="P864">
        <v>1683.8244589999999</v>
      </c>
      <c r="Q864">
        <v>4613.7944589999997</v>
      </c>
      <c r="R864">
        <v>738.20711300000005</v>
      </c>
      <c r="S864">
        <v>184.55177800000001</v>
      </c>
      <c r="T864">
        <v>5167.4497940000001</v>
      </c>
      <c r="U864" t="s">
        <v>7522</v>
      </c>
      <c r="V864" t="s">
        <v>9408</v>
      </c>
      <c r="W864" t="s">
        <v>424</v>
      </c>
    </row>
    <row r="865" spans="1:23" hidden="1" x14ac:dyDescent="0.2">
      <c r="A865">
        <v>2012</v>
      </c>
      <c r="B865" t="s">
        <v>304</v>
      </c>
      <c r="C865" s="733">
        <v>40964</v>
      </c>
      <c r="D8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65" t="s">
        <v>505</v>
      </c>
      <c r="F865" t="s">
        <v>1915</v>
      </c>
      <c r="G865" t="s">
        <v>8761</v>
      </c>
      <c r="H865">
        <v>23003</v>
      </c>
      <c r="I865" t="s">
        <v>424</v>
      </c>
      <c r="J865" t="s">
        <v>1917</v>
      </c>
      <c r="K865" t="s">
        <v>1918</v>
      </c>
      <c r="L865" t="s">
        <v>1919</v>
      </c>
      <c r="M865">
        <v>267</v>
      </c>
      <c r="N865">
        <v>30</v>
      </c>
      <c r="O865">
        <v>4613.7</v>
      </c>
      <c r="P865">
        <v>0</v>
      </c>
      <c r="Q865">
        <v>4613.7</v>
      </c>
      <c r="R865">
        <v>738.19</v>
      </c>
      <c r="S865">
        <v>184.55</v>
      </c>
      <c r="T865">
        <v>5167.34</v>
      </c>
      <c r="U865" t="s">
        <v>8778</v>
      </c>
      <c r="V865" t="s">
        <v>9408</v>
      </c>
      <c r="W865" t="s">
        <v>424</v>
      </c>
    </row>
    <row r="866" spans="1:23" hidden="1" x14ac:dyDescent="0.2">
      <c r="A866">
        <v>2012</v>
      </c>
      <c r="B866" t="s">
        <v>303</v>
      </c>
      <c r="C866" s="733">
        <v>40928</v>
      </c>
      <c r="D8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866" t="s">
        <v>485</v>
      </c>
      <c r="F866" t="s">
        <v>2065</v>
      </c>
      <c r="G866" t="s">
        <v>4567</v>
      </c>
      <c r="H866">
        <v>39692</v>
      </c>
      <c r="I866" t="s">
        <v>423</v>
      </c>
      <c r="J866" t="s">
        <v>2182</v>
      </c>
      <c r="K866" t="s">
        <v>2183</v>
      </c>
      <c r="L866" t="s">
        <v>2184</v>
      </c>
      <c r="M866">
        <v>62</v>
      </c>
      <c r="N866">
        <v>52.16</v>
      </c>
      <c r="O866">
        <v>7726.98</v>
      </c>
      <c r="P866">
        <v>0</v>
      </c>
      <c r="Q866">
        <v>7726.98</v>
      </c>
      <c r="R866">
        <v>1236.32</v>
      </c>
      <c r="S866">
        <v>309.08</v>
      </c>
      <c r="T866">
        <v>8654.2199999999993</v>
      </c>
      <c r="U866" t="s">
        <v>7554</v>
      </c>
      <c r="V866" t="s">
        <v>9409</v>
      </c>
      <c r="W866" t="s">
        <v>423</v>
      </c>
    </row>
    <row r="867" spans="1:23" hidden="1" x14ac:dyDescent="0.2">
      <c r="A867">
        <v>2012</v>
      </c>
      <c r="B867" t="s">
        <v>304</v>
      </c>
      <c r="C867" s="733">
        <v>40949</v>
      </c>
      <c r="D8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67" t="s">
        <v>485</v>
      </c>
      <c r="F867" t="s">
        <v>2065</v>
      </c>
      <c r="G867" t="s">
        <v>3333</v>
      </c>
      <c r="H867">
        <v>41672</v>
      </c>
      <c r="I867" t="s">
        <v>423</v>
      </c>
      <c r="J867" t="s">
        <v>2182</v>
      </c>
      <c r="K867" t="s">
        <v>2183</v>
      </c>
      <c r="L867" t="s">
        <v>2184</v>
      </c>
      <c r="M867">
        <v>62</v>
      </c>
      <c r="N867">
        <v>26.61</v>
      </c>
      <c r="O867">
        <v>3942.01</v>
      </c>
      <c r="P867">
        <v>0</v>
      </c>
      <c r="Q867">
        <v>3942.01</v>
      </c>
      <c r="R867">
        <v>630.72</v>
      </c>
      <c r="S867">
        <v>157.68</v>
      </c>
      <c r="T867">
        <v>4415.05</v>
      </c>
      <c r="U867" t="s">
        <v>8048</v>
      </c>
      <c r="V867" t="s">
        <v>9408</v>
      </c>
      <c r="W867" t="s">
        <v>423</v>
      </c>
    </row>
    <row r="868" spans="1:23" hidden="1" x14ac:dyDescent="0.2">
      <c r="A868">
        <v>2012</v>
      </c>
      <c r="B868" t="s">
        <v>304</v>
      </c>
      <c r="C868" s="733">
        <v>40954.44153935185</v>
      </c>
      <c r="D8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68" t="s">
        <v>485</v>
      </c>
      <c r="F868" t="s">
        <v>2065</v>
      </c>
      <c r="G868" t="s">
        <v>7483</v>
      </c>
      <c r="H868">
        <v>41974</v>
      </c>
      <c r="I868" t="s">
        <v>423</v>
      </c>
      <c r="J868" t="s">
        <v>2182</v>
      </c>
      <c r="K868" t="s">
        <v>2183</v>
      </c>
      <c r="L868" t="s">
        <v>2184</v>
      </c>
      <c r="M868">
        <v>62</v>
      </c>
      <c r="N868">
        <v>16.34</v>
      </c>
      <c r="O868">
        <v>2420.61</v>
      </c>
      <c r="P868">
        <v>0</v>
      </c>
      <c r="Q868">
        <v>2420.61</v>
      </c>
      <c r="R868">
        <v>387.3</v>
      </c>
      <c r="S868">
        <v>96.82</v>
      </c>
      <c r="T868">
        <v>2711.09</v>
      </c>
      <c r="U868" t="s">
        <v>8048</v>
      </c>
      <c r="V868" t="s">
        <v>9408</v>
      </c>
      <c r="W868" t="s">
        <v>423</v>
      </c>
    </row>
    <row r="869" spans="1:23" hidden="1" x14ac:dyDescent="0.2">
      <c r="A869">
        <v>2012</v>
      </c>
      <c r="B869" t="s">
        <v>303</v>
      </c>
      <c r="C869" s="733">
        <v>40933</v>
      </c>
      <c r="D8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869" t="s">
        <v>485</v>
      </c>
      <c r="F869" t="s">
        <v>2065</v>
      </c>
      <c r="G869" t="s">
        <v>3330</v>
      </c>
      <c r="H869">
        <v>40839</v>
      </c>
      <c r="I869" t="s">
        <v>423</v>
      </c>
      <c r="J869" t="s">
        <v>2182</v>
      </c>
      <c r="K869" t="s">
        <v>2183</v>
      </c>
      <c r="L869" t="s">
        <v>2184</v>
      </c>
      <c r="M869">
        <v>62</v>
      </c>
      <c r="N869">
        <v>15.91</v>
      </c>
      <c r="O869">
        <v>2356.91</v>
      </c>
      <c r="P869">
        <v>0</v>
      </c>
      <c r="Q869">
        <v>2356.91</v>
      </c>
      <c r="R869">
        <v>377.11</v>
      </c>
      <c r="S869">
        <v>94.28</v>
      </c>
      <c r="T869">
        <v>2639.74</v>
      </c>
      <c r="U869" t="s">
        <v>2187</v>
      </c>
      <c r="V869" t="s">
        <v>9408</v>
      </c>
      <c r="W869" t="s">
        <v>423</v>
      </c>
    </row>
    <row r="870" spans="1:23" hidden="1" x14ac:dyDescent="0.2">
      <c r="A870">
        <v>2012</v>
      </c>
      <c r="B870" t="s">
        <v>304</v>
      </c>
      <c r="C870" s="733">
        <v>40942</v>
      </c>
      <c r="D8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70" t="s">
        <v>485</v>
      </c>
      <c r="F870" t="s">
        <v>2065</v>
      </c>
      <c r="G870" t="s">
        <v>3109</v>
      </c>
      <c r="H870">
        <v>41352</v>
      </c>
      <c r="I870" t="s">
        <v>424</v>
      </c>
      <c r="J870" t="s">
        <v>2114</v>
      </c>
      <c r="K870" t="s">
        <v>2102</v>
      </c>
      <c r="L870" t="s">
        <v>2115</v>
      </c>
      <c r="M870">
        <v>500</v>
      </c>
      <c r="N870">
        <v>54</v>
      </c>
      <c r="O870">
        <v>10009.44</v>
      </c>
      <c r="P870">
        <v>0</v>
      </c>
      <c r="Q870">
        <v>10009.44</v>
      </c>
      <c r="R870">
        <v>1601.51</v>
      </c>
      <c r="S870">
        <v>400.38</v>
      </c>
      <c r="T870">
        <v>11210.57</v>
      </c>
      <c r="U870" t="s">
        <v>8871</v>
      </c>
      <c r="V870" t="s">
        <v>9409</v>
      </c>
      <c r="W870" t="s">
        <v>424</v>
      </c>
    </row>
    <row r="871" spans="1:23" hidden="1" x14ac:dyDescent="0.2">
      <c r="A871">
        <v>2012</v>
      </c>
      <c r="B871" t="s">
        <v>304</v>
      </c>
      <c r="C871" s="733">
        <v>40953</v>
      </c>
      <c r="D8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71" t="s">
        <v>485</v>
      </c>
      <c r="F871" t="s">
        <v>2065</v>
      </c>
      <c r="G871" t="s">
        <v>3097</v>
      </c>
      <c r="H871">
        <v>41897</v>
      </c>
      <c r="I871" t="s">
        <v>424</v>
      </c>
      <c r="J871" t="s">
        <v>2114</v>
      </c>
      <c r="K871" t="s">
        <v>2102</v>
      </c>
      <c r="L871" t="s">
        <v>2115</v>
      </c>
      <c r="M871">
        <v>500</v>
      </c>
      <c r="N871">
        <v>54</v>
      </c>
      <c r="O871">
        <v>10009.44</v>
      </c>
      <c r="P871">
        <v>0</v>
      </c>
      <c r="Q871">
        <v>10009.44</v>
      </c>
      <c r="R871">
        <v>1601.51</v>
      </c>
      <c r="S871">
        <v>400.38</v>
      </c>
      <c r="T871">
        <v>11210.57</v>
      </c>
      <c r="V871" t="s">
        <v>9409</v>
      </c>
      <c r="W871" t="s">
        <v>424</v>
      </c>
    </row>
    <row r="872" spans="1:23" hidden="1" x14ac:dyDescent="0.2">
      <c r="A872">
        <v>2012</v>
      </c>
      <c r="B872" t="s">
        <v>303</v>
      </c>
      <c r="C872" s="733">
        <v>40928</v>
      </c>
      <c r="D8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872" t="s">
        <v>485</v>
      </c>
      <c r="F872" t="s">
        <v>2065</v>
      </c>
      <c r="G872" t="s">
        <v>3098</v>
      </c>
      <c r="H872">
        <v>39759</v>
      </c>
      <c r="I872" t="s">
        <v>424</v>
      </c>
      <c r="J872" t="s">
        <v>2114</v>
      </c>
      <c r="K872" t="s">
        <v>2102</v>
      </c>
      <c r="L872" t="s">
        <v>2115</v>
      </c>
      <c r="M872">
        <v>500</v>
      </c>
      <c r="N872">
        <v>54</v>
      </c>
      <c r="O872">
        <v>10009.44</v>
      </c>
      <c r="P872">
        <v>0</v>
      </c>
      <c r="Q872">
        <v>10009.44</v>
      </c>
      <c r="R872">
        <v>1601.51</v>
      </c>
      <c r="S872">
        <v>400.38</v>
      </c>
      <c r="T872">
        <v>11210.57</v>
      </c>
      <c r="U872" t="s">
        <v>8871</v>
      </c>
      <c r="V872" t="s">
        <v>9409</v>
      </c>
      <c r="W872" t="s">
        <v>424</v>
      </c>
    </row>
    <row r="873" spans="1:23" hidden="1" x14ac:dyDescent="0.2">
      <c r="A873">
        <v>2012</v>
      </c>
      <c r="B873" t="s">
        <v>303</v>
      </c>
      <c r="C873" s="733">
        <v>40931</v>
      </c>
      <c r="D8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873" t="s">
        <v>485</v>
      </c>
      <c r="F873" t="s">
        <v>2065</v>
      </c>
      <c r="G873" t="s">
        <v>3103</v>
      </c>
      <c r="H873">
        <v>40700</v>
      </c>
      <c r="I873" t="s">
        <v>424</v>
      </c>
      <c r="J873" t="s">
        <v>2135</v>
      </c>
      <c r="K873" t="s">
        <v>2102</v>
      </c>
      <c r="L873" t="s">
        <v>2115</v>
      </c>
      <c r="M873">
        <v>494</v>
      </c>
      <c r="N873">
        <v>54</v>
      </c>
      <c r="O873">
        <v>11375.64</v>
      </c>
      <c r="P873">
        <v>0</v>
      </c>
      <c r="Q873">
        <v>11375.64</v>
      </c>
      <c r="R873">
        <v>1820.1</v>
      </c>
      <c r="S873">
        <v>455.03</v>
      </c>
      <c r="T873">
        <v>12740.71</v>
      </c>
      <c r="U873" t="s">
        <v>2116</v>
      </c>
      <c r="V873" t="s">
        <v>9409</v>
      </c>
      <c r="W873" t="s">
        <v>424</v>
      </c>
    </row>
    <row r="874" spans="1:23" hidden="1" x14ac:dyDescent="0.2">
      <c r="A874">
        <v>2012</v>
      </c>
      <c r="B874" t="s">
        <v>303</v>
      </c>
      <c r="C874" s="733">
        <v>40938</v>
      </c>
      <c r="D8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874" t="s">
        <v>485</v>
      </c>
      <c r="F874" t="s">
        <v>2065</v>
      </c>
      <c r="G874" t="s">
        <v>3101</v>
      </c>
      <c r="H874">
        <v>41031</v>
      </c>
      <c r="I874" t="s">
        <v>423</v>
      </c>
      <c r="J874" t="s">
        <v>2135</v>
      </c>
      <c r="K874" t="s">
        <v>2102</v>
      </c>
      <c r="L874" t="s">
        <v>2115</v>
      </c>
      <c r="M874">
        <v>494</v>
      </c>
      <c r="N874">
        <v>51.19</v>
      </c>
      <c r="O874">
        <v>17212.64</v>
      </c>
      <c r="P874">
        <v>0</v>
      </c>
      <c r="Q874">
        <v>17212.64</v>
      </c>
      <c r="R874">
        <v>2754.02</v>
      </c>
      <c r="S874">
        <v>688.51</v>
      </c>
      <c r="T874">
        <v>19278.150000000001</v>
      </c>
      <c r="U874" t="s">
        <v>2110</v>
      </c>
      <c r="V874" t="s">
        <v>9409</v>
      </c>
      <c r="W874" t="s">
        <v>423</v>
      </c>
    </row>
    <row r="875" spans="1:23" hidden="1" x14ac:dyDescent="0.2">
      <c r="A875">
        <v>2012</v>
      </c>
      <c r="B875" t="s">
        <v>304</v>
      </c>
      <c r="C875" s="733">
        <v>40946</v>
      </c>
      <c r="D8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75" t="s">
        <v>485</v>
      </c>
      <c r="F875" t="s">
        <v>2065</v>
      </c>
      <c r="G875" t="s">
        <v>3102</v>
      </c>
      <c r="H875">
        <v>41400</v>
      </c>
      <c r="I875" t="s">
        <v>424</v>
      </c>
      <c r="J875" t="s">
        <v>2135</v>
      </c>
      <c r="K875" t="s">
        <v>2102</v>
      </c>
      <c r="L875" t="s">
        <v>2115</v>
      </c>
      <c r="M875">
        <v>494</v>
      </c>
      <c r="N875">
        <v>54</v>
      </c>
      <c r="O875">
        <v>11375.64</v>
      </c>
      <c r="P875">
        <v>0</v>
      </c>
      <c r="Q875">
        <v>11375.64</v>
      </c>
      <c r="R875">
        <v>1820.1</v>
      </c>
      <c r="S875">
        <v>455.03</v>
      </c>
      <c r="T875">
        <v>12740.71</v>
      </c>
      <c r="U875" t="s">
        <v>8871</v>
      </c>
      <c r="V875" t="s">
        <v>9409</v>
      </c>
      <c r="W875" t="s">
        <v>424</v>
      </c>
    </row>
    <row r="876" spans="1:23" hidden="1" x14ac:dyDescent="0.2">
      <c r="A876">
        <v>2012</v>
      </c>
      <c r="B876" t="s">
        <v>304</v>
      </c>
      <c r="C876" s="733">
        <v>40941</v>
      </c>
      <c r="D8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76" t="s">
        <v>485</v>
      </c>
      <c r="F876" t="s">
        <v>2065</v>
      </c>
      <c r="G876" t="s">
        <v>3105</v>
      </c>
      <c r="H876">
        <v>41227</v>
      </c>
      <c r="I876" t="s">
        <v>424</v>
      </c>
      <c r="J876" t="s">
        <v>2114</v>
      </c>
      <c r="K876" t="s">
        <v>2102</v>
      </c>
      <c r="L876" t="s">
        <v>2115</v>
      </c>
      <c r="M876">
        <v>500</v>
      </c>
      <c r="N876">
        <v>54</v>
      </c>
      <c r="O876">
        <v>10009.44</v>
      </c>
      <c r="P876">
        <v>0</v>
      </c>
      <c r="Q876">
        <v>10009.44</v>
      </c>
      <c r="R876">
        <v>1601.51</v>
      </c>
      <c r="S876">
        <v>400.38</v>
      </c>
      <c r="T876">
        <v>11210.57</v>
      </c>
      <c r="U876" t="s">
        <v>8871</v>
      </c>
      <c r="V876" t="s">
        <v>9409</v>
      </c>
      <c r="W876" t="s">
        <v>424</v>
      </c>
    </row>
    <row r="877" spans="1:23" hidden="1" x14ac:dyDescent="0.2">
      <c r="A877">
        <v>2012</v>
      </c>
      <c r="B877" t="s">
        <v>304</v>
      </c>
      <c r="C877" s="733">
        <v>40959</v>
      </c>
      <c r="D8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77" t="s">
        <v>485</v>
      </c>
      <c r="F877" t="s">
        <v>2065</v>
      </c>
      <c r="G877" t="s">
        <v>7784</v>
      </c>
      <c r="H877">
        <v>42107</v>
      </c>
      <c r="I877" t="s">
        <v>424</v>
      </c>
      <c r="J877" t="s">
        <v>2114</v>
      </c>
      <c r="K877" t="s">
        <v>2102</v>
      </c>
      <c r="L877" t="s">
        <v>2115</v>
      </c>
      <c r="M877">
        <v>500</v>
      </c>
      <c r="N877">
        <v>54</v>
      </c>
      <c r="O877">
        <v>10009.44</v>
      </c>
      <c r="P877">
        <v>0</v>
      </c>
      <c r="Q877">
        <v>10009.44</v>
      </c>
      <c r="R877">
        <v>1601.51</v>
      </c>
      <c r="S877">
        <v>400.38</v>
      </c>
      <c r="T877">
        <v>11210.57</v>
      </c>
      <c r="U877" t="s">
        <v>8871</v>
      </c>
      <c r="V877" t="s">
        <v>9409</v>
      </c>
      <c r="W877" t="s">
        <v>424</v>
      </c>
    </row>
    <row r="878" spans="1:23" hidden="1" x14ac:dyDescent="0.2">
      <c r="A878">
        <v>2012</v>
      </c>
      <c r="B878" t="s">
        <v>304</v>
      </c>
      <c r="C878" s="733">
        <v>40955</v>
      </c>
      <c r="D8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78" t="s">
        <v>485</v>
      </c>
      <c r="F878" t="s">
        <v>2065</v>
      </c>
      <c r="G878" t="s">
        <v>7839</v>
      </c>
      <c r="H878">
        <v>42061</v>
      </c>
      <c r="I878" t="s">
        <v>424</v>
      </c>
      <c r="J878" t="s">
        <v>2114</v>
      </c>
      <c r="K878" t="s">
        <v>2102</v>
      </c>
      <c r="L878" t="s">
        <v>2115</v>
      </c>
      <c r="M878">
        <v>500</v>
      </c>
      <c r="N878">
        <v>54</v>
      </c>
      <c r="O878">
        <v>10009.44</v>
      </c>
      <c r="P878">
        <v>0</v>
      </c>
      <c r="Q878">
        <v>10009.44</v>
      </c>
      <c r="R878">
        <v>1601.51</v>
      </c>
      <c r="S878">
        <v>400.38</v>
      </c>
      <c r="T878">
        <v>11210.57</v>
      </c>
      <c r="U878" t="s">
        <v>8262</v>
      </c>
      <c r="V878" t="s">
        <v>9409</v>
      </c>
      <c r="W878" t="s">
        <v>424</v>
      </c>
    </row>
    <row r="879" spans="1:23" hidden="1" x14ac:dyDescent="0.2">
      <c r="A879">
        <v>2012</v>
      </c>
      <c r="B879" t="s">
        <v>304</v>
      </c>
      <c r="C879" s="733">
        <v>40960</v>
      </c>
      <c r="D8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79" t="s">
        <v>485</v>
      </c>
      <c r="F879" t="s">
        <v>2065</v>
      </c>
      <c r="G879" t="s">
        <v>8120</v>
      </c>
      <c r="H879">
        <v>42256</v>
      </c>
      <c r="I879" t="s">
        <v>423</v>
      </c>
      <c r="J879" t="s">
        <v>2182</v>
      </c>
      <c r="K879" t="s">
        <v>2183</v>
      </c>
      <c r="L879" t="s">
        <v>2184</v>
      </c>
      <c r="M879">
        <v>62</v>
      </c>
      <c r="N879">
        <v>15.63</v>
      </c>
      <c r="O879">
        <v>2315.4299999999998</v>
      </c>
      <c r="P879">
        <v>0</v>
      </c>
      <c r="Q879">
        <v>2315.4299999999998</v>
      </c>
      <c r="R879">
        <v>370.47</v>
      </c>
      <c r="S879">
        <v>92.62</v>
      </c>
      <c r="T879">
        <v>2593.2800000000002</v>
      </c>
      <c r="U879" t="s">
        <v>9411</v>
      </c>
      <c r="V879" t="s">
        <v>9408</v>
      </c>
      <c r="W879" t="s">
        <v>423</v>
      </c>
    </row>
    <row r="880" spans="1:23" hidden="1" x14ac:dyDescent="0.2">
      <c r="A880">
        <v>2012</v>
      </c>
      <c r="B880" t="s">
        <v>303</v>
      </c>
      <c r="C880" s="733">
        <v>40934</v>
      </c>
      <c r="D8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880" t="s">
        <v>485</v>
      </c>
      <c r="F880" t="s">
        <v>2065</v>
      </c>
      <c r="G880" t="s">
        <v>4570</v>
      </c>
      <c r="H880">
        <v>40927</v>
      </c>
      <c r="I880" t="s">
        <v>423</v>
      </c>
      <c r="J880" t="s">
        <v>3204</v>
      </c>
      <c r="K880" t="s">
        <v>2183</v>
      </c>
      <c r="L880" t="s">
        <v>2184</v>
      </c>
      <c r="M880">
        <v>80</v>
      </c>
      <c r="N880">
        <v>15.35</v>
      </c>
      <c r="O880">
        <v>1732.55</v>
      </c>
      <c r="P880">
        <v>0</v>
      </c>
      <c r="Q880">
        <v>1732.55</v>
      </c>
      <c r="R880">
        <v>277.20999999999998</v>
      </c>
      <c r="S880">
        <v>69.3</v>
      </c>
      <c r="T880">
        <v>1940.46</v>
      </c>
      <c r="U880" t="s">
        <v>2187</v>
      </c>
      <c r="V880" t="s">
        <v>9408</v>
      </c>
      <c r="W880" t="s">
        <v>423</v>
      </c>
    </row>
    <row r="881" spans="1:23" hidden="1" x14ac:dyDescent="0.2">
      <c r="A881">
        <v>2012</v>
      </c>
      <c r="B881" t="s">
        <v>303</v>
      </c>
      <c r="C881" s="733">
        <v>40920</v>
      </c>
      <c r="D8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881" t="s">
        <v>485</v>
      </c>
      <c r="F881" t="s">
        <v>2065</v>
      </c>
      <c r="G881" t="s">
        <v>4568</v>
      </c>
      <c r="H881">
        <v>40091</v>
      </c>
      <c r="I881" t="s">
        <v>423</v>
      </c>
      <c r="J881" t="s">
        <v>3147</v>
      </c>
      <c r="K881" t="s">
        <v>2183</v>
      </c>
      <c r="L881" t="s">
        <v>2184</v>
      </c>
      <c r="M881">
        <v>528</v>
      </c>
      <c r="N881">
        <v>25.09</v>
      </c>
      <c r="O881">
        <v>7767.86</v>
      </c>
      <c r="P881">
        <v>0</v>
      </c>
      <c r="Q881">
        <v>7767.86</v>
      </c>
      <c r="R881">
        <v>1242.8599999999999</v>
      </c>
      <c r="S881">
        <v>310.70999999999998</v>
      </c>
      <c r="T881">
        <v>8700.01</v>
      </c>
      <c r="U881" t="s">
        <v>7520</v>
      </c>
      <c r="V881" t="s">
        <v>9408</v>
      </c>
      <c r="W881" t="s">
        <v>423</v>
      </c>
    </row>
    <row r="882" spans="1:23" hidden="1" x14ac:dyDescent="0.2">
      <c r="A882">
        <v>2012</v>
      </c>
      <c r="B882" t="s">
        <v>304</v>
      </c>
      <c r="C882" s="733">
        <v>40949</v>
      </c>
      <c r="D8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82" t="s">
        <v>485</v>
      </c>
      <c r="F882" t="s">
        <v>2065</v>
      </c>
      <c r="G882" t="s">
        <v>4569</v>
      </c>
      <c r="H882">
        <v>41592</v>
      </c>
      <c r="I882" t="s">
        <v>423</v>
      </c>
      <c r="J882" t="s">
        <v>3147</v>
      </c>
      <c r="K882" t="s">
        <v>2183</v>
      </c>
      <c r="L882" t="s">
        <v>2184</v>
      </c>
      <c r="M882">
        <v>528</v>
      </c>
      <c r="N882">
        <v>27.78</v>
      </c>
      <c r="O882">
        <v>8600.69</v>
      </c>
      <c r="P882">
        <v>0</v>
      </c>
      <c r="Q882">
        <v>8600.69</v>
      </c>
      <c r="R882">
        <v>1376.11</v>
      </c>
      <c r="S882">
        <v>344.03</v>
      </c>
      <c r="T882">
        <v>9632.77</v>
      </c>
      <c r="U882" t="s">
        <v>8048</v>
      </c>
      <c r="V882" t="s">
        <v>9408</v>
      </c>
      <c r="W882" t="s">
        <v>423</v>
      </c>
    </row>
    <row r="883" spans="1:23" hidden="1" x14ac:dyDescent="0.2">
      <c r="A883">
        <v>2012</v>
      </c>
      <c r="B883" t="s">
        <v>303</v>
      </c>
      <c r="C883" s="733">
        <v>40931</v>
      </c>
      <c r="D8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883" t="s">
        <v>485</v>
      </c>
      <c r="F883" t="s">
        <v>2065</v>
      </c>
      <c r="G883" t="s">
        <v>3106</v>
      </c>
      <c r="H883">
        <v>40704</v>
      </c>
      <c r="I883" t="s">
        <v>423</v>
      </c>
      <c r="J883" t="s">
        <v>2345</v>
      </c>
      <c r="K883" t="s">
        <v>2102</v>
      </c>
      <c r="L883" t="s">
        <v>2115</v>
      </c>
      <c r="M883">
        <v>426</v>
      </c>
      <c r="N883">
        <v>48.62</v>
      </c>
      <c r="O883">
        <v>16348.48</v>
      </c>
      <c r="P883">
        <v>0</v>
      </c>
      <c r="Q883">
        <v>16348.48</v>
      </c>
      <c r="R883">
        <v>2615.7600000000002</v>
      </c>
      <c r="S883">
        <v>653.94000000000005</v>
      </c>
      <c r="T883">
        <v>18310.3</v>
      </c>
      <c r="U883" t="s">
        <v>2108</v>
      </c>
      <c r="V883" t="s">
        <v>9409</v>
      </c>
      <c r="W883" t="s">
        <v>423</v>
      </c>
    </row>
    <row r="884" spans="1:23" hidden="1" x14ac:dyDescent="0.2">
      <c r="A884">
        <v>2012</v>
      </c>
      <c r="B884" t="s">
        <v>303</v>
      </c>
      <c r="C884" s="733">
        <v>40928</v>
      </c>
      <c r="D8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884" t="s">
        <v>485</v>
      </c>
      <c r="F884" t="s">
        <v>2065</v>
      </c>
      <c r="G884" t="s">
        <v>3099</v>
      </c>
      <c r="H884">
        <v>39981</v>
      </c>
      <c r="I884" t="s">
        <v>424</v>
      </c>
      <c r="J884" t="s">
        <v>2114</v>
      </c>
      <c r="K884" t="s">
        <v>2102</v>
      </c>
      <c r="L884" t="s">
        <v>2115</v>
      </c>
      <c r="M884">
        <v>500</v>
      </c>
      <c r="N884">
        <v>54</v>
      </c>
      <c r="O884">
        <v>10009.44</v>
      </c>
      <c r="P884">
        <v>0</v>
      </c>
      <c r="Q884">
        <v>10009.44</v>
      </c>
      <c r="R884">
        <v>1601.51</v>
      </c>
      <c r="S884">
        <v>400.38</v>
      </c>
      <c r="T884">
        <v>11210.57</v>
      </c>
      <c r="U884" t="s">
        <v>2119</v>
      </c>
      <c r="V884" t="s">
        <v>9409</v>
      </c>
      <c r="W884" t="s">
        <v>424</v>
      </c>
    </row>
    <row r="885" spans="1:23" hidden="1" x14ac:dyDescent="0.2">
      <c r="A885">
        <v>2012</v>
      </c>
      <c r="B885" t="s">
        <v>304</v>
      </c>
      <c r="C885" s="733">
        <v>40949</v>
      </c>
      <c r="D8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85" t="s">
        <v>485</v>
      </c>
      <c r="F885" t="s">
        <v>2084</v>
      </c>
      <c r="G885" t="s">
        <v>5200</v>
      </c>
      <c r="H885">
        <v>41379</v>
      </c>
      <c r="I885" t="s">
        <v>423</v>
      </c>
      <c r="J885" t="s">
        <v>2836</v>
      </c>
      <c r="K885" t="s">
        <v>2814</v>
      </c>
      <c r="L885" t="s">
        <v>2815</v>
      </c>
      <c r="M885">
        <v>70</v>
      </c>
      <c r="N885">
        <v>24.247</v>
      </c>
      <c r="O885">
        <v>2736.76</v>
      </c>
      <c r="P885">
        <v>0</v>
      </c>
      <c r="Q885">
        <v>2736.76</v>
      </c>
      <c r="R885">
        <v>301.04000000000002</v>
      </c>
      <c r="S885">
        <v>109.47</v>
      </c>
      <c r="T885">
        <v>2928.33</v>
      </c>
      <c r="U885" t="s">
        <v>7527</v>
      </c>
      <c r="V885" t="s">
        <v>9408</v>
      </c>
      <c r="W885" t="s">
        <v>423</v>
      </c>
    </row>
    <row r="886" spans="1:23" hidden="1" x14ac:dyDescent="0.2">
      <c r="A886">
        <v>2012</v>
      </c>
      <c r="B886" t="s">
        <v>303</v>
      </c>
      <c r="C886" s="733">
        <v>40932</v>
      </c>
      <c r="D8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886" t="s">
        <v>485</v>
      </c>
      <c r="F886" t="s">
        <v>2084</v>
      </c>
      <c r="G886" t="s">
        <v>4591</v>
      </c>
      <c r="H886">
        <v>40623</v>
      </c>
      <c r="I886" t="s">
        <v>423</v>
      </c>
      <c r="J886" t="s">
        <v>2836</v>
      </c>
      <c r="K886" t="s">
        <v>2814</v>
      </c>
      <c r="L886" t="s">
        <v>2815</v>
      </c>
      <c r="M886">
        <v>70</v>
      </c>
      <c r="N886">
        <v>23.515000000000001</v>
      </c>
      <c r="O886">
        <v>2654.14</v>
      </c>
      <c r="P886">
        <v>0</v>
      </c>
      <c r="Q886">
        <v>2654.14</v>
      </c>
      <c r="R886">
        <v>424.66</v>
      </c>
      <c r="S886">
        <v>106.17</v>
      </c>
      <c r="T886">
        <v>2972.63</v>
      </c>
      <c r="U886" t="s">
        <v>2826</v>
      </c>
      <c r="V886" t="s">
        <v>9408</v>
      </c>
      <c r="W886" t="s">
        <v>423</v>
      </c>
    </row>
    <row r="887" spans="1:23" hidden="1" x14ac:dyDescent="0.2">
      <c r="A887">
        <v>2012</v>
      </c>
      <c r="B887" t="s">
        <v>303</v>
      </c>
      <c r="C887" s="733">
        <v>40918</v>
      </c>
      <c r="D8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887" t="s">
        <v>485</v>
      </c>
      <c r="F887" t="s">
        <v>2065</v>
      </c>
      <c r="G887" t="s">
        <v>3104</v>
      </c>
      <c r="H887">
        <v>39869</v>
      </c>
      <c r="I887" t="s">
        <v>423</v>
      </c>
      <c r="J887" t="s">
        <v>2345</v>
      </c>
      <c r="K887" t="s">
        <v>2102</v>
      </c>
      <c r="L887" t="s">
        <v>2115</v>
      </c>
      <c r="M887">
        <v>426</v>
      </c>
      <c r="N887">
        <v>47.64</v>
      </c>
      <c r="O887">
        <v>16018.95</v>
      </c>
      <c r="P887">
        <v>0</v>
      </c>
      <c r="Q887">
        <v>16018.95</v>
      </c>
      <c r="R887">
        <v>2563.0300000000002</v>
      </c>
      <c r="S887">
        <v>640.76</v>
      </c>
      <c r="T887">
        <v>17941.22</v>
      </c>
      <c r="U887" t="s">
        <v>2106</v>
      </c>
      <c r="V887" t="s">
        <v>9409</v>
      </c>
      <c r="W887" t="s">
        <v>423</v>
      </c>
    </row>
    <row r="888" spans="1:23" hidden="1" x14ac:dyDescent="0.2">
      <c r="A888">
        <v>2012</v>
      </c>
      <c r="B888" t="s">
        <v>304</v>
      </c>
      <c r="C888" s="733">
        <v>40940</v>
      </c>
      <c r="D8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88" t="s">
        <v>485</v>
      </c>
      <c r="F888" t="s">
        <v>2065</v>
      </c>
      <c r="G888" t="s">
        <v>7115</v>
      </c>
      <c r="H888">
        <v>41210</v>
      </c>
      <c r="I888" t="s">
        <v>423</v>
      </c>
      <c r="J888" t="s">
        <v>2135</v>
      </c>
      <c r="K888" t="s">
        <v>2102</v>
      </c>
      <c r="L888" t="s">
        <v>2115</v>
      </c>
      <c r="M888">
        <v>494</v>
      </c>
      <c r="N888">
        <v>50.96</v>
      </c>
      <c r="O888">
        <v>17135.3</v>
      </c>
      <c r="P888">
        <v>0</v>
      </c>
      <c r="Q888">
        <v>17135.3</v>
      </c>
      <c r="R888">
        <v>2741.65</v>
      </c>
      <c r="S888">
        <v>685.41</v>
      </c>
      <c r="T888">
        <v>19191.54</v>
      </c>
      <c r="U888" t="s">
        <v>2110</v>
      </c>
      <c r="V888" t="s">
        <v>9409</v>
      </c>
      <c r="W888" t="s">
        <v>423</v>
      </c>
    </row>
    <row r="889" spans="1:23" hidden="1" x14ac:dyDescent="0.2">
      <c r="A889">
        <v>2012</v>
      </c>
      <c r="B889" t="s">
        <v>303</v>
      </c>
      <c r="C889" s="733">
        <v>40912</v>
      </c>
      <c r="D8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889" t="s">
        <v>485</v>
      </c>
      <c r="F889" t="s">
        <v>2084</v>
      </c>
      <c r="G889" t="s">
        <v>5201</v>
      </c>
      <c r="H889">
        <v>39609</v>
      </c>
      <c r="I889" t="s">
        <v>423</v>
      </c>
      <c r="J889" t="s">
        <v>2836</v>
      </c>
      <c r="K889" t="s">
        <v>2814</v>
      </c>
      <c r="L889" t="s">
        <v>2815</v>
      </c>
      <c r="M889">
        <v>70</v>
      </c>
      <c r="N889">
        <v>23.934999999999999</v>
      </c>
      <c r="O889">
        <v>1137.3900000000001</v>
      </c>
      <c r="P889">
        <v>1280.5760270000001</v>
      </c>
      <c r="Q889">
        <v>2417.9660269999999</v>
      </c>
      <c r="R889">
        <v>386.87456400000002</v>
      </c>
      <c r="S889">
        <v>96.718641000000005</v>
      </c>
      <c r="T889">
        <v>2708.1219500000002</v>
      </c>
      <c r="U889" t="s">
        <v>2846</v>
      </c>
      <c r="V889" t="s">
        <v>9408</v>
      </c>
      <c r="W889" t="s">
        <v>423</v>
      </c>
    </row>
    <row r="890" spans="1:23" hidden="1" x14ac:dyDescent="0.2">
      <c r="A890">
        <v>2012</v>
      </c>
      <c r="B890" t="s">
        <v>304</v>
      </c>
      <c r="C890" s="733">
        <v>40949</v>
      </c>
      <c r="D8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90" t="s">
        <v>485</v>
      </c>
      <c r="F890" t="s">
        <v>2084</v>
      </c>
      <c r="G890" t="s">
        <v>5211</v>
      </c>
      <c r="H890">
        <v>41271</v>
      </c>
      <c r="I890" t="s">
        <v>423</v>
      </c>
      <c r="J890" t="s">
        <v>2836</v>
      </c>
      <c r="K890" t="s">
        <v>2814</v>
      </c>
      <c r="L890" t="s">
        <v>2815</v>
      </c>
      <c r="M890">
        <v>70</v>
      </c>
      <c r="N890">
        <v>29.783999999999999</v>
      </c>
      <c r="O890">
        <v>3361.72</v>
      </c>
      <c r="P890">
        <v>0</v>
      </c>
      <c r="Q890">
        <v>3361.72</v>
      </c>
      <c r="R890">
        <v>369.79</v>
      </c>
      <c r="S890">
        <v>134.47</v>
      </c>
      <c r="T890">
        <v>3597.04</v>
      </c>
      <c r="U890" t="s">
        <v>7527</v>
      </c>
      <c r="V890" t="s">
        <v>9408</v>
      </c>
      <c r="W890" t="s">
        <v>423</v>
      </c>
    </row>
    <row r="891" spans="1:23" hidden="1" x14ac:dyDescent="0.2">
      <c r="A891">
        <v>2012</v>
      </c>
      <c r="B891" t="s">
        <v>303</v>
      </c>
      <c r="C891" s="733">
        <v>40929.887048611112</v>
      </c>
      <c r="D8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891" t="s">
        <v>478</v>
      </c>
      <c r="F891" t="s">
        <v>2622</v>
      </c>
      <c r="G891" t="s">
        <v>2966</v>
      </c>
      <c r="H891">
        <v>34819</v>
      </c>
      <c r="I891" t="s">
        <v>423</v>
      </c>
      <c r="J891" t="s">
        <v>2624</v>
      </c>
      <c r="K891" t="s">
        <v>2625</v>
      </c>
      <c r="L891" t="s">
        <v>2626</v>
      </c>
      <c r="M891">
        <v>10</v>
      </c>
      <c r="N891">
        <v>23.22</v>
      </c>
      <c r="O891">
        <v>2620.38</v>
      </c>
      <c r="P891">
        <v>0</v>
      </c>
      <c r="Q891">
        <v>2620.38</v>
      </c>
      <c r="R891">
        <v>419.26</v>
      </c>
      <c r="S891">
        <v>104.82</v>
      </c>
      <c r="T891">
        <v>2934.82</v>
      </c>
      <c r="U891" t="s">
        <v>2633</v>
      </c>
      <c r="V891" t="s">
        <v>9408</v>
      </c>
      <c r="W891" t="s">
        <v>423</v>
      </c>
    </row>
    <row r="892" spans="1:23" hidden="1" x14ac:dyDescent="0.2">
      <c r="A892">
        <v>2012</v>
      </c>
      <c r="B892" t="s">
        <v>304</v>
      </c>
      <c r="C892" s="733">
        <v>40942</v>
      </c>
      <c r="D8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92" t="s">
        <v>478</v>
      </c>
      <c r="F892" t="s">
        <v>2622</v>
      </c>
      <c r="G892" t="s">
        <v>2951</v>
      </c>
      <c r="H892">
        <v>35252</v>
      </c>
      <c r="I892" t="s">
        <v>423</v>
      </c>
      <c r="J892" t="s">
        <v>2624</v>
      </c>
      <c r="K892" t="s">
        <v>2625</v>
      </c>
      <c r="L892" t="s">
        <v>2626</v>
      </c>
      <c r="M892">
        <v>10</v>
      </c>
      <c r="N892">
        <v>25.6</v>
      </c>
      <c r="O892">
        <v>2888.96</v>
      </c>
      <c r="P892">
        <v>0</v>
      </c>
      <c r="Q892">
        <v>2888.96</v>
      </c>
      <c r="R892">
        <v>462.23</v>
      </c>
      <c r="S892">
        <v>115.56</v>
      </c>
      <c r="T892">
        <v>3235.63</v>
      </c>
      <c r="U892" t="s">
        <v>2652</v>
      </c>
      <c r="V892" t="s">
        <v>9408</v>
      </c>
      <c r="W892" t="s">
        <v>423</v>
      </c>
    </row>
    <row r="893" spans="1:23" hidden="1" x14ac:dyDescent="0.2">
      <c r="A893">
        <v>2012</v>
      </c>
      <c r="B893" t="s">
        <v>303</v>
      </c>
      <c r="C893" s="733">
        <v>40927.521828703706</v>
      </c>
      <c r="D8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893" t="s">
        <v>478</v>
      </c>
      <c r="F893" t="s">
        <v>2142</v>
      </c>
      <c r="G893" t="s">
        <v>5975</v>
      </c>
      <c r="H893">
        <v>34761</v>
      </c>
      <c r="I893" t="s">
        <v>423</v>
      </c>
      <c r="J893" t="s">
        <v>2639</v>
      </c>
      <c r="K893" t="s">
        <v>2640</v>
      </c>
      <c r="L893" t="s">
        <v>2641</v>
      </c>
      <c r="M893">
        <v>274</v>
      </c>
      <c r="N893">
        <v>53.63</v>
      </c>
      <c r="O893">
        <v>6893.6</v>
      </c>
      <c r="P893">
        <v>0</v>
      </c>
      <c r="Q893">
        <v>6893.6</v>
      </c>
      <c r="R893">
        <v>1102.98</v>
      </c>
      <c r="S893">
        <v>275.74</v>
      </c>
      <c r="T893">
        <v>7720.84</v>
      </c>
      <c r="U893" t="s">
        <v>2642</v>
      </c>
      <c r="V893" t="s">
        <v>9409</v>
      </c>
      <c r="W893" t="s">
        <v>423</v>
      </c>
    </row>
    <row r="894" spans="1:23" hidden="1" x14ac:dyDescent="0.2">
      <c r="A894">
        <v>2012</v>
      </c>
      <c r="B894" t="s">
        <v>303</v>
      </c>
      <c r="C894" s="733">
        <v>40933</v>
      </c>
      <c r="D8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894" t="s">
        <v>478</v>
      </c>
      <c r="F894" t="s">
        <v>2142</v>
      </c>
      <c r="G894" t="s">
        <v>2955</v>
      </c>
      <c r="H894">
        <v>34605</v>
      </c>
      <c r="I894" t="s">
        <v>423</v>
      </c>
      <c r="J894" t="s">
        <v>2639</v>
      </c>
      <c r="K894" t="s">
        <v>2640</v>
      </c>
      <c r="L894" t="s">
        <v>2641</v>
      </c>
      <c r="M894">
        <v>274</v>
      </c>
      <c r="N894">
        <v>49.52</v>
      </c>
      <c r="O894">
        <v>6365.3</v>
      </c>
      <c r="P894">
        <v>0</v>
      </c>
      <c r="Q894">
        <v>6365.3</v>
      </c>
      <c r="R894">
        <v>1018.45</v>
      </c>
      <c r="S894">
        <v>254.61</v>
      </c>
      <c r="T894">
        <v>7129.14</v>
      </c>
      <c r="U894" t="s">
        <v>2642</v>
      </c>
      <c r="V894" t="s">
        <v>9409</v>
      </c>
      <c r="W894" t="s">
        <v>423</v>
      </c>
    </row>
    <row r="895" spans="1:23" hidden="1" x14ac:dyDescent="0.2">
      <c r="A895">
        <v>2012</v>
      </c>
      <c r="B895" t="s">
        <v>304</v>
      </c>
      <c r="C895" s="733">
        <v>40947.410925925928</v>
      </c>
      <c r="D8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95" t="s">
        <v>478</v>
      </c>
      <c r="F895" t="s">
        <v>2622</v>
      </c>
      <c r="G895" t="s">
        <v>2945</v>
      </c>
      <c r="H895">
        <v>35414</v>
      </c>
      <c r="I895" t="s">
        <v>423</v>
      </c>
      <c r="J895" t="s">
        <v>2629</v>
      </c>
      <c r="K895" t="s">
        <v>2625</v>
      </c>
      <c r="L895" t="s">
        <v>2626</v>
      </c>
      <c r="M895">
        <v>33</v>
      </c>
      <c r="N895">
        <v>23.23</v>
      </c>
      <c r="O895">
        <v>2709.55</v>
      </c>
      <c r="P895">
        <v>0</v>
      </c>
      <c r="Q895">
        <v>2709.55</v>
      </c>
      <c r="R895">
        <v>433.53</v>
      </c>
      <c r="S895">
        <v>108.38</v>
      </c>
      <c r="T895">
        <v>3034.7</v>
      </c>
      <c r="U895" t="s">
        <v>2652</v>
      </c>
      <c r="V895" t="s">
        <v>9408</v>
      </c>
      <c r="W895" t="s">
        <v>423</v>
      </c>
    </row>
    <row r="896" spans="1:23" hidden="1" x14ac:dyDescent="0.2">
      <c r="A896">
        <v>2012</v>
      </c>
      <c r="B896" t="s">
        <v>303</v>
      </c>
      <c r="C896" s="733">
        <v>40938</v>
      </c>
      <c r="D8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896" t="s">
        <v>485</v>
      </c>
      <c r="F896" t="s">
        <v>2065</v>
      </c>
      <c r="G896" t="s">
        <v>3286</v>
      </c>
      <c r="H896">
        <v>41080</v>
      </c>
      <c r="I896" t="s">
        <v>423</v>
      </c>
      <c r="J896" t="s">
        <v>2186</v>
      </c>
      <c r="K896" t="s">
        <v>2183</v>
      </c>
      <c r="L896" t="s">
        <v>2184</v>
      </c>
      <c r="M896">
        <v>19</v>
      </c>
      <c r="N896">
        <v>16</v>
      </c>
      <c r="O896">
        <v>2370.2399999999998</v>
      </c>
      <c r="P896">
        <v>0</v>
      </c>
      <c r="Q896">
        <v>2370.2399999999998</v>
      </c>
      <c r="R896">
        <v>379.24</v>
      </c>
      <c r="S896">
        <v>94.81</v>
      </c>
      <c r="T896">
        <v>2654.67</v>
      </c>
      <c r="U896" t="s">
        <v>2187</v>
      </c>
      <c r="V896" t="s">
        <v>9408</v>
      </c>
      <c r="W896" t="s">
        <v>423</v>
      </c>
    </row>
    <row r="897" spans="1:23" hidden="1" x14ac:dyDescent="0.2">
      <c r="A897">
        <v>2012</v>
      </c>
      <c r="B897" t="s">
        <v>304</v>
      </c>
      <c r="C897" s="733">
        <v>40952</v>
      </c>
      <c r="D8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97" t="s">
        <v>485</v>
      </c>
      <c r="F897" t="s">
        <v>2065</v>
      </c>
      <c r="G897" t="s">
        <v>3273</v>
      </c>
      <c r="H897">
        <v>41788</v>
      </c>
      <c r="I897" t="s">
        <v>423</v>
      </c>
      <c r="J897" t="s">
        <v>2186</v>
      </c>
      <c r="K897" t="s">
        <v>2183</v>
      </c>
      <c r="L897" t="s">
        <v>2184</v>
      </c>
      <c r="M897">
        <v>19</v>
      </c>
      <c r="N897">
        <v>15.95</v>
      </c>
      <c r="O897">
        <v>2362.83</v>
      </c>
      <c r="P897">
        <v>0</v>
      </c>
      <c r="Q897">
        <v>2362.83</v>
      </c>
      <c r="R897">
        <v>378.05</v>
      </c>
      <c r="S897">
        <v>94.51</v>
      </c>
      <c r="T897">
        <v>2646.37</v>
      </c>
      <c r="U897" t="s">
        <v>8048</v>
      </c>
      <c r="V897" t="s">
        <v>9408</v>
      </c>
      <c r="W897" t="s">
        <v>423</v>
      </c>
    </row>
    <row r="898" spans="1:23" hidden="1" x14ac:dyDescent="0.2">
      <c r="A898">
        <v>2012</v>
      </c>
      <c r="B898" t="s">
        <v>304</v>
      </c>
      <c r="C898" s="733">
        <v>40960.432650462964</v>
      </c>
      <c r="D8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898" t="s">
        <v>478</v>
      </c>
      <c r="F898" t="s">
        <v>2622</v>
      </c>
      <c r="G898" t="s">
        <v>8268</v>
      </c>
      <c r="H898">
        <v>35844</v>
      </c>
      <c r="I898" t="s">
        <v>423</v>
      </c>
      <c r="J898" t="s">
        <v>2629</v>
      </c>
      <c r="K898" t="s">
        <v>2625</v>
      </c>
      <c r="L898" t="s">
        <v>2626</v>
      </c>
      <c r="M898">
        <v>33</v>
      </c>
      <c r="N898">
        <v>26.7</v>
      </c>
      <c r="O898">
        <v>3114.29</v>
      </c>
      <c r="P898">
        <v>0</v>
      </c>
      <c r="Q898">
        <v>3114.29</v>
      </c>
      <c r="R898">
        <v>498.29</v>
      </c>
      <c r="S898">
        <v>124.57</v>
      </c>
      <c r="T898">
        <v>3488.01</v>
      </c>
      <c r="U898" t="s">
        <v>8267</v>
      </c>
      <c r="V898" t="s">
        <v>9408</v>
      </c>
      <c r="W898" t="s">
        <v>423</v>
      </c>
    </row>
    <row r="899" spans="1:23" hidden="1" x14ac:dyDescent="0.2">
      <c r="A899">
        <v>2012</v>
      </c>
      <c r="B899" t="s">
        <v>303</v>
      </c>
      <c r="C899" s="733">
        <v>40939.500949074078</v>
      </c>
      <c r="D8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899" t="s">
        <v>478</v>
      </c>
      <c r="F899" t="s">
        <v>2622</v>
      </c>
      <c r="G899" t="s">
        <v>2946</v>
      </c>
      <c r="H899">
        <v>35117</v>
      </c>
      <c r="I899" t="s">
        <v>423</v>
      </c>
      <c r="J899" t="s">
        <v>2629</v>
      </c>
      <c r="K899" t="s">
        <v>2625</v>
      </c>
      <c r="L899" t="s">
        <v>2626</v>
      </c>
      <c r="M899">
        <v>33</v>
      </c>
      <c r="N899">
        <v>22.39</v>
      </c>
      <c r="O899">
        <v>2611.5700000000002</v>
      </c>
      <c r="P899">
        <v>0</v>
      </c>
      <c r="Q899">
        <v>2611.5700000000002</v>
      </c>
      <c r="R899">
        <v>417.85</v>
      </c>
      <c r="S899">
        <v>104.46</v>
      </c>
      <c r="T899">
        <v>2924.96</v>
      </c>
      <c r="U899" t="s">
        <v>2630</v>
      </c>
      <c r="V899" t="s">
        <v>9408</v>
      </c>
      <c r="W899" t="s">
        <v>423</v>
      </c>
    </row>
    <row r="900" spans="1:23" hidden="1" x14ac:dyDescent="0.2">
      <c r="A900">
        <v>2012</v>
      </c>
      <c r="B900" t="s">
        <v>303</v>
      </c>
      <c r="C900" s="733">
        <v>40939</v>
      </c>
      <c r="D9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900" t="s">
        <v>478</v>
      </c>
      <c r="F900" t="s">
        <v>2622</v>
      </c>
      <c r="G900" t="s">
        <v>5972</v>
      </c>
      <c r="H900">
        <v>35134</v>
      </c>
      <c r="I900" t="s">
        <v>423</v>
      </c>
      <c r="J900" t="s">
        <v>2629</v>
      </c>
      <c r="K900" t="s">
        <v>2625</v>
      </c>
      <c r="L900" t="s">
        <v>2626</v>
      </c>
      <c r="M900">
        <v>33</v>
      </c>
      <c r="N900">
        <v>23.67</v>
      </c>
      <c r="O900">
        <v>2760.87</v>
      </c>
      <c r="P900">
        <v>0</v>
      </c>
      <c r="Q900">
        <v>2760.87</v>
      </c>
      <c r="R900">
        <v>441.74</v>
      </c>
      <c r="S900">
        <v>110.43</v>
      </c>
      <c r="T900">
        <v>3092.18</v>
      </c>
      <c r="U900" t="s">
        <v>2648</v>
      </c>
      <c r="V900" t="s">
        <v>9408</v>
      </c>
      <c r="W900" t="s">
        <v>423</v>
      </c>
    </row>
    <row r="901" spans="1:23" hidden="1" x14ac:dyDescent="0.2">
      <c r="A901">
        <v>2012</v>
      </c>
      <c r="B901" t="s">
        <v>303</v>
      </c>
      <c r="C901" s="733">
        <v>40929.890370370369</v>
      </c>
      <c r="D9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901" t="s">
        <v>478</v>
      </c>
      <c r="F901" t="s">
        <v>2622</v>
      </c>
      <c r="G901" t="s">
        <v>5971</v>
      </c>
      <c r="H901">
        <v>34828</v>
      </c>
      <c r="I901" t="s">
        <v>423</v>
      </c>
      <c r="J901" t="s">
        <v>2629</v>
      </c>
      <c r="K901" t="s">
        <v>2625</v>
      </c>
      <c r="L901" t="s">
        <v>2626</v>
      </c>
      <c r="M901">
        <v>33</v>
      </c>
      <c r="N901">
        <v>25.38</v>
      </c>
      <c r="O901">
        <v>2960.32</v>
      </c>
      <c r="P901">
        <v>0</v>
      </c>
      <c r="Q901">
        <v>2960.32</v>
      </c>
      <c r="R901">
        <v>473.65</v>
      </c>
      <c r="S901">
        <v>118.41</v>
      </c>
      <c r="T901">
        <v>3315.56</v>
      </c>
      <c r="U901" t="s">
        <v>2633</v>
      </c>
      <c r="V901" t="s">
        <v>9408</v>
      </c>
      <c r="W901" t="s">
        <v>423</v>
      </c>
    </row>
    <row r="902" spans="1:23" hidden="1" x14ac:dyDescent="0.2">
      <c r="A902">
        <v>2012</v>
      </c>
      <c r="B902" t="s">
        <v>303</v>
      </c>
      <c r="C902" s="733">
        <v>40926</v>
      </c>
      <c r="D9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902" t="s">
        <v>478</v>
      </c>
      <c r="F902" t="s">
        <v>2622</v>
      </c>
      <c r="G902" t="s">
        <v>2947</v>
      </c>
      <c r="H902">
        <v>34600</v>
      </c>
      <c r="I902" t="s">
        <v>423</v>
      </c>
      <c r="J902" t="s">
        <v>2629</v>
      </c>
      <c r="K902" t="s">
        <v>2625</v>
      </c>
      <c r="L902" t="s">
        <v>2626</v>
      </c>
      <c r="M902">
        <v>33</v>
      </c>
      <c r="N902">
        <v>25.15</v>
      </c>
      <c r="O902">
        <v>2933.5</v>
      </c>
      <c r="P902">
        <v>0</v>
      </c>
      <c r="Q902">
        <v>2933.5</v>
      </c>
      <c r="R902">
        <v>469.36</v>
      </c>
      <c r="S902">
        <v>117.34</v>
      </c>
      <c r="T902">
        <v>3285.52</v>
      </c>
      <c r="U902" t="s">
        <v>2627</v>
      </c>
      <c r="V902" t="s">
        <v>9408</v>
      </c>
      <c r="W902" t="s">
        <v>423</v>
      </c>
    </row>
    <row r="903" spans="1:23" hidden="1" x14ac:dyDescent="0.2">
      <c r="A903">
        <v>2012</v>
      </c>
      <c r="B903" t="s">
        <v>303</v>
      </c>
      <c r="C903" s="733">
        <v>40920</v>
      </c>
      <c r="D9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903" t="s">
        <v>485</v>
      </c>
      <c r="F903" t="s">
        <v>2099</v>
      </c>
      <c r="G903" t="s">
        <v>4185</v>
      </c>
      <c r="H903">
        <v>40222</v>
      </c>
      <c r="I903" t="s">
        <v>423</v>
      </c>
      <c r="J903" t="s">
        <v>2141</v>
      </c>
      <c r="K903" t="s">
        <v>2102</v>
      </c>
      <c r="L903" t="s">
        <v>2103</v>
      </c>
      <c r="M903">
        <v>114</v>
      </c>
      <c r="N903">
        <v>25.37</v>
      </c>
      <c r="O903">
        <v>4076.45</v>
      </c>
      <c r="P903">
        <v>0</v>
      </c>
      <c r="Q903">
        <v>4076.45</v>
      </c>
      <c r="R903">
        <v>652.23</v>
      </c>
      <c r="S903">
        <v>163.06</v>
      </c>
      <c r="T903">
        <v>4565.62</v>
      </c>
      <c r="U903" t="s">
        <v>2108</v>
      </c>
      <c r="V903" t="s">
        <v>9408</v>
      </c>
      <c r="W903" t="s">
        <v>423</v>
      </c>
    </row>
    <row r="904" spans="1:23" hidden="1" x14ac:dyDescent="0.2">
      <c r="A904">
        <v>2012</v>
      </c>
      <c r="B904" t="s">
        <v>304</v>
      </c>
      <c r="C904" s="733">
        <v>40962</v>
      </c>
      <c r="D9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04" t="s">
        <v>485</v>
      </c>
      <c r="F904" t="s">
        <v>2099</v>
      </c>
      <c r="G904" t="s">
        <v>8528</v>
      </c>
      <c r="H904">
        <v>42487</v>
      </c>
      <c r="I904" t="s">
        <v>423</v>
      </c>
      <c r="J904" t="s">
        <v>2141</v>
      </c>
      <c r="K904" t="s">
        <v>2102</v>
      </c>
      <c r="L904" t="s">
        <v>2103</v>
      </c>
      <c r="M904">
        <v>114</v>
      </c>
      <c r="N904">
        <v>23.62</v>
      </c>
      <c r="O904">
        <v>3795.26</v>
      </c>
      <c r="P904">
        <v>0</v>
      </c>
      <c r="Q904">
        <v>3795.26</v>
      </c>
      <c r="R904">
        <v>607.24</v>
      </c>
      <c r="S904">
        <v>151.81</v>
      </c>
      <c r="T904">
        <v>4250.6899999999996</v>
      </c>
      <c r="U904" t="s">
        <v>8883</v>
      </c>
      <c r="V904" t="s">
        <v>9408</v>
      </c>
      <c r="W904" t="s">
        <v>423</v>
      </c>
    </row>
    <row r="905" spans="1:23" hidden="1" x14ac:dyDescent="0.2">
      <c r="A905">
        <v>2012</v>
      </c>
      <c r="B905" t="s">
        <v>303</v>
      </c>
      <c r="C905" s="733">
        <v>40920.50949074074</v>
      </c>
      <c r="D9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905" t="s">
        <v>485</v>
      </c>
      <c r="F905" t="s">
        <v>2099</v>
      </c>
      <c r="G905" t="s">
        <v>4184</v>
      </c>
      <c r="H905">
        <v>40224</v>
      </c>
      <c r="I905" t="s">
        <v>423</v>
      </c>
      <c r="J905" t="s">
        <v>2141</v>
      </c>
      <c r="K905" t="s">
        <v>2102</v>
      </c>
      <c r="L905" t="s">
        <v>2103</v>
      </c>
      <c r="M905">
        <v>114</v>
      </c>
      <c r="N905">
        <v>25.04</v>
      </c>
      <c r="O905">
        <v>4023.43</v>
      </c>
      <c r="P905">
        <v>0</v>
      </c>
      <c r="Q905">
        <v>4023.43</v>
      </c>
      <c r="R905">
        <v>643.75</v>
      </c>
      <c r="S905">
        <v>160.94</v>
      </c>
      <c r="T905">
        <v>4506.24</v>
      </c>
      <c r="U905" t="s">
        <v>2108</v>
      </c>
      <c r="V905" t="s">
        <v>9408</v>
      </c>
      <c r="W905" t="s">
        <v>423</v>
      </c>
    </row>
    <row r="906" spans="1:23" hidden="1" x14ac:dyDescent="0.2">
      <c r="A906">
        <v>2012</v>
      </c>
      <c r="B906" t="s">
        <v>304</v>
      </c>
      <c r="C906" s="733">
        <v>40954.420624999999</v>
      </c>
      <c r="D9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06" t="s">
        <v>485</v>
      </c>
      <c r="F906" t="s">
        <v>2065</v>
      </c>
      <c r="G906" t="s">
        <v>7148</v>
      </c>
      <c r="H906">
        <v>41958</v>
      </c>
      <c r="I906" t="s">
        <v>423</v>
      </c>
      <c r="J906" t="s">
        <v>2141</v>
      </c>
      <c r="K906" t="s">
        <v>2102</v>
      </c>
      <c r="L906" t="s">
        <v>2103</v>
      </c>
      <c r="M906">
        <v>114</v>
      </c>
      <c r="N906">
        <v>25.41</v>
      </c>
      <c r="O906">
        <v>4082.88</v>
      </c>
      <c r="P906">
        <v>0</v>
      </c>
      <c r="Q906">
        <v>4082.88</v>
      </c>
      <c r="R906">
        <v>653.26</v>
      </c>
      <c r="S906">
        <v>163.32</v>
      </c>
      <c r="T906">
        <v>4572.82</v>
      </c>
      <c r="U906" t="s">
        <v>8051</v>
      </c>
      <c r="V906" t="s">
        <v>9408</v>
      </c>
      <c r="W906" t="s">
        <v>423</v>
      </c>
    </row>
    <row r="907" spans="1:23" hidden="1" x14ac:dyDescent="0.2">
      <c r="A907">
        <v>2012</v>
      </c>
      <c r="B907" t="s">
        <v>304</v>
      </c>
      <c r="C907" s="733">
        <v>40941.444861111115</v>
      </c>
      <c r="D9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07" t="s">
        <v>485</v>
      </c>
      <c r="F907" t="s">
        <v>2065</v>
      </c>
      <c r="G907" t="s">
        <v>7132</v>
      </c>
      <c r="H907">
        <v>41276</v>
      </c>
      <c r="I907" t="s">
        <v>423</v>
      </c>
      <c r="J907" t="s">
        <v>2141</v>
      </c>
      <c r="K907" t="s">
        <v>2102</v>
      </c>
      <c r="L907" t="s">
        <v>2103</v>
      </c>
      <c r="M907">
        <v>114</v>
      </c>
      <c r="N907">
        <v>27.52</v>
      </c>
      <c r="O907">
        <v>4421.91</v>
      </c>
      <c r="P907">
        <v>0</v>
      </c>
      <c r="Q907">
        <v>4421.91</v>
      </c>
      <c r="R907">
        <v>707.51</v>
      </c>
      <c r="S907">
        <v>176.88</v>
      </c>
      <c r="T907">
        <v>4952.54</v>
      </c>
      <c r="V907" t="s">
        <v>9408</v>
      </c>
      <c r="W907" t="s">
        <v>423</v>
      </c>
    </row>
    <row r="908" spans="1:23" hidden="1" x14ac:dyDescent="0.2">
      <c r="A908">
        <v>2012</v>
      </c>
      <c r="B908" t="s">
        <v>304</v>
      </c>
      <c r="C908" s="733">
        <v>40952</v>
      </c>
      <c r="D9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08" t="s">
        <v>478</v>
      </c>
      <c r="F908" t="s">
        <v>2136</v>
      </c>
      <c r="G908" t="s">
        <v>7131</v>
      </c>
      <c r="H908">
        <v>35479</v>
      </c>
      <c r="I908" t="s">
        <v>423</v>
      </c>
      <c r="J908" t="s">
        <v>2144</v>
      </c>
      <c r="K908" t="s">
        <v>425</v>
      </c>
      <c r="L908" t="s">
        <v>2145</v>
      </c>
      <c r="M908">
        <v>1354</v>
      </c>
      <c r="N908">
        <v>44.02</v>
      </c>
      <c r="O908">
        <v>39916.9</v>
      </c>
      <c r="P908">
        <v>0</v>
      </c>
      <c r="Q908">
        <v>39916.9</v>
      </c>
      <c r="R908">
        <v>6386.7</v>
      </c>
      <c r="S908">
        <v>1596.68</v>
      </c>
      <c r="T908">
        <v>44706.92</v>
      </c>
      <c r="U908" t="s">
        <v>7523</v>
      </c>
      <c r="V908" t="s">
        <v>9409</v>
      </c>
      <c r="W908" t="s">
        <v>423</v>
      </c>
    </row>
    <row r="909" spans="1:23" hidden="1" x14ac:dyDescent="0.2">
      <c r="A909">
        <v>2012</v>
      </c>
      <c r="B909" t="s">
        <v>303</v>
      </c>
      <c r="C909" s="733">
        <v>40938</v>
      </c>
      <c r="D9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909" t="s">
        <v>478</v>
      </c>
      <c r="F909" t="s">
        <v>2136</v>
      </c>
      <c r="G909" t="s">
        <v>7139</v>
      </c>
      <c r="H909">
        <v>34976</v>
      </c>
      <c r="I909" t="s">
        <v>423</v>
      </c>
      <c r="J909" t="s">
        <v>2144</v>
      </c>
      <c r="K909" t="s">
        <v>425</v>
      </c>
      <c r="L909" t="s">
        <v>2145</v>
      </c>
      <c r="M909">
        <v>1354</v>
      </c>
      <c r="N909">
        <v>50.66</v>
      </c>
      <c r="O909">
        <v>45937.98</v>
      </c>
      <c r="P909">
        <v>0</v>
      </c>
      <c r="Q909">
        <v>45937.98</v>
      </c>
      <c r="R909">
        <v>7350.08</v>
      </c>
      <c r="S909">
        <v>1837.52</v>
      </c>
      <c r="T909">
        <v>51450.54</v>
      </c>
      <c r="U909" t="s">
        <v>2914</v>
      </c>
      <c r="V909" t="s">
        <v>9409</v>
      </c>
      <c r="W909" t="s">
        <v>423</v>
      </c>
    </row>
    <row r="910" spans="1:23" hidden="1" x14ac:dyDescent="0.2">
      <c r="A910">
        <v>2012</v>
      </c>
      <c r="B910" t="s">
        <v>304</v>
      </c>
      <c r="C910" s="733">
        <v>40948</v>
      </c>
      <c r="D9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10" t="s">
        <v>478</v>
      </c>
      <c r="F910" t="s">
        <v>2136</v>
      </c>
      <c r="G910" t="s">
        <v>4186</v>
      </c>
      <c r="H910">
        <v>35356</v>
      </c>
      <c r="I910" t="s">
        <v>423</v>
      </c>
      <c r="J910" t="s">
        <v>2144</v>
      </c>
      <c r="K910" t="s">
        <v>425</v>
      </c>
      <c r="L910" t="s">
        <v>2145</v>
      </c>
      <c r="M910">
        <v>1354</v>
      </c>
      <c r="N910">
        <v>52.42</v>
      </c>
      <c r="O910">
        <v>47533.93</v>
      </c>
      <c r="P910">
        <v>0</v>
      </c>
      <c r="Q910">
        <v>47533.93</v>
      </c>
      <c r="R910">
        <v>7605.43</v>
      </c>
      <c r="S910">
        <v>1901.36</v>
      </c>
      <c r="T910">
        <v>53238</v>
      </c>
      <c r="U910" t="s">
        <v>3115</v>
      </c>
      <c r="V910" t="s">
        <v>9409</v>
      </c>
      <c r="W910" t="s">
        <v>423</v>
      </c>
    </row>
    <row r="911" spans="1:23" hidden="1" x14ac:dyDescent="0.2">
      <c r="A911">
        <v>2012</v>
      </c>
      <c r="B911" t="s">
        <v>305</v>
      </c>
      <c r="C911" s="733">
        <v>40970</v>
      </c>
      <c r="D911" s="733" t="str">
        <f>CHOOSE(MONTH(Tabla_sqldatos_bonampakdb_Bon_v_ingresos2012[[#This Row],[fecha_guia]]),"Enero","Febrero","Marzo","Abril","Mayo","Junio","Julio","Agosto","Septiembre","Octubre","Noviembre","Diciembre")</f>
        <v>Marzo</v>
      </c>
      <c r="E911" t="s">
        <v>478</v>
      </c>
      <c r="F911" t="s">
        <v>2136</v>
      </c>
      <c r="G911" t="s">
        <v>9664</v>
      </c>
      <c r="H911">
        <v>36054</v>
      </c>
      <c r="I911" t="s">
        <v>423</v>
      </c>
      <c r="J911" t="s">
        <v>2144</v>
      </c>
      <c r="K911" t="s">
        <v>425</v>
      </c>
      <c r="L911" t="s">
        <v>2145</v>
      </c>
      <c r="M911">
        <v>1354</v>
      </c>
      <c r="N911">
        <v>40.39</v>
      </c>
      <c r="O911">
        <v>36625.25</v>
      </c>
      <c r="P911">
        <v>0</v>
      </c>
      <c r="Q911">
        <v>36625.25</v>
      </c>
      <c r="R911">
        <v>5860.04</v>
      </c>
      <c r="S911">
        <v>1465.01</v>
      </c>
      <c r="T911">
        <v>41020.28</v>
      </c>
      <c r="V911" t="s">
        <v>9409</v>
      </c>
      <c r="W911" t="s">
        <v>423</v>
      </c>
    </row>
    <row r="912" spans="1:23" hidden="1" x14ac:dyDescent="0.2">
      <c r="A912">
        <v>2012</v>
      </c>
      <c r="B912" t="s">
        <v>304</v>
      </c>
      <c r="C912" s="733">
        <v>40947.41207175926</v>
      </c>
      <c r="D9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12" t="s">
        <v>478</v>
      </c>
      <c r="F912" t="s">
        <v>2622</v>
      </c>
      <c r="G912" t="s">
        <v>2962</v>
      </c>
      <c r="H912">
        <v>35417</v>
      </c>
      <c r="I912" t="s">
        <v>423</v>
      </c>
      <c r="J912" t="s">
        <v>2629</v>
      </c>
      <c r="K912" t="s">
        <v>2625</v>
      </c>
      <c r="L912" t="s">
        <v>2626</v>
      </c>
      <c r="M912">
        <v>33</v>
      </c>
      <c r="N912">
        <v>23.99</v>
      </c>
      <c r="O912">
        <v>2798.19</v>
      </c>
      <c r="P912">
        <v>0</v>
      </c>
      <c r="Q912">
        <v>2798.19</v>
      </c>
      <c r="R912">
        <v>447.71</v>
      </c>
      <c r="S912">
        <v>111.93</v>
      </c>
      <c r="T912">
        <v>3133.97</v>
      </c>
      <c r="U912" t="s">
        <v>2652</v>
      </c>
      <c r="V912" t="s">
        <v>9408</v>
      </c>
      <c r="W912" t="s">
        <v>423</v>
      </c>
    </row>
    <row r="913" spans="1:23" hidden="1" x14ac:dyDescent="0.2">
      <c r="A913">
        <v>2012</v>
      </c>
      <c r="B913" t="s">
        <v>304</v>
      </c>
      <c r="C913" s="733">
        <v>40967.422731481478</v>
      </c>
      <c r="D9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13" t="s">
        <v>478</v>
      </c>
      <c r="F913" t="s">
        <v>2136</v>
      </c>
      <c r="G913" t="s">
        <v>9024</v>
      </c>
      <c r="H913">
        <v>36140</v>
      </c>
      <c r="I913" t="s">
        <v>423</v>
      </c>
      <c r="J913" t="s">
        <v>2629</v>
      </c>
      <c r="K913" t="s">
        <v>2625</v>
      </c>
      <c r="L913" t="s">
        <v>2626</v>
      </c>
      <c r="M913">
        <v>33</v>
      </c>
      <c r="N913">
        <v>26.04</v>
      </c>
      <c r="O913">
        <v>3037.31</v>
      </c>
      <c r="P913">
        <v>0</v>
      </c>
      <c r="Q913">
        <v>3037.31</v>
      </c>
      <c r="R913">
        <v>485.97</v>
      </c>
      <c r="S913">
        <v>121.49</v>
      </c>
      <c r="T913">
        <v>3401.79</v>
      </c>
      <c r="U913" t="s">
        <v>9428</v>
      </c>
      <c r="V913" t="s">
        <v>9408</v>
      </c>
      <c r="W913" t="s">
        <v>423</v>
      </c>
    </row>
    <row r="914" spans="1:23" hidden="1" x14ac:dyDescent="0.2">
      <c r="A914">
        <v>2012</v>
      </c>
      <c r="B914" t="s">
        <v>303</v>
      </c>
      <c r="C914" s="733">
        <v>40939.499548611115</v>
      </c>
      <c r="D9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914" t="s">
        <v>478</v>
      </c>
      <c r="F914" t="s">
        <v>2622</v>
      </c>
      <c r="G914" t="s">
        <v>2948</v>
      </c>
      <c r="H914">
        <v>35126</v>
      </c>
      <c r="I914" t="s">
        <v>423</v>
      </c>
      <c r="J914" t="s">
        <v>2629</v>
      </c>
      <c r="K914" t="s">
        <v>2625</v>
      </c>
      <c r="L914" t="s">
        <v>2626</v>
      </c>
      <c r="M914">
        <v>33</v>
      </c>
      <c r="N914">
        <v>23.51</v>
      </c>
      <c r="O914">
        <v>2742.21</v>
      </c>
      <c r="P914">
        <v>0</v>
      </c>
      <c r="Q914">
        <v>2742.21</v>
      </c>
      <c r="R914">
        <v>438.75</v>
      </c>
      <c r="S914">
        <v>109.69</v>
      </c>
      <c r="T914">
        <v>3071.27</v>
      </c>
      <c r="U914" t="s">
        <v>2648</v>
      </c>
      <c r="V914" t="s">
        <v>9408</v>
      </c>
      <c r="W914" t="s">
        <v>423</v>
      </c>
    </row>
    <row r="915" spans="1:23" hidden="1" x14ac:dyDescent="0.2">
      <c r="A915">
        <v>2012</v>
      </c>
      <c r="B915" t="s">
        <v>303</v>
      </c>
      <c r="C915" s="733">
        <v>40921.590254629627</v>
      </c>
      <c r="D9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915" t="s">
        <v>478</v>
      </c>
      <c r="F915" t="s">
        <v>2622</v>
      </c>
      <c r="G915" t="s">
        <v>2963</v>
      </c>
      <c r="H915">
        <v>34493</v>
      </c>
      <c r="I915" t="s">
        <v>423</v>
      </c>
      <c r="J915" t="s">
        <v>2629</v>
      </c>
      <c r="K915" t="s">
        <v>2625</v>
      </c>
      <c r="L915" t="s">
        <v>2626</v>
      </c>
      <c r="M915">
        <v>33</v>
      </c>
      <c r="N915">
        <v>24.49</v>
      </c>
      <c r="O915">
        <v>2856.51</v>
      </c>
      <c r="P915">
        <v>0</v>
      </c>
      <c r="Q915">
        <v>2856.51</v>
      </c>
      <c r="R915">
        <v>457.04</v>
      </c>
      <c r="S915">
        <v>114.26</v>
      </c>
      <c r="T915">
        <v>3199.29</v>
      </c>
      <c r="U915" t="s">
        <v>2627</v>
      </c>
      <c r="V915" t="s">
        <v>9408</v>
      </c>
      <c r="W915" t="s">
        <v>423</v>
      </c>
    </row>
    <row r="916" spans="1:23" hidden="1" x14ac:dyDescent="0.2">
      <c r="A916">
        <v>2012</v>
      </c>
      <c r="B916" t="s">
        <v>303</v>
      </c>
      <c r="C916" s="733">
        <v>40928</v>
      </c>
      <c r="D9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916" t="s">
        <v>485</v>
      </c>
      <c r="F916" t="s">
        <v>2065</v>
      </c>
      <c r="G916" t="s">
        <v>3274</v>
      </c>
      <c r="H916">
        <v>39806</v>
      </c>
      <c r="I916" t="s">
        <v>423</v>
      </c>
      <c r="J916" t="s">
        <v>2186</v>
      </c>
      <c r="K916" t="s">
        <v>2183</v>
      </c>
      <c r="L916" t="s">
        <v>2184</v>
      </c>
      <c r="M916">
        <v>19</v>
      </c>
      <c r="N916">
        <v>16.579999999999998</v>
      </c>
      <c r="O916">
        <v>1871.38</v>
      </c>
      <c r="P916">
        <v>0</v>
      </c>
      <c r="Q916">
        <v>1871.38</v>
      </c>
      <c r="R916">
        <v>299.42</v>
      </c>
      <c r="S916">
        <v>74.86</v>
      </c>
      <c r="T916">
        <v>2095.94</v>
      </c>
      <c r="U916" t="s">
        <v>2187</v>
      </c>
      <c r="V916" t="s">
        <v>9408</v>
      </c>
      <c r="W916" t="s">
        <v>423</v>
      </c>
    </row>
    <row r="917" spans="1:23" hidden="1" x14ac:dyDescent="0.2">
      <c r="A917">
        <v>2012</v>
      </c>
      <c r="B917" t="s">
        <v>304</v>
      </c>
      <c r="C917" s="733">
        <v>40940</v>
      </c>
      <c r="D9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17" t="s">
        <v>485</v>
      </c>
      <c r="F917" t="s">
        <v>2065</v>
      </c>
      <c r="G917" t="s">
        <v>3285</v>
      </c>
      <c r="H917">
        <v>40113</v>
      </c>
      <c r="I917" t="s">
        <v>423</v>
      </c>
      <c r="J917" t="s">
        <v>2186</v>
      </c>
      <c r="K917" t="s">
        <v>2183</v>
      </c>
      <c r="L917" t="s">
        <v>2184</v>
      </c>
      <c r="M917">
        <v>19</v>
      </c>
      <c r="N917">
        <v>16.18</v>
      </c>
      <c r="O917">
        <v>1826.24</v>
      </c>
      <c r="P917">
        <v>0</v>
      </c>
      <c r="Q917">
        <v>1826.24</v>
      </c>
      <c r="R917">
        <v>292.2</v>
      </c>
      <c r="S917">
        <v>73.05</v>
      </c>
      <c r="T917">
        <v>2045.39</v>
      </c>
      <c r="U917" t="s">
        <v>2187</v>
      </c>
      <c r="V917" t="s">
        <v>9408</v>
      </c>
      <c r="W917" t="s">
        <v>423</v>
      </c>
    </row>
    <row r="918" spans="1:23" hidden="1" x14ac:dyDescent="0.2">
      <c r="A918">
        <v>2012</v>
      </c>
      <c r="B918" t="s">
        <v>303</v>
      </c>
      <c r="C918" s="733">
        <v>40912</v>
      </c>
      <c r="D9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918" t="s">
        <v>505</v>
      </c>
      <c r="F918" t="s">
        <v>1915</v>
      </c>
      <c r="G918" t="s">
        <v>1996</v>
      </c>
      <c r="H918">
        <v>21688</v>
      </c>
      <c r="I918" t="s">
        <v>424</v>
      </c>
      <c r="J918" t="s">
        <v>1917</v>
      </c>
      <c r="K918" t="s">
        <v>1918</v>
      </c>
      <c r="L918" t="s">
        <v>1919</v>
      </c>
      <c r="M918">
        <v>267</v>
      </c>
      <c r="N918">
        <v>30</v>
      </c>
      <c r="O918">
        <v>2929.97</v>
      </c>
      <c r="P918">
        <v>1683.8244589999999</v>
      </c>
      <c r="Q918">
        <v>4613.7944589999997</v>
      </c>
      <c r="R918">
        <v>738.20711300000005</v>
      </c>
      <c r="S918">
        <v>184.55177800000001</v>
      </c>
      <c r="T918">
        <v>5167.4497940000001</v>
      </c>
      <c r="U918" t="s">
        <v>8778</v>
      </c>
      <c r="V918" t="s">
        <v>9408</v>
      </c>
      <c r="W918" t="s">
        <v>424</v>
      </c>
    </row>
    <row r="919" spans="1:23" hidden="1" x14ac:dyDescent="0.2">
      <c r="A919">
        <v>2012</v>
      </c>
      <c r="B919" t="s">
        <v>303</v>
      </c>
      <c r="C919" s="733">
        <v>40924</v>
      </c>
      <c r="D9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919" t="s">
        <v>505</v>
      </c>
      <c r="F919" t="s">
        <v>1915</v>
      </c>
      <c r="G919" t="s">
        <v>1997</v>
      </c>
      <c r="H919">
        <v>21996</v>
      </c>
      <c r="I919" t="s">
        <v>424</v>
      </c>
      <c r="J919" t="s">
        <v>1917</v>
      </c>
      <c r="K919" t="s">
        <v>1918</v>
      </c>
      <c r="L919" t="s">
        <v>1919</v>
      </c>
      <c r="M919">
        <v>267</v>
      </c>
      <c r="N919">
        <v>30</v>
      </c>
      <c r="O919">
        <v>2929.97</v>
      </c>
      <c r="P919">
        <v>1683.8244589999999</v>
      </c>
      <c r="Q919">
        <v>4613.7944589999997</v>
      </c>
      <c r="R919">
        <v>738.20711300000005</v>
      </c>
      <c r="S919">
        <v>184.55177800000001</v>
      </c>
      <c r="T919">
        <v>5167.4497940000001</v>
      </c>
      <c r="U919" t="s">
        <v>1931</v>
      </c>
      <c r="V919" t="s">
        <v>9408</v>
      </c>
      <c r="W919" t="s">
        <v>424</v>
      </c>
    </row>
    <row r="920" spans="1:23" hidden="1" x14ac:dyDescent="0.2">
      <c r="A920">
        <v>2012</v>
      </c>
      <c r="B920" t="s">
        <v>303</v>
      </c>
      <c r="C920" s="733">
        <v>40910</v>
      </c>
      <c r="D9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920" t="s">
        <v>485</v>
      </c>
      <c r="F920" t="s">
        <v>2065</v>
      </c>
      <c r="G920" t="s">
        <v>4676</v>
      </c>
      <c r="H920">
        <v>39582</v>
      </c>
      <c r="I920" t="s">
        <v>423</v>
      </c>
      <c r="J920" t="s">
        <v>2182</v>
      </c>
      <c r="K920" t="s">
        <v>2183</v>
      </c>
      <c r="L920" t="s">
        <v>2184</v>
      </c>
      <c r="M920">
        <v>62</v>
      </c>
      <c r="N920">
        <v>48.86</v>
      </c>
      <c r="O920">
        <v>3047.4</v>
      </c>
      <c r="P920">
        <v>3431.037186</v>
      </c>
      <c r="Q920">
        <v>6478.4371860000001</v>
      </c>
      <c r="R920">
        <v>1036.5499500000001</v>
      </c>
      <c r="S920">
        <v>259.13748700000002</v>
      </c>
      <c r="T920">
        <v>7255.8496489999998</v>
      </c>
      <c r="U920" t="s">
        <v>3038</v>
      </c>
      <c r="V920" t="s">
        <v>9409</v>
      </c>
      <c r="W920" t="s">
        <v>423</v>
      </c>
    </row>
    <row r="921" spans="1:23" hidden="1" x14ac:dyDescent="0.2">
      <c r="A921">
        <v>2012</v>
      </c>
      <c r="B921" t="s">
        <v>303</v>
      </c>
      <c r="C921" s="733">
        <v>40928</v>
      </c>
      <c r="D9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921" t="s">
        <v>485</v>
      </c>
      <c r="F921" t="s">
        <v>2065</v>
      </c>
      <c r="G921" t="s">
        <v>4497</v>
      </c>
      <c r="H921">
        <v>39803</v>
      </c>
      <c r="I921" t="s">
        <v>423</v>
      </c>
      <c r="J921" t="s">
        <v>2182</v>
      </c>
      <c r="K921" t="s">
        <v>2183</v>
      </c>
      <c r="L921" t="s">
        <v>2184</v>
      </c>
      <c r="M921">
        <v>62</v>
      </c>
      <c r="N921">
        <v>16.57</v>
      </c>
      <c r="O921">
        <v>2454.6799999999998</v>
      </c>
      <c r="P921">
        <v>0</v>
      </c>
      <c r="Q921">
        <v>2454.6799999999998</v>
      </c>
      <c r="R921">
        <v>392.75</v>
      </c>
      <c r="S921">
        <v>98.19</v>
      </c>
      <c r="T921">
        <v>2749.24</v>
      </c>
      <c r="U921" t="s">
        <v>7554</v>
      </c>
      <c r="V921" t="s">
        <v>9408</v>
      </c>
      <c r="W921" t="s">
        <v>423</v>
      </c>
    </row>
    <row r="922" spans="1:23" hidden="1" x14ac:dyDescent="0.2">
      <c r="A922">
        <v>2012</v>
      </c>
      <c r="B922" t="s">
        <v>304</v>
      </c>
      <c r="C922" s="733">
        <v>40966</v>
      </c>
      <c r="D9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22" t="s">
        <v>485</v>
      </c>
      <c r="F922" t="s">
        <v>2065</v>
      </c>
      <c r="G922" t="s">
        <v>8792</v>
      </c>
      <c r="H922">
        <v>42581</v>
      </c>
      <c r="I922" t="s">
        <v>423</v>
      </c>
      <c r="J922" t="s">
        <v>2182</v>
      </c>
      <c r="K922" t="s">
        <v>2183</v>
      </c>
      <c r="L922" t="s">
        <v>2184</v>
      </c>
      <c r="M922">
        <v>62</v>
      </c>
      <c r="N922">
        <v>16.309999999999999</v>
      </c>
      <c r="O922">
        <v>2416.16</v>
      </c>
      <c r="P922">
        <v>0</v>
      </c>
      <c r="Q922">
        <v>2416.16</v>
      </c>
      <c r="R922">
        <v>386.59</v>
      </c>
      <c r="S922">
        <v>96.65</v>
      </c>
      <c r="T922">
        <v>2706.1</v>
      </c>
      <c r="V922" t="s">
        <v>9408</v>
      </c>
      <c r="W922" t="s">
        <v>423</v>
      </c>
    </row>
    <row r="923" spans="1:23" hidden="1" x14ac:dyDescent="0.2">
      <c r="A923">
        <v>2012</v>
      </c>
      <c r="B923" t="s">
        <v>304</v>
      </c>
      <c r="C923" s="733">
        <v>40941</v>
      </c>
      <c r="D9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23" t="s">
        <v>485</v>
      </c>
      <c r="F923" t="s">
        <v>2065</v>
      </c>
      <c r="G923" t="s">
        <v>4482</v>
      </c>
      <c r="H923">
        <v>41285</v>
      </c>
      <c r="I923" t="s">
        <v>423</v>
      </c>
      <c r="J923" t="s">
        <v>2182</v>
      </c>
      <c r="K923" t="s">
        <v>2183</v>
      </c>
      <c r="L923" t="s">
        <v>2184</v>
      </c>
      <c r="M923">
        <v>62</v>
      </c>
      <c r="N923">
        <v>16.12</v>
      </c>
      <c r="O923">
        <v>2388.02</v>
      </c>
      <c r="P923">
        <v>0</v>
      </c>
      <c r="Q923">
        <v>2388.02</v>
      </c>
      <c r="R923">
        <v>382.08</v>
      </c>
      <c r="S923">
        <v>95.52</v>
      </c>
      <c r="T923">
        <v>2674.58</v>
      </c>
      <c r="U923" t="s">
        <v>2192</v>
      </c>
      <c r="V923" t="s">
        <v>9408</v>
      </c>
      <c r="W923" t="s">
        <v>423</v>
      </c>
    </row>
    <row r="924" spans="1:23" hidden="1" x14ac:dyDescent="0.2">
      <c r="A924">
        <v>2012</v>
      </c>
      <c r="B924" t="s">
        <v>303</v>
      </c>
      <c r="C924" s="733">
        <v>40926</v>
      </c>
      <c r="D9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924" t="s">
        <v>485</v>
      </c>
      <c r="F924" t="s">
        <v>2065</v>
      </c>
      <c r="G924" t="s">
        <v>7210</v>
      </c>
      <c r="H924">
        <v>39694</v>
      </c>
      <c r="I924" t="s">
        <v>423</v>
      </c>
      <c r="J924" t="s">
        <v>2114</v>
      </c>
      <c r="K924" t="s">
        <v>2102</v>
      </c>
      <c r="L924" t="s">
        <v>2115</v>
      </c>
      <c r="M924">
        <v>500</v>
      </c>
      <c r="N924">
        <v>51.85</v>
      </c>
      <c r="O924">
        <v>17434.560000000001</v>
      </c>
      <c r="P924">
        <v>0</v>
      </c>
      <c r="Q924">
        <v>17434.560000000001</v>
      </c>
      <c r="R924">
        <v>2789.53</v>
      </c>
      <c r="S924">
        <v>697.38</v>
      </c>
      <c r="T924">
        <v>19526.71</v>
      </c>
      <c r="U924" t="s">
        <v>2106</v>
      </c>
      <c r="V924" t="s">
        <v>9409</v>
      </c>
      <c r="W924" t="s">
        <v>423</v>
      </c>
    </row>
    <row r="925" spans="1:23" hidden="1" x14ac:dyDescent="0.2">
      <c r="A925">
        <v>2012</v>
      </c>
      <c r="B925" t="s">
        <v>303</v>
      </c>
      <c r="C925" s="733">
        <v>40938</v>
      </c>
      <c r="D9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925" t="s">
        <v>485</v>
      </c>
      <c r="F925" t="s">
        <v>2065</v>
      </c>
      <c r="G925" t="s">
        <v>4682</v>
      </c>
      <c r="H925">
        <v>40961</v>
      </c>
      <c r="I925" t="s">
        <v>424</v>
      </c>
      <c r="J925" t="s">
        <v>2114</v>
      </c>
      <c r="K925" t="s">
        <v>2102</v>
      </c>
      <c r="L925" t="s">
        <v>2115</v>
      </c>
      <c r="M925">
        <v>500</v>
      </c>
      <c r="N925">
        <v>54</v>
      </c>
      <c r="O925">
        <v>10009.44</v>
      </c>
      <c r="P925">
        <v>0</v>
      </c>
      <c r="Q925">
        <v>10009.44</v>
      </c>
      <c r="R925">
        <v>1601.51</v>
      </c>
      <c r="S925">
        <v>400.38</v>
      </c>
      <c r="T925">
        <v>11210.57</v>
      </c>
      <c r="U925" t="s">
        <v>2116</v>
      </c>
      <c r="V925" t="s">
        <v>9409</v>
      </c>
      <c r="W925" t="s">
        <v>424</v>
      </c>
    </row>
    <row r="926" spans="1:23" hidden="1" x14ac:dyDescent="0.2">
      <c r="A926">
        <v>2012</v>
      </c>
      <c r="B926" t="s">
        <v>303</v>
      </c>
      <c r="C926" s="733">
        <v>40918</v>
      </c>
      <c r="D9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926" t="s">
        <v>485</v>
      </c>
      <c r="F926" t="s">
        <v>2065</v>
      </c>
      <c r="G926" t="s">
        <v>4672</v>
      </c>
      <c r="H926">
        <v>40001</v>
      </c>
      <c r="I926" t="s">
        <v>423</v>
      </c>
      <c r="J926" t="s">
        <v>3204</v>
      </c>
      <c r="K926" t="s">
        <v>2183</v>
      </c>
      <c r="L926" t="s">
        <v>2184</v>
      </c>
      <c r="M926">
        <v>80</v>
      </c>
      <c r="N926">
        <v>15.99</v>
      </c>
      <c r="O926">
        <v>1804.79</v>
      </c>
      <c r="P926">
        <v>0</v>
      </c>
      <c r="Q926">
        <v>1804.79</v>
      </c>
      <c r="R926">
        <v>288.77</v>
      </c>
      <c r="S926">
        <v>72.19</v>
      </c>
      <c r="T926">
        <v>2021.37</v>
      </c>
      <c r="U926" t="s">
        <v>7520</v>
      </c>
      <c r="V926" t="s">
        <v>9408</v>
      </c>
      <c r="W926" t="s">
        <v>423</v>
      </c>
    </row>
    <row r="927" spans="1:23" hidden="1" x14ac:dyDescent="0.2">
      <c r="A927">
        <v>2012</v>
      </c>
      <c r="B927" t="s">
        <v>305</v>
      </c>
      <c r="C927" s="733">
        <v>40970</v>
      </c>
      <c r="D927" s="733" t="str">
        <f>CHOOSE(MONTH(Tabla_sqldatos_bonampakdb_Bon_v_ingresos2012[[#This Row],[fecha_guia]]),"Enero","Febrero","Marzo","Abril","Mayo","Junio","Julio","Agosto","Septiembre","Octubre","Noviembre","Diciembre")</f>
        <v>Marzo</v>
      </c>
      <c r="E927" t="s">
        <v>485</v>
      </c>
      <c r="F927" t="s">
        <v>2065</v>
      </c>
      <c r="G927" t="s">
        <v>9434</v>
      </c>
      <c r="H927">
        <v>42905</v>
      </c>
      <c r="I927" t="s">
        <v>423</v>
      </c>
      <c r="J927" t="s">
        <v>3204</v>
      </c>
      <c r="K927" t="s">
        <v>2183</v>
      </c>
      <c r="L927" t="s">
        <v>2184</v>
      </c>
      <c r="M927">
        <v>80</v>
      </c>
      <c r="N927">
        <v>15.53</v>
      </c>
      <c r="O927">
        <v>1752.87</v>
      </c>
      <c r="P927">
        <v>0</v>
      </c>
      <c r="Q927">
        <v>1752.87</v>
      </c>
      <c r="R927">
        <v>280.45999999999998</v>
      </c>
      <c r="S927">
        <v>70.11</v>
      </c>
      <c r="T927">
        <v>1963.22</v>
      </c>
      <c r="V927" t="s">
        <v>9408</v>
      </c>
      <c r="W927" t="s">
        <v>423</v>
      </c>
    </row>
    <row r="928" spans="1:23" hidden="1" x14ac:dyDescent="0.2">
      <c r="A928">
        <v>2012</v>
      </c>
      <c r="B928" t="s">
        <v>303</v>
      </c>
      <c r="C928" s="733">
        <v>40918</v>
      </c>
      <c r="D9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928" t="s">
        <v>485</v>
      </c>
      <c r="F928" t="s">
        <v>2065</v>
      </c>
      <c r="G928" t="s">
        <v>5333</v>
      </c>
      <c r="H928">
        <v>39996</v>
      </c>
      <c r="I928" t="s">
        <v>423</v>
      </c>
      <c r="J928" t="s">
        <v>3204</v>
      </c>
      <c r="K928" t="s">
        <v>2183</v>
      </c>
      <c r="L928" t="s">
        <v>2184</v>
      </c>
      <c r="M928">
        <v>80</v>
      </c>
      <c r="N928">
        <v>15.47</v>
      </c>
      <c r="O928">
        <v>1746.1</v>
      </c>
      <c r="P928">
        <v>0</v>
      </c>
      <c r="Q928">
        <v>1746.1</v>
      </c>
      <c r="R928">
        <v>279.38</v>
      </c>
      <c r="S928">
        <v>69.84</v>
      </c>
      <c r="T928">
        <v>1955.64</v>
      </c>
      <c r="U928" t="s">
        <v>9411</v>
      </c>
      <c r="V928" t="s">
        <v>9408</v>
      </c>
      <c r="W928" t="s">
        <v>423</v>
      </c>
    </row>
    <row r="929" spans="1:23" hidden="1" x14ac:dyDescent="0.2">
      <c r="A929">
        <v>2012</v>
      </c>
      <c r="B929" t="s">
        <v>303</v>
      </c>
      <c r="C929" s="733">
        <v>40932.551782407405</v>
      </c>
      <c r="D9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929" t="s">
        <v>485</v>
      </c>
      <c r="F929" t="s">
        <v>2065</v>
      </c>
      <c r="G929" t="s">
        <v>4691</v>
      </c>
      <c r="H929">
        <v>40805</v>
      </c>
      <c r="I929" t="s">
        <v>423</v>
      </c>
      <c r="J929" t="s">
        <v>2345</v>
      </c>
      <c r="K929" t="s">
        <v>2102</v>
      </c>
      <c r="L929" t="s">
        <v>2115</v>
      </c>
      <c r="M929">
        <v>426</v>
      </c>
      <c r="N929">
        <v>24.85</v>
      </c>
      <c r="O929">
        <v>8355.81</v>
      </c>
      <c r="P929">
        <v>0</v>
      </c>
      <c r="Q929">
        <v>8355.81</v>
      </c>
      <c r="R929">
        <v>1336.93</v>
      </c>
      <c r="S929">
        <v>334.23</v>
      </c>
      <c r="T929">
        <v>9358.51</v>
      </c>
      <c r="U929" t="s">
        <v>2108</v>
      </c>
      <c r="V929" t="s">
        <v>9409</v>
      </c>
      <c r="W929" t="s">
        <v>423</v>
      </c>
    </row>
    <row r="930" spans="1:23" hidden="1" x14ac:dyDescent="0.2">
      <c r="A930">
        <v>2012</v>
      </c>
      <c r="B930" t="s">
        <v>303</v>
      </c>
      <c r="C930" s="733">
        <v>40928</v>
      </c>
      <c r="D9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930" t="s">
        <v>485</v>
      </c>
      <c r="F930" t="s">
        <v>2065</v>
      </c>
      <c r="G930" t="s">
        <v>4684</v>
      </c>
      <c r="H930">
        <v>39980</v>
      </c>
      <c r="I930" t="s">
        <v>424</v>
      </c>
      <c r="J930" t="s">
        <v>2114</v>
      </c>
      <c r="K930" t="s">
        <v>2102</v>
      </c>
      <c r="L930" t="s">
        <v>2115</v>
      </c>
      <c r="M930">
        <v>500</v>
      </c>
      <c r="N930">
        <v>54</v>
      </c>
      <c r="O930">
        <v>10009.44</v>
      </c>
      <c r="P930">
        <v>0</v>
      </c>
      <c r="Q930">
        <v>10009.44</v>
      </c>
      <c r="R930">
        <v>1601.51</v>
      </c>
      <c r="S930">
        <v>400.38</v>
      </c>
      <c r="T930">
        <v>11210.57</v>
      </c>
      <c r="U930" t="s">
        <v>2119</v>
      </c>
      <c r="V930" t="s">
        <v>9409</v>
      </c>
      <c r="W930" t="s">
        <v>424</v>
      </c>
    </row>
    <row r="931" spans="1:23" hidden="1" x14ac:dyDescent="0.2">
      <c r="A931">
        <v>2012</v>
      </c>
      <c r="B931" t="s">
        <v>304</v>
      </c>
      <c r="C931" s="733">
        <v>40953</v>
      </c>
      <c r="D9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31" t="s">
        <v>485</v>
      </c>
      <c r="F931" t="s">
        <v>2084</v>
      </c>
      <c r="G931" t="s">
        <v>2837</v>
      </c>
      <c r="H931">
        <v>41752</v>
      </c>
      <c r="I931" t="s">
        <v>423</v>
      </c>
      <c r="J931" t="s">
        <v>2836</v>
      </c>
      <c r="K931" t="s">
        <v>2814</v>
      </c>
      <c r="L931" t="s">
        <v>2815</v>
      </c>
      <c r="M931">
        <v>70</v>
      </c>
      <c r="N931">
        <v>25.882000000000001</v>
      </c>
      <c r="O931">
        <v>2921.3</v>
      </c>
      <c r="P931">
        <v>0</v>
      </c>
      <c r="Q931">
        <v>2921.3</v>
      </c>
      <c r="R931">
        <v>321.33999999999997</v>
      </c>
      <c r="S931">
        <v>116.85</v>
      </c>
      <c r="T931">
        <v>3125.79</v>
      </c>
      <c r="U931" t="s">
        <v>7527</v>
      </c>
      <c r="V931" t="s">
        <v>9408</v>
      </c>
      <c r="W931" t="s">
        <v>423</v>
      </c>
    </row>
    <row r="932" spans="1:23" hidden="1" x14ac:dyDescent="0.2">
      <c r="A932">
        <v>2012</v>
      </c>
      <c r="B932" t="s">
        <v>303</v>
      </c>
      <c r="C932" s="733">
        <v>40938</v>
      </c>
      <c r="D9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932" t="s">
        <v>485</v>
      </c>
      <c r="F932" t="s">
        <v>2084</v>
      </c>
      <c r="G932" t="s">
        <v>2835</v>
      </c>
      <c r="H932">
        <v>39737</v>
      </c>
      <c r="I932" t="s">
        <v>423</v>
      </c>
      <c r="J932" t="s">
        <v>2836</v>
      </c>
      <c r="K932" t="s">
        <v>2814</v>
      </c>
      <c r="L932" t="s">
        <v>2815</v>
      </c>
      <c r="M932">
        <v>70</v>
      </c>
      <c r="N932">
        <v>24.266999999999999</v>
      </c>
      <c r="O932">
        <v>2739.02</v>
      </c>
      <c r="P932">
        <v>0</v>
      </c>
      <c r="Q932">
        <v>2739.02</v>
      </c>
      <c r="R932">
        <v>438.24</v>
      </c>
      <c r="S932">
        <v>109.56</v>
      </c>
      <c r="T932">
        <v>3067.7</v>
      </c>
      <c r="V932" t="s">
        <v>9408</v>
      </c>
      <c r="W932" t="s">
        <v>423</v>
      </c>
    </row>
    <row r="933" spans="1:23" hidden="1" x14ac:dyDescent="0.2">
      <c r="A933">
        <v>2012</v>
      </c>
      <c r="B933" t="s">
        <v>304</v>
      </c>
      <c r="C933" s="733">
        <v>40959</v>
      </c>
      <c r="D9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33" t="s">
        <v>485</v>
      </c>
      <c r="F933" t="s">
        <v>2065</v>
      </c>
      <c r="G933" t="s">
        <v>8139</v>
      </c>
      <c r="H933">
        <v>42098</v>
      </c>
      <c r="I933" t="s">
        <v>423</v>
      </c>
      <c r="J933" t="s">
        <v>2135</v>
      </c>
      <c r="K933" t="s">
        <v>2102</v>
      </c>
      <c r="L933" t="s">
        <v>2115</v>
      </c>
      <c r="M933">
        <v>494</v>
      </c>
      <c r="N933">
        <v>52.01</v>
      </c>
      <c r="O933">
        <v>17488.36</v>
      </c>
      <c r="P933">
        <v>0</v>
      </c>
      <c r="Q933">
        <v>17488.36</v>
      </c>
      <c r="R933">
        <v>2798.14</v>
      </c>
      <c r="S933">
        <v>699.53</v>
      </c>
      <c r="T933">
        <v>19586.97</v>
      </c>
      <c r="U933" t="s">
        <v>8883</v>
      </c>
      <c r="V933" t="s">
        <v>9409</v>
      </c>
      <c r="W933" t="s">
        <v>423</v>
      </c>
    </row>
    <row r="934" spans="1:23" hidden="1" x14ac:dyDescent="0.2">
      <c r="A934">
        <v>2012</v>
      </c>
      <c r="B934" t="s">
        <v>304</v>
      </c>
      <c r="C934" s="733">
        <v>40953</v>
      </c>
      <c r="D9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34" t="s">
        <v>485</v>
      </c>
      <c r="F934" t="s">
        <v>2084</v>
      </c>
      <c r="G934" t="s">
        <v>5135</v>
      </c>
      <c r="H934">
        <v>41556</v>
      </c>
      <c r="I934" t="s">
        <v>423</v>
      </c>
      <c r="J934" t="s">
        <v>2836</v>
      </c>
      <c r="K934" t="s">
        <v>2814</v>
      </c>
      <c r="L934" t="s">
        <v>2815</v>
      </c>
      <c r="M934">
        <v>70</v>
      </c>
      <c r="N934">
        <v>24.2</v>
      </c>
      <c r="O934">
        <v>2731.45</v>
      </c>
      <c r="P934">
        <v>0</v>
      </c>
      <c r="Q934">
        <v>2731.45</v>
      </c>
      <c r="R934">
        <v>300.45999999999998</v>
      </c>
      <c r="S934">
        <v>109.26</v>
      </c>
      <c r="T934">
        <v>2922.65</v>
      </c>
      <c r="U934" t="s">
        <v>7527</v>
      </c>
      <c r="V934" t="s">
        <v>9408</v>
      </c>
      <c r="W934" t="s">
        <v>423</v>
      </c>
    </row>
    <row r="935" spans="1:23" hidden="1" x14ac:dyDescent="0.2">
      <c r="A935">
        <v>2012</v>
      </c>
      <c r="B935" t="s">
        <v>303</v>
      </c>
      <c r="C935" s="733">
        <v>40938</v>
      </c>
      <c r="D9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935" t="s">
        <v>485</v>
      </c>
      <c r="F935" t="s">
        <v>2065</v>
      </c>
      <c r="G935" t="s">
        <v>4477</v>
      </c>
      <c r="H935">
        <v>41088</v>
      </c>
      <c r="I935" t="s">
        <v>423</v>
      </c>
      <c r="J935" t="s">
        <v>2182</v>
      </c>
      <c r="K935" t="s">
        <v>2183</v>
      </c>
      <c r="L935" t="s">
        <v>2184</v>
      </c>
      <c r="M935">
        <v>62</v>
      </c>
      <c r="N935">
        <v>15.63</v>
      </c>
      <c r="O935">
        <v>2315.4299999999998</v>
      </c>
      <c r="P935">
        <v>0</v>
      </c>
      <c r="Q935">
        <v>2315.4299999999998</v>
      </c>
      <c r="R935">
        <v>370.47</v>
      </c>
      <c r="S935">
        <v>92.62</v>
      </c>
      <c r="T935">
        <v>2593.2800000000002</v>
      </c>
      <c r="U935" t="s">
        <v>2187</v>
      </c>
      <c r="V935" t="s">
        <v>9408</v>
      </c>
      <c r="W935" t="s">
        <v>423</v>
      </c>
    </row>
    <row r="936" spans="1:23" hidden="1" x14ac:dyDescent="0.2">
      <c r="A936">
        <v>2012</v>
      </c>
      <c r="B936" t="s">
        <v>304</v>
      </c>
      <c r="C936" s="733">
        <v>40954.450023148151</v>
      </c>
      <c r="D9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36" t="s">
        <v>485</v>
      </c>
      <c r="F936" t="s">
        <v>2065</v>
      </c>
      <c r="G936" t="s">
        <v>7477</v>
      </c>
      <c r="H936">
        <v>41979</v>
      </c>
      <c r="I936" t="s">
        <v>423</v>
      </c>
      <c r="J936" t="s">
        <v>2182</v>
      </c>
      <c r="K936" t="s">
        <v>2183</v>
      </c>
      <c r="L936" t="s">
        <v>2184</v>
      </c>
      <c r="M936">
        <v>62</v>
      </c>
      <c r="N936">
        <v>15.84</v>
      </c>
      <c r="O936">
        <v>2346.54</v>
      </c>
      <c r="P936">
        <v>0</v>
      </c>
      <c r="Q936">
        <v>2346.54</v>
      </c>
      <c r="R936">
        <v>375.45</v>
      </c>
      <c r="S936">
        <v>93.86</v>
      </c>
      <c r="T936">
        <v>2628.13</v>
      </c>
      <c r="U936" t="s">
        <v>8048</v>
      </c>
      <c r="V936" t="s">
        <v>9408</v>
      </c>
      <c r="W936" t="s">
        <v>423</v>
      </c>
    </row>
    <row r="937" spans="1:23" hidden="1" x14ac:dyDescent="0.2">
      <c r="A937">
        <v>2012</v>
      </c>
      <c r="B937" t="s">
        <v>304</v>
      </c>
      <c r="C937" s="733">
        <v>40962</v>
      </c>
      <c r="D9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37" t="s">
        <v>485</v>
      </c>
      <c r="F937" t="s">
        <v>2065</v>
      </c>
      <c r="G937" t="s">
        <v>8516</v>
      </c>
      <c r="H937">
        <v>42464</v>
      </c>
      <c r="I937" t="s">
        <v>423</v>
      </c>
      <c r="J937" t="s">
        <v>2182</v>
      </c>
      <c r="K937" t="s">
        <v>2183</v>
      </c>
      <c r="L937" t="s">
        <v>2184</v>
      </c>
      <c r="M937">
        <v>62</v>
      </c>
      <c r="N937">
        <v>15.56</v>
      </c>
      <c r="O937">
        <v>2305.06</v>
      </c>
      <c r="P937">
        <v>0</v>
      </c>
      <c r="Q937">
        <v>2305.06</v>
      </c>
      <c r="R937">
        <v>368.81</v>
      </c>
      <c r="S937">
        <v>92.2</v>
      </c>
      <c r="T937">
        <v>2581.67</v>
      </c>
      <c r="U937" t="s">
        <v>9411</v>
      </c>
      <c r="V937" t="s">
        <v>9408</v>
      </c>
      <c r="W937" t="s">
        <v>423</v>
      </c>
    </row>
    <row r="938" spans="1:23" hidden="1" x14ac:dyDescent="0.2">
      <c r="A938">
        <v>2012</v>
      </c>
      <c r="B938" t="s">
        <v>303</v>
      </c>
      <c r="C938" s="733">
        <v>40934.462858796294</v>
      </c>
      <c r="D9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938" t="s">
        <v>485</v>
      </c>
      <c r="F938" t="s">
        <v>2065</v>
      </c>
      <c r="G938" t="s">
        <v>4679</v>
      </c>
      <c r="H938">
        <v>40930</v>
      </c>
      <c r="I938" t="s">
        <v>423</v>
      </c>
      <c r="J938" t="s">
        <v>3204</v>
      </c>
      <c r="K938" t="s">
        <v>2183</v>
      </c>
      <c r="L938" t="s">
        <v>2184</v>
      </c>
      <c r="M938">
        <v>80</v>
      </c>
      <c r="N938">
        <v>16.190000000000001</v>
      </c>
      <c r="O938">
        <v>1827.37</v>
      </c>
      <c r="P938">
        <v>0</v>
      </c>
      <c r="Q938">
        <v>1827.37</v>
      </c>
      <c r="R938">
        <v>292.38</v>
      </c>
      <c r="S938">
        <v>73.09</v>
      </c>
      <c r="T938">
        <v>2046.66</v>
      </c>
      <c r="U938" t="s">
        <v>2187</v>
      </c>
      <c r="V938" t="s">
        <v>9408</v>
      </c>
      <c r="W938" t="s">
        <v>423</v>
      </c>
    </row>
    <row r="939" spans="1:23" hidden="1" x14ac:dyDescent="0.2">
      <c r="A939">
        <v>2012</v>
      </c>
      <c r="B939" t="s">
        <v>303</v>
      </c>
      <c r="C939" s="733">
        <v>40932</v>
      </c>
      <c r="D9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939" t="s">
        <v>485</v>
      </c>
      <c r="F939" t="s">
        <v>2065</v>
      </c>
      <c r="G939" t="s">
        <v>5332</v>
      </c>
      <c r="H939">
        <v>40707</v>
      </c>
      <c r="I939" t="s">
        <v>423</v>
      </c>
      <c r="J939" t="s">
        <v>3204</v>
      </c>
      <c r="K939" t="s">
        <v>2183</v>
      </c>
      <c r="L939" t="s">
        <v>2184</v>
      </c>
      <c r="M939">
        <v>80</v>
      </c>
      <c r="N939">
        <v>25.83</v>
      </c>
      <c r="O939">
        <v>2915.43</v>
      </c>
      <c r="P939">
        <v>0</v>
      </c>
      <c r="Q939">
        <v>2915.43</v>
      </c>
      <c r="R939">
        <v>466.47</v>
      </c>
      <c r="S939">
        <v>116.62</v>
      </c>
      <c r="T939">
        <v>3265.28</v>
      </c>
      <c r="U939" t="s">
        <v>2187</v>
      </c>
      <c r="V939" t="s">
        <v>9409</v>
      </c>
      <c r="W939" t="s">
        <v>423</v>
      </c>
    </row>
    <row r="940" spans="1:23" hidden="1" x14ac:dyDescent="0.2">
      <c r="A940">
        <v>2012</v>
      </c>
      <c r="B940" t="s">
        <v>304</v>
      </c>
      <c r="C940" s="733">
        <v>40960</v>
      </c>
      <c r="D9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40" t="s">
        <v>485</v>
      </c>
      <c r="F940" t="s">
        <v>2065</v>
      </c>
      <c r="G940" t="s">
        <v>8154</v>
      </c>
      <c r="H940">
        <v>41922</v>
      </c>
      <c r="I940" t="s">
        <v>423</v>
      </c>
      <c r="J940" t="s">
        <v>3204</v>
      </c>
      <c r="K940" t="s">
        <v>2183</v>
      </c>
      <c r="L940" t="s">
        <v>2184</v>
      </c>
      <c r="M940">
        <v>80</v>
      </c>
      <c r="N940">
        <v>15.29</v>
      </c>
      <c r="O940">
        <v>2265.06</v>
      </c>
      <c r="P940">
        <v>0</v>
      </c>
      <c r="Q940">
        <v>2265.06</v>
      </c>
      <c r="R940">
        <v>362.41</v>
      </c>
      <c r="S940">
        <v>90.6</v>
      </c>
      <c r="T940">
        <v>2536.87</v>
      </c>
      <c r="U940" t="s">
        <v>9411</v>
      </c>
      <c r="V940" t="s">
        <v>9408</v>
      </c>
      <c r="W940" t="s">
        <v>423</v>
      </c>
    </row>
    <row r="941" spans="1:23" hidden="1" x14ac:dyDescent="0.2">
      <c r="A941">
        <v>2012</v>
      </c>
      <c r="B941" t="s">
        <v>304</v>
      </c>
      <c r="C941" s="733">
        <v>40960</v>
      </c>
      <c r="D9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41" t="s">
        <v>485</v>
      </c>
      <c r="F941" t="s">
        <v>2065</v>
      </c>
      <c r="G941" t="s">
        <v>7480</v>
      </c>
      <c r="H941">
        <v>41972</v>
      </c>
      <c r="I941" t="s">
        <v>423</v>
      </c>
      <c r="J941" t="s">
        <v>3204</v>
      </c>
      <c r="K941" t="s">
        <v>2183</v>
      </c>
      <c r="L941" t="s">
        <v>2184</v>
      </c>
      <c r="M941">
        <v>80</v>
      </c>
      <c r="N941">
        <v>15.88</v>
      </c>
      <c r="O941">
        <v>2352.46</v>
      </c>
      <c r="P941">
        <v>0</v>
      </c>
      <c r="Q941">
        <v>2352.46</v>
      </c>
      <c r="R941">
        <v>376.39</v>
      </c>
      <c r="S941">
        <v>94.1</v>
      </c>
      <c r="T941">
        <v>2634.75</v>
      </c>
      <c r="U941" t="s">
        <v>9411</v>
      </c>
      <c r="V941" t="s">
        <v>9408</v>
      </c>
      <c r="W941" t="s">
        <v>423</v>
      </c>
    </row>
    <row r="942" spans="1:23" hidden="1" x14ac:dyDescent="0.2">
      <c r="A942">
        <v>2012</v>
      </c>
      <c r="B942" t="s">
        <v>304</v>
      </c>
      <c r="C942" s="733">
        <v>40941</v>
      </c>
      <c r="D9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42" t="s">
        <v>485</v>
      </c>
      <c r="F942" t="s">
        <v>2065</v>
      </c>
      <c r="G942" t="s">
        <v>4687</v>
      </c>
      <c r="H942">
        <v>39751</v>
      </c>
      <c r="I942" t="s">
        <v>423</v>
      </c>
      <c r="J942" t="s">
        <v>2114</v>
      </c>
      <c r="K942" t="s">
        <v>2102</v>
      </c>
      <c r="L942" t="s">
        <v>2115</v>
      </c>
      <c r="M942">
        <v>500</v>
      </c>
      <c r="N942">
        <v>51.96</v>
      </c>
      <c r="O942">
        <v>17471.55</v>
      </c>
      <c r="P942">
        <v>0</v>
      </c>
      <c r="Q942">
        <v>17471.55</v>
      </c>
      <c r="R942">
        <v>2795.45</v>
      </c>
      <c r="S942">
        <v>698.86</v>
      </c>
      <c r="T942">
        <v>19568.14</v>
      </c>
      <c r="V942" t="s">
        <v>9409</v>
      </c>
      <c r="W942" t="s">
        <v>423</v>
      </c>
    </row>
    <row r="943" spans="1:23" hidden="1" x14ac:dyDescent="0.2">
      <c r="A943">
        <v>2012</v>
      </c>
      <c r="B943" t="s">
        <v>304</v>
      </c>
      <c r="C943" s="733">
        <v>40959</v>
      </c>
      <c r="D9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43" t="s">
        <v>485</v>
      </c>
      <c r="F943" t="s">
        <v>2065</v>
      </c>
      <c r="G943" t="s">
        <v>8094</v>
      </c>
      <c r="H943">
        <v>42184</v>
      </c>
      <c r="I943" t="s">
        <v>424</v>
      </c>
      <c r="J943" t="s">
        <v>2114</v>
      </c>
      <c r="K943" t="s">
        <v>2102</v>
      </c>
      <c r="L943" t="s">
        <v>2115</v>
      </c>
      <c r="M943">
        <v>500</v>
      </c>
      <c r="N943">
        <v>54</v>
      </c>
      <c r="O943">
        <v>10009.44</v>
      </c>
      <c r="P943">
        <v>0</v>
      </c>
      <c r="Q943">
        <v>10009.44</v>
      </c>
      <c r="R943">
        <v>1601.51</v>
      </c>
      <c r="S943">
        <v>400.38</v>
      </c>
      <c r="T943">
        <v>11210.57</v>
      </c>
      <c r="U943" t="s">
        <v>8871</v>
      </c>
      <c r="V943" t="s">
        <v>9409</v>
      </c>
      <c r="W943" t="s">
        <v>424</v>
      </c>
    </row>
    <row r="944" spans="1:23" hidden="1" x14ac:dyDescent="0.2">
      <c r="A944">
        <v>2012</v>
      </c>
      <c r="B944" t="s">
        <v>303</v>
      </c>
      <c r="C944" s="733">
        <v>40931</v>
      </c>
      <c r="D9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944" t="s">
        <v>485</v>
      </c>
      <c r="F944" t="s">
        <v>2065</v>
      </c>
      <c r="G944" t="s">
        <v>4690</v>
      </c>
      <c r="H944">
        <v>40591</v>
      </c>
      <c r="I944" t="s">
        <v>424</v>
      </c>
      <c r="J944" t="s">
        <v>2135</v>
      </c>
      <c r="K944" t="s">
        <v>2102</v>
      </c>
      <c r="L944" t="s">
        <v>2115</v>
      </c>
      <c r="M944">
        <v>494</v>
      </c>
      <c r="N944">
        <v>54</v>
      </c>
      <c r="O944">
        <v>11375.64</v>
      </c>
      <c r="P944">
        <v>0</v>
      </c>
      <c r="Q944">
        <v>11375.64</v>
      </c>
      <c r="R944">
        <v>1820.1</v>
      </c>
      <c r="S944">
        <v>455.03</v>
      </c>
      <c r="T944">
        <v>12740.71</v>
      </c>
      <c r="U944" t="s">
        <v>2116</v>
      </c>
      <c r="V944" t="s">
        <v>9409</v>
      </c>
      <c r="W944" t="s">
        <v>424</v>
      </c>
    </row>
    <row r="945" spans="1:23" hidden="1" x14ac:dyDescent="0.2">
      <c r="A945">
        <v>2012</v>
      </c>
      <c r="B945" t="s">
        <v>303</v>
      </c>
      <c r="C945" s="733">
        <v>40938</v>
      </c>
      <c r="D9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945" t="s">
        <v>485</v>
      </c>
      <c r="F945" t="s">
        <v>2065</v>
      </c>
      <c r="G945" t="s">
        <v>7236</v>
      </c>
      <c r="H945">
        <v>40894</v>
      </c>
      <c r="I945" t="s">
        <v>423</v>
      </c>
      <c r="J945" t="s">
        <v>5479</v>
      </c>
      <c r="K945" t="s">
        <v>2102</v>
      </c>
      <c r="L945" t="s">
        <v>2115</v>
      </c>
      <c r="M945">
        <v>979</v>
      </c>
      <c r="N945">
        <v>26.97</v>
      </c>
      <c r="O945">
        <v>14459.43</v>
      </c>
      <c r="P945">
        <v>0</v>
      </c>
      <c r="Q945">
        <v>14459.43</v>
      </c>
      <c r="R945">
        <v>2313.5100000000002</v>
      </c>
      <c r="S945">
        <v>578.38</v>
      </c>
      <c r="T945">
        <v>16194.56</v>
      </c>
      <c r="U945" t="s">
        <v>2110</v>
      </c>
      <c r="V945" t="s">
        <v>9408</v>
      </c>
      <c r="W945" t="s">
        <v>423</v>
      </c>
    </row>
    <row r="946" spans="1:23" hidden="1" x14ac:dyDescent="0.2">
      <c r="A946">
        <v>2012</v>
      </c>
      <c r="B946" t="s">
        <v>303</v>
      </c>
      <c r="C946" s="733">
        <v>40932</v>
      </c>
      <c r="D9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946" t="s">
        <v>485</v>
      </c>
      <c r="F946" t="s">
        <v>2065</v>
      </c>
      <c r="G946" t="s">
        <v>2362</v>
      </c>
      <c r="H946">
        <v>40721</v>
      </c>
      <c r="I946" t="s">
        <v>423</v>
      </c>
      <c r="J946" t="s">
        <v>2135</v>
      </c>
      <c r="K946" t="s">
        <v>2102</v>
      </c>
      <c r="L946" t="s">
        <v>2115</v>
      </c>
      <c r="M946">
        <v>494</v>
      </c>
      <c r="N946">
        <v>22.05</v>
      </c>
      <c r="O946">
        <v>7414.31</v>
      </c>
      <c r="P946">
        <v>0</v>
      </c>
      <c r="Q946">
        <v>7414.31</v>
      </c>
      <c r="R946">
        <v>1186.29</v>
      </c>
      <c r="S946">
        <v>296.57</v>
      </c>
      <c r="T946">
        <v>8304.0300000000007</v>
      </c>
      <c r="U946" t="s">
        <v>2108</v>
      </c>
      <c r="V946" t="s">
        <v>9408</v>
      </c>
      <c r="W946" t="s">
        <v>423</v>
      </c>
    </row>
    <row r="947" spans="1:23" hidden="1" x14ac:dyDescent="0.2">
      <c r="A947">
        <v>2012</v>
      </c>
      <c r="B947" t="s">
        <v>303</v>
      </c>
      <c r="C947" s="733">
        <v>40928</v>
      </c>
      <c r="D9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947" t="s">
        <v>485</v>
      </c>
      <c r="F947" t="s">
        <v>2065</v>
      </c>
      <c r="G947" t="s">
        <v>2363</v>
      </c>
      <c r="H947">
        <v>40415</v>
      </c>
      <c r="I947" t="s">
        <v>424</v>
      </c>
      <c r="J947" t="s">
        <v>2135</v>
      </c>
      <c r="K947" t="s">
        <v>2102</v>
      </c>
      <c r="L947" t="s">
        <v>2115</v>
      </c>
      <c r="M947">
        <v>494</v>
      </c>
      <c r="N947">
        <v>54</v>
      </c>
      <c r="O947">
        <v>11375.64</v>
      </c>
      <c r="P947">
        <v>0</v>
      </c>
      <c r="Q947">
        <v>11375.64</v>
      </c>
      <c r="R947">
        <v>1820.1</v>
      </c>
      <c r="S947">
        <v>455.03</v>
      </c>
      <c r="T947">
        <v>12740.71</v>
      </c>
      <c r="U947" t="s">
        <v>2119</v>
      </c>
      <c r="V947" t="s">
        <v>9409</v>
      </c>
      <c r="W947" t="s">
        <v>424</v>
      </c>
    </row>
    <row r="948" spans="1:23" hidden="1" x14ac:dyDescent="0.2">
      <c r="A948">
        <v>2012</v>
      </c>
      <c r="B948" t="s">
        <v>303</v>
      </c>
      <c r="C948" s="733">
        <v>40938</v>
      </c>
      <c r="D9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948" t="s">
        <v>485</v>
      </c>
      <c r="F948" t="s">
        <v>2084</v>
      </c>
      <c r="G948" t="s">
        <v>6030</v>
      </c>
      <c r="H948">
        <v>39819</v>
      </c>
      <c r="I948" t="s">
        <v>423</v>
      </c>
      <c r="J948" t="s">
        <v>2813</v>
      </c>
      <c r="K948" t="s">
        <v>2814</v>
      </c>
      <c r="L948" t="s">
        <v>2815</v>
      </c>
      <c r="M948">
        <v>365</v>
      </c>
      <c r="N948">
        <v>23.738</v>
      </c>
      <c r="O948">
        <v>6389.79</v>
      </c>
      <c r="P948">
        <v>0</v>
      </c>
      <c r="Q948">
        <v>6389.79</v>
      </c>
      <c r="R948">
        <v>1022.37</v>
      </c>
      <c r="S948">
        <v>255.59</v>
      </c>
      <c r="T948">
        <v>7156.57</v>
      </c>
      <c r="V948" t="s">
        <v>9408</v>
      </c>
      <c r="W948" t="s">
        <v>423</v>
      </c>
    </row>
    <row r="949" spans="1:23" hidden="1" x14ac:dyDescent="0.2">
      <c r="A949">
        <v>2012</v>
      </c>
      <c r="B949" t="s">
        <v>304</v>
      </c>
      <c r="C949" s="733">
        <v>40960</v>
      </c>
      <c r="D9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49" t="s">
        <v>485</v>
      </c>
      <c r="F949" t="s">
        <v>2084</v>
      </c>
      <c r="G949" t="s">
        <v>8185</v>
      </c>
      <c r="H949">
        <v>41927</v>
      </c>
      <c r="I949" t="s">
        <v>423</v>
      </c>
      <c r="J949" t="s">
        <v>2813</v>
      </c>
      <c r="K949" t="s">
        <v>2814</v>
      </c>
      <c r="L949" t="s">
        <v>2815</v>
      </c>
      <c r="M949">
        <v>365</v>
      </c>
      <c r="N949">
        <v>25.815000000000001</v>
      </c>
      <c r="O949">
        <v>6948.88</v>
      </c>
      <c r="P949">
        <v>0</v>
      </c>
      <c r="Q949">
        <v>6948.88</v>
      </c>
      <c r="R949">
        <v>764.38</v>
      </c>
      <c r="S949">
        <v>277.95999999999998</v>
      </c>
      <c r="T949">
        <v>7435.3</v>
      </c>
      <c r="U949" t="s">
        <v>8877</v>
      </c>
      <c r="V949" t="s">
        <v>9408</v>
      </c>
      <c r="W949" t="s">
        <v>423</v>
      </c>
    </row>
    <row r="950" spans="1:23" hidden="1" x14ac:dyDescent="0.2">
      <c r="A950">
        <v>2012</v>
      </c>
      <c r="B950" t="s">
        <v>303</v>
      </c>
      <c r="C950" s="733">
        <v>40938</v>
      </c>
      <c r="D9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950" t="s">
        <v>485</v>
      </c>
      <c r="F950" t="s">
        <v>2084</v>
      </c>
      <c r="G950" t="s">
        <v>6025</v>
      </c>
      <c r="H950">
        <v>39855</v>
      </c>
      <c r="I950" t="s">
        <v>423</v>
      </c>
      <c r="J950" t="s">
        <v>2813</v>
      </c>
      <c r="K950" t="s">
        <v>2814</v>
      </c>
      <c r="L950" t="s">
        <v>2815</v>
      </c>
      <c r="M950">
        <v>365</v>
      </c>
      <c r="N950">
        <v>23.215</v>
      </c>
      <c r="O950">
        <v>6249.01</v>
      </c>
      <c r="P950">
        <v>0</v>
      </c>
      <c r="Q950">
        <v>6249.01</v>
      </c>
      <c r="R950">
        <v>999.84</v>
      </c>
      <c r="S950">
        <v>249.96</v>
      </c>
      <c r="T950">
        <v>6998.89</v>
      </c>
      <c r="V950" t="s">
        <v>9408</v>
      </c>
      <c r="W950" t="s">
        <v>423</v>
      </c>
    </row>
    <row r="951" spans="1:23" hidden="1" x14ac:dyDescent="0.2">
      <c r="A951">
        <v>2012</v>
      </c>
      <c r="B951" t="s">
        <v>303</v>
      </c>
      <c r="C951" s="733">
        <v>40926</v>
      </c>
      <c r="D9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951" t="s">
        <v>485</v>
      </c>
      <c r="F951" t="s">
        <v>2084</v>
      </c>
      <c r="G951" t="s">
        <v>6026</v>
      </c>
      <c r="H951">
        <v>40114</v>
      </c>
      <c r="I951" t="s">
        <v>423</v>
      </c>
      <c r="J951" t="s">
        <v>2813</v>
      </c>
      <c r="K951" t="s">
        <v>2814</v>
      </c>
      <c r="L951" t="s">
        <v>2815</v>
      </c>
      <c r="M951">
        <v>365</v>
      </c>
      <c r="N951">
        <v>23.896000000000001</v>
      </c>
      <c r="O951">
        <v>6432.33</v>
      </c>
      <c r="P951">
        <v>0</v>
      </c>
      <c r="Q951">
        <v>6432.33</v>
      </c>
      <c r="R951">
        <v>1029.17</v>
      </c>
      <c r="S951">
        <v>257.29000000000002</v>
      </c>
      <c r="T951">
        <v>7204.21</v>
      </c>
      <c r="U951" t="s">
        <v>2826</v>
      </c>
      <c r="V951" t="s">
        <v>9408</v>
      </c>
      <c r="W951" t="s">
        <v>423</v>
      </c>
    </row>
    <row r="952" spans="1:23" x14ac:dyDescent="0.2">
      <c r="A952">
        <v>2012</v>
      </c>
      <c r="B952" t="s">
        <v>304</v>
      </c>
      <c r="C952" s="733">
        <v>40967</v>
      </c>
      <c r="D9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52" t="s">
        <v>485</v>
      </c>
      <c r="F952" t="s">
        <v>2084</v>
      </c>
      <c r="G952" t="s">
        <v>8896</v>
      </c>
      <c r="H952">
        <v>42087</v>
      </c>
      <c r="I952" t="s">
        <v>423</v>
      </c>
      <c r="J952" t="s">
        <v>2813</v>
      </c>
      <c r="K952" t="s">
        <v>2814</v>
      </c>
      <c r="L952" t="s">
        <v>2815</v>
      </c>
      <c r="M952">
        <v>365</v>
      </c>
      <c r="N952">
        <v>23.908000000000001</v>
      </c>
      <c r="O952">
        <v>6435.56</v>
      </c>
      <c r="P952">
        <v>0</v>
      </c>
      <c r="Q952">
        <v>6435.56</v>
      </c>
      <c r="R952">
        <v>707.91</v>
      </c>
      <c r="S952">
        <v>257.42</v>
      </c>
      <c r="T952">
        <v>6886.05</v>
      </c>
      <c r="U952" t="s">
        <v>8877</v>
      </c>
      <c r="V952" t="s">
        <v>9408</v>
      </c>
      <c r="W952" t="s">
        <v>423</v>
      </c>
    </row>
    <row r="953" spans="1:23" hidden="1" x14ac:dyDescent="0.2">
      <c r="A953">
        <v>2012</v>
      </c>
      <c r="B953" t="s">
        <v>304</v>
      </c>
      <c r="C953" s="733">
        <v>40960</v>
      </c>
      <c r="D9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53" t="s">
        <v>485</v>
      </c>
      <c r="F953" t="s">
        <v>2084</v>
      </c>
      <c r="G953" t="s">
        <v>8210</v>
      </c>
      <c r="H953">
        <v>41988</v>
      </c>
      <c r="I953" t="s">
        <v>423</v>
      </c>
      <c r="J953" t="s">
        <v>2813</v>
      </c>
      <c r="K953" t="s">
        <v>2814</v>
      </c>
      <c r="L953" t="s">
        <v>2815</v>
      </c>
      <c r="M953">
        <v>365</v>
      </c>
      <c r="N953">
        <v>24.664000000000001</v>
      </c>
      <c r="O953">
        <v>6639.06</v>
      </c>
      <c r="P953">
        <v>0</v>
      </c>
      <c r="Q953">
        <v>6639.06</v>
      </c>
      <c r="R953">
        <v>730.3</v>
      </c>
      <c r="S953">
        <v>265.56</v>
      </c>
      <c r="T953">
        <v>7103.8</v>
      </c>
      <c r="U953" t="s">
        <v>8877</v>
      </c>
      <c r="V953" t="s">
        <v>9408</v>
      </c>
      <c r="W953" t="s">
        <v>423</v>
      </c>
    </row>
    <row r="954" spans="1:23" hidden="1" x14ac:dyDescent="0.2">
      <c r="A954">
        <v>2012</v>
      </c>
      <c r="B954" t="s">
        <v>303</v>
      </c>
      <c r="C954" s="733">
        <v>40938</v>
      </c>
      <c r="D9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954" t="s">
        <v>485</v>
      </c>
      <c r="F954" t="s">
        <v>2084</v>
      </c>
      <c r="G954" t="s">
        <v>6020</v>
      </c>
      <c r="H954">
        <v>39931</v>
      </c>
      <c r="I954" t="s">
        <v>423</v>
      </c>
      <c r="J954" t="s">
        <v>2813</v>
      </c>
      <c r="K954" t="s">
        <v>2814</v>
      </c>
      <c r="L954" t="s">
        <v>2815</v>
      </c>
      <c r="M954">
        <v>365</v>
      </c>
      <c r="N954">
        <v>23.75</v>
      </c>
      <c r="O954">
        <v>6393.02</v>
      </c>
      <c r="P954">
        <v>0</v>
      </c>
      <c r="Q954">
        <v>6393.02</v>
      </c>
      <c r="R954">
        <v>1022.88</v>
      </c>
      <c r="S954">
        <v>255.72</v>
      </c>
      <c r="T954">
        <v>7160.18</v>
      </c>
      <c r="U954" t="s">
        <v>2826</v>
      </c>
      <c r="V954" t="s">
        <v>9408</v>
      </c>
      <c r="W954" t="s">
        <v>423</v>
      </c>
    </row>
    <row r="955" spans="1:23" hidden="1" x14ac:dyDescent="0.2">
      <c r="A955">
        <v>2012</v>
      </c>
      <c r="B955" t="s">
        <v>304</v>
      </c>
      <c r="C955" s="733">
        <v>40960</v>
      </c>
      <c r="D9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55" t="s">
        <v>485</v>
      </c>
      <c r="F955" t="s">
        <v>2084</v>
      </c>
      <c r="G955" t="s">
        <v>8062</v>
      </c>
      <c r="H955">
        <v>42044</v>
      </c>
      <c r="I955" t="s">
        <v>423</v>
      </c>
      <c r="J955" t="s">
        <v>2813</v>
      </c>
      <c r="K955" t="s">
        <v>2814</v>
      </c>
      <c r="L955" t="s">
        <v>2815</v>
      </c>
      <c r="M955">
        <v>365</v>
      </c>
      <c r="N955">
        <v>25.991</v>
      </c>
      <c r="O955">
        <v>6996.26</v>
      </c>
      <c r="P955">
        <v>0</v>
      </c>
      <c r="Q955">
        <v>6996.26</v>
      </c>
      <c r="R955">
        <v>769.59</v>
      </c>
      <c r="S955">
        <v>279.85000000000002</v>
      </c>
      <c r="T955">
        <v>7486</v>
      </c>
      <c r="U955" t="s">
        <v>8877</v>
      </c>
      <c r="V955" t="s">
        <v>9408</v>
      </c>
      <c r="W955" t="s">
        <v>423</v>
      </c>
    </row>
    <row r="956" spans="1:23" hidden="1" x14ac:dyDescent="0.2">
      <c r="A956">
        <v>2012</v>
      </c>
      <c r="B956" t="s">
        <v>304</v>
      </c>
      <c r="C956" s="733">
        <v>40949</v>
      </c>
      <c r="D9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56" t="s">
        <v>485</v>
      </c>
      <c r="F956" t="s">
        <v>2084</v>
      </c>
      <c r="G956" t="s">
        <v>6018</v>
      </c>
      <c r="H956">
        <v>41235</v>
      </c>
      <c r="I956" t="s">
        <v>423</v>
      </c>
      <c r="J956" t="s">
        <v>2813</v>
      </c>
      <c r="K956" t="s">
        <v>2814</v>
      </c>
      <c r="L956" t="s">
        <v>2815</v>
      </c>
      <c r="M956">
        <v>365</v>
      </c>
      <c r="N956">
        <v>23.847000000000001</v>
      </c>
      <c r="O956">
        <v>6419.14</v>
      </c>
      <c r="P956">
        <v>0</v>
      </c>
      <c r="Q956">
        <v>6419.14</v>
      </c>
      <c r="R956">
        <v>706.1</v>
      </c>
      <c r="S956">
        <v>256.77</v>
      </c>
      <c r="T956">
        <v>6868.47</v>
      </c>
      <c r="U956" t="s">
        <v>7527</v>
      </c>
      <c r="V956" t="s">
        <v>9408</v>
      </c>
      <c r="W956" t="s">
        <v>423</v>
      </c>
    </row>
    <row r="957" spans="1:23" hidden="1" x14ac:dyDescent="0.2">
      <c r="A957">
        <v>2012</v>
      </c>
      <c r="B957" t="s">
        <v>303</v>
      </c>
      <c r="C957" s="733">
        <v>40932</v>
      </c>
      <c r="D9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957" t="s">
        <v>485</v>
      </c>
      <c r="F957" t="s">
        <v>2084</v>
      </c>
      <c r="G957" t="s">
        <v>6016</v>
      </c>
      <c r="H957">
        <v>40715</v>
      </c>
      <c r="I957" t="s">
        <v>423</v>
      </c>
      <c r="J957" t="s">
        <v>2813</v>
      </c>
      <c r="K957" t="s">
        <v>2814</v>
      </c>
      <c r="L957" t="s">
        <v>2815</v>
      </c>
      <c r="M957">
        <v>365</v>
      </c>
      <c r="N957">
        <v>24.385000000000002</v>
      </c>
      <c r="O957">
        <v>6563.95</v>
      </c>
      <c r="P957">
        <v>0</v>
      </c>
      <c r="Q957">
        <v>6563.95</v>
      </c>
      <c r="R957">
        <v>1050.23</v>
      </c>
      <c r="S957">
        <v>262.56</v>
      </c>
      <c r="T957">
        <v>7351.62</v>
      </c>
      <c r="U957" t="s">
        <v>8522</v>
      </c>
      <c r="V957" t="s">
        <v>9408</v>
      </c>
      <c r="W957" t="s">
        <v>423</v>
      </c>
    </row>
    <row r="958" spans="1:23" hidden="1" x14ac:dyDescent="0.2">
      <c r="A958">
        <v>2012</v>
      </c>
      <c r="B958" t="s">
        <v>304</v>
      </c>
      <c r="C958" s="733">
        <v>40949</v>
      </c>
      <c r="D9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58" t="s">
        <v>485</v>
      </c>
      <c r="F958" t="s">
        <v>2084</v>
      </c>
      <c r="G958" t="s">
        <v>6023</v>
      </c>
      <c r="H958">
        <v>41238</v>
      </c>
      <c r="I958" t="s">
        <v>423</v>
      </c>
      <c r="J958" t="s">
        <v>2813</v>
      </c>
      <c r="K958" t="s">
        <v>2814</v>
      </c>
      <c r="L958" t="s">
        <v>2815</v>
      </c>
      <c r="M958">
        <v>365</v>
      </c>
      <c r="N958">
        <v>23.890999999999998</v>
      </c>
      <c r="O958">
        <v>6430.98</v>
      </c>
      <c r="P958">
        <v>0</v>
      </c>
      <c r="Q958">
        <v>6430.98</v>
      </c>
      <c r="R958">
        <v>707.41</v>
      </c>
      <c r="S958">
        <v>257.24</v>
      </c>
      <c r="T958">
        <v>6881.15</v>
      </c>
      <c r="U958" t="s">
        <v>7527</v>
      </c>
      <c r="V958" t="s">
        <v>9408</v>
      </c>
      <c r="W958" t="s">
        <v>423</v>
      </c>
    </row>
    <row r="959" spans="1:23" hidden="1" x14ac:dyDescent="0.2">
      <c r="A959">
        <v>2012</v>
      </c>
      <c r="B959" t="s">
        <v>304</v>
      </c>
      <c r="C959" s="733">
        <v>40949</v>
      </c>
      <c r="D9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59" t="s">
        <v>485</v>
      </c>
      <c r="F959" t="s">
        <v>2084</v>
      </c>
      <c r="G959" t="s">
        <v>6019</v>
      </c>
      <c r="H959">
        <v>41231</v>
      </c>
      <c r="I959" t="s">
        <v>423</v>
      </c>
      <c r="J959" t="s">
        <v>2813</v>
      </c>
      <c r="K959" t="s">
        <v>2814</v>
      </c>
      <c r="L959" t="s">
        <v>2815</v>
      </c>
      <c r="M959">
        <v>365</v>
      </c>
      <c r="N959">
        <v>23.692</v>
      </c>
      <c r="O959">
        <v>6377.41</v>
      </c>
      <c r="P959">
        <v>0</v>
      </c>
      <c r="Q959">
        <v>6377.41</v>
      </c>
      <c r="R959">
        <v>701.52</v>
      </c>
      <c r="S959">
        <v>255.1</v>
      </c>
      <c r="T959">
        <v>6823.83</v>
      </c>
      <c r="U959" t="s">
        <v>7527</v>
      </c>
      <c r="V959" t="s">
        <v>9408</v>
      </c>
      <c r="W959" t="s">
        <v>423</v>
      </c>
    </row>
    <row r="960" spans="1:23" hidden="1" x14ac:dyDescent="0.2">
      <c r="A960">
        <v>2012</v>
      </c>
      <c r="B960" t="s">
        <v>304</v>
      </c>
      <c r="C960" s="733">
        <v>40953</v>
      </c>
      <c r="D9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60" t="s">
        <v>485</v>
      </c>
      <c r="F960" t="s">
        <v>2084</v>
      </c>
      <c r="G960" t="s">
        <v>6022</v>
      </c>
      <c r="H960">
        <v>41457</v>
      </c>
      <c r="I960" t="s">
        <v>423</v>
      </c>
      <c r="J960" t="s">
        <v>2813</v>
      </c>
      <c r="K960" t="s">
        <v>2814</v>
      </c>
      <c r="L960" t="s">
        <v>2815</v>
      </c>
      <c r="M960">
        <v>365</v>
      </c>
      <c r="N960">
        <v>23.850999999999999</v>
      </c>
      <c r="O960">
        <v>6420.21</v>
      </c>
      <c r="P960">
        <v>0</v>
      </c>
      <c r="Q960">
        <v>6420.21</v>
      </c>
      <c r="R960">
        <v>706.22</v>
      </c>
      <c r="S960">
        <v>256.81</v>
      </c>
      <c r="T960">
        <v>6869.62</v>
      </c>
      <c r="U960" t="s">
        <v>7527</v>
      </c>
      <c r="V960" t="s">
        <v>9408</v>
      </c>
      <c r="W960" t="s">
        <v>423</v>
      </c>
    </row>
    <row r="961" spans="1:23" x14ac:dyDescent="0.2">
      <c r="A961">
        <v>2012</v>
      </c>
      <c r="B961" t="s">
        <v>304</v>
      </c>
      <c r="C961" s="733">
        <v>40967</v>
      </c>
      <c r="D9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61" t="s">
        <v>485</v>
      </c>
      <c r="F961" t="s">
        <v>2084</v>
      </c>
      <c r="G961" t="s">
        <v>8897</v>
      </c>
      <c r="H961">
        <v>42090</v>
      </c>
      <c r="I961" t="s">
        <v>423</v>
      </c>
      <c r="J961" t="s">
        <v>2813</v>
      </c>
      <c r="K961" t="s">
        <v>2814</v>
      </c>
      <c r="L961" t="s">
        <v>2815</v>
      </c>
      <c r="M961">
        <v>365</v>
      </c>
      <c r="N961">
        <v>24.088999999999999</v>
      </c>
      <c r="O961">
        <v>6484.28</v>
      </c>
      <c r="P961">
        <v>0</v>
      </c>
      <c r="Q961">
        <v>6484.28</v>
      </c>
      <c r="R961">
        <v>713.27</v>
      </c>
      <c r="S961">
        <v>259.37</v>
      </c>
      <c r="T961">
        <v>6938.18</v>
      </c>
      <c r="U961" t="s">
        <v>8877</v>
      </c>
      <c r="V961" t="s">
        <v>9408</v>
      </c>
      <c r="W961" t="s">
        <v>423</v>
      </c>
    </row>
    <row r="962" spans="1:23" hidden="1" x14ac:dyDescent="0.2">
      <c r="A962">
        <v>2012</v>
      </c>
      <c r="B962" t="s">
        <v>304</v>
      </c>
      <c r="C962" s="733">
        <v>40960</v>
      </c>
      <c r="D9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62" t="s">
        <v>485</v>
      </c>
      <c r="F962" t="s">
        <v>2084</v>
      </c>
      <c r="G962" t="s">
        <v>8219</v>
      </c>
      <c r="H962">
        <v>41766</v>
      </c>
      <c r="I962" t="s">
        <v>423</v>
      </c>
      <c r="J962" t="s">
        <v>2813</v>
      </c>
      <c r="K962" t="s">
        <v>2814</v>
      </c>
      <c r="L962" t="s">
        <v>2815</v>
      </c>
      <c r="M962">
        <v>365</v>
      </c>
      <c r="N962">
        <v>26.911999999999999</v>
      </c>
      <c r="O962">
        <v>7244.17</v>
      </c>
      <c r="P962">
        <v>0</v>
      </c>
      <c r="Q962">
        <v>7244.17</v>
      </c>
      <c r="R962">
        <v>796.86</v>
      </c>
      <c r="S962">
        <v>289.77</v>
      </c>
      <c r="T962">
        <v>7751.26</v>
      </c>
      <c r="U962" t="s">
        <v>8877</v>
      </c>
      <c r="V962" t="s">
        <v>9408</v>
      </c>
      <c r="W962" t="s">
        <v>423</v>
      </c>
    </row>
    <row r="963" spans="1:23" hidden="1" x14ac:dyDescent="0.2">
      <c r="A963">
        <v>2012</v>
      </c>
      <c r="B963" t="s">
        <v>304</v>
      </c>
      <c r="C963" s="733">
        <v>40961</v>
      </c>
      <c r="D9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63" t="s">
        <v>485</v>
      </c>
      <c r="F963" t="s">
        <v>2065</v>
      </c>
      <c r="G963" t="s">
        <v>8293</v>
      </c>
      <c r="H963">
        <v>42232</v>
      </c>
      <c r="I963" t="s">
        <v>423</v>
      </c>
      <c r="J963" t="s">
        <v>5260</v>
      </c>
      <c r="K963" t="s">
        <v>2102</v>
      </c>
      <c r="L963" t="s">
        <v>2115</v>
      </c>
      <c r="M963">
        <v>832</v>
      </c>
      <c r="N963">
        <v>50</v>
      </c>
      <c r="O963">
        <v>24948.5</v>
      </c>
      <c r="P963">
        <v>0</v>
      </c>
      <c r="Q963">
        <v>24948.5</v>
      </c>
      <c r="R963">
        <v>3991.76</v>
      </c>
      <c r="S963">
        <v>997.94</v>
      </c>
      <c r="T963">
        <v>27942.32</v>
      </c>
      <c r="U963" t="s">
        <v>8883</v>
      </c>
      <c r="V963" t="s">
        <v>9409</v>
      </c>
      <c r="W963" t="s">
        <v>423</v>
      </c>
    </row>
    <row r="964" spans="1:23" hidden="1" x14ac:dyDescent="0.2">
      <c r="A964">
        <v>2012</v>
      </c>
      <c r="B964" t="s">
        <v>303</v>
      </c>
      <c r="C964" s="733">
        <v>40936.615428240744</v>
      </c>
      <c r="D9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964" t="s">
        <v>478</v>
      </c>
      <c r="F964" t="s">
        <v>2136</v>
      </c>
      <c r="G964" t="s">
        <v>6387</v>
      </c>
      <c r="H964">
        <v>35045</v>
      </c>
      <c r="I964" t="s">
        <v>423</v>
      </c>
      <c r="J964" t="s">
        <v>3029</v>
      </c>
      <c r="K964" t="s">
        <v>425</v>
      </c>
      <c r="L964" t="s">
        <v>2145</v>
      </c>
      <c r="M964">
        <v>35</v>
      </c>
      <c r="N964">
        <v>23.7</v>
      </c>
      <c r="O964">
        <v>3181.72</v>
      </c>
      <c r="P964">
        <v>0</v>
      </c>
      <c r="Q964">
        <v>3181.72</v>
      </c>
      <c r="R964">
        <v>509.08</v>
      </c>
      <c r="S964">
        <v>127.27</v>
      </c>
      <c r="T964">
        <v>3563.53</v>
      </c>
      <c r="U964" t="s">
        <v>2914</v>
      </c>
      <c r="V964" t="s">
        <v>9408</v>
      </c>
      <c r="W964" t="s">
        <v>423</v>
      </c>
    </row>
    <row r="965" spans="1:23" hidden="1" x14ac:dyDescent="0.2">
      <c r="A965">
        <v>2012</v>
      </c>
      <c r="B965" t="s">
        <v>303</v>
      </c>
      <c r="C965" s="733">
        <v>40920</v>
      </c>
      <c r="D9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965" t="s">
        <v>485</v>
      </c>
      <c r="F965" t="s">
        <v>2065</v>
      </c>
      <c r="G965" t="s">
        <v>7225</v>
      </c>
      <c r="H965">
        <v>40093</v>
      </c>
      <c r="I965" t="s">
        <v>423</v>
      </c>
      <c r="J965" t="s">
        <v>5260</v>
      </c>
      <c r="K965" t="s">
        <v>2102</v>
      </c>
      <c r="L965" t="s">
        <v>2115</v>
      </c>
      <c r="M965">
        <v>832</v>
      </c>
      <c r="N965">
        <v>52.23</v>
      </c>
      <c r="O965">
        <v>26061.200000000001</v>
      </c>
      <c r="P965">
        <v>0</v>
      </c>
      <c r="Q965">
        <v>26061.200000000001</v>
      </c>
      <c r="R965">
        <v>4169.79</v>
      </c>
      <c r="S965">
        <v>1042.45</v>
      </c>
      <c r="T965">
        <v>29188.54</v>
      </c>
      <c r="U965" t="s">
        <v>2106</v>
      </c>
      <c r="V965" t="s">
        <v>9409</v>
      </c>
      <c r="W965" t="s">
        <v>423</v>
      </c>
    </row>
    <row r="966" spans="1:23" x14ac:dyDescent="0.2">
      <c r="A966">
        <v>2012</v>
      </c>
      <c r="B966" t="s">
        <v>304</v>
      </c>
      <c r="C966" s="733">
        <v>40967</v>
      </c>
      <c r="D9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66" t="s">
        <v>485</v>
      </c>
      <c r="F966" t="s">
        <v>2084</v>
      </c>
      <c r="G966" t="s">
        <v>8895</v>
      </c>
      <c r="H966">
        <v>42390</v>
      </c>
      <c r="I966" t="s">
        <v>423</v>
      </c>
      <c r="J966" t="s">
        <v>2813</v>
      </c>
      <c r="K966" t="s">
        <v>2814</v>
      </c>
      <c r="L966" t="s">
        <v>2815</v>
      </c>
      <c r="M966">
        <v>365</v>
      </c>
      <c r="N966">
        <v>24.161999999999999</v>
      </c>
      <c r="O966">
        <v>6503.93</v>
      </c>
      <c r="P966">
        <v>0</v>
      </c>
      <c r="Q966">
        <v>6503.93</v>
      </c>
      <c r="R966">
        <v>715.43</v>
      </c>
      <c r="S966">
        <v>260.16000000000003</v>
      </c>
      <c r="T966">
        <v>6959.2</v>
      </c>
      <c r="U966" t="s">
        <v>8877</v>
      </c>
      <c r="V966" t="s">
        <v>9408</v>
      </c>
      <c r="W966" t="s">
        <v>423</v>
      </c>
    </row>
    <row r="967" spans="1:23" hidden="1" x14ac:dyDescent="0.2">
      <c r="A967">
        <v>2012</v>
      </c>
      <c r="B967" t="s">
        <v>304</v>
      </c>
      <c r="C967" s="733">
        <v>40953</v>
      </c>
      <c r="D9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67" t="s">
        <v>485</v>
      </c>
      <c r="F967" t="s">
        <v>2084</v>
      </c>
      <c r="G967" t="s">
        <v>6017</v>
      </c>
      <c r="H967">
        <v>41763</v>
      </c>
      <c r="I967" t="s">
        <v>423</v>
      </c>
      <c r="J967" t="s">
        <v>2813</v>
      </c>
      <c r="K967" t="s">
        <v>2814</v>
      </c>
      <c r="L967" t="s">
        <v>2815</v>
      </c>
      <c r="M967">
        <v>365</v>
      </c>
      <c r="N967">
        <v>23.879000000000001</v>
      </c>
      <c r="O967">
        <v>6427.75</v>
      </c>
      <c r="P967">
        <v>0</v>
      </c>
      <c r="Q967">
        <v>6427.75</v>
      </c>
      <c r="R967">
        <v>707.05</v>
      </c>
      <c r="S967">
        <v>257.11</v>
      </c>
      <c r="T967">
        <v>6877.69</v>
      </c>
      <c r="U967" t="s">
        <v>8877</v>
      </c>
      <c r="V967" t="s">
        <v>9408</v>
      </c>
      <c r="W967" t="s">
        <v>423</v>
      </c>
    </row>
    <row r="968" spans="1:23" x14ac:dyDescent="0.2">
      <c r="A968">
        <v>2012</v>
      </c>
      <c r="B968" t="s">
        <v>304</v>
      </c>
      <c r="C968" s="733">
        <v>40967</v>
      </c>
      <c r="D9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68" t="s">
        <v>485</v>
      </c>
      <c r="F968" t="s">
        <v>2065</v>
      </c>
      <c r="G968" t="s">
        <v>8911</v>
      </c>
      <c r="H968">
        <v>42448</v>
      </c>
      <c r="I968" t="s">
        <v>423</v>
      </c>
      <c r="J968" t="s">
        <v>2813</v>
      </c>
      <c r="K968" t="s">
        <v>2814</v>
      </c>
      <c r="L968" t="s">
        <v>2815</v>
      </c>
      <c r="M968">
        <v>365</v>
      </c>
      <c r="N968">
        <v>23.94</v>
      </c>
      <c r="O968">
        <v>6444.17</v>
      </c>
      <c r="P968">
        <v>0</v>
      </c>
      <c r="Q968">
        <v>6444.17</v>
      </c>
      <c r="R968">
        <v>708.86</v>
      </c>
      <c r="S968">
        <v>257.77</v>
      </c>
      <c r="T968">
        <v>6895.26</v>
      </c>
      <c r="V968" t="s">
        <v>9409</v>
      </c>
      <c r="W968" t="s">
        <v>423</v>
      </c>
    </row>
    <row r="969" spans="1:23" hidden="1" x14ac:dyDescent="0.2">
      <c r="A969">
        <v>2012</v>
      </c>
      <c r="B969" t="s">
        <v>304</v>
      </c>
      <c r="C969" s="733">
        <v>40953</v>
      </c>
      <c r="D9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69" t="s">
        <v>485</v>
      </c>
      <c r="F969" t="s">
        <v>2084</v>
      </c>
      <c r="G969" t="s">
        <v>6024</v>
      </c>
      <c r="H969">
        <v>41574</v>
      </c>
      <c r="I969" t="s">
        <v>423</v>
      </c>
      <c r="J969" t="s">
        <v>2813</v>
      </c>
      <c r="K969" t="s">
        <v>2814</v>
      </c>
      <c r="L969" t="s">
        <v>2815</v>
      </c>
      <c r="M969">
        <v>365</v>
      </c>
      <c r="N969">
        <v>29.835000000000001</v>
      </c>
      <c r="O969">
        <v>8030.99</v>
      </c>
      <c r="P969">
        <v>0</v>
      </c>
      <c r="Q969">
        <v>8030.99</v>
      </c>
      <c r="R969">
        <v>883.41</v>
      </c>
      <c r="S969">
        <v>321.24</v>
      </c>
      <c r="T969">
        <v>8593.16</v>
      </c>
      <c r="U969" t="s">
        <v>7527</v>
      </c>
      <c r="V969" t="s">
        <v>9408</v>
      </c>
      <c r="W969" t="s">
        <v>423</v>
      </c>
    </row>
    <row r="970" spans="1:23" hidden="1" x14ac:dyDescent="0.2">
      <c r="A970">
        <v>2012</v>
      </c>
      <c r="B970" t="s">
        <v>304</v>
      </c>
      <c r="C970" s="733">
        <v>40953</v>
      </c>
      <c r="D9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70" t="s">
        <v>485</v>
      </c>
      <c r="F970" t="s">
        <v>2084</v>
      </c>
      <c r="G970" t="s">
        <v>6021</v>
      </c>
      <c r="H970">
        <v>41569</v>
      </c>
      <c r="I970" t="s">
        <v>423</v>
      </c>
      <c r="J970" t="s">
        <v>2813</v>
      </c>
      <c r="K970" t="s">
        <v>2814</v>
      </c>
      <c r="L970" t="s">
        <v>2815</v>
      </c>
      <c r="M970">
        <v>365</v>
      </c>
      <c r="N970">
        <v>24.356999999999999</v>
      </c>
      <c r="O970">
        <v>6556.42</v>
      </c>
      <c r="P970">
        <v>0</v>
      </c>
      <c r="Q970">
        <v>6556.42</v>
      </c>
      <c r="R970">
        <v>721.21</v>
      </c>
      <c r="S970">
        <v>262.26</v>
      </c>
      <c r="T970">
        <v>7015.37</v>
      </c>
      <c r="U970" t="s">
        <v>7527</v>
      </c>
      <c r="V970" t="s">
        <v>9408</v>
      </c>
      <c r="W970" t="s">
        <v>423</v>
      </c>
    </row>
    <row r="971" spans="1:23" hidden="1" x14ac:dyDescent="0.2">
      <c r="A971">
        <v>2012</v>
      </c>
      <c r="B971" t="s">
        <v>304</v>
      </c>
      <c r="C971" s="733">
        <v>40940</v>
      </c>
      <c r="D9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71" t="s">
        <v>485</v>
      </c>
      <c r="F971" t="s">
        <v>2065</v>
      </c>
      <c r="G971" t="s">
        <v>3039</v>
      </c>
      <c r="H971">
        <v>40007</v>
      </c>
      <c r="I971" t="s">
        <v>423</v>
      </c>
      <c r="J971" t="s">
        <v>2182</v>
      </c>
      <c r="K971" t="s">
        <v>2183</v>
      </c>
      <c r="L971" t="s">
        <v>2184</v>
      </c>
      <c r="M971">
        <v>62</v>
      </c>
      <c r="N971">
        <v>15.53</v>
      </c>
      <c r="O971">
        <v>2300.61</v>
      </c>
      <c r="P971">
        <v>0</v>
      </c>
      <c r="Q971">
        <v>2300.61</v>
      </c>
      <c r="R971">
        <v>368.1</v>
      </c>
      <c r="S971">
        <v>92.02</v>
      </c>
      <c r="T971">
        <v>2576.69</v>
      </c>
      <c r="U971" t="s">
        <v>2187</v>
      </c>
      <c r="V971" t="s">
        <v>9408</v>
      </c>
      <c r="W971" t="s">
        <v>423</v>
      </c>
    </row>
    <row r="972" spans="1:23" hidden="1" x14ac:dyDescent="0.2">
      <c r="A972">
        <v>2012</v>
      </c>
      <c r="B972" t="s">
        <v>303</v>
      </c>
      <c r="C972" s="733">
        <v>40911.484131944446</v>
      </c>
      <c r="D9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972" t="s">
        <v>485</v>
      </c>
      <c r="F972" t="s">
        <v>2065</v>
      </c>
      <c r="G972" t="s">
        <v>3037</v>
      </c>
      <c r="H972">
        <v>39702</v>
      </c>
      <c r="I972" t="s">
        <v>423</v>
      </c>
      <c r="J972" t="s">
        <v>2182</v>
      </c>
      <c r="K972" t="s">
        <v>2183</v>
      </c>
      <c r="L972" t="s">
        <v>2184</v>
      </c>
      <c r="M972">
        <v>62</v>
      </c>
      <c r="N972">
        <v>15.42</v>
      </c>
      <c r="O972">
        <v>961.75</v>
      </c>
      <c r="P972">
        <v>1082.8247080000001</v>
      </c>
      <c r="Q972">
        <v>2044.5747080000001</v>
      </c>
      <c r="R972">
        <v>327.13195300000001</v>
      </c>
      <c r="S972">
        <v>81.782988000000003</v>
      </c>
      <c r="T972">
        <v>2289.9236729999998</v>
      </c>
      <c r="U972" t="s">
        <v>3038</v>
      </c>
      <c r="V972" t="s">
        <v>9408</v>
      </c>
      <c r="W972" t="s">
        <v>423</v>
      </c>
    </row>
    <row r="973" spans="1:23" hidden="1" x14ac:dyDescent="0.2">
      <c r="A973">
        <v>2012</v>
      </c>
      <c r="B973" t="s">
        <v>304</v>
      </c>
      <c r="C973" s="733">
        <v>40940</v>
      </c>
      <c r="D9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73" t="s">
        <v>485</v>
      </c>
      <c r="F973" t="s">
        <v>2065</v>
      </c>
      <c r="G973" t="s">
        <v>7340</v>
      </c>
      <c r="H973">
        <v>39671</v>
      </c>
      <c r="I973" t="s">
        <v>423</v>
      </c>
      <c r="J973" t="s">
        <v>3204</v>
      </c>
      <c r="K973" t="s">
        <v>2183</v>
      </c>
      <c r="L973" t="s">
        <v>2184</v>
      </c>
      <c r="M973">
        <v>80</v>
      </c>
      <c r="N973">
        <v>25.02</v>
      </c>
      <c r="O973">
        <v>2824.01</v>
      </c>
      <c r="P973">
        <v>0</v>
      </c>
      <c r="Q973">
        <v>2824.01</v>
      </c>
      <c r="R973">
        <v>451.84</v>
      </c>
      <c r="S973">
        <v>112.96</v>
      </c>
      <c r="T973">
        <v>3162.89</v>
      </c>
      <c r="U973" t="s">
        <v>2187</v>
      </c>
      <c r="V973" t="s">
        <v>9408</v>
      </c>
      <c r="W973" t="s">
        <v>423</v>
      </c>
    </row>
    <row r="974" spans="1:23" hidden="1" x14ac:dyDescent="0.2">
      <c r="A974">
        <v>2012</v>
      </c>
      <c r="B974" t="s">
        <v>304</v>
      </c>
      <c r="C974" s="733">
        <v>40960</v>
      </c>
      <c r="D9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74" t="s">
        <v>485</v>
      </c>
      <c r="F974" t="s">
        <v>2084</v>
      </c>
      <c r="G974" t="s">
        <v>8232</v>
      </c>
      <c r="H974">
        <v>41987</v>
      </c>
      <c r="I974" t="s">
        <v>423</v>
      </c>
      <c r="J974" t="s">
        <v>2813</v>
      </c>
      <c r="K974" t="s">
        <v>2814</v>
      </c>
      <c r="L974" t="s">
        <v>2815</v>
      </c>
      <c r="M974">
        <v>365</v>
      </c>
      <c r="N974">
        <v>23.94</v>
      </c>
      <c r="O974">
        <v>6444.17</v>
      </c>
      <c r="P974">
        <v>0</v>
      </c>
      <c r="Q974">
        <v>6444.17</v>
      </c>
      <c r="R974">
        <v>708.86</v>
      </c>
      <c r="S974">
        <v>257.77</v>
      </c>
      <c r="T974">
        <v>6895.26</v>
      </c>
      <c r="U974" t="s">
        <v>8877</v>
      </c>
      <c r="V974" t="s">
        <v>9408</v>
      </c>
      <c r="W974" t="s">
        <v>423</v>
      </c>
    </row>
    <row r="975" spans="1:23" hidden="1" x14ac:dyDescent="0.2">
      <c r="A975">
        <v>2012</v>
      </c>
      <c r="B975" t="s">
        <v>304</v>
      </c>
      <c r="C975" s="733">
        <v>40953</v>
      </c>
      <c r="D9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75" t="s">
        <v>485</v>
      </c>
      <c r="F975" t="s">
        <v>2084</v>
      </c>
      <c r="G975" t="s">
        <v>7292</v>
      </c>
      <c r="H975">
        <v>41456</v>
      </c>
      <c r="I975" t="s">
        <v>423</v>
      </c>
      <c r="J975" t="s">
        <v>2813</v>
      </c>
      <c r="K975" t="s">
        <v>2814</v>
      </c>
      <c r="L975" t="s">
        <v>2815</v>
      </c>
      <c r="M975">
        <v>365</v>
      </c>
      <c r="N975">
        <v>25.936</v>
      </c>
      <c r="O975">
        <v>6981.45</v>
      </c>
      <c r="P975">
        <v>0</v>
      </c>
      <c r="Q975">
        <v>6981.45</v>
      </c>
      <c r="R975">
        <v>767.96</v>
      </c>
      <c r="S975">
        <v>279.26</v>
      </c>
      <c r="T975">
        <v>7470.15</v>
      </c>
      <c r="U975" t="s">
        <v>7527</v>
      </c>
      <c r="V975" t="s">
        <v>9408</v>
      </c>
      <c r="W975" t="s">
        <v>423</v>
      </c>
    </row>
    <row r="976" spans="1:23" hidden="1" x14ac:dyDescent="0.2">
      <c r="A976">
        <v>2012</v>
      </c>
      <c r="B976" t="s">
        <v>304</v>
      </c>
      <c r="C976" s="733">
        <v>40953</v>
      </c>
      <c r="D9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76" t="s">
        <v>485</v>
      </c>
      <c r="F976" t="s">
        <v>2084</v>
      </c>
      <c r="G976" t="s">
        <v>7293</v>
      </c>
      <c r="H976">
        <v>41459</v>
      </c>
      <c r="I976" t="s">
        <v>423</v>
      </c>
      <c r="J976" t="s">
        <v>2813</v>
      </c>
      <c r="K976" t="s">
        <v>2814</v>
      </c>
      <c r="L976" t="s">
        <v>2815</v>
      </c>
      <c r="M976">
        <v>365</v>
      </c>
      <c r="N976">
        <v>23.747</v>
      </c>
      <c r="O976">
        <v>6392.22</v>
      </c>
      <c r="P976">
        <v>0</v>
      </c>
      <c r="Q976">
        <v>6392.22</v>
      </c>
      <c r="R976">
        <v>703.14</v>
      </c>
      <c r="S976">
        <v>255.69</v>
      </c>
      <c r="T976">
        <v>6839.67</v>
      </c>
      <c r="U976" t="s">
        <v>7527</v>
      </c>
      <c r="V976" t="s">
        <v>9408</v>
      </c>
      <c r="W976" t="s">
        <v>423</v>
      </c>
    </row>
    <row r="977" spans="1:23" hidden="1" x14ac:dyDescent="0.2">
      <c r="A977">
        <v>2012</v>
      </c>
      <c r="B977" t="s">
        <v>304</v>
      </c>
      <c r="C977" s="733">
        <v>40960</v>
      </c>
      <c r="D9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77" t="s">
        <v>485</v>
      </c>
      <c r="F977" t="s">
        <v>2084</v>
      </c>
      <c r="G977" t="s">
        <v>8240</v>
      </c>
      <c r="H977">
        <v>42025</v>
      </c>
      <c r="I977" t="s">
        <v>423</v>
      </c>
      <c r="J977" t="s">
        <v>2813</v>
      </c>
      <c r="K977" t="s">
        <v>2814</v>
      </c>
      <c r="L977" t="s">
        <v>2815</v>
      </c>
      <c r="M977">
        <v>365</v>
      </c>
      <c r="N977">
        <v>23.824999999999999</v>
      </c>
      <c r="O977">
        <v>6413.21</v>
      </c>
      <c r="P977">
        <v>0</v>
      </c>
      <c r="Q977">
        <v>6413.21</v>
      </c>
      <c r="R977">
        <v>705.45</v>
      </c>
      <c r="S977">
        <v>256.52999999999997</v>
      </c>
      <c r="T977">
        <v>6862.13</v>
      </c>
      <c r="U977" t="s">
        <v>8877</v>
      </c>
      <c r="V977" t="s">
        <v>9408</v>
      </c>
      <c r="W977" t="s">
        <v>423</v>
      </c>
    </row>
    <row r="978" spans="1:23" hidden="1" x14ac:dyDescent="0.2">
      <c r="A978">
        <v>2012</v>
      </c>
      <c r="B978" t="s">
        <v>304</v>
      </c>
      <c r="C978" s="733">
        <v>40949</v>
      </c>
      <c r="D9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78" t="s">
        <v>485</v>
      </c>
      <c r="F978" t="s">
        <v>2084</v>
      </c>
      <c r="G978" t="s">
        <v>7287</v>
      </c>
      <c r="H978">
        <v>41237</v>
      </c>
      <c r="I978" t="s">
        <v>423</v>
      </c>
      <c r="J978" t="s">
        <v>2813</v>
      </c>
      <c r="K978" t="s">
        <v>2814</v>
      </c>
      <c r="L978" t="s">
        <v>2815</v>
      </c>
      <c r="M978">
        <v>365</v>
      </c>
      <c r="N978">
        <v>23.908000000000001</v>
      </c>
      <c r="O978">
        <v>6435.56</v>
      </c>
      <c r="P978">
        <v>0</v>
      </c>
      <c r="Q978">
        <v>6435.56</v>
      </c>
      <c r="R978">
        <v>707.91</v>
      </c>
      <c r="S978">
        <v>257.42</v>
      </c>
      <c r="T978">
        <v>6886.05</v>
      </c>
      <c r="U978" t="s">
        <v>7527</v>
      </c>
      <c r="V978" t="s">
        <v>9408</v>
      </c>
      <c r="W978" t="s">
        <v>423</v>
      </c>
    </row>
    <row r="979" spans="1:23" hidden="1" x14ac:dyDescent="0.2">
      <c r="A979">
        <v>2012</v>
      </c>
      <c r="B979" t="s">
        <v>304</v>
      </c>
      <c r="C979" s="733">
        <v>40949</v>
      </c>
      <c r="D9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79" t="s">
        <v>485</v>
      </c>
      <c r="F979" t="s">
        <v>2084</v>
      </c>
      <c r="G979" t="s">
        <v>7285</v>
      </c>
      <c r="H979">
        <v>41230</v>
      </c>
      <c r="I979" t="s">
        <v>423</v>
      </c>
      <c r="J979" t="s">
        <v>2813</v>
      </c>
      <c r="K979" t="s">
        <v>2814</v>
      </c>
      <c r="L979" t="s">
        <v>2815</v>
      </c>
      <c r="M979">
        <v>365</v>
      </c>
      <c r="N979">
        <v>23.692</v>
      </c>
      <c r="O979">
        <v>6377.41</v>
      </c>
      <c r="P979">
        <v>0</v>
      </c>
      <c r="Q979">
        <v>6377.41</v>
      </c>
      <c r="R979">
        <v>701.52</v>
      </c>
      <c r="S979">
        <v>255.1</v>
      </c>
      <c r="T979">
        <v>6823.83</v>
      </c>
      <c r="U979" t="s">
        <v>7527</v>
      </c>
      <c r="V979" t="s">
        <v>9408</v>
      </c>
      <c r="W979" t="s">
        <v>423</v>
      </c>
    </row>
    <row r="980" spans="1:23" hidden="1" x14ac:dyDescent="0.2">
      <c r="A980">
        <v>2012</v>
      </c>
      <c r="B980" t="s">
        <v>304</v>
      </c>
      <c r="C980" s="733">
        <v>40960</v>
      </c>
      <c r="D9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80" t="s">
        <v>485</v>
      </c>
      <c r="F980" t="s">
        <v>2084</v>
      </c>
      <c r="G980" t="s">
        <v>8237</v>
      </c>
      <c r="H980">
        <v>41762</v>
      </c>
      <c r="I980" t="s">
        <v>423</v>
      </c>
      <c r="J980" t="s">
        <v>2813</v>
      </c>
      <c r="K980" t="s">
        <v>2814</v>
      </c>
      <c r="L980" t="s">
        <v>2815</v>
      </c>
      <c r="M980">
        <v>365</v>
      </c>
      <c r="N980">
        <v>24.702999999999999</v>
      </c>
      <c r="O980">
        <v>6649.55</v>
      </c>
      <c r="P980">
        <v>0</v>
      </c>
      <c r="Q980">
        <v>6649.55</v>
      </c>
      <c r="R980">
        <v>731.45</v>
      </c>
      <c r="S980">
        <v>265.98</v>
      </c>
      <c r="T980">
        <v>7115.02</v>
      </c>
      <c r="U980" t="s">
        <v>8877</v>
      </c>
      <c r="V980" t="s">
        <v>9408</v>
      </c>
      <c r="W980" t="s">
        <v>423</v>
      </c>
    </row>
    <row r="981" spans="1:23" hidden="1" x14ac:dyDescent="0.2">
      <c r="A981">
        <v>2012</v>
      </c>
      <c r="B981" t="s">
        <v>304</v>
      </c>
      <c r="C981" s="733">
        <v>40960</v>
      </c>
      <c r="D9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81" t="s">
        <v>485</v>
      </c>
      <c r="F981" t="s">
        <v>2084</v>
      </c>
      <c r="G981" t="s">
        <v>8234</v>
      </c>
      <c r="H981">
        <v>41984</v>
      </c>
      <c r="I981" t="s">
        <v>423</v>
      </c>
      <c r="J981" t="s">
        <v>2813</v>
      </c>
      <c r="K981" t="s">
        <v>2814</v>
      </c>
      <c r="L981" t="s">
        <v>2815</v>
      </c>
      <c r="M981">
        <v>365</v>
      </c>
      <c r="N981">
        <v>24.283000000000001</v>
      </c>
      <c r="O981">
        <v>6536.5</v>
      </c>
      <c r="P981">
        <v>0</v>
      </c>
      <c r="Q981">
        <v>6536.5</v>
      </c>
      <c r="R981">
        <v>719.01</v>
      </c>
      <c r="S981">
        <v>261.45999999999998</v>
      </c>
      <c r="T981">
        <v>6994.05</v>
      </c>
      <c r="U981" t="s">
        <v>8877</v>
      </c>
      <c r="V981" t="s">
        <v>9408</v>
      </c>
      <c r="W981" t="s">
        <v>423</v>
      </c>
    </row>
    <row r="982" spans="1:23" hidden="1" x14ac:dyDescent="0.2">
      <c r="A982">
        <v>2012</v>
      </c>
      <c r="B982" t="s">
        <v>304</v>
      </c>
      <c r="C982" s="733">
        <v>40953</v>
      </c>
      <c r="D9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82" t="s">
        <v>485</v>
      </c>
      <c r="F982" t="s">
        <v>2084</v>
      </c>
      <c r="G982" t="s">
        <v>7291</v>
      </c>
      <c r="H982">
        <v>41570</v>
      </c>
      <c r="I982" t="s">
        <v>423</v>
      </c>
      <c r="J982" t="s">
        <v>2813</v>
      </c>
      <c r="K982" t="s">
        <v>2814</v>
      </c>
      <c r="L982" t="s">
        <v>2815</v>
      </c>
      <c r="M982">
        <v>365</v>
      </c>
      <c r="N982">
        <v>24.353999999999999</v>
      </c>
      <c r="O982">
        <v>6555.61</v>
      </c>
      <c r="P982">
        <v>0</v>
      </c>
      <c r="Q982">
        <v>6555.61</v>
      </c>
      <c r="R982">
        <v>721.12</v>
      </c>
      <c r="S982">
        <v>262.22000000000003</v>
      </c>
      <c r="T982">
        <v>7014.51</v>
      </c>
      <c r="U982" t="s">
        <v>7527</v>
      </c>
      <c r="V982" t="s">
        <v>9408</v>
      </c>
      <c r="W982" t="s">
        <v>423</v>
      </c>
    </row>
    <row r="983" spans="1:23" hidden="1" x14ac:dyDescent="0.2">
      <c r="A983">
        <v>2012</v>
      </c>
      <c r="B983" t="s">
        <v>304</v>
      </c>
      <c r="C983" s="733">
        <v>40960</v>
      </c>
      <c r="D9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83" t="s">
        <v>485</v>
      </c>
      <c r="F983" t="s">
        <v>2084</v>
      </c>
      <c r="G983" t="s">
        <v>8243</v>
      </c>
      <c r="H983">
        <v>41770</v>
      </c>
      <c r="I983" t="s">
        <v>423</v>
      </c>
      <c r="J983" t="s">
        <v>2813</v>
      </c>
      <c r="K983" t="s">
        <v>2814</v>
      </c>
      <c r="L983" t="s">
        <v>2815</v>
      </c>
      <c r="M983">
        <v>365</v>
      </c>
      <c r="N983">
        <v>24.164000000000001</v>
      </c>
      <c r="O983">
        <v>6504.47</v>
      </c>
      <c r="P983">
        <v>0</v>
      </c>
      <c r="Q983">
        <v>6504.47</v>
      </c>
      <c r="R983">
        <v>715.49</v>
      </c>
      <c r="S983">
        <v>260.18</v>
      </c>
      <c r="T983">
        <v>6959.78</v>
      </c>
      <c r="U983" t="s">
        <v>8877</v>
      </c>
      <c r="V983" t="s">
        <v>9408</v>
      </c>
      <c r="W983" t="s">
        <v>423</v>
      </c>
    </row>
    <row r="984" spans="1:23" hidden="1" x14ac:dyDescent="0.2">
      <c r="A984">
        <v>2012</v>
      </c>
      <c r="B984" t="s">
        <v>303</v>
      </c>
      <c r="C984" s="733">
        <v>40926</v>
      </c>
      <c r="D9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984" t="s">
        <v>485</v>
      </c>
      <c r="F984" t="s">
        <v>2084</v>
      </c>
      <c r="G984" t="s">
        <v>7289</v>
      </c>
      <c r="H984">
        <v>40164</v>
      </c>
      <c r="I984" t="s">
        <v>423</v>
      </c>
      <c r="J984" t="s">
        <v>2813</v>
      </c>
      <c r="K984" t="s">
        <v>2814</v>
      </c>
      <c r="L984" t="s">
        <v>2815</v>
      </c>
      <c r="M984">
        <v>365</v>
      </c>
      <c r="N984">
        <v>23.887</v>
      </c>
      <c r="O984">
        <v>6429.9</v>
      </c>
      <c r="P984">
        <v>0</v>
      </c>
      <c r="Q984">
        <v>6429.9</v>
      </c>
      <c r="R984">
        <v>1028.78</v>
      </c>
      <c r="S984">
        <v>257.2</v>
      </c>
      <c r="T984">
        <v>7201.48</v>
      </c>
      <c r="U984" t="s">
        <v>2826</v>
      </c>
      <c r="V984" t="s">
        <v>9408</v>
      </c>
      <c r="W984" t="s">
        <v>423</v>
      </c>
    </row>
    <row r="985" spans="1:23" hidden="1" x14ac:dyDescent="0.2">
      <c r="A985">
        <v>2012</v>
      </c>
      <c r="B985" t="s">
        <v>303</v>
      </c>
      <c r="C985" s="733">
        <v>40938</v>
      </c>
      <c r="D9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985" t="s">
        <v>485</v>
      </c>
      <c r="F985" t="s">
        <v>2084</v>
      </c>
      <c r="G985" t="s">
        <v>7288</v>
      </c>
      <c r="H985">
        <v>39908</v>
      </c>
      <c r="I985" t="s">
        <v>423</v>
      </c>
      <c r="J985" t="s">
        <v>2813</v>
      </c>
      <c r="K985" t="s">
        <v>2814</v>
      </c>
      <c r="L985" t="s">
        <v>2815</v>
      </c>
      <c r="M985">
        <v>365</v>
      </c>
      <c r="N985">
        <v>23.978000000000002</v>
      </c>
      <c r="O985">
        <v>6454.4</v>
      </c>
      <c r="P985">
        <v>0</v>
      </c>
      <c r="Q985">
        <v>6454.4</v>
      </c>
      <c r="R985">
        <v>1032.7</v>
      </c>
      <c r="S985">
        <v>258.18</v>
      </c>
      <c r="T985">
        <v>7228.92</v>
      </c>
      <c r="U985" t="s">
        <v>2826</v>
      </c>
      <c r="V985" t="s">
        <v>9408</v>
      </c>
      <c r="W985" t="s">
        <v>423</v>
      </c>
    </row>
    <row r="986" spans="1:23" x14ac:dyDescent="0.2">
      <c r="A986">
        <v>2012</v>
      </c>
      <c r="B986" t="s">
        <v>304</v>
      </c>
      <c r="C986" s="733">
        <v>40967</v>
      </c>
      <c r="D9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86" t="s">
        <v>485</v>
      </c>
      <c r="F986" t="s">
        <v>2084</v>
      </c>
      <c r="G986" t="s">
        <v>8884</v>
      </c>
      <c r="H986">
        <v>42447</v>
      </c>
      <c r="I986" t="s">
        <v>423</v>
      </c>
      <c r="J986" t="s">
        <v>2813</v>
      </c>
      <c r="K986" t="s">
        <v>2814</v>
      </c>
      <c r="L986" t="s">
        <v>2815</v>
      </c>
      <c r="M986">
        <v>365</v>
      </c>
      <c r="N986">
        <v>23.827000000000002</v>
      </c>
      <c r="O986">
        <v>6413.75</v>
      </c>
      <c r="P986">
        <v>0</v>
      </c>
      <c r="Q986">
        <v>6413.75</v>
      </c>
      <c r="R986">
        <v>705.51</v>
      </c>
      <c r="S986">
        <v>256.55</v>
      </c>
      <c r="T986">
        <v>6862.71</v>
      </c>
      <c r="U986" t="s">
        <v>8877</v>
      </c>
      <c r="V986" t="s">
        <v>9408</v>
      </c>
      <c r="W986" t="s">
        <v>423</v>
      </c>
    </row>
    <row r="987" spans="1:23" x14ac:dyDescent="0.2">
      <c r="A987">
        <v>2012</v>
      </c>
      <c r="B987" t="s">
        <v>304</v>
      </c>
      <c r="C987" s="733">
        <v>40967</v>
      </c>
      <c r="D9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87" t="s">
        <v>485</v>
      </c>
      <c r="F987" t="s">
        <v>2084</v>
      </c>
      <c r="G987" t="s">
        <v>8885</v>
      </c>
      <c r="H987">
        <v>42453</v>
      </c>
      <c r="I987" t="s">
        <v>423</v>
      </c>
      <c r="J987" t="s">
        <v>2813</v>
      </c>
      <c r="K987" t="s">
        <v>2814</v>
      </c>
      <c r="L987" t="s">
        <v>2815</v>
      </c>
      <c r="M987">
        <v>365</v>
      </c>
      <c r="N987">
        <v>23.620999999999999</v>
      </c>
      <c r="O987">
        <v>6358.3</v>
      </c>
      <c r="P987">
        <v>0</v>
      </c>
      <c r="Q987">
        <v>6358.3</v>
      </c>
      <c r="R987">
        <v>699.41</v>
      </c>
      <c r="S987">
        <v>254.33</v>
      </c>
      <c r="T987">
        <v>6803.38</v>
      </c>
      <c r="U987" t="s">
        <v>8877</v>
      </c>
      <c r="V987" t="s">
        <v>9408</v>
      </c>
      <c r="W987" t="s">
        <v>423</v>
      </c>
    </row>
    <row r="988" spans="1:23" hidden="1" x14ac:dyDescent="0.2">
      <c r="A988">
        <v>2012</v>
      </c>
      <c r="B988" t="s">
        <v>303</v>
      </c>
      <c r="C988" s="733">
        <v>40938</v>
      </c>
      <c r="D9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988" t="s">
        <v>485</v>
      </c>
      <c r="F988" t="s">
        <v>2084</v>
      </c>
      <c r="G988" t="s">
        <v>7286</v>
      </c>
      <c r="H988">
        <v>40060</v>
      </c>
      <c r="I988" t="s">
        <v>423</v>
      </c>
      <c r="J988" t="s">
        <v>2813</v>
      </c>
      <c r="K988" t="s">
        <v>2814</v>
      </c>
      <c r="L988" t="s">
        <v>2815</v>
      </c>
      <c r="M988">
        <v>365</v>
      </c>
      <c r="N988">
        <v>23.413</v>
      </c>
      <c r="O988">
        <v>6302.31</v>
      </c>
      <c r="P988">
        <v>0</v>
      </c>
      <c r="Q988">
        <v>6302.31</v>
      </c>
      <c r="R988">
        <v>1008.37</v>
      </c>
      <c r="S988">
        <v>252.09</v>
      </c>
      <c r="T988">
        <v>7058.59</v>
      </c>
      <c r="U988" t="s">
        <v>2826</v>
      </c>
      <c r="V988" t="s">
        <v>9408</v>
      </c>
      <c r="W988" t="s">
        <v>423</v>
      </c>
    </row>
    <row r="989" spans="1:23" hidden="1" x14ac:dyDescent="0.2">
      <c r="A989">
        <v>2012</v>
      </c>
      <c r="B989" t="s">
        <v>304</v>
      </c>
      <c r="C989" s="733">
        <v>40960</v>
      </c>
      <c r="D9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89" t="s">
        <v>485</v>
      </c>
      <c r="F989" t="s">
        <v>2065</v>
      </c>
      <c r="G989" t="s">
        <v>8245</v>
      </c>
      <c r="H989">
        <v>42221</v>
      </c>
      <c r="I989" t="s">
        <v>423</v>
      </c>
      <c r="J989" t="s">
        <v>5260</v>
      </c>
      <c r="K989" t="s">
        <v>2102</v>
      </c>
      <c r="L989" t="s">
        <v>2115</v>
      </c>
      <c r="M989">
        <v>832</v>
      </c>
      <c r="N989">
        <v>49.15</v>
      </c>
      <c r="O989">
        <v>24524.38</v>
      </c>
      <c r="P989">
        <v>0</v>
      </c>
      <c r="Q989">
        <v>24524.38</v>
      </c>
      <c r="R989">
        <v>3923.9</v>
      </c>
      <c r="S989">
        <v>980.98</v>
      </c>
      <c r="T989">
        <v>27467.3</v>
      </c>
      <c r="U989" t="s">
        <v>8883</v>
      </c>
      <c r="V989" t="s">
        <v>9409</v>
      </c>
      <c r="W989" t="s">
        <v>423</v>
      </c>
    </row>
    <row r="990" spans="1:23" hidden="1" x14ac:dyDescent="0.2">
      <c r="A990">
        <v>2012</v>
      </c>
      <c r="B990" t="s">
        <v>304</v>
      </c>
      <c r="C990" s="733">
        <v>40966</v>
      </c>
      <c r="D9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90" t="s">
        <v>485</v>
      </c>
      <c r="F990" t="s">
        <v>2065</v>
      </c>
      <c r="G990" t="s">
        <v>8834</v>
      </c>
      <c r="H990">
        <v>42635</v>
      </c>
      <c r="I990" t="s">
        <v>423</v>
      </c>
      <c r="J990" t="s">
        <v>5260</v>
      </c>
      <c r="K990" t="s">
        <v>2102</v>
      </c>
      <c r="L990" t="s">
        <v>2115</v>
      </c>
      <c r="M990">
        <v>832</v>
      </c>
      <c r="N990">
        <v>52.64</v>
      </c>
      <c r="O990">
        <v>26265.78</v>
      </c>
      <c r="P990">
        <v>0</v>
      </c>
      <c r="Q990">
        <v>26265.78</v>
      </c>
      <c r="R990">
        <v>4202.5200000000004</v>
      </c>
      <c r="S990">
        <v>1050.6300000000001</v>
      </c>
      <c r="T990">
        <v>29417.67</v>
      </c>
      <c r="V990" t="s">
        <v>9409</v>
      </c>
      <c r="W990" t="s">
        <v>423</v>
      </c>
    </row>
    <row r="991" spans="1:23" hidden="1" x14ac:dyDescent="0.2">
      <c r="A991">
        <v>2012</v>
      </c>
      <c r="B991" t="s">
        <v>304</v>
      </c>
      <c r="C991" s="733">
        <v>40960</v>
      </c>
      <c r="D9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91" t="s">
        <v>485</v>
      </c>
      <c r="F991" t="s">
        <v>2084</v>
      </c>
      <c r="G991" t="s">
        <v>8238</v>
      </c>
      <c r="H991">
        <v>41991</v>
      </c>
      <c r="I991" t="s">
        <v>423</v>
      </c>
      <c r="J991" t="s">
        <v>2813</v>
      </c>
      <c r="K991" t="s">
        <v>2814</v>
      </c>
      <c r="L991" t="s">
        <v>2815</v>
      </c>
      <c r="M991">
        <v>365</v>
      </c>
      <c r="N991">
        <v>24.602</v>
      </c>
      <c r="O991">
        <v>6622.37</v>
      </c>
      <c r="P991">
        <v>0</v>
      </c>
      <c r="Q991">
        <v>6622.37</v>
      </c>
      <c r="R991">
        <v>728.46</v>
      </c>
      <c r="S991">
        <v>264.89</v>
      </c>
      <c r="T991">
        <v>7085.94</v>
      </c>
      <c r="U991" t="s">
        <v>8877</v>
      </c>
      <c r="V991" t="s">
        <v>9408</v>
      </c>
      <c r="W991" t="s">
        <v>423</v>
      </c>
    </row>
    <row r="992" spans="1:23" x14ac:dyDescent="0.2">
      <c r="A992">
        <v>2012</v>
      </c>
      <c r="B992" t="s">
        <v>304</v>
      </c>
      <c r="C992" s="733">
        <v>40967</v>
      </c>
      <c r="D9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92" t="s">
        <v>485</v>
      </c>
      <c r="F992" t="s">
        <v>2084</v>
      </c>
      <c r="G992" t="s">
        <v>8886</v>
      </c>
      <c r="H992">
        <v>42389</v>
      </c>
      <c r="I992" t="s">
        <v>423</v>
      </c>
      <c r="J992" t="s">
        <v>2813</v>
      </c>
      <c r="K992" t="s">
        <v>2814</v>
      </c>
      <c r="L992" t="s">
        <v>2815</v>
      </c>
      <c r="M992">
        <v>365</v>
      </c>
      <c r="N992">
        <v>24.151</v>
      </c>
      <c r="O992">
        <v>6500.97</v>
      </c>
      <c r="P992">
        <v>0</v>
      </c>
      <c r="Q992">
        <v>6500.97</v>
      </c>
      <c r="R992">
        <v>715.11</v>
      </c>
      <c r="S992">
        <v>260.04000000000002</v>
      </c>
      <c r="T992">
        <v>6956.04</v>
      </c>
      <c r="U992" t="s">
        <v>8877</v>
      </c>
      <c r="V992" t="s">
        <v>9408</v>
      </c>
      <c r="W992" t="s">
        <v>423</v>
      </c>
    </row>
    <row r="993" spans="1:23" x14ac:dyDescent="0.2">
      <c r="A993">
        <v>2012</v>
      </c>
      <c r="B993" t="s">
        <v>304</v>
      </c>
      <c r="C993" s="733">
        <v>40967</v>
      </c>
      <c r="D9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93" t="s">
        <v>485</v>
      </c>
      <c r="F993" t="s">
        <v>2065</v>
      </c>
      <c r="G993" t="s">
        <v>8887</v>
      </c>
      <c r="H993">
        <v>42450</v>
      </c>
      <c r="I993" t="s">
        <v>423</v>
      </c>
      <c r="J993" t="s">
        <v>2813</v>
      </c>
      <c r="K993" t="s">
        <v>2814</v>
      </c>
      <c r="L993" t="s">
        <v>2815</v>
      </c>
      <c r="M993">
        <v>365</v>
      </c>
      <c r="N993">
        <v>23.89</v>
      </c>
      <c r="O993">
        <v>6430.71</v>
      </c>
      <c r="P993">
        <v>0</v>
      </c>
      <c r="Q993">
        <v>6430.71</v>
      </c>
      <c r="R993">
        <v>707.38</v>
      </c>
      <c r="S993">
        <v>257.23</v>
      </c>
      <c r="T993">
        <v>6880.86</v>
      </c>
      <c r="V993" t="s">
        <v>9408</v>
      </c>
      <c r="W993" t="s">
        <v>423</v>
      </c>
    </row>
    <row r="994" spans="1:23" hidden="1" x14ac:dyDescent="0.2">
      <c r="A994">
        <v>2012</v>
      </c>
      <c r="B994" t="s">
        <v>304</v>
      </c>
      <c r="C994" s="733">
        <v>40960</v>
      </c>
      <c r="D9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94" t="s">
        <v>485</v>
      </c>
      <c r="F994" t="s">
        <v>2084</v>
      </c>
      <c r="G994" t="s">
        <v>8228</v>
      </c>
      <c r="H994">
        <v>41929</v>
      </c>
      <c r="I994" t="s">
        <v>423</v>
      </c>
      <c r="J994" t="s">
        <v>2813</v>
      </c>
      <c r="K994" t="s">
        <v>2814</v>
      </c>
      <c r="L994" t="s">
        <v>2815</v>
      </c>
      <c r="M994">
        <v>365</v>
      </c>
      <c r="N994">
        <v>23.838000000000001</v>
      </c>
      <c r="O994">
        <v>6416.71</v>
      </c>
      <c r="P994">
        <v>0</v>
      </c>
      <c r="Q994">
        <v>6416.71</v>
      </c>
      <c r="R994">
        <v>705.84</v>
      </c>
      <c r="S994">
        <v>256.67</v>
      </c>
      <c r="T994">
        <v>6865.88</v>
      </c>
      <c r="U994" t="s">
        <v>8877</v>
      </c>
      <c r="V994" t="s">
        <v>9408</v>
      </c>
      <c r="W994" t="s">
        <v>423</v>
      </c>
    </row>
    <row r="995" spans="1:23" hidden="1" x14ac:dyDescent="0.2">
      <c r="A995">
        <v>2012</v>
      </c>
      <c r="B995" t="s">
        <v>304</v>
      </c>
      <c r="C995" s="733">
        <v>40956</v>
      </c>
      <c r="D9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95" t="s">
        <v>478</v>
      </c>
      <c r="F995" t="s">
        <v>2136</v>
      </c>
      <c r="G995" t="s">
        <v>7952</v>
      </c>
      <c r="H995">
        <v>35513</v>
      </c>
      <c r="I995" t="s">
        <v>423</v>
      </c>
      <c r="J995" t="s">
        <v>5249</v>
      </c>
      <c r="K995" t="s">
        <v>425</v>
      </c>
      <c r="L995" t="s">
        <v>2145</v>
      </c>
      <c r="M995">
        <v>134</v>
      </c>
      <c r="N995">
        <v>23.55</v>
      </c>
      <c r="O995">
        <v>4285.8599999999997</v>
      </c>
      <c r="P995">
        <v>0</v>
      </c>
      <c r="Q995">
        <v>4285.8599999999997</v>
      </c>
      <c r="R995">
        <v>685.74</v>
      </c>
      <c r="S995">
        <v>171.43</v>
      </c>
      <c r="T995">
        <v>4800.17</v>
      </c>
      <c r="U995" t="s">
        <v>9455</v>
      </c>
      <c r="V995" t="s">
        <v>9408</v>
      </c>
      <c r="W995" t="s">
        <v>423</v>
      </c>
    </row>
    <row r="996" spans="1:23" hidden="1" x14ac:dyDescent="0.2">
      <c r="A996">
        <v>2012</v>
      </c>
      <c r="B996" t="s">
        <v>303</v>
      </c>
      <c r="C996" s="733">
        <v>40934.879618055558</v>
      </c>
      <c r="D9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996" t="s">
        <v>478</v>
      </c>
      <c r="F996" t="s">
        <v>2136</v>
      </c>
      <c r="G996" t="s">
        <v>7259</v>
      </c>
      <c r="H996">
        <v>34993</v>
      </c>
      <c r="I996" t="s">
        <v>423</v>
      </c>
      <c r="J996" t="s">
        <v>3029</v>
      </c>
      <c r="K996" t="s">
        <v>425</v>
      </c>
      <c r="L996" t="s">
        <v>2145</v>
      </c>
      <c r="M996">
        <v>35</v>
      </c>
      <c r="N996">
        <v>23.68</v>
      </c>
      <c r="O996">
        <v>3179.04</v>
      </c>
      <c r="P996">
        <v>0</v>
      </c>
      <c r="Q996">
        <v>3179.04</v>
      </c>
      <c r="R996">
        <v>508.65</v>
      </c>
      <c r="S996">
        <v>127.16</v>
      </c>
      <c r="T996">
        <v>3560.53</v>
      </c>
      <c r="U996" t="s">
        <v>3234</v>
      </c>
      <c r="V996" t="s">
        <v>9408</v>
      </c>
      <c r="W996" t="s">
        <v>423</v>
      </c>
    </row>
    <row r="997" spans="1:23" hidden="1" x14ac:dyDescent="0.2">
      <c r="A997">
        <v>2012</v>
      </c>
      <c r="B997" t="s">
        <v>303</v>
      </c>
      <c r="C997" s="733">
        <v>40926</v>
      </c>
      <c r="D9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997" t="s">
        <v>485</v>
      </c>
      <c r="F997" t="s">
        <v>2065</v>
      </c>
      <c r="G997" t="s">
        <v>4113</v>
      </c>
      <c r="H997">
        <v>39750</v>
      </c>
      <c r="I997" t="s">
        <v>423</v>
      </c>
      <c r="J997" t="s">
        <v>2114</v>
      </c>
      <c r="K997" t="s">
        <v>2102</v>
      </c>
      <c r="L997" t="s">
        <v>2115</v>
      </c>
      <c r="M997">
        <v>500</v>
      </c>
      <c r="N997">
        <v>51.35</v>
      </c>
      <c r="O997">
        <v>17266.439999999999</v>
      </c>
      <c r="P997">
        <v>0</v>
      </c>
      <c r="Q997">
        <v>17266.439999999999</v>
      </c>
      <c r="R997">
        <v>2762.63</v>
      </c>
      <c r="S997">
        <v>690.66</v>
      </c>
      <c r="T997">
        <v>19338.41</v>
      </c>
      <c r="U997" t="s">
        <v>2106</v>
      </c>
      <c r="V997" t="s">
        <v>9409</v>
      </c>
      <c r="W997" t="s">
        <v>423</v>
      </c>
    </row>
    <row r="998" spans="1:23" hidden="1" x14ac:dyDescent="0.2">
      <c r="A998">
        <v>2012</v>
      </c>
      <c r="B998" t="s">
        <v>303</v>
      </c>
      <c r="C998" s="733">
        <v>40910</v>
      </c>
      <c r="D9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998" t="s">
        <v>505</v>
      </c>
      <c r="F998" t="s">
        <v>1915</v>
      </c>
      <c r="G998" t="s">
        <v>6535</v>
      </c>
      <c r="H998">
        <v>21650</v>
      </c>
      <c r="I998" t="s">
        <v>423</v>
      </c>
      <c r="J998" t="s">
        <v>5606</v>
      </c>
      <c r="K998" t="s">
        <v>1918</v>
      </c>
      <c r="L998" t="s">
        <v>1919</v>
      </c>
      <c r="M998">
        <v>383</v>
      </c>
      <c r="N998">
        <v>26.83</v>
      </c>
      <c r="O998">
        <v>3312.37</v>
      </c>
      <c r="P998">
        <v>3729.3642589999999</v>
      </c>
      <c r="Q998">
        <v>7041.7342589999998</v>
      </c>
      <c r="R998">
        <v>1126.6774809999999</v>
      </c>
      <c r="S998">
        <v>281.66937000000001</v>
      </c>
      <c r="T998">
        <v>7886.7423699999999</v>
      </c>
      <c r="U998" t="s">
        <v>1984</v>
      </c>
      <c r="V998" t="s">
        <v>9408</v>
      </c>
      <c r="W998" t="s">
        <v>423</v>
      </c>
    </row>
    <row r="999" spans="1:23" hidden="1" x14ac:dyDescent="0.2">
      <c r="A999">
        <v>2012</v>
      </c>
      <c r="B999" t="s">
        <v>304</v>
      </c>
      <c r="C999" s="733">
        <v>40953</v>
      </c>
      <c r="D9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999" t="s">
        <v>505</v>
      </c>
      <c r="F999" t="s">
        <v>1915</v>
      </c>
      <c r="G999" t="s">
        <v>6533</v>
      </c>
      <c r="H999">
        <v>22662</v>
      </c>
      <c r="I999" t="s">
        <v>423</v>
      </c>
      <c r="J999" t="s">
        <v>4155</v>
      </c>
      <c r="K999" t="s">
        <v>1918</v>
      </c>
      <c r="L999" t="s">
        <v>1919</v>
      </c>
      <c r="M999">
        <v>650</v>
      </c>
      <c r="N999">
        <v>51.83</v>
      </c>
      <c r="O999">
        <v>22289.49</v>
      </c>
      <c r="P999">
        <v>0</v>
      </c>
      <c r="Q999">
        <v>22289.49</v>
      </c>
      <c r="R999">
        <v>3566.32</v>
      </c>
      <c r="S999">
        <v>891.58</v>
      </c>
      <c r="T999">
        <v>24964.23</v>
      </c>
      <c r="U999" t="s">
        <v>7529</v>
      </c>
      <c r="V999" t="s">
        <v>9409</v>
      </c>
      <c r="W999" t="s">
        <v>423</v>
      </c>
    </row>
    <row r="1000" spans="1:23" hidden="1" x14ac:dyDescent="0.2">
      <c r="A1000">
        <v>2012</v>
      </c>
      <c r="B1000" t="s">
        <v>303</v>
      </c>
      <c r="C1000" s="733">
        <v>40921</v>
      </c>
      <c r="D10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00" t="s">
        <v>505</v>
      </c>
      <c r="F1000" t="s">
        <v>1915</v>
      </c>
      <c r="G1000" t="s">
        <v>2513</v>
      </c>
      <c r="H1000">
        <v>21896</v>
      </c>
      <c r="I1000" t="s">
        <v>424</v>
      </c>
      <c r="J1000" t="s">
        <v>1917</v>
      </c>
      <c r="K1000" t="s">
        <v>1918</v>
      </c>
      <c r="L1000" t="s">
        <v>1919</v>
      </c>
      <c r="M1000">
        <v>267</v>
      </c>
      <c r="N1000">
        <v>30</v>
      </c>
      <c r="O1000">
        <v>2929.97</v>
      </c>
      <c r="P1000">
        <v>1683.8244589999999</v>
      </c>
      <c r="Q1000">
        <v>4613.7944589999997</v>
      </c>
      <c r="R1000">
        <v>738.20711300000005</v>
      </c>
      <c r="S1000">
        <v>184.55177800000001</v>
      </c>
      <c r="T1000">
        <v>5167.4497940000001</v>
      </c>
      <c r="U1000" t="s">
        <v>1931</v>
      </c>
      <c r="V1000" t="s">
        <v>9408</v>
      </c>
      <c r="W1000" t="s">
        <v>424</v>
      </c>
    </row>
    <row r="1001" spans="1:23" hidden="1" x14ac:dyDescent="0.2">
      <c r="A1001">
        <v>2012</v>
      </c>
      <c r="B1001" t="s">
        <v>304</v>
      </c>
      <c r="C1001" s="733">
        <v>40953</v>
      </c>
      <c r="D10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01" t="s">
        <v>505</v>
      </c>
      <c r="F1001" t="s">
        <v>1915</v>
      </c>
      <c r="G1001" t="s">
        <v>2512</v>
      </c>
      <c r="H1001">
        <v>22722</v>
      </c>
      <c r="I1001" t="s">
        <v>424</v>
      </c>
      <c r="J1001" t="s">
        <v>1917</v>
      </c>
      <c r="K1001" t="s">
        <v>1918</v>
      </c>
      <c r="L1001" t="s">
        <v>1919</v>
      </c>
      <c r="M1001">
        <v>267</v>
      </c>
      <c r="N1001">
        <v>30</v>
      </c>
      <c r="O1001">
        <v>2929.97</v>
      </c>
      <c r="P1001">
        <v>1683.8244589999999</v>
      </c>
      <c r="Q1001">
        <v>4613.7944589999997</v>
      </c>
      <c r="R1001">
        <v>738.20711300000005</v>
      </c>
      <c r="S1001">
        <v>184.55177800000001</v>
      </c>
      <c r="T1001">
        <v>5167.4497940000001</v>
      </c>
      <c r="U1001" t="s">
        <v>7522</v>
      </c>
      <c r="V1001" t="s">
        <v>9408</v>
      </c>
      <c r="W1001" t="s">
        <v>424</v>
      </c>
    </row>
    <row r="1002" spans="1:23" hidden="1" x14ac:dyDescent="0.2">
      <c r="A1002">
        <v>2012</v>
      </c>
      <c r="B1002" t="s">
        <v>304</v>
      </c>
      <c r="C1002" s="733">
        <v>40955</v>
      </c>
      <c r="D10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02" t="s">
        <v>505</v>
      </c>
      <c r="F1002" t="s">
        <v>2065</v>
      </c>
      <c r="G1002" t="s">
        <v>7788</v>
      </c>
      <c r="H1002">
        <v>22771</v>
      </c>
      <c r="I1002" t="s">
        <v>424</v>
      </c>
      <c r="J1002" t="s">
        <v>1917</v>
      </c>
      <c r="K1002" t="s">
        <v>1918</v>
      </c>
      <c r="L1002" t="s">
        <v>1919</v>
      </c>
      <c r="M1002">
        <v>267</v>
      </c>
      <c r="N1002">
        <v>30</v>
      </c>
      <c r="O1002">
        <v>2929.97</v>
      </c>
      <c r="P1002">
        <v>1683.8244589999999</v>
      </c>
      <c r="Q1002">
        <v>4613.7944589999997</v>
      </c>
      <c r="R1002">
        <v>738.20711300000005</v>
      </c>
      <c r="S1002">
        <v>184.55177800000001</v>
      </c>
      <c r="T1002">
        <v>5167.4497940000001</v>
      </c>
      <c r="U1002" t="s">
        <v>7522</v>
      </c>
      <c r="V1002" t="s">
        <v>9408</v>
      </c>
      <c r="W1002" t="s">
        <v>424</v>
      </c>
    </row>
    <row r="1003" spans="1:23" hidden="1" x14ac:dyDescent="0.2">
      <c r="A1003">
        <v>2012</v>
      </c>
      <c r="B1003" t="s">
        <v>304</v>
      </c>
      <c r="C1003" s="733">
        <v>40953</v>
      </c>
      <c r="D10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03" t="s">
        <v>505</v>
      </c>
      <c r="F1003" t="s">
        <v>2065</v>
      </c>
      <c r="G1003" t="s">
        <v>6585</v>
      </c>
      <c r="H1003">
        <v>22725</v>
      </c>
      <c r="I1003" t="s">
        <v>424</v>
      </c>
      <c r="J1003" t="s">
        <v>1917</v>
      </c>
      <c r="K1003" t="s">
        <v>1918</v>
      </c>
      <c r="L1003" t="s">
        <v>1919</v>
      </c>
      <c r="M1003">
        <v>267</v>
      </c>
      <c r="N1003">
        <v>30</v>
      </c>
      <c r="O1003">
        <v>2929.97</v>
      </c>
      <c r="P1003">
        <v>1683.8244589999999</v>
      </c>
      <c r="Q1003">
        <v>4613.7944589999997</v>
      </c>
      <c r="R1003">
        <v>738.20711300000005</v>
      </c>
      <c r="S1003">
        <v>184.55177800000001</v>
      </c>
      <c r="T1003">
        <v>5167.4497940000001</v>
      </c>
      <c r="U1003" t="s">
        <v>7522</v>
      </c>
      <c r="V1003" t="s">
        <v>9408</v>
      </c>
      <c r="W1003" t="s">
        <v>424</v>
      </c>
    </row>
    <row r="1004" spans="1:23" hidden="1" x14ac:dyDescent="0.2">
      <c r="A1004">
        <v>2012</v>
      </c>
      <c r="B1004" t="s">
        <v>303</v>
      </c>
      <c r="C1004" s="733">
        <v>40922</v>
      </c>
      <c r="D10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04" t="s">
        <v>505</v>
      </c>
      <c r="F1004" t="s">
        <v>1915</v>
      </c>
      <c r="G1004" t="s">
        <v>2531</v>
      </c>
      <c r="H1004">
        <v>21953</v>
      </c>
      <c r="I1004" t="s">
        <v>424</v>
      </c>
      <c r="J1004" t="s">
        <v>1917</v>
      </c>
      <c r="K1004" t="s">
        <v>1918</v>
      </c>
      <c r="L1004" t="s">
        <v>1919</v>
      </c>
      <c r="M1004">
        <v>267</v>
      </c>
      <c r="N1004">
        <v>30</v>
      </c>
      <c r="O1004">
        <v>2929.97</v>
      </c>
      <c r="P1004">
        <v>1683.8244589999999</v>
      </c>
      <c r="Q1004">
        <v>4613.7944589999997</v>
      </c>
      <c r="R1004">
        <v>738.20711300000005</v>
      </c>
      <c r="S1004">
        <v>184.55177800000001</v>
      </c>
      <c r="T1004">
        <v>5167.4497940000001</v>
      </c>
      <c r="U1004" t="s">
        <v>1931</v>
      </c>
      <c r="V1004" t="s">
        <v>9408</v>
      </c>
      <c r="W1004" t="s">
        <v>424</v>
      </c>
    </row>
    <row r="1005" spans="1:23" hidden="1" x14ac:dyDescent="0.2">
      <c r="A1005">
        <v>2012</v>
      </c>
      <c r="B1005" t="s">
        <v>304</v>
      </c>
      <c r="C1005" s="733">
        <v>40941</v>
      </c>
      <c r="D10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05" t="s">
        <v>505</v>
      </c>
      <c r="F1005" t="s">
        <v>1915</v>
      </c>
      <c r="G1005" t="s">
        <v>2508</v>
      </c>
      <c r="H1005">
        <v>22417</v>
      </c>
      <c r="I1005" t="s">
        <v>424</v>
      </c>
      <c r="J1005" t="s">
        <v>1917</v>
      </c>
      <c r="K1005" t="s">
        <v>1918</v>
      </c>
      <c r="L1005" t="s">
        <v>1919</v>
      </c>
      <c r="M1005">
        <v>267</v>
      </c>
      <c r="N1005">
        <v>27</v>
      </c>
      <c r="O1005">
        <v>2636.97</v>
      </c>
      <c r="P1005">
        <v>1515.4402889999999</v>
      </c>
      <c r="Q1005">
        <v>4152.4102890000004</v>
      </c>
      <c r="R1005">
        <v>664.38564599999995</v>
      </c>
      <c r="S1005">
        <v>166.09641199999999</v>
      </c>
      <c r="T1005">
        <v>4650.6995230000002</v>
      </c>
      <c r="U1005" t="s">
        <v>1926</v>
      </c>
      <c r="V1005" t="s">
        <v>9408</v>
      </c>
      <c r="W1005" t="s">
        <v>424</v>
      </c>
    </row>
    <row r="1006" spans="1:23" hidden="1" x14ac:dyDescent="0.2">
      <c r="A1006">
        <v>2012</v>
      </c>
      <c r="B1006" t="s">
        <v>303</v>
      </c>
      <c r="C1006" s="733">
        <v>40915.902708333335</v>
      </c>
      <c r="D10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06" t="s">
        <v>505</v>
      </c>
      <c r="F1006" t="s">
        <v>1915</v>
      </c>
      <c r="G1006" t="s">
        <v>2515</v>
      </c>
      <c r="H1006">
        <v>21830</v>
      </c>
      <c r="I1006" t="s">
        <v>424</v>
      </c>
      <c r="J1006" t="s">
        <v>1917</v>
      </c>
      <c r="K1006" t="s">
        <v>1918</v>
      </c>
      <c r="L1006" t="s">
        <v>1919</v>
      </c>
      <c r="M1006">
        <v>267</v>
      </c>
      <c r="N1006">
        <v>30</v>
      </c>
      <c r="O1006">
        <v>2929.97</v>
      </c>
      <c r="P1006">
        <v>1683.8244589999999</v>
      </c>
      <c r="Q1006">
        <v>4613.7944589999997</v>
      </c>
      <c r="R1006">
        <v>738.20711300000005</v>
      </c>
      <c r="S1006">
        <v>184.55177800000001</v>
      </c>
      <c r="T1006">
        <v>5167.4497940000001</v>
      </c>
      <c r="U1006" t="s">
        <v>1920</v>
      </c>
      <c r="V1006" t="s">
        <v>9408</v>
      </c>
      <c r="W1006" t="s">
        <v>424</v>
      </c>
    </row>
    <row r="1007" spans="1:23" hidden="1" x14ac:dyDescent="0.2">
      <c r="A1007">
        <v>2012</v>
      </c>
      <c r="B1007" t="s">
        <v>304</v>
      </c>
      <c r="C1007" s="733">
        <v>40947</v>
      </c>
      <c r="D10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07" t="s">
        <v>505</v>
      </c>
      <c r="F1007" t="s">
        <v>2065</v>
      </c>
      <c r="G1007" t="s">
        <v>2529</v>
      </c>
      <c r="H1007">
        <v>22540</v>
      </c>
      <c r="I1007" t="s">
        <v>424</v>
      </c>
      <c r="J1007" t="s">
        <v>1917</v>
      </c>
      <c r="K1007" t="s">
        <v>1918</v>
      </c>
      <c r="L1007" t="s">
        <v>1919</v>
      </c>
      <c r="M1007">
        <v>267</v>
      </c>
      <c r="N1007">
        <v>30</v>
      </c>
      <c r="O1007">
        <v>2929.97</v>
      </c>
      <c r="P1007">
        <v>1683.8244589999999</v>
      </c>
      <c r="Q1007">
        <v>4613.7944589999997</v>
      </c>
      <c r="R1007">
        <v>738.20711300000005</v>
      </c>
      <c r="S1007">
        <v>184.55177800000001</v>
      </c>
      <c r="T1007">
        <v>5167.4497940000001</v>
      </c>
      <c r="U1007" t="s">
        <v>1924</v>
      </c>
      <c r="V1007" t="s">
        <v>9408</v>
      </c>
      <c r="W1007" t="s">
        <v>424</v>
      </c>
    </row>
    <row r="1008" spans="1:23" hidden="1" x14ac:dyDescent="0.2">
      <c r="A1008">
        <v>2012</v>
      </c>
      <c r="B1008" t="s">
        <v>303</v>
      </c>
      <c r="C1008" s="733">
        <v>40939</v>
      </c>
      <c r="D10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08" t="s">
        <v>505</v>
      </c>
      <c r="F1008" t="s">
        <v>2065</v>
      </c>
      <c r="G1008" t="s">
        <v>6523</v>
      </c>
      <c r="H1008">
        <v>22364</v>
      </c>
      <c r="I1008" t="s">
        <v>424</v>
      </c>
      <c r="J1008" t="s">
        <v>1917</v>
      </c>
      <c r="K1008" t="s">
        <v>1918</v>
      </c>
      <c r="L1008" t="s">
        <v>1919</v>
      </c>
      <c r="M1008">
        <v>267</v>
      </c>
      <c r="N1008">
        <v>30</v>
      </c>
      <c r="O1008">
        <v>2929.97</v>
      </c>
      <c r="P1008">
        <v>1683.8244589999999</v>
      </c>
      <c r="Q1008">
        <v>4613.7944589999997</v>
      </c>
      <c r="R1008">
        <v>738.20711300000005</v>
      </c>
      <c r="S1008">
        <v>184.55177800000001</v>
      </c>
      <c r="T1008">
        <v>5167.4497940000001</v>
      </c>
      <c r="U1008" t="s">
        <v>1936</v>
      </c>
      <c r="V1008" t="s">
        <v>9408</v>
      </c>
      <c r="W1008" t="s">
        <v>424</v>
      </c>
    </row>
    <row r="1009" spans="1:23" hidden="1" x14ac:dyDescent="0.2">
      <c r="A1009">
        <v>2012</v>
      </c>
      <c r="B1009" t="s">
        <v>303</v>
      </c>
      <c r="C1009" s="733">
        <v>40925</v>
      </c>
      <c r="D10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09" t="s">
        <v>505</v>
      </c>
      <c r="F1009" t="s">
        <v>1915</v>
      </c>
      <c r="G1009" t="s">
        <v>2510</v>
      </c>
      <c r="H1009">
        <v>22012</v>
      </c>
      <c r="I1009" t="s">
        <v>424</v>
      </c>
      <c r="J1009" t="s">
        <v>1917</v>
      </c>
      <c r="K1009" t="s">
        <v>1918</v>
      </c>
      <c r="L1009" t="s">
        <v>1919</v>
      </c>
      <c r="M1009">
        <v>267</v>
      </c>
      <c r="N1009">
        <v>30</v>
      </c>
      <c r="O1009">
        <v>2929.97</v>
      </c>
      <c r="P1009">
        <v>1683.8244589999999</v>
      </c>
      <c r="Q1009">
        <v>4613.7944589999997</v>
      </c>
      <c r="R1009">
        <v>738.20711300000005</v>
      </c>
      <c r="S1009">
        <v>184.55177800000001</v>
      </c>
      <c r="T1009">
        <v>5167.4497940000001</v>
      </c>
      <c r="U1009" t="s">
        <v>1931</v>
      </c>
      <c r="V1009" t="s">
        <v>9408</v>
      </c>
      <c r="W1009" t="s">
        <v>424</v>
      </c>
    </row>
    <row r="1010" spans="1:23" hidden="1" x14ac:dyDescent="0.2">
      <c r="A1010">
        <v>2012</v>
      </c>
      <c r="B1010" t="s">
        <v>305</v>
      </c>
      <c r="C1010" s="733">
        <v>40969</v>
      </c>
      <c r="D1010" s="733" t="str">
        <f>CHOOSE(MONTH(Tabla_sqldatos_bonampakdb_Bon_v_ingresos2012[[#This Row],[fecha_guia]]),"Enero","Febrero","Marzo","Abril","Mayo","Junio","Julio","Agosto","Septiembre","Octubre","Noviembre","Diciembre")</f>
        <v>Marzo</v>
      </c>
      <c r="E1010" t="s">
        <v>505</v>
      </c>
      <c r="F1010" t="s">
        <v>1915</v>
      </c>
      <c r="G1010" t="s">
        <v>9437</v>
      </c>
      <c r="H1010">
        <v>23122</v>
      </c>
      <c r="I1010" t="s">
        <v>424</v>
      </c>
      <c r="J1010" t="s">
        <v>1954</v>
      </c>
      <c r="K1010" t="s">
        <v>1918</v>
      </c>
      <c r="L1010" t="s">
        <v>1919</v>
      </c>
      <c r="M1010">
        <v>303</v>
      </c>
      <c r="N1010">
        <v>30</v>
      </c>
      <c r="O1010">
        <v>5862.3</v>
      </c>
      <c r="P1010">
        <v>0</v>
      </c>
      <c r="Q1010">
        <v>5862.3</v>
      </c>
      <c r="R1010">
        <v>937.97</v>
      </c>
      <c r="S1010">
        <v>234.49</v>
      </c>
      <c r="T1010">
        <v>6565.78</v>
      </c>
      <c r="V1010" t="s">
        <v>9408</v>
      </c>
      <c r="W1010" t="s">
        <v>424</v>
      </c>
    </row>
    <row r="1011" spans="1:23" hidden="1" x14ac:dyDescent="0.2">
      <c r="A1011">
        <v>2012</v>
      </c>
      <c r="B1011" t="s">
        <v>304</v>
      </c>
      <c r="C1011" s="733">
        <v>40942</v>
      </c>
      <c r="D10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11" t="s">
        <v>505</v>
      </c>
      <c r="F1011" t="s">
        <v>1915</v>
      </c>
      <c r="G1011" t="s">
        <v>6588</v>
      </c>
      <c r="H1011">
        <v>22493</v>
      </c>
      <c r="I1011" t="s">
        <v>424</v>
      </c>
      <c r="J1011" t="s">
        <v>1917</v>
      </c>
      <c r="K1011" t="s">
        <v>1918</v>
      </c>
      <c r="L1011" t="s">
        <v>1919</v>
      </c>
      <c r="M1011">
        <v>267</v>
      </c>
      <c r="N1011">
        <v>27</v>
      </c>
      <c r="O1011">
        <v>2636.97</v>
      </c>
      <c r="P1011">
        <v>1515.4402889999999</v>
      </c>
      <c r="Q1011">
        <v>4152.4102890000004</v>
      </c>
      <c r="R1011">
        <v>664.38564599999995</v>
      </c>
      <c r="S1011">
        <v>166.09641199999999</v>
      </c>
      <c r="T1011">
        <v>4650.6995230000002</v>
      </c>
      <c r="U1011" t="s">
        <v>1924</v>
      </c>
      <c r="V1011" t="s">
        <v>9408</v>
      </c>
      <c r="W1011" t="s">
        <v>424</v>
      </c>
    </row>
    <row r="1012" spans="1:23" hidden="1" x14ac:dyDescent="0.2">
      <c r="A1012">
        <v>2012</v>
      </c>
      <c r="B1012" t="s">
        <v>304</v>
      </c>
      <c r="C1012" s="733">
        <v>40947</v>
      </c>
      <c r="D10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12" t="s">
        <v>505</v>
      </c>
      <c r="F1012" t="s">
        <v>1915</v>
      </c>
      <c r="G1012" t="s">
        <v>6587</v>
      </c>
      <c r="H1012">
        <v>22543</v>
      </c>
      <c r="I1012" t="s">
        <v>424</v>
      </c>
      <c r="J1012" t="s">
        <v>1917</v>
      </c>
      <c r="K1012" t="s">
        <v>1918</v>
      </c>
      <c r="L1012" t="s">
        <v>1919</v>
      </c>
      <c r="M1012">
        <v>267</v>
      </c>
      <c r="N1012">
        <v>27</v>
      </c>
      <c r="O1012">
        <v>2636.97</v>
      </c>
      <c r="P1012">
        <v>1515.4402889999999</v>
      </c>
      <c r="Q1012">
        <v>4152.4102890000004</v>
      </c>
      <c r="R1012">
        <v>664.38564599999995</v>
      </c>
      <c r="S1012">
        <v>166.09641199999999</v>
      </c>
      <c r="T1012">
        <v>4650.6995230000002</v>
      </c>
      <c r="U1012" t="s">
        <v>1924</v>
      </c>
      <c r="V1012" t="s">
        <v>9408</v>
      </c>
      <c r="W1012" t="s">
        <v>424</v>
      </c>
    </row>
    <row r="1013" spans="1:23" hidden="1" x14ac:dyDescent="0.2">
      <c r="A1013">
        <v>2012</v>
      </c>
      <c r="B1013" t="s">
        <v>303</v>
      </c>
      <c r="C1013" s="733">
        <v>40939</v>
      </c>
      <c r="D10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13" t="s">
        <v>505</v>
      </c>
      <c r="F1013" t="s">
        <v>1915</v>
      </c>
      <c r="G1013" t="s">
        <v>6584</v>
      </c>
      <c r="H1013">
        <v>22361</v>
      </c>
      <c r="I1013" t="s">
        <v>424</v>
      </c>
      <c r="J1013" t="s">
        <v>1917</v>
      </c>
      <c r="K1013" t="s">
        <v>1918</v>
      </c>
      <c r="L1013" t="s">
        <v>1919</v>
      </c>
      <c r="M1013">
        <v>267</v>
      </c>
      <c r="N1013">
        <v>30</v>
      </c>
      <c r="O1013">
        <v>2929.97</v>
      </c>
      <c r="P1013">
        <v>1683.8244589999999</v>
      </c>
      <c r="Q1013">
        <v>4613.7944589999997</v>
      </c>
      <c r="R1013">
        <v>738.20711300000005</v>
      </c>
      <c r="S1013">
        <v>184.55177800000001</v>
      </c>
      <c r="T1013">
        <v>5167.4497940000001</v>
      </c>
      <c r="U1013" t="s">
        <v>1936</v>
      </c>
      <c r="V1013" t="s">
        <v>9408</v>
      </c>
      <c r="W1013" t="s">
        <v>424</v>
      </c>
    </row>
    <row r="1014" spans="1:23" hidden="1" x14ac:dyDescent="0.2">
      <c r="A1014">
        <v>2012</v>
      </c>
      <c r="B1014" t="s">
        <v>303</v>
      </c>
      <c r="C1014" s="733">
        <v>40934</v>
      </c>
      <c r="D10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14" t="s">
        <v>505</v>
      </c>
      <c r="F1014" t="s">
        <v>1915</v>
      </c>
      <c r="G1014" t="s">
        <v>2525</v>
      </c>
      <c r="H1014">
        <v>22254</v>
      </c>
      <c r="I1014" t="s">
        <v>424</v>
      </c>
      <c r="J1014" t="s">
        <v>1917</v>
      </c>
      <c r="K1014" t="s">
        <v>1918</v>
      </c>
      <c r="L1014" t="s">
        <v>1919</v>
      </c>
      <c r="M1014">
        <v>267</v>
      </c>
      <c r="N1014">
        <v>30</v>
      </c>
      <c r="O1014">
        <v>2929.97</v>
      </c>
      <c r="P1014">
        <v>1683.8244589999999</v>
      </c>
      <c r="Q1014">
        <v>4613.7944589999997</v>
      </c>
      <c r="R1014">
        <v>738.20711300000005</v>
      </c>
      <c r="S1014">
        <v>184.55177800000001</v>
      </c>
      <c r="T1014">
        <v>5167.4497940000001</v>
      </c>
      <c r="U1014" t="s">
        <v>1928</v>
      </c>
      <c r="V1014" t="s">
        <v>9408</v>
      </c>
      <c r="W1014" t="s">
        <v>424</v>
      </c>
    </row>
    <row r="1015" spans="1:23" hidden="1" x14ac:dyDescent="0.2">
      <c r="A1015">
        <v>2012</v>
      </c>
      <c r="B1015" t="s">
        <v>303</v>
      </c>
      <c r="C1015" s="733">
        <v>40934</v>
      </c>
      <c r="D10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15" t="s">
        <v>505</v>
      </c>
      <c r="F1015" t="s">
        <v>1915</v>
      </c>
      <c r="G1015" t="s">
        <v>2532</v>
      </c>
      <c r="H1015">
        <v>22260</v>
      </c>
      <c r="I1015" t="s">
        <v>424</v>
      </c>
      <c r="J1015" t="s">
        <v>1917</v>
      </c>
      <c r="K1015" t="s">
        <v>1918</v>
      </c>
      <c r="L1015" t="s">
        <v>1919</v>
      </c>
      <c r="M1015">
        <v>267</v>
      </c>
      <c r="N1015">
        <v>30</v>
      </c>
      <c r="O1015">
        <v>2929.97</v>
      </c>
      <c r="P1015">
        <v>1683.8244589999999</v>
      </c>
      <c r="Q1015">
        <v>4613.7944589999997</v>
      </c>
      <c r="R1015">
        <v>738.20711300000005</v>
      </c>
      <c r="S1015">
        <v>184.55177800000001</v>
      </c>
      <c r="T1015">
        <v>5167.4497940000001</v>
      </c>
      <c r="U1015" t="s">
        <v>1928</v>
      </c>
      <c r="V1015" t="s">
        <v>9408</v>
      </c>
      <c r="W1015" t="s">
        <v>424</v>
      </c>
    </row>
    <row r="1016" spans="1:23" hidden="1" x14ac:dyDescent="0.2">
      <c r="A1016">
        <v>2012</v>
      </c>
      <c r="B1016" t="s">
        <v>304</v>
      </c>
      <c r="C1016" s="733">
        <v>40967</v>
      </c>
      <c r="D10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16" t="s">
        <v>505</v>
      </c>
      <c r="F1016" t="s">
        <v>1915</v>
      </c>
      <c r="G1016" t="s">
        <v>8890</v>
      </c>
      <c r="H1016">
        <v>23069</v>
      </c>
      <c r="I1016" t="s">
        <v>424</v>
      </c>
      <c r="J1016" t="s">
        <v>1917</v>
      </c>
      <c r="K1016" t="s">
        <v>1918</v>
      </c>
      <c r="L1016" t="s">
        <v>1919</v>
      </c>
      <c r="M1016">
        <v>267</v>
      </c>
      <c r="N1016">
        <v>30</v>
      </c>
      <c r="O1016">
        <v>4613.7</v>
      </c>
      <c r="P1016">
        <v>0</v>
      </c>
      <c r="Q1016">
        <v>4613.7</v>
      </c>
      <c r="R1016">
        <v>738.19</v>
      </c>
      <c r="S1016">
        <v>184.55</v>
      </c>
      <c r="T1016">
        <v>5167.34</v>
      </c>
      <c r="U1016" t="s">
        <v>9415</v>
      </c>
      <c r="V1016" t="s">
        <v>9408</v>
      </c>
      <c r="W1016" t="s">
        <v>424</v>
      </c>
    </row>
    <row r="1017" spans="1:23" hidden="1" x14ac:dyDescent="0.2">
      <c r="A1017">
        <v>2012</v>
      </c>
      <c r="B1017" t="s">
        <v>303</v>
      </c>
      <c r="C1017" s="733">
        <v>40915</v>
      </c>
      <c r="D10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17" t="s">
        <v>505</v>
      </c>
      <c r="F1017" t="s">
        <v>1915</v>
      </c>
      <c r="G1017" t="s">
        <v>2509</v>
      </c>
      <c r="H1017">
        <v>21776</v>
      </c>
      <c r="I1017" t="s">
        <v>424</v>
      </c>
      <c r="J1017" t="s">
        <v>1917</v>
      </c>
      <c r="K1017" t="s">
        <v>1918</v>
      </c>
      <c r="L1017" t="s">
        <v>1919</v>
      </c>
      <c r="M1017">
        <v>267</v>
      </c>
      <c r="N1017">
        <v>30</v>
      </c>
      <c r="O1017">
        <v>2929.97</v>
      </c>
      <c r="P1017">
        <v>1683.8244589999999</v>
      </c>
      <c r="Q1017">
        <v>4613.7944589999997</v>
      </c>
      <c r="R1017">
        <v>738.20711300000005</v>
      </c>
      <c r="S1017">
        <v>184.55177800000001</v>
      </c>
      <c r="T1017">
        <v>5167.4497940000001</v>
      </c>
      <c r="U1017" t="s">
        <v>1920</v>
      </c>
      <c r="V1017" t="s">
        <v>9408</v>
      </c>
      <c r="W1017" t="s">
        <v>424</v>
      </c>
    </row>
    <row r="1018" spans="1:23" hidden="1" x14ac:dyDescent="0.2">
      <c r="A1018">
        <v>2012</v>
      </c>
      <c r="B1018" t="s">
        <v>304</v>
      </c>
      <c r="C1018" s="733">
        <v>40949</v>
      </c>
      <c r="D10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18" t="s">
        <v>505</v>
      </c>
      <c r="F1018" t="s">
        <v>1915</v>
      </c>
      <c r="G1018" t="s">
        <v>6586</v>
      </c>
      <c r="H1018">
        <v>22597</v>
      </c>
      <c r="I1018" t="s">
        <v>423</v>
      </c>
      <c r="J1018" t="s">
        <v>1917</v>
      </c>
      <c r="K1018" t="s">
        <v>1918</v>
      </c>
      <c r="L1018" t="s">
        <v>1919</v>
      </c>
      <c r="M1018">
        <v>267</v>
      </c>
      <c r="N1018">
        <v>24.9</v>
      </c>
      <c r="O1018">
        <v>5598.52</v>
      </c>
      <c r="P1018">
        <v>0</v>
      </c>
      <c r="Q1018">
        <v>5598.52</v>
      </c>
      <c r="R1018">
        <v>895.76</v>
      </c>
      <c r="S1018">
        <v>223.94</v>
      </c>
      <c r="T1018">
        <v>6270.34</v>
      </c>
      <c r="U1018" t="s">
        <v>7522</v>
      </c>
      <c r="V1018" t="s">
        <v>9408</v>
      </c>
      <c r="W1018" t="s">
        <v>423</v>
      </c>
    </row>
    <row r="1019" spans="1:23" hidden="1" x14ac:dyDescent="0.2">
      <c r="A1019">
        <v>2012</v>
      </c>
      <c r="B1019" t="s">
        <v>303</v>
      </c>
      <c r="C1019" s="733">
        <v>40939</v>
      </c>
      <c r="D10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19" t="s">
        <v>485</v>
      </c>
      <c r="F1019" t="s">
        <v>2065</v>
      </c>
      <c r="G1019" t="s">
        <v>6993</v>
      </c>
      <c r="H1019">
        <v>41078</v>
      </c>
      <c r="I1019" t="s">
        <v>423</v>
      </c>
      <c r="J1019" t="s">
        <v>4626</v>
      </c>
      <c r="K1019" t="s">
        <v>2102</v>
      </c>
      <c r="L1019" t="s">
        <v>2115</v>
      </c>
      <c r="M1019">
        <v>1457</v>
      </c>
      <c r="N1019">
        <v>26.12</v>
      </c>
      <c r="O1019">
        <v>19326.71</v>
      </c>
      <c r="P1019">
        <v>0</v>
      </c>
      <c r="Q1019">
        <v>19326.71</v>
      </c>
      <c r="R1019">
        <v>3092.27</v>
      </c>
      <c r="S1019">
        <v>773.07</v>
      </c>
      <c r="T1019">
        <v>21645.91</v>
      </c>
      <c r="U1019" t="s">
        <v>2110</v>
      </c>
      <c r="V1019" t="s">
        <v>9408</v>
      </c>
      <c r="W1019" t="s">
        <v>423</v>
      </c>
    </row>
    <row r="1020" spans="1:23" hidden="1" x14ac:dyDescent="0.2">
      <c r="A1020">
        <v>2012</v>
      </c>
      <c r="B1020" t="s">
        <v>303</v>
      </c>
      <c r="C1020" s="733">
        <v>40922</v>
      </c>
      <c r="D10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20" t="s">
        <v>505</v>
      </c>
      <c r="F1020" t="s">
        <v>1915</v>
      </c>
      <c r="G1020" t="s">
        <v>2511</v>
      </c>
      <c r="H1020">
        <v>21948</v>
      </c>
      <c r="I1020" t="s">
        <v>423</v>
      </c>
      <c r="J1020" t="s">
        <v>1917</v>
      </c>
      <c r="K1020" t="s">
        <v>1918</v>
      </c>
      <c r="L1020" t="s">
        <v>1919</v>
      </c>
      <c r="M1020">
        <v>267</v>
      </c>
      <c r="N1020">
        <v>25.29</v>
      </c>
      <c r="O1020">
        <v>5686.2</v>
      </c>
      <c r="P1020">
        <v>0</v>
      </c>
      <c r="Q1020">
        <v>5686.2</v>
      </c>
      <c r="R1020">
        <v>909.79</v>
      </c>
      <c r="S1020">
        <v>227.45</v>
      </c>
      <c r="T1020">
        <v>6368.54</v>
      </c>
      <c r="U1020" t="s">
        <v>1931</v>
      </c>
      <c r="V1020" t="s">
        <v>9408</v>
      </c>
      <c r="W1020" t="s">
        <v>423</v>
      </c>
    </row>
    <row r="1021" spans="1:23" hidden="1" x14ac:dyDescent="0.2">
      <c r="A1021">
        <v>2012</v>
      </c>
      <c r="B1021" t="s">
        <v>304</v>
      </c>
      <c r="C1021" s="733">
        <v>40953</v>
      </c>
      <c r="D10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21" t="s">
        <v>505</v>
      </c>
      <c r="F1021" t="s">
        <v>1915</v>
      </c>
      <c r="G1021" t="s">
        <v>6527</v>
      </c>
      <c r="H1021">
        <v>22719</v>
      </c>
      <c r="I1021" t="s">
        <v>423</v>
      </c>
      <c r="J1021" t="s">
        <v>1917</v>
      </c>
      <c r="K1021" t="s">
        <v>1918</v>
      </c>
      <c r="L1021" t="s">
        <v>1919</v>
      </c>
      <c r="M1021">
        <v>267</v>
      </c>
      <c r="N1021">
        <v>23.65</v>
      </c>
      <c r="O1021">
        <v>5317.47</v>
      </c>
      <c r="P1021">
        <v>0</v>
      </c>
      <c r="Q1021">
        <v>5317.47</v>
      </c>
      <c r="R1021">
        <v>850.79</v>
      </c>
      <c r="S1021">
        <v>212.7</v>
      </c>
      <c r="T1021">
        <v>5955.56</v>
      </c>
      <c r="U1021" t="s">
        <v>7529</v>
      </c>
      <c r="V1021" t="s">
        <v>9408</v>
      </c>
      <c r="W1021" t="s">
        <v>423</v>
      </c>
    </row>
    <row r="1022" spans="1:23" hidden="1" x14ac:dyDescent="0.2">
      <c r="A1022">
        <v>2012</v>
      </c>
      <c r="B1022" t="s">
        <v>304</v>
      </c>
      <c r="C1022" s="733">
        <v>40942.616863425923</v>
      </c>
      <c r="D10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22" t="s">
        <v>505</v>
      </c>
      <c r="F1022" t="s">
        <v>2065</v>
      </c>
      <c r="G1022" t="s">
        <v>2514</v>
      </c>
      <c r="H1022">
        <v>22483</v>
      </c>
      <c r="I1022" t="s">
        <v>424</v>
      </c>
      <c r="J1022" t="s">
        <v>1917</v>
      </c>
      <c r="K1022" t="s">
        <v>1918</v>
      </c>
      <c r="L1022" t="s">
        <v>1919</v>
      </c>
      <c r="M1022">
        <v>267</v>
      </c>
      <c r="N1022">
        <v>30</v>
      </c>
      <c r="O1022">
        <v>2929.97</v>
      </c>
      <c r="P1022">
        <v>1683.8244589999999</v>
      </c>
      <c r="Q1022">
        <v>4613.7944589999997</v>
      </c>
      <c r="R1022">
        <v>738.20711300000005</v>
      </c>
      <c r="S1022">
        <v>184.55177800000001</v>
      </c>
      <c r="T1022">
        <v>5167.4497940000001</v>
      </c>
      <c r="U1022" t="s">
        <v>1924</v>
      </c>
      <c r="V1022" t="s">
        <v>9408</v>
      </c>
      <c r="W1022" t="s">
        <v>424</v>
      </c>
    </row>
    <row r="1023" spans="1:23" hidden="1" x14ac:dyDescent="0.2">
      <c r="A1023">
        <v>2012</v>
      </c>
      <c r="B1023" t="s">
        <v>303</v>
      </c>
      <c r="C1023" s="733">
        <v>40924</v>
      </c>
      <c r="D10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23" t="s">
        <v>485</v>
      </c>
      <c r="F1023" t="s">
        <v>2065</v>
      </c>
      <c r="G1023" t="s">
        <v>6244</v>
      </c>
      <c r="H1023">
        <v>40410</v>
      </c>
      <c r="I1023" t="s">
        <v>423</v>
      </c>
      <c r="J1023" t="s">
        <v>4073</v>
      </c>
      <c r="K1023" t="s">
        <v>2051</v>
      </c>
      <c r="L1023" t="s">
        <v>2052</v>
      </c>
      <c r="M1023">
        <v>610</v>
      </c>
      <c r="N1023">
        <v>51.95</v>
      </c>
      <c r="O1023">
        <v>18415.759999999998</v>
      </c>
      <c r="P1023">
        <v>0</v>
      </c>
      <c r="Q1023">
        <v>18415.759999999998</v>
      </c>
      <c r="R1023">
        <v>2946.52</v>
      </c>
      <c r="S1023">
        <v>736.63</v>
      </c>
      <c r="T1023">
        <v>20625.650000000001</v>
      </c>
      <c r="U1023" t="s">
        <v>2062</v>
      </c>
      <c r="V1023" t="s">
        <v>9409</v>
      </c>
      <c r="W1023" t="s">
        <v>423</v>
      </c>
    </row>
    <row r="1024" spans="1:23" hidden="1" x14ac:dyDescent="0.2">
      <c r="A1024">
        <v>2012</v>
      </c>
      <c r="B1024" t="s">
        <v>303</v>
      </c>
      <c r="C1024" s="733">
        <v>40928</v>
      </c>
      <c r="D10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24" t="s">
        <v>505</v>
      </c>
      <c r="F1024" t="s">
        <v>1915</v>
      </c>
      <c r="G1024" t="s">
        <v>6913</v>
      </c>
      <c r="H1024">
        <v>22111</v>
      </c>
      <c r="I1024" t="s">
        <v>423</v>
      </c>
      <c r="J1024" t="s">
        <v>4155</v>
      </c>
      <c r="K1024" t="s">
        <v>1918</v>
      </c>
      <c r="L1024" t="s">
        <v>1919</v>
      </c>
      <c r="M1024">
        <v>650</v>
      </c>
      <c r="N1024">
        <v>51.63</v>
      </c>
      <c r="O1024">
        <v>22203.48</v>
      </c>
      <c r="P1024">
        <v>0</v>
      </c>
      <c r="Q1024">
        <v>22203.48</v>
      </c>
      <c r="R1024">
        <v>3552.56</v>
      </c>
      <c r="S1024">
        <v>888.14</v>
      </c>
      <c r="T1024">
        <v>24867.9</v>
      </c>
      <c r="U1024" t="s">
        <v>8778</v>
      </c>
      <c r="V1024" t="s">
        <v>9409</v>
      </c>
      <c r="W1024" t="s">
        <v>423</v>
      </c>
    </row>
    <row r="1025" spans="1:23" hidden="1" x14ac:dyDescent="0.2">
      <c r="A1025">
        <v>2012</v>
      </c>
      <c r="B1025" t="s">
        <v>303</v>
      </c>
      <c r="C1025" s="733">
        <v>40910</v>
      </c>
      <c r="D10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25" t="s">
        <v>505</v>
      </c>
      <c r="F1025" t="s">
        <v>1915</v>
      </c>
      <c r="G1025" t="s">
        <v>6907</v>
      </c>
      <c r="H1025">
        <v>21634</v>
      </c>
      <c r="I1025" t="s">
        <v>423</v>
      </c>
      <c r="J1025" t="s">
        <v>3207</v>
      </c>
      <c r="K1025" t="s">
        <v>1918</v>
      </c>
      <c r="L1025" t="s">
        <v>1919</v>
      </c>
      <c r="M1025">
        <v>334</v>
      </c>
      <c r="N1025">
        <v>54</v>
      </c>
      <c r="O1025">
        <v>6277.93</v>
      </c>
      <c r="P1025">
        <v>7068.2586080000001</v>
      </c>
      <c r="Q1025">
        <v>13346.188608</v>
      </c>
      <c r="R1025">
        <v>2135.3901770000002</v>
      </c>
      <c r="S1025">
        <v>533.84754399999997</v>
      </c>
      <c r="T1025">
        <v>14947.731240999999</v>
      </c>
      <c r="U1025" t="s">
        <v>1984</v>
      </c>
      <c r="V1025" t="s">
        <v>9409</v>
      </c>
      <c r="W1025" t="s">
        <v>423</v>
      </c>
    </row>
    <row r="1026" spans="1:23" hidden="1" x14ac:dyDescent="0.2">
      <c r="A1026">
        <v>2012</v>
      </c>
      <c r="B1026" t="s">
        <v>304</v>
      </c>
      <c r="C1026" s="733">
        <v>40952</v>
      </c>
      <c r="D10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26" t="s">
        <v>485</v>
      </c>
      <c r="F1026" t="s">
        <v>2065</v>
      </c>
      <c r="G1026" t="s">
        <v>4494</v>
      </c>
      <c r="H1026">
        <v>41774</v>
      </c>
      <c r="I1026" t="s">
        <v>423</v>
      </c>
      <c r="J1026" t="s">
        <v>2182</v>
      </c>
      <c r="K1026" t="s">
        <v>2183</v>
      </c>
      <c r="L1026" t="s">
        <v>2184</v>
      </c>
      <c r="M1026">
        <v>62</v>
      </c>
      <c r="N1026">
        <v>26.26</v>
      </c>
      <c r="O1026">
        <v>3890.16</v>
      </c>
      <c r="P1026">
        <v>0</v>
      </c>
      <c r="Q1026">
        <v>3890.16</v>
      </c>
      <c r="R1026">
        <v>622.42999999999995</v>
      </c>
      <c r="S1026">
        <v>155.61000000000001</v>
      </c>
      <c r="T1026">
        <v>4356.9799999999996</v>
      </c>
      <c r="U1026" t="s">
        <v>8048</v>
      </c>
      <c r="V1026" t="s">
        <v>9408</v>
      </c>
      <c r="W1026" t="s">
        <v>423</v>
      </c>
    </row>
    <row r="1027" spans="1:23" hidden="1" x14ac:dyDescent="0.2">
      <c r="A1027">
        <v>2012</v>
      </c>
      <c r="B1027" t="s">
        <v>304</v>
      </c>
      <c r="C1027" s="733">
        <v>40953</v>
      </c>
      <c r="D10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27" t="s">
        <v>485</v>
      </c>
      <c r="F1027" t="s">
        <v>2084</v>
      </c>
      <c r="G1027" t="s">
        <v>2840</v>
      </c>
      <c r="H1027">
        <v>41559</v>
      </c>
      <c r="I1027" t="s">
        <v>423</v>
      </c>
      <c r="J1027" t="s">
        <v>2813</v>
      </c>
      <c r="K1027" t="s">
        <v>2814</v>
      </c>
      <c r="L1027" t="s">
        <v>2815</v>
      </c>
      <c r="M1027">
        <v>365</v>
      </c>
      <c r="N1027">
        <v>26.012</v>
      </c>
      <c r="O1027">
        <v>7001.91</v>
      </c>
      <c r="P1027">
        <v>0</v>
      </c>
      <c r="Q1027">
        <v>7001.91</v>
      </c>
      <c r="R1027">
        <v>770.21</v>
      </c>
      <c r="S1027">
        <v>280.08</v>
      </c>
      <c r="T1027">
        <v>7492.04</v>
      </c>
      <c r="U1027" t="s">
        <v>7527</v>
      </c>
      <c r="V1027" t="s">
        <v>9408</v>
      </c>
      <c r="W1027" t="s">
        <v>423</v>
      </c>
    </row>
    <row r="1028" spans="1:23" hidden="1" x14ac:dyDescent="0.2">
      <c r="A1028">
        <v>2012</v>
      </c>
      <c r="B1028" t="s">
        <v>303</v>
      </c>
      <c r="C1028" s="733">
        <v>40932</v>
      </c>
      <c r="D10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28" t="s">
        <v>485</v>
      </c>
      <c r="F1028" t="s">
        <v>2084</v>
      </c>
      <c r="G1028" t="s">
        <v>2831</v>
      </c>
      <c r="H1028">
        <v>40359</v>
      </c>
      <c r="I1028" t="s">
        <v>423</v>
      </c>
      <c r="J1028" t="s">
        <v>2813</v>
      </c>
      <c r="K1028" t="s">
        <v>2814</v>
      </c>
      <c r="L1028" t="s">
        <v>2815</v>
      </c>
      <c r="M1028">
        <v>365</v>
      </c>
      <c r="N1028">
        <v>29.437999999999999</v>
      </c>
      <c r="O1028">
        <v>7924.12</v>
      </c>
      <c r="P1028">
        <v>0</v>
      </c>
      <c r="Q1028">
        <v>7924.12</v>
      </c>
      <c r="R1028">
        <v>1267.8599999999999</v>
      </c>
      <c r="S1028">
        <v>316.95999999999998</v>
      </c>
      <c r="T1028">
        <v>8875.02</v>
      </c>
      <c r="U1028" t="s">
        <v>2826</v>
      </c>
      <c r="V1028" t="s">
        <v>9408</v>
      </c>
      <c r="W1028" t="s">
        <v>423</v>
      </c>
    </row>
    <row r="1029" spans="1:23" hidden="1" x14ac:dyDescent="0.2">
      <c r="A1029">
        <v>2012</v>
      </c>
      <c r="B1029" t="s">
        <v>303</v>
      </c>
      <c r="C1029" s="733">
        <v>40926</v>
      </c>
      <c r="D10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29" t="s">
        <v>485</v>
      </c>
      <c r="F1029" t="s">
        <v>2084</v>
      </c>
      <c r="G1029" t="s">
        <v>2823</v>
      </c>
      <c r="H1029">
        <v>40204</v>
      </c>
      <c r="I1029" t="s">
        <v>423</v>
      </c>
      <c r="J1029" t="s">
        <v>2813</v>
      </c>
      <c r="K1029" t="s">
        <v>2814</v>
      </c>
      <c r="L1029" t="s">
        <v>2815</v>
      </c>
      <c r="M1029">
        <v>365</v>
      </c>
      <c r="N1029">
        <v>23.882999999999999</v>
      </c>
      <c r="O1029">
        <v>6428.83</v>
      </c>
      <c r="P1029">
        <v>0</v>
      </c>
      <c r="Q1029">
        <v>6428.83</v>
      </c>
      <c r="R1029">
        <v>1028.6099999999999</v>
      </c>
      <c r="S1029">
        <v>257.14999999999998</v>
      </c>
      <c r="T1029">
        <v>7200.29</v>
      </c>
      <c r="U1029" t="s">
        <v>2824</v>
      </c>
      <c r="V1029" t="s">
        <v>9408</v>
      </c>
      <c r="W1029" t="s">
        <v>423</v>
      </c>
    </row>
    <row r="1030" spans="1:23" hidden="1" x14ac:dyDescent="0.2">
      <c r="A1030">
        <v>2012</v>
      </c>
      <c r="B1030" t="s">
        <v>304</v>
      </c>
      <c r="C1030" s="733">
        <v>40940</v>
      </c>
      <c r="D10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30" t="s">
        <v>485</v>
      </c>
      <c r="F1030" t="s">
        <v>2084</v>
      </c>
      <c r="G1030" t="s">
        <v>2827</v>
      </c>
      <c r="H1030">
        <v>41142</v>
      </c>
      <c r="I1030" t="s">
        <v>423</v>
      </c>
      <c r="J1030" t="s">
        <v>2813</v>
      </c>
      <c r="K1030" t="s">
        <v>2814</v>
      </c>
      <c r="L1030" t="s">
        <v>2815</v>
      </c>
      <c r="M1030">
        <v>365</v>
      </c>
      <c r="N1030">
        <v>26.013000000000002</v>
      </c>
      <c r="O1030">
        <v>7002.18</v>
      </c>
      <c r="P1030">
        <v>0</v>
      </c>
      <c r="Q1030">
        <v>7002.18</v>
      </c>
      <c r="R1030">
        <v>1120.3499999999999</v>
      </c>
      <c r="S1030">
        <v>280.08999999999997</v>
      </c>
      <c r="T1030">
        <v>7842.44</v>
      </c>
      <c r="U1030" t="s">
        <v>8522</v>
      </c>
      <c r="V1030" t="s">
        <v>9408</v>
      </c>
      <c r="W1030" t="s">
        <v>423</v>
      </c>
    </row>
    <row r="1031" spans="1:23" hidden="1" x14ac:dyDescent="0.2">
      <c r="A1031">
        <v>2012</v>
      </c>
      <c r="B1031" t="s">
        <v>304</v>
      </c>
      <c r="C1031" s="733">
        <v>40949</v>
      </c>
      <c r="D10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31" t="s">
        <v>485</v>
      </c>
      <c r="F1031" t="s">
        <v>2084</v>
      </c>
      <c r="G1031" t="s">
        <v>2830</v>
      </c>
      <c r="H1031">
        <v>41274</v>
      </c>
      <c r="I1031" t="s">
        <v>423</v>
      </c>
      <c r="J1031" t="s">
        <v>2813</v>
      </c>
      <c r="K1031" t="s">
        <v>2814</v>
      </c>
      <c r="L1031" t="s">
        <v>2815</v>
      </c>
      <c r="M1031">
        <v>365</v>
      </c>
      <c r="N1031">
        <v>23.75</v>
      </c>
      <c r="O1031">
        <v>6393.02</v>
      </c>
      <c r="P1031">
        <v>0</v>
      </c>
      <c r="Q1031">
        <v>6393.02</v>
      </c>
      <c r="R1031">
        <v>703.23</v>
      </c>
      <c r="S1031">
        <v>255.72</v>
      </c>
      <c r="T1031">
        <v>6840.53</v>
      </c>
      <c r="U1031" t="s">
        <v>7527</v>
      </c>
      <c r="V1031" t="s">
        <v>9408</v>
      </c>
      <c r="W1031" t="s">
        <v>423</v>
      </c>
    </row>
    <row r="1032" spans="1:23" hidden="1" x14ac:dyDescent="0.2">
      <c r="A1032">
        <v>2012</v>
      </c>
      <c r="B1032" t="s">
        <v>303</v>
      </c>
      <c r="C1032" s="733">
        <v>40932</v>
      </c>
      <c r="D10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32" t="s">
        <v>485</v>
      </c>
      <c r="F1032" t="s">
        <v>2084</v>
      </c>
      <c r="G1032" t="s">
        <v>2825</v>
      </c>
      <c r="H1032">
        <v>40626</v>
      </c>
      <c r="I1032" t="s">
        <v>423</v>
      </c>
      <c r="J1032" t="s">
        <v>2813</v>
      </c>
      <c r="K1032" t="s">
        <v>2814</v>
      </c>
      <c r="L1032" t="s">
        <v>2815</v>
      </c>
      <c r="M1032">
        <v>365</v>
      </c>
      <c r="N1032">
        <v>23.97</v>
      </c>
      <c r="O1032">
        <v>6452.24</v>
      </c>
      <c r="P1032">
        <v>0</v>
      </c>
      <c r="Q1032">
        <v>6452.24</v>
      </c>
      <c r="R1032">
        <v>1032.3599999999999</v>
      </c>
      <c r="S1032">
        <v>258.08999999999997</v>
      </c>
      <c r="T1032">
        <v>7226.51</v>
      </c>
      <c r="U1032" t="s">
        <v>2826</v>
      </c>
      <c r="V1032" t="s">
        <v>9408</v>
      </c>
      <c r="W1032" t="s">
        <v>423</v>
      </c>
    </row>
    <row r="1033" spans="1:23" hidden="1" x14ac:dyDescent="0.2">
      <c r="A1033">
        <v>2012</v>
      </c>
      <c r="B1033" t="s">
        <v>304</v>
      </c>
      <c r="C1033" s="733">
        <v>40940</v>
      </c>
      <c r="D10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33" t="s">
        <v>485</v>
      </c>
      <c r="F1033" t="s">
        <v>2084</v>
      </c>
      <c r="G1033" t="s">
        <v>2833</v>
      </c>
      <c r="H1033">
        <v>41019</v>
      </c>
      <c r="I1033" t="s">
        <v>423</v>
      </c>
      <c r="J1033" t="s">
        <v>2813</v>
      </c>
      <c r="K1033" t="s">
        <v>2814</v>
      </c>
      <c r="L1033" t="s">
        <v>2815</v>
      </c>
      <c r="M1033">
        <v>365</v>
      </c>
      <c r="N1033">
        <v>24.152000000000001</v>
      </c>
      <c r="O1033">
        <v>6501.24</v>
      </c>
      <c r="P1033">
        <v>0</v>
      </c>
      <c r="Q1033">
        <v>6501.24</v>
      </c>
      <c r="R1033">
        <v>1040.2</v>
      </c>
      <c r="S1033">
        <v>260.05</v>
      </c>
      <c r="T1033">
        <v>7281.39</v>
      </c>
      <c r="U1033" t="s">
        <v>8522</v>
      </c>
      <c r="V1033" t="s">
        <v>9408</v>
      </c>
      <c r="W1033" t="s">
        <v>423</v>
      </c>
    </row>
    <row r="1034" spans="1:23" hidden="1" x14ac:dyDescent="0.2">
      <c r="A1034">
        <v>2012</v>
      </c>
      <c r="B1034" t="s">
        <v>303</v>
      </c>
      <c r="C1034" s="733">
        <v>40912</v>
      </c>
      <c r="D10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34" t="s">
        <v>485</v>
      </c>
      <c r="F1034" t="s">
        <v>2084</v>
      </c>
      <c r="G1034" t="s">
        <v>2845</v>
      </c>
      <c r="H1034">
        <v>39112</v>
      </c>
      <c r="I1034" t="s">
        <v>423</v>
      </c>
      <c r="J1034" t="s">
        <v>2836</v>
      </c>
      <c r="K1034" t="s">
        <v>2814</v>
      </c>
      <c r="L1034" t="s">
        <v>2815</v>
      </c>
      <c r="M1034">
        <v>70</v>
      </c>
      <c r="N1034">
        <v>23.952000000000002</v>
      </c>
      <c r="O1034">
        <v>2714.48</v>
      </c>
      <c r="P1034">
        <v>3056.2058870000001</v>
      </c>
      <c r="Q1034">
        <v>5770.6858869999996</v>
      </c>
      <c r="R1034">
        <v>923.30974200000003</v>
      </c>
      <c r="S1034">
        <v>230.82743500000001</v>
      </c>
      <c r="T1034">
        <v>6463.1681939999999</v>
      </c>
      <c r="U1034" t="s">
        <v>2846</v>
      </c>
      <c r="V1034" t="s">
        <v>9408</v>
      </c>
      <c r="W1034" t="s">
        <v>423</v>
      </c>
    </row>
    <row r="1035" spans="1:23" hidden="1" x14ac:dyDescent="0.2">
      <c r="A1035">
        <v>2012</v>
      </c>
      <c r="B1035" t="s">
        <v>303</v>
      </c>
      <c r="C1035" s="733">
        <v>40926</v>
      </c>
      <c r="D10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35" t="s">
        <v>485</v>
      </c>
      <c r="F1035" t="s">
        <v>2084</v>
      </c>
      <c r="G1035" t="s">
        <v>2838</v>
      </c>
      <c r="H1035">
        <v>40198</v>
      </c>
      <c r="I1035" t="s">
        <v>423</v>
      </c>
      <c r="J1035" t="s">
        <v>2813</v>
      </c>
      <c r="K1035" t="s">
        <v>2814</v>
      </c>
      <c r="L1035" t="s">
        <v>2815</v>
      </c>
      <c r="M1035">
        <v>365</v>
      </c>
      <c r="N1035">
        <v>24.491</v>
      </c>
      <c r="O1035">
        <v>6592.49</v>
      </c>
      <c r="P1035">
        <v>0</v>
      </c>
      <c r="Q1035">
        <v>6592.49</v>
      </c>
      <c r="R1035">
        <v>1054.8</v>
      </c>
      <c r="S1035">
        <v>263.7</v>
      </c>
      <c r="T1035">
        <v>7383.59</v>
      </c>
      <c r="U1035" t="s">
        <v>2824</v>
      </c>
      <c r="V1035" t="s">
        <v>9408</v>
      </c>
      <c r="W1035" t="s">
        <v>423</v>
      </c>
    </row>
    <row r="1036" spans="1:23" hidden="1" x14ac:dyDescent="0.2">
      <c r="A1036">
        <v>2012</v>
      </c>
      <c r="B1036" t="s">
        <v>303</v>
      </c>
      <c r="C1036" s="733">
        <v>40913.419814814813</v>
      </c>
      <c r="D10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36" t="s">
        <v>485</v>
      </c>
      <c r="F1036" t="s">
        <v>2084</v>
      </c>
      <c r="G1036" t="s">
        <v>2820</v>
      </c>
      <c r="H1036">
        <v>39801</v>
      </c>
      <c r="I1036" t="s">
        <v>2821</v>
      </c>
      <c r="J1036" t="s">
        <v>2822</v>
      </c>
      <c r="K1036" t="s">
        <v>2814</v>
      </c>
      <c r="L1036" t="s">
        <v>2815</v>
      </c>
      <c r="M1036">
        <v>365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V1036" t="s">
        <v>9408</v>
      </c>
      <c r="W1036" t="s">
        <v>2821</v>
      </c>
    </row>
    <row r="1037" spans="1:23" hidden="1" x14ac:dyDescent="0.2">
      <c r="A1037">
        <v>2012</v>
      </c>
      <c r="B1037" t="s">
        <v>304</v>
      </c>
      <c r="C1037" s="733">
        <v>40949</v>
      </c>
      <c r="D10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37" t="s">
        <v>485</v>
      </c>
      <c r="F1037" t="s">
        <v>2084</v>
      </c>
      <c r="G1037" t="s">
        <v>2819</v>
      </c>
      <c r="H1037">
        <v>41139</v>
      </c>
      <c r="I1037" t="s">
        <v>423</v>
      </c>
      <c r="J1037" t="s">
        <v>2813</v>
      </c>
      <c r="K1037" t="s">
        <v>2814</v>
      </c>
      <c r="L1037" t="s">
        <v>2815</v>
      </c>
      <c r="M1037">
        <v>365</v>
      </c>
      <c r="N1037">
        <v>24.457999999999998</v>
      </c>
      <c r="O1037">
        <v>6583.6</v>
      </c>
      <c r="P1037">
        <v>0</v>
      </c>
      <c r="Q1037">
        <v>6583.6</v>
      </c>
      <c r="R1037">
        <v>724.2</v>
      </c>
      <c r="S1037">
        <v>263.33999999999997</v>
      </c>
      <c r="T1037">
        <v>7044.46</v>
      </c>
      <c r="U1037" t="s">
        <v>7527</v>
      </c>
      <c r="V1037" t="s">
        <v>9408</v>
      </c>
      <c r="W1037" t="s">
        <v>423</v>
      </c>
    </row>
    <row r="1038" spans="1:23" hidden="1" x14ac:dyDescent="0.2">
      <c r="A1038">
        <v>2012</v>
      </c>
      <c r="B1038" t="s">
        <v>303</v>
      </c>
      <c r="C1038" s="733">
        <v>40938</v>
      </c>
      <c r="D10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38" t="s">
        <v>485</v>
      </c>
      <c r="F1038" t="s">
        <v>2084</v>
      </c>
      <c r="G1038" t="s">
        <v>2841</v>
      </c>
      <c r="H1038">
        <v>40795</v>
      </c>
      <c r="I1038" t="s">
        <v>423</v>
      </c>
      <c r="J1038" t="s">
        <v>2813</v>
      </c>
      <c r="K1038" t="s">
        <v>2814</v>
      </c>
      <c r="L1038" t="s">
        <v>2815</v>
      </c>
      <c r="M1038">
        <v>365</v>
      </c>
      <c r="N1038">
        <v>23.859000000000002</v>
      </c>
      <c r="O1038">
        <v>6422.37</v>
      </c>
      <c r="P1038">
        <v>0</v>
      </c>
      <c r="Q1038">
        <v>6422.37</v>
      </c>
      <c r="R1038">
        <v>1027.58</v>
      </c>
      <c r="S1038">
        <v>256.89</v>
      </c>
      <c r="T1038">
        <v>7193.06</v>
      </c>
      <c r="U1038" t="s">
        <v>2826</v>
      </c>
      <c r="V1038" t="s">
        <v>9408</v>
      </c>
      <c r="W1038" t="s">
        <v>423</v>
      </c>
    </row>
    <row r="1039" spans="1:23" hidden="1" x14ac:dyDescent="0.2">
      <c r="A1039">
        <v>2012</v>
      </c>
      <c r="B1039" t="s">
        <v>303</v>
      </c>
      <c r="C1039" s="733">
        <v>40938</v>
      </c>
      <c r="D10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39" t="s">
        <v>485</v>
      </c>
      <c r="F1039" t="s">
        <v>2084</v>
      </c>
      <c r="G1039" t="s">
        <v>2818</v>
      </c>
      <c r="H1039">
        <v>40802</v>
      </c>
      <c r="I1039" t="s">
        <v>423</v>
      </c>
      <c r="J1039" t="s">
        <v>2813</v>
      </c>
      <c r="K1039" t="s">
        <v>2814</v>
      </c>
      <c r="L1039" t="s">
        <v>2815</v>
      </c>
      <c r="M1039">
        <v>365</v>
      </c>
      <c r="N1039">
        <v>23.58</v>
      </c>
      <c r="O1039">
        <v>6347.26</v>
      </c>
      <c r="P1039">
        <v>0</v>
      </c>
      <c r="Q1039">
        <v>6347.26</v>
      </c>
      <c r="R1039">
        <v>1015.56</v>
      </c>
      <c r="S1039">
        <v>253.89</v>
      </c>
      <c r="T1039">
        <v>7108.93</v>
      </c>
      <c r="U1039" t="s">
        <v>8522</v>
      </c>
      <c r="V1039" t="s">
        <v>9408</v>
      </c>
      <c r="W1039" t="s">
        <v>423</v>
      </c>
    </row>
    <row r="1040" spans="1:23" x14ac:dyDescent="0.2">
      <c r="A1040">
        <v>2012</v>
      </c>
      <c r="B1040" t="s">
        <v>304</v>
      </c>
      <c r="C1040" s="733">
        <v>40967</v>
      </c>
      <c r="D10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40" t="s">
        <v>485</v>
      </c>
      <c r="F1040" t="s">
        <v>2084</v>
      </c>
      <c r="G1040" t="s">
        <v>9010</v>
      </c>
      <c r="H1040">
        <v>42200</v>
      </c>
      <c r="I1040" t="s">
        <v>423</v>
      </c>
      <c r="J1040" t="s">
        <v>2813</v>
      </c>
      <c r="K1040" t="s">
        <v>2814</v>
      </c>
      <c r="L1040" t="s">
        <v>2815</v>
      </c>
      <c r="M1040">
        <v>365</v>
      </c>
      <c r="N1040">
        <v>23.84</v>
      </c>
      <c r="O1040">
        <v>6417.25</v>
      </c>
      <c r="P1040">
        <v>0</v>
      </c>
      <c r="Q1040">
        <v>6417.25</v>
      </c>
      <c r="R1040">
        <v>705.9</v>
      </c>
      <c r="S1040">
        <v>256.69</v>
      </c>
      <c r="T1040">
        <v>6866.46</v>
      </c>
      <c r="U1040" t="s">
        <v>8877</v>
      </c>
      <c r="V1040" t="s">
        <v>9408</v>
      </c>
      <c r="W1040" t="s">
        <v>423</v>
      </c>
    </row>
    <row r="1041" spans="1:23" hidden="1" x14ac:dyDescent="0.2">
      <c r="A1041">
        <v>2012</v>
      </c>
      <c r="B1041" t="s">
        <v>304</v>
      </c>
      <c r="C1041" s="733">
        <v>40949</v>
      </c>
      <c r="D10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41" t="s">
        <v>485</v>
      </c>
      <c r="F1041" t="s">
        <v>2084</v>
      </c>
      <c r="G1041" t="s">
        <v>2832</v>
      </c>
      <c r="H1041">
        <v>41448</v>
      </c>
      <c r="I1041" t="s">
        <v>423</v>
      </c>
      <c r="J1041" t="s">
        <v>2813</v>
      </c>
      <c r="K1041" t="s">
        <v>2814</v>
      </c>
      <c r="L1041" t="s">
        <v>2815</v>
      </c>
      <c r="M1041">
        <v>365</v>
      </c>
      <c r="N1041">
        <v>24.263999999999999</v>
      </c>
      <c r="O1041">
        <v>6531.38</v>
      </c>
      <c r="P1041">
        <v>0</v>
      </c>
      <c r="Q1041">
        <v>6531.38</v>
      </c>
      <c r="R1041">
        <v>718.45</v>
      </c>
      <c r="S1041">
        <v>261.26</v>
      </c>
      <c r="T1041">
        <v>6988.57</v>
      </c>
      <c r="U1041" t="s">
        <v>7527</v>
      </c>
      <c r="V1041" t="s">
        <v>9408</v>
      </c>
      <c r="W1041" t="s">
        <v>423</v>
      </c>
    </row>
    <row r="1042" spans="1:23" x14ac:dyDescent="0.2">
      <c r="A1042">
        <v>2012</v>
      </c>
      <c r="B1042" t="s">
        <v>304</v>
      </c>
      <c r="C1042" s="733">
        <v>40967</v>
      </c>
      <c r="D10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42" t="s">
        <v>485</v>
      </c>
      <c r="F1042" t="s">
        <v>2084</v>
      </c>
      <c r="G1042" t="s">
        <v>9007</v>
      </c>
      <c r="H1042">
        <v>42553</v>
      </c>
      <c r="I1042" t="s">
        <v>423</v>
      </c>
      <c r="J1042" t="s">
        <v>2813</v>
      </c>
      <c r="K1042" t="s">
        <v>2814</v>
      </c>
      <c r="L1042" t="s">
        <v>2815</v>
      </c>
      <c r="M1042">
        <v>365</v>
      </c>
      <c r="N1042">
        <v>23.925999999999998</v>
      </c>
      <c r="O1042">
        <v>6440.4</v>
      </c>
      <c r="P1042">
        <v>0</v>
      </c>
      <c r="Q1042">
        <v>6440.4</v>
      </c>
      <c r="R1042">
        <v>708.44</v>
      </c>
      <c r="S1042">
        <v>257.62</v>
      </c>
      <c r="T1042">
        <v>6891.22</v>
      </c>
      <c r="V1042" t="s">
        <v>9408</v>
      </c>
      <c r="W1042" t="s">
        <v>423</v>
      </c>
    </row>
    <row r="1043" spans="1:23" hidden="1" x14ac:dyDescent="0.2">
      <c r="A1043">
        <v>2012</v>
      </c>
      <c r="B1043" t="s">
        <v>304</v>
      </c>
      <c r="C1043" s="733">
        <v>40949</v>
      </c>
      <c r="D10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43" t="s">
        <v>485</v>
      </c>
      <c r="F1043" t="s">
        <v>2084</v>
      </c>
      <c r="G1043" t="s">
        <v>2839</v>
      </c>
      <c r="H1043">
        <v>41143</v>
      </c>
      <c r="I1043" t="s">
        <v>423</v>
      </c>
      <c r="J1043" t="s">
        <v>2813</v>
      </c>
      <c r="K1043" t="s">
        <v>2814</v>
      </c>
      <c r="L1043" t="s">
        <v>2815</v>
      </c>
      <c r="M1043">
        <v>365</v>
      </c>
      <c r="N1043">
        <v>27.945</v>
      </c>
      <c r="O1043">
        <v>7522.24</v>
      </c>
      <c r="P1043">
        <v>0</v>
      </c>
      <c r="Q1043">
        <v>7522.24</v>
      </c>
      <c r="R1043">
        <v>827.45</v>
      </c>
      <c r="S1043">
        <v>300.89</v>
      </c>
      <c r="T1043">
        <v>8048.8</v>
      </c>
      <c r="U1043" t="s">
        <v>7527</v>
      </c>
      <c r="V1043" t="s">
        <v>9408</v>
      </c>
      <c r="W1043" t="s">
        <v>423</v>
      </c>
    </row>
    <row r="1044" spans="1:23" x14ac:dyDescent="0.2">
      <c r="A1044">
        <v>2012</v>
      </c>
      <c r="B1044" t="s">
        <v>304</v>
      </c>
      <c r="C1044" s="733">
        <v>40967</v>
      </c>
      <c r="D10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44" t="s">
        <v>485</v>
      </c>
      <c r="F1044" t="s">
        <v>2084</v>
      </c>
      <c r="G1044" t="s">
        <v>9008</v>
      </c>
      <c r="H1044">
        <v>42270</v>
      </c>
      <c r="I1044" t="s">
        <v>423</v>
      </c>
      <c r="J1044" t="s">
        <v>2813</v>
      </c>
      <c r="K1044" t="s">
        <v>2814</v>
      </c>
      <c r="L1044" t="s">
        <v>2815</v>
      </c>
      <c r="M1044">
        <v>365</v>
      </c>
      <c r="N1044">
        <v>23.876999999999999</v>
      </c>
      <c r="O1044">
        <v>6427.21</v>
      </c>
      <c r="P1044">
        <v>0</v>
      </c>
      <c r="Q1044">
        <v>6427.21</v>
      </c>
      <c r="R1044">
        <v>706.99</v>
      </c>
      <c r="S1044">
        <v>257.08999999999997</v>
      </c>
      <c r="T1044">
        <v>6877.11</v>
      </c>
      <c r="U1044" t="s">
        <v>8877</v>
      </c>
      <c r="V1044" t="s">
        <v>9408</v>
      </c>
      <c r="W1044" t="s">
        <v>423</v>
      </c>
    </row>
    <row r="1045" spans="1:23" hidden="1" x14ac:dyDescent="0.2">
      <c r="A1045">
        <v>2012</v>
      </c>
      <c r="B1045" t="s">
        <v>304</v>
      </c>
      <c r="C1045" s="733">
        <v>40961</v>
      </c>
      <c r="D10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45" t="s">
        <v>485</v>
      </c>
      <c r="F1045" t="s">
        <v>2065</v>
      </c>
      <c r="G1045" t="s">
        <v>8431</v>
      </c>
      <c r="H1045">
        <v>42310</v>
      </c>
      <c r="I1045" t="s">
        <v>423</v>
      </c>
      <c r="J1045" t="s">
        <v>5260</v>
      </c>
      <c r="K1045" t="s">
        <v>2102</v>
      </c>
      <c r="L1045" t="s">
        <v>2115</v>
      </c>
      <c r="M1045">
        <v>832</v>
      </c>
      <c r="N1045">
        <v>50.22</v>
      </c>
      <c r="O1045">
        <v>25058.27</v>
      </c>
      <c r="P1045">
        <v>0</v>
      </c>
      <c r="Q1045">
        <v>25058.27</v>
      </c>
      <c r="R1045">
        <v>4009.32</v>
      </c>
      <c r="S1045">
        <v>1002.33</v>
      </c>
      <c r="T1045">
        <v>28065.26</v>
      </c>
      <c r="U1045" t="s">
        <v>8883</v>
      </c>
      <c r="V1045" t="s">
        <v>9409</v>
      </c>
      <c r="W1045" t="s">
        <v>423</v>
      </c>
    </row>
    <row r="1046" spans="1:23" hidden="1" x14ac:dyDescent="0.2">
      <c r="A1046">
        <v>2012</v>
      </c>
      <c r="B1046" t="s">
        <v>304</v>
      </c>
      <c r="C1046" s="733">
        <v>40949</v>
      </c>
      <c r="D10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46" t="s">
        <v>485</v>
      </c>
      <c r="F1046" t="s">
        <v>2084</v>
      </c>
      <c r="G1046" t="s">
        <v>2817</v>
      </c>
      <c r="H1046">
        <v>41446</v>
      </c>
      <c r="I1046" t="s">
        <v>423</v>
      </c>
      <c r="J1046" t="s">
        <v>2813</v>
      </c>
      <c r="K1046" t="s">
        <v>2814</v>
      </c>
      <c r="L1046" t="s">
        <v>2815</v>
      </c>
      <c r="M1046">
        <v>365</v>
      </c>
      <c r="N1046">
        <v>23.864999999999998</v>
      </c>
      <c r="O1046">
        <v>6423.98</v>
      </c>
      <c r="P1046">
        <v>0</v>
      </c>
      <c r="Q1046">
        <v>6423.98</v>
      </c>
      <c r="R1046">
        <v>706.64</v>
      </c>
      <c r="S1046">
        <v>256.95999999999998</v>
      </c>
      <c r="T1046">
        <v>6873.66</v>
      </c>
      <c r="U1046" t="s">
        <v>7527</v>
      </c>
      <c r="V1046" t="s">
        <v>9408</v>
      </c>
      <c r="W1046" t="s">
        <v>423</v>
      </c>
    </row>
    <row r="1047" spans="1:23" hidden="1" x14ac:dyDescent="0.2">
      <c r="A1047">
        <v>2012</v>
      </c>
      <c r="B1047" t="s">
        <v>304</v>
      </c>
      <c r="C1047" s="733">
        <v>40953</v>
      </c>
      <c r="D10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47" t="s">
        <v>485</v>
      </c>
      <c r="F1047" t="s">
        <v>2084</v>
      </c>
      <c r="G1047" t="s">
        <v>2816</v>
      </c>
      <c r="H1047">
        <v>41615</v>
      </c>
      <c r="I1047" t="s">
        <v>423</v>
      </c>
      <c r="J1047" t="s">
        <v>2813</v>
      </c>
      <c r="K1047" t="s">
        <v>2814</v>
      </c>
      <c r="L1047" t="s">
        <v>2815</v>
      </c>
      <c r="M1047">
        <v>365</v>
      </c>
      <c r="N1047">
        <v>24.556999999999999</v>
      </c>
      <c r="O1047">
        <v>6610.25</v>
      </c>
      <c r="P1047">
        <v>0</v>
      </c>
      <c r="Q1047">
        <v>6610.25</v>
      </c>
      <c r="R1047">
        <v>727.13</v>
      </c>
      <c r="S1047">
        <v>264.41000000000003</v>
      </c>
      <c r="T1047">
        <v>7072.97</v>
      </c>
      <c r="U1047" t="s">
        <v>7527</v>
      </c>
      <c r="V1047" t="s">
        <v>9408</v>
      </c>
      <c r="W1047" t="s">
        <v>423</v>
      </c>
    </row>
    <row r="1048" spans="1:23" hidden="1" x14ac:dyDescent="0.2">
      <c r="A1048">
        <v>2012</v>
      </c>
      <c r="B1048" t="s">
        <v>304</v>
      </c>
      <c r="C1048" s="733">
        <v>40953</v>
      </c>
      <c r="D10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48" t="s">
        <v>485</v>
      </c>
      <c r="F1048" t="s">
        <v>2084</v>
      </c>
      <c r="G1048" t="s">
        <v>2812</v>
      </c>
      <c r="H1048">
        <v>41655</v>
      </c>
      <c r="I1048" t="s">
        <v>423</v>
      </c>
      <c r="J1048" t="s">
        <v>2813</v>
      </c>
      <c r="K1048" t="s">
        <v>2814</v>
      </c>
      <c r="L1048" t="s">
        <v>2815</v>
      </c>
      <c r="M1048">
        <v>365</v>
      </c>
      <c r="N1048">
        <v>24.664999999999999</v>
      </c>
      <c r="O1048">
        <v>6639.32</v>
      </c>
      <c r="P1048">
        <v>0</v>
      </c>
      <c r="Q1048">
        <v>6639.32</v>
      </c>
      <c r="R1048">
        <v>730.33</v>
      </c>
      <c r="S1048">
        <v>265.57</v>
      </c>
      <c r="T1048">
        <v>7104.08</v>
      </c>
      <c r="U1048" t="s">
        <v>7527</v>
      </c>
      <c r="V1048" t="s">
        <v>9408</v>
      </c>
      <c r="W1048" t="s">
        <v>423</v>
      </c>
    </row>
    <row r="1049" spans="1:23" x14ac:dyDescent="0.2">
      <c r="A1049">
        <v>2012</v>
      </c>
      <c r="B1049" t="s">
        <v>304</v>
      </c>
      <c r="C1049" s="733">
        <v>40967</v>
      </c>
      <c r="D10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49" t="s">
        <v>485</v>
      </c>
      <c r="F1049" t="s">
        <v>2065</v>
      </c>
      <c r="G1049" t="s">
        <v>9034</v>
      </c>
      <c r="H1049">
        <v>42552</v>
      </c>
      <c r="I1049" t="s">
        <v>423</v>
      </c>
      <c r="J1049" t="s">
        <v>2813</v>
      </c>
      <c r="K1049" t="s">
        <v>2814</v>
      </c>
      <c r="L1049" t="s">
        <v>2815</v>
      </c>
      <c r="M1049">
        <v>365</v>
      </c>
      <c r="N1049">
        <v>23.995000000000001</v>
      </c>
      <c r="O1049">
        <v>6458.97</v>
      </c>
      <c r="P1049">
        <v>0</v>
      </c>
      <c r="Q1049">
        <v>6458.97</v>
      </c>
      <c r="R1049">
        <v>710.49</v>
      </c>
      <c r="S1049">
        <v>258.36</v>
      </c>
      <c r="T1049">
        <v>6911.1</v>
      </c>
      <c r="U1049" t="s">
        <v>8877</v>
      </c>
      <c r="V1049" t="s">
        <v>9408</v>
      </c>
      <c r="W1049" t="s">
        <v>423</v>
      </c>
    </row>
    <row r="1050" spans="1:23" hidden="1" x14ac:dyDescent="0.2">
      <c r="A1050">
        <v>2012</v>
      </c>
      <c r="B1050" t="s">
        <v>303</v>
      </c>
      <c r="C1050" s="733">
        <v>40932</v>
      </c>
      <c r="D10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50" t="s">
        <v>485</v>
      </c>
      <c r="F1050" t="s">
        <v>2065</v>
      </c>
      <c r="G1050" t="s">
        <v>3449</v>
      </c>
      <c r="H1050">
        <v>40707</v>
      </c>
      <c r="I1050" t="s">
        <v>423</v>
      </c>
      <c r="J1050" t="s">
        <v>3204</v>
      </c>
      <c r="K1050" t="s">
        <v>2183</v>
      </c>
      <c r="L1050" t="s">
        <v>2184</v>
      </c>
      <c r="M1050">
        <v>80</v>
      </c>
      <c r="N1050">
        <v>23.56</v>
      </c>
      <c r="O1050">
        <v>3490.18</v>
      </c>
      <c r="P1050">
        <v>0</v>
      </c>
      <c r="Q1050">
        <v>3490.18</v>
      </c>
      <c r="R1050">
        <v>558.42999999999995</v>
      </c>
      <c r="S1050">
        <v>139.61000000000001</v>
      </c>
      <c r="T1050">
        <v>3909</v>
      </c>
      <c r="U1050" t="s">
        <v>2187</v>
      </c>
      <c r="V1050" t="s">
        <v>9409</v>
      </c>
      <c r="W1050" t="s">
        <v>423</v>
      </c>
    </row>
    <row r="1051" spans="1:23" hidden="1" x14ac:dyDescent="0.2">
      <c r="A1051">
        <v>2012</v>
      </c>
      <c r="B1051" t="s">
        <v>304</v>
      </c>
      <c r="C1051" s="733">
        <v>40966</v>
      </c>
      <c r="D10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51" t="s">
        <v>485</v>
      </c>
      <c r="F1051" t="s">
        <v>2065</v>
      </c>
      <c r="G1051" t="s">
        <v>8789</v>
      </c>
      <c r="H1051">
        <v>42638</v>
      </c>
      <c r="I1051" t="s">
        <v>423</v>
      </c>
      <c r="J1051" t="s">
        <v>3204</v>
      </c>
      <c r="K1051" t="s">
        <v>2183</v>
      </c>
      <c r="L1051" t="s">
        <v>2184</v>
      </c>
      <c r="M1051">
        <v>80</v>
      </c>
      <c r="N1051">
        <v>52.59</v>
      </c>
      <c r="O1051">
        <v>5935.83</v>
      </c>
      <c r="P1051">
        <v>0</v>
      </c>
      <c r="Q1051">
        <v>5935.83</v>
      </c>
      <c r="R1051">
        <v>949.73</v>
      </c>
      <c r="S1051">
        <v>237.43</v>
      </c>
      <c r="T1051">
        <v>6648.13</v>
      </c>
      <c r="V1051" t="s">
        <v>9409</v>
      </c>
      <c r="W1051" t="s">
        <v>423</v>
      </c>
    </row>
    <row r="1052" spans="1:23" hidden="1" x14ac:dyDescent="0.2">
      <c r="A1052">
        <v>2012</v>
      </c>
      <c r="B1052" t="s">
        <v>304</v>
      </c>
      <c r="C1052" s="733">
        <v>40961</v>
      </c>
      <c r="D10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52" t="s">
        <v>485</v>
      </c>
      <c r="F1052" t="s">
        <v>2065</v>
      </c>
      <c r="G1052" t="s">
        <v>8425</v>
      </c>
      <c r="H1052">
        <v>42372</v>
      </c>
      <c r="I1052" t="s">
        <v>423</v>
      </c>
      <c r="J1052" t="s">
        <v>2182</v>
      </c>
      <c r="K1052" t="s">
        <v>2183</v>
      </c>
      <c r="L1052" t="s">
        <v>2184</v>
      </c>
      <c r="M1052">
        <v>62</v>
      </c>
      <c r="N1052">
        <v>15.84</v>
      </c>
      <c r="O1052">
        <v>2346.54</v>
      </c>
      <c r="P1052">
        <v>0</v>
      </c>
      <c r="Q1052">
        <v>2346.54</v>
      </c>
      <c r="R1052">
        <v>375.45</v>
      </c>
      <c r="S1052">
        <v>93.86</v>
      </c>
      <c r="T1052">
        <v>2628.13</v>
      </c>
      <c r="V1052" t="s">
        <v>9408</v>
      </c>
      <c r="W1052" t="s">
        <v>423</v>
      </c>
    </row>
    <row r="1053" spans="1:23" hidden="1" x14ac:dyDescent="0.2">
      <c r="A1053">
        <v>2012</v>
      </c>
      <c r="B1053" t="s">
        <v>303</v>
      </c>
      <c r="C1053" s="733">
        <v>40914.854108796295</v>
      </c>
      <c r="D10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53" t="s">
        <v>478</v>
      </c>
      <c r="F1053" t="s">
        <v>2622</v>
      </c>
      <c r="G1053" t="s">
        <v>2655</v>
      </c>
      <c r="H1053">
        <v>34283</v>
      </c>
      <c r="I1053" t="s">
        <v>423</v>
      </c>
      <c r="J1053" t="s">
        <v>2629</v>
      </c>
      <c r="K1053" t="s">
        <v>2625</v>
      </c>
      <c r="L1053" t="s">
        <v>2626</v>
      </c>
      <c r="M1053">
        <v>33</v>
      </c>
      <c r="N1053">
        <v>24.41</v>
      </c>
      <c r="O1053">
        <v>2847.18</v>
      </c>
      <c r="P1053">
        <v>0</v>
      </c>
      <c r="Q1053">
        <v>2847.18</v>
      </c>
      <c r="R1053">
        <v>455.55</v>
      </c>
      <c r="S1053">
        <v>113.89</v>
      </c>
      <c r="T1053">
        <v>3188.84</v>
      </c>
      <c r="U1053" t="s">
        <v>2627</v>
      </c>
      <c r="V1053" t="s">
        <v>9408</v>
      </c>
      <c r="W1053" t="s">
        <v>423</v>
      </c>
    </row>
    <row r="1054" spans="1:23" hidden="1" x14ac:dyDescent="0.2">
      <c r="A1054">
        <v>2012</v>
      </c>
      <c r="B1054" t="s">
        <v>303</v>
      </c>
      <c r="C1054" s="733">
        <v>40926</v>
      </c>
      <c r="D10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54" t="s">
        <v>478</v>
      </c>
      <c r="F1054" t="s">
        <v>2622</v>
      </c>
      <c r="G1054" t="s">
        <v>2654</v>
      </c>
      <c r="H1054">
        <v>34613</v>
      </c>
      <c r="I1054" t="s">
        <v>423</v>
      </c>
      <c r="J1054" t="s">
        <v>2629</v>
      </c>
      <c r="K1054" t="s">
        <v>2625</v>
      </c>
      <c r="L1054" t="s">
        <v>2626</v>
      </c>
      <c r="M1054">
        <v>33</v>
      </c>
      <c r="N1054">
        <v>27.61</v>
      </c>
      <c r="O1054">
        <v>3220.43</v>
      </c>
      <c r="P1054">
        <v>0</v>
      </c>
      <c r="Q1054">
        <v>3220.43</v>
      </c>
      <c r="R1054">
        <v>515.27</v>
      </c>
      <c r="S1054">
        <v>128.82</v>
      </c>
      <c r="T1054">
        <v>3606.88</v>
      </c>
      <c r="U1054" t="s">
        <v>2627</v>
      </c>
      <c r="V1054" t="s">
        <v>9408</v>
      </c>
      <c r="W1054" t="s">
        <v>423</v>
      </c>
    </row>
    <row r="1055" spans="1:23" hidden="1" x14ac:dyDescent="0.2">
      <c r="A1055">
        <v>2012</v>
      </c>
      <c r="B1055" t="s">
        <v>304</v>
      </c>
      <c r="C1055" s="733">
        <v>40967.445162037038</v>
      </c>
      <c r="D10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55" t="s">
        <v>478</v>
      </c>
      <c r="F1055" t="s">
        <v>2622</v>
      </c>
      <c r="G1055" t="s">
        <v>8874</v>
      </c>
      <c r="H1055">
        <v>36127</v>
      </c>
      <c r="I1055" t="s">
        <v>423</v>
      </c>
      <c r="J1055" t="s">
        <v>2629</v>
      </c>
      <c r="K1055" t="s">
        <v>2625</v>
      </c>
      <c r="L1055" t="s">
        <v>2626</v>
      </c>
      <c r="M1055">
        <v>33</v>
      </c>
      <c r="N1055">
        <v>22.66</v>
      </c>
      <c r="O1055">
        <v>2643.06</v>
      </c>
      <c r="P1055">
        <v>0</v>
      </c>
      <c r="Q1055">
        <v>2643.06</v>
      </c>
      <c r="R1055">
        <v>422.89</v>
      </c>
      <c r="S1055">
        <v>105.72</v>
      </c>
      <c r="T1055">
        <v>2960.23</v>
      </c>
      <c r="U1055" t="s">
        <v>9428</v>
      </c>
      <c r="V1055" t="s">
        <v>9408</v>
      </c>
      <c r="W1055" t="s">
        <v>423</v>
      </c>
    </row>
    <row r="1056" spans="1:23" hidden="1" x14ac:dyDescent="0.2">
      <c r="A1056">
        <v>2012</v>
      </c>
      <c r="B1056" t="s">
        <v>304</v>
      </c>
      <c r="C1056" s="733">
        <v>40946.629814814813</v>
      </c>
      <c r="D10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56" t="s">
        <v>478</v>
      </c>
      <c r="F1056" t="s">
        <v>2622</v>
      </c>
      <c r="G1056" t="s">
        <v>2628</v>
      </c>
      <c r="H1056">
        <v>35359</v>
      </c>
      <c r="I1056" t="s">
        <v>423</v>
      </c>
      <c r="J1056" t="s">
        <v>2629</v>
      </c>
      <c r="K1056" t="s">
        <v>2625</v>
      </c>
      <c r="L1056" t="s">
        <v>2626</v>
      </c>
      <c r="M1056">
        <v>33</v>
      </c>
      <c r="N1056">
        <v>26.05</v>
      </c>
      <c r="O1056">
        <v>3038.47</v>
      </c>
      <c r="P1056">
        <v>0</v>
      </c>
      <c r="Q1056">
        <v>3038.47</v>
      </c>
      <c r="R1056">
        <v>486.16</v>
      </c>
      <c r="S1056">
        <v>121.54</v>
      </c>
      <c r="T1056">
        <v>3403.09</v>
      </c>
      <c r="U1056" t="s">
        <v>2630</v>
      </c>
      <c r="V1056" t="s">
        <v>9408</v>
      </c>
      <c r="W1056" t="s">
        <v>423</v>
      </c>
    </row>
    <row r="1057" spans="1:23" hidden="1" x14ac:dyDescent="0.2">
      <c r="A1057">
        <v>2012</v>
      </c>
      <c r="B1057" t="s">
        <v>304</v>
      </c>
      <c r="C1057" s="733">
        <v>40966</v>
      </c>
      <c r="D10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57" t="s">
        <v>485</v>
      </c>
      <c r="F1057" t="s">
        <v>2065</v>
      </c>
      <c r="G1057" t="s">
        <v>8800</v>
      </c>
      <c r="H1057">
        <v>42575</v>
      </c>
      <c r="I1057" t="s">
        <v>423</v>
      </c>
      <c r="J1057" t="s">
        <v>2186</v>
      </c>
      <c r="K1057" t="s">
        <v>2183</v>
      </c>
      <c r="L1057" t="s">
        <v>2184</v>
      </c>
      <c r="M1057">
        <v>19</v>
      </c>
      <c r="N1057">
        <v>16.239999999999998</v>
      </c>
      <c r="O1057">
        <v>1833.01</v>
      </c>
      <c r="P1057">
        <v>0</v>
      </c>
      <c r="Q1057">
        <v>1833.01</v>
      </c>
      <c r="R1057">
        <v>293.27999999999997</v>
      </c>
      <c r="S1057">
        <v>73.319999999999993</v>
      </c>
      <c r="T1057">
        <v>2052.9699999999998</v>
      </c>
      <c r="V1057" t="s">
        <v>9408</v>
      </c>
      <c r="W1057" t="s">
        <v>423</v>
      </c>
    </row>
    <row r="1058" spans="1:23" hidden="1" x14ac:dyDescent="0.2">
      <c r="A1058">
        <v>2012</v>
      </c>
      <c r="B1058" t="s">
        <v>304</v>
      </c>
      <c r="C1058" s="733">
        <v>40946.624016203707</v>
      </c>
      <c r="D10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58" t="s">
        <v>478</v>
      </c>
      <c r="F1058" t="s">
        <v>2622</v>
      </c>
      <c r="G1058" t="s">
        <v>5008</v>
      </c>
      <c r="H1058">
        <v>35399</v>
      </c>
      <c r="I1058" t="s">
        <v>423</v>
      </c>
      <c r="J1058" t="s">
        <v>2629</v>
      </c>
      <c r="K1058" t="s">
        <v>2625</v>
      </c>
      <c r="L1058" t="s">
        <v>2626</v>
      </c>
      <c r="M1058">
        <v>33</v>
      </c>
      <c r="N1058">
        <v>23.79</v>
      </c>
      <c r="O1058">
        <v>2774.87</v>
      </c>
      <c r="P1058">
        <v>0</v>
      </c>
      <c r="Q1058">
        <v>2774.87</v>
      </c>
      <c r="R1058">
        <v>443.98</v>
      </c>
      <c r="S1058">
        <v>110.99</v>
      </c>
      <c r="T1058">
        <v>3107.86</v>
      </c>
      <c r="U1058" t="s">
        <v>2652</v>
      </c>
      <c r="V1058" t="s">
        <v>9408</v>
      </c>
      <c r="W1058" t="s">
        <v>423</v>
      </c>
    </row>
    <row r="1059" spans="1:23" hidden="1" x14ac:dyDescent="0.2">
      <c r="A1059">
        <v>2012</v>
      </c>
      <c r="B1059" t="s">
        <v>303</v>
      </c>
      <c r="C1059" s="733">
        <v>40910</v>
      </c>
      <c r="D10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59" t="s">
        <v>478</v>
      </c>
      <c r="F1059" t="s">
        <v>2622</v>
      </c>
      <c r="G1059" t="s">
        <v>2659</v>
      </c>
      <c r="H1059">
        <v>34158</v>
      </c>
      <c r="I1059" t="s">
        <v>423</v>
      </c>
      <c r="J1059" t="s">
        <v>2629</v>
      </c>
      <c r="K1059" t="s">
        <v>2625</v>
      </c>
      <c r="L1059" t="s">
        <v>2626</v>
      </c>
      <c r="M1059">
        <v>33</v>
      </c>
      <c r="N1059">
        <v>24.91</v>
      </c>
      <c r="O1059">
        <v>1392.97</v>
      </c>
      <c r="P1059">
        <v>1207.635342</v>
      </c>
      <c r="Q1059">
        <v>2600.6053419999998</v>
      </c>
      <c r="R1059">
        <v>416.09685500000001</v>
      </c>
      <c r="S1059">
        <v>104.024214</v>
      </c>
      <c r="T1059">
        <v>2912.677983</v>
      </c>
      <c r="U1059" t="s">
        <v>2660</v>
      </c>
      <c r="V1059" t="s">
        <v>9408</v>
      </c>
      <c r="W1059" t="s">
        <v>423</v>
      </c>
    </row>
    <row r="1060" spans="1:23" hidden="1" x14ac:dyDescent="0.2">
      <c r="A1060">
        <v>2012</v>
      </c>
      <c r="B1060" t="s">
        <v>305</v>
      </c>
      <c r="C1060" s="733">
        <v>40970</v>
      </c>
      <c r="D1060" s="733" t="str">
        <f>CHOOSE(MONTH(Tabla_sqldatos_bonampakdb_Bon_v_ingresos2012[[#This Row],[fecha_guia]]),"Enero","Febrero","Marzo","Abril","Mayo","Junio","Julio","Agosto","Septiembre","Octubre","Noviembre","Diciembre")</f>
        <v>Marzo</v>
      </c>
      <c r="E1060" t="s">
        <v>485</v>
      </c>
      <c r="F1060" t="s">
        <v>2099</v>
      </c>
      <c r="G1060" t="s">
        <v>9665</v>
      </c>
      <c r="H1060">
        <v>42923</v>
      </c>
      <c r="I1060" t="s">
        <v>423</v>
      </c>
      <c r="J1060" t="s">
        <v>2141</v>
      </c>
      <c r="K1060" t="s">
        <v>2102</v>
      </c>
      <c r="L1060" t="s">
        <v>2103</v>
      </c>
      <c r="M1060">
        <v>114</v>
      </c>
      <c r="N1060">
        <v>24.45</v>
      </c>
      <c r="O1060">
        <v>3928.63</v>
      </c>
      <c r="P1060">
        <v>0</v>
      </c>
      <c r="Q1060">
        <v>3928.63</v>
      </c>
      <c r="R1060">
        <v>628.58000000000004</v>
      </c>
      <c r="S1060">
        <v>157.15</v>
      </c>
      <c r="T1060">
        <v>4400.0600000000004</v>
      </c>
      <c r="V1060" t="s">
        <v>9408</v>
      </c>
      <c r="W1060" t="s">
        <v>423</v>
      </c>
    </row>
    <row r="1061" spans="1:23" hidden="1" x14ac:dyDescent="0.2">
      <c r="A1061">
        <v>2012</v>
      </c>
      <c r="B1061" t="s">
        <v>305</v>
      </c>
      <c r="C1061" s="733">
        <v>40970</v>
      </c>
      <c r="D1061" s="733" t="str">
        <f>CHOOSE(MONTH(Tabla_sqldatos_bonampakdb_Bon_v_ingresos2012[[#This Row],[fecha_guia]]),"Enero","Febrero","Marzo","Abril","Mayo","Junio","Julio","Agosto","Septiembre","Octubre","Noviembre","Diciembre")</f>
        <v>Marzo</v>
      </c>
      <c r="E1061" t="s">
        <v>485</v>
      </c>
      <c r="F1061" t="s">
        <v>2099</v>
      </c>
      <c r="G1061" t="s">
        <v>9666</v>
      </c>
      <c r="H1061">
        <v>42917</v>
      </c>
      <c r="I1061" t="s">
        <v>423</v>
      </c>
      <c r="J1061" t="s">
        <v>2141</v>
      </c>
      <c r="K1061" t="s">
        <v>2102</v>
      </c>
      <c r="L1061" t="s">
        <v>2103</v>
      </c>
      <c r="M1061">
        <v>114</v>
      </c>
      <c r="N1061">
        <v>24.46</v>
      </c>
      <c r="O1061">
        <v>3930.23</v>
      </c>
      <c r="P1061">
        <v>0</v>
      </c>
      <c r="Q1061">
        <v>3930.23</v>
      </c>
      <c r="R1061">
        <v>628.84</v>
      </c>
      <c r="S1061">
        <v>157.21</v>
      </c>
      <c r="T1061">
        <v>4401.8599999999997</v>
      </c>
      <c r="V1061" t="s">
        <v>9408</v>
      </c>
      <c r="W1061" t="s">
        <v>423</v>
      </c>
    </row>
    <row r="1062" spans="1:23" hidden="1" x14ac:dyDescent="0.2">
      <c r="A1062">
        <v>2012</v>
      </c>
      <c r="B1062" t="s">
        <v>304</v>
      </c>
      <c r="C1062" s="733">
        <v>40942</v>
      </c>
      <c r="D10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62" t="s">
        <v>485</v>
      </c>
      <c r="F1062" t="s">
        <v>2099</v>
      </c>
      <c r="G1062" t="s">
        <v>2804</v>
      </c>
      <c r="H1062">
        <v>41392</v>
      </c>
      <c r="I1062" t="s">
        <v>423</v>
      </c>
      <c r="J1062" t="s">
        <v>2141</v>
      </c>
      <c r="K1062" t="s">
        <v>2102</v>
      </c>
      <c r="L1062" t="s">
        <v>2103</v>
      </c>
      <c r="M1062">
        <v>114</v>
      </c>
      <c r="N1062">
        <v>24.37</v>
      </c>
      <c r="O1062">
        <v>3915.77</v>
      </c>
      <c r="P1062">
        <v>0</v>
      </c>
      <c r="Q1062">
        <v>3915.77</v>
      </c>
      <c r="R1062">
        <v>626.52</v>
      </c>
      <c r="S1062">
        <v>156.63</v>
      </c>
      <c r="T1062">
        <v>4385.66</v>
      </c>
      <c r="U1062" t="s">
        <v>2110</v>
      </c>
      <c r="V1062" t="s">
        <v>9408</v>
      </c>
      <c r="W1062" t="s">
        <v>423</v>
      </c>
    </row>
    <row r="1063" spans="1:23" hidden="1" x14ac:dyDescent="0.2">
      <c r="A1063">
        <v>2012</v>
      </c>
      <c r="B1063" t="s">
        <v>303</v>
      </c>
      <c r="C1063" s="733">
        <v>40918</v>
      </c>
      <c r="D10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63" t="s">
        <v>485</v>
      </c>
      <c r="F1063" t="s">
        <v>2099</v>
      </c>
      <c r="G1063" t="s">
        <v>2805</v>
      </c>
      <c r="H1063">
        <v>39987</v>
      </c>
      <c r="I1063" t="s">
        <v>423</v>
      </c>
      <c r="J1063" t="s">
        <v>2141</v>
      </c>
      <c r="K1063" t="s">
        <v>2102</v>
      </c>
      <c r="L1063" t="s">
        <v>2103</v>
      </c>
      <c r="M1063">
        <v>114</v>
      </c>
      <c r="N1063">
        <v>26.32</v>
      </c>
      <c r="O1063">
        <v>4229.1000000000004</v>
      </c>
      <c r="P1063">
        <v>0</v>
      </c>
      <c r="Q1063">
        <v>4229.1000000000004</v>
      </c>
      <c r="R1063">
        <v>676.66</v>
      </c>
      <c r="S1063">
        <v>169.16</v>
      </c>
      <c r="T1063">
        <v>4736.6000000000004</v>
      </c>
      <c r="U1063" t="s">
        <v>2106</v>
      </c>
      <c r="V1063" t="s">
        <v>9408</v>
      </c>
      <c r="W1063" t="s">
        <v>423</v>
      </c>
    </row>
    <row r="1064" spans="1:23" hidden="1" x14ac:dyDescent="0.2">
      <c r="A1064">
        <v>2012</v>
      </c>
      <c r="B1064" t="s">
        <v>303</v>
      </c>
      <c r="C1064" s="733">
        <v>40924</v>
      </c>
      <c r="D10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64" t="s">
        <v>485</v>
      </c>
      <c r="F1064" t="s">
        <v>2099</v>
      </c>
      <c r="G1064" t="s">
        <v>2803</v>
      </c>
      <c r="H1064">
        <v>40369</v>
      </c>
      <c r="I1064" t="s">
        <v>423</v>
      </c>
      <c r="J1064" t="s">
        <v>2141</v>
      </c>
      <c r="K1064" t="s">
        <v>2102</v>
      </c>
      <c r="L1064" t="s">
        <v>2103</v>
      </c>
      <c r="M1064">
        <v>114</v>
      </c>
      <c r="N1064">
        <v>24.96</v>
      </c>
      <c r="O1064">
        <v>4010.57</v>
      </c>
      <c r="P1064">
        <v>0</v>
      </c>
      <c r="Q1064">
        <v>4010.57</v>
      </c>
      <c r="R1064">
        <v>641.69000000000005</v>
      </c>
      <c r="S1064">
        <v>160.41999999999999</v>
      </c>
      <c r="T1064">
        <v>4491.84</v>
      </c>
      <c r="U1064" t="s">
        <v>2106</v>
      </c>
      <c r="V1064" t="s">
        <v>9408</v>
      </c>
      <c r="W1064" t="s">
        <v>423</v>
      </c>
    </row>
    <row r="1065" spans="1:23" hidden="1" x14ac:dyDescent="0.2">
      <c r="A1065">
        <v>2012</v>
      </c>
      <c r="B1065" t="s">
        <v>304</v>
      </c>
      <c r="C1065" s="733">
        <v>40949</v>
      </c>
      <c r="D10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65" t="s">
        <v>478</v>
      </c>
      <c r="F1065" t="s">
        <v>2136</v>
      </c>
      <c r="G1065" t="s">
        <v>6840</v>
      </c>
      <c r="H1065">
        <v>35489</v>
      </c>
      <c r="I1065" t="s">
        <v>423</v>
      </c>
      <c r="J1065" t="s">
        <v>4791</v>
      </c>
      <c r="K1065" t="s">
        <v>425</v>
      </c>
      <c r="L1065" t="s">
        <v>2145</v>
      </c>
      <c r="M1065">
        <v>139</v>
      </c>
      <c r="N1065">
        <v>25.03</v>
      </c>
      <c r="O1065">
        <v>4180.51</v>
      </c>
      <c r="P1065">
        <v>0</v>
      </c>
      <c r="Q1065">
        <v>4180.51</v>
      </c>
      <c r="R1065">
        <v>668.88</v>
      </c>
      <c r="S1065">
        <v>167.22</v>
      </c>
      <c r="T1065">
        <v>4682.17</v>
      </c>
      <c r="U1065" t="s">
        <v>7523</v>
      </c>
      <c r="V1065" t="s">
        <v>9408</v>
      </c>
      <c r="W1065" t="s">
        <v>423</v>
      </c>
    </row>
    <row r="1066" spans="1:23" hidden="1" x14ac:dyDescent="0.2">
      <c r="A1066">
        <v>2012</v>
      </c>
      <c r="B1066" t="s">
        <v>304</v>
      </c>
      <c r="C1066" s="733">
        <v>40948</v>
      </c>
      <c r="D10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66" t="s">
        <v>485</v>
      </c>
      <c r="F1066" t="s">
        <v>2065</v>
      </c>
      <c r="G1066" t="s">
        <v>6828</v>
      </c>
      <c r="H1066">
        <v>41637</v>
      </c>
      <c r="I1066" t="s">
        <v>423</v>
      </c>
      <c r="J1066" t="s">
        <v>2141</v>
      </c>
      <c r="K1066" t="s">
        <v>2102</v>
      </c>
      <c r="L1066" t="s">
        <v>2103</v>
      </c>
      <c r="M1066">
        <v>114</v>
      </c>
      <c r="N1066">
        <v>32.200000000000003</v>
      </c>
      <c r="O1066">
        <v>5173.8999999999996</v>
      </c>
      <c r="P1066">
        <v>0</v>
      </c>
      <c r="Q1066">
        <v>5173.8999999999996</v>
      </c>
      <c r="R1066">
        <v>827.82</v>
      </c>
      <c r="S1066">
        <v>206.96</v>
      </c>
      <c r="T1066">
        <v>5794.76</v>
      </c>
      <c r="U1066" t="s">
        <v>7462</v>
      </c>
      <c r="V1066" t="s">
        <v>9408</v>
      </c>
      <c r="W1066" t="s">
        <v>423</v>
      </c>
    </row>
    <row r="1067" spans="1:23" hidden="1" x14ac:dyDescent="0.2">
      <c r="A1067">
        <v>2012</v>
      </c>
      <c r="B1067" t="s">
        <v>304</v>
      </c>
      <c r="C1067" s="733">
        <v>40948</v>
      </c>
      <c r="D10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67" t="s">
        <v>485</v>
      </c>
      <c r="F1067" t="s">
        <v>2065</v>
      </c>
      <c r="G1067" t="s">
        <v>6827</v>
      </c>
      <c r="H1067">
        <v>41640</v>
      </c>
      <c r="I1067" t="s">
        <v>423</v>
      </c>
      <c r="J1067" t="s">
        <v>2141</v>
      </c>
      <c r="K1067" t="s">
        <v>2102</v>
      </c>
      <c r="L1067" t="s">
        <v>2103</v>
      </c>
      <c r="M1067">
        <v>114</v>
      </c>
      <c r="N1067">
        <v>32.89</v>
      </c>
      <c r="O1067">
        <v>5284.77</v>
      </c>
      <c r="P1067">
        <v>0</v>
      </c>
      <c r="Q1067">
        <v>5284.77</v>
      </c>
      <c r="R1067">
        <v>845.56</v>
      </c>
      <c r="S1067">
        <v>211.39</v>
      </c>
      <c r="T1067">
        <v>5918.94</v>
      </c>
      <c r="U1067" t="s">
        <v>7462</v>
      </c>
      <c r="V1067" t="s">
        <v>9408</v>
      </c>
      <c r="W1067" t="s">
        <v>423</v>
      </c>
    </row>
    <row r="1068" spans="1:23" hidden="1" x14ac:dyDescent="0.2">
      <c r="A1068">
        <v>2012</v>
      </c>
      <c r="B1068" t="s">
        <v>303</v>
      </c>
      <c r="C1068" s="733">
        <v>40921</v>
      </c>
      <c r="D10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68" t="s">
        <v>478</v>
      </c>
      <c r="F1068" t="s">
        <v>2622</v>
      </c>
      <c r="G1068" t="s">
        <v>6826</v>
      </c>
      <c r="H1068">
        <v>34448</v>
      </c>
      <c r="I1068" t="s">
        <v>423</v>
      </c>
      <c r="J1068" t="s">
        <v>2144</v>
      </c>
      <c r="K1068" t="s">
        <v>425</v>
      </c>
      <c r="L1068" t="s">
        <v>2145</v>
      </c>
      <c r="M1068">
        <v>1354</v>
      </c>
      <c r="N1068">
        <v>49.85</v>
      </c>
      <c r="O1068">
        <v>45203.48</v>
      </c>
      <c r="P1068">
        <v>0</v>
      </c>
      <c r="Q1068">
        <v>45203.48</v>
      </c>
      <c r="R1068">
        <v>7232.56</v>
      </c>
      <c r="S1068">
        <v>1808.14</v>
      </c>
      <c r="T1068">
        <v>50627.9</v>
      </c>
      <c r="U1068" t="s">
        <v>2350</v>
      </c>
      <c r="V1068" t="s">
        <v>9409</v>
      </c>
      <c r="W1068" t="s">
        <v>423</v>
      </c>
    </row>
    <row r="1069" spans="1:23" hidden="1" x14ac:dyDescent="0.2">
      <c r="A1069">
        <v>2012</v>
      </c>
      <c r="B1069" t="s">
        <v>303</v>
      </c>
      <c r="C1069" s="733">
        <v>40927.712939814817</v>
      </c>
      <c r="D10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69" t="s">
        <v>478</v>
      </c>
      <c r="F1069" t="s">
        <v>2622</v>
      </c>
      <c r="G1069" t="s">
        <v>2653</v>
      </c>
      <c r="H1069">
        <v>34743</v>
      </c>
      <c r="I1069" t="s">
        <v>423</v>
      </c>
      <c r="J1069" t="s">
        <v>2629</v>
      </c>
      <c r="K1069" t="s">
        <v>2625</v>
      </c>
      <c r="L1069" t="s">
        <v>2626</v>
      </c>
      <c r="M1069">
        <v>33</v>
      </c>
      <c r="N1069">
        <v>25.25</v>
      </c>
      <c r="O1069">
        <v>2945.16</v>
      </c>
      <c r="P1069">
        <v>0</v>
      </c>
      <c r="Q1069">
        <v>2945.16</v>
      </c>
      <c r="R1069">
        <v>471.23</v>
      </c>
      <c r="S1069">
        <v>117.81</v>
      </c>
      <c r="T1069">
        <v>3298.58</v>
      </c>
      <c r="U1069" t="s">
        <v>2635</v>
      </c>
      <c r="V1069" t="s">
        <v>9408</v>
      </c>
      <c r="W1069" t="s">
        <v>423</v>
      </c>
    </row>
    <row r="1070" spans="1:23" hidden="1" x14ac:dyDescent="0.2">
      <c r="A1070">
        <v>2012</v>
      </c>
      <c r="B1070" t="s">
        <v>304</v>
      </c>
      <c r="C1070" s="733">
        <v>40947.415763888886</v>
      </c>
      <c r="D10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70" t="s">
        <v>478</v>
      </c>
      <c r="F1070" t="s">
        <v>2622</v>
      </c>
      <c r="G1070" t="s">
        <v>5011</v>
      </c>
      <c r="H1070">
        <v>35430</v>
      </c>
      <c r="I1070" t="s">
        <v>423</v>
      </c>
      <c r="J1070" t="s">
        <v>2629</v>
      </c>
      <c r="K1070" t="s">
        <v>2625</v>
      </c>
      <c r="L1070" t="s">
        <v>2626</v>
      </c>
      <c r="M1070">
        <v>33</v>
      </c>
      <c r="N1070">
        <v>20.23</v>
      </c>
      <c r="O1070">
        <v>2359.63</v>
      </c>
      <c r="P1070">
        <v>0</v>
      </c>
      <c r="Q1070">
        <v>2359.63</v>
      </c>
      <c r="R1070">
        <v>377.54</v>
      </c>
      <c r="S1070">
        <v>94.39</v>
      </c>
      <c r="T1070">
        <v>2642.78</v>
      </c>
      <c r="U1070" t="s">
        <v>2652</v>
      </c>
      <c r="V1070" t="s">
        <v>9408</v>
      </c>
      <c r="W1070" t="s">
        <v>423</v>
      </c>
    </row>
    <row r="1071" spans="1:23" hidden="1" x14ac:dyDescent="0.2">
      <c r="A1071">
        <v>2012</v>
      </c>
      <c r="B1071" t="s">
        <v>304</v>
      </c>
      <c r="C1071" s="733">
        <v>40963.553067129629</v>
      </c>
      <c r="D10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71" t="s">
        <v>478</v>
      </c>
      <c r="F1071" t="s">
        <v>2622</v>
      </c>
      <c r="G1071" t="s">
        <v>9186</v>
      </c>
      <c r="H1071">
        <v>35994</v>
      </c>
      <c r="I1071" t="s">
        <v>423</v>
      </c>
      <c r="J1071" t="s">
        <v>2629</v>
      </c>
      <c r="K1071" t="s">
        <v>2625</v>
      </c>
      <c r="L1071" t="s">
        <v>2626</v>
      </c>
      <c r="M1071">
        <v>33</v>
      </c>
      <c r="N1071">
        <v>24.54</v>
      </c>
      <c r="O1071">
        <v>2862.35</v>
      </c>
      <c r="P1071">
        <v>0</v>
      </c>
      <c r="Q1071">
        <v>2862.35</v>
      </c>
      <c r="R1071">
        <v>457.98</v>
      </c>
      <c r="S1071">
        <v>114.49</v>
      </c>
      <c r="T1071">
        <v>3205.84</v>
      </c>
      <c r="V1071" t="s">
        <v>9408</v>
      </c>
      <c r="W1071" t="s">
        <v>423</v>
      </c>
    </row>
    <row r="1072" spans="1:23" hidden="1" x14ac:dyDescent="0.2">
      <c r="A1072">
        <v>2012</v>
      </c>
      <c r="B1072" t="s">
        <v>304</v>
      </c>
      <c r="C1072" s="733">
        <v>40962</v>
      </c>
      <c r="D10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72" t="s">
        <v>485</v>
      </c>
      <c r="F1072" t="s">
        <v>2065</v>
      </c>
      <c r="G1072" t="s">
        <v>8645</v>
      </c>
      <c r="H1072">
        <v>42466</v>
      </c>
      <c r="I1072" t="s">
        <v>423</v>
      </c>
      <c r="J1072" t="s">
        <v>2186</v>
      </c>
      <c r="K1072" t="s">
        <v>2183</v>
      </c>
      <c r="L1072" t="s">
        <v>2184</v>
      </c>
      <c r="M1072">
        <v>19</v>
      </c>
      <c r="N1072">
        <v>16.100000000000001</v>
      </c>
      <c r="O1072">
        <v>1817.21</v>
      </c>
      <c r="P1072">
        <v>0</v>
      </c>
      <c r="Q1072">
        <v>1817.21</v>
      </c>
      <c r="R1072">
        <v>290.75</v>
      </c>
      <c r="S1072">
        <v>72.69</v>
      </c>
      <c r="T1072">
        <v>2035.27</v>
      </c>
      <c r="U1072" t="s">
        <v>9411</v>
      </c>
      <c r="V1072" t="s">
        <v>9408</v>
      </c>
      <c r="W1072" t="s">
        <v>423</v>
      </c>
    </row>
    <row r="1073" spans="1:23" hidden="1" x14ac:dyDescent="0.2">
      <c r="A1073">
        <v>2012</v>
      </c>
      <c r="B1073" t="s">
        <v>304</v>
      </c>
      <c r="C1073" s="733">
        <v>40942</v>
      </c>
      <c r="D10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73" t="s">
        <v>485</v>
      </c>
      <c r="F1073" t="s">
        <v>2065</v>
      </c>
      <c r="G1073" t="s">
        <v>3445</v>
      </c>
      <c r="H1073">
        <v>41294</v>
      </c>
      <c r="I1073" t="s">
        <v>423</v>
      </c>
      <c r="J1073" t="s">
        <v>2186</v>
      </c>
      <c r="K1073" t="s">
        <v>2183</v>
      </c>
      <c r="L1073" t="s">
        <v>2184</v>
      </c>
      <c r="M1073">
        <v>19</v>
      </c>
      <c r="N1073">
        <v>16.14</v>
      </c>
      <c r="O1073">
        <v>1821.72</v>
      </c>
      <c r="P1073">
        <v>0</v>
      </c>
      <c r="Q1073">
        <v>1821.72</v>
      </c>
      <c r="R1073">
        <v>291.48</v>
      </c>
      <c r="S1073">
        <v>72.87</v>
      </c>
      <c r="T1073">
        <v>2040.33</v>
      </c>
      <c r="U1073" t="s">
        <v>2192</v>
      </c>
      <c r="V1073" t="s">
        <v>9408</v>
      </c>
      <c r="W1073" t="s">
        <v>423</v>
      </c>
    </row>
    <row r="1074" spans="1:23" hidden="1" x14ac:dyDescent="0.2">
      <c r="A1074">
        <v>2012</v>
      </c>
      <c r="B1074" t="s">
        <v>304</v>
      </c>
      <c r="C1074" s="733">
        <v>40953.456145833334</v>
      </c>
      <c r="D10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74" t="s">
        <v>485</v>
      </c>
      <c r="F1074" t="s">
        <v>2065</v>
      </c>
      <c r="G1074" t="s">
        <v>3448</v>
      </c>
      <c r="H1074">
        <v>41919</v>
      </c>
      <c r="I1074" t="s">
        <v>423</v>
      </c>
      <c r="J1074" t="s">
        <v>2186</v>
      </c>
      <c r="K1074" t="s">
        <v>2183</v>
      </c>
      <c r="L1074" t="s">
        <v>2184</v>
      </c>
      <c r="M1074">
        <v>19</v>
      </c>
      <c r="N1074">
        <v>15.86</v>
      </c>
      <c r="O1074">
        <v>1790.12</v>
      </c>
      <c r="P1074">
        <v>0</v>
      </c>
      <c r="Q1074">
        <v>1790.12</v>
      </c>
      <c r="R1074">
        <v>286.42</v>
      </c>
      <c r="S1074">
        <v>71.599999999999994</v>
      </c>
      <c r="T1074">
        <v>2004.94</v>
      </c>
      <c r="U1074" t="s">
        <v>8048</v>
      </c>
      <c r="V1074" t="s">
        <v>9408</v>
      </c>
      <c r="W1074" t="s">
        <v>423</v>
      </c>
    </row>
    <row r="1075" spans="1:23" hidden="1" x14ac:dyDescent="0.2">
      <c r="A1075">
        <v>2012</v>
      </c>
      <c r="B1075" t="s">
        <v>304</v>
      </c>
      <c r="C1075" s="733">
        <v>40940</v>
      </c>
      <c r="D10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75" t="s">
        <v>485</v>
      </c>
      <c r="F1075" t="s">
        <v>2065</v>
      </c>
      <c r="G1075" t="s">
        <v>3446</v>
      </c>
      <c r="H1075">
        <v>40048</v>
      </c>
      <c r="I1075" t="s">
        <v>423</v>
      </c>
      <c r="J1075" t="s">
        <v>2186</v>
      </c>
      <c r="K1075" t="s">
        <v>2183</v>
      </c>
      <c r="L1075" t="s">
        <v>2184</v>
      </c>
      <c r="M1075">
        <v>19</v>
      </c>
      <c r="N1075">
        <v>16.12</v>
      </c>
      <c r="O1075">
        <v>1819.46</v>
      </c>
      <c r="P1075">
        <v>0</v>
      </c>
      <c r="Q1075">
        <v>1819.46</v>
      </c>
      <c r="R1075">
        <v>291.11</v>
      </c>
      <c r="S1075">
        <v>72.78</v>
      </c>
      <c r="T1075">
        <v>2037.79</v>
      </c>
      <c r="U1075" t="s">
        <v>2187</v>
      </c>
      <c r="V1075" t="s">
        <v>9408</v>
      </c>
      <c r="W1075" t="s">
        <v>423</v>
      </c>
    </row>
    <row r="1076" spans="1:23" hidden="1" x14ac:dyDescent="0.2">
      <c r="A1076">
        <v>2012</v>
      </c>
      <c r="B1076" t="s">
        <v>304</v>
      </c>
      <c r="C1076" s="733">
        <v>40941</v>
      </c>
      <c r="D10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76" t="s">
        <v>485</v>
      </c>
      <c r="F1076" t="s">
        <v>2065</v>
      </c>
      <c r="G1076" t="s">
        <v>3447</v>
      </c>
      <c r="H1076">
        <v>41282</v>
      </c>
      <c r="I1076" t="s">
        <v>423</v>
      </c>
      <c r="J1076" t="s">
        <v>2186</v>
      </c>
      <c r="K1076" t="s">
        <v>2183</v>
      </c>
      <c r="L1076" t="s">
        <v>2184</v>
      </c>
      <c r="M1076">
        <v>19</v>
      </c>
      <c r="N1076">
        <v>16.3</v>
      </c>
      <c r="O1076">
        <v>1839.78</v>
      </c>
      <c r="P1076">
        <v>0</v>
      </c>
      <c r="Q1076">
        <v>1839.78</v>
      </c>
      <c r="R1076">
        <v>294.36</v>
      </c>
      <c r="S1076">
        <v>73.59</v>
      </c>
      <c r="T1076">
        <v>2060.5500000000002</v>
      </c>
      <c r="U1076" t="s">
        <v>2192</v>
      </c>
      <c r="V1076" t="s">
        <v>9408</v>
      </c>
      <c r="W1076" t="s">
        <v>423</v>
      </c>
    </row>
    <row r="1077" spans="1:23" hidden="1" x14ac:dyDescent="0.2">
      <c r="A1077">
        <v>2012</v>
      </c>
      <c r="B1077" t="s">
        <v>303</v>
      </c>
      <c r="C1077" s="733">
        <v>40938</v>
      </c>
      <c r="D10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77" t="s">
        <v>485</v>
      </c>
      <c r="F1077" t="s">
        <v>2065</v>
      </c>
      <c r="G1077" t="s">
        <v>4910</v>
      </c>
      <c r="H1077">
        <v>40957</v>
      </c>
      <c r="I1077" t="s">
        <v>423</v>
      </c>
      <c r="J1077" t="s">
        <v>3147</v>
      </c>
      <c r="K1077" t="s">
        <v>2183</v>
      </c>
      <c r="L1077" t="s">
        <v>2184</v>
      </c>
      <c r="M1077">
        <v>528</v>
      </c>
      <c r="N1077">
        <v>24.52</v>
      </c>
      <c r="O1077">
        <v>7591.39</v>
      </c>
      <c r="P1077">
        <v>0</v>
      </c>
      <c r="Q1077">
        <v>7591.39</v>
      </c>
      <c r="R1077">
        <v>1214.6199999999999</v>
      </c>
      <c r="S1077">
        <v>303.66000000000003</v>
      </c>
      <c r="T1077">
        <v>8502.35</v>
      </c>
      <c r="U1077" t="s">
        <v>2187</v>
      </c>
      <c r="V1077" t="s">
        <v>9408</v>
      </c>
      <c r="W1077" t="s">
        <v>423</v>
      </c>
    </row>
    <row r="1078" spans="1:23" hidden="1" x14ac:dyDescent="0.2">
      <c r="A1078">
        <v>2012</v>
      </c>
      <c r="B1078" t="s">
        <v>304</v>
      </c>
      <c r="C1078" s="733">
        <v>40962.450416666667</v>
      </c>
      <c r="D10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78" t="s">
        <v>485</v>
      </c>
      <c r="F1078" t="s">
        <v>2065</v>
      </c>
      <c r="G1078" t="s">
        <v>8506</v>
      </c>
      <c r="H1078">
        <v>42362</v>
      </c>
      <c r="I1078" t="s">
        <v>423</v>
      </c>
      <c r="J1078" t="s">
        <v>3147</v>
      </c>
      <c r="K1078" t="s">
        <v>2183</v>
      </c>
      <c r="L1078" t="s">
        <v>2184</v>
      </c>
      <c r="M1078">
        <v>528</v>
      </c>
      <c r="N1078">
        <v>25.78</v>
      </c>
      <c r="O1078">
        <v>7981.49</v>
      </c>
      <c r="P1078">
        <v>0</v>
      </c>
      <c r="Q1078">
        <v>7981.49</v>
      </c>
      <c r="R1078">
        <v>1277.04</v>
      </c>
      <c r="S1078">
        <v>319.26</v>
      </c>
      <c r="T1078">
        <v>8939.27</v>
      </c>
      <c r="U1078" t="s">
        <v>9411</v>
      </c>
      <c r="V1078" t="s">
        <v>9409</v>
      </c>
      <c r="W1078" t="s">
        <v>423</v>
      </c>
    </row>
    <row r="1079" spans="1:23" hidden="1" x14ac:dyDescent="0.2">
      <c r="A1079">
        <v>2012</v>
      </c>
      <c r="B1079" t="s">
        <v>303</v>
      </c>
      <c r="C1079" s="733">
        <v>40927</v>
      </c>
      <c r="D10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79" t="s">
        <v>485</v>
      </c>
      <c r="F1079" t="s">
        <v>2065</v>
      </c>
      <c r="G1079" t="s">
        <v>4818</v>
      </c>
      <c r="H1079">
        <v>40570</v>
      </c>
      <c r="I1079" t="s">
        <v>423</v>
      </c>
      <c r="J1079" t="s">
        <v>3204</v>
      </c>
      <c r="K1079" t="s">
        <v>2183</v>
      </c>
      <c r="L1079" t="s">
        <v>2184</v>
      </c>
      <c r="M1079">
        <v>80</v>
      </c>
      <c r="N1079">
        <v>25.3</v>
      </c>
      <c r="O1079">
        <v>2855.61</v>
      </c>
      <c r="P1079">
        <v>0</v>
      </c>
      <c r="Q1079">
        <v>2855.61</v>
      </c>
      <c r="R1079">
        <v>456.9</v>
      </c>
      <c r="S1079">
        <v>114.22</v>
      </c>
      <c r="T1079">
        <v>3198.29</v>
      </c>
      <c r="U1079" t="s">
        <v>2187</v>
      </c>
      <c r="V1079" t="s">
        <v>9408</v>
      </c>
      <c r="W1079" t="s">
        <v>423</v>
      </c>
    </row>
    <row r="1080" spans="1:23" x14ac:dyDescent="0.2">
      <c r="A1080">
        <v>2012</v>
      </c>
      <c r="B1080" t="s">
        <v>304</v>
      </c>
      <c r="C1080" s="733">
        <v>40967</v>
      </c>
      <c r="D10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80" t="s">
        <v>485</v>
      </c>
      <c r="F1080" t="s">
        <v>2065</v>
      </c>
      <c r="G1080" t="s">
        <v>8863</v>
      </c>
      <c r="H1080">
        <v>42588</v>
      </c>
      <c r="I1080" t="s">
        <v>423</v>
      </c>
      <c r="J1080" t="s">
        <v>2050</v>
      </c>
      <c r="K1080" t="s">
        <v>2051</v>
      </c>
      <c r="L1080" t="s">
        <v>2052</v>
      </c>
      <c r="M1080">
        <v>90</v>
      </c>
      <c r="N1080">
        <v>49.1</v>
      </c>
      <c r="O1080">
        <v>6889.22</v>
      </c>
      <c r="P1080">
        <v>0</v>
      </c>
      <c r="Q1080">
        <v>6889.22</v>
      </c>
      <c r="R1080">
        <v>1102.28</v>
      </c>
      <c r="S1080">
        <v>275.57</v>
      </c>
      <c r="T1080">
        <v>7715.93</v>
      </c>
      <c r="V1080" t="s">
        <v>9409</v>
      </c>
      <c r="W1080" t="s">
        <v>423</v>
      </c>
    </row>
    <row r="1081" spans="1:23" x14ac:dyDescent="0.2">
      <c r="A1081">
        <v>2012</v>
      </c>
      <c r="B1081" t="s">
        <v>304</v>
      </c>
      <c r="C1081" s="733">
        <v>40968</v>
      </c>
      <c r="D10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81" t="s">
        <v>485</v>
      </c>
      <c r="F1081" t="s">
        <v>2054</v>
      </c>
      <c r="G1081" t="s">
        <v>9418</v>
      </c>
      <c r="H1081">
        <v>42867</v>
      </c>
      <c r="I1081" t="s">
        <v>423</v>
      </c>
      <c r="J1081" t="s">
        <v>2050</v>
      </c>
      <c r="K1081" t="s">
        <v>2051</v>
      </c>
      <c r="L1081" t="s">
        <v>2052</v>
      </c>
      <c r="M1081">
        <v>90</v>
      </c>
      <c r="N1081">
        <v>49.3</v>
      </c>
      <c r="O1081">
        <v>6917.28</v>
      </c>
      <c r="P1081">
        <v>0</v>
      </c>
      <c r="Q1081">
        <v>6917.28</v>
      </c>
      <c r="R1081">
        <v>1106.77</v>
      </c>
      <c r="S1081">
        <v>276.69</v>
      </c>
      <c r="T1081">
        <v>7747.36</v>
      </c>
      <c r="V1081" t="s">
        <v>9409</v>
      </c>
      <c r="W1081" t="s">
        <v>423</v>
      </c>
    </row>
    <row r="1082" spans="1:23" hidden="1" x14ac:dyDescent="0.2">
      <c r="A1082">
        <v>2012</v>
      </c>
      <c r="B1082" t="s">
        <v>303</v>
      </c>
      <c r="C1082" s="733">
        <v>40932</v>
      </c>
      <c r="D10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82" t="s">
        <v>485</v>
      </c>
      <c r="F1082" t="s">
        <v>2048</v>
      </c>
      <c r="G1082" t="s">
        <v>2063</v>
      </c>
      <c r="H1082">
        <v>40006</v>
      </c>
      <c r="I1082" t="s">
        <v>423</v>
      </c>
      <c r="J1082" t="s">
        <v>2050</v>
      </c>
      <c r="K1082" t="s">
        <v>2051</v>
      </c>
      <c r="L1082" t="s">
        <v>2052</v>
      </c>
      <c r="M1082">
        <v>90</v>
      </c>
      <c r="N1082">
        <v>25.25</v>
      </c>
      <c r="O1082">
        <v>3542.83</v>
      </c>
      <c r="P1082">
        <v>0</v>
      </c>
      <c r="Q1082">
        <v>3542.83</v>
      </c>
      <c r="R1082">
        <v>566.85</v>
      </c>
      <c r="S1082">
        <v>141.71</v>
      </c>
      <c r="T1082">
        <v>3967.97</v>
      </c>
      <c r="U1082" t="s">
        <v>2064</v>
      </c>
      <c r="V1082" t="s">
        <v>9408</v>
      </c>
      <c r="W1082" t="s">
        <v>423</v>
      </c>
    </row>
    <row r="1083" spans="1:23" x14ac:dyDescent="0.2">
      <c r="A1083">
        <v>2012</v>
      </c>
      <c r="B1083" t="s">
        <v>304</v>
      </c>
      <c r="C1083" s="733">
        <v>40967</v>
      </c>
      <c r="D10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83" t="s">
        <v>485</v>
      </c>
      <c r="F1083" t="s">
        <v>2084</v>
      </c>
      <c r="G1083" t="s">
        <v>8866</v>
      </c>
      <c r="H1083">
        <v>42707</v>
      </c>
      <c r="I1083" t="s">
        <v>423</v>
      </c>
      <c r="J1083" t="s">
        <v>2050</v>
      </c>
      <c r="K1083" t="s">
        <v>2051</v>
      </c>
      <c r="L1083" t="s">
        <v>2052</v>
      </c>
      <c r="M1083">
        <v>90</v>
      </c>
      <c r="N1083">
        <v>25.5</v>
      </c>
      <c r="O1083">
        <v>3577.9</v>
      </c>
      <c r="P1083">
        <v>0</v>
      </c>
      <c r="Q1083">
        <v>3577.9</v>
      </c>
      <c r="R1083">
        <v>572.46</v>
      </c>
      <c r="S1083">
        <v>143.12</v>
      </c>
      <c r="T1083">
        <v>4007.24</v>
      </c>
      <c r="V1083" t="s">
        <v>9408</v>
      </c>
      <c r="W1083" t="s">
        <v>423</v>
      </c>
    </row>
    <row r="1084" spans="1:23" hidden="1" x14ac:dyDescent="0.2">
      <c r="A1084">
        <v>2012</v>
      </c>
      <c r="B1084" t="s">
        <v>304</v>
      </c>
      <c r="C1084" s="733">
        <v>40948</v>
      </c>
      <c r="D10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84" t="s">
        <v>485</v>
      </c>
      <c r="F1084" t="s">
        <v>2048</v>
      </c>
      <c r="G1084" t="s">
        <v>5056</v>
      </c>
      <c r="H1084">
        <v>41646</v>
      </c>
      <c r="I1084" t="s">
        <v>423</v>
      </c>
      <c r="J1084" t="s">
        <v>2171</v>
      </c>
      <c r="K1084" t="s">
        <v>2051</v>
      </c>
      <c r="L1084" t="s">
        <v>2052</v>
      </c>
      <c r="M1084">
        <v>57</v>
      </c>
      <c r="N1084">
        <v>25.65</v>
      </c>
      <c r="O1084">
        <v>3598.95</v>
      </c>
      <c r="P1084">
        <v>0</v>
      </c>
      <c r="Q1084">
        <v>3598.95</v>
      </c>
      <c r="R1084">
        <v>575.83000000000004</v>
      </c>
      <c r="S1084">
        <v>143.96</v>
      </c>
      <c r="T1084">
        <v>4030.82</v>
      </c>
      <c r="U1084" t="s">
        <v>7568</v>
      </c>
      <c r="V1084" t="s">
        <v>9408</v>
      </c>
      <c r="W1084" t="s">
        <v>423</v>
      </c>
    </row>
    <row r="1085" spans="1:23" hidden="1" x14ac:dyDescent="0.2">
      <c r="A1085">
        <v>2012</v>
      </c>
      <c r="B1085" t="s">
        <v>304</v>
      </c>
      <c r="C1085" s="733">
        <v>40956</v>
      </c>
      <c r="D10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85" t="s">
        <v>485</v>
      </c>
      <c r="F1085" t="s">
        <v>2065</v>
      </c>
      <c r="G1085" t="s">
        <v>7521</v>
      </c>
      <c r="H1085">
        <v>42168</v>
      </c>
      <c r="I1085" t="s">
        <v>423</v>
      </c>
      <c r="J1085" t="s">
        <v>2050</v>
      </c>
      <c r="K1085" t="s">
        <v>2051</v>
      </c>
      <c r="L1085" t="s">
        <v>2052</v>
      </c>
      <c r="M1085">
        <v>90</v>
      </c>
      <c r="N1085">
        <v>53.2</v>
      </c>
      <c r="O1085">
        <v>7464.49</v>
      </c>
      <c r="P1085">
        <v>0</v>
      </c>
      <c r="Q1085">
        <v>7464.49</v>
      </c>
      <c r="R1085">
        <v>1194.32</v>
      </c>
      <c r="S1085">
        <v>298.58</v>
      </c>
      <c r="T1085">
        <v>8360.23</v>
      </c>
      <c r="U1085" t="s">
        <v>8257</v>
      </c>
      <c r="V1085" t="s">
        <v>9409</v>
      </c>
      <c r="W1085" t="s">
        <v>423</v>
      </c>
    </row>
    <row r="1086" spans="1:23" hidden="1" x14ac:dyDescent="0.2">
      <c r="A1086">
        <v>2012</v>
      </c>
      <c r="B1086" t="s">
        <v>304</v>
      </c>
      <c r="C1086" s="733">
        <v>40953</v>
      </c>
      <c r="D10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86" t="s">
        <v>485</v>
      </c>
      <c r="F1086" t="s">
        <v>2065</v>
      </c>
      <c r="G1086" t="s">
        <v>2068</v>
      </c>
      <c r="H1086">
        <v>41881</v>
      </c>
      <c r="I1086" t="s">
        <v>423</v>
      </c>
      <c r="J1086" t="s">
        <v>2050</v>
      </c>
      <c r="K1086" t="s">
        <v>2051</v>
      </c>
      <c r="L1086" t="s">
        <v>2052</v>
      </c>
      <c r="M1086">
        <v>90</v>
      </c>
      <c r="N1086">
        <v>55.25</v>
      </c>
      <c r="O1086">
        <v>7752.13</v>
      </c>
      <c r="P1086">
        <v>0</v>
      </c>
      <c r="Q1086">
        <v>7752.13</v>
      </c>
      <c r="R1086">
        <v>1240.3399999999999</v>
      </c>
      <c r="S1086">
        <v>310.08999999999997</v>
      </c>
      <c r="T1086">
        <v>8682.3799999999992</v>
      </c>
      <c r="U1086" t="s">
        <v>8257</v>
      </c>
      <c r="V1086" t="s">
        <v>9409</v>
      </c>
      <c r="W1086" t="s">
        <v>423</v>
      </c>
    </row>
    <row r="1087" spans="1:23" hidden="1" x14ac:dyDescent="0.2">
      <c r="A1087">
        <v>2012</v>
      </c>
      <c r="B1087" t="s">
        <v>304</v>
      </c>
      <c r="C1087" s="733">
        <v>40943.596597222226</v>
      </c>
      <c r="D10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87" t="s">
        <v>485</v>
      </c>
      <c r="F1087" t="s">
        <v>2054</v>
      </c>
      <c r="G1087" t="s">
        <v>2086</v>
      </c>
      <c r="H1087">
        <v>10328</v>
      </c>
      <c r="I1087" t="s">
        <v>423</v>
      </c>
      <c r="J1087" t="s">
        <v>2056</v>
      </c>
      <c r="K1087" t="s">
        <v>2057</v>
      </c>
      <c r="L1087" t="s">
        <v>2058</v>
      </c>
      <c r="M1087">
        <v>19</v>
      </c>
      <c r="N1087">
        <v>47.77</v>
      </c>
      <c r="O1087">
        <v>5391.8</v>
      </c>
      <c r="P1087">
        <v>0</v>
      </c>
      <c r="Q1087">
        <v>5391.8</v>
      </c>
      <c r="R1087">
        <v>862.69</v>
      </c>
      <c r="S1087">
        <v>215.67</v>
      </c>
      <c r="T1087">
        <v>6038.82</v>
      </c>
      <c r="U1087" t="s">
        <v>2075</v>
      </c>
      <c r="V1087" t="s">
        <v>9409</v>
      </c>
      <c r="W1087" t="s">
        <v>423</v>
      </c>
    </row>
    <row r="1088" spans="1:23" hidden="1" x14ac:dyDescent="0.2">
      <c r="A1088">
        <v>2012</v>
      </c>
      <c r="B1088" t="s">
        <v>303</v>
      </c>
      <c r="C1088" s="733">
        <v>40924.507268518515</v>
      </c>
      <c r="D10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88" t="s">
        <v>485</v>
      </c>
      <c r="F1088" t="s">
        <v>2048</v>
      </c>
      <c r="G1088" t="s">
        <v>5065</v>
      </c>
      <c r="H1088">
        <v>40378</v>
      </c>
      <c r="I1088" t="s">
        <v>423</v>
      </c>
      <c r="J1088" t="s">
        <v>2050</v>
      </c>
      <c r="K1088" t="s">
        <v>2051</v>
      </c>
      <c r="L1088" t="s">
        <v>2052</v>
      </c>
      <c r="M1088">
        <v>90</v>
      </c>
      <c r="N1088">
        <v>57.75</v>
      </c>
      <c r="O1088">
        <v>8102.9</v>
      </c>
      <c r="P1088">
        <v>0</v>
      </c>
      <c r="Q1088">
        <v>8102.9</v>
      </c>
      <c r="R1088">
        <v>1296.46</v>
      </c>
      <c r="S1088">
        <v>324.12</v>
      </c>
      <c r="T1088">
        <v>9075.24</v>
      </c>
      <c r="U1088" t="s">
        <v>2062</v>
      </c>
      <c r="V1088" t="s">
        <v>9409</v>
      </c>
      <c r="W1088" t="s">
        <v>423</v>
      </c>
    </row>
    <row r="1089" spans="1:23" hidden="1" x14ac:dyDescent="0.2">
      <c r="A1089">
        <v>2012</v>
      </c>
      <c r="B1089" t="s">
        <v>305</v>
      </c>
      <c r="C1089" s="733">
        <v>40970</v>
      </c>
      <c r="D1089" s="733" t="str">
        <f>CHOOSE(MONTH(Tabla_sqldatos_bonampakdb_Bon_v_ingresos2012[[#This Row],[fecha_guia]]),"Enero","Febrero","Marzo","Abril","Mayo","Junio","Julio","Agosto","Septiembre","Octubre","Noviembre","Diciembre")</f>
        <v>Marzo</v>
      </c>
      <c r="E1089" t="s">
        <v>485</v>
      </c>
      <c r="F1089" t="s">
        <v>2065</v>
      </c>
      <c r="G1089" t="s">
        <v>9667</v>
      </c>
      <c r="H1089">
        <v>42938</v>
      </c>
      <c r="I1089" t="s">
        <v>423</v>
      </c>
      <c r="J1089" t="s">
        <v>2050</v>
      </c>
      <c r="K1089" t="s">
        <v>2051</v>
      </c>
      <c r="L1089" t="s">
        <v>2052</v>
      </c>
      <c r="M1089">
        <v>90</v>
      </c>
      <c r="N1089">
        <v>52.35</v>
      </c>
      <c r="O1089">
        <v>7345.23</v>
      </c>
      <c r="P1089">
        <v>0</v>
      </c>
      <c r="Q1089">
        <v>7345.23</v>
      </c>
      <c r="R1089">
        <v>1175.24</v>
      </c>
      <c r="S1089">
        <v>293.81</v>
      </c>
      <c r="T1089">
        <v>8226.66</v>
      </c>
      <c r="V1089" t="s">
        <v>9409</v>
      </c>
      <c r="W1089" t="s">
        <v>423</v>
      </c>
    </row>
    <row r="1090" spans="1:23" hidden="1" x14ac:dyDescent="0.2">
      <c r="A1090">
        <v>2012</v>
      </c>
      <c r="B1090" t="s">
        <v>303</v>
      </c>
      <c r="C1090" s="733">
        <v>40911</v>
      </c>
      <c r="D10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90" t="s">
        <v>485</v>
      </c>
      <c r="F1090" t="s">
        <v>2048</v>
      </c>
      <c r="G1090" t="s">
        <v>2088</v>
      </c>
      <c r="H1090">
        <v>39710</v>
      </c>
      <c r="I1090" t="s">
        <v>423</v>
      </c>
      <c r="J1090" t="s">
        <v>2050</v>
      </c>
      <c r="K1090" t="s">
        <v>2051</v>
      </c>
      <c r="L1090" t="s">
        <v>2052</v>
      </c>
      <c r="M1090">
        <v>90</v>
      </c>
      <c r="N1090">
        <v>27.75</v>
      </c>
      <c r="O1090">
        <v>1639.19</v>
      </c>
      <c r="P1090">
        <v>1845.5476289999999</v>
      </c>
      <c r="Q1090">
        <v>3484.7376290000002</v>
      </c>
      <c r="R1090">
        <v>557.55802100000005</v>
      </c>
      <c r="S1090">
        <v>139.38950500000001</v>
      </c>
      <c r="T1090">
        <v>3902.9061449999999</v>
      </c>
      <c r="U1090" t="s">
        <v>2089</v>
      </c>
      <c r="V1090" t="s">
        <v>9408</v>
      </c>
      <c r="W1090" t="s">
        <v>423</v>
      </c>
    </row>
    <row r="1091" spans="1:23" hidden="1" x14ac:dyDescent="0.2">
      <c r="A1091">
        <v>2012</v>
      </c>
      <c r="B1091" t="s">
        <v>304</v>
      </c>
      <c r="C1091" s="733">
        <v>40941</v>
      </c>
      <c r="D10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91" t="s">
        <v>485</v>
      </c>
      <c r="F1091" t="s">
        <v>2048</v>
      </c>
      <c r="G1091" t="s">
        <v>2090</v>
      </c>
      <c r="H1091">
        <v>41304</v>
      </c>
      <c r="I1091" t="s">
        <v>423</v>
      </c>
      <c r="J1091" t="s">
        <v>2050</v>
      </c>
      <c r="K1091" t="s">
        <v>2051</v>
      </c>
      <c r="L1091" t="s">
        <v>2052</v>
      </c>
      <c r="M1091">
        <v>90</v>
      </c>
      <c r="N1091">
        <v>57.45</v>
      </c>
      <c r="O1091">
        <v>8060.81</v>
      </c>
      <c r="P1091">
        <v>0</v>
      </c>
      <c r="Q1091">
        <v>8060.81</v>
      </c>
      <c r="R1091">
        <v>1289.73</v>
      </c>
      <c r="S1091">
        <v>322.43</v>
      </c>
      <c r="T1091">
        <v>9028.11</v>
      </c>
      <c r="U1091" t="s">
        <v>2067</v>
      </c>
      <c r="V1091" t="s">
        <v>9409</v>
      </c>
      <c r="W1091" t="s">
        <v>423</v>
      </c>
    </row>
    <row r="1092" spans="1:23" hidden="1" x14ac:dyDescent="0.2">
      <c r="A1092">
        <v>2012</v>
      </c>
      <c r="B1092" t="s">
        <v>304</v>
      </c>
      <c r="C1092" s="733">
        <v>40946</v>
      </c>
      <c r="D10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092" t="s">
        <v>485</v>
      </c>
      <c r="F1092" t="s">
        <v>2048</v>
      </c>
      <c r="G1092" t="s">
        <v>2087</v>
      </c>
      <c r="H1092">
        <v>41472</v>
      </c>
      <c r="I1092" t="s">
        <v>423</v>
      </c>
      <c r="J1092" t="s">
        <v>2050</v>
      </c>
      <c r="K1092" t="s">
        <v>2051</v>
      </c>
      <c r="L1092" t="s">
        <v>2052</v>
      </c>
      <c r="M1092">
        <v>90</v>
      </c>
      <c r="N1092">
        <v>59.85</v>
      </c>
      <c r="O1092">
        <v>8397.5499999999993</v>
      </c>
      <c r="P1092">
        <v>0</v>
      </c>
      <c r="Q1092">
        <v>8397.5499999999993</v>
      </c>
      <c r="R1092">
        <v>1343.61</v>
      </c>
      <c r="S1092">
        <v>335.9</v>
      </c>
      <c r="T1092">
        <v>9405.26</v>
      </c>
      <c r="V1092" t="s">
        <v>9409</v>
      </c>
      <c r="W1092" t="s">
        <v>423</v>
      </c>
    </row>
    <row r="1093" spans="1:23" hidden="1" x14ac:dyDescent="0.2">
      <c r="A1093">
        <v>2012</v>
      </c>
      <c r="B1093" t="s">
        <v>303</v>
      </c>
      <c r="C1093" s="733">
        <v>40919</v>
      </c>
      <c r="D10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93" t="s">
        <v>485</v>
      </c>
      <c r="F1093" t="s">
        <v>2054</v>
      </c>
      <c r="G1093" t="s">
        <v>2079</v>
      </c>
      <c r="H1093">
        <v>9950</v>
      </c>
      <c r="I1093" t="s">
        <v>423</v>
      </c>
      <c r="J1093" t="s">
        <v>2056</v>
      </c>
      <c r="K1093" t="s">
        <v>2057</v>
      </c>
      <c r="L1093" t="s">
        <v>2058</v>
      </c>
      <c r="M1093">
        <v>19</v>
      </c>
      <c r="N1093">
        <v>32.06</v>
      </c>
      <c r="O1093">
        <v>3618.61</v>
      </c>
      <c r="P1093">
        <v>0</v>
      </c>
      <c r="Q1093">
        <v>3618.61</v>
      </c>
      <c r="R1093">
        <v>578.98</v>
      </c>
      <c r="S1093">
        <v>144.74</v>
      </c>
      <c r="T1093">
        <v>4052.85</v>
      </c>
      <c r="U1093" t="s">
        <v>2070</v>
      </c>
      <c r="V1093" t="s">
        <v>9408</v>
      </c>
      <c r="W1093" t="s">
        <v>423</v>
      </c>
    </row>
    <row r="1094" spans="1:23" hidden="1" x14ac:dyDescent="0.2">
      <c r="A1094">
        <v>2012</v>
      </c>
      <c r="B1094" t="s">
        <v>303</v>
      </c>
      <c r="C1094" s="733">
        <v>40924.760462962964</v>
      </c>
      <c r="D10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94" t="s">
        <v>485</v>
      </c>
      <c r="F1094" t="s">
        <v>2054</v>
      </c>
      <c r="G1094" t="s">
        <v>2055</v>
      </c>
      <c r="H1094">
        <v>10084</v>
      </c>
      <c r="I1094" t="s">
        <v>423</v>
      </c>
      <c r="J1094" t="s">
        <v>2056</v>
      </c>
      <c r="K1094" t="s">
        <v>2057</v>
      </c>
      <c r="L1094" t="s">
        <v>2058</v>
      </c>
      <c r="M1094">
        <v>19</v>
      </c>
      <c r="N1094">
        <v>24.57</v>
      </c>
      <c r="O1094">
        <v>2773.22</v>
      </c>
      <c r="P1094">
        <v>0</v>
      </c>
      <c r="Q1094">
        <v>2773.22</v>
      </c>
      <c r="R1094">
        <v>443.71</v>
      </c>
      <c r="S1094">
        <v>110.93</v>
      </c>
      <c r="T1094">
        <v>3106</v>
      </c>
      <c r="U1094" t="s">
        <v>2059</v>
      </c>
      <c r="V1094" t="s">
        <v>9408</v>
      </c>
      <c r="W1094" t="s">
        <v>423</v>
      </c>
    </row>
    <row r="1095" spans="1:23" hidden="1" x14ac:dyDescent="0.2">
      <c r="A1095">
        <v>2012</v>
      </c>
      <c r="B1095" t="s">
        <v>303</v>
      </c>
      <c r="C1095" s="733">
        <v>40924</v>
      </c>
      <c r="D10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95" t="s">
        <v>485</v>
      </c>
      <c r="F1095" t="s">
        <v>2054</v>
      </c>
      <c r="G1095" t="s">
        <v>2060</v>
      </c>
      <c r="H1095">
        <v>10090</v>
      </c>
      <c r="I1095" t="s">
        <v>423</v>
      </c>
      <c r="J1095" t="s">
        <v>2056</v>
      </c>
      <c r="K1095" t="s">
        <v>2057</v>
      </c>
      <c r="L1095" t="s">
        <v>2058</v>
      </c>
      <c r="M1095">
        <v>19</v>
      </c>
      <c r="N1095">
        <v>24.41</v>
      </c>
      <c r="O1095">
        <v>2755.16</v>
      </c>
      <c r="P1095">
        <v>0</v>
      </c>
      <c r="Q1095">
        <v>2755.16</v>
      </c>
      <c r="R1095">
        <v>440.83</v>
      </c>
      <c r="S1095">
        <v>110.21</v>
      </c>
      <c r="T1095">
        <v>3085.78</v>
      </c>
      <c r="U1095" t="s">
        <v>2059</v>
      </c>
      <c r="V1095" t="s">
        <v>9408</v>
      </c>
      <c r="W1095" t="s">
        <v>423</v>
      </c>
    </row>
    <row r="1096" spans="1:23" hidden="1" x14ac:dyDescent="0.2">
      <c r="A1096">
        <v>2012</v>
      </c>
      <c r="B1096" t="s">
        <v>303</v>
      </c>
      <c r="C1096" s="733">
        <v>40935</v>
      </c>
      <c r="D10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96" t="s">
        <v>485</v>
      </c>
      <c r="F1096" t="s">
        <v>2048</v>
      </c>
      <c r="G1096" t="s">
        <v>2049</v>
      </c>
      <c r="H1096">
        <v>41005</v>
      </c>
      <c r="I1096" t="s">
        <v>423</v>
      </c>
      <c r="J1096" t="s">
        <v>2050</v>
      </c>
      <c r="K1096" t="s">
        <v>2051</v>
      </c>
      <c r="L1096" t="s">
        <v>2052</v>
      </c>
      <c r="M1096">
        <v>90</v>
      </c>
      <c r="N1096">
        <v>24.25</v>
      </c>
      <c r="O1096">
        <v>3402.52</v>
      </c>
      <c r="P1096">
        <v>0</v>
      </c>
      <c r="Q1096">
        <v>3402.52</v>
      </c>
      <c r="R1096">
        <v>544.4</v>
      </c>
      <c r="S1096">
        <v>136.1</v>
      </c>
      <c r="T1096">
        <v>3810.82</v>
      </c>
      <c r="U1096" t="s">
        <v>2053</v>
      </c>
      <c r="V1096" t="s">
        <v>9408</v>
      </c>
      <c r="W1096" t="s">
        <v>423</v>
      </c>
    </row>
    <row r="1097" spans="1:23" hidden="1" x14ac:dyDescent="0.2">
      <c r="A1097">
        <v>2012</v>
      </c>
      <c r="B1097" t="s">
        <v>303</v>
      </c>
      <c r="C1097" s="733">
        <v>40924</v>
      </c>
      <c r="D10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97" t="s">
        <v>485</v>
      </c>
      <c r="F1097" t="s">
        <v>2048</v>
      </c>
      <c r="G1097" t="s">
        <v>2061</v>
      </c>
      <c r="H1097">
        <v>40375</v>
      </c>
      <c r="I1097" t="s">
        <v>423</v>
      </c>
      <c r="J1097" t="s">
        <v>2050</v>
      </c>
      <c r="K1097" t="s">
        <v>2051</v>
      </c>
      <c r="L1097" t="s">
        <v>2052</v>
      </c>
      <c r="M1097">
        <v>90</v>
      </c>
      <c r="N1097">
        <v>53.2</v>
      </c>
      <c r="O1097">
        <v>7464.49</v>
      </c>
      <c r="P1097">
        <v>0</v>
      </c>
      <c r="Q1097">
        <v>7464.49</v>
      </c>
      <c r="R1097">
        <v>1194.32</v>
      </c>
      <c r="S1097">
        <v>298.58</v>
      </c>
      <c r="T1097">
        <v>8360.23</v>
      </c>
      <c r="U1097" t="s">
        <v>2062</v>
      </c>
      <c r="V1097" t="s">
        <v>9409</v>
      </c>
      <c r="W1097" t="s">
        <v>423</v>
      </c>
    </row>
    <row r="1098" spans="1:23" hidden="1" x14ac:dyDescent="0.2">
      <c r="A1098">
        <v>2012</v>
      </c>
      <c r="B1098" t="s">
        <v>303</v>
      </c>
      <c r="C1098" s="733">
        <v>40919.498773148145</v>
      </c>
      <c r="D10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98" t="s">
        <v>485</v>
      </c>
      <c r="F1098" t="s">
        <v>2054</v>
      </c>
      <c r="G1098" t="s">
        <v>2069</v>
      </c>
      <c r="H1098">
        <v>10025</v>
      </c>
      <c r="I1098" t="s">
        <v>423</v>
      </c>
      <c r="J1098" t="s">
        <v>2056</v>
      </c>
      <c r="K1098" t="s">
        <v>2057</v>
      </c>
      <c r="L1098" t="s">
        <v>2058</v>
      </c>
      <c r="M1098">
        <v>19</v>
      </c>
      <c r="N1098">
        <v>24.52</v>
      </c>
      <c r="O1098">
        <v>2767.47</v>
      </c>
      <c r="P1098">
        <v>0</v>
      </c>
      <c r="Q1098">
        <v>2767.47</v>
      </c>
      <c r="R1098">
        <v>442.8</v>
      </c>
      <c r="S1098">
        <v>110.7</v>
      </c>
      <c r="T1098">
        <v>3099.57</v>
      </c>
      <c r="U1098" t="s">
        <v>2070</v>
      </c>
      <c r="V1098" t="s">
        <v>9408</v>
      </c>
      <c r="W1098" t="s">
        <v>423</v>
      </c>
    </row>
    <row r="1099" spans="1:23" hidden="1" x14ac:dyDescent="0.2">
      <c r="A1099">
        <v>2012</v>
      </c>
      <c r="B1099" t="s">
        <v>303</v>
      </c>
      <c r="C1099" s="733">
        <v>40939.641724537039</v>
      </c>
      <c r="D10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099" t="s">
        <v>485</v>
      </c>
      <c r="F1099" t="s">
        <v>2054</v>
      </c>
      <c r="G1099" t="s">
        <v>2078</v>
      </c>
      <c r="H1099">
        <v>10270</v>
      </c>
      <c r="I1099" t="s">
        <v>423</v>
      </c>
      <c r="J1099" t="s">
        <v>2056</v>
      </c>
      <c r="K1099" t="s">
        <v>2057</v>
      </c>
      <c r="L1099" t="s">
        <v>2058</v>
      </c>
      <c r="M1099">
        <v>19</v>
      </c>
      <c r="N1099">
        <v>24.04</v>
      </c>
      <c r="O1099">
        <v>2713.39</v>
      </c>
      <c r="P1099">
        <v>0</v>
      </c>
      <c r="Q1099">
        <v>2713.39</v>
      </c>
      <c r="R1099">
        <v>434.14</v>
      </c>
      <c r="S1099">
        <v>108.54</v>
      </c>
      <c r="T1099">
        <v>3038.99</v>
      </c>
      <c r="U1099" t="s">
        <v>2073</v>
      </c>
      <c r="V1099" t="s">
        <v>9408</v>
      </c>
      <c r="W1099" t="s">
        <v>423</v>
      </c>
    </row>
    <row r="1100" spans="1:23" hidden="1" x14ac:dyDescent="0.2">
      <c r="A1100">
        <v>2012</v>
      </c>
      <c r="B1100" t="s">
        <v>305</v>
      </c>
      <c r="C1100" s="733">
        <v>40970</v>
      </c>
      <c r="D1100" s="733" t="str">
        <f>CHOOSE(MONTH(Tabla_sqldatos_bonampakdb_Bon_v_ingresos2012[[#This Row],[fecha_guia]]),"Enero","Febrero","Marzo","Abril","Mayo","Junio","Julio","Agosto","Septiembre","Octubre","Noviembre","Diciembre")</f>
        <v>Marzo</v>
      </c>
      <c r="E1100" t="s">
        <v>485</v>
      </c>
      <c r="F1100" t="s">
        <v>2054</v>
      </c>
      <c r="G1100" t="s">
        <v>9668</v>
      </c>
      <c r="H1100">
        <v>10624</v>
      </c>
      <c r="I1100" t="s">
        <v>423</v>
      </c>
      <c r="J1100" t="s">
        <v>2056</v>
      </c>
      <c r="K1100" t="s">
        <v>2057</v>
      </c>
      <c r="L1100" t="s">
        <v>2058</v>
      </c>
      <c r="M1100">
        <v>19</v>
      </c>
      <c r="N1100">
        <v>27.75</v>
      </c>
      <c r="O1100">
        <v>3132.14</v>
      </c>
      <c r="P1100">
        <v>0</v>
      </c>
      <c r="Q1100">
        <v>3132.14</v>
      </c>
      <c r="R1100">
        <v>344.54</v>
      </c>
      <c r="S1100">
        <v>125.29</v>
      </c>
      <c r="T1100">
        <v>3351.39</v>
      </c>
      <c r="V1100" t="s">
        <v>9408</v>
      </c>
      <c r="W1100" t="s">
        <v>423</v>
      </c>
    </row>
    <row r="1101" spans="1:23" hidden="1" x14ac:dyDescent="0.2">
      <c r="A1101">
        <v>2012</v>
      </c>
      <c r="B1101" t="s">
        <v>304</v>
      </c>
      <c r="C1101" s="733">
        <v>40960</v>
      </c>
      <c r="D11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01" t="s">
        <v>485</v>
      </c>
      <c r="F1101" t="s">
        <v>2048</v>
      </c>
      <c r="G1101" t="s">
        <v>8191</v>
      </c>
      <c r="H1101">
        <v>42334</v>
      </c>
      <c r="I1101" t="s">
        <v>423</v>
      </c>
      <c r="J1101" t="s">
        <v>2050</v>
      </c>
      <c r="K1101" t="s">
        <v>2051</v>
      </c>
      <c r="L1101" t="s">
        <v>2052</v>
      </c>
      <c r="M1101">
        <v>90</v>
      </c>
      <c r="N1101">
        <v>27.4</v>
      </c>
      <c r="O1101">
        <v>3844.49</v>
      </c>
      <c r="P1101">
        <v>0</v>
      </c>
      <c r="Q1101">
        <v>3844.49</v>
      </c>
      <c r="R1101">
        <v>615.12</v>
      </c>
      <c r="S1101">
        <v>153.78</v>
      </c>
      <c r="T1101">
        <v>4305.83</v>
      </c>
      <c r="U1101" t="s">
        <v>8780</v>
      </c>
      <c r="V1101" t="s">
        <v>9408</v>
      </c>
      <c r="W1101" t="s">
        <v>423</v>
      </c>
    </row>
    <row r="1102" spans="1:23" hidden="1" x14ac:dyDescent="0.2">
      <c r="A1102">
        <v>2012</v>
      </c>
      <c r="B1102" t="s">
        <v>304</v>
      </c>
      <c r="C1102" s="733">
        <v>40960</v>
      </c>
      <c r="D11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02" t="s">
        <v>485</v>
      </c>
      <c r="F1102" t="s">
        <v>2065</v>
      </c>
      <c r="G1102" t="s">
        <v>8149</v>
      </c>
      <c r="H1102">
        <v>42289</v>
      </c>
      <c r="I1102" t="s">
        <v>423</v>
      </c>
      <c r="J1102" t="s">
        <v>2050</v>
      </c>
      <c r="K1102" t="s">
        <v>2051</v>
      </c>
      <c r="L1102" t="s">
        <v>2052</v>
      </c>
      <c r="M1102">
        <v>90</v>
      </c>
      <c r="N1102">
        <v>29.4</v>
      </c>
      <c r="O1102">
        <v>4125.1099999999997</v>
      </c>
      <c r="P1102">
        <v>0</v>
      </c>
      <c r="Q1102">
        <v>4125.1099999999997</v>
      </c>
      <c r="R1102">
        <v>660.02</v>
      </c>
      <c r="S1102">
        <v>165</v>
      </c>
      <c r="T1102">
        <v>4620.13</v>
      </c>
      <c r="U1102" t="s">
        <v>8780</v>
      </c>
      <c r="V1102" t="s">
        <v>9408</v>
      </c>
      <c r="W1102" t="s">
        <v>423</v>
      </c>
    </row>
    <row r="1103" spans="1:23" hidden="1" x14ac:dyDescent="0.2">
      <c r="A1103">
        <v>2012</v>
      </c>
      <c r="B1103" t="s">
        <v>303</v>
      </c>
      <c r="C1103" s="733">
        <v>40938</v>
      </c>
      <c r="D11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03" t="s">
        <v>485</v>
      </c>
      <c r="F1103" t="s">
        <v>2065</v>
      </c>
      <c r="G1103" t="s">
        <v>4223</v>
      </c>
      <c r="H1103">
        <v>41100</v>
      </c>
      <c r="I1103" t="s">
        <v>423</v>
      </c>
      <c r="J1103" t="s">
        <v>3204</v>
      </c>
      <c r="K1103" t="s">
        <v>2183</v>
      </c>
      <c r="L1103" t="s">
        <v>2184</v>
      </c>
      <c r="M1103">
        <v>80</v>
      </c>
      <c r="N1103">
        <v>29.2</v>
      </c>
      <c r="O1103">
        <v>3295.8</v>
      </c>
      <c r="P1103">
        <v>0</v>
      </c>
      <c r="Q1103">
        <v>3295.8</v>
      </c>
      <c r="R1103">
        <v>527.33000000000004</v>
      </c>
      <c r="S1103">
        <v>131.83000000000001</v>
      </c>
      <c r="T1103">
        <v>3691.3</v>
      </c>
      <c r="U1103" t="s">
        <v>2187</v>
      </c>
      <c r="V1103" t="s">
        <v>9408</v>
      </c>
      <c r="W1103" t="s">
        <v>423</v>
      </c>
    </row>
    <row r="1104" spans="1:23" hidden="1" x14ac:dyDescent="0.2">
      <c r="A1104">
        <v>2012</v>
      </c>
      <c r="B1104" t="s">
        <v>304</v>
      </c>
      <c r="C1104" s="733">
        <v>40962.452106481483</v>
      </c>
      <c r="D11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04" t="s">
        <v>485</v>
      </c>
      <c r="F1104" t="s">
        <v>2065</v>
      </c>
      <c r="G1104" t="s">
        <v>8505</v>
      </c>
      <c r="H1104">
        <v>42402</v>
      </c>
      <c r="I1104" t="s">
        <v>423</v>
      </c>
      <c r="J1104" t="s">
        <v>3204</v>
      </c>
      <c r="K1104" t="s">
        <v>2183</v>
      </c>
      <c r="L1104" t="s">
        <v>2184</v>
      </c>
      <c r="M1104">
        <v>80</v>
      </c>
      <c r="N1104">
        <v>26.81</v>
      </c>
      <c r="O1104">
        <v>3026.04</v>
      </c>
      <c r="P1104">
        <v>0</v>
      </c>
      <c r="Q1104">
        <v>3026.04</v>
      </c>
      <c r="R1104">
        <v>484.17</v>
      </c>
      <c r="S1104">
        <v>121.04</v>
      </c>
      <c r="T1104">
        <v>3389.17</v>
      </c>
      <c r="U1104" t="s">
        <v>9411</v>
      </c>
      <c r="V1104" t="s">
        <v>9409</v>
      </c>
      <c r="W1104" t="s">
        <v>423</v>
      </c>
    </row>
    <row r="1105" spans="1:23" hidden="1" x14ac:dyDescent="0.2">
      <c r="A1105">
        <v>2012</v>
      </c>
      <c r="B1105" t="s">
        <v>303</v>
      </c>
      <c r="C1105" s="733">
        <v>40935</v>
      </c>
      <c r="D11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05" t="s">
        <v>485</v>
      </c>
      <c r="F1105" t="s">
        <v>2065</v>
      </c>
      <c r="G1105" t="s">
        <v>3919</v>
      </c>
      <c r="H1105">
        <v>40954</v>
      </c>
      <c r="I1105" t="s">
        <v>423</v>
      </c>
      <c r="J1105" t="s">
        <v>2182</v>
      </c>
      <c r="K1105" t="s">
        <v>2183</v>
      </c>
      <c r="L1105" t="s">
        <v>2184</v>
      </c>
      <c r="M1105">
        <v>62</v>
      </c>
      <c r="N1105">
        <v>53.22</v>
      </c>
      <c r="O1105">
        <v>7884.01</v>
      </c>
      <c r="P1105">
        <v>0</v>
      </c>
      <c r="Q1105">
        <v>7884.01</v>
      </c>
      <c r="R1105">
        <v>1261.44</v>
      </c>
      <c r="S1105">
        <v>315.36</v>
      </c>
      <c r="T1105">
        <v>8830.09</v>
      </c>
      <c r="U1105" t="s">
        <v>2187</v>
      </c>
      <c r="V1105" t="s">
        <v>9409</v>
      </c>
      <c r="W1105" t="s">
        <v>423</v>
      </c>
    </row>
    <row r="1106" spans="1:23" hidden="1" x14ac:dyDescent="0.2">
      <c r="A1106">
        <v>2012</v>
      </c>
      <c r="B1106" t="s">
        <v>304</v>
      </c>
      <c r="C1106" s="733">
        <v>40949</v>
      </c>
      <c r="D11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06" t="s">
        <v>485</v>
      </c>
      <c r="F1106" t="s">
        <v>2084</v>
      </c>
      <c r="G1106" t="s">
        <v>4237</v>
      </c>
      <c r="H1106">
        <v>41240</v>
      </c>
      <c r="I1106" t="s">
        <v>423</v>
      </c>
      <c r="J1106" t="s">
        <v>2813</v>
      </c>
      <c r="K1106" t="s">
        <v>2814</v>
      </c>
      <c r="L1106" t="s">
        <v>2815</v>
      </c>
      <c r="M1106">
        <v>365</v>
      </c>
      <c r="N1106">
        <v>27.899000000000001</v>
      </c>
      <c r="O1106">
        <v>7509.85</v>
      </c>
      <c r="P1106">
        <v>0</v>
      </c>
      <c r="Q1106">
        <v>7509.85</v>
      </c>
      <c r="R1106">
        <v>826.08</v>
      </c>
      <c r="S1106">
        <v>300.39</v>
      </c>
      <c r="T1106">
        <v>8035.54</v>
      </c>
      <c r="U1106" t="s">
        <v>7527</v>
      </c>
      <c r="V1106" t="s">
        <v>9408</v>
      </c>
      <c r="W1106" t="s">
        <v>423</v>
      </c>
    </row>
    <row r="1107" spans="1:23" hidden="1" x14ac:dyDescent="0.2">
      <c r="A1107">
        <v>2012</v>
      </c>
      <c r="B1107" t="s">
        <v>304</v>
      </c>
      <c r="C1107" s="733">
        <v>40953</v>
      </c>
      <c r="D11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07" t="s">
        <v>485</v>
      </c>
      <c r="F1107" t="s">
        <v>2084</v>
      </c>
      <c r="G1107" t="s">
        <v>4238</v>
      </c>
      <c r="H1107">
        <v>41621</v>
      </c>
      <c r="I1107" t="s">
        <v>423</v>
      </c>
      <c r="J1107" t="s">
        <v>2813</v>
      </c>
      <c r="K1107" t="s">
        <v>2814</v>
      </c>
      <c r="L1107" t="s">
        <v>2815</v>
      </c>
      <c r="M1107">
        <v>365</v>
      </c>
      <c r="N1107">
        <v>24.026</v>
      </c>
      <c r="O1107">
        <v>6467.32</v>
      </c>
      <c r="P1107">
        <v>0</v>
      </c>
      <c r="Q1107">
        <v>6467.32</v>
      </c>
      <c r="R1107">
        <v>711.41</v>
      </c>
      <c r="S1107">
        <v>258.69</v>
      </c>
      <c r="T1107">
        <v>6920.04</v>
      </c>
      <c r="U1107" t="s">
        <v>7527</v>
      </c>
      <c r="V1107" t="s">
        <v>9408</v>
      </c>
      <c r="W1107" t="s">
        <v>423</v>
      </c>
    </row>
    <row r="1108" spans="1:23" hidden="1" x14ac:dyDescent="0.2">
      <c r="A1108">
        <v>2012</v>
      </c>
      <c r="B1108" t="s">
        <v>303</v>
      </c>
      <c r="C1108" s="733">
        <v>40939</v>
      </c>
      <c r="D11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08" t="s">
        <v>485</v>
      </c>
      <c r="F1108" t="s">
        <v>2084</v>
      </c>
      <c r="G1108" t="s">
        <v>4239</v>
      </c>
      <c r="H1108">
        <v>40720</v>
      </c>
      <c r="I1108" t="s">
        <v>423</v>
      </c>
      <c r="J1108" t="s">
        <v>2813</v>
      </c>
      <c r="K1108" t="s">
        <v>2814</v>
      </c>
      <c r="L1108" t="s">
        <v>2815</v>
      </c>
      <c r="M1108">
        <v>365</v>
      </c>
      <c r="N1108">
        <v>24.018999999999998</v>
      </c>
      <c r="O1108">
        <v>6465.43</v>
      </c>
      <c r="P1108">
        <v>0</v>
      </c>
      <c r="Q1108">
        <v>6465.43</v>
      </c>
      <c r="R1108">
        <v>1034.47</v>
      </c>
      <c r="S1108">
        <v>258.62</v>
      </c>
      <c r="T1108">
        <v>7241.28</v>
      </c>
      <c r="U1108" t="s">
        <v>8522</v>
      </c>
      <c r="V1108" t="s">
        <v>9408</v>
      </c>
      <c r="W1108" t="s">
        <v>423</v>
      </c>
    </row>
    <row r="1109" spans="1:23" hidden="1" x14ac:dyDescent="0.2">
      <c r="A1109">
        <v>2012</v>
      </c>
      <c r="B1109" t="s">
        <v>304</v>
      </c>
      <c r="C1109" s="733">
        <v>40953</v>
      </c>
      <c r="D11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09" t="s">
        <v>485</v>
      </c>
      <c r="F1109" t="s">
        <v>2084</v>
      </c>
      <c r="G1109" t="s">
        <v>4251</v>
      </c>
      <c r="H1109">
        <v>41628</v>
      </c>
      <c r="I1109" t="s">
        <v>423</v>
      </c>
      <c r="J1109" t="s">
        <v>2813</v>
      </c>
      <c r="K1109" t="s">
        <v>2814</v>
      </c>
      <c r="L1109" t="s">
        <v>2815</v>
      </c>
      <c r="M1109">
        <v>365</v>
      </c>
      <c r="N1109">
        <v>23.978999999999999</v>
      </c>
      <c r="O1109">
        <v>6454.67</v>
      </c>
      <c r="P1109">
        <v>0</v>
      </c>
      <c r="Q1109">
        <v>6454.67</v>
      </c>
      <c r="R1109">
        <v>710.01</v>
      </c>
      <c r="S1109">
        <v>258.19</v>
      </c>
      <c r="T1109">
        <v>6906.49</v>
      </c>
      <c r="U1109" t="s">
        <v>7527</v>
      </c>
      <c r="V1109" t="s">
        <v>9408</v>
      </c>
      <c r="W1109" t="s">
        <v>423</v>
      </c>
    </row>
    <row r="1110" spans="1:23" x14ac:dyDescent="0.2">
      <c r="A1110">
        <v>2012</v>
      </c>
      <c r="B1110" t="s">
        <v>304</v>
      </c>
      <c r="C1110" s="733">
        <v>40967</v>
      </c>
      <c r="D11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10" t="s">
        <v>485</v>
      </c>
      <c r="F1110" t="s">
        <v>2084</v>
      </c>
      <c r="G1110" t="s">
        <v>8918</v>
      </c>
      <c r="H1110">
        <v>42400</v>
      </c>
      <c r="I1110" t="s">
        <v>423</v>
      </c>
      <c r="J1110" t="s">
        <v>2813</v>
      </c>
      <c r="K1110" t="s">
        <v>2814</v>
      </c>
      <c r="L1110" t="s">
        <v>2815</v>
      </c>
      <c r="M1110">
        <v>365</v>
      </c>
      <c r="N1110">
        <v>23.934000000000001</v>
      </c>
      <c r="O1110">
        <v>6442.55</v>
      </c>
      <c r="P1110">
        <v>0</v>
      </c>
      <c r="Q1110">
        <v>6442.55</v>
      </c>
      <c r="R1110">
        <v>708.68</v>
      </c>
      <c r="S1110">
        <v>257.7</v>
      </c>
      <c r="T1110">
        <v>6893.53</v>
      </c>
      <c r="U1110" t="s">
        <v>8877</v>
      </c>
      <c r="V1110" t="s">
        <v>9408</v>
      </c>
      <c r="W1110" t="s">
        <v>423</v>
      </c>
    </row>
    <row r="1111" spans="1:23" hidden="1" x14ac:dyDescent="0.2">
      <c r="A1111">
        <v>2012</v>
      </c>
      <c r="B1111" t="s">
        <v>304</v>
      </c>
      <c r="C1111" s="733">
        <v>40953</v>
      </c>
      <c r="D11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11" t="s">
        <v>485</v>
      </c>
      <c r="F1111" t="s">
        <v>2084</v>
      </c>
      <c r="G1111" t="s">
        <v>4246</v>
      </c>
      <c r="H1111">
        <v>41573</v>
      </c>
      <c r="I1111" t="s">
        <v>423</v>
      </c>
      <c r="J1111" t="s">
        <v>2813</v>
      </c>
      <c r="K1111" t="s">
        <v>2814</v>
      </c>
      <c r="L1111" t="s">
        <v>2815</v>
      </c>
      <c r="M1111">
        <v>365</v>
      </c>
      <c r="N1111">
        <v>24.117999999999999</v>
      </c>
      <c r="O1111">
        <v>6492.08</v>
      </c>
      <c r="P1111">
        <v>0</v>
      </c>
      <c r="Q1111">
        <v>6492.08</v>
      </c>
      <c r="R1111">
        <v>714.13</v>
      </c>
      <c r="S1111">
        <v>259.68</v>
      </c>
      <c r="T1111">
        <v>6946.53</v>
      </c>
      <c r="U1111" t="s">
        <v>7527</v>
      </c>
      <c r="V1111" t="s">
        <v>9408</v>
      </c>
      <c r="W1111" t="s">
        <v>423</v>
      </c>
    </row>
    <row r="1112" spans="1:23" hidden="1" x14ac:dyDescent="0.2">
      <c r="A1112">
        <v>2012</v>
      </c>
      <c r="B1112" t="s">
        <v>304</v>
      </c>
      <c r="C1112" s="733">
        <v>40960</v>
      </c>
      <c r="D11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12" t="s">
        <v>485</v>
      </c>
      <c r="F1112" t="s">
        <v>2084</v>
      </c>
      <c r="G1112" t="s">
        <v>8188</v>
      </c>
      <c r="H1112">
        <v>42046</v>
      </c>
      <c r="I1112" t="s">
        <v>423</v>
      </c>
      <c r="J1112" t="s">
        <v>2813</v>
      </c>
      <c r="K1112" t="s">
        <v>2814</v>
      </c>
      <c r="L1112" t="s">
        <v>2815</v>
      </c>
      <c r="M1112">
        <v>365</v>
      </c>
      <c r="N1112">
        <v>24.042000000000002</v>
      </c>
      <c r="O1112">
        <v>6471.63</v>
      </c>
      <c r="P1112">
        <v>0</v>
      </c>
      <c r="Q1112">
        <v>6471.63</v>
      </c>
      <c r="R1112">
        <v>711.88</v>
      </c>
      <c r="S1112">
        <v>258.87</v>
      </c>
      <c r="T1112">
        <v>6924.64</v>
      </c>
      <c r="U1112" t="s">
        <v>8877</v>
      </c>
      <c r="V1112" t="s">
        <v>9408</v>
      </c>
      <c r="W1112" t="s">
        <v>423</v>
      </c>
    </row>
    <row r="1113" spans="1:23" hidden="1" x14ac:dyDescent="0.2">
      <c r="A1113">
        <v>2012</v>
      </c>
      <c r="B1113" t="s">
        <v>303</v>
      </c>
      <c r="C1113" s="733">
        <v>40939</v>
      </c>
      <c r="D11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13" t="s">
        <v>485</v>
      </c>
      <c r="F1113" t="s">
        <v>2084</v>
      </c>
      <c r="G1113" t="s">
        <v>4247</v>
      </c>
      <c r="H1113">
        <v>40717</v>
      </c>
      <c r="I1113" t="s">
        <v>423</v>
      </c>
      <c r="J1113" t="s">
        <v>2813</v>
      </c>
      <c r="K1113" t="s">
        <v>2814</v>
      </c>
      <c r="L1113" t="s">
        <v>2815</v>
      </c>
      <c r="M1113">
        <v>365</v>
      </c>
      <c r="N1113">
        <v>23.986000000000001</v>
      </c>
      <c r="O1113">
        <v>6456.55</v>
      </c>
      <c r="P1113">
        <v>0</v>
      </c>
      <c r="Q1113">
        <v>6456.55</v>
      </c>
      <c r="R1113">
        <v>1033.05</v>
      </c>
      <c r="S1113">
        <v>258.26</v>
      </c>
      <c r="T1113">
        <v>7231.34</v>
      </c>
      <c r="U1113" t="s">
        <v>2826</v>
      </c>
      <c r="V1113" t="s">
        <v>9408</v>
      </c>
      <c r="W1113" t="s">
        <v>423</v>
      </c>
    </row>
    <row r="1114" spans="1:23" x14ac:dyDescent="0.2">
      <c r="A1114">
        <v>2012</v>
      </c>
      <c r="B1114" t="s">
        <v>304</v>
      </c>
      <c r="C1114" s="733">
        <v>40967</v>
      </c>
      <c r="D11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14" t="s">
        <v>485</v>
      </c>
      <c r="F1114" t="s">
        <v>2084</v>
      </c>
      <c r="G1114" t="s">
        <v>8920</v>
      </c>
      <c r="H1114">
        <v>42397</v>
      </c>
      <c r="I1114" t="s">
        <v>423</v>
      </c>
      <c r="J1114" t="s">
        <v>2813</v>
      </c>
      <c r="K1114" t="s">
        <v>2814</v>
      </c>
      <c r="L1114" t="s">
        <v>2815</v>
      </c>
      <c r="M1114">
        <v>365</v>
      </c>
      <c r="N1114">
        <v>23.94</v>
      </c>
      <c r="O1114">
        <v>6444.17</v>
      </c>
      <c r="P1114">
        <v>0</v>
      </c>
      <c r="Q1114">
        <v>6444.17</v>
      </c>
      <c r="R1114">
        <v>708.86</v>
      </c>
      <c r="S1114">
        <v>257.77</v>
      </c>
      <c r="T1114">
        <v>6895.26</v>
      </c>
      <c r="U1114" t="s">
        <v>8877</v>
      </c>
      <c r="V1114" t="s">
        <v>9408</v>
      </c>
      <c r="W1114" t="s">
        <v>423</v>
      </c>
    </row>
    <row r="1115" spans="1:23" hidden="1" x14ac:dyDescent="0.2">
      <c r="A1115">
        <v>2012</v>
      </c>
      <c r="B1115" t="s">
        <v>303</v>
      </c>
      <c r="C1115" s="733">
        <v>40926</v>
      </c>
      <c r="D11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15" t="s">
        <v>485</v>
      </c>
      <c r="F1115" t="s">
        <v>2084</v>
      </c>
      <c r="G1115" t="s">
        <v>4244</v>
      </c>
      <c r="H1115">
        <v>40116</v>
      </c>
      <c r="I1115" t="s">
        <v>423</v>
      </c>
      <c r="J1115" t="s">
        <v>2813</v>
      </c>
      <c r="K1115" t="s">
        <v>2814</v>
      </c>
      <c r="L1115" t="s">
        <v>2815</v>
      </c>
      <c r="M1115">
        <v>365</v>
      </c>
      <c r="N1115">
        <v>23.596</v>
      </c>
      <c r="O1115">
        <v>6351.57</v>
      </c>
      <c r="P1115">
        <v>0</v>
      </c>
      <c r="Q1115">
        <v>6351.57</v>
      </c>
      <c r="R1115">
        <v>1016.25</v>
      </c>
      <c r="S1115">
        <v>254.06</v>
      </c>
      <c r="T1115">
        <v>7113.76</v>
      </c>
      <c r="U1115" t="s">
        <v>2826</v>
      </c>
      <c r="V1115" t="s">
        <v>9408</v>
      </c>
      <c r="W1115" t="s">
        <v>423</v>
      </c>
    </row>
    <row r="1116" spans="1:23" hidden="1" x14ac:dyDescent="0.2">
      <c r="A1116">
        <v>2012</v>
      </c>
      <c r="B1116" t="s">
        <v>304</v>
      </c>
      <c r="C1116" s="733">
        <v>40949</v>
      </c>
      <c r="D11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16" t="s">
        <v>485</v>
      </c>
      <c r="F1116" t="s">
        <v>2084</v>
      </c>
      <c r="G1116" t="s">
        <v>4243</v>
      </c>
      <c r="H1116">
        <v>41402</v>
      </c>
      <c r="I1116" t="s">
        <v>423</v>
      </c>
      <c r="J1116" t="s">
        <v>2813</v>
      </c>
      <c r="K1116" t="s">
        <v>2814</v>
      </c>
      <c r="L1116" t="s">
        <v>2815</v>
      </c>
      <c r="M1116">
        <v>365</v>
      </c>
      <c r="N1116">
        <v>24.263000000000002</v>
      </c>
      <c r="O1116">
        <v>6531.11</v>
      </c>
      <c r="P1116">
        <v>0</v>
      </c>
      <c r="Q1116">
        <v>6531.11</v>
      </c>
      <c r="R1116">
        <v>718.42</v>
      </c>
      <c r="S1116">
        <v>261.24</v>
      </c>
      <c r="T1116">
        <v>6988.29</v>
      </c>
      <c r="U1116" t="s">
        <v>7527</v>
      </c>
      <c r="V1116" t="s">
        <v>9408</v>
      </c>
      <c r="W1116" t="s">
        <v>423</v>
      </c>
    </row>
    <row r="1117" spans="1:23" hidden="1" x14ac:dyDescent="0.2">
      <c r="A1117">
        <v>2012</v>
      </c>
      <c r="B1117" t="s">
        <v>304</v>
      </c>
      <c r="C1117" s="733">
        <v>40960</v>
      </c>
      <c r="D11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17" t="s">
        <v>485</v>
      </c>
      <c r="F1117" t="s">
        <v>2084</v>
      </c>
      <c r="G1117" t="s">
        <v>8190</v>
      </c>
      <c r="H1117">
        <v>42052</v>
      </c>
      <c r="I1117" t="s">
        <v>423</v>
      </c>
      <c r="J1117" t="s">
        <v>2813</v>
      </c>
      <c r="K1117" t="s">
        <v>2814</v>
      </c>
      <c r="L1117" t="s">
        <v>2815</v>
      </c>
      <c r="M1117">
        <v>365</v>
      </c>
      <c r="N1117">
        <v>23.966000000000001</v>
      </c>
      <c r="O1117">
        <v>6451.17</v>
      </c>
      <c r="P1117">
        <v>0</v>
      </c>
      <c r="Q1117">
        <v>6451.17</v>
      </c>
      <c r="R1117">
        <v>709.63</v>
      </c>
      <c r="S1117">
        <v>258.05</v>
      </c>
      <c r="T1117">
        <v>6902.75</v>
      </c>
      <c r="U1117" t="s">
        <v>8877</v>
      </c>
      <c r="V1117" t="s">
        <v>9408</v>
      </c>
      <c r="W1117" t="s">
        <v>423</v>
      </c>
    </row>
    <row r="1118" spans="1:23" hidden="1" x14ac:dyDescent="0.2">
      <c r="A1118">
        <v>2012</v>
      </c>
      <c r="B1118" t="s">
        <v>304</v>
      </c>
      <c r="C1118" s="733">
        <v>40953</v>
      </c>
      <c r="D11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18" t="s">
        <v>485</v>
      </c>
      <c r="F1118" t="s">
        <v>2084</v>
      </c>
      <c r="G1118" t="s">
        <v>4236</v>
      </c>
      <c r="H1118">
        <v>41578</v>
      </c>
      <c r="I1118" t="s">
        <v>423</v>
      </c>
      <c r="J1118" t="s">
        <v>2813</v>
      </c>
      <c r="K1118" t="s">
        <v>2814</v>
      </c>
      <c r="L1118" t="s">
        <v>2815</v>
      </c>
      <c r="M1118">
        <v>365</v>
      </c>
      <c r="N1118">
        <v>24.053000000000001</v>
      </c>
      <c r="O1118">
        <v>6474.59</v>
      </c>
      <c r="P1118">
        <v>0</v>
      </c>
      <c r="Q1118">
        <v>6474.59</v>
      </c>
      <c r="R1118">
        <v>712.2</v>
      </c>
      <c r="S1118">
        <v>258.98</v>
      </c>
      <c r="T1118">
        <v>6927.81</v>
      </c>
      <c r="U1118" t="s">
        <v>7527</v>
      </c>
      <c r="V1118" t="s">
        <v>9408</v>
      </c>
      <c r="W1118" t="s">
        <v>423</v>
      </c>
    </row>
    <row r="1119" spans="1:23" x14ac:dyDescent="0.2">
      <c r="A1119">
        <v>2012</v>
      </c>
      <c r="B1119" t="s">
        <v>304</v>
      </c>
      <c r="C1119" s="733">
        <v>40968</v>
      </c>
      <c r="D11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19" t="s">
        <v>485</v>
      </c>
      <c r="F1119" t="s">
        <v>2084</v>
      </c>
      <c r="G1119" t="s">
        <v>9452</v>
      </c>
      <c r="H1119">
        <v>41778</v>
      </c>
      <c r="I1119" t="s">
        <v>423</v>
      </c>
      <c r="J1119" t="s">
        <v>2813</v>
      </c>
      <c r="K1119" t="s">
        <v>2814</v>
      </c>
      <c r="L1119" t="s">
        <v>2815</v>
      </c>
      <c r="M1119">
        <v>365</v>
      </c>
      <c r="N1119">
        <v>24.727</v>
      </c>
      <c r="O1119">
        <v>6656.01</v>
      </c>
      <c r="P1119">
        <v>0</v>
      </c>
      <c r="Q1119">
        <v>6656.01</v>
      </c>
      <c r="R1119">
        <v>732.16</v>
      </c>
      <c r="S1119">
        <v>266.24</v>
      </c>
      <c r="T1119">
        <v>7121.93</v>
      </c>
      <c r="V1119" t="s">
        <v>9408</v>
      </c>
      <c r="W1119" t="s">
        <v>423</v>
      </c>
    </row>
    <row r="1120" spans="1:23" hidden="1" x14ac:dyDescent="0.2">
      <c r="A1120">
        <v>2012</v>
      </c>
      <c r="B1120" t="s">
        <v>303</v>
      </c>
      <c r="C1120" s="733">
        <v>40912</v>
      </c>
      <c r="D11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20" t="s">
        <v>485</v>
      </c>
      <c r="F1120" t="s">
        <v>2084</v>
      </c>
      <c r="G1120" t="s">
        <v>4242</v>
      </c>
      <c r="H1120">
        <v>39652</v>
      </c>
      <c r="I1120" t="s">
        <v>423</v>
      </c>
      <c r="J1120" t="s">
        <v>2813</v>
      </c>
      <c r="K1120" t="s">
        <v>2814</v>
      </c>
      <c r="L1120" t="s">
        <v>2815</v>
      </c>
      <c r="M1120">
        <v>365</v>
      </c>
      <c r="N1120">
        <v>23.736999999999998</v>
      </c>
      <c r="O1120">
        <v>2690.11</v>
      </c>
      <c r="P1120">
        <v>3028.7679480000002</v>
      </c>
      <c r="Q1120">
        <v>5718.8779480000003</v>
      </c>
      <c r="R1120">
        <v>915.02047200000004</v>
      </c>
      <c r="S1120">
        <v>228.75511800000001</v>
      </c>
      <c r="T1120">
        <v>6405.1433020000004</v>
      </c>
      <c r="U1120" t="s">
        <v>2846</v>
      </c>
      <c r="V1120" t="s">
        <v>9408</v>
      </c>
      <c r="W1120" t="s">
        <v>423</v>
      </c>
    </row>
    <row r="1121" spans="1:23" hidden="1" x14ac:dyDescent="0.2">
      <c r="A1121">
        <v>2012</v>
      </c>
      <c r="B1121" t="s">
        <v>303</v>
      </c>
      <c r="C1121" s="733">
        <v>40936.615914351853</v>
      </c>
      <c r="D11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21" t="s">
        <v>478</v>
      </c>
      <c r="F1121" t="s">
        <v>2136</v>
      </c>
      <c r="G1121" t="s">
        <v>3028</v>
      </c>
      <c r="H1121">
        <v>35046</v>
      </c>
      <c r="I1121" t="s">
        <v>423</v>
      </c>
      <c r="J1121" t="s">
        <v>3029</v>
      </c>
      <c r="K1121" t="s">
        <v>425</v>
      </c>
      <c r="L1121" t="s">
        <v>2145</v>
      </c>
      <c r="M1121">
        <v>35</v>
      </c>
      <c r="N1121">
        <v>24.71</v>
      </c>
      <c r="O1121">
        <v>3317.32</v>
      </c>
      <c r="P1121">
        <v>0</v>
      </c>
      <c r="Q1121">
        <v>3317.32</v>
      </c>
      <c r="R1121">
        <v>530.77</v>
      </c>
      <c r="S1121">
        <v>132.69</v>
      </c>
      <c r="T1121">
        <v>3715.4</v>
      </c>
      <c r="U1121" t="s">
        <v>2914</v>
      </c>
      <c r="V1121" t="s">
        <v>9408</v>
      </c>
      <c r="W1121" t="s">
        <v>423</v>
      </c>
    </row>
    <row r="1122" spans="1:23" hidden="1" x14ac:dyDescent="0.2">
      <c r="A1122">
        <v>2012</v>
      </c>
      <c r="B1122" t="s">
        <v>303</v>
      </c>
      <c r="C1122" s="733">
        <v>40920</v>
      </c>
      <c r="D11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22" t="s">
        <v>485</v>
      </c>
      <c r="F1122" t="s">
        <v>2065</v>
      </c>
      <c r="G1122" t="s">
        <v>5742</v>
      </c>
      <c r="H1122">
        <v>40096</v>
      </c>
      <c r="I1122" t="s">
        <v>423</v>
      </c>
      <c r="J1122" t="s">
        <v>5260</v>
      </c>
      <c r="K1122" t="s">
        <v>2102</v>
      </c>
      <c r="L1122" t="s">
        <v>2115</v>
      </c>
      <c r="M1122">
        <v>832</v>
      </c>
      <c r="N1122">
        <v>52.07</v>
      </c>
      <c r="O1122">
        <v>25981.37</v>
      </c>
      <c r="P1122">
        <v>0</v>
      </c>
      <c r="Q1122">
        <v>25981.37</v>
      </c>
      <c r="R1122">
        <v>4157.0200000000004</v>
      </c>
      <c r="S1122">
        <v>1039.25</v>
      </c>
      <c r="T1122">
        <v>29099.14</v>
      </c>
      <c r="U1122" t="s">
        <v>2106</v>
      </c>
      <c r="V1122" t="s">
        <v>9409</v>
      </c>
      <c r="W1122" t="s">
        <v>423</v>
      </c>
    </row>
    <row r="1123" spans="1:23" x14ac:dyDescent="0.2">
      <c r="A1123">
        <v>2012</v>
      </c>
      <c r="B1123" t="s">
        <v>304</v>
      </c>
      <c r="C1123" s="733">
        <v>40967</v>
      </c>
      <c r="D11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23" t="s">
        <v>485</v>
      </c>
      <c r="F1123" t="s">
        <v>2084</v>
      </c>
      <c r="G1123" t="s">
        <v>8917</v>
      </c>
      <c r="H1123">
        <v>42456</v>
      </c>
      <c r="I1123" t="s">
        <v>423</v>
      </c>
      <c r="J1123" t="s">
        <v>2813</v>
      </c>
      <c r="K1123" t="s">
        <v>2814</v>
      </c>
      <c r="L1123" t="s">
        <v>2815</v>
      </c>
      <c r="M1123">
        <v>365</v>
      </c>
      <c r="N1123">
        <v>23.895</v>
      </c>
      <c r="O1123">
        <v>6432.06</v>
      </c>
      <c r="P1123">
        <v>0</v>
      </c>
      <c r="Q1123">
        <v>6432.06</v>
      </c>
      <c r="R1123">
        <v>707.53</v>
      </c>
      <c r="S1123">
        <v>257.27999999999997</v>
      </c>
      <c r="T1123">
        <v>6882.31</v>
      </c>
      <c r="V1123" t="s">
        <v>9408</v>
      </c>
      <c r="W1123" t="s">
        <v>423</v>
      </c>
    </row>
    <row r="1124" spans="1:23" hidden="1" x14ac:dyDescent="0.2">
      <c r="A1124">
        <v>2012</v>
      </c>
      <c r="B1124" t="s">
        <v>303</v>
      </c>
      <c r="C1124" s="733">
        <v>40938</v>
      </c>
      <c r="D11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24" t="s">
        <v>485</v>
      </c>
      <c r="F1124" t="s">
        <v>2084</v>
      </c>
      <c r="G1124" t="s">
        <v>4235</v>
      </c>
      <c r="H1124">
        <v>39816</v>
      </c>
      <c r="I1124" t="s">
        <v>423</v>
      </c>
      <c r="J1124" t="s">
        <v>2813</v>
      </c>
      <c r="K1124" t="s">
        <v>2814</v>
      </c>
      <c r="L1124" t="s">
        <v>2815</v>
      </c>
      <c r="M1124">
        <v>365</v>
      </c>
      <c r="N1124">
        <v>23.446000000000002</v>
      </c>
      <c r="O1124">
        <v>6311.19</v>
      </c>
      <c r="P1124">
        <v>0</v>
      </c>
      <c r="Q1124">
        <v>6311.19</v>
      </c>
      <c r="R1124">
        <v>1009.79</v>
      </c>
      <c r="S1124">
        <v>252.45</v>
      </c>
      <c r="T1124">
        <v>7068.53</v>
      </c>
      <c r="U1124" t="s">
        <v>2826</v>
      </c>
      <c r="V1124" t="s">
        <v>9408</v>
      </c>
      <c r="W1124" t="s">
        <v>423</v>
      </c>
    </row>
    <row r="1125" spans="1:23" hidden="1" x14ac:dyDescent="0.2">
      <c r="A1125">
        <v>2012</v>
      </c>
      <c r="B1125" t="s">
        <v>303</v>
      </c>
      <c r="C1125" s="733">
        <v>40926</v>
      </c>
      <c r="D11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25" t="s">
        <v>485</v>
      </c>
      <c r="F1125" t="s">
        <v>2084</v>
      </c>
      <c r="G1125" t="s">
        <v>4245</v>
      </c>
      <c r="H1125">
        <v>40189</v>
      </c>
      <c r="I1125" t="s">
        <v>423</v>
      </c>
      <c r="J1125" t="s">
        <v>2813</v>
      </c>
      <c r="K1125" t="s">
        <v>2814</v>
      </c>
      <c r="L1125" t="s">
        <v>2815</v>
      </c>
      <c r="M1125">
        <v>365</v>
      </c>
      <c r="N1125">
        <v>23.643000000000001</v>
      </c>
      <c r="O1125">
        <v>6364.22</v>
      </c>
      <c r="P1125">
        <v>0</v>
      </c>
      <c r="Q1125">
        <v>6364.22</v>
      </c>
      <c r="R1125">
        <v>1018.28</v>
      </c>
      <c r="S1125">
        <v>254.57</v>
      </c>
      <c r="T1125">
        <v>7127.93</v>
      </c>
      <c r="U1125" t="s">
        <v>2826</v>
      </c>
      <c r="V1125" t="s">
        <v>9408</v>
      </c>
      <c r="W1125" t="s">
        <v>423</v>
      </c>
    </row>
    <row r="1126" spans="1:23" hidden="1" x14ac:dyDescent="0.2">
      <c r="A1126">
        <v>2012</v>
      </c>
      <c r="B1126" t="s">
        <v>303</v>
      </c>
      <c r="C1126" s="733">
        <v>40938</v>
      </c>
      <c r="D11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26" t="s">
        <v>485</v>
      </c>
      <c r="F1126" t="s">
        <v>2084</v>
      </c>
      <c r="G1126" t="s">
        <v>4248</v>
      </c>
      <c r="H1126">
        <v>39888</v>
      </c>
      <c r="I1126" t="s">
        <v>423</v>
      </c>
      <c r="J1126" t="s">
        <v>2813</v>
      </c>
      <c r="K1126" t="s">
        <v>2814</v>
      </c>
      <c r="L1126" t="s">
        <v>2815</v>
      </c>
      <c r="M1126">
        <v>365</v>
      </c>
      <c r="N1126">
        <v>23.672000000000001</v>
      </c>
      <c r="O1126">
        <v>6372.03</v>
      </c>
      <c r="P1126">
        <v>0</v>
      </c>
      <c r="Q1126">
        <v>6372.03</v>
      </c>
      <c r="R1126">
        <v>1019.52</v>
      </c>
      <c r="S1126">
        <v>254.88</v>
      </c>
      <c r="T1126">
        <v>7136.67</v>
      </c>
      <c r="V1126" t="s">
        <v>9408</v>
      </c>
      <c r="W1126" t="s">
        <v>423</v>
      </c>
    </row>
    <row r="1127" spans="1:23" hidden="1" x14ac:dyDescent="0.2">
      <c r="A1127">
        <v>2012</v>
      </c>
      <c r="B1127" t="s">
        <v>303</v>
      </c>
      <c r="C1127" s="733">
        <v>40912</v>
      </c>
      <c r="D11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27" t="s">
        <v>485</v>
      </c>
      <c r="F1127" t="s">
        <v>2065</v>
      </c>
      <c r="G1127" t="s">
        <v>4241</v>
      </c>
      <c r="H1127">
        <v>39460</v>
      </c>
      <c r="I1127" t="s">
        <v>423</v>
      </c>
      <c r="J1127" t="s">
        <v>2813</v>
      </c>
      <c r="K1127" t="s">
        <v>2814</v>
      </c>
      <c r="L1127" t="s">
        <v>2815</v>
      </c>
      <c r="M1127">
        <v>365</v>
      </c>
      <c r="N1127">
        <v>23.61</v>
      </c>
      <c r="O1127">
        <v>2675.72</v>
      </c>
      <c r="P1127">
        <v>3012.5663909999998</v>
      </c>
      <c r="Q1127">
        <v>5688.2863909999996</v>
      </c>
      <c r="R1127">
        <v>910.12582299999997</v>
      </c>
      <c r="S1127">
        <v>227.53145599999999</v>
      </c>
      <c r="T1127">
        <v>6370.8807580000002</v>
      </c>
      <c r="U1127" t="s">
        <v>2846</v>
      </c>
      <c r="V1127" t="s">
        <v>9408</v>
      </c>
      <c r="W1127" t="s">
        <v>423</v>
      </c>
    </row>
    <row r="1128" spans="1:23" hidden="1" x14ac:dyDescent="0.2">
      <c r="A1128">
        <v>2012</v>
      </c>
      <c r="B1128" t="s">
        <v>303</v>
      </c>
      <c r="C1128" s="733">
        <v>40912</v>
      </c>
      <c r="D11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28" t="s">
        <v>485</v>
      </c>
      <c r="F1128" t="s">
        <v>2065</v>
      </c>
      <c r="G1128" t="s">
        <v>4240</v>
      </c>
      <c r="H1128">
        <v>39657</v>
      </c>
      <c r="I1128" t="s">
        <v>423</v>
      </c>
      <c r="J1128" t="s">
        <v>2813</v>
      </c>
      <c r="K1128" t="s">
        <v>2814</v>
      </c>
      <c r="L1128" t="s">
        <v>2815</v>
      </c>
      <c r="M1128">
        <v>365</v>
      </c>
      <c r="N1128">
        <v>24.111999999999998</v>
      </c>
      <c r="O1128">
        <v>2732.61</v>
      </c>
      <c r="P1128">
        <v>3076.618273</v>
      </c>
      <c r="Q1128">
        <v>5809.2282729999997</v>
      </c>
      <c r="R1128">
        <v>929.47652400000004</v>
      </c>
      <c r="S1128">
        <v>232.36913100000001</v>
      </c>
      <c r="T1128">
        <v>6506.3356659999999</v>
      </c>
      <c r="U1128" t="s">
        <v>2846</v>
      </c>
      <c r="V1128" t="s">
        <v>9408</v>
      </c>
      <c r="W1128" t="s">
        <v>423</v>
      </c>
    </row>
    <row r="1129" spans="1:23" x14ac:dyDescent="0.2">
      <c r="A1129">
        <v>2012</v>
      </c>
      <c r="B1129" t="s">
        <v>304</v>
      </c>
      <c r="C1129" s="733">
        <v>40968</v>
      </c>
      <c r="D11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29" t="s">
        <v>485</v>
      </c>
      <c r="F1129" t="s">
        <v>2065</v>
      </c>
      <c r="G1129" t="s">
        <v>8922</v>
      </c>
      <c r="H1129">
        <v>42840</v>
      </c>
      <c r="I1129" t="s">
        <v>423</v>
      </c>
      <c r="J1129" t="s">
        <v>2182</v>
      </c>
      <c r="K1129" t="s">
        <v>2183</v>
      </c>
      <c r="L1129" t="s">
        <v>2184</v>
      </c>
      <c r="M1129">
        <v>62</v>
      </c>
      <c r="N1129">
        <v>15.64</v>
      </c>
      <c r="O1129">
        <v>2316.91</v>
      </c>
      <c r="P1129">
        <v>0</v>
      </c>
      <c r="Q1129">
        <v>2316.91</v>
      </c>
      <c r="R1129">
        <v>370.71</v>
      </c>
      <c r="S1129">
        <v>92.68</v>
      </c>
      <c r="T1129">
        <v>2594.94</v>
      </c>
      <c r="V1129" t="s">
        <v>9408</v>
      </c>
      <c r="W1129" t="s">
        <v>423</v>
      </c>
    </row>
    <row r="1130" spans="1:23" hidden="1" x14ac:dyDescent="0.2">
      <c r="A1130">
        <v>2012</v>
      </c>
      <c r="B1130" t="s">
        <v>303</v>
      </c>
      <c r="C1130" s="733">
        <v>40928</v>
      </c>
      <c r="D11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30" t="s">
        <v>485</v>
      </c>
      <c r="F1130" t="s">
        <v>2065</v>
      </c>
      <c r="G1130" t="s">
        <v>3096</v>
      </c>
      <c r="H1130">
        <v>40306</v>
      </c>
      <c r="I1130" t="s">
        <v>424</v>
      </c>
      <c r="J1130" t="s">
        <v>2114</v>
      </c>
      <c r="K1130" t="s">
        <v>2102</v>
      </c>
      <c r="L1130" t="s">
        <v>2115</v>
      </c>
      <c r="M1130">
        <v>500</v>
      </c>
      <c r="N1130">
        <v>54</v>
      </c>
      <c r="O1130">
        <v>10009.44</v>
      </c>
      <c r="P1130">
        <v>0</v>
      </c>
      <c r="Q1130">
        <v>10009.44</v>
      </c>
      <c r="R1130">
        <v>1601.51</v>
      </c>
      <c r="S1130">
        <v>400.38</v>
      </c>
      <c r="T1130">
        <v>11210.57</v>
      </c>
      <c r="U1130" t="s">
        <v>2121</v>
      </c>
      <c r="V1130" t="s">
        <v>9409</v>
      </c>
      <c r="W1130" t="s">
        <v>424</v>
      </c>
    </row>
    <row r="1131" spans="1:23" hidden="1" x14ac:dyDescent="0.2">
      <c r="A1131">
        <v>2012</v>
      </c>
      <c r="B1131" t="s">
        <v>303</v>
      </c>
      <c r="C1131" s="733">
        <v>40910</v>
      </c>
      <c r="D11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31" t="s">
        <v>485</v>
      </c>
      <c r="F1131" t="s">
        <v>2065</v>
      </c>
      <c r="G1131" t="s">
        <v>3110</v>
      </c>
      <c r="H1131">
        <v>39560</v>
      </c>
      <c r="I1131" t="s">
        <v>423</v>
      </c>
      <c r="J1131" t="s">
        <v>2114</v>
      </c>
      <c r="K1131" t="s">
        <v>2102</v>
      </c>
      <c r="L1131" t="s">
        <v>2115</v>
      </c>
      <c r="M1131">
        <v>500</v>
      </c>
      <c r="N1131">
        <v>51.76</v>
      </c>
      <c r="O1131">
        <v>7327.66</v>
      </c>
      <c r="P1131">
        <v>8250.1391170000006</v>
      </c>
      <c r="Q1131">
        <v>15577.799117</v>
      </c>
      <c r="R1131">
        <v>2492.4478589999999</v>
      </c>
      <c r="S1131">
        <v>623.11196500000005</v>
      </c>
      <c r="T1131">
        <v>17447.135010999998</v>
      </c>
      <c r="U1131" t="s">
        <v>2104</v>
      </c>
      <c r="V1131" t="s">
        <v>9409</v>
      </c>
      <c r="W1131" t="s">
        <v>423</v>
      </c>
    </row>
    <row r="1132" spans="1:23" hidden="1" x14ac:dyDescent="0.2">
      <c r="A1132">
        <v>2012</v>
      </c>
      <c r="B1132" t="s">
        <v>304</v>
      </c>
      <c r="C1132" s="733">
        <v>40960</v>
      </c>
      <c r="D11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32" t="s">
        <v>485</v>
      </c>
      <c r="F1132" t="s">
        <v>2084</v>
      </c>
      <c r="G1132" t="s">
        <v>8110</v>
      </c>
      <c r="H1132">
        <v>41818</v>
      </c>
      <c r="I1132" t="s">
        <v>423</v>
      </c>
      <c r="J1132" t="s">
        <v>2813</v>
      </c>
      <c r="K1132" t="s">
        <v>2814</v>
      </c>
      <c r="L1132" t="s">
        <v>2815</v>
      </c>
      <c r="M1132">
        <v>365</v>
      </c>
      <c r="N1132">
        <v>27.937999999999999</v>
      </c>
      <c r="O1132">
        <v>7520.35</v>
      </c>
      <c r="P1132">
        <v>0</v>
      </c>
      <c r="Q1132">
        <v>7520.35</v>
      </c>
      <c r="R1132">
        <v>827.24</v>
      </c>
      <c r="S1132">
        <v>300.81</v>
      </c>
      <c r="T1132">
        <v>8046.78</v>
      </c>
      <c r="U1132" t="s">
        <v>8877</v>
      </c>
      <c r="V1132" t="s">
        <v>9408</v>
      </c>
      <c r="W1132" t="s">
        <v>423</v>
      </c>
    </row>
    <row r="1133" spans="1:23" hidden="1" x14ac:dyDescent="0.2">
      <c r="A1133">
        <v>2012</v>
      </c>
      <c r="B1133" t="s">
        <v>304</v>
      </c>
      <c r="C1133" s="733">
        <v>40940</v>
      </c>
      <c r="D11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33" t="s">
        <v>485</v>
      </c>
      <c r="F1133" t="s">
        <v>2084</v>
      </c>
      <c r="G1133" t="s">
        <v>4581</v>
      </c>
      <c r="H1133">
        <v>41136</v>
      </c>
      <c r="I1133" t="s">
        <v>423</v>
      </c>
      <c r="J1133" t="s">
        <v>2813</v>
      </c>
      <c r="K1133" t="s">
        <v>2814</v>
      </c>
      <c r="L1133" t="s">
        <v>2815</v>
      </c>
      <c r="M1133">
        <v>365</v>
      </c>
      <c r="N1133">
        <v>23.873999999999999</v>
      </c>
      <c r="O1133">
        <v>6426.4</v>
      </c>
      <c r="P1133">
        <v>0</v>
      </c>
      <c r="Q1133">
        <v>6426.4</v>
      </c>
      <c r="R1133">
        <v>1028.22</v>
      </c>
      <c r="S1133">
        <v>257.06</v>
      </c>
      <c r="T1133">
        <v>7197.56</v>
      </c>
      <c r="U1133" t="s">
        <v>8522</v>
      </c>
      <c r="V1133" t="s">
        <v>9408</v>
      </c>
      <c r="W1133" t="s">
        <v>423</v>
      </c>
    </row>
    <row r="1134" spans="1:23" hidden="1" x14ac:dyDescent="0.2">
      <c r="A1134">
        <v>2012</v>
      </c>
      <c r="B1134" t="s">
        <v>303</v>
      </c>
      <c r="C1134" s="733">
        <v>40912</v>
      </c>
      <c r="D11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34" t="s">
        <v>485</v>
      </c>
      <c r="F1134" t="s">
        <v>2084</v>
      </c>
      <c r="G1134" t="s">
        <v>4584</v>
      </c>
      <c r="H1134">
        <v>39615</v>
      </c>
      <c r="I1134" t="s">
        <v>423</v>
      </c>
      <c r="J1134" t="s">
        <v>2813</v>
      </c>
      <c r="K1134" t="s">
        <v>2814</v>
      </c>
      <c r="L1134" t="s">
        <v>2815</v>
      </c>
      <c r="M1134">
        <v>365</v>
      </c>
      <c r="N1134">
        <v>23.507000000000001</v>
      </c>
      <c r="O1134">
        <v>2664.05</v>
      </c>
      <c r="P1134">
        <v>2999.4272550000001</v>
      </c>
      <c r="Q1134">
        <v>5663.4772549999998</v>
      </c>
      <c r="R1134">
        <v>906.15636099999995</v>
      </c>
      <c r="S1134">
        <v>226.53908999999999</v>
      </c>
      <c r="T1134">
        <v>6343.0945259999999</v>
      </c>
      <c r="U1134" t="s">
        <v>2846</v>
      </c>
      <c r="V1134" t="s">
        <v>9408</v>
      </c>
      <c r="W1134" t="s">
        <v>423</v>
      </c>
    </row>
    <row r="1135" spans="1:23" hidden="1" x14ac:dyDescent="0.2">
      <c r="A1135">
        <v>2012</v>
      </c>
      <c r="B1135" t="s">
        <v>303</v>
      </c>
      <c r="C1135" s="733">
        <v>40932</v>
      </c>
      <c r="D11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35" t="s">
        <v>485</v>
      </c>
      <c r="F1135" t="s">
        <v>2084</v>
      </c>
      <c r="G1135" t="s">
        <v>4588</v>
      </c>
      <c r="H1135">
        <v>40682</v>
      </c>
      <c r="I1135" t="s">
        <v>423</v>
      </c>
      <c r="J1135" t="s">
        <v>2813</v>
      </c>
      <c r="K1135" t="s">
        <v>2814</v>
      </c>
      <c r="L1135" t="s">
        <v>2815</v>
      </c>
      <c r="M1135">
        <v>365</v>
      </c>
      <c r="N1135">
        <v>27.795000000000002</v>
      </c>
      <c r="O1135">
        <v>7481.86</v>
      </c>
      <c r="P1135">
        <v>0</v>
      </c>
      <c r="Q1135">
        <v>7481.86</v>
      </c>
      <c r="R1135">
        <v>1197.0999999999999</v>
      </c>
      <c r="S1135">
        <v>299.27</v>
      </c>
      <c r="T1135">
        <v>8379.69</v>
      </c>
      <c r="U1135" t="s">
        <v>2826</v>
      </c>
      <c r="V1135" t="s">
        <v>9408</v>
      </c>
      <c r="W1135" t="s">
        <v>423</v>
      </c>
    </row>
    <row r="1136" spans="1:23" hidden="1" x14ac:dyDescent="0.2">
      <c r="A1136">
        <v>2012</v>
      </c>
      <c r="B1136" t="s">
        <v>304</v>
      </c>
      <c r="C1136" s="733">
        <v>40940</v>
      </c>
      <c r="D11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36" t="s">
        <v>485</v>
      </c>
      <c r="F1136" t="s">
        <v>2084</v>
      </c>
      <c r="G1136" t="s">
        <v>5203</v>
      </c>
      <c r="H1136">
        <v>41015</v>
      </c>
      <c r="I1136" t="s">
        <v>423</v>
      </c>
      <c r="J1136" t="s">
        <v>2813</v>
      </c>
      <c r="K1136" t="s">
        <v>2814</v>
      </c>
      <c r="L1136" t="s">
        <v>2815</v>
      </c>
      <c r="M1136">
        <v>365</v>
      </c>
      <c r="N1136">
        <v>24.259</v>
      </c>
      <c r="O1136">
        <v>6530.04</v>
      </c>
      <c r="P1136">
        <v>0</v>
      </c>
      <c r="Q1136">
        <v>6530.04</v>
      </c>
      <c r="R1136">
        <v>1044.81</v>
      </c>
      <c r="S1136">
        <v>261.2</v>
      </c>
      <c r="T1136">
        <v>7313.65</v>
      </c>
      <c r="U1136" t="s">
        <v>8522</v>
      </c>
      <c r="V1136" t="s">
        <v>9408</v>
      </c>
      <c r="W1136" t="s">
        <v>423</v>
      </c>
    </row>
    <row r="1137" spans="1:23" hidden="1" x14ac:dyDescent="0.2">
      <c r="A1137">
        <v>2012</v>
      </c>
      <c r="B1137" t="s">
        <v>304</v>
      </c>
      <c r="C1137" s="733">
        <v>40949</v>
      </c>
      <c r="D11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37" t="s">
        <v>485</v>
      </c>
      <c r="F1137" t="s">
        <v>2084</v>
      </c>
      <c r="G1137" t="s">
        <v>5202</v>
      </c>
      <c r="H1137">
        <v>41376</v>
      </c>
      <c r="I1137" t="s">
        <v>423</v>
      </c>
      <c r="J1137" t="s">
        <v>2813</v>
      </c>
      <c r="K1137" t="s">
        <v>2814</v>
      </c>
      <c r="L1137" t="s">
        <v>2815</v>
      </c>
      <c r="M1137">
        <v>365</v>
      </c>
      <c r="N1137">
        <v>29.8</v>
      </c>
      <c r="O1137">
        <v>8021.56</v>
      </c>
      <c r="P1137">
        <v>0</v>
      </c>
      <c r="Q1137">
        <v>8021.56</v>
      </c>
      <c r="R1137">
        <v>882.37</v>
      </c>
      <c r="S1137">
        <v>320.86</v>
      </c>
      <c r="T1137">
        <v>8583.07</v>
      </c>
      <c r="U1137" t="s">
        <v>7527</v>
      </c>
      <c r="V1137" t="s">
        <v>9408</v>
      </c>
      <c r="W1137" t="s">
        <v>423</v>
      </c>
    </row>
    <row r="1138" spans="1:23" hidden="1" x14ac:dyDescent="0.2">
      <c r="A1138">
        <v>2012</v>
      </c>
      <c r="B1138" t="s">
        <v>304</v>
      </c>
      <c r="C1138" s="733">
        <v>40940</v>
      </c>
      <c r="D11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38" t="s">
        <v>485</v>
      </c>
      <c r="F1138" t="s">
        <v>2084</v>
      </c>
      <c r="G1138" t="s">
        <v>4587</v>
      </c>
      <c r="H1138">
        <v>40914</v>
      </c>
      <c r="I1138" t="s">
        <v>423</v>
      </c>
      <c r="J1138" t="s">
        <v>2813</v>
      </c>
      <c r="K1138" t="s">
        <v>2814</v>
      </c>
      <c r="L1138" t="s">
        <v>2815</v>
      </c>
      <c r="M1138">
        <v>365</v>
      </c>
      <c r="N1138">
        <v>23.837</v>
      </c>
      <c r="O1138">
        <v>6416.44</v>
      </c>
      <c r="P1138">
        <v>0</v>
      </c>
      <c r="Q1138">
        <v>6416.44</v>
      </c>
      <c r="R1138">
        <v>1026.6300000000001</v>
      </c>
      <c r="S1138">
        <v>256.66000000000003</v>
      </c>
      <c r="T1138">
        <v>7186.41</v>
      </c>
      <c r="U1138" t="s">
        <v>8522</v>
      </c>
      <c r="V1138" t="s">
        <v>9408</v>
      </c>
      <c r="W1138" t="s">
        <v>423</v>
      </c>
    </row>
    <row r="1139" spans="1:23" hidden="1" x14ac:dyDescent="0.2">
      <c r="A1139">
        <v>2012</v>
      </c>
      <c r="B1139" t="s">
        <v>304</v>
      </c>
      <c r="C1139" s="733">
        <v>40940</v>
      </c>
      <c r="D11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39" t="s">
        <v>485</v>
      </c>
      <c r="F1139" t="s">
        <v>2084</v>
      </c>
      <c r="G1139" t="s">
        <v>4590</v>
      </c>
      <c r="H1139">
        <v>40917</v>
      </c>
      <c r="I1139" t="s">
        <v>423</v>
      </c>
      <c r="J1139" t="s">
        <v>2813</v>
      </c>
      <c r="K1139" t="s">
        <v>2814</v>
      </c>
      <c r="L1139" t="s">
        <v>2815</v>
      </c>
      <c r="M1139">
        <v>365</v>
      </c>
      <c r="N1139">
        <v>24.004000000000001</v>
      </c>
      <c r="O1139">
        <v>6461.4</v>
      </c>
      <c r="P1139">
        <v>0</v>
      </c>
      <c r="Q1139">
        <v>6461.4</v>
      </c>
      <c r="R1139">
        <v>1033.82</v>
      </c>
      <c r="S1139">
        <v>258.45999999999998</v>
      </c>
      <c r="T1139">
        <v>7236.76</v>
      </c>
      <c r="U1139" t="s">
        <v>2826</v>
      </c>
      <c r="V1139" t="s">
        <v>9408</v>
      </c>
      <c r="W1139" t="s">
        <v>423</v>
      </c>
    </row>
    <row r="1140" spans="1:23" hidden="1" x14ac:dyDescent="0.2">
      <c r="A1140">
        <v>2012</v>
      </c>
      <c r="B1140" t="s">
        <v>304</v>
      </c>
      <c r="C1140" s="733">
        <v>40940</v>
      </c>
      <c r="D11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40" t="s">
        <v>485</v>
      </c>
      <c r="F1140" t="s">
        <v>2084</v>
      </c>
      <c r="G1140" t="s">
        <v>4579</v>
      </c>
      <c r="H1140">
        <v>41020</v>
      </c>
      <c r="I1140" t="s">
        <v>423</v>
      </c>
      <c r="J1140" t="s">
        <v>2813</v>
      </c>
      <c r="K1140" t="s">
        <v>2814</v>
      </c>
      <c r="L1140" t="s">
        <v>2815</v>
      </c>
      <c r="M1140">
        <v>365</v>
      </c>
      <c r="N1140">
        <v>23.721</v>
      </c>
      <c r="O1140">
        <v>6385.22</v>
      </c>
      <c r="P1140">
        <v>0</v>
      </c>
      <c r="Q1140">
        <v>6385.22</v>
      </c>
      <c r="R1140">
        <v>1021.64</v>
      </c>
      <c r="S1140">
        <v>255.41</v>
      </c>
      <c r="T1140">
        <v>7151.45</v>
      </c>
      <c r="U1140" t="s">
        <v>8522</v>
      </c>
      <c r="V1140" t="s">
        <v>9408</v>
      </c>
      <c r="W1140" t="s">
        <v>423</v>
      </c>
    </row>
    <row r="1141" spans="1:23" hidden="1" x14ac:dyDescent="0.2">
      <c r="A1141">
        <v>2012</v>
      </c>
      <c r="B1141" t="s">
        <v>303</v>
      </c>
      <c r="C1141" s="733">
        <v>40938</v>
      </c>
      <c r="D11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41" t="s">
        <v>485</v>
      </c>
      <c r="F1141" t="s">
        <v>2084</v>
      </c>
      <c r="G1141" t="s">
        <v>4589</v>
      </c>
      <c r="H1141">
        <v>39942</v>
      </c>
      <c r="I1141" t="s">
        <v>423</v>
      </c>
      <c r="J1141" t="s">
        <v>2813</v>
      </c>
      <c r="K1141" t="s">
        <v>2814</v>
      </c>
      <c r="L1141" t="s">
        <v>2815</v>
      </c>
      <c r="M1141">
        <v>365</v>
      </c>
      <c r="N1141">
        <v>23.536999999999999</v>
      </c>
      <c r="O1141">
        <v>6335.69</v>
      </c>
      <c r="P1141">
        <v>0</v>
      </c>
      <c r="Q1141">
        <v>6335.69</v>
      </c>
      <c r="R1141">
        <v>1013.71</v>
      </c>
      <c r="S1141">
        <v>253.43</v>
      </c>
      <c r="T1141">
        <v>7095.97</v>
      </c>
      <c r="U1141" t="s">
        <v>2826</v>
      </c>
      <c r="V1141" t="s">
        <v>9408</v>
      </c>
      <c r="W1141" t="s">
        <v>423</v>
      </c>
    </row>
    <row r="1142" spans="1:23" hidden="1" x14ac:dyDescent="0.2">
      <c r="A1142">
        <v>2012</v>
      </c>
      <c r="B1142" t="s">
        <v>304</v>
      </c>
      <c r="C1142" s="733">
        <v>40953</v>
      </c>
      <c r="D11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42" t="s">
        <v>485</v>
      </c>
      <c r="F1142" t="s">
        <v>2084</v>
      </c>
      <c r="G1142" t="s">
        <v>4583</v>
      </c>
      <c r="H1142">
        <v>41749</v>
      </c>
      <c r="I1142" t="s">
        <v>423</v>
      </c>
      <c r="J1142" t="s">
        <v>2813</v>
      </c>
      <c r="K1142" t="s">
        <v>2814</v>
      </c>
      <c r="L1142" t="s">
        <v>2815</v>
      </c>
      <c r="M1142">
        <v>365</v>
      </c>
      <c r="N1142">
        <v>24.398</v>
      </c>
      <c r="O1142">
        <v>6567.45</v>
      </c>
      <c r="P1142">
        <v>0</v>
      </c>
      <c r="Q1142">
        <v>6567.45</v>
      </c>
      <c r="R1142">
        <v>722.42</v>
      </c>
      <c r="S1142">
        <v>262.7</v>
      </c>
      <c r="T1142">
        <v>7027.17</v>
      </c>
      <c r="U1142" t="s">
        <v>8877</v>
      </c>
      <c r="V1142" t="s">
        <v>9408</v>
      </c>
      <c r="W1142" t="s">
        <v>423</v>
      </c>
    </row>
    <row r="1143" spans="1:23" hidden="1" x14ac:dyDescent="0.2">
      <c r="A1143">
        <v>2012</v>
      </c>
      <c r="B1143" t="s">
        <v>303</v>
      </c>
      <c r="C1143" s="733">
        <v>40939</v>
      </c>
      <c r="D11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43" t="s">
        <v>485</v>
      </c>
      <c r="F1143" t="s">
        <v>2084</v>
      </c>
      <c r="G1143" t="s">
        <v>4578</v>
      </c>
      <c r="H1143">
        <v>39735</v>
      </c>
      <c r="I1143" t="s">
        <v>423</v>
      </c>
      <c r="J1143" t="s">
        <v>2813</v>
      </c>
      <c r="K1143" t="s">
        <v>2814</v>
      </c>
      <c r="L1143" t="s">
        <v>2815</v>
      </c>
      <c r="M1143">
        <v>365</v>
      </c>
      <c r="N1143">
        <v>23.946999999999999</v>
      </c>
      <c r="O1143">
        <v>6446.05</v>
      </c>
      <c r="P1143">
        <v>0</v>
      </c>
      <c r="Q1143">
        <v>6446.05</v>
      </c>
      <c r="R1143">
        <v>1031.3699999999999</v>
      </c>
      <c r="S1143">
        <v>257.83999999999997</v>
      </c>
      <c r="T1143">
        <v>7219.58</v>
      </c>
      <c r="U1143" t="s">
        <v>2826</v>
      </c>
      <c r="V1143" t="s">
        <v>9408</v>
      </c>
      <c r="W1143" t="s">
        <v>423</v>
      </c>
    </row>
    <row r="1144" spans="1:23" hidden="1" x14ac:dyDescent="0.2">
      <c r="A1144">
        <v>2012</v>
      </c>
      <c r="B1144" t="s">
        <v>303</v>
      </c>
      <c r="C1144" s="733">
        <v>40932</v>
      </c>
      <c r="D11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44" t="s">
        <v>485</v>
      </c>
      <c r="F1144" t="s">
        <v>2084</v>
      </c>
      <c r="G1144" t="s">
        <v>4582</v>
      </c>
      <c r="H1144">
        <v>40559</v>
      </c>
      <c r="I1144" t="s">
        <v>423</v>
      </c>
      <c r="J1144" t="s">
        <v>2813</v>
      </c>
      <c r="K1144" t="s">
        <v>2814</v>
      </c>
      <c r="L1144" t="s">
        <v>2815</v>
      </c>
      <c r="M1144">
        <v>365</v>
      </c>
      <c r="N1144">
        <v>23.503</v>
      </c>
      <c r="O1144">
        <v>6326.54</v>
      </c>
      <c r="P1144">
        <v>0</v>
      </c>
      <c r="Q1144">
        <v>6326.54</v>
      </c>
      <c r="R1144">
        <v>1012.25</v>
      </c>
      <c r="S1144">
        <v>253.06</v>
      </c>
      <c r="T1144">
        <v>7085.73</v>
      </c>
      <c r="U1144" t="s">
        <v>8522</v>
      </c>
      <c r="V1144" t="s">
        <v>9408</v>
      </c>
      <c r="W1144" t="s">
        <v>423</v>
      </c>
    </row>
    <row r="1145" spans="1:23" x14ac:dyDescent="0.2">
      <c r="A1145">
        <v>2012</v>
      </c>
      <c r="B1145" t="s">
        <v>304</v>
      </c>
      <c r="C1145" s="733">
        <v>40967</v>
      </c>
      <c r="D11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45" t="s">
        <v>485</v>
      </c>
      <c r="F1145" t="s">
        <v>2084</v>
      </c>
      <c r="G1145" t="s">
        <v>8939</v>
      </c>
      <c r="H1145">
        <v>42416</v>
      </c>
      <c r="I1145" t="s">
        <v>423</v>
      </c>
      <c r="J1145" t="s">
        <v>2813</v>
      </c>
      <c r="K1145" t="s">
        <v>2814</v>
      </c>
      <c r="L1145" t="s">
        <v>2815</v>
      </c>
      <c r="M1145">
        <v>365</v>
      </c>
      <c r="N1145">
        <v>24.132000000000001</v>
      </c>
      <c r="O1145">
        <v>6495.85</v>
      </c>
      <c r="P1145">
        <v>0</v>
      </c>
      <c r="Q1145">
        <v>6495.85</v>
      </c>
      <c r="R1145">
        <v>714.54</v>
      </c>
      <c r="S1145">
        <v>259.83</v>
      </c>
      <c r="T1145">
        <v>6950.56</v>
      </c>
      <c r="U1145" t="s">
        <v>8877</v>
      </c>
      <c r="V1145" t="s">
        <v>9408</v>
      </c>
      <c r="W1145" t="s">
        <v>423</v>
      </c>
    </row>
    <row r="1146" spans="1:23" hidden="1" x14ac:dyDescent="0.2">
      <c r="A1146">
        <v>2012</v>
      </c>
      <c r="B1146" t="s">
        <v>303</v>
      </c>
      <c r="C1146" s="733">
        <v>40926</v>
      </c>
      <c r="D11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46" t="s">
        <v>485</v>
      </c>
      <c r="F1146" t="s">
        <v>2084</v>
      </c>
      <c r="G1146" t="s">
        <v>4580</v>
      </c>
      <c r="H1146">
        <v>40318</v>
      </c>
      <c r="I1146" t="s">
        <v>423</v>
      </c>
      <c r="J1146" t="s">
        <v>2813</v>
      </c>
      <c r="K1146" t="s">
        <v>2814</v>
      </c>
      <c r="L1146" t="s">
        <v>2815</v>
      </c>
      <c r="M1146">
        <v>365</v>
      </c>
      <c r="N1146">
        <v>23.670999999999999</v>
      </c>
      <c r="O1146">
        <v>6371.76</v>
      </c>
      <c r="P1146">
        <v>0</v>
      </c>
      <c r="Q1146">
        <v>6371.76</v>
      </c>
      <c r="R1146">
        <v>1019.48</v>
      </c>
      <c r="S1146">
        <v>254.87</v>
      </c>
      <c r="T1146">
        <v>7136.37</v>
      </c>
      <c r="U1146" t="s">
        <v>2824</v>
      </c>
      <c r="V1146" t="s">
        <v>9408</v>
      </c>
      <c r="W1146" t="s">
        <v>423</v>
      </c>
    </row>
    <row r="1147" spans="1:23" hidden="1" x14ac:dyDescent="0.2">
      <c r="A1147">
        <v>2012</v>
      </c>
      <c r="B1147" t="s">
        <v>304</v>
      </c>
      <c r="C1147" s="733">
        <v>40953</v>
      </c>
      <c r="D11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47" t="s">
        <v>485</v>
      </c>
      <c r="F1147" t="s">
        <v>2084</v>
      </c>
      <c r="G1147" t="s">
        <v>4577</v>
      </c>
      <c r="H1147">
        <v>41656</v>
      </c>
      <c r="I1147" t="s">
        <v>423</v>
      </c>
      <c r="J1147" t="s">
        <v>2813</v>
      </c>
      <c r="K1147" t="s">
        <v>2814</v>
      </c>
      <c r="L1147" t="s">
        <v>2815</v>
      </c>
      <c r="M1147">
        <v>365</v>
      </c>
      <c r="N1147">
        <v>24.806999999999999</v>
      </c>
      <c r="O1147">
        <v>6677.55</v>
      </c>
      <c r="P1147">
        <v>0</v>
      </c>
      <c r="Q1147">
        <v>6677.55</v>
      </c>
      <c r="R1147">
        <v>734.53</v>
      </c>
      <c r="S1147">
        <v>267.10000000000002</v>
      </c>
      <c r="T1147">
        <v>7144.98</v>
      </c>
      <c r="V1147" t="s">
        <v>9408</v>
      </c>
      <c r="W1147" t="s">
        <v>423</v>
      </c>
    </row>
    <row r="1148" spans="1:23" hidden="1" x14ac:dyDescent="0.2">
      <c r="A1148">
        <v>2012</v>
      </c>
      <c r="B1148" t="s">
        <v>304</v>
      </c>
      <c r="C1148" s="733">
        <v>40940</v>
      </c>
      <c r="D11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48" t="s">
        <v>485</v>
      </c>
      <c r="F1148" t="s">
        <v>2084</v>
      </c>
      <c r="G1148" t="s">
        <v>4576</v>
      </c>
      <c r="H1148">
        <v>41016</v>
      </c>
      <c r="I1148" t="s">
        <v>423</v>
      </c>
      <c r="J1148" t="s">
        <v>2813</v>
      </c>
      <c r="K1148" t="s">
        <v>2814</v>
      </c>
      <c r="L1148" t="s">
        <v>2815</v>
      </c>
      <c r="M1148">
        <v>365</v>
      </c>
      <c r="N1148">
        <v>23.901</v>
      </c>
      <c r="O1148">
        <v>6433.67</v>
      </c>
      <c r="P1148">
        <v>0</v>
      </c>
      <c r="Q1148">
        <v>6433.67</v>
      </c>
      <c r="R1148">
        <v>1029.3900000000001</v>
      </c>
      <c r="S1148">
        <v>257.35000000000002</v>
      </c>
      <c r="T1148">
        <v>7205.71</v>
      </c>
      <c r="U1148" t="s">
        <v>8522</v>
      </c>
      <c r="V1148" t="s">
        <v>9408</v>
      </c>
      <c r="W1148" t="s">
        <v>423</v>
      </c>
    </row>
    <row r="1149" spans="1:23" hidden="1" x14ac:dyDescent="0.2">
      <c r="A1149">
        <v>2012</v>
      </c>
      <c r="B1149" t="s">
        <v>304</v>
      </c>
      <c r="C1149" s="733">
        <v>40953</v>
      </c>
      <c r="D11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49" t="s">
        <v>485</v>
      </c>
      <c r="F1149" t="s">
        <v>2084</v>
      </c>
      <c r="G1149" t="s">
        <v>4575</v>
      </c>
      <c r="H1149">
        <v>41557</v>
      </c>
      <c r="I1149" t="s">
        <v>423</v>
      </c>
      <c r="J1149" t="s">
        <v>2813</v>
      </c>
      <c r="K1149" t="s">
        <v>2814</v>
      </c>
      <c r="L1149" t="s">
        <v>2815</v>
      </c>
      <c r="M1149">
        <v>365</v>
      </c>
      <c r="N1149">
        <v>23.747</v>
      </c>
      <c r="O1149">
        <v>6392.22</v>
      </c>
      <c r="P1149">
        <v>0</v>
      </c>
      <c r="Q1149">
        <v>6392.22</v>
      </c>
      <c r="R1149">
        <v>703.14</v>
      </c>
      <c r="S1149">
        <v>255.69</v>
      </c>
      <c r="T1149">
        <v>6839.67</v>
      </c>
      <c r="U1149" t="s">
        <v>7527</v>
      </c>
      <c r="V1149" t="s">
        <v>9408</v>
      </c>
      <c r="W1149" t="s">
        <v>423</v>
      </c>
    </row>
    <row r="1150" spans="1:23" hidden="1" x14ac:dyDescent="0.2">
      <c r="A1150">
        <v>2012</v>
      </c>
      <c r="B1150" t="s">
        <v>304</v>
      </c>
      <c r="C1150" s="733">
        <v>40953</v>
      </c>
      <c r="D11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50" t="s">
        <v>485</v>
      </c>
      <c r="F1150" t="s">
        <v>2084</v>
      </c>
      <c r="G1150" t="s">
        <v>4574</v>
      </c>
      <c r="H1150">
        <v>41751</v>
      </c>
      <c r="I1150" t="s">
        <v>423</v>
      </c>
      <c r="J1150" t="s">
        <v>2813</v>
      </c>
      <c r="K1150" t="s">
        <v>2814</v>
      </c>
      <c r="L1150" t="s">
        <v>2815</v>
      </c>
      <c r="M1150">
        <v>365</v>
      </c>
      <c r="N1150">
        <v>24.741</v>
      </c>
      <c r="O1150">
        <v>6659.78</v>
      </c>
      <c r="P1150">
        <v>0</v>
      </c>
      <c r="Q1150">
        <v>6659.78</v>
      </c>
      <c r="R1150">
        <v>732.58</v>
      </c>
      <c r="S1150">
        <v>266.39</v>
      </c>
      <c r="T1150">
        <v>7125.97</v>
      </c>
      <c r="U1150" t="s">
        <v>8877</v>
      </c>
      <c r="V1150" t="s">
        <v>9408</v>
      </c>
      <c r="W1150" t="s">
        <v>423</v>
      </c>
    </row>
    <row r="1151" spans="1:23" x14ac:dyDescent="0.2">
      <c r="A1151">
        <v>2012</v>
      </c>
      <c r="B1151" t="s">
        <v>304</v>
      </c>
      <c r="C1151" s="733">
        <v>40967</v>
      </c>
      <c r="D11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51" t="s">
        <v>485</v>
      </c>
      <c r="F1151" t="s">
        <v>2065</v>
      </c>
      <c r="G1151" t="s">
        <v>8940</v>
      </c>
      <c r="H1151">
        <v>42419</v>
      </c>
      <c r="I1151" t="s">
        <v>423</v>
      </c>
      <c r="J1151" t="s">
        <v>2813</v>
      </c>
      <c r="K1151" t="s">
        <v>2814</v>
      </c>
      <c r="L1151" t="s">
        <v>2815</v>
      </c>
      <c r="M1151">
        <v>365</v>
      </c>
      <c r="N1151">
        <v>23.896000000000001</v>
      </c>
      <c r="O1151">
        <v>6432.33</v>
      </c>
      <c r="P1151">
        <v>0</v>
      </c>
      <c r="Q1151">
        <v>6432.33</v>
      </c>
      <c r="R1151">
        <v>707.56</v>
      </c>
      <c r="S1151">
        <v>257.29000000000002</v>
      </c>
      <c r="T1151">
        <v>6882.6</v>
      </c>
      <c r="U1151" t="s">
        <v>8877</v>
      </c>
      <c r="V1151" t="s">
        <v>9408</v>
      </c>
      <c r="W1151" t="s">
        <v>423</v>
      </c>
    </row>
    <row r="1152" spans="1:23" hidden="1" x14ac:dyDescent="0.2">
      <c r="A1152">
        <v>2012</v>
      </c>
      <c r="B1152" t="s">
        <v>303</v>
      </c>
      <c r="C1152" s="733">
        <v>40938</v>
      </c>
      <c r="D11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52" t="s">
        <v>485</v>
      </c>
      <c r="F1152" t="s">
        <v>2065</v>
      </c>
      <c r="G1152" t="s">
        <v>4585</v>
      </c>
      <c r="H1152">
        <v>40793</v>
      </c>
      <c r="I1152" t="s">
        <v>423</v>
      </c>
      <c r="J1152" t="s">
        <v>2813</v>
      </c>
      <c r="K1152" t="s">
        <v>2814</v>
      </c>
      <c r="L1152" t="s">
        <v>2815</v>
      </c>
      <c r="M1152">
        <v>365</v>
      </c>
      <c r="N1152">
        <v>23.817</v>
      </c>
      <c r="O1152">
        <v>6411.06</v>
      </c>
      <c r="P1152">
        <v>0</v>
      </c>
      <c r="Q1152">
        <v>6411.06</v>
      </c>
      <c r="R1152">
        <v>1025.77</v>
      </c>
      <c r="S1152">
        <v>256.44</v>
      </c>
      <c r="T1152">
        <v>7180.39</v>
      </c>
      <c r="U1152" t="s">
        <v>8522</v>
      </c>
      <c r="V1152" t="s">
        <v>9408</v>
      </c>
      <c r="W1152" t="s">
        <v>423</v>
      </c>
    </row>
    <row r="1153" spans="1:23" hidden="1" x14ac:dyDescent="0.2">
      <c r="A1153">
        <v>2012</v>
      </c>
      <c r="B1153" t="s">
        <v>303</v>
      </c>
      <c r="C1153" s="733">
        <v>40932</v>
      </c>
      <c r="D11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53" t="s">
        <v>485</v>
      </c>
      <c r="F1153" t="s">
        <v>2065</v>
      </c>
      <c r="G1153" t="s">
        <v>4586</v>
      </c>
      <c r="H1153">
        <v>40624</v>
      </c>
      <c r="I1153" t="s">
        <v>423</v>
      </c>
      <c r="J1153" t="s">
        <v>2813</v>
      </c>
      <c r="K1153" t="s">
        <v>2814</v>
      </c>
      <c r="L1153" t="s">
        <v>2815</v>
      </c>
      <c r="M1153">
        <v>365</v>
      </c>
      <c r="N1153">
        <v>24.189</v>
      </c>
      <c r="O1153">
        <v>6511.2</v>
      </c>
      <c r="P1153">
        <v>0</v>
      </c>
      <c r="Q1153">
        <v>6511.2</v>
      </c>
      <c r="R1153">
        <v>1041.79</v>
      </c>
      <c r="S1153">
        <v>260.45</v>
      </c>
      <c r="T1153">
        <v>7292.54</v>
      </c>
      <c r="U1153" t="s">
        <v>8522</v>
      </c>
      <c r="V1153" t="s">
        <v>9408</v>
      </c>
      <c r="W1153" t="s">
        <v>423</v>
      </c>
    </row>
    <row r="1154" spans="1:23" hidden="1" x14ac:dyDescent="0.2">
      <c r="A1154">
        <v>2012</v>
      </c>
      <c r="B1154" t="s">
        <v>303</v>
      </c>
      <c r="C1154" s="733">
        <v>40918</v>
      </c>
      <c r="D11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54" t="s">
        <v>478</v>
      </c>
      <c r="F1154" t="s">
        <v>2136</v>
      </c>
      <c r="G1154" t="s">
        <v>6897</v>
      </c>
      <c r="H1154">
        <v>34343</v>
      </c>
      <c r="I1154" t="s">
        <v>423</v>
      </c>
      <c r="J1154" t="s">
        <v>4699</v>
      </c>
      <c r="K1154" t="s">
        <v>425</v>
      </c>
      <c r="L1154" t="s">
        <v>2145</v>
      </c>
      <c r="M1154">
        <v>555</v>
      </c>
      <c r="N1154">
        <v>54.29</v>
      </c>
      <c r="O1154">
        <v>17345.66</v>
      </c>
      <c r="P1154">
        <v>0</v>
      </c>
      <c r="Q1154">
        <v>17345.66</v>
      </c>
      <c r="R1154">
        <v>2775.3</v>
      </c>
      <c r="S1154">
        <v>693.83</v>
      </c>
      <c r="T1154">
        <v>19427.13</v>
      </c>
      <c r="U1154" t="s">
        <v>2355</v>
      </c>
      <c r="V1154" t="s">
        <v>9409</v>
      </c>
      <c r="W1154" t="s">
        <v>423</v>
      </c>
    </row>
    <row r="1155" spans="1:23" hidden="1" x14ac:dyDescent="0.2">
      <c r="A1155">
        <v>2012</v>
      </c>
      <c r="B1155" t="s">
        <v>304</v>
      </c>
      <c r="C1155" s="733">
        <v>40941</v>
      </c>
      <c r="D11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55" t="s">
        <v>485</v>
      </c>
      <c r="F1155" t="s">
        <v>2065</v>
      </c>
      <c r="G1155" t="s">
        <v>4311</v>
      </c>
      <c r="H1155">
        <v>41249</v>
      </c>
      <c r="I1155" t="s">
        <v>423</v>
      </c>
      <c r="J1155" t="s">
        <v>2182</v>
      </c>
      <c r="K1155" t="s">
        <v>2183</v>
      </c>
      <c r="L1155" t="s">
        <v>2184</v>
      </c>
      <c r="M1155">
        <v>62</v>
      </c>
      <c r="N1155">
        <v>26.95</v>
      </c>
      <c r="O1155">
        <v>3992.37</v>
      </c>
      <c r="P1155">
        <v>0</v>
      </c>
      <c r="Q1155">
        <v>3992.37</v>
      </c>
      <c r="R1155">
        <v>638.78</v>
      </c>
      <c r="S1155">
        <v>159.69</v>
      </c>
      <c r="T1155">
        <v>4471.46</v>
      </c>
      <c r="U1155" t="s">
        <v>2192</v>
      </c>
      <c r="V1155" t="s">
        <v>9408</v>
      </c>
      <c r="W1155" t="s">
        <v>423</v>
      </c>
    </row>
    <row r="1156" spans="1:23" hidden="1" x14ac:dyDescent="0.2">
      <c r="A1156">
        <v>2012</v>
      </c>
      <c r="B1156" t="s">
        <v>304</v>
      </c>
      <c r="C1156" s="733">
        <v>40954</v>
      </c>
      <c r="D11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56" t="s">
        <v>485</v>
      </c>
      <c r="F1156" t="s">
        <v>2065</v>
      </c>
      <c r="G1156" t="s">
        <v>7490</v>
      </c>
      <c r="H1156">
        <v>41918</v>
      </c>
      <c r="I1156" t="s">
        <v>424</v>
      </c>
      <c r="J1156" t="s">
        <v>2114</v>
      </c>
      <c r="K1156" t="s">
        <v>2102</v>
      </c>
      <c r="L1156" t="s">
        <v>2115</v>
      </c>
      <c r="M1156">
        <v>500</v>
      </c>
      <c r="N1156">
        <v>54</v>
      </c>
      <c r="O1156">
        <v>10009.44</v>
      </c>
      <c r="P1156">
        <v>0</v>
      </c>
      <c r="Q1156">
        <v>10009.44</v>
      </c>
      <c r="R1156">
        <v>1601.51</v>
      </c>
      <c r="S1156">
        <v>400.38</v>
      </c>
      <c r="T1156">
        <v>11210.57</v>
      </c>
      <c r="U1156" t="s">
        <v>8871</v>
      </c>
      <c r="V1156" t="s">
        <v>9409</v>
      </c>
      <c r="W1156" t="s">
        <v>424</v>
      </c>
    </row>
    <row r="1157" spans="1:23" hidden="1" x14ac:dyDescent="0.2">
      <c r="A1157">
        <v>2012</v>
      </c>
      <c r="B1157" t="s">
        <v>304</v>
      </c>
      <c r="C1157" s="733">
        <v>40946</v>
      </c>
      <c r="D11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57" t="s">
        <v>485</v>
      </c>
      <c r="F1157" t="s">
        <v>2065</v>
      </c>
      <c r="G1157" t="s">
        <v>6699</v>
      </c>
      <c r="H1157">
        <v>41397</v>
      </c>
      <c r="I1157" t="s">
        <v>423</v>
      </c>
      <c r="J1157" t="s">
        <v>2135</v>
      </c>
      <c r="K1157" t="s">
        <v>2102</v>
      </c>
      <c r="L1157" t="s">
        <v>2115</v>
      </c>
      <c r="M1157">
        <v>494</v>
      </c>
      <c r="N1157">
        <v>51.44</v>
      </c>
      <c r="O1157">
        <v>17296.7</v>
      </c>
      <c r="P1157">
        <v>0</v>
      </c>
      <c r="Q1157">
        <v>17296.7</v>
      </c>
      <c r="R1157">
        <v>2767.47</v>
      </c>
      <c r="S1157">
        <v>691.87</v>
      </c>
      <c r="T1157">
        <v>19372.3</v>
      </c>
      <c r="U1157" t="s">
        <v>7462</v>
      </c>
      <c r="V1157" t="s">
        <v>9409</v>
      </c>
      <c r="W1157" t="s">
        <v>423</v>
      </c>
    </row>
    <row r="1158" spans="1:23" hidden="1" x14ac:dyDescent="0.2">
      <c r="A1158">
        <v>2012</v>
      </c>
      <c r="B1158" t="s">
        <v>303</v>
      </c>
      <c r="C1158" s="733">
        <v>40919</v>
      </c>
      <c r="D11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58" t="s">
        <v>485</v>
      </c>
      <c r="F1158" t="s">
        <v>2065</v>
      </c>
      <c r="G1158" t="s">
        <v>2395</v>
      </c>
      <c r="H1158">
        <v>40084</v>
      </c>
      <c r="I1158" t="s">
        <v>423</v>
      </c>
      <c r="J1158" t="s">
        <v>2050</v>
      </c>
      <c r="K1158" t="s">
        <v>2051</v>
      </c>
      <c r="L1158" t="s">
        <v>2052</v>
      </c>
      <c r="M1158">
        <v>90</v>
      </c>
      <c r="N1158">
        <v>50.45</v>
      </c>
      <c r="O1158">
        <v>7078.64</v>
      </c>
      <c r="P1158">
        <v>0</v>
      </c>
      <c r="Q1158">
        <v>7078.64</v>
      </c>
      <c r="R1158">
        <v>1132.58</v>
      </c>
      <c r="S1158">
        <v>283.14999999999998</v>
      </c>
      <c r="T1158">
        <v>7928.07</v>
      </c>
      <c r="U1158" t="s">
        <v>2062</v>
      </c>
      <c r="V1158" t="s">
        <v>9409</v>
      </c>
      <c r="W1158" t="s">
        <v>423</v>
      </c>
    </row>
    <row r="1159" spans="1:23" x14ac:dyDescent="0.2">
      <c r="A1159">
        <v>2012</v>
      </c>
      <c r="B1159" t="s">
        <v>304</v>
      </c>
      <c r="C1159" s="733">
        <v>40967</v>
      </c>
      <c r="D11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59" t="s">
        <v>485</v>
      </c>
      <c r="F1159" t="s">
        <v>2054</v>
      </c>
      <c r="G1159" t="s">
        <v>8958</v>
      </c>
      <c r="H1159">
        <v>42599</v>
      </c>
      <c r="I1159" t="s">
        <v>423</v>
      </c>
      <c r="J1159" t="s">
        <v>2050</v>
      </c>
      <c r="K1159" t="s">
        <v>2051</v>
      </c>
      <c r="L1159" t="s">
        <v>2052</v>
      </c>
      <c r="M1159">
        <v>90</v>
      </c>
      <c r="N1159">
        <v>51.2</v>
      </c>
      <c r="O1159">
        <v>7183.87</v>
      </c>
      <c r="P1159">
        <v>0</v>
      </c>
      <c r="Q1159">
        <v>7183.87</v>
      </c>
      <c r="R1159">
        <v>1149.42</v>
      </c>
      <c r="S1159">
        <v>287.35000000000002</v>
      </c>
      <c r="T1159">
        <v>8045.94</v>
      </c>
      <c r="V1159" t="s">
        <v>9409</v>
      </c>
      <c r="W1159" t="s">
        <v>423</v>
      </c>
    </row>
    <row r="1160" spans="1:23" hidden="1" x14ac:dyDescent="0.2">
      <c r="A1160">
        <v>2012</v>
      </c>
      <c r="B1160" t="s">
        <v>304</v>
      </c>
      <c r="C1160" s="733">
        <v>40959.472557870373</v>
      </c>
      <c r="D11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60" t="s">
        <v>485</v>
      </c>
      <c r="F1160" t="s">
        <v>2054</v>
      </c>
      <c r="G1160" t="s">
        <v>8060</v>
      </c>
      <c r="H1160">
        <v>10486</v>
      </c>
      <c r="I1160" t="s">
        <v>423</v>
      </c>
      <c r="J1160" t="s">
        <v>4545</v>
      </c>
      <c r="K1160" t="s">
        <v>2057</v>
      </c>
      <c r="L1160" t="s">
        <v>2058</v>
      </c>
      <c r="M1160">
        <v>144</v>
      </c>
      <c r="N1160">
        <v>23.27</v>
      </c>
      <c r="O1160">
        <v>3720.64</v>
      </c>
      <c r="P1160">
        <v>0</v>
      </c>
      <c r="Q1160">
        <v>3720.64</v>
      </c>
      <c r="R1160">
        <v>409.27</v>
      </c>
      <c r="S1160">
        <v>148.83000000000001</v>
      </c>
      <c r="T1160">
        <v>3981.08</v>
      </c>
      <c r="U1160" t="s">
        <v>8864</v>
      </c>
      <c r="V1160" t="s">
        <v>9408</v>
      </c>
      <c r="W1160" t="s">
        <v>423</v>
      </c>
    </row>
    <row r="1161" spans="1:23" x14ac:dyDescent="0.2">
      <c r="A1161">
        <v>2012</v>
      </c>
      <c r="B1161" t="s">
        <v>304</v>
      </c>
      <c r="C1161" s="733">
        <v>40967</v>
      </c>
      <c r="D11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61" t="s">
        <v>485</v>
      </c>
      <c r="F1161" t="s">
        <v>2065</v>
      </c>
      <c r="G1161" t="s">
        <v>8959</v>
      </c>
      <c r="H1161">
        <v>42605</v>
      </c>
      <c r="I1161" t="s">
        <v>423</v>
      </c>
      <c r="J1161" t="s">
        <v>2171</v>
      </c>
      <c r="K1161" t="s">
        <v>2051</v>
      </c>
      <c r="L1161" t="s">
        <v>2052</v>
      </c>
      <c r="M1161">
        <v>57</v>
      </c>
      <c r="N1161">
        <v>25</v>
      </c>
      <c r="O1161">
        <v>3507.75</v>
      </c>
      <c r="P1161">
        <v>0</v>
      </c>
      <c r="Q1161">
        <v>3507.75</v>
      </c>
      <c r="R1161">
        <v>561.24</v>
      </c>
      <c r="S1161">
        <v>140.31</v>
      </c>
      <c r="T1161">
        <v>3928.68</v>
      </c>
      <c r="V1161" t="s">
        <v>9408</v>
      </c>
      <c r="W1161" t="s">
        <v>423</v>
      </c>
    </row>
    <row r="1162" spans="1:23" hidden="1" x14ac:dyDescent="0.2">
      <c r="A1162">
        <v>2012</v>
      </c>
      <c r="B1162" t="s">
        <v>304</v>
      </c>
      <c r="C1162" s="733">
        <v>40952</v>
      </c>
      <c r="D11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62" t="s">
        <v>485</v>
      </c>
      <c r="F1162" t="s">
        <v>2065</v>
      </c>
      <c r="G1162" t="s">
        <v>2418</v>
      </c>
      <c r="H1162">
        <v>41731</v>
      </c>
      <c r="I1162" t="s">
        <v>423</v>
      </c>
      <c r="J1162" t="s">
        <v>2050</v>
      </c>
      <c r="K1162" t="s">
        <v>2051</v>
      </c>
      <c r="L1162" t="s">
        <v>2052</v>
      </c>
      <c r="M1162">
        <v>90</v>
      </c>
      <c r="N1162">
        <v>50.55</v>
      </c>
      <c r="O1162">
        <v>7092.67</v>
      </c>
      <c r="P1162">
        <v>0</v>
      </c>
      <c r="Q1162">
        <v>7092.67</v>
      </c>
      <c r="R1162">
        <v>1134.83</v>
      </c>
      <c r="S1162">
        <v>283.70999999999998</v>
      </c>
      <c r="T1162">
        <v>7943.79</v>
      </c>
      <c r="U1162" t="s">
        <v>7568</v>
      </c>
      <c r="V1162" t="s">
        <v>9409</v>
      </c>
      <c r="W1162" t="s">
        <v>423</v>
      </c>
    </row>
    <row r="1163" spans="1:23" hidden="1" x14ac:dyDescent="0.2">
      <c r="A1163">
        <v>2012</v>
      </c>
      <c r="B1163" t="s">
        <v>303</v>
      </c>
      <c r="C1163" s="733">
        <v>40927.658078703702</v>
      </c>
      <c r="D11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63" t="s">
        <v>485</v>
      </c>
      <c r="F1163" t="s">
        <v>2054</v>
      </c>
      <c r="G1163" t="s">
        <v>2409</v>
      </c>
      <c r="H1163">
        <v>10134</v>
      </c>
      <c r="I1163" t="s">
        <v>423</v>
      </c>
      <c r="J1163" t="s">
        <v>2056</v>
      </c>
      <c r="K1163" t="s">
        <v>2057</v>
      </c>
      <c r="L1163" t="s">
        <v>2058</v>
      </c>
      <c r="M1163">
        <v>19</v>
      </c>
      <c r="N1163">
        <v>47.45</v>
      </c>
      <c r="O1163">
        <v>5355.68</v>
      </c>
      <c r="P1163">
        <v>0</v>
      </c>
      <c r="Q1163">
        <v>5355.68</v>
      </c>
      <c r="R1163">
        <v>856.91</v>
      </c>
      <c r="S1163">
        <v>214.23</v>
      </c>
      <c r="T1163">
        <v>5998.36</v>
      </c>
      <c r="U1163" t="s">
        <v>2077</v>
      </c>
      <c r="V1163" t="s">
        <v>9409</v>
      </c>
      <c r="W1163" t="s">
        <v>423</v>
      </c>
    </row>
    <row r="1164" spans="1:23" hidden="1" x14ac:dyDescent="0.2">
      <c r="A1164">
        <v>2012</v>
      </c>
      <c r="B1164" t="s">
        <v>304</v>
      </c>
      <c r="C1164" s="733">
        <v>40946</v>
      </c>
      <c r="D11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64" t="s">
        <v>485</v>
      </c>
      <c r="F1164" t="s">
        <v>2048</v>
      </c>
      <c r="G1164" t="s">
        <v>5714</v>
      </c>
      <c r="H1164">
        <v>41487</v>
      </c>
      <c r="I1164" t="s">
        <v>423</v>
      </c>
      <c r="J1164" t="s">
        <v>2171</v>
      </c>
      <c r="K1164" t="s">
        <v>2051</v>
      </c>
      <c r="L1164" t="s">
        <v>2052</v>
      </c>
      <c r="M1164">
        <v>57</v>
      </c>
      <c r="N1164">
        <v>50.85</v>
      </c>
      <c r="O1164">
        <v>7134.76</v>
      </c>
      <c r="P1164">
        <v>0</v>
      </c>
      <c r="Q1164">
        <v>7134.76</v>
      </c>
      <c r="R1164">
        <v>1141.56</v>
      </c>
      <c r="S1164">
        <v>285.39</v>
      </c>
      <c r="T1164">
        <v>7990.93</v>
      </c>
      <c r="U1164" t="s">
        <v>7568</v>
      </c>
      <c r="V1164" t="s">
        <v>9409</v>
      </c>
      <c r="W1164" t="s">
        <v>423</v>
      </c>
    </row>
    <row r="1165" spans="1:23" hidden="1" x14ac:dyDescent="0.2">
      <c r="A1165">
        <v>2012</v>
      </c>
      <c r="B1165" t="s">
        <v>304</v>
      </c>
      <c r="C1165" s="733">
        <v>40948.569699074076</v>
      </c>
      <c r="D11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65" t="s">
        <v>485</v>
      </c>
      <c r="F1165" t="s">
        <v>2054</v>
      </c>
      <c r="G1165" t="s">
        <v>2406</v>
      </c>
      <c r="H1165">
        <v>10367</v>
      </c>
      <c r="I1165" t="s">
        <v>423</v>
      </c>
      <c r="J1165" t="s">
        <v>2056</v>
      </c>
      <c r="K1165" t="s">
        <v>2057</v>
      </c>
      <c r="L1165" t="s">
        <v>2058</v>
      </c>
      <c r="M1165">
        <v>19</v>
      </c>
      <c r="N1165">
        <v>47.35</v>
      </c>
      <c r="O1165">
        <v>5344.39</v>
      </c>
      <c r="P1165">
        <v>0</v>
      </c>
      <c r="Q1165">
        <v>5344.39</v>
      </c>
      <c r="R1165">
        <v>587.88</v>
      </c>
      <c r="S1165">
        <v>213.78</v>
      </c>
      <c r="T1165">
        <v>5718.49</v>
      </c>
      <c r="U1165" t="s">
        <v>2082</v>
      </c>
      <c r="V1165" t="s">
        <v>9409</v>
      </c>
      <c r="W1165" t="s">
        <v>423</v>
      </c>
    </row>
    <row r="1166" spans="1:23" hidden="1" x14ac:dyDescent="0.2">
      <c r="A1166">
        <v>2012</v>
      </c>
      <c r="B1166" t="s">
        <v>305</v>
      </c>
      <c r="C1166" s="733">
        <v>40970</v>
      </c>
      <c r="D1166" s="733" t="str">
        <f>CHOOSE(MONTH(Tabla_sqldatos_bonampakdb_Bon_v_ingresos2012[[#This Row],[fecha_guia]]),"Enero","Febrero","Marzo","Abril","Mayo","Junio","Julio","Agosto","Septiembre","Octubre","Noviembre","Diciembre")</f>
        <v>Marzo</v>
      </c>
      <c r="E1166" t="s">
        <v>485</v>
      </c>
      <c r="F1166" t="s">
        <v>2065</v>
      </c>
      <c r="G1166" t="s">
        <v>9669</v>
      </c>
      <c r="H1166">
        <v>43019</v>
      </c>
      <c r="I1166" t="s">
        <v>423</v>
      </c>
      <c r="J1166" t="s">
        <v>2050</v>
      </c>
      <c r="K1166" t="s">
        <v>2051</v>
      </c>
      <c r="L1166" t="s">
        <v>2052</v>
      </c>
      <c r="M1166">
        <v>90</v>
      </c>
      <c r="N1166">
        <v>50.6</v>
      </c>
      <c r="O1166">
        <v>7099.69</v>
      </c>
      <c r="P1166">
        <v>0</v>
      </c>
      <c r="Q1166">
        <v>7099.69</v>
      </c>
      <c r="R1166">
        <v>1135.95</v>
      </c>
      <c r="S1166">
        <v>283.99</v>
      </c>
      <c r="T1166">
        <v>7951.65</v>
      </c>
      <c r="V1166" t="s">
        <v>9409</v>
      </c>
      <c r="W1166" t="s">
        <v>423</v>
      </c>
    </row>
    <row r="1167" spans="1:23" hidden="1" x14ac:dyDescent="0.2">
      <c r="A1167">
        <v>2012</v>
      </c>
      <c r="B1167" t="s">
        <v>303</v>
      </c>
      <c r="C1167" s="733">
        <v>40924</v>
      </c>
      <c r="D11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67" t="s">
        <v>485</v>
      </c>
      <c r="F1167" t="s">
        <v>2054</v>
      </c>
      <c r="G1167" t="s">
        <v>5712</v>
      </c>
      <c r="H1167">
        <v>10064</v>
      </c>
      <c r="I1167" t="s">
        <v>423</v>
      </c>
      <c r="J1167" t="s">
        <v>2056</v>
      </c>
      <c r="K1167" t="s">
        <v>2057</v>
      </c>
      <c r="L1167" t="s">
        <v>2058</v>
      </c>
      <c r="M1167">
        <v>19</v>
      </c>
      <c r="N1167">
        <v>46.04</v>
      </c>
      <c r="O1167">
        <v>5196.53</v>
      </c>
      <c r="P1167">
        <v>0</v>
      </c>
      <c r="Q1167">
        <v>5196.53</v>
      </c>
      <c r="R1167">
        <v>831.45</v>
      </c>
      <c r="S1167">
        <v>207.86</v>
      </c>
      <c r="T1167">
        <v>5820.12</v>
      </c>
      <c r="U1167" t="s">
        <v>2059</v>
      </c>
      <c r="V1167" t="s">
        <v>9409</v>
      </c>
      <c r="W1167" t="s">
        <v>423</v>
      </c>
    </row>
    <row r="1168" spans="1:23" hidden="1" x14ac:dyDescent="0.2">
      <c r="A1168">
        <v>2012</v>
      </c>
      <c r="B1168" t="s">
        <v>303</v>
      </c>
      <c r="C1168" s="733">
        <v>40926.773657407408</v>
      </c>
      <c r="D11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68" t="s">
        <v>485</v>
      </c>
      <c r="F1168" t="s">
        <v>2054</v>
      </c>
      <c r="G1168" t="s">
        <v>2398</v>
      </c>
      <c r="H1168">
        <v>10117</v>
      </c>
      <c r="I1168" t="s">
        <v>423</v>
      </c>
      <c r="J1168" t="s">
        <v>2056</v>
      </c>
      <c r="K1168" t="s">
        <v>2057</v>
      </c>
      <c r="L1168" t="s">
        <v>2058</v>
      </c>
      <c r="M1168">
        <v>19</v>
      </c>
      <c r="N1168">
        <v>23.51</v>
      </c>
      <c r="O1168">
        <v>2653.57</v>
      </c>
      <c r="P1168">
        <v>0</v>
      </c>
      <c r="Q1168">
        <v>2653.57</v>
      </c>
      <c r="R1168">
        <v>424.57</v>
      </c>
      <c r="S1168">
        <v>106.14</v>
      </c>
      <c r="T1168">
        <v>2972</v>
      </c>
      <c r="U1168" t="s">
        <v>2077</v>
      </c>
      <c r="V1168" t="s">
        <v>9408</v>
      </c>
      <c r="W1168" t="s">
        <v>423</v>
      </c>
    </row>
    <row r="1169" spans="1:23" hidden="1" x14ac:dyDescent="0.2">
      <c r="A1169">
        <v>2012</v>
      </c>
      <c r="B1169" t="s">
        <v>304</v>
      </c>
      <c r="C1169" s="733">
        <v>40942.532997685186</v>
      </c>
      <c r="D11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69" t="s">
        <v>485</v>
      </c>
      <c r="F1169" t="s">
        <v>2054</v>
      </c>
      <c r="G1169" t="s">
        <v>2909</v>
      </c>
      <c r="H1169">
        <v>10308</v>
      </c>
      <c r="I1169" t="s">
        <v>423</v>
      </c>
      <c r="J1169" t="s">
        <v>2056</v>
      </c>
      <c r="K1169" t="s">
        <v>2057</v>
      </c>
      <c r="L1169" t="s">
        <v>2058</v>
      </c>
      <c r="M1169">
        <v>19</v>
      </c>
      <c r="N1169">
        <v>47.5</v>
      </c>
      <c r="O1169">
        <v>5361.32</v>
      </c>
      <c r="P1169">
        <v>0</v>
      </c>
      <c r="Q1169">
        <v>5361.32</v>
      </c>
      <c r="R1169">
        <v>857.81</v>
      </c>
      <c r="S1169">
        <v>214.45</v>
      </c>
      <c r="T1169">
        <v>6004.68</v>
      </c>
      <c r="U1169" t="s">
        <v>2075</v>
      </c>
      <c r="V1169" t="s">
        <v>9409</v>
      </c>
      <c r="W1169" t="s">
        <v>423</v>
      </c>
    </row>
    <row r="1170" spans="1:23" hidden="1" x14ac:dyDescent="0.2">
      <c r="A1170">
        <v>2012</v>
      </c>
      <c r="B1170" t="s">
        <v>304</v>
      </c>
      <c r="C1170" s="733">
        <v>40941</v>
      </c>
      <c r="D11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70" t="s">
        <v>485</v>
      </c>
      <c r="F1170" t="s">
        <v>2048</v>
      </c>
      <c r="G1170" t="s">
        <v>2393</v>
      </c>
      <c r="H1170">
        <v>41318</v>
      </c>
      <c r="I1170" t="s">
        <v>423</v>
      </c>
      <c r="J1170" t="s">
        <v>2050</v>
      </c>
      <c r="K1170" t="s">
        <v>2051</v>
      </c>
      <c r="L1170" t="s">
        <v>2052</v>
      </c>
      <c r="M1170">
        <v>90</v>
      </c>
      <c r="N1170">
        <v>51.7</v>
      </c>
      <c r="O1170">
        <v>7254.03</v>
      </c>
      <c r="P1170">
        <v>0</v>
      </c>
      <c r="Q1170">
        <v>7254.03</v>
      </c>
      <c r="R1170">
        <v>1160.6400000000001</v>
      </c>
      <c r="S1170">
        <v>290.16000000000003</v>
      </c>
      <c r="T1170">
        <v>8124.51</v>
      </c>
      <c r="U1170" t="s">
        <v>2067</v>
      </c>
      <c r="V1170" t="s">
        <v>9409</v>
      </c>
      <c r="W1170" t="s">
        <v>423</v>
      </c>
    </row>
    <row r="1171" spans="1:23" hidden="1" x14ac:dyDescent="0.2">
      <c r="A1171">
        <v>2012</v>
      </c>
      <c r="B1171" t="s">
        <v>304</v>
      </c>
      <c r="C1171" s="733">
        <v>40964</v>
      </c>
      <c r="D11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71" t="s">
        <v>485</v>
      </c>
      <c r="F1171" t="s">
        <v>2054</v>
      </c>
      <c r="G1171" t="s">
        <v>8714</v>
      </c>
      <c r="H1171">
        <v>10550</v>
      </c>
      <c r="I1171" t="s">
        <v>423</v>
      </c>
      <c r="J1171" t="s">
        <v>2056</v>
      </c>
      <c r="K1171" t="s">
        <v>2057</v>
      </c>
      <c r="L1171" t="s">
        <v>2058</v>
      </c>
      <c r="M1171">
        <v>19</v>
      </c>
      <c r="N1171">
        <v>45.69</v>
      </c>
      <c r="O1171">
        <v>5157.03</v>
      </c>
      <c r="P1171">
        <v>0</v>
      </c>
      <c r="Q1171">
        <v>5157.03</v>
      </c>
      <c r="R1171">
        <v>567.27</v>
      </c>
      <c r="S1171">
        <v>206.28</v>
      </c>
      <c r="T1171">
        <v>5518.02</v>
      </c>
      <c r="U1171" t="s">
        <v>8864</v>
      </c>
      <c r="V1171" t="s">
        <v>9409</v>
      </c>
      <c r="W1171" t="s">
        <v>423</v>
      </c>
    </row>
    <row r="1172" spans="1:23" hidden="1" x14ac:dyDescent="0.2">
      <c r="A1172">
        <v>2012</v>
      </c>
      <c r="B1172" t="s">
        <v>304</v>
      </c>
      <c r="C1172" s="733">
        <v>40959.49664351852</v>
      </c>
      <c r="D11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72" t="s">
        <v>485</v>
      </c>
      <c r="F1172" t="s">
        <v>2054</v>
      </c>
      <c r="G1172" t="s">
        <v>8076</v>
      </c>
      <c r="H1172">
        <v>10489</v>
      </c>
      <c r="I1172" t="s">
        <v>423</v>
      </c>
      <c r="J1172" t="s">
        <v>2056</v>
      </c>
      <c r="K1172" t="s">
        <v>2057</v>
      </c>
      <c r="L1172" t="s">
        <v>2058</v>
      </c>
      <c r="M1172">
        <v>19</v>
      </c>
      <c r="N1172">
        <v>23.15</v>
      </c>
      <c r="O1172">
        <v>2612.94</v>
      </c>
      <c r="P1172">
        <v>0</v>
      </c>
      <c r="Q1172">
        <v>2612.94</v>
      </c>
      <c r="R1172">
        <v>287.42</v>
      </c>
      <c r="S1172">
        <v>104.52</v>
      </c>
      <c r="T1172">
        <v>2795.84</v>
      </c>
      <c r="U1172" t="s">
        <v>8864</v>
      </c>
      <c r="V1172" t="s">
        <v>9408</v>
      </c>
      <c r="W1172" t="s">
        <v>423</v>
      </c>
    </row>
    <row r="1173" spans="1:23" hidden="1" x14ac:dyDescent="0.2">
      <c r="A1173">
        <v>2012</v>
      </c>
      <c r="B1173" t="s">
        <v>304</v>
      </c>
      <c r="C1173" s="733">
        <v>40952</v>
      </c>
      <c r="D11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73" t="s">
        <v>485</v>
      </c>
      <c r="F1173" t="s">
        <v>2048</v>
      </c>
      <c r="G1173" t="s">
        <v>2417</v>
      </c>
      <c r="H1173">
        <v>41728</v>
      </c>
      <c r="I1173" t="s">
        <v>423</v>
      </c>
      <c r="J1173" t="s">
        <v>2171</v>
      </c>
      <c r="K1173" t="s">
        <v>2051</v>
      </c>
      <c r="L1173" t="s">
        <v>2052</v>
      </c>
      <c r="M1173">
        <v>57</v>
      </c>
      <c r="N1173">
        <v>53.85</v>
      </c>
      <c r="O1173">
        <v>7555.69</v>
      </c>
      <c r="P1173">
        <v>0</v>
      </c>
      <c r="Q1173">
        <v>7555.69</v>
      </c>
      <c r="R1173">
        <v>1208.9100000000001</v>
      </c>
      <c r="S1173">
        <v>302.23</v>
      </c>
      <c r="T1173">
        <v>8462.3700000000008</v>
      </c>
      <c r="U1173" t="s">
        <v>7568</v>
      </c>
      <c r="V1173" t="s">
        <v>9409</v>
      </c>
      <c r="W1173" t="s">
        <v>423</v>
      </c>
    </row>
    <row r="1174" spans="1:23" hidden="1" x14ac:dyDescent="0.2">
      <c r="A1174">
        <v>2012</v>
      </c>
      <c r="B1174" t="s">
        <v>304</v>
      </c>
      <c r="C1174" s="733">
        <v>40941</v>
      </c>
      <c r="D11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74" t="s">
        <v>485</v>
      </c>
      <c r="F1174" t="s">
        <v>2065</v>
      </c>
      <c r="G1174" t="s">
        <v>2413</v>
      </c>
      <c r="H1174">
        <v>41324</v>
      </c>
      <c r="I1174" t="s">
        <v>423</v>
      </c>
      <c r="J1174" t="s">
        <v>2171</v>
      </c>
      <c r="K1174" t="s">
        <v>2051</v>
      </c>
      <c r="L1174" t="s">
        <v>2052</v>
      </c>
      <c r="M1174">
        <v>57</v>
      </c>
      <c r="N1174">
        <v>27.8</v>
      </c>
      <c r="O1174">
        <v>3900.62</v>
      </c>
      <c r="P1174">
        <v>0</v>
      </c>
      <c r="Q1174">
        <v>3900.62</v>
      </c>
      <c r="R1174">
        <v>624.1</v>
      </c>
      <c r="S1174">
        <v>156.02000000000001</v>
      </c>
      <c r="T1174">
        <v>4368.7</v>
      </c>
      <c r="U1174" t="s">
        <v>2067</v>
      </c>
      <c r="V1174" t="s">
        <v>9408</v>
      </c>
      <c r="W1174" t="s">
        <v>423</v>
      </c>
    </row>
    <row r="1175" spans="1:23" hidden="1" x14ac:dyDescent="0.2">
      <c r="A1175">
        <v>2012</v>
      </c>
      <c r="B1175" t="s">
        <v>303</v>
      </c>
      <c r="C1175" s="733">
        <v>40932</v>
      </c>
      <c r="D11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75" t="s">
        <v>485</v>
      </c>
      <c r="F1175" t="s">
        <v>2048</v>
      </c>
      <c r="G1175" t="s">
        <v>5713</v>
      </c>
      <c r="H1175">
        <v>40081</v>
      </c>
      <c r="I1175" t="s">
        <v>423</v>
      </c>
      <c r="J1175" t="s">
        <v>2050</v>
      </c>
      <c r="K1175" t="s">
        <v>2051</v>
      </c>
      <c r="L1175" t="s">
        <v>2052</v>
      </c>
      <c r="M1175">
        <v>90</v>
      </c>
      <c r="N1175">
        <v>25.6</v>
      </c>
      <c r="O1175">
        <v>3591.94</v>
      </c>
      <c r="P1175">
        <v>0</v>
      </c>
      <c r="Q1175">
        <v>3591.94</v>
      </c>
      <c r="R1175">
        <v>574.71</v>
      </c>
      <c r="S1175">
        <v>143.68</v>
      </c>
      <c r="T1175">
        <v>4022.97</v>
      </c>
      <c r="U1175" t="s">
        <v>2053</v>
      </c>
      <c r="V1175" t="s">
        <v>9408</v>
      </c>
      <c r="W1175" t="s">
        <v>423</v>
      </c>
    </row>
    <row r="1176" spans="1:23" x14ac:dyDescent="0.2">
      <c r="A1176">
        <v>2012</v>
      </c>
      <c r="B1176" t="s">
        <v>304</v>
      </c>
      <c r="C1176" s="733">
        <v>40967</v>
      </c>
      <c r="D11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76" t="s">
        <v>485</v>
      </c>
      <c r="F1176" t="s">
        <v>2065</v>
      </c>
      <c r="G1176" t="s">
        <v>8960</v>
      </c>
      <c r="H1176">
        <v>42608</v>
      </c>
      <c r="I1176" t="s">
        <v>423</v>
      </c>
      <c r="J1176" t="s">
        <v>2050</v>
      </c>
      <c r="K1176" t="s">
        <v>2051</v>
      </c>
      <c r="L1176" t="s">
        <v>2052</v>
      </c>
      <c r="M1176">
        <v>90</v>
      </c>
      <c r="N1176">
        <v>35</v>
      </c>
      <c r="O1176">
        <v>4910.8500000000004</v>
      </c>
      <c r="P1176">
        <v>0</v>
      </c>
      <c r="Q1176">
        <v>4910.8500000000004</v>
      </c>
      <c r="R1176">
        <v>785.74</v>
      </c>
      <c r="S1176">
        <v>196.43</v>
      </c>
      <c r="T1176">
        <v>5500.16</v>
      </c>
      <c r="V1176" t="s">
        <v>9408</v>
      </c>
      <c r="W1176" t="s">
        <v>423</v>
      </c>
    </row>
    <row r="1177" spans="1:23" hidden="1" x14ac:dyDescent="0.2">
      <c r="A1177">
        <v>2012</v>
      </c>
      <c r="B1177" t="s">
        <v>304</v>
      </c>
      <c r="C1177" s="733">
        <v>40960</v>
      </c>
      <c r="D11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77" t="s">
        <v>485</v>
      </c>
      <c r="F1177" t="s">
        <v>2065</v>
      </c>
      <c r="G1177" t="s">
        <v>8177</v>
      </c>
      <c r="H1177">
        <v>42307</v>
      </c>
      <c r="I1177" t="s">
        <v>423</v>
      </c>
      <c r="J1177" t="s">
        <v>2050</v>
      </c>
      <c r="K1177" t="s">
        <v>2051</v>
      </c>
      <c r="L1177" t="s">
        <v>2052</v>
      </c>
      <c r="M1177">
        <v>90</v>
      </c>
      <c r="N1177">
        <v>54.4</v>
      </c>
      <c r="O1177">
        <v>7632.86</v>
      </c>
      <c r="P1177">
        <v>0</v>
      </c>
      <c r="Q1177">
        <v>7632.86</v>
      </c>
      <c r="R1177">
        <v>1221.26</v>
      </c>
      <c r="S1177">
        <v>305.31</v>
      </c>
      <c r="T1177">
        <v>8548.81</v>
      </c>
      <c r="U1177" t="s">
        <v>8780</v>
      </c>
      <c r="V1177" t="s">
        <v>9409</v>
      </c>
      <c r="W1177" t="s">
        <v>423</v>
      </c>
    </row>
    <row r="1178" spans="1:23" hidden="1" x14ac:dyDescent="0.2">
      <c r="A1178">
        <v>2012</v>
      </c>
      <c r="B1178" t="s">
        <v>303</v>
      </c>
      <c r="C1178" s="733">
        <v>40919</v>
      </c>
      <c r="D11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78" t="s">
        <v>485</v>
      </c>
      <c r="F1178" t="s">
        <v>2054</v>
      </c>
      <c r="G1178" t="s">
        <v>2405</v>
      </c>
      <c r="H1178">
        <v>9993</v>
      </c>
      <c r="I1178" t="s">
        <v>423</v>
      </c>
      <c r="J1178" t="s">
        <v>2056</v>
      </c>
      <c r="K1178" t="s">
        <v>2057</v>
      </c>
      <c r="L1178" t="s">
        <v>2058</v>
      </c>
      <c r="M1178">
        <v>19</v>
      </c>
      <c r="N1178">
        <v>22.5</v>
      </c>
      <c r="O1178">
        <v>2539.58</v>
      </c>
      <c r="P1178">
        <v>0</v>
      </c>
      <c r="Q1178">
        <v>2539.58</v>
      </c>
      <c r="R1178">
        <v>406.33</v>
      </c>
      <c r="S1178">
        <v>101.58</v>
      </c>
      <c r="T1178">
        <v>2844.33</v>
      </c>
      <c r="U1178" t="s">
        <v>2070</v>
      </c>
      <c r="V1178" t="s">
        <v>9408</v>
      </c>
      <c r="W1178" t="s">
        <v>423</v>
      </c>
    </row>
    <row r="1179" spans="1:23" hidden="1" x14ac:dyDescent="0.2">
      <c r="A1179">
        <v>2012</v>
      </c>
      <c r="B1179" t="s">
        <v>303</v>
      </c>
      <c r="C1179" s="733">
        <v>40933</v>
      </c>
      <c r="D11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79" t="s">
        <v>485</v>
      </c>
      <c r="F1179" t="s">
        <v>2048</v>
      </c>
      <c r="G1179" t="s">
        <v>2392</v>
      </c>
      <c r="H1179">
        <v>40858</v>
      </c>
      <c r="I1179" t="s">
        <v>423</v>
      </c>
      <c r="J1179" t="s">
        <v>2050</v>
      </c>
      <c r="K1179" t="s">
        <v>2051</v>
      </c>
      <c r="L1179" t="s">
        <v>2052</v>
      </c>
      <c r="M1179">
        <v>90</v>
      </c>
      <c r="N1179">
        <v>53.1</v>
      </c>
      <c r="O1179">
        <v>7450.46</v>
      </c>
      <c r="P1179">
        <v>0</v>
      </c>
      <c r="Q1179">
        <v>7450.46</v>
      </c>
      <c r="R1179">
        <v>1192.07</v>
      </c>
      <c r="S1179">
        <v>298.02</v>
      </c>
      <c r="T1179">
        <v>8344.51</v>
      </c>
      <c r="U1179" t="s">
        <v>2053</v>
      </c>
      <c r="V1179" t="s">
        <v>9409</v>
      </c>
      <c r="W1179" t="s">
        <v>423</v>
      </c>
    </row>
    <row r="1180" spans="1:23" hidden="1" x14ac:dyDescent="0.2">
      <c r="A1180">
        <v>2012</v>
      </c>
      <c r="B1180" t="s">
        <v>303</v>
      </c>
      <c r="C1180" s="733">
        <v>40924</v>
      </c>
      <c r="D11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80" t="s">
        <v>485</v>
      </c>
      <c r="F1180" t="s">
        <v>2054</v>
      </c>
      <c r="G1180" t="s">
        <v>2908</v>
      </c>
      <c r="H1180">
        <v>40395</v>
      </c>
      <c r="I1180" t="s">
        <v>423</v>
      </c>
      <c r="J1180" t="s">
        <v>2050</v>
      </c>
      <c r="K1180" t="s">
        <v>2051</v>
      </c>
      <c r="L1180" t="s">
        <v>2052</v>
      </c>
      <c r="M1180">
        <v>90</v>
      </c>
      <c r="N1180">
        <v>28.6</v>
      </c>
      <c r="O1180">
        <v>4012.87</v>
      </c>
      <c r="P1180">
        <v>0</v>
      </c>
      <c r="Q1180">
        <v>4012.87</v>
      </c>
      <c r="R1180">
        <v>642.05999999999995</v>
      </c>
      <c r="S1180">
        <v>160.51</v>
      </c>
      <c r="T1180">
        <v>4494.42</v>
      </c>
      <c r="U1180" t="s">
        <v>2062</v>
      </c>
      <c r="V1180" t="s">
        <v>9408</v>
      </c>
      <c r="W1180" t="s">
        <v>423</v>
      </c>
    </row>
    <row r="1181" spans="1:23" hidden="1" x14ac:dyDescent="0.2">
      <c r="A1181">
        <v>2012</v>
      </c>
      <c r="B1181" t="s">
        <v>304</v>
      </c>
      <c r="C1181" s="733">
        <v>40959</v>
      </c>
      <c r="D11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81" t="s">
        <v>485</v>
      </c>
      <c r="F1181" t="s">
        <v>2065</v>
      </c>
      <c r="G1181" t="s">
        <v>7792</v>
      </c>
      <c r="H1181">
        <v>42195</v>
      </c>
      <c r="I1181" t="s">
        <v>423</v>
      </c>
      <c r="J1181" t="s">
        <v>3204</v>
      </c>
      <c r="K1181" t="s">
        <v>2183</v>
      </c>
      <c r="L1181" t="s">
        <v>2184</v>
      </c>
      <c r="M1181">
        <v>80</v>
      </c>
      <c r="N1181">
        <v>50.84</v>
      </c>
      <c r="O1181">
        <v>5738.31</v>
      </c>
      <c r="P1181">
        <v>0</v>
      </c>
      <c r="Q1181">
        <v>5738.31</v>
      </c>
      <c r="R1181">
        <v>918.13</v>
      </c>
      <c r="S1181">
        <v>229.53</v>
      </c>
      <c r="T1181">
        <v>6426.91</v>
      </c>
      <c r="U1181" t="s">
        <v>9411</v>
      </c>
      <c r="V1181" t="s">
        <v>9409</v>
      </c>
      <c r="W1181" t="s">
        <v>423</v>
      </c>
    </row>
    <row r="1182" spans="1:23" hidden="1" x14ac:dyDescent="0.2">
      <c r="A1182">
        <v>2012</v>
      </c>
      <c r="B1182" t="s">
        <v>303</v>
      </c>
      <c r="C1182" s="733">
        <v>40934</v>
      </c>
      <c r="D11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82" t="s">
        <v>485</v>
      </c>
      <c r="F1182" t="s">
        <v>2065</v>
      </c>
      <c r="G1182" t="s">
        <v>3599</v>
      </c>
      <c r="H1182">
        <v>40823</v>
      </c>
      <c r="I1182" t="s">
        <v>423</v>
      </c>
      <c r="J1182" t="s">
        <v>3204</v>
      </c>
      <c r="K1182" t="s">
        <v>2183</v>
      </c>
      <c r="L1182" t="s">
        <v>2184</v>
      </c>
      <c r="M1182">
        <v>80</v>
      </c>
      <c r="N1182">
        <v>51.07</v>
      </c>
      <c r="O1182">
        <v>5764.27</v>
      </c>
      <c r="P1182">
        <v>0</v>
      </c>
      <c r="Q1182">
        <v>5764.27</v>
      </c>
      <c r="R1182">
        <v>922.28</v>
      </c>
      <c r="S1182">
        <v>230.57</v>
      </c>
      <c r="T1182">
        <v>6455.98</v>
      </c>
      <c r="U1182" t="s">
        <v>2187</v>
      </c>
      <c r="V1182" t="s">
        <v>9409</v>
      </c>
      <c r="W1182" t="s">
        <v>423</v>
      </c>
    </row>
    <row r="1183" spans="1:23" hidden="1" x14ac:dyDescent="0.2">
      <c r="A1183">
        <v>2012</v>
      </c>
      <c r="B1183" t="s">
        <v>303</v>
      </c>
      <c r="C1183" s="733">
        <v>40920</v>
      </c>
      <c r="D11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83" t="s">
        <v>505</v>
      </c>
      <c r="F1183" t="s">
        <v>2065</v>
      </c>
      <c r="G1183" t="s">
        <v>2868</v>
      </c>
      <c r="H1183">
        <v>21908</v>
      </c>
      <c r="I1183" t="s">
        <v>424</v>
      </c>
      <c r="J1183" t="s">
        <v>1917</v>
      </c>
      <c r="K1183" t="s">
        <v>1918</v>
      </c>
      <c r="L1183" t="s">
        <v>1919</v>
      </c>
      <c r="M1183">
        <v>267</v>
      </c>
      <c r="N1183">
        <v>30</v>
      </c>
      <c r="O1183">
        <v>2929.97</v>
      </c>
      <c r="P1183">
        <v>1683.8244589999999</v>
      </c>
      <c r="Q1183">
        <v>4613.7944589999997</v>
      </c>
      <c r="R1183">
        <v>738.20711300000005</v>
      </c>
      <c r="S1183">
        <v>184.55177800000001</v>
      </c>
      <c r="T1183">
        <v>5167.4497940000001</v>
      </c>
      <c r="U1183" t="s">
        <v>1931</v>
      </c>
      <c r="V1183" t="s">
        <v>9408</v>
      </c>
      <c r="W1183" t="s">
        <v>424</v>
      </c>
    </row>
    <row r="1184" spans="1:23" hidden="1" x14ac:dyDescent="0.2">
      <c r="A1184">
        <v>2012</v>
      </c>
      <c r="B1184" t="s">
        <v>303</v>
      </c>
      <c r="C1184" s="733">
        <v>40922</v>
      </c>
      <c r="D11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84" t="s">
        <v>505</v>
      </c>
      <c r="F1184" t="s">
        <v>1915</v>
      </c>
      <c r="G1184" t="s">
        <v>5377</v>
      </c>
      <c r="H1184">
        <v>21963</v>
      </c>
      <c r="I1184" t="s">
        <v>423</v>
      </c>
      <c r="J1184" t="s">
        <v>1917</v>
      </c>
      <c r="K1184" t="s">
        <v>1918</v>
      </c>
      <c r="L1184" t="s">
        <v>1919</v>
      </c>
      <c r="M1184">
        <v>267</v>
      </c>
      <c r="N1184">
        <v>25.14</v>
      </c>
      <c r="O1184">
        <v>5652.48</v>
      </c>
      <c r="P1184">
        <v>0</v>
      </c>
      <c r="Q1184">
        <v>5652.48</v>
      </c>
      <c r="R1184">
        <v>904.4</v>
      </c>
      <c r="S1184">
        <v>226.1</v>
      </c>
      <c r="T1184">
        <v>6330.78</v>
      </c>
      <c r="U1184" t="s">
        <v>1931</v>
      </c>
      <c r="V1184" t="s">
        <v>9408</v>
      </c>
      <c r="W1184" t="s">
        <v>423</v>
      </c>
    </row>
    <row r="1185" spans="1:23" x14ac:dyDescent="0.2">
      <c r="A1185">
        <v>2012</v>
      </c>
      <c r="B1185" t="s">
        <v>304</v>
      </c>
      <c r="C1185" s="733">
        <v>40967</v>
      </c>
      <c r="D11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85" t="s">
        <v>485</v>
      </c>
      <c r="F1185" t="s">
        <v>2065</v>
      </c>
      <c r="G1185" t="s">
        <v>8853</v>
      </c>
      <c r="H1185">
        <v>41312</v>
      </c>
      <c r="I1185" t="s">
        <v>423</v>
      </c>
      <c r="J1185" t="s">
        <v>4073</v>
      </c>
      <c r="K1185" t="s">
        <v>2051</v>
      </c>
      <c r="L1185" t="s">
        <v>2052</v>
      </c>
      <c r="M1185">
        <v>610</v>
      </c>
      <c r="N1185">
        <v>45</v>
      </c>
      <c r="O1185">
        <v>15952.05</v>
      </c>
      <c r="P1185">
        <v>0</v>
      </c>
      <c r="Q1185">
        <v>15952.05</v>
      </c>
      <c r="R1185">
        <v>2552.33</v>
      </c>
      <c r="S1185">
        <v>638.08000000000004</v>
      </c>
      <c r="T1185">
        <v>17866.3</v>
      </c>
      <c r="V1185" t="s">
        <v>9409</v>
      </c>
      <c r="W1185" t="s">
        <v>423</v>
      </c>
    </row>
    <row r="1186" spans="1:23" hidden="1" x14ac:dyDescent="0.2">
      <c r="A1186">
        <v>2012</v>
      </c>
      <c r="B1186" t="s">
        <v>303</v>
      </c>
      <c r="C1186" s="733">
        <v>40928</v>
      </c>
      <c r="D11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86" t="s">
        <v>485</v>
      </c>
      <c r="F1186" t="s">
        <v>2048</v>
      </c>
      <c r="G1186" t="s">
        <v>4548</v>
      </c>
      <c r="H1186">
        <v>40668</v>
      </c>
      <c r="I1186" t="s">
        <v>423</v>
      </c>
      <c r="J1186" t="s">
        <v>4073</v>
      </c>
      <c r="K1186" t="s">
        <v>2051</v>
      </c>
      <c r="L1186" t="s">
        <v>2052</v>
      </c>
      <c r="M1186">
        <v>610</v>
      </c>
      <c r="N1186">
        <v>51.6</v>
      </c>
      <c r="O1186">
        <v>18291.68</v>
      </c>
      <c r="P1186">
        <v>0</v>
      </c>
      <c r="Q1186">
        <v>18291.68</v>
      </c>
      <c r="R1186">
        <v>2926.67</v>
      </c>
      <c r="S1186">
        <v>731.67</v>
      </c>
      <c r="T1186">
        <v>20486.68</v>
      </c>
      <c r="U1186" t="s">
        <v>2053</v>
      </c>
      <c r="V1186" t="s">
        <v>9409</v>
      </c>
      <c r="W1186" t="s">
        <v>423</v>
      </c>
    </row>
    <row r="1187" spans="1:23" hidden="1" x14ac:dyDescent="0.2">
      <c r="A1187">
        <v>2012</v>
      </c>
      <c r="B1187" t="s">
        <v>304</v>
      </c>
      <c r="C1187" s="733">
        <v>40941</v>
      </c>
      <c r="D11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87" t="s">
        <v>485</v>
      </c>
      <c r="F1187" t="s">
        <v>2084</v>
      </c>
      <c r="G1187" t="s">
        <v>4547</v>
      </c>
      <c r="H1187">
        <v>41309</v>
      </c>
      <c r="I1187" t="s">
        <v>423</v>
      </c>
      <c r="J1187" t="s">
        <v>4073</v>
      </c>
      <c r="K1187" t="s">
        <v>2051</v>
      </c>
      <c r="L1187" t="s">
        <v>2052</v>
      </c>
      <c r="M1187">
        <v>610</v>
      </c>
      <c r="N1187">
        <v>26.15</v>
      </c>
      <c r="O1187">
        <v>9269.91</v>
      </c>
      <c r="P1187">
        <v>0</v>
      </c>
      <c r="Q1187">
        <v>9269.91</v>
      </c>
      <c r="R1187">
        <v>1483.19</v>
      </c>
      <c r="S1187">
        <v>370.8</v>
      </c>
      <c r="T1187">
        <v>10382.299999999999</v>
      </c>
      <c r="U1187" t="s">
        <v>2067</v>
      </c>
      <c r="V1187" t="s">
        <v>9408</v>
      </c>
      <c r="W1187" t="s">
        <v>423</v>
      </c>
    </row>
    <row r="1188" spans="1:23" hidden="1" x14ac:dyDescent="0.2">
      <c r="A1188">
        <v>2012</v>
      </c>
      <c r="B1188" t="s">
        <v>303</v>
      </c>
      <c r="C1188" s="733">
        <v>40911</v>
      </c>
      <c r="D11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88" t="s">
        <v>485</v>
      </c>
      <c r="F1188" t="s">
        <v>2084</v>
      </c>
      <c r="G1188" t="s">
        <v>4546</v>
      </c>
      <c r="H1188">
        <v>39715</v>
      </c>
      <c r="I1188" t="s">
        <v>423</v>
      </c>
      <c r="J1188" t="s">
        <v>4073</v>
      </c>
      <c r="K1188" t="s">
        <v>2051</v>
      </c>
      <c r="L1188" t="s">
        <v>2052</v>
      </c>
      <c r="M1188">
        <v>610</v>
      </c>
      <c r="N1188">
        <v>53.15</v>
      </c>
      <c r="O1188">
        <v>7932.11</v>
      </c>
      <c r="P1188">
        <v>8930.6833279999992</v>
      </c>
      <c r="Q1188">
        <v>16862.793328</v>
      </c>
      <c r="R1188">
        <v>2698.0469320000002</v>
      </c>
      <c r="S1188">
        <v>674.51173300000005</v>
      </c>
      <c r="T1188">
        <v>18886.328527000001</v>
      </c>
      <c r="U1188" t="s">
        <v>2089</v>
      </c>
      <c r="V1188" t="s">
        <v>9408</v>
      </c>
      <c r="W1188" t="s">
        <v>423</v>
      </c>
    </row>
    <row r="1189" spans="1:23" hidden="1" x14ac:dyDescent="0.2">
      <c r="A1189">
        <v>2012</v>
      </c>
      <c r="B1189" t="s">
        <v>303</v>
      </c>
      <c r="C1189" s="733">
        <v>40918</v>
      </c>
      <c r="D11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89" t="s">
        <v>485</v>
      </c>
      <c r="F1189" t="s">
        <v>2065</v>
      </c>
      <c r="G1189" t="s">
        <v>5528</v>
      </c>
      <c r="H1189">
        <v>39968</v>
      </c>
      <c r="I1189" t="s">
        <v>423</v>
      </c>
      <c r="J1189" t="s">
        <v>4626</v>
      </c>
      <c r="K1189" t="s">
        <v>2102</v>
      </c>
      <c r="L1189" t="s">
        <v>2115</v>
      </c>
      <c r="M1189">
        <v>1457</v>
      </c>
      <c r="N1189">
        <v>24.46</v>
      </c>
      <c r="O1189">
        <v>18098.439999999999</v>
      </c>
      <c r="P1189">
        <v>0</v>
      </c>
      <c r="Q1189">
        <v>18098.439999999999</v>
      </c>
      <c r="R1189">
        <v>2895.75</v>
      </c>
      <c r="S1189">
        <v>723.94</v>
      </c>
      <c r="T1189">
        <v>20270.25</v>
      </c>
      <c r="U1189" t="s">
        <v>2106</v>
      </c>
      <c r="V1189" t="s">
        <v>9408</v>
      </c>
      <c r="W1189" t="s">
        <v>423</v>
      </c>
    </row>
    <row r="1190" spans="1:23" hidden="1" x14ac:dyDescent="0.2">
      <c r="A1190">
        <v>2012</v>
      </c>
      <c r="B1190" t="s">
        <v>304</v>
      </c>
      <c r="C1190" s="733">
        <v>40941</v>
      </c>
      <c r="D11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90" t="s">
        <v>485</v>
      </c>
      <c r="F1190" t="s">
        <v>2065</v>
      </c>
      <c r="G1190" t="s">
        <v>5527</v>
      </c>
      <c r="H1190">
        <v>41207</v>
      </c>
      <c r="I1190" t="s">
        <v>423</v>
      </c>
      <c r="J1190" t="s">
        <v>4626</v>
      </c>
      <c r="K1190" t="s">
        <v>2102</v>
      </c>
      <c r="L1190" t="s">
        <v>2115</v>
      </c>
      <c r="M1190">
        <v>1457</v>
      </c>
      <c r="N1190">
        <v>25.74</v>
      </c>
      <c r="O1190">
        <v>19045.54</v>
      </c>
      <c r="P1190">
        <v>0</v>
      </c>
      <c r="Q1190">
        <v>19045.54</v>
      </c>
      <c r="R1190">
        <v>3047.29</v>
      </c>
      <c r="S1190">
        <v>761.82</v>
      </c>
      <c r="T1190">
        <v>21331.01</v>
      </c>
      <c r="V1190" t="s">
        <v>9408</v>
      </c>
      <c r="W1190" t="s">
        <v>423</v>
      </c>
    </row>
    <row r="1191" spans="1:23" hidden="1" x14ac:dyDescent="0.2">
      <c r="A1191">
        <v>2012</v>
      </c>
      <c r="B1191" t="s">
        <v>303</v>
      </c>
      <c r="C1191" s="733">
        <v>40910</v>
      </c>
      <c r="D11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91" t="s">
        <v>485</v>
      </c>
      <c r="F1191" t="s">
        <v>2065</v>
      </c>
      <c r="G1191" t="s">
        <v>5526</v>
      </c>
      <c r="H1191">
        <v>39568</v>
      </c>
      <c r="I1191" t="s">
        <v>423</v>
      </c>
      <c r="J1191" t="s">
        <v>4626</v>
      </c>
      <c r="K1191" t="s">
        <v>2102</v>
      </c>
      <c r="L1191" t="s">
        <v>2115</v>
      </c>
      <c r="M1191">
        <v>1457</v>
      </c>
      <c r="N1191">
        <v>56.65</v>
      </c>
      <c r="O1191">
        <v>17647.61</v>
      </c>
      <c r="P1191">
        <v>19869.267623</v>
      </c>
      <c r="Q1191">
        <v>37516.877623</v>
      </c>
      <c r="R1191">
        <v>6002.7004200000001</v>
      </c>
      <c r="S1191">
        <v>1500.675105</v>
      </c>
      <c r="T1191">
        <v>42018.902937999999</v>
      </c>
      <c r="U1191" t="s">
        <v>2104</v>
      </c>
      <c r="V1191" t="s">
        <v>9409</v>
      </c>
      <c r="W1191" t="s">
        <v>423</v>
      </c>
    </row>
    <row r="1192" spans="1:23" hidden="1" x14ac:dyDescent="0.2">
      <c r="A1192">
        <v>2012</v>
      </c>
      <c r="B1192" t="s">
        <v>304</v>
      </c>
      <c r="C1192" s="733">
        <v>40964</v>
      </c>
      <c r="D11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92" t="s">
        <v>505</v>
      </c>
      <c r="F1192" t="s">
        <v>1915</v>
      </c>
      <c r="G1192" t="s">
        <v>8763</v>
      </c>
      <c r="H1192">
        <v>22988</v>
      </c>
      <c r="I1192" t="s">
        <v>423</v>
      </c>
      <c r="J1192" t="s">
        <v>1917</v>
      </c>
      <c r="K1192" t="s">
        <v>1918</v>
      </c>
      <c r="L1192" t="s">
        <v>1919</v>
      </c>
      <c r="M1192">
        <v>267</v>
      </c>
      <c r="N1192">
        <v>25.09</v>
      </c>
      <c r="O1192">
        <v>5641.24</v>
      </c>
      <c r="P1192">
        <v>0</v>
      </c>
      <c r="Q1192">
        <v>5641.24</v>
      </c>
      <c r="R1192">
        <v>902.6</v>
      </c>
      <c r="S1192">
        <v>225.65</v>
      </c>
      <c r="T1192">
        <v>6318.19</v>
      </c>
      <c r="U1192" t="s">
        <v>9415</v>
      </c>
      <c r="V1192" t="s">
        <v>9409</v>
      </c>
      <c r="W1192" t="s">
        <v>423</v>
      </c>
    </row>
    <row r="1193" spans="1:23" hidden="1" x14ac:dyDescent="0.2">
      <c r="A1193">
        <v>2012</v>
      </c>
      <c r="B1193" t="s">
        <v>304</v>
      </c>
      <c r="C1193" s="733">
        <v>40949</v>
      </c>
      <c r="D11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93" t="s">
        <v>505</v>
      </c>
      <c r="F1193" t="s">
        <v>1915</v>
      </c>
      <c r="G1193" t="s">
        <v>2865</v>
      </c>
      <c r="H1193">
        <v>22609</v>
      </c>
      <c r="I1193" t="s">
        <v>423</v>
      </c>
      <c r="J1193" t="s">
        <v>1917</v>
      </c>
      <c r="K1193" t="s">
        <v>1918</v>
      </c>
      <c r="L1193" t="s">
        <v>1919</v>
      </c>
      <c r="M1193">
        <v>267</v>
      </c>
      <c r="N1193">
        <v>24.98</v>
      </c>
      <c r="O1193">
        <v>5616.5</v>
      </c>
      <c r="P1193">
        <v>0</v>
      </c>
      <c r="Q1193">
        <v>5616.5</v>
      </c>
      <c r="R1193">
        <v>898.64</v>
      </c>
      <c r="S1193">
        <v>224.66</v>
      </c>
      <c r="T1193">
        <v>6290.48</v>
      </c>
      <c r="U1193" t="s">
        <v>7522</v>
      </c>
      <c r="V1193" t="s">
        <v>9408</v>
      </c>
      <c r="W1193" t="s">
        <v>423</v>
      </c>
    </row>
    <row r="1194" spans="1:23" hidden="1" x14ac:dyDescent="0.2">
      <c r="A1194">
        <v>2012</v>
      </c>
      <c r="B1194" t="s">
        <v>304</v>
      </c>
      <c r="C1194" s="733">
        <v>40941</v>
      </c>
      <c r="D11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194" t="s">
        <v>505</v>
      </c>
      <c r="F1194" t="s">
        <v>1915</v>
      </c>
      <c r="G1194" t="s">
        <v>4896</v>
      </c>
      <c r="H1194">
        <v>22440</v>
      </c>
      <c r="I1194" t="s">
        <v>423</v>
      </c>
      <c r="J1194" t="s">
        <v>1917</v>
      </c>
      <c r="K1194" t="s">
        <v>1918</v>
      </c>
      <c r="L1194" t="s">
        <v>1919</v>
      </c>
      <c r="M1194">
        <v>267</v>
      </c>
      <c r="N1194">
        <v>26.79</v>
      </c>
      <c r="O1194">
        <v>6023.46</v>
      </c>
      <c r="P1194">
        <v>0</v>
      </c>
      <c r="Q1194">
        <v>6023.46</v>
      </c>
      <c r="R1194">
        <v>963.75</v>
      </c>
      <c r="S1194">
        <v>240.94</v>
      </c>
      <c r="T1194">
        <v>6746.27</v>
      </c>
      <c r="U1194" t="s">
        <v>1926</v>
      </c>
      <c r="V1194" t="s">
        <v>9408</v>
      </c>
      <c r="W1194" t="s">
        <v>423</v>
      </c>
    </row>
    <row r="1195" spans="1:23" hidden="1" x14ac:dyDescent="0.2">
      <c r="A1195">
        <v>2012</v>
      </c>
      <c r="B1195" t="s">
        <v>303</v>
      </c>
      <c r="C1195" s="733">
        <v>40938</v>
      </c>
      <c r="D11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95" t="s">
        <v>505</v>
      </c>
      <c r="F1195" t="s">
        <v>1915</v>
      </c>
      <c r="G1195" t="s">
        <v>4897</v>
      </c>
      <c r="H1195">
        <v>22320</v>
      </c>
      <c r="I1195" t="s">
        <v>423</v>
      </c>
      <c r="J1195" t="s">
        <v>1917</v>
      </c>
      <c r="K1195" t="s">
        <v>1918</v>
      </c>
      <c r="L1195" t="s">
        <v>1919</v>
      </c>
      <c r="M1195">
        <v>267</v>
      </c>
      <c r="N1195">
        <v>24.91</v>
      </c>
      <c r="O1195">
        <v>5600.76</v>
      </c>
      <c r="P1195">
        <v>0</v>
      </c>
      <c r="Q1195">
        <v>5600.76</v>
      </c>
      <c r="R1195">
        <v>896.12</v>
      </c>
      <c r="S1195">
        <v>224.03</v>
      </c>
      <c r="T1195">
        <v>6272.85</v>
      </c>
      <c r="U1195" t="s">
        <v>1936</v>
      </c>
      <c r="V1195" t="s">
        <v>9408</v>
      </c>
      <c r="W1195" t="s">
        <v>423</v>
      </c>
    </row>
    <row r="1196" spans="1:23" hidden="1" x14ac:dyDescent="0.2">
      <c r="A1196">
        <v>2012</v>
      </c>
      <c r="B1196" t="s">
        <v>303</v>
      </c>
      <c r="C1196" s="733">
        <v>40932</v>
      </c>
      <c r="D11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96" t="s">
        <v>485</v>
      </c>
      <c r="F1196" t="s">
        <v>2048</v>
      </c>
      <c r="G1196" t="s">
        <v>4768</v>
      </c>
      <c r="H1196">
        <v>40009</v>
      </c>
      <c r="I1196" t="s">
        <v>423</v>
      </c>
      <c r="J1196" t="s">
        <v>4073</v>
      </c>
      <c r="K1196" t="s">
        <v>2051</v>
      </c>
      <c r="L1196" t="s">
        <v>2052</v>
      </c>
      <c r="M1196">
        <v>610</v>
      </c>
      <c r="N1196">
        <v>53.05</v>
      </c>
      <c r="O1196">
        <v>18805.689999999999</v>
      </c>
      <c r="P1196">
        <v>0</v>
      </c>
      <c r="Q1196">
        <v>18805.689999999999</v>
      </c>
      <c r="R1196">
        <v>3008.91</v>
      </c>
      <c r="S1196">
        <v>752.23</v>
      </c>
      <c r="T1196">
        <v>21062.37</v>
      </c>
      <c r="U1196" t="s">
        <v>2053</v>
      </c>
      <c r="V1196" t="s">
        <v>9409</v>
      </c>
      <c r="W1196" t="s">
        <v>423</v>
      </c>
    </row>
    <row r="1197" spans="1:23" hidden="1" x14ac:dyDescent="0.2">
      <c r="A1197">
        <v>2012</v>
      </c>
      <c r="B1197" t="s">
        <v>303</v>
      </c>
      <c r="C1197" s="733">
        <v>40921</v>
      </c>
      <c r="D11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97" t="s">
        <v>485</v>
      </c>
      <c r="F1197" t="s">
        <v>2065</v>
      </c>
      <c r="G1197" t="s">
        <v>4538</v>
      </c>
      <c r="H1197">
        <v>40226</v>
      </c>
      <c r="I1197" t="s">
        <v>423</v>
      </c>
      <c r="J1197" t="s">
        <v>3054</v>
      </c>
      <c r="K1197" t="s">
        <v>2183</v>
      </c>
      <c r="L1197" t="s">
        <v>2184</v>
      </c>
      <c r="M1197">
        <v>43</v>
      </c>
      <c r="N1197">
        <v>14.9</v>
      </c>
      <c r="O1197">
        <v>1681.76</v>
      </c>
      <c r="P1197">
        <v>0</v>
      </c>
      <c r="Q1197">
        <v>1681.76</v>
      </c>
      <c r="R1197">
        <v>269.08</v>
      </c>
      <c r="S1197">
        <v>67.27</v>
      </c>
      <c r="T1197">
        <v>1883.57</v>
      </c>
      <c r="U1197" t="s">
        <v>7520</v>
      </c>
      <c r="V1197" t="s">
        <v>9408</v>
      </c>
      <c r="W1197" t="s">
        <v>423</v>
      </c>
    </row>
    <row r="1198" spans="1:23" hidden="1" x14ac:dyDescent="0.2">
      <c r="A1198">
        <v>2012</v>
      </c>
      <c r="B1198" t="s">
        <v>303</v>
      </c>
      <c r="C1198" s="733">
        <v>40933</v>
      </c>
      <c r="D11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98" t="s">
        <v>485</v>
      </c>
      <c r="F1198" t="s">
        <v>2065</v>
      </c>
      <c r="G1198" t="s">
        <v>3586</v>
      </c>
      <c r="H1198">
        <v>40829</v>
      </c>
      <c r="I1198" t="s">
        <v>423</v>
      </c>
      <c r="J1198" t="s">
        <v>3054</v>
      </c>
      <c r="K1198" t="s">
        <v>2183</v>
      </c>
      <c r="L1198" t="s">
        <v>2184</v>
      </c>
      <c r="M1198">
        <v>43</v>
      </c>
      <c r="N1198">
        <v>14.76</v>
      </c>
      <c r="O1198">
        <v>1665.96</v>
      </c>
      <c r="P1198">
        <v>0</v>
      </c>
      <c r="Q1198">
        <v>1665.96</v>
      </c>
      <c r="R1198">
        <v>266.55</v>
      </c>
      <c r="S1198">
        <v>66.64</v>
      </c>
      <c r="T1198">
        <v>1865.87</v>
      </c>
      <c r="U1198" t="s">
        <v>2187</v>
      </c>
      <c r="V1198" t="s">
        <v>9408</v>
      </c>
      <c r="W1198" t="s">
        <v>423</v>
      </c>
    </row>
    <row r="1199" spans="1:23" hidden="1" x14ac:dyDescent="0.2">
      <c r="A1199">
        <v>2012</v>
      </c>
      <c r="B1199" t="s">
        <v>303</v>
      </c>
      <c r="C1199" s="733">
        <v>40928</v>
      </c>
      <c r="D11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199" t="s">
        <v>485</v>
      </c>
      <c r="F1199" t="s">
        <v>2065</v>
      </c>
      <c r="G1199" t="s">
        <v>3585</v>
      </c>
      <c r="H1199">
        <v>39884</v>
      </c>
      <c r="I1199" t="s">
        <v>423</v>
      </c>
      <c r="J1199" t="s">
        <v>3054</v>
      </c>
      <c r="K1199" t="s">
        <v>2183</v>
      </c>
      <c r="L1199" t="s">
        <v>2184</v>
      </c>
      <c r="M1199">
        <v>43</v>
      </c>
      <c r="N1199">
        <v>15.07</v>
      </c>
      <c r="O1199">
        <v>1700.95</v>
      </c>
      <c r="P1199">
        <v>0</v>
      </c>
      <c r="Q1199">
        <v>1700.95</v>
      </c>
      <c r="R1199">
        <v>272.14999999999998</v>
      </c>
      <c r="S1199">
        <v>68.040000000000006</v>
      </c>
      <c r="T1199">
        <v>1905.06</v>
      </c>
      <c r="U1199" t="s">
        <v>2187</v>
      </c>
      <c r="V1199" t="s">
        <v>9408</v>
      </c>
      <c r="W1199" t="s">
        <v>423</v>
      </c>
    </row>
    <row r="1200" spans="1:23" hidden="1" x14ac:dyDescent="0.2">
      <c r="A1200">
        <v>2012</v>
      </c>
      <c r="B1200" t="s">
        <v>304</v>
      </c>
      <c r="C1200" s="733">
        <v>40947</v>
      </c>
      <c r="D12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00" t="s">
        <v>485</v>
      </c>
      <c r="F1200" t="s">
        <v>2065</v>
      </c>
      <c r="G1200" t="s">
        <v>3584</v>
      </c>
      <c r="H1200">
        <v>41529</v>
      </c>
      <c r="I1200" t="s">
        <v>423</v>
      </c>
      <c r="J1200" t="s">
        <v>3054</v>
      </c>
      <c r="K1200" t="s">
        <v>2183</v>
      </c>
      <c r="L1200" t="s">
        <v>2184</v>
      </c>
      <c r="M1200">
        <v>43</v>
      </c>
      <c r="N1200">
        <v>15.84</v>
      </c>
      <c r="O1200">
        <v>1787.86</v>
      </c>
      <c r="P1200">
        <v>0</v>
      </c>
      <c r="Q1200">
        <v>1787.86</v>
      </c>
      <c r="R1200">
        <v>286.06</v>
      </c>
      <c r="S1200">
        <v>71.510000000000005</v>
      </c>
      <c r="T1200">
        <v>2002.41</v>
      </c>
      <c r="U1200" t="s">
        <v>2192</v>
      </c>
      <c r="V1200" t="s">
        <v>9408</v>
      </c>
      <c r="W1200" t="s">
        <v>423</v>
      </c>
    </row>
    <row r="1201" spans="1:23" hidden="1" x14ac:dyDescent="0.2">
      <c r="A1201">
        <v>2012</v>
      </c>
      <c r="B1201" t="s">
        <v>303</v>
      </c>
      <c r="C1201" s="733">
        <v>40924</v>
      </c>
      <c r="D12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01" t="s">
        <v>485</v>
      </c>
      <c r="F1201" t="s">
        <v>2065</v>
      </c>
      <c r="G1201" t="s">
        <v>3583</v>
      </c>
      <c r="H1201">
        <v>40347</v>
      </c>
      <c r="I1201" t="s">
        <v>423</v>
      </c>
      <c r="J1201" t="s">
        <v>3054</v>
      </c>
      <c r="K1201" t="s">
        <v>2183</v>
      </c>
      <c r="L1201" t="s">
        <v>2184</v>
      </c>
      <c r="M1201">
        <v>43</v>
      </c>
      <c r="N1201">
        <v>15.14</v>
      </c>
      <c r="O1201">
        <v>1708.85</v>
      </c>
      <c r="P1201">
        <v>0</v>
      </c>
      <c r="Q1201">
        <v>1708.85</v>
      </c>
      <c r="R1201">
        <v>273.42</v>
      </c>
      <c r="S1201">
        <v>68.349999999999994</v>
      </c>
      <c r="T1201">
        <v>1913.92</v>
      </c>
      <c r="U1201" t="s">
        <v>7554</v>
      </c>
      <c r="V1201" t="s">
        <v>9408</v>
      </c>
      <c r="W1201" t="s">
        <v>423</v>
      </c>
    </row>
    <row r="1202" spans="1:23" hidden="1" x14ac:dyDescent="0.2">
      <c r="A1202">
        <v>2012</v>
      </c>
      <c r="B1202" t="s">
        <v>303</v>
      </c>
      <c r="C1202" s="733">
        <v>40921</v>
      </c>
      <c r="D12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02" t="s">
        <v>478</v>
      </c>
      <c r="F1202" t="s">
        <v>2136</v>
      </c>
      <c r="G1202" t="s">
        <v>5532</v>
      </c>
      <c r="H1202">
        <v>34426</v>
      </c>
      <c r="I1202" t="s">
        <v>423</v>
      </c>
      <c r="J1202" t="s">
        <v>4270</v>
      </c>
      <c r="K1202" t="s">
        <v>425</v>
      </c>
      <c r="L1202" t="s">
        <v>2145</v>
      </c>
      <c r="M1202">
        <v>560</v>
      </c>
      <c r="N1202">
        <v>50.75</v>
      </c>
      <c r="O1202">
        <v>16214.62</v>
      </c>
      <c r="P1202">
        <v>0</v>
      </c>
      <c r="Q1202">
        <v>16214.62</v>
      </c>
      <c r="R1202">
        <v>2594.34</v>
      </c>
      <c r="S1202">
        <v>648.58000000000004</v>
      </c>
      <c r="T1202">
        <v>18160.38</v>
      </c>
      <c r="U1202" t="s">
        <v>2350</v>
      </c>
      <c r="V1202" t="s">
        <v>9409</v>
      </c>
      <c r="W1202" t="s">
        <v>423</v>
      </c>
    </row>
    <row r="1203" spans="1:23" hidden="1" x14ac:dyDescent="0.2">
      <c r="A1203">
        <v>2012</v>
      </c>
      <c r="B1203" t="s">
        <v>304</v>
      </c>
      <c r="C1203" s="733">
        <v>40954.589861111112</v>
      </c>
      <c r="D12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03" t="s">
        <v>485</v>
      </c>
      <c r="F1203" t="s">
        <v>2065</v>
      </c>
      <c r="G1203" t="s">
        <v>7833</v>
      </c>
      <c r="H1203">
        <v>42002</v>
      </c>
      <c r="I1203" t="s">
        <v>423</v>
      </c>
      <c r="J1203" t="s">
        <v>4073</v>
      </c>
      <c r="K1203" t="s">
        <v>2051</v>
      </c>
      <c r="L1203" t="s">
        <v>2052</v>
      </c>
      <c r="M1203">
        <v>610</v>
      </c>
      <c r="N1203">
        <v>49.1</v>
      </c>
      <c r="O1203">
        <v>17405.46</v>
      </c>
      <c r="P1203">
        <v>0</v>
      </c>
      <c r="Q1203">
        <v>17405.46</v>
      </c>
      <c r="R1203">
        <v>2784.87</v>
      </c>
      <c r="S1203">
        <v>696.22</v>
      </c>
      <c r="T1203">
        <v>19494.11</v>
      </c>
      <c r="U1203" t="s">
        <v>8780</v>
      </c>
      <c r="V1203" t="s">
        <v>9409</v>
      </c>
      <c r="W1203" t="s">
        <v>423</v>
      </c>
    </row>
    <row r="1204" spans="1:23" hidden="1" x14ac:dyDescent="0.2">
      <c r="A1204">
        <v>2012</v>
      </c>
      <c r="B1204" t="s">
        <v>304</v>
      </c>
      <c r="C1204" s="733">
        <v>40953</v>
      </c>
      <c r="D12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04" t="s">
        <v>485</v>
      </c>
      <c r="F1204" t="s">
        <v>2048</v>
      </c>
      <c r="G1204" t="s">
        <v>4769</v>
      </c>
      <c r="H1204">
        <v>41883</v>
      </c>
      <c r="I1204" t="s">
        <v>423</v>
      </c>
      <c r="J1204" t="s">
        <v>4770</v>
      </c>
      <c r="K1204" t="s">
        <v>2051</v>
      </c>
      <c r="L1204" t="s">
        <v>2052</v>
      </c>
      <c r="M1204">
        <v>599</v>
      </c>
      <c r="N1204">
        <v>25.85</v>
      </c>
      <c r="O1204">
        <v>9016.48</v>
      </c>
      <c r="P1204">
        <v>0</v>
      </c>
      <c r="Q1204">
        <v>9016.48</v>
      </c>
      <c r="R1204">
        <v>1442.64</v>
      </c>
      <c r="S1204">
        <v>360.66</v>
      </c>
      <c r="T1204">
        <v>10098.459999999999</v>
      </c>
      <c r="U1204" t="s">
        <v>8257</v>
      </c>
      <c r="V1204" t="s">
        <v>9408</v>
      </c>
      <c r="W1204" t="s">
        <v>423</v>
      </c>
    </row>
    <row r="1205" spans="1:23" hidden="1" x14ac:dyDescent="0.2">
      <c r="A1205">
        <v>2012</v>
      </c>
      <c r="B1205" t="s">
        <v>304</v>
      </c>
      <c r="C1205" s="733">
        <v>40952</v>
      </c>
      <c r="D12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05" t="s">
        <v>485</v>
      </c>
      <c r="F1205" t="s">
        <v>2065</v>
      </c>
      <c r="G1205" t="s">
        <v>4550</v>
      </c>
      <c r="H1205">
        <v>41722</v>
      </c>
      <c r="I1205" t="s">
        <v>423</v>
      </c>
      <c r="J1205" t="s">
        <v>4073</v>
      </c>
      <c r="K1205" t="s">
        <v>2051</v>
      </c>
      <c r="L1205" t="s">
        <v>2052</v>
      </c>
      <c r="M1205">
        <v>610</v>
      </c>
      <c r="N1205">
        <v>55.2</v>
      </c>
      <c r="O1205">
        <v>19567.849999999999</v>
      </c>
      <c r="P1205">
        <v>0</v>
      </c>
      <c r="Q1205">
        <v>19567.849999999999</v>
      </c>
      <c r="R1205">
        <v>3130.86</v>
      </c>
      <c r="S1205">
        <v>782.71</v>
      </c>
      <c r="T1205">
        <v>21916</v>
      </c>
      <c r="U1205" t="s">
        <v>8257</v>
      </c>
      <c r="V1205" t="s">
        <v>9409</v>
      </c>
      <c r="W1205" t="s">
        <v>423</v>
      </c>
    </row>
    <row r="1206" spans="1:23" hidden="1" x14ac:dyDescent="0.2">
      <c r="A1206">
        <v>2012</v>
      </c>
      <c r="B1206" t="s">
        <v>304</v>
      </c>
      <c r="C1206" s="733">
        <v>40966</v>
      </c>
      <c r="D12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06" t="s">
        <v>478</v>
      </c>
      <c r="F1206" t="s">
        <v>2622</v>
      </c>
      <c r="G1206" t="s">
        <v>8988</v>
      </c>
      <c r="H1206">
        <v>35941</v>
      </c>
      <c r="I1206" t="s">
        <v>423</v>
      </c>
      <c r="J1206" t="s">
        <v>4632</v>
      </c>
      <c r="K1206" t="s">
        <v>425</v>
      </c>
      <c r="L1206" t="s">
        <v>2145</v>
      </c>
      <c r="M1206">
        <v>1395</v>
      </c>
      <c r="N1206">
        <v>39.53</v>
      </c>
      <c r="O1206">
        <v>35845.410000000003</v>
      </c>
      <c r="P1206">
        <v>0</v>
      </c>
      <c r="Q1206">
        <v>35845.410000000003</v>
      </c>
      <c r="R1206">
        <v>5735.27</v>
      </c>
      <c r="S1206">
        <v>1433.82</v>
      </c>
      <c r="T1206">
        <v>40146.86</v>
      </c>
      <c r="U1206" t="s">
        <v>9430</v>
      </c>
      <c r="V1206" t="s">
        <v>9409</v>
      </c>
      <c r="W1206" t="s">
        <v>423</v>
      </c>
    </row>
    <row r="1207" spans="1:23" hidden="1" x14ac:dyDescent="0.2">
      <c r="A1207">
        <v>2012</v>
      </c>
      <c r="B1207" t="s">
        <v>303</v>
      </c>
      <c r="C1207" s="733">
        <v>40910</v>
      </c>
      <c r="D12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07" t="s">
        <v>485</v>
      </c>
      <c r="F1207" t="s">
        <v>2065</v>
      </c>
      <c r="G1207" t="s">
        <v>4537</v>
      </c>
      <c r="H1207">
        <v>38985</v>
      </c>
      <c r="I1207" t="s">
        <v>423</v>
      </c>
      <c r="J1207" t="s">
        <v>3280</v>
      </c>
      <c r="K1207" t="s">
        <v>2183</v>
      </c>
      <c r="L1207" t="s">
        <v>2115</v>
      </c>
      <c r="M1207">
        <v>1020</v>
      </c>
      <c r="N1207">
        <v>52.61</v>
      </c>
      <c r="O1207">
        <v>12303.9</v>
      </c>
      <c r="P1207">
        <v>13852.837971000001</v>
      </c>
      <c r="Q1207">
        <v>26156.737970999999</v>
      </c>
      <c r="R1207">
        <v>4185.0780750000004</v>
      </c>
      <c r="S1207">
        <v>1046.2695189999999</v>
      </c>
      <c r="T1207">
        <v>29295.546526999999</v>
      </c>
      <c r="U1207" t="s">
        <v>3038</v>
      </c>
      <c r="V1207" t="s">
        <v>9409</v>
      </c>
      <c r="W1207" t="s">
        <v>423</v>
      </c>
    </row>
    <row r="1208" spans="1:23" hidden="1" x14ac:dyDescent="0.2">
      <c r="A1208">
        <v>2012</v>
      </c>
      <c r="B1208" t="s">
        <v>304</v>
      </c>
      <c r="C1208" s="733">
        <v>40962</v>
      </c>
      <c r="D12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08" t="s">
        <v>505</v>
      </c>
      <c r="F1208" t="s">
        <v>1915</v>
      </c>
      <c r="G1208" t="s">
        <v>8515</v>
      </c>
      <c r="H1208">
        <v>22944</v>
      </c>
      <c r="I1208" t="s">
        <v>423</v>
      </c>
      <c r="J1208" t="s">
        <v>3207</v>
      </c>
      <c r="K1208" t="s">
        <v>1918</v>
      </c>
      <c r="L1208" t="s">
        <v>1919</v>
      </c>
      <c r="M1208">
        <v>334</v>
      </c>
      <c r="N1208">
        <v>49.99</v>
      </c>
      <c r="O1208">
        <v>13804.24</v>
      </c>
      <c r="P1208">
        <v>0</v>
      </c>
      <c r="Q1208">
        <v>13804.24</v>
      </c>
      <c r="R1208">
        <v>2208.6799999999998</v>
      </c>
      <c r="S1208">
        <v>552.16999999999996</v>
      </c>
      <c r="T1208">
        <v>15460.75</v>
      </c>
      <c r="U1208" t="s">
        <v>8778</v>
      </c>
      <c r="V1208" t="s">
        <v>9409</v>
      </c>
      <c r="W1208" t="s">
        <v>423</v>
      </c>
    </row>
    <row r="1209" spans="1:23" hidden="1" x14ac:dyDescent="0.2">
      <c r="A1209">
        <v>2012</v>
      </c>
      <c r="B1209" t="s">
        <v>304</v>
      </c>
      <c r="C1209" s="733">
        <v>40946</v>
      </c>
      <c r="D12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09" t="s">
        <v>485</v>
      </c>
      <c r="F1209" t="s">
        <v>2065</v>
      </c>
      <c r="G1209" t="s">
        <v>2211</v>
      </c>
      <c r="H1209">
        <v>41442</v>
      </c>
      <c r="I1209" t="s">
        <v>423</v>
      </c>
      <c r="J1209" t="s">
        <v>2182</v>
      </c>
      <c r="K1209" t="s">
        <v>2183</v>
      </c>
      <c r="L1209" t="s">
        <v>2184</v>
      </c>
      <c r="M1209">
        <v>62</v>
      </c>
      <c r="N1209">
        <v>28.72</v>
      </c>
      <c r="O1209">
        <v>4254.58</v>
      </c>
      <c r="P1209">
        <v>0</v>
      </c>
      <c r="Q1209">
        <v>4254.58</v>
      </c>
      <c r="R1209">
        <v>680.73</v>
      </c>
      <c r="S1209">
        <v>170.18</v>
      </c>
      <c r="T1209">
        <v>4765.13</v>
      </c>
      <c r="U1209" t="s">
        <v>2192</v>
      </c>
      <c r="V1209" t="s">
        <v>9408</v>
      </c>
      <c r="W1209" t="s">
        <v>423</v>
      </c>
    </row>
    <row r="1210" spans="1:23" hidden="1" x14ac:dyDescent="0.2">
      <c r="A1210">
        <v>2012</v>
      </c>
      <c r="B1210" t="s">
        <v>305</v>
      </c>
      <c r="C1210" s="733">
        <v>40969</v>
      </c>
      <c r="D1210" s="733" t="str">
        <f>CHOOSE(MONTH(Tabla_sqldatos_bonampakdb_Bon_v_ingresos2012[[#This Row],[fecha_guia]]),"Enero","Febrero","Marzo","Abril","Mayo","Junio","Julio","Agosto","Septiembre","Octubre","Noviembre","Diciembre")</f>
        <v>Marzo</v>
      </c>
      <c r="E1210" t="s">
        <v>505</v>
      </c>
      <c r="F1210" t="s">
        <v>1915</v>
      </c>
      <c r="G1210" t="s">
        <v>9427</v>
      </c>
      <c r="H1210">
        <v>23109</v>
      </c>
      <c r="I1210" t="s">
        <v>423</v>
      </c>
      <c r="J1210" t="s">
        <v>1917</v>
      </c>
      <c r="K1210" t="s">
        <v>1918</v>
      </c>
      <c r="L1210" t="s">
        <v>1919</v>
      </c>
      <c r="M1210">
        <v>267</v>
      </c>
      <c r="N1210">
        <v>49.82</v>
      </c>
      <c r="O1210">
        <v>11201.53</v>
      </c>
      <c r="P1210">
        <v>0</v>
      </c>
      <c r="Q1210">
        <v>11201.53</v>
      </c>
      <c r="R1210">
        <v>1792.24</v>
      </c>
      <c r="S1210">
        <v>448.06</v>
      </c>
      <c r="T1210">
        <v>12545.71</v>
      </c>
      <c r="V1210" t="s">
        <v>9409</v>
      </c>
      <c r="W1210" t="s">
        <v>423</v>
      </c>
    </row>
    <row r="1211" spans="1:23" hidden="1" x14ac:dyDescent="0.2">
      <c r="A1211">
        <v>2012</v>
      </c>
      <c r="B1211" t="s">
        <v>304</v>
      </c>
      <c r="C1211" s="733">
        <v>40953</v>
      </c>
      <c r="D12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11" t="s">
        <v>505</v>
      </c>
      <c r="F1211" t="s">
        <v>1915</v>
      </c>
      <c r="G1211" t="s">
        <v>2281</v>
      </c>
      <c r="H1211">
        <v>22703</v>
      </c>
      <c r="I1211" t="s">
        <v>424</v>
      </c>
      <c r="J1211" t="s">
        <v>1917</v>
      </c>
      <c r="K1211" t="s">
        <v>1918</v>
      </c>
      <c r="L1211" t="s">
        <v>1919</v>
      </c>
      <c r="M1211">
        <v>267</v>
      </c>
      <c r="N1211">
        <v>30</v>
      </c>
      <c r="O1211">
        <v>2929.97</v>
      </c>
      <c r="P1211">
        <v>1683.8244589999999</v>
      </c>
      <c r="Q1211">
        <v>4613.7944589999997</v>
      </c>
      <c r="R1211">
        <v>738.20711300000005</v>
      </c>
      <c r="S1211">
        <v>184.55177800000001</v>
      </c>
      <c r="T1211">
        <v>5167.4497940000001</v>
      </c>
      <c r="U1211" t="s">
        <v>7522</v>
      </c>
      <c r="V1211" t="s">
        <v>9408</v>
      </c>
      <c r="W1211" t="s">
        <v>424</v>
      </c>
    </row>
    <row r="1212" spans="1:23" hidden="1" x14ac:dyDescent="0.2">
      <c r="A1212">
        <v>2012</v>
      </c>
      <c r="B1212" t="s">
        <v>305</v>
      </c>
      <c r="C1212" s="733">
        <v>40971</v>
      </c>
      <c r="D1212" s="733" t="str">
        <f>CHOOSE(MONTH(Tabla_sqldatos_bonampakdb_Bon_v_ingresos2012[[#This Row],[fecha_guia]]),"Enero","Febrero","Marzo","Abril","Mayo","Junio","Julio","Agosto","Septiembre","Octubre","Noviembre","Diciembre")</f>
        <v>Marzo</v>
      </c>
      <c r="E1212" t="s">
        <v>505</v>
      </c>
      <c r="F1212" t="s">
        <v>1915</v>
      </c>
      <c r="G1212" t="s">
        <v>9670</v>
      </c>
      <c r="H1212">
        <v>23170</v>
      </c>
      <c r="I1212" t="s">
        <v>424</v>
      </c>
      <c r="J1212" t="s">
        <v>1954</v>
      </c>
      <c r="K1212" t="s">
        <v>1918</v>
      </c>
      <c r="L1212" t="s">
        <v>1919</v>
      </c>
      <c r="M1212">
        <v>303</v>
      </c>
      <c r="N1212">
        <v>30</v>
      </c>
      <c r="O1212">
        <v>5862.3</v>
      </c>
      <c r="P1212">
        <v>0</v>
      </c>
      <c r="Q1212">
        <v>5862.3</v>
      </c>
      <c r="R1212">
        <v>937.97</v>
      </c>
      <c r="S1212">
        <v>234.49</v>
      </c>
      <c r="T1212">
        <v>6565.78</v>
      </c>
      <c r="V1212" t="s">
        <v>9408</v>
      </c>
      <c r="W1212" t="s">
        <v>424</v>
      </c>
    </row>
    <row r="1213" spans="1:23" hidden="1" x14ac:dyDescent="0.2">
      <c r="A1213">
        <v>2012</v>
      </c>
      <c r="B1213" t="s">
        <v>303</v>
      </c>
      <c r="C1213" s="733">
        <v>40926</v>
      </c>
      <c r="D12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13" t="s">
        <v>505</v>
      </c>
      <c r="F1213" t="s">
        <v>1915</v>
      </c>
      <c r="G1213" t="s">
        <v>4144</v>
      </c>
      <c r="H1213">
        <v>22058</v>
      </c>
      <c r="I1213" t="s">
        <v>423</v>
      </c>
      <c r="J1213" t="s">
        <v>1917</v>
      </c>
      <c r="K1213" t="s">
        <v>1918</v>
      </c>
      <c r="L1213" t="s">
        <v>1919</v>
      </c>
      <c r="M1213">
        <v>267</v>
      </c>
      <c r="N1213">
        <v>50.02</v>
      </c>
      <c r="O1213">
        <v>11246.5</v>
      </c>
      <c r="P1213">
        <v>0</v>
      </c>
      <c r="Q1213">
        <v>11246.5</v>
      </c>
      <c r="R1213">
        <v>1799.44</v>
      </c>
      <c r="S1213">
        <v>449.86</v>
      </c>
      <c r="T1213">
        <v>12596.08</v>
      </c>
      <c r="U1213" t="s">
        <v>1936</v>
      </c>
      <c r="V1213" t="s">
        <v>9409</v>
      </c>
      <c r="W1213" t="s">
        <v>423</v>
      </c>
    </row>
    <row r="1214" spans="1:23" hidden="1" x14ac:dyDescent="0.2">
      <c r="A1214">
        <v>2012</v>
      </c>
      <c r="B1214" t="s">
        <v>304</v>
      </c>
      <c r="C1214" s="733">
        <v>40967</v>
      </c>
      <c r="D12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14" t="s">
        <v>505</v>
      </c>
      <c r="F1214" t="s">
        <v>1915</v>
      </c>
      <c r="G1214" t="s">
        <v>8850</v>
      </c>
      <c r="H1214">
        <v>23055</v>
      </c>
      <c r="I1214" t="s">
        <v>424</v>
      </c>
      <c r="J1214" t="s">
        <v>1917</v>
      </c>
      <c r="K1214" t="s">
        <v>1918</v>
      </c>
      <c r="L1214" t="s">
        <v>1919</v>
      </c>
      <c r="M1214">
        <v>267</v>
      </c>
      <c r="N1214">
        <v>30</v>
      </c>
      <c r="O1214">
        <v>4613.7</v>
      </c>
      <c r="P1214">
        <v>0</v>
      </c>
      <c r="Q1214">
        <v>4613.7</v>
      </c>
      <c r="R1214">
        <v>738.19</v>
      </c>
      <c r="S1214">
        <v>184.55</v>
      </c>
      <c r="T1214">
        <v>5167.34</v>
      </c>
      <c r="U1214" t="s">
        <v>9415</v>
      </c>
      <c r="V1214" t="s">
        <v>9408</v>
      </c>
      <c r="W1214" t="s">
        <v>424</v>
      </c>
    </row>
    <row r="1215" spans="1:23" hidden="1" x14ac:dyDescent="0.2">
      <c r="A1215">
        <v>2012</v>
      </c>
      <c r="B1215" t="s">
        <v>304</v>
      </c>
      <c r="C1215" s="733">
        <v>40964</v>
      </c>
      <c r="D12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15" t="s">
        <v>505</v>
      </c>
      <c r="F1215" t="s">
        <v>1915</v>
      </c>
      <c r="G1215" t="s">
        <v>8704</v>
      </c>
      <c r="H1215">
        <v>23002</v>
      </c>
      <c r="I1215" t="s">
        <v>424</v>
      </c>
      <c r="J1215" t="s">
        <v>1917</v>
      </c>
      <c r="K1215" t="s">
        <v>1918</v>
      </c>
      <c r="L1215" t="s">
        <v>1919</v>
      </c>
      <c r="M1215">
        <v>267</v>
      </c>
      <c r="N1215">
        <v>30</v>
      </c>
      <c r="O1215">
        <v>4613.7</v>
      </c>
      <c r="P1215">
        <v>0</v>
      </c>
      <c r="Q1215">
        <v>4613.7</v>
      </c>
      <c r="R1215">
        <v>738.19</v>
      </c>
      <c r="S1215">
        <v>184.55</v>
      </c>
      <c r="T1215">
        <v>5167.34</v>
      </c>
      <c r="U1215" t="s">
        <v>8778</v>
      </c>
      <c r="V1215" t="s">
        <v>9408</v>
      </c>
      <c r="W1215" t="s">
        <v>424</v>
      </c>
    </row>
    <row r="1216" spans="1:23" hidden="1" x14ac:dyDescent="0.2">
      <c r="A1216">
        <v>2012</v>
      </c>
      <c r="B1216" t="s">
        <v>304</v>
      </c>
      <c r="C1216" s="733">
        <v>40963</v>
      </c>
      <c r="D12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16" t="s">
        <v>505</v>
      </c>
      <c r="F1216" t="s">
        <v>1915</v>
      </c>
      <c r="G1216" t="s">
        <v>8713</v>
      </c>
      <c r="H1216">
        <v>22996</v>
      </c>
      <c r="I1216" t="s">
        <v>424</v>
      </c>
      <c r="J1216" t="s">
        <v>1917</v>
      </c>
      <c r="K1216" t="s">
        <v>1918</v>
      </c>
      <c r="L1216" t="s">
        <v>1919</v>
      </c>
      <c r="M1216">
        <v>267</v>
      </c>
      <c r="N1216">
        <v>30</v>
      </c>
      <c r="O1216">
        <v>4613.7</v>
      </c>
      <c r="P1216">
        <v>0</v>
      </c>
      <c r="Q1216">
        <v>4613.7</v>
      </c>
      <c r="R1216">
        <v>738.19</v>
      </c>
      <c r="S1216">
        <v>184.55</v>
      </c>
      <c r="T1216">
        <v>5167.34</v>
      </c>
      <c r="U1216" t="s">
        <v>8778</v>
      </c>
      <c r="V1216" t="s">
        <v>9408</v>
      </c>
      <c r="W1216" t="s">
        <v>424</v>
      </c>
    </row>
    <row r="1217" spans="1:23" hidden="1" x14ac:dyDescent="0.2">
      <c r="A1217">
        <v>2012</v>
      </c>
      <c r="B1217" t="s">
        <v>303</v>
      </c>
      <c r="C1217" s="733">
        <v>40924</v>
      </c>
      <c r="D12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17" t="s">
        <v>505</v>
      </c>
      <c r="F1217" t="s">
        <v>2065</v>
      </c>
      <c r="G1217" t="s">
        <v>2287</v>
      </c>
      <c r="H1217">
        <v>21994</v>
      </c>
      <c r="I1217" t="s">
        <v>424</v>
      </c>
      <c r="J1217" t="s">
        <v>1917</v>
      </c>
      <c r="K1217" t="s">
        <v>1918</v>
      </c>
      <c r="L1217" t="s">
        <v>1919</v>
      </c>
      <c r="M1217">
        <v>267</v>
      </c>
      <c r="N1217">
        <v>30</v>
      </c>
      <c r="O1217">
        <v>2929.97</v>
      </c>
      <c r="P1217">
        <v>1683.8244589999999</v>
      </c>
      <c r="Q1217">
        <v>4613.7944589999997</v>
      </c>
      <c r="R1217">
        <v>738.20711300000005</v>
      </c>
      <c r="S1217">
        <v>184.55177800000001</v>
      </c>
      <c r="T1217">
        <v>5167.4497940000001</v>
      </c>
      <c r="U1217" t="s">
        <v>1931</v>
      </c>
      <c r="V1217" t="s">
        <v>9408</v>
      </c>
      <c r="W1217" t="s">
        <v>424</v>
      </c>
    </row>
    <row r="1218" spans="1:23" hidden="1" x14ac:dyDescent="0.2">
      <c r="A1218">
        <v>2012</v>
      </c>
      <c r="B1218" t="s">
        <v>304</v>
      </c>
      <c r="C1218" s="733">
        <v>40949</v>
      </c>
      <c r="D12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18" t="s">
        <v>505</v>
      </c>
      <c r="F1218" t="s">
        <v>1915</v>
      </c>
      <c r="G1218" t="s">
        <v>2288</v>
      </c>
      <c r="H1218">
        <v>22649</v>
      </c>
      <c r="I1218" t="s">
        <v>424</v>
      </c>
      <c r="J1218" t="s">
        <v>1917</v>
      </c>
      <c r="K1218" t="s">
        <v>1918</v>
      </c>
      <c r="L1218" t="s">
        <v>1919</v>
      </c>
      <c r="M1218">
        <v>267</v>
      </c>
      <c r="N1218">
        <v>30</v>
      </c>
      <c r="O1218">
        <v>2929.97</v>
      </c>
      <c r="P1218">
        <v>1683.8244589999999</v>
      </c>
      <c r="Q1218">
        <v>4613.7944589999997</v>
      </c>
      <c r="R1218">
        <v>738.20711300000005</v>
      </c>
      <c r="S1218">
        <v>184.55177800000001</v>
      </c>
      <c r="T1218">
        <v>5167.4497940000001</v>
      </c>
      <c r="U1218" t="s">
        <v>1924</v>
      </c>
      <c r="V1218" t="s">
        <v>9408</v>
      </c>
      <c r="W1218" t="s">
        <v>424</v>
      </c>
    </row>
    <row r="1219" spans="1:23" hidden="1" x14ac:dyDescent="0.2">
      <c r="A1219">
        <v>2012</v>
      </c>
      <c r="B1219" t="s">
        <v>304</v>
      </c>
      <c r="C1219" s="733">
        <v>40952</v>
      </c>
      <c r="D12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19" t="s">
        <v>485</v>
      </c>
      <c r="F1219" t="s">
        <v>2065</v>
      </c>
      <c r="G1219" t="s">
        <v>4098</v>
      </c>
      <c r="H1219">
        <v>41797</v>
      </c>
      <c r="I1219" t="s">
        <v>423</v>
      </c>
      <c r="J1219" t="s">
        <v>4073</v>
      </c>
      <c r="K1219" t="s">
        <v>2051</v>
      </c>
      <c r="L1219" t="s">
        <v>2052</v>
      </c>
      <c r="M1219">
        <v>610</v>
      </c>
      <c r="N1219">
        <v>51.4</v>
      </c>
      <c r="O1219">
        <v>18220.79</v>
      </c>
      <c r="P1219">
        <v>0</v>
      </c>
      <c r="Q1219">
        <v>18220.79</v>
      </c>
      <c r="R1219">
        <v>2915.33</v>
      </c>
      <c r="S1219">
        <v>728.83</v>
      </c>
      <c r="T1219">
        <v>20407.29</v>
      </c>
      <c r="U1219" t="s">
        <v>7568</v>
      </c>
      <c r="V1219" t="s">
        <v>9409</v>
      </c>
      <c r="W1219" t="s">
        <v>423</v>
      </c>
    </row>
    <row r="1220" spans="1:23" hidden="1" x14ac:dyDescent="0.2">
      <c r="A1220">
        <v>2012</v>
      </c>
      <c r="B1220" t="s">
        <v>303</v>
      </c>
      <c r="C1220" s="733">
        <v>40938</v>
      </c>
      <c r="D12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20" t="s">
        <v>485</v>
      </c>
      <c r="F1220" t="s">
        <v>2084</v>
      </c>
      <c r="G1220" t="s">
        <v>4074</v>
      </c>
      <c r="H1220">
        <v>41108</v>
      </c>
      <c r="I1220" t="s">
        <v>423</v>
      </c>
      <c r="J1220" t="s">
        <v>4073</v>
      </c>
      <c r="K1220" t="s">
        <v>2051</v>
      </c>
      <c r="L1220" t="s">
        <v>2052</v>
      </c>
      <c r="M1220">
        <v>610</v>
      </c>
      <c r="N1220">
        <v>51.2</v>
      </c>
      <c r="O1220">
        <v>18149.89</v>
      </c>
      <c r="P1220">
        <v>0</v>
      </c>
      <c r="Q1220">
        <v>18149.89</v>
      </c>
      <c r="R1220">
        <v>2903.98</v>
      </c>
      <c r="S1220">
        <v>726</v>
      </c>
      <c r="T1220">
        <v>20327.87</v>
      </c>
      <c r="U1220" t="s">
        <v>2067</v>
      </c>
      <c r="V1220" t="s">
        <v>9409</v>
      </c>
      <c r="W1220" t="s">
        <v>423</v>
      </c>
    </row>
    <row r="1221" spans="1:23" hidden="1" x14ac:dyDescent="0.2">
      <c r="A1221">
        <v>2012</v>
      </c>
      <c r="B1221" t="s">
        <v>303</v>
      </c>
      <c r="C1221" s="733">
        <v>40911</v>
      </c>
      <c r="D12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21" t="s">
        <v>485</v>
      </c>
      <c r="F1221" t="s">
        <v>2084</v>
      </c>
      <c r="G1221" t="s">
        <v>4072</v>
      </c>
      <c r="H1221">
        <v>39728</v>
      </c>
      <c r="I1221" t="s">
        <v>423</v>
      </c>
      <c r="J1221" t="s">
        <v>4073</v>
      </c>
      <c r="K1221" t="s">
        <v>2051</v>
      </c>
      <c r="L1221" t="s">
        <v>2052</v>
      </c>
      <c r="M1221">
        <v>610</v>
      </c>
      <c r="N1221">
        <v>51.3</v>
      </c>
      <c r="O1221">
        <v>7656.01</v>
      </c>
      <c r="P1221">
        <v>8619.8250989999997</v>
      </c>
      <c r="Q1221">
        <v>16275.835099</v>
      </c>
      <c r="R1221">
        <v>2604.1336160000001</v>
      </c>
      <c r="S1221">
        <v>651.03340400000002</v>
      </c>
      <c r="T1221">
        <v>18228.935311000001</v>
      </c>
      <c r="U1221" t="s">
        <v>2089</v>
      </c>
      <c r="V1221" t="s">
        <v>9409</v>
      </c>
      <c r="W1221" t="s">
        <v>423</v>
      </c>
    </row>
    <row r="1222" spans="1:23" hidden="1" x14ac:dyDescent="0.2">
      <c r="A1222">
        <v>2012</v>
      </c>
      <c r="B1222" t="s">
        <v>303</v>
      </c>
      <c r="C1222" s="733">
        <v>40921</v>
      </c>
      <c r="D12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22" t="s">
        <v>478</v>
      </c>
      <c r="F1222" t="s">
        <v>2136</v>
      </c>
      <c r="G1222" t="s">
        <v>4631</v>
      </c>
      <c r="H1222">
        <v>34443</v>
      </c>
      <c r="I1222" t="s">
        <v>423</v>
      </c>
      <c r="J1222" t="s">
        <v>4632</v>
      </c>
      <c r="K1222" t="s">
        <v>425</v>
      </c>
      <c r="L1222" t="s">
        <v>2145</v>
      </c>
      <c r="M1222">
        <v>1395</v>
      </c>
      <c r="N1222">
        <v>44.77</v>
      </c>
      <c r="O1222">
        <v>40596.99</v>
      </c>
      <c r="P1222">
        <v>0</v>
      </c>
      <c r="Q1222">
        <v>40596.99</v>
      </c>
      <c r="R1222">
        <v>6495.52</v>
      </c>
      <c r="S1222">
        <v>1623.88</v>
      </c>
      <c r="T1222">
        <v>45468.63</v>
      </c>
      <c r="U1222" t="s">
        <v>2350</v>
      </c>
      <c r="V1222" t="s">
        <v>9409</v>
      </c>
      <c r="W1222" t="s">
        <v>423</v>
      </c>
    </row>
    <row r="1223" spans="1:23" hidden="1" x14ac:dyDescent="0.2">
      <c r="A1223">
        <v>2012</v>
      </c>
      <c r="B1223" t="s">
        <v>305</v>
      </c>
      <c r="C1223" s="733">
        <v>40970.799351851849</v>
      </c>
      <c r="D1223" s="733" t="str">
        <f>CHOOSE(MONTH(Tabla_sqldatos_bonampakdb_Bon_v_ingresos2012[[#This Row],[fecha_guia]]),"Enero","Febrero","Marzo","Abril","Mayo","Junio","Julio","Agosto","Septiembre","Octubre","Noviembre","Diciembre")</f>
        <v>Marzo</v>
      </c>
      <c r="E1223" t="s">
        <v>505</v>
      </c>
      <c r="F1223" t="s">
        <v>1915</v>
      </c>
      <c r="G1223" t="s">
        <v>9671</v>
      </c>
      <c r="H1223">
        <v>23134</v>
      </c>
      <c r="I1223" t="s">
        <v>423</v>
      </c>
      <c r="J1223" t="s">
        <v>1917</v>
      </c>
      <c r="K1223" t="s">
        <v>1918</v>
      </c>
      <c r="L1223" t="s">
        <v>1919</v>
      </c>
      <c r="M1223">
        <v>267</v>
      </c>
      <c r="N1223">
        <v>24.67</v>
      </c>
      <c r="O1223">
        <v>5546.8</v>
      </c>
      <c r="P1223">
        <v>0</v>
      </c>
      <c r="Q1223">
        <v>5546.8</v>
      </c>
      <c r="R1223">
        <v>887.49</v>
      </c>
      <c r="S1223">
        <v>221.87</v>
      </c>
      <c r="T1223">
        <v>6212.42</v>
      </c>
      <c r="V1223" t="s">
        <v>9409</v>
      </c>
      <c r="W1223" t="s">
        <v>423</v>
      </c>
    </row>
    <row r="1224" spans="1:23" hidden="1" x14ac:dyDescent="0.2">
      <c r="A1224">
        <v>2012</v>
      </c>
      <c r="B1224" t="s">
        <v>304</v>
      </c>
      <c r="C1224" s="733">
        <v>40952</v>
      </c>
      <c r="D12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24" t="s">
        <v>485</v>
      </c>
      <c r="F1224" t="s">
        <v>2048</v>
      </c>
      <c r="G1224" t="s">
        <v>4130</v>
      </c>
      <c r="H1224">
        <v>41795</v>
      </c>
      <c r="I1224" t="s">
        <v>423</v>
      </c>
      <c r="J1224" t="s">
        <v>4073</v>
      </c>
      <c r="K1224" t="s">
        <v>2051</v>
      </c>
      <c r="L1224" t="s">
        <v>2052</v>
      </c>
      <c r="M1224">
        <v>610</v>
      </c>
      <c r="N1224">
        <v>50.35</v>
      </c>
      <c r="O1224">
        <v>17848.57</v>
      </c>
      <c r="P1224">
        <v>0</v>
      </c>
      <c r="Q1224">
        <v>17848.57</v>
      </c>
      <c r="R1224">
        <v>2855.77</v>
      </c>
      <c r="S1224">
        <v>713.94</v>
      </c>
      <c r="T1224">
        <v>19990.400000000001</v>
      </c>
      <c r="U1224" t="s">
        <v>7568</v>
      </c>
      <c r="V1224" t="s">
        <v>9409</v>
      </c>
      <c r="W1224" t="s">
        <v>423</v>
      </c>
    </row>
    <row r="1225" spans="1:23" hidden="1" x14ac:dyDescent="0.2">
      <c r="A1225">
        <v>2012</v>
      </c>
      <c r="B1225" t="s">
        <v>303</v>
      </c>
      <c r="C1225" s="733">
        <v>40933</v>
      </c>
      <c r="D12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25" t="s">
        <v>485</v>
      </c>
      <c r="F1225" t="s">
        <v>2048</v>
      </c>
      <c r="G1225" t="s">
        <v>4099</v>
      </c>
      <c r="H1225">
        <v>40866</v>
      </c>
      <c r="I1225" t="s">
        <v>423</v>
      </c>
      <c r="J1225" t="s">
        <v>4073</v>
      </c>
      <c r="K1225" t="s">
        <v>2051</v>
      </c>
      <c r="L1225" t="s">
        <v>2052</v>
      </c>
      <c r="M1225">
        <v>610</v>
      </c>
      <c r="N1225">
        <v>51.7</v>
      </c>
      <c r="O1225">
        <v>18327.13</v>
      </c>
      <c r="P1225">
        <v>0</v>
      </c>
      <c r="Q1225">
        <v>18327.13</v>
      </c>
      <c r="R1225">
        <v>2932.34</v>
      </c>
      <c r="S1225">
        <v>733.09</v>
      </c>
      <c r="T1225">
        <v>20526.38</v>
      </c>
      <c r="U1225" t="s">
        <v>2053</v>
      </c>
      <c r="V1225" t="s">
        <v>9409</v>
      </c>
      <c r="W1225" t="s">
        <v>423</v>
      </c>
    </row>
    <row r="1226" spans="1:23" hidden="1" x14ac:dyDescent="0.2">
      <c r="A1226">
        <v>2012</v>
      </c>
      <c r="B1226" t="s">
        <v>303</v>
      </c>
      <c r="C1226" s="733">
        <v>40931</v>
      </c>
      <c r="D12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26" t="s">
        <v>478</v>
      </c>
      <c r="F1226" t="s">
        <v>2136</v>
      </c>
      <c r="G1226" t="s">
        <v>4636</v>
      </c>
      <c r="H1226">
        <v>34504</v>
      </c>
      <c r="I1226" t="s">
        <v>423</v>
      </c>
      <c r="J1226" t="s">
        <v>4270</v>
      </c>
      <c r="K1226" t="s">
        <v>425</v>
      </c>
      <c r="L1226" t="s">
        <v>2145</v>
      </c>
      <c r="M1226">
        <v>560</v>
      </c>
      <c r="N1226">
        <v>48.2</v>
      </c>
      <c r="O1226">
        <v>15399.9</v>
      </c>
      <c r="P1226">
        <v>0</v>
      </c>
      <c r="Q1226">
        <v>15399.9</v>
      </c>
      <c r="R1226">
        <v>2463.98</v>
      </c>
      <c r="S1226">
        <v>616</v>
      </c>
      <c r="T1226">
        <v>17247.88</v>
      </c>
      <c r="U1226" t="s">
        <v>2355</v>
      </c>
      <c r="V1226" t="s">
        <v>9409</v>
      </c>
      <c r="W1226" t="s">
        <v>423</v>
      </c>
    </row>
    <row r="1227" spans="1:23" hidden="1" x14ac:dyDescent="0.2">
      <c r="A1227">
        <v>2012</v>
      </c>
      <c r="B1227" t="s">
        <v>303</v>
      </c>
      <c r="C1227" s="733">
        <v>40929</v>
      </c>
      <c r="D12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27" t="s">
        <v>478</v>
      </c>
      <c r="F1227" t="s">
        <v>2136</v>
      </c>
      <c r="G1227" t="s">
        <v>4637</v>
      </c>
      <c r="H1227">
        <v>34674</v>
      </c>
      <c r="I1227" t="s">
        <v>423</v>
      </c>
      <c r="J1227" t="s">
        <v>4270</v>
      </c>
      <c r="K1227" t="s">
        <v>425</v>
      </c>
      <c r="L1227" t="s">
        <v>2145</v>
      </c>
      <c r="M1227">
        <v>560</v>
      </c>
      <c r="N1227">
        <v>55.2</v>
      </c>
      <c r="O1227">
        <v>17636.400000000001</v>
      </c>
      <c r="P1227">
        <v>0</v>
      </c>
      <c r="Q1227">
        <v>17636.400000000001</v>
      </c>
      <c r="R1227">
        <v>2821.82</v>
      </c>
      <c r="S1227">
        <v>705.46</v>
      </c>
      <c r="T1227">
        <v>19752.759999999998</v>
      </c>
      <c r="U1227" t="s">
        <v>3234</v>
      </c>
      <c r="V1227" t="s">
        <v>9409</v>
      </c>
      <c r="W1227" t="s">
        <v>423</v>
      </c>
    </row>
    <row r="1228" spans="1:23" hidden="1" x14ac:dyDescent="0.2">
      <c r="A1228">
        <v>2012</v>
      </c>
      <c r="B1228" t="s">
        <v>303</v>
      </c>
      <c r="C1228" s="733">
        <v>40919</v>
      </c>
      <c r="D12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28" t="s">
        <v>485</v>
      </c>
      <c r="F1228" t="s">
        <v>2065</v>
      </c>
      <c r="G1228" t="s">
        <v>4625</v>
      </c>
      <c r="H1228">
        <v>40026</v>
      </c>
      <c r="I1228" t="s">
        <v>423</v>
      </c>
      <c r="J1228" t="s">
        <v>4626</v>
      </c>
      <c r="K1228" t="s">
        <v>2102</v>
      </c>
      <c r="L1228" t="s">
        <v>2115</v>
      </c>
      <c r="M1228">
        <v>1457</v>
      </c>
      <c r="N1228">
        <v>52.35</v>
      </c>
      <c r="O1228">
        <v>38734.81</v>
      </c>
      <c r="P1228">
        <v>0</v>
      </c>
      <c r="Q1228">
        <v>38734.81</v>
      </c>
      <c r="R1228">
        <v>6197.57</v>
      </c>
      <c r="S1228">
        <v>1549.39</v>
      </c>
      <c r="T1228">
        <v>43382.99</v>
      </c>
      <c r="U1228" t="s">
        <v>2106</v>
      </c>
      <c r="V1228" t="s">
        <v>9409</v>
      </c>
      <c r="W1228" t="s">
        <v>423</v>
      </c>
    </row>
    <row r="1229" spans="1:23" hidden="1" x14ac:dyDescent="0.2">
      <c r="A1229">
        <v>2012</v>
      </c>
      <c r="B1229" t="s">
        <v>304</v>
      </c>
      <c r="C1229" s="733">
        <v>40955</v>
      </c>
      <c r="D12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29" t="s">
        <v>485</v>
      </c>
      <c r="F1229" t="s">
        <v>2065</v>
      </c>
      <c r="G1229" t="s">
        <v>7800</v>
      </c>
      <c r="H1229">
        <v>41968</v>
      </c>
      <c r="I1229" t="s">
        <v>423</v>
      </c>
      <c r="J1229" t="s">
        <v>4626</v>
      </c>
      <c r="K1229" t="s">
        <v>2102</v>
      </c>
      <c r="L1229" t="s">
        <v>2115</v>
      </c>
      <c r="M1229">
        <v>1457</v>
      </c>
      <c r="N1229">
        <v>24.69</v>
      </c>
      <c r="O1229">
        <v>18268.62</v>
      </c>
      <c r="P1229">
        <v>0</v>
      </c>
      <c r="Q1229">
        <v>18268.62</v>
      </c>
      <c r="R1229">
        <v>2922.98</v>
      </c>
      <c r="S1229">
        <v>730.74</v>
      </c>
      <c r="T1229">
        <v>20460.86</v>
      </c>
      <c r="U1229" t="s">
        <v>8051</v>
      </c>
      <c r="V1229" t="s">
        <v>9408</v>
      </c>
      <c r="W1229" t="s">
        <v>423</v>
      </c>
    </row>
    <row r="1230" spans="1:23" hidden="1" x14ac:dyDescent="0.2">
      <c r="A1230">
        <v>2012</v>
      </c>
      <c r="B1230" t="s">
        <v>304</v>
      </c>
      <c r="C1230" s="733">
        <v>40941</v>
      </c>
      <c r="D12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30" t="s">
        <v>485</v>
      </c>
      <c r="F1230" t="s">
        <v>2048</v>
      </c>
      <c r="G1230" t="s">
        <v>4075</v>
      </c>
      <c r="H1230">
        <v>41332</v>
      </c>
      <c r="I1230" t="s">
        <v>423</v>
      </c>
      <c r="J1230" t="s">
        <v>4073</v>
      </c>
      <c r="K1230" t="s">
        <v>2051</v>
      </c>
      <c r="L1230" t="s">
        <v>2052</v>
      </c>
      <c r="M1230">
        <v>610</v>
      </c>
      <c r="N1230">
        <v>53.85</v>
      </c>
      <c r="O1230">
        <v>19089.29</v>
      </c>
      <c r="P1230">
        <v>0</v>
      </c>
      <c r="Q1230">
        <v>19089.29</v>
      </c>
      <c r="R1230">
        <v>3054.29</v>
      </c>
      <c r="S1230">
        <v>763.57</v>
      </c>
      <c r="T1230">
        <v>21380.01</v>
      </c>
      <c r="U1230" t="s">
        <v>7568</v>
      </c>
      <c r="V1230" t="s">
        <v>9409</v>
      </c>
      <c r="W1230" t="s">
        <v>423</v>
      </c>
    </row>
    <row r="1231" spans="1:23" hidden="1" x14ac:dyDescent="0.2">
      <c r="A1231">
        <v>2012</v>
      </c>
      <c r="B1231" t="s">
        <v>303</v>
      </c>
      <c r="C1231" s="733">
        <v>40934</v>
      </c>
      <c r="D12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31" t="s">
        <v>478</v>
      </c>
      <c r="F1231" t="s">
        <v>2136</v>
      </c>
      <c r="G1231" t="s">
        <v>4634</v>
      </c>
      <c r="H1231">
        <v>34973</v>
      </c>
      <c r="I1231" t="s">
        <v>423</v>
      </c>
      <c r="J1231" t="s">
        <v>4270</v>
      </c>
      <c r="K1231" t="s">
        <v>425</v>
      </c>
      <c r="L1231" t="s">
        <v>2145</v>
      </c>
      <c r="M1231">
        <v>560</v>
      </c>
      <c r="N1231">
        <v>22.72</v>
      </c>
      <c r="O1231">
        <v>7259.04</v>
      </c>
      <c r="P1231">
        <v>0</v>
      </c>
      <c r="Q1231">
        <v>7259.04</v>
      </c>
      <c r="R1231">
        <v>1161.45</v>
      </c>
      <c r="S1231">
        <v>290.36</v>
      </c>
      <c r="T1231">
        <v>8130.13</v>
      </c>
      <c r="U1231" t="s">
        <v>2355</v>
      </c>
      <c r="V1231" t="s">
        <v>9408</v>
      </c>
      <c r="W1231" t="s">
        <v>423</v>
      </c>
    </row>
    <row r="1232" spans="1:23" hidden="1" x14ac:dyDescent="0.2">
      <c r="A1232">
        <v>2012</v>
      </c>
      <c r="B1232" t="s">
        <v>303</v>
      </c>
      <c r="C1232" s="733">
        <v>40919</v>
      </c>
      <c r="D12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32" t="s">
        <v>478</v>
      </c>
      <c r="F1232" t="s">
        <v>2136</v>
      </c>
      <c r="G1232" t="s">
        <v>4635</v>
      </c>
      <c r="H1232">
        <v>34393</v>
      </c>
      <c r="I1232" t="s">
        <v>423</v>
      </c>
      <c r="J1232" t="s">
        <v>4270</v>
      </c>
      <c r="K1232" t="s">
        <v>425</v>
      </c>
      <c r="L1232" t="s">
        <v>2145</v>
      </c>
      <c r="M1232">
        <v>560</v>
      </c>
      <c r="N1232">
        <v>37.94</v>
      </c>
      <c r="O1232">
        <v>12121.83</v>
      </c>
      <c r="P1232">
        <v>0</v>
      </c>
      <c r="Q1232">
        <v>12121.83</v>
      </c>
      <c r="R1232">
        <v>1939.49</v>
      </c>
      <c r="S1232">
        <v>484.87</v>
      </c>
      <c r="T1232">
        <v>13576.45</v>
      </c>
      <c r="U1232" t="s">
        <v>2927</v>
      </c>
      <c r="V1232" t="s">
        <v>9408</v>
      </c>
      <c r="W1232" t="s">
        <v>423</v>
      </c>
    </row>
    <row r="1233" spans="1:23" hidden="1" x14ac:dyDescent="0.2">
      <c r="A1233">
        <v>2012</v>
      </c>
      <c r="B1233" t="s">
        <v>303</v>
      </c>
      <c r="C1233" s="733">
        <v>40929</v>
      </c>
      <c r="D12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33" t="s">
        <v>478</v>
      </c>
      <c r="F1233" t="s">
        <v>2136</v>
      </c>
      <c r="G1233" t="s">
        <v>4633</v>
      </c>
      <c r="H1233">
        <v>34614</v>
      </c>
      <c r="I1233" t="s">
        <v>423</v>
      </c>
      <c r="J1233" t="s">
        <v>4632</v>
      </c>
      <c r="K1233" t="s">
        <v>425</v>
      </c>
      <c r="L1233" t="s">
        <v>2145</v>
      </c>
      <c r="M1233">
        <v>1395</v>
      </c>
      <c r="N1233">
        <v>50.2</v>
      </c>
      <c r="O1233">
        <v>45520.86</v>
      </c>
      <c r="P1233">
        <v>0</v>
      </c>
      <c r="Q1233">
        <v>45520.86</v>
      </c>
      <c r="R1233">
        <v>7283.34</v>
      </c>
      <c r="S1233">
        <v>1820.83</v>
      </c>
      <c r="T1233">
        <v>50983.37</v>
      </c>
      <c r="U1233" t="s">
        <v>3234</v>
      </c>
      <c r="V1233" t="s">
        <v>9409</v>
      </c>
      <c r="W1233" t="s">
        <v>423</v>
      </c>
    </row>
    <row r="1234" spans="1:23" hidden="1" x14ac:dyDescent="0.2">
      <c r="A1234">
        <v>2012</v>
      </c>
      <c r="B1234" t="s">
        <v>304</v>
      </c>
      <c r="C1234" s="733">
        <v>40940</v>
      </c>
      <c r="D12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34" t="s">
        <v>505</v>
      </c>
      <c r="F1234" t="s">
        <v>2065</v>
      </c>
      <c r="G1234" t="s">
        <v>2289</v>
      </c>
      <c r="H1234">
        <v>22407</v>
      </c>
      <c r="I1234" t="s">
        <v>424</v>
      </c>
      <c r="J1234" t="s">
        <v>1917</v>
      </c>
      <c r="K1234" t="s">
        <v>1918</v>
      </c>
      <c r="L1234" t="s">
        <v>1919</v>
      </c>
      <c r="M1234">
        <v>267</v>
      </c>
      <c r="N1234">
        <v>30</v>
      </c>
      <c r="O1234">
        <v>2929.97</v>
      </c>
      <c r="P1234">
        <v>1683.8244589999999</v>
      </c>
      <c r="Q1234">
        <v>4613.7944589999997</v>
      </c>
      <c r="R1234">
        <v>738.20711300000005</v>
      </c>
      <c r="S1234">
        <v>184.55177800000001</v>
      </c>
      <c r="T1234">
        <v>5167.4497940000001</v>
      </c>
      <c r="U1234" t="s">
        <v>1926</v>
      </c>
      <c r="V1234" t="s">
        <v>9408</v>
      </c>
      <c r="W1234" t="s">
        <v>424</v>
      </c>
    </row>
    <row r="1235" spans="1:23" hidden="1" x14ac:dyDescent="0.2">
      <c r="A1235">
        <v>2012</v>
      </c>
      <c r="B1235" t="s">
        <v>304</v>
      </c>
      <c r="C1235" s="733">
        <v>40941</v>
      </c>
      <c r="D12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35" t="s">
        <v>485</v>
      </c>
      <c r="F1235" t="s">
        <v>2065</v>
      </c>
      <c r="G1235" t="s">
        <v>3242</v>
      </c>
      <c r="H1235">
        <v>41219</v>
      </c>
      <c r="I1235" t="s">
        <v>424</v>
      </c>
      <c r="J1235" t="s">
        <v>2114</v>
      </c>
      <c r="K1235" t="s">
        <v>2102</v>
      </c>
      <c r="L1235" t="s">
        <v>2115</v>
      </c>
      <c r="M1235">
        <v>500</v>
      </c>
      <c r="N1235">
        <v>54</v>
      </c>
      <c r="O1235">
        <v>10009.44</v>
      </c>
      <c r="P1235">
        <v>0</v>
      </c>
      <c r="Q1235">
        <v>10009.44</v>
      </c>
      <c r="R1235">
        <v>1601.51</v>
      </c>
      <c r="S1235">
        <v>400.38</v>
      </c>
      <c r="T1235">
        <v>11210.57</v>
      </c>
      <c r="U1235" t="s">
        <v>8871</v>
      </c>
      <c r="V1235" t="s">
        <v>9409</v>
      </c>
      <c r="W1235" t="s">
        <v>424</v>
      </c>
    </row>
    <row r="1236" spans="1:23" hidden="1" x14ac:dyDescent="0.2">
      <c r="A1236">
        <v>2012</v>
      </c>
      <c r="B1236" t="s">
        <v>304</v>
      </c>
      <c r="C1236" s="733">
        <v>40948</v>
      </c>
      <c r="D12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36" t="s">
        <v>485</v>
      </c>
      <c r="F1236" t="s">
        <v>2065</v>
      </c>
      <c r="G1236" t="s">
        <v>3601</v>
      </c>
      <c r="H1236">
        <v>41567</v>
      </c>
      <c r="I1236" t="s">
        <v>424</v>
      </c>
      <c r="J1236" t="s">
        <v>2135</v>
      </c>
      <c r="K1236" t="s">
        <v>2102</v>
      </c>
      <c r="L1236" t="s">
        <v>2115</v>
      </c>
      <c r="M1236">
        <v>494</v>
      </c>
      <c r="N1236">
        <v>54</v>
      </c>
      <c r="O1236">
        <v>11375.64</v>
      </c>
      <c r="P1236">
        <v>0</v>
      </c>
      <c r="Q1236">
        <v>11375.64</v>
      </c>
      <c r="R1236">
        <v>1820.1</v>
      </c>
      <c r="S1236">
        <v>455.03</v>
      </c>
      <c r="T1236">
        <v>12740.71</v>
      </c>
      <c r="U1236" t="s">
        <v>7461</v>
      </c>
      <c r="V1236" t="s">
        <v>9409</v>
      </c>
      <c r="W1236" t="s">
        <v>424</v>
      </c>
    </row>
    <row r="1237" spans="1:23" hidden="1" x14ac:dyDescent="0.2">
      <c r="A1237">
        <v>2012</v>
      </c>
      <c r="B1237" t="s">
        <v>303</v>
      </c>
      <c r="C1237" s="733">
        <v>40928</v>
      </c>
      <c r="D12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37" t="s">
        <v>485</v>
      </c>
      <c r="F1237" t="s">
        <v>2065</v>
      </c>
      <c r="G1237" t="s">
        <v>3600</v>
      </c>
      <c r="H1237">
        <v>40181</v>
      </c>
      <c r="I1237" t="s">
        <v>424</v>
      </c>
      <c r="J1237" t="s">
        <v>2135</v>
      </c>
      <c r="K1237" t="s">
        <v>2102</v>
      </c>
      <c r="L1237" t="s">
        <v>2115</v>
      </c>
      <c r="M1237">
        <v>494</v>
      </c>
      <c r="N1237">
        <v>54</v>
      </c>
      <c r="O1237">
        <v>11375.64</v>
      </c>
      <c r="P1237">
        <v>0</v>
      </c>
      <c r="Q1237">
        <v>11375.64</v>
      </c>
      <c r="R1237">
        <v>1820.1</v>
      </c>
      <c r="S1237">
        <v>455.03</v>
      </c>
      <c r="T1237">
        <v>12740.71</v>
      </c>
      <c r="U1237" t="s">
        <v>2119</v>
      </c>
      <c r="V1237" t="s">
        <v>9409</v>
      </c>
      <c r="W1237" t="s">
        <v>424</v>
      </c>
    </row>
    <row r="1238" spans="1:23" hidden="1" x14ac:dyDescent="0.2">
      <c r="A1238">
        <v>2012</v>
      </c>
      <c r="B1238" t="s">
        <v>303</v>
      </c>
      <c r="C1238" s="733">
        <v>40928</v>
      </c>
      <c r="D12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38" t="s">
        <v>485</v>
      </c>
      <c r="F1238" t="s">
        <v>2065</v>
      </c>
      <c r="G1238" t="s">
        <v>3254</v>
      </c>
      <c r="H1238">
        <v>40454</v>
      </c>
      <c r="I1238" t="s">
        <v>424</v>
      </c>
      <c r="J1238" t="s">
        <v>2135</v>
      </c>
      <c r="K1238" t="s">
        <v>2102</v>
      </c>
      <c r="L1238" t="s">
        <v>2115</v>
      </c>
      <c r="M1238">
        <v>494</v>
      </c>
      <c r="N1238">
        <v>54</v>
      </c>
      <c r="O1238">
        <v>11375.64</v>
      </c>
      <c r="P1238">
        <v>0</v>
      </c>
      <c r="Q1238">
        <v>11375.64</v>
      </c>
      <c r="R1238">
        <v>1820.1</v>
      </c>
      <c r="S1238">
        <v>455.03</v>
      </c>
      <c r="T1238">
        <v>12740.71</v>
      </c>
      <c r="U1238" t="s">
        <v>2119</v>
      </c>
      <c r="V1238" t="s">
        <v>9409</v>
      </c>
      <c r="W1238" t="s">
        <v>424</v>
      </c>
    </row>
    <row r="1239" spans="1:23" hidden="1" x14ac:dyDescent="0.2">
      <c r="A1239">
        <v>2012</v>
      </c>
      <c r="B1239" t="s">
        <v>303</v>
      </c>
      <c r="C1239" s="733">
        <v>40920</v>
      </c>
      <c r="D12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39" t="s">
        <v>478</v>
      </c>
      <c r="F1239" t="s">
        <v>2136</v>
      </c>
      <c r="G1239" t="s">
        <v>4859</v>
      </c>
      <c r="H1239">
        <v>34431</v>
      </c>
      <c r="I1239" t="s">
        <v>423</v>
      </c>
      <c r="J1239" t="s">
        <v>2629</v>
      </c>
      <c r="K1239" t="s">
        <v>2625</v>
      </c>
      <c r="L1239" t="s">
        <v>2626</v>
      </c>
      <c r="M1239">
        <v>33</v>
      </c>
      <c r="N1239">
        <v>22.98</v>
      </c>
      <c r="O1239">
        <v>2680.39</v>
      </c>
      <c r="P1239">
        <v>0</v>
      </c>
      <c r="Q1239">
        <v>2680.39</v>
      </c>
      <c r="R1239">
        <v>428.86</v>
      </c>
      <c r="S1239">
        <v>107.22</v>
      </c>
      <c r="T1239">
        <v>3002.03</v>
      </c>
      <c r="U1239" t="s">
        <v>2635</v>
      </c>
      <c r="V1239" t="s">
        <v>9408</v>
      </c>
      <c r="W1239" t="s">
        <v>423</v>
      </c>
    </row>
    <row r="1240" spans="1:23" hidden="1" x14ac:dyDescent="0.2">
      <c r="A1240">
        <v>2012</v>
      </c>
      <c r="B1240" t="s">
        <v>303</v>
      </c>
      <c r="C1240" s="733">
        <v>40921</v>
      </c>
      <c r="D12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40" t="s">
        <v>485</v>
      </c>
      <c r="F1240" t="s">
        <v>2065</v>
      </c>
      <c r="G1240" t="s">
        <v>3938</v>
      </c>
      <c r="H1240">
        <v>40231</v>
      </c>
      <c r="I1240" t="s">
        <v>423</v>
      </c>
      <c r="J1240" t="s">
        <v>2186</v>
      </c>
      <c r="K1240" t="s">
        <v>2183</v>
      </c>
      <c r="L1240" t="s">
        <v>2184</v>
      </c>
      <c r="M1240">
        <v>19</v>
      </c>
      <c r="N1240">
        <v>15.71</v>
      </c>
      <c r="O1240">
        <v>1773.19</v>
      </c>
      <c r="P1240">
        <v>0</v>
      </c>
      <c r="Q1240">
        <v>1773.19</v>
      </c>
      <c r="R1240">
        <v>283.70999999999998</v>
      </c>
      <c r="S1240">
        <v>70.930000000000007</v>
      </c>
      <c r="T1240">
        <v>1985.97</v>
      </c>
      <c r="U1240" t="s">
        <v>7587</v>
      </c>
      <c r="V1240" t="s">
        <v>9408</v>
      </c>
      <c r="W1240" t="s">
        <v>423</v>
      </c>
    </row>
    <row r="1241" spans="1:23" hidden="1" x14ac:dyDescent="0.2">
      <c r="A1241">
        <v>2012</v>
      </c>
      <c r="B1241" t="s">
        <v>303</v>
      </c>
      <c r="C1241" s="733">
        <v>40925</v>
      </c>
      <c r="D12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41" t="s">
        <v>485</v>
      </c>
      <c r="F1241" t="s">
        <v>2065</v>
      </c>
      <c r="G1241" t="s">
        <v>3928</v>
      </c>
      <c r="H1241">
        <v>40346</v>
      </c>
      <c r="I1241" t="s">
        <v>423</v>
      </c>
      <c r="J1241" t="s">
        <v>2186</v>
      </c>
      <c r="K1241" t="s">
        <v>2183</v>
      </c>
      <c r="L1241" t="s">
        <v>2184</v>
      </c>
      <c r="M1241">
        <v>19</v>
      </c>
      <c r="N1241">
        <v>16.63</v>
      </c>
      <c r="O1241">
        <v>2463.5700000000002</v>
      </c>
      <c r="P1241">
        <v>0</v>
      </c>
      <c r="Q1241">
        <v>2463.5700000000002</v>
      </c>
      <c r="R1241">
        <v>394.17</v>
      </c>
      <c r="S1241">
        <v>98.54</v>
      </c>
      <c r="T1241">
        <v>2759.2</v>
      </c>
      <c r="U1241" t="s">
        <v>7554</v>
      </c>
      <c r="V1241" t="s">
        <v>9408</v>
      </c>
      <c r="W1241" t="s">
        <v>423</v>
      </c>
    </row>
    <row r="1242" spans="1:23" hidden="1" x14ac:dyDescent="0.2">
      <c r="A1242">
        <v>2012</v>
      </c>
      <c r="B1242" t="s">
        <v>304</v>
      </c>
      <c r="C1242" s="733">
        <v>40940</v>
      </c>
      <c r="D12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42" t="s">
        <v>485</v>
      </c>
      <c r="F1242" t="s">
        <v>2065</v>
      </c>
      <c r="G1242" t="s">
        <v>3929</v>
      </c>
      <c r="H1242">
        <v>40569</v>
      </c>
      <c r="I1242" t="s">
        <v>423</v>
      </c>
      <c r="J1242" t="s">
        <v>2186</v>
      </c>
      <c r="K1242" t="s">
        <v>2183</v>
      </c>
      <c r="L1242" t="s">
        <v>2184</v>
      </c>
      <c r="M1242">
        <v>19</v>
      </c>
      <c r="N1242">
        <v>15.75</v>
      </c>
      <c r="O1242">
        <v>1777.7</v>
      </c>
      <c r="P1242">
        <v>0</v>
      </c>
      <c r="Q1242">
        <v>1777.7</v>
      </c>
      <c r="R1242">
        <v>284.43</v>
      </c>
      <c r="S1242">
        <v>71.11</v>
      </c>
      <c r="T1242">
        <v>1991.02</v>
      </c>
      <c r="U1242" t="s">
        <v>2187</v>
      </c>
      <c r="V1242" t="s">
        <v>9408</v>
      </c>
      <c r="W1242" t="s">
        <v>423</v>
      </c>
    </row>
    <row r="1243" spans="1:23" hidden="1" x14ac:dyDescent="0.2">
      <c r="A1243">
        <v>2012</v>
      </c>
      <c r="B1243" t="s">
        <v>303</v>
      </c>
      <c r="C1243" s="733">
        <v>40939</v>
      </c>
      <c r="D12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43" t="s">
        <v>478</v>
      </c>
      <c r="F1243" t="s">
        <v>2622</v>
      </c>
      <c r="G1243" t="s">
        <v>4852</v>
      </c>
      <c r="H1243">
        <v>35124</v>
      </c>
      <c r="I1243" t="s">
        <v>423</v>
      </c>
      <c r="J1243" t="s">
        <v>2629</v>
      </c>
      <c r="K1243" t="s">
        <v>2625</v>
      </c>
      <c r="L1243" t="s">
        <v>2626</v>
      </c>
      <c r="M1243">
        <v>33</v>
      </c>
      <c r="N1243">
        <v>23.78</v>
      </c>
      <c r="O1243">
        <v>2773.7</v>
      </c>
      <c r="P1243">
        <v>0</v>
      </c>
      <c r="Q1243">
        <v>2773.7</v>
      </c>
      <c r="R1243">
        <v>443.79</v>
      </c>
      <c r="S1243">
        <v>110.95</v>
      </c>
      <c r="T1243">
        <v>3106.54</v>
      </c>
      <c r="U1243" t="s">
        <v>2648</v>
      </c>
      <c r="V1243" t="s">
        <v>9408</v>
      </c>
      <c r="W1243" t="s">
        <v>423</v>
      </c>
    </row>
    <row r="1244" spans="1:23" hidden="1" x14ac:dyDescent="0.2">
      <c r="A1244">
        <v>2012</v>
      </c>
      <c r="B1244" t="s">
        <v>304</v>
      </c>
      <c r="C1244" s="733">
        <v>40954</v>
      </c>
      <c r="D12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44" t="s">
        <v>478</v>
      </c>
      <c r="F1244" t="s">
        <v>2622</v>
      </c>
      <c r="G1244" t="s">
        <v>7987</v>
      </c>
      <c r="H1244">
        <v>35634</v>
      </c>
      <c r="I1244" t="s">
        <v>423</v>
      </c>
      <c r="J1244" t="s">
        <v>2629</v>
      </c>
      <c r="K1244" t="s">
        <v>2625</v>
      </c>
      <c r="L1244" t="s">
        <v>2626</v>
      </c>
      <c r="M1244">
        <v>33</v>
      </c>
      <c r="N1244">
        <v>23.88</v>
      </c>
      <c r="O1244">
        <v>2785.36</v>
      </c>
      <c r="P1244">
        <v>0</v>
      </c>
      <c r="Q1244">
        <v>2785.36</v>
      </c>
      <c r="R1244">
        <v>445.66</v>
      </c>
      <c r="S1244">
        <v>111.41</v>
      </c>
      <c r="T1244">
        <v>3119.61</v>
      </c>
      <c r="U1244" t="s">
        <v>7548</v>
      </c>
      <c r="V1244" t="s">
        <v>9408</v>
      </c>
      <c r="W1244" t="s">
        <v>423</v>
      </c>
    </row>
    <row r="1245" spans="1:23" hidden="1" x14ac:dyDescent="0.2">
      <c r="A1245">
        <v>2012</v>
      </c>
      <c r="B1245" t="s">
        <v>304</v>
      </c>
      <c r="C1245" s="733">
        <v>40967.417523148149</v>
      </c>
      <c r="D12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45" t="s">
        <v>478</v>
      </c>
      <c r="F1245" t="s">
        <v>2136</v>
      </c>
      <c r="G1245" t="s">
        <v>9038</v>
      </c>
      <c r="H1245">
        <v>36135</v>
      </c>
      <c r="I1245" t="s">
        <v>423</v>
      </c>
      <c r="J1245" t="s">
        <v>2629</v>
      </c>
      <c r="K1245" t="s">
        <v>2625</v>
      </c>
      <c r="L1245" t="s">
        <v>2626</v>
      </c>
      <c r="M1245">
        <v>33</v>
      </c>
      <c r="N1245">
        <v>24.82</v>
      </c>
      <c r="O1245">
        <v>2895</v>
      </c>
      <c r="P1245">
        <v>0</v>
      </c>
      <c r="Q1245">
        <v>2895</v>
      </c>
      <c r="R1245">
        <v>463.2</v>
      </c>
      <c r="S1245">
        <v>115.8</v>
      </c>
      <c r="T1245">
        <v>3242.4</v>
      </c>
      <c r="U1245" t="s">
        <v>9428</v>
      </c>
      <c r="V1245" t="s">
        <v>9408</v>
      </c>
      <c r="W1245" t="s">
        <v>423</v>
      </c>
    </row>
    <row r="1246" spans="1:23" hidden="1" x14ac:dyDescent="0.2">
      <c r="A1246">
        <v>2012</v>
      </c>
      <c r="B1246" t="s">
        <v>303</v>
      </c>
      <c r="C1246" s="733">
        <v>40929.887442129628</v>
      </c>
      <c r="D12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46" t="s">
        <v>478</v>
      </c>
      <c r="F1246" t="s">
        <v>2622</v>
      </c>
      <c r="G1246" t="s">
        <v>4861</v>
      </c>
      <c r="H1246">
        <v>34820</v>
      </c>
      <c r="I1246" t="s">
        <v>423</v>
      </c>
      <c r="J1246" t="s">
        <v>2629</v>
      </c>
      <c r="K1246" t="s">
        <v>2625</v>
      </c>
      <c r="L1246" t="s">
        <v>2626</v>
      </c>
      <c r="M1246">
        <v>33</v>
      </c>
      <c r="N1246">
        <v>23.32</v>
      </c>
      <c r="O1246">
        <v>2720.04</v>
      </c>
      <c r="P1246">
        <v>0</v>
      </c>
      <c r="Q1246">
        <v>2720.04</v>
      </c>
      <c r="R1246">
        <v>435.21</v>
      </c>
      <c r="S1246">
        <v>108.8</v>
      </c>
      <c r="T1246">
        <v>3046.45</v>
      </c>
      <c r="U1246" t="s">
        <v>2633</v>
      </c>
      <c r="V1246" t="s">
        <v>9408</v>
      </c>
      <c r="W1246" t="s">
        <v>423</v>
      </c>
    </row>
    <row r="1247" spans="1:23" hidden="1" x14ac:dyDescent="0.2">
      <c r="A1247">
        <v>2012</v>
      </c>
      <c r="B1247" t="s">
        <v>303</v>
      </c>
      <c r="C1247" s="733">
        <v>40918</v>
      </c>
      <c r="D12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47" t="s">
        <v>478</v>
      </c>
      <c r="F1247" t="s">
        <v>2622</v>
      </c>
      <c r="G1247" t="s">
        <v>4730</v>
      </c>
      <c r="H1247">
        <v>34357</v>
      </c>
      <c r="I1247" t="s">
        <v>423</v>
      </c>
      <c r="J1247" t="s">
        <v>2629</v>
      </c>
      <c r="K1247" t="s">
        <v>2625</v>
      </c>
      <c r="L1247" t="s">
        <v>2626</v>
      </c>
      <c r="M1247">
        <v>33</v>
      </c>
      <c r="N1247">
        <v>25.89</v>
      </c>
      <c r="O1247">
        <v>3019.81</v>
      </c>
      <c r="P1247">
        <v>0</v>
      </c>
      <c r="Q1247">
        <v>3019.81</v>
      </c>
      <c r="R1247">
        <v>483.17</v>
      </c>
      <c r="S1247">
        <v>120.79</v>
      </c>
      <c r="T1247">
        <v>3382.19</v>
      </c>
      <c r="U1247" t="s">
        <v>2627</v>
      </c>
      <c r="V1247" t="s">
        <v>9408</v>
      </c>
      <c r="W1247" t="s">
        <v>423</v>
      </c>
    </row>
    <row r="1248" spans="1:23" hidden="1" x14ac:dyDescent="0.2">
      <c r="A1248">
        <v>2012</v>
      </c>
      <c r="B1248" t="s">
        <v>305</v>
      </c>
      <c r="C1248" s="733">
        <v>40969.69630787037</v>
      </c>
      <c r="D1248" s="733" t="str">
        <f>CHOOSE(MONTH(Tabla_sqldatos_bonampakdb_Bon_v_ingresos2012[[#This Row],[fecha_guia]]),"Enero","Febrero","Marzo","Abril","Mayo","Junio","Julio","Agosto","Septiembre","Octubre","Noviembre","Diciembre")</f>
        <v>Marzo</v>
      </c>
      <c r="E1248" t="s">
        <v>478</v>
      </c>
      <c r="F1248" t="s">
        <v>2622</v>
      </c>
      <c r="G1248" t="s">
        <v>9615</v>
      </c>
      <c r="H1248">
        <v>36224</v>
      </c>
      <c r="I1248" t="s">
        <v>423</v>
      </c>
      <c r="J1248" t="s">
        <v>2629</v>
      </c>
      <c r="K1248" t="s">
        <v>2625</v>
      </c>
      <c r="L1248" t="s">
        <v>2626</v>
      </c>
      <c r="M1248">
        <v>33</v>
      </c>
      <c r="N1248">
        <v>23.07</v>
      </c>
      <c r="O1248">
        <v>2690.88</v>
      </c>
      <c r="P1248">
        <v>0</v>
      </c>
      <c r="Q1248">
        <v>2690.88</v>
      </c>
      <c r="R1248">
        <v>430.54</v>
      </c>
      <c r="S1248">
        <v>107.64</v>
      </c>
      <c r="T1248">
        <v>3013.78</v>
      </c>
      <c r="V1248" t="s">
        <v>9408</v>
      </c>
      <c r="W1248" t="s">
        <v>423</v>
      </c>
    </row>
    <row r="1249" spans="1:23" hidden="1" x14ac:dyDescent="0.2">
      <c r="A1249">
        <v>2012</v>
      </c>
      <c r="B1249" t="s">
        <v>303</v>
      </c>
      <c r="C1249" s="733">
        <v>40918</v>
      </c>
      <c r="D12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49" t="s">
        <v>478</v>
      </c>
      <c r="F1249" t="s">
        <v>2622</v>
      </c>
      <c r="G1249" t="s">
        <v>4851</v>
      </c>
      <c r="H1249">
        <v>34363</v>
      </c>
      <c r="I1249" t="s">
        <v>423</v>
      </c>
      <c r="J1249" t="s">
        <v>2629</v>
      </c>
      <c r="K1249" t="s">
        <v>2625</v>
      </c>
      <c r="L1249" t="s">
        <v>2626</v>
      </c>
      <c r="M1249">
        <v>33</v>
      </c>
      <c r="N1249">
        <v>26.15</v>
      </c>
      <c r="O1249">
        <v>3078.64</v>
      </c>
      <c r="P1249">
        <v>0</v>
      </c>
      <c r="Q1249">
        <v>3078.64</v>
      </c>
      <c r="R1249">
        <v>492.58</v>
      </c>
      <c r="S1249">
        <v>123.15</v>
      </c>
      <c r="T1249">
        <v>3448.07</v>
      </c>
      <c r="U1249" t="s">
        <v>2627</v>
      </c>
      <c r="V1249" t="s">
        <v>9408</v>
      </c>
      <c r="W1249" t="s">
        <v>423</v>
      </c>
    </row>
    <row r="1250" spans="1:23" hidden="1" x14ac:dyDescent="0.2">
      <c r="A1250">
        <v>2012</v>
      </c>
      <c r="B1250" t="s">
        <v>304</v>
      </c>
      <c r="C1250" s="733">
        <v>40961</v>
      </c>
      <c r="D12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50" t="s">
        <v>485</v>
      </c>
      <c r="F1250" t="s">
        <v>2099</v>
      </c>
      <c r="G1250" t="s">
        <v>8273</v>
      </c>
      <c r="H1250">
        <v>42405</v>
      </c>
      <c r="I1250" t="s">
        <v>423</v>
      </c>
      <c r="J1250" t="s">
        <v>2141</v>
      </c>
      <c r="K1250" t="s">
        <v>2102</v>
      </c>
      <c r="L1250" t="s">
        <v>2103</v>
      </c>
      <c r="M1250">
        <v>114</v>
      </c>
      <c r="N1250">
        <v>25.61</v>
      </c>
      <c r="O1250">
        <v>4115.01</v>
      </c>
      <c r="P1250">
        <v>0</v>
      </c>
      <c r="Q1250">
        <v>4115.01</v>
      </c>
      <c r="R1250">
        <v>658.4</v>
      </c>
      <c r="S1250">
        <v>164.6</v>
      </c>
      <c r="T1250">
        <v>4608.8100000000004</v>
      </c>
      <c r="U1250" t="s">
        <v>8883</v>
      </c>
      <c r="V1250" t="s">
        <v>9408</v>
      </c>
      <c r="W1250" t="s">
        <v>423</v>
      </c>
    </row>
    <row r="1251" spans="1:23" hidden="1" x14ac:dyDescent="0.2">
      <c r="A1251">
        <v>2012</v>
      </c>
      <c r="B1251" t="s">
        <v>303</v>
      </c>
      <c r="C1251" s="733">
        <v>40935</v>
      </c>
      <c r="D12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51" t="s">
        <v>485</v>
      </c>
      <c r="F1251" t="s">
        <v>2099</v>
      </c>
      <c r="G1251" t="s">
        <v>3258</v>
      </c>
      <c r="H1251">
        <v>41013</v>
      </c>
      <c r="I1251" t="s">
        <v>423</v>
      </c>
      <c r="J1251" t="s">
        <v>2141</v>
      </c>
      <c r="K1251" t="s">
        <v>2102</v>
      </c>
      <c r="L1251" t="s">
        <v>2103</v>
      </c>
      <c r="M1251">
        <v>114</v>
      </c>
      <c r="N1251">
        <v>23.12</v>
      </c>
      <c r="O1251">
        <v>3714.92</v>
      </c>
      <c r="P1251">
        <v>0</v>
      </c>
      <c r="Q1251">
        <v>3714.92</v>
      </c>
      <c r="R1251">
        <v>594.39</v>
      </c>
      <c r="S1251">
        <v>148.6</v>
      </c>
      <c r="T1251">
        <v>4160.71</v>
      </c>
      <c r="U1251" t="s">
        <v>2108</v>
      </c>
      <c r="V1251" t="s">
        <v>9408</v>
      </c>
      <c r="W1251" t="s">
        <v>423</v>
      </c>
    </row>
    <row r="1252" spans="1:23" hidden="1" x14ac:dyDescent="0.2">
      <c r="A1252">
        <v>2012</v>
      </c>
      <c r="B1252" t="s">
        <v>303</v>
      </c>
      <c r="C1252" s="733">
        <v>40925</v>
      </c>
      <c r="D12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52" t="s">
        <v>478</v>
      </c>
      <c r="F1252" t="s">
        <v>2136</v>
      </c>
      <c r="G1252" t="s">
        <v>5425</v>
      </c>
      <c r="H1252">
        <v>34487</v>
      </c>
      <c r="I1252" t="s">
        <v>423</v>
      </c>
      <c r="J1252" t="s">
        <v>4791</v>
      </c>
      <c r="K1252" t="s">
        <v>425</v>
      </c>
      <c r="L1252" t="s">
        <v>2145</v>
      </c>
      <c r="M1252">
        <v>139</v>
      </c>
      <c r="N1252">
        <v>23.54</v>
      </c>
      <c r="O1252">
        <v>3931.65</v>
      </c>
      <c r="P1252">
        <v>0</v>
      </c>
      <c r="Q1252">
        <v>3931.65</v>
      </c>
      <c r="R1252">
        <v>629.05999999999995</v>
      </c>
      <c r="S1252">
        <v>157.27000000000001</v>
      </c>
      <c r="T1252">
        <v>4403.4399999999996</v>
      </c>
      <c r="U1252" t="s">
        <v>2146</v>
      </c>
      <c r="V1252" t="s">
        <v>9409</v>
      </c>
      <c r="W1252" t="s">
        <v>423</v>
      </c>
    </row>
    <row r="1253" spans="1:23" hidden="1" x14ac:dyDescent="0.2">
      <c r="A1253">
        <v>2012</v>
      </c>
      <c r="B1253" t="s">
        <v>304</v>
      </c>
      <c r="C1253" s="733">
        <v>40946</v>
      </c>
      <c r="D12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53" t="s">
        <v>478</v>
      </c>
      <c r="F1253" t="s">
        <v>2136</v>
      </c>
      <c r="G1253" t="s">
        <v>5193</v>
      </c>
      <c r="H1253">
        <v>35282</v>
      </c>
      <c r="I1253" t="s">
        <v>423</v>
      </c>
      <c r="J1253" t="s">
        <v>2144</v>
      </c>
      <c r="K1253" t="s">
        <v>425</v>
      </c>
      <c r="L1253" t="s">
        <v>2145</v>
      </c>
      <c r="M1253">
        <v>1354</v>
      </c>
      <c r="N1253">
        <v>48.03</v>
      </c>
      <c r="O1253">
        <v>43553.120000000003</v>
      </c>
      <c r="P1253">
        <v>0</v>
      </c>
      <c r="Q1253">
        <v>43553.120000000003</v>
      </c>
      <c r="R1253">
        <v>6968.5</v>
      </c>
      <c r="S1253">
        <v>1742.12</v>
      </c>
      <c r="T1253">
        <v>48779.5</v>
      </c>
      <c r="U1253" t="s">
        <v>3115</v>
      </c>
      <c r="V1253" t="s">
        <v>9409</v>
      </c>
      <c r="W1253" t="s">
        <v>423</v>
      </c>
    </row>
    <row r="1254" spans="1:23" hidden="1" x14ac:dyDescent="0.2">
      <c r="A1254">
        <v>2012</v>
      </c>
      <c r="B1254" t="s">
        <v>303</v>
      </c>
      <c r="C1254" s="733">
        <v>40927.600104166668</v>
      </c>
      <c r="D12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54" t="s">
        <v>478</v>
      </c>
      <c r="F1254" t="s">
        <v>2622</v>
      </c>
      <c r="G1254" t="s">
        <v>4729</v>
      </c>
      <c r="H1254">
        <v>34722</v>
      </c>
      <c r="I1254" t="s">
        <v>423</v>
      </c>
      <c r="J1254" t="s">
        <v>2629</v>
      </c>
      <c r="K1254" t="s">
        <v>2625</v>
      </c>
      <c r="L1254" t="s">
        <v>2626</v>
      </c>
      <c r="M1254">
        <v>33</v>
      </c>
      <c r="N1254">
        <v>25.56</v>
      </c>
      <c r="O1254">
        <v>2981.32</v>
      </c>
      <c r="P1254">
        <v>0</v>
      </c>
      <c r="Q1254">
        <v>2981.32</v>
      </c>
      <c r="R1254">
        <v>477.01</v>
      </c>
      <c r="S1254">
        <v>119.25</v>
      </c>
      <c r="T1254">
        <v>3339.08</v>
      </c>
      <c r="U1254" t="s">
        <v>2627</v>
      </c>
      <c r="V1254" t="s">
        <v>9408</v>
      </c>
      <c r="W1254" t="s">
        <v>423</v>
      </c>
    </row>
    <row r="1255" spans="1:23" hidden="1" x14ac:dyDescent="0.2">
      <c r="A1255">
        <v>2012</v>
      </c>
      <c r="B1255" t="s">
        <v>304</v>
      </c>
      <c r="C1255" s="733">
        <v>40960</v>
      </c>
      <c r="D12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55" t="s">
        <v>478</v>
      </c>
      <c r="F1255" t="s">
        <v>2136</v>
      </c>
      <c r="G1255" t="s">
        <v>8271</v>
      </c>
      <c r="H1255">
        <v>35876</v>
      </c>
      <c r="I1255" t="s">
        <v>423</v>
      </c>
      <c r="J1255" t="s">
        <v>2629</v>
      </c>
      <c r="K1255" t="s">
        <v>2625</v>
      </c>
      <c r="L1255" t="s">
        <v>2626</v>
      </c>
      <c r="M1255">
        <v>33</v>
      </c>
      <c r="N1255">
        <v>23.92</v>
      </c>
      <c r="O1255">
        <v>2790.03</v>
      </c>
      <c r="P1255">
        <v>0</v>
      </c>
      <c r="Q1255">
        <v>2790.03</v>
      </c>
      <c r="R1255">
        <v>446.4</v>
      </c>
      <c r="S1255">
        <v>111.6</v>
      </c>
      <c r="T1255">
        <v>3124.83</v>
      </c>
      <c r="U1255" t="s">
        <v>8267</v>
      </c>
      <c r="V1255" t="s">
        <v>9408</v>
      </c>
      <c r="W1255" t="s">
        <v>423</v>
      </c>
    </row>
    <row r="1256" spans="1:23" hidden="1" x14ac:dyDescent="0.2">
      <c r="A1256">
        <v>2012</v>
      </c>
      <c r="B1256" t="s">
        <v>304</v>
      </c>
      <c r="C1256" s="733">
        <v>40956.457141203704</v>
      </c>
      <c r="D12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56" t="s">
        <v>485</v>
      </c>
      <c r="F1256" t="s">
        <v>2065</v>
      </c>
      <c r="G1256" t="s">
        <v>7988</v>
      </c>
      <c r="H1256">
        <v>42118</v>
      </c>
      <c r="I1256" t="s">
        <v>423</v>
      </c>
      <c r="J1256" t="s">
        <v>2186</v>
      </c>
      <c r="K1256" t="s">
        <v>2183</v>
      </c>
      <c r="L1256" t="s">
        <v>2184</v>
      </c>
      <c r="M1256">
        <v>19</v>
      </c>
      <c r="N1256">
        <v>15.99</v>
      </c>
      <c r="O1256">
        <v>1804.79</v>
      </c>
      <c r="P1256">
        <v>0</v>
      </c>
      <c r="Q1256">
        <v>1804.79</v>
      </c>
      <c r="R1256">
        <v>288.77</v>
      </c>
      <c r="S1256">
        <v>72.19</v>
      </c>
      <c r="T1256">
        <v>2021.37</v>
      </c>
      <c r="U1256" t="s">
        <v>8048</v>
      </c>
      <c r="V1256" t="s">
        <v>9408</v>
      </c>
      <c r="W1256" t="s">
        <v>423</v>
      </c>
    </row>
    <row r="1257" spans="1:23" hidden="1" x14ac:dyDescent="0.2">
      <c r="A1257">
        <v>2012</v>
      </c>
      <c r="B1257" t="s">
        <v>303</v>
      </c>
      <c r="C1257" s="733">
        <v>40932</v>
      </c>
      <c r="D12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57" t="s">
        <v>485</v>
      </c>
      <c r="F1257" t="s">
        <v>2065</v>
      </c>
      <c r="G1257" t="s">
        <v>4356</v>
      </c>
      <c r="H1257">
        <v>40781</v>
      </c>
      <c r="I1257" t="s">
        <v>423</v>
      </c>
      <c r="J1257" t="s">
        <v>2186</v>
      </c>
      <c r="K1257" t="s">
        <v>2183</v>
      </c>
      <c r="L1257" t="s">
        <v>2184</v>
      </c>
      <c r="M1257">
        <v>19</v>
      </c>
      <c r="N1257">
        <v>15.4</v>
      </c>
      <c r="O1257">
        <v>1738.2</v>
      </c>
      <c r="P1257">
        <v>0</v>
      </c>
      <c r="Q1257">
        <v>1738.2</v>
      </c>
      <c r="R1257">
        <v>278.11</v>
      </c>
      <c r="S1257">
        <v>69.53</v>
      </c>
      <c r="T1257">
        <v>1946.78</v>
      </c>
      <c r="U1257" t="s">
        <v>2187</v>
      </c>
      <c r="V1257" t="s">
        <v>9408</v>
      </c>
      <c r="W1257" t="s">
        <v>423</v>
      </c>
    </row>
    <row r="1258" spans="1:23" hidden="1" x14ac:dyDescent="0.2">
      <c r="A1258">
        <v>2012</v>
      </c>
      <c r="B1258" t="s">
        <v>304</v>
      </c>
      <c r="C1258" s="733">
        <v>40966</v>
      </c>
      <c r="D12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58" t="s">
        <v>478</v>
      </c>
      <c r="F1258" t="s">
        <v>2136</v>
      </c>
      <c r="G1258" t="s">
        <v>9039</v>
      </c>
      <c r="H1258">
        <v>36011</v>
      </c>
      <c r="I1258" t="s">
        <v>423</v>
      </c>
      <c r="J1258" t="s">
        <v>2629</v>
      </c>
      <c r="K1258" t="s">
        <v>2625</v>
      </c>
      <c r="L1258" t="s">
        <v>2626</v>
      </c>
      <c r="M1258">
        <v>33</v>
      </c>
      <c r="N1258">
        <v>26.43</v>
      </c>
      <c r="O1258">
        <v>3082.8</v>
      </c>
      <c r="P1258">
        <v>0</v>
      </c>
      <c r="Q1258">
        <v>3082.8</v>
      </c>
      <c r="R1258">
        <v>493.25</v>
      </c>
      <c r="S1258">
        <v>123.31</v>
      </c>
      <c r="T1258">
        <v>3452.74</v>
      </c>
      <c r="U1258" t="s">
        <v>9428</v>
      </c>
      <c r="V1258" t="s">
        <v>9408</v>
      </c>
      <c r="W1258" t="s">
        <v>423</v>
      </c>
    </row>
    <row r="1259" spans="1:23" hidden="1" x14ac:dyDescent="0.2">
      <c r="A1259">
        <v>2012</v>
      </c>
      <c r="B1259" t="s">
        <v>304</v>
      </c>
      <c r="C1259" s="733">
        <v>40940</v>
      </c>
      <c r="D12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59" t="s">
        <v>485</v>
      </c>
      <c r="F1259" t="s">
        <v>2065</v>
      </c>
      <c r="G1259" t="s">
        <v>3937</v>
      </c>
      <c r="H1259">
        <v>39945</v>
      </c>
      <c r="I1259" t="s">
        <v>423</v>
      </c>
      <c r="J1259" t="s">
        <v>2189</v>
      </c>
      <c r="K1259" t="s">
        <v>2183</v>
      </c>
      <c r="L1259" t="s">
        <v>2184</v>
      </c>
      <c r="M1259">
        <v>720</v>
      </c>
      <c r="N1259">
        <v>25.27</v>
      </c>
      <c r="O1259">
        <v>11217.1</v>
      </c>
      <c r="P1259">
        <v>0</v>
      </c>
      <c r="Q1259">
        <v>11217.1</v>
      </c>
      <c r="R1259">
        <v>1794.74</v>
      </c>
      <c r="S1259">
        <v>448.68</v>
      </c>
      <c r="T1259">
        <v>12563.16</v>
      </c>
      <c r="U1259" t="s">
        <v>2187</v>
      </c>
      <c r="V1259" t="s">
        <v>9408</v>
      </c>
      <c r="W1259" t="s">
        <v>423</v>
      </c>
    </row>
    <row r="1260" spans="1:23" hidden="1" x14ac:dyDescent="0.2">
      <c r="A1260">
        <v>2012</v>
      </c>
      <c r="B1260" t="s">
        <v>305</v>
      </c>
      <c r="C1260" s="733">
        <v>40969</v>
      </c>
      <c r="D1260" s="733" t="str">
        <f>CHOOSE(MONTH(Tabla_sqldatos_bonampakdb_Bon_v_ingresos2012[[#This Row],[fecha_guia]]),"Enero","Febrero","Marzo","Abril","Mayo","Junio","Julio","Agosto","Septiembre","Octubre","Noviembre","Diciembre")</f>
        <v>Marzo</v>
      </c>
      <c r="E1260" t="s">
        <v>485</v>
      </c>
      <c r="F1260" t="s">
        <v>2065</v>
      </c>
      <c r="G1260" t="s">
        <v>9620</v>
      </c>
      <c r="H1260">
        <v>42807</v>
      </c>
      <c r="I1260" t="s">
        <v>423</v>
      </c>
      <c r="J1260" t="s">
        <v>2189</v>
      </c>
      <c r="K1260" t="s">
        <v>2183</v>
      </c>
      <c r="L1260" t="s">
        <v>2184</v>
      </c>
      <c r="M1260">
        <v>720</v>
      </c>
      <c r="N1260">
        <v>23.56</v>
      </c>
      <c r="O1260">
        <v>10458.049999999999</v>
      </c>
      <c r="P1260">
        <v>0</v>
      </c>
      <c r="Q1260">
        <v>10458.049999999999</v>
      </c>
      <c r="R1260">
        <v>1673.29</v>
      </c>
      <c r="S1260">
        <v>418.32</v>
      </c>
      <c r="T1260">
        <v>11713.02</v>
      </c>
      <c r="V1260" t="s">
        <v>9408</v>
      </c>
      <c r="W1260" t="s">
        <v>423</v>
      </c>
    </row>
    <row r="1261" spans="1:23" hidden="1" x14ac:dyDescent="0.2">
      <c r="A1261">
        <v>2012</v>
      </c>
      <c r="B1261" t="s">
        <v>304</v>
      </c>
      <c r="C1261" s="733">
        <v>40959</v>
      </c>
      <c r="D12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61" t="s">
        <v>485</v>
      </c>
      <c r="F1261" t="s">
        <v>2065</v>
      </c>
      <c r="G1261" t="s">
        <v>7576</v>
      </c>
      <c r="H1261">
        <v>42186</v>
      </c>
      <c r="I1261" t="s">
        <v>423</v>
      </c>
      <c r="J1261" t="s">
        <v>2189</v>
      </c>
      <c r="K1261" t="s">
        <v>2183</v>
      </c>
      <c r="L1261" t="s">
        <v>2184</v>
      </c>
      <c r="M1261">
        <v>720</v>
      </c>
      <c r="N1261">
        <v>23.94</v>
      </c>
      <c r="O1261">
        <v>10626.73</v>
      </c>
      <c r="P1261">
        <v>0</v>
      </c>
      <c r="Q1261">
        <v>10626.73</v>
      </c>
      <c r="R1261">
        <v>1700.28</v>
      </c>
      <c r="S1261">
        <v>425.07</v>
      </c>
      <c r="T1261">
        <v>11901.94</v>
      </c>
      <c r="U1261" t="s">
        <v>9411</v>
      </c>
      <c r="V1261" t="s">
        <v>9408</v>
      </c>
      <c r="W1261" t="s">
        <v>423</v>
      </c>
    </row>
    <row r="1262" spans="1:23" hidden="1" x14ac:dyDescent="0.2">
      <c r="A1262">
        <v>2012</v>
      </c>
      <c r="B1262" t="s">
        <v>304</v>
      </c>
      <c r="C1262" s="733">
        <v>40940</v>
      </c>
      <c r="D12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62" t="s">
        <v>485</v>
      </c>
      <c r="F1262" t="s">
        <v>2065</v>
      </c>
      <c r="G1262" t="s">
        <v>4326</v>
      </c>
      <c r="H1262">
        <v>39986</v>
      </c>
      <c r="I1262" t="s">
        <v>423</v>
      </c>
      <c r="J1262" t="s">
        <v>3204</v>
      </c>
      <c r="K1262" t="s">
        <v>2183</v>
      </c>
      <c r="L1262" t="s">
        <v>2184</v>
      </c>
      <c r="M1262">
        <v>80</v>
      </c>
      <c r="N1262">
        <v>16.14</v>
      </c>
      <c r="O1262">
        <v>1821.72</v>
      </c>
      <c r="P1262">
        <v>0</v>
      </c>
      <c r="Q1262">
        <v>1821.72</v>
      </c>
      <c r="R1262">
        <v>291.48</v>
      </c>
      <c r="S1262">
        <v>72.87</v>
      </c>
      <c r="T1262">
        <v>2040.33</v>
      </c>
      <c r="U1262" t="s">
        <v>2187</v>
      </c>
      <c r="V1262" t="s">
        <v>9408</v>
      </c>
      <c r="W1262" t="s">
        <v>423</v>
      </c>
    </row>
    <row r="1263" spans="1:23" hidden="1" x14ac:dyDescent="0.2">
      <c r="A1263">
        <v>2012</v>
      </c>
      <c r="B1263" t="s">
        <v>303</v>
      </c>
      <c r="C1263" s="733">
        <v>40933.437152777777</v>
      </c>
      <c r="D12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63" t="s">
        <v>485</v>
      </c>
      <c r="F1263" t="s">
        <v>2065</v>
      </c>
      <c r="G1263" t="s">
        <v>4060</v>
      </c>
      <c r="H1263">
        <v>40830</v>
      </c>
      <c r="I1263" t="s">
        <v>423</v>
      </c>
      <c r="J1263" t="s">
        <v>2182</v>
      </c>
      <c r="K1263" t="s">
        <v>2183</v>
      </c>
      <c r="L1263" t="s">
        <v>2184</v>
      </c>
      <c r="M1263">
        <v>62</v>
      </c>
      <c r="N1263">
        <v>15.7</v>
      </c>
      <c r="O1263">
        <v>2325.8000000000002</v>
      </c>
      <c r="P1263">
        <v>0</v>
      </c>
      <c r="Q1263">
        <v>2325.8000000000002</v>
      </c>
      <c r="R1263">
        <v>372.13</v>
      </c>
      <c r="S1263">
        <v>93.03</v>
      </c>
      <c r="T1263">
        <v>2604.9</v>
      </c>
      <c r="U1263" t="s">
        <v>2187</v>
      </c>
      <c r="V1263" t="s">
        <v>9408</v>
      </c>
      <c r="W1263" t="s">
        <v>423</v>
      </c>
    </row>
    <row r="1264" spans="1:23" hidden="1" x14ac:dyDescent="0.2">
      <c r="A1264">
        <v>2012</v>
      </c>
      <c r="B1264" t="s">
        <v>304</v>
      </c>
      <c r="C1264" s="733">
        <v>40963</v>
      </c>
      <c r="D12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64" t="s">
        <v>485</v>
      </c>
      <c r="F1264" t="s">
        <v>2065</v>
      </c>
      <c r="G1264" t="s">
        <v>8545</v>
      </c>
      <c r="H1264">
        <v>42537</v>
      </c>
      <c r="I1264" t="s">
        <v>423</v>
      </c>
      <c r="J1264" t="s">
        <v>2182</v>
      </c>
      <c r="K1264" t="s">
        <v>2183</v>
      </c>
      <c r="L1264" t="s">
        <v>2184</v>
      </c>
      <c r="M1264">
        <v>62</v>
      </c>
      <c r="N1264">
        <v>16.190000000000001</v>
      </c>
      <c r="O1264">
        <v>2398.39</v>
      </c>
      <c r="P1264">
        <v>0</v>
      </c>
      <c r="Q1264">
        <v>2398.39</v>
      </c>
      <c r="R1264">
        <v>383.74</v>
      </c>
      <c r="S1264">
        <v>95.94</v>
      </c>
      <c r="T1264">
        <v>2686.19</v>
      </c>
      <c r="U1264" t="s">
        <v>9411</v>
      </c>
      <c r="V1264" t="s">
        <v>9408</v>
      </c>
      <c r="W1264" t="s">
        <v>423</v>
      </c>
    </row>
    <row r="1265" spans="1:23" hidden="1" x14ac:dyDescent="0.2">
      <c r="A1265">
        <v>2012</v>
      </c>
      <c r="B1265" t="s">
        <v>303</v>
      </c>
      <c r="C1265" s="733">
        <v>40912</v>
      </c>
      <c r="D12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65" t="s">
        <v>478</v>
      </c>
      <c r="F1265" t="s">
        <v>2136</v>
      </c>
      <c r="G1265" t="s">
        <v>2895</v>
      </c>
      <c r="H1265">
        <v>34220</v>
      </c>
      <c r="I1265" t="s">
        <v>423</v>
      </c>
      <c r="J1265" t="s">
        <v>2629</v>
      </c>
      <c r="K1265" t="s">
        <v>2625</v>
      </c>
      <c r="L1265" t="s">
        <v>2626</v>
      </c>
      <c r="M1265">
        <v>33</v>
      </c>
      <c r="N1265">
        <v>24.08</v>
      </c>
      <c r="O1265">
        <v>1346.55</v>
      </c>
      <c r="P1265">
        <v>1167.391523</v>
      </c>
      <c r="Q1265">
        <v>2513.941523</v>
      </c>
      <c r="R1265">
        <v>402.23064399999998</v>
      </c>
      <c r="S1265">
        <v>100.557661</v>
      </c>
      <c r="T1265">
        <v>2815.6145059999999</v>
      </c>
      <c r="U1265" t="s">
        <v>2627</v>
      </c>
      <c r="V1265" t="s">
        <v>9408</v>
      </c>
      <c r="W1265" t="s">
        <v>423</v>
      </c>
    </row>
    <row r="1266" spans="1:23" hidden="1" x14ac:dyDescent="0.2">
      <c r="A1266">
        <v>2012</v>
      </c>
      <c r="B1266" t="s">
        <v>304</v>
      </c>
      <c r="C1266" s="733">
        <v>40954</v>
      </c>
      <c r="D12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66" t="s">
        <v>478</v>
      </c>
      <c r="F1266" t="s">
        <v>2136</v>
      </c>
      <c r="G1266" t="s">
        <v>7671</v>
      </c>
      <c r="H1266">
        <v>35611</v>
      </c>
      <c r="I1266" t="s">
        <v>423</v>
      </c>
      <c r="J1266" t="s">
        <v>2629</v>
      </c>
      <c r="K1266" t="s">
        <v>2625</v>
      </c>
      <c r="L1266" t="s">
        <v>2626</v>
      </c>
      <c r="M1266">
        <v>33</v>
      </c>
      <c r="N1266">
        <v>23.82</v>
      </c>
      <c r="O1266">
        <v>2778.36</v>
      </c>
      <c r="P1266">
        <v>0</v>
      </c>
      <c r="Q1266">
        <v>2778.36</v>
      </c>
      <c r="R1266">
        <v>444.54</v>
      </c>
      <c r="S1266">
        <v>111.13</v>
      </c>
      <c r="T1266">
        <v>3111.77</v>
      </c>
      <c r="U1266" t="s">
        <v>7548</v>
      </c>
      <c r="V1266" t="s">
        <v>9408</v>
      </c>
      <c r="W1266" t="s">
        <v>423</v>
      </c>
    </row>
    <row r="1267" spans="1:23" hidden="1" x14ac:dyDescent="0.2">
      <c r="A1267">
        <v>2012</v>
      </c>
      <c r="B1267" t="s">
        <v>304</v>
      </c>
      <c r="C1267" s="733">
        <v>40953</v>
      </c>
      <c r="D12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67" t="s">
        <v>485</v>
      </c>
      <c r="F1267" t="s">
        <v>2065</v>
      </c>
      <c r="G1267" t="s">
        <v>4057</v>
      </c>
      <c r="H1267">
        <v>41821</v>
      </c>
      <c r="I1267" t="s">
        <v>423</v>
      </c>
      <c r="J1267" t="s">
        <v>2186</v>
      </c>
      <c r="K1267" t="s">
        <v>2183</v>
      </c>
      <c r="L1267" t="s">
        <v>2184</v>
      </c>
      <c r="M1267">
        <v>19</v>
      </c>
      <c r="N1267">
        <v>16.32</v>
      </c>
      <c r="O1267">
        <v>2417.64</v>
      </c>
      <c r="P1267">
        <v>0</v>
      </c>
      <c r="Q1267">
        <v>2417.64</v>
      </c>
      <c r="R1267">
        <v>386.82</v>
      </c>
      <c r="S1267">
        <v>96.71</v>
      </c>
      <c r="T1267">
        <v>2707.75</v>
      </c>
      <c r="U1267" t="s">
        <v>8048</v>
      </c>
      <c r="V1267" t="s">
        <v>9408</v>
      </c>
      <c r="W1267" t="s">
        <v>423</v>
      </c>
    </row>
    <row r="1268" spans="1:23" hidden="1" x14ac:dyDescent="0.2">
      <c r="A1268">
        <v>2012</v>
      </c>
      <c r="B1268" t="s">
        <v>304</v>
      </c>
      <c r="C1268" s="733">
        <v>40949</v>
      </c>
      <c r="D12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68" t="s">
        <v>485</v>
      </c>
      <c r="F1268" t="s">
        <v>2065</v>
      </c>
      <c r="G1268" t="s">
        <v>4055</v>
      </c>
      <c r="H1268">
        <v>41549</v>
      </c>
      <c r="I1268" t="s">
        <v>423</v>
      </c>
      <c r="J1268" t="s">
        <v>2189</v>
      </c>
      <c r="K1268" t="s">
        <v>2183</v>
      </c>
      <c r="L1268" t="s">
        <v>2184</v>
      </c>
      <c r="M1268">
        <v>720</v>
      </c>
      <c r="N1268">
        <v>25.34</v>
      </c>
      <c r="O1268">
        <v>11248.17</v>
      </c>
      <c r="P1268">
        <v>0</v>
      </c>
      <c r="Q1268">
        <v>11248.17</v>
      </c>
      <c r="R1268">
        <v>1799.71</v>
      </c>
      <c r="S1268">
        <v>449.93</v>
      </c>
      <c r="T1268">
        <v>12597.95</v>
      </c>
      <c r="U1268" t="s">
        <v>8048</v>
      </c>
      <c r="V1268" t="s">
        <v>9408</v>
      </c>
      <c r="W1268" t="s">
        <v>423</v>
      </c>
    </row>
    <row r="1269" spans="1:23" hidden="1" x14ac:dyDescent="0.2">
      <c r="A1269">
        <v>2012</v>
      </c>
      <c r="B1269" t="s">
        <v>303</v>
      </c>
      <c r="C1269" s="733">
        <v>40927.712361111109</v>
      </c>
      <c r="D12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69" t="s">
        <v>478</v>
      </c>
      <c r="F1269" t="s">
        <v>2622</v>
      </c>
      <c r="G1269" t="s">
        <v>2897</v>
      </c>
      <c r="H1269">
        <v>34741</v>
      </c>
      <c r="I1269" t="s">
        <v>423</v>
      </c>
      <c r="J1269" t="s">
        <v>2629</v>
      </c>
      <c r="K1269" t="s">
        <v>2625</v>
      </c>
      <c r="L1269" t="s">
        <v>2626</v>
      </c>
      <c r="M1269">
        <v>33</v>
      </c>
      <c r="N1269">
        <v>26.86</v>
      </c>
      <c r="O1269">
        <v>3132.95</v>
      </c>
      <c r="P1269">
        <v>0</v>
      </c>
      <c r="Q1269">
        <v>3132.95</v>
      </c>
      <c r="R1269">
        <v>501.27</v>
      </c>
      <c r="S1269">
        <v>125.32</v>
      </c>
      <c r="T1269">
        <v>3508.9</v>
      </c>
      <c r="U1269" t="s">
        <v>2633</v>
      </c>
      <c r="V1269" t="s">
        <v>9408</v>
      </c>
      <c r="W1269" t="s">
        <v>423</v>
      </c>
    </row>
    <row r="1270" spans="1:23" hidden="1" x14ac:dyDescent="0.2">
      <c r="A1270">
        <v>2012</v>
      </c>
      <c r="B1270" t="s">
        <v>303</v>
      </c>
      <c r="C1270" s="733">
        <v>40914.855532407404</v>
      </c>
      <c r="D12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70" t="s">
        <v>478</v>
      </c>
      <c r="F1270" t="s">
        <v>2622</v>
      </c>
      <c r="G1270" t="s">
        <v>2881</v>
      </c>
      <c r="H1270">
        <v>34287</v>
      </c>
      <c r="I1270" t="s">
        <v>423</v>
      </c>
      <c r="J1270" t="s">
        <v>2629</v>
      </c>
      <c r="K1270" t="s">
        <v>2625</v>
      </c>
      <c r="L1270" t="s">
        <v>2626</v>
      </c>
      <c r="M1270">
        <v>33</v>
      </c>
      <c r="N1270">
        <v>23.24</v>
      </c>
      <c r="O1270">
        <v>2710.71</v>
      </c>
      <c r="P1270">
        <v>0</v>
      </c>
      <c r="Q1270">
        <v>2710.71</v>
      </c>
      <c r="R1270">
        <v>433.71</v>
      </c>
      <c r="S1270">
        <v>108.43</v>
      </c>
      <c r="T1270">
        <v>3035.99</v>
      </c>
      <c r="U1270" t="s">
        <v>2627</v>
      </c>
      <c r="V1270" t="s">
        <v>9408</v>
      </c>
      <c r="W1270" t="s">
        <v>423</v>
      </c>
    </row>
    <row r="1271" spans="1:23" hidden="1" x14ac:dyDescent="0.2">
      <c r="A1271">
        <v>2012</v>
      </c>
      <c r="B1271" t="s">
        <v>304</v>
      </c>
      <c r="C1271" s="733">
        <v>40966.938298611109</v>
      </c>
      <c r="D12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71" t="s">
        <v>478</v>
      </c>
      <c r="F1271" t="s">
        <v>2622</v>
      </c>
      <c r="G1271" t="s">
        <v>9047</v>
      </c>
      <c r="H1271">
        <v>36073</v>
      </c>
      <c r="I1271" t="s">
        <v>423</v>
      </c>
      <c r="J1271" t="s">
        <v>2629</v>
      </c>
      <c r="K1271" t="s">
        <v>2625</v>
      </c>
      <c r="L1271" t="s">
        <v>2626</v>
      </c>
      <c r="M1271">
        <v>33</v>
      </c>
      <c r="N1271">
        <v>26.52</v>
      </c>
      <c r="O1271">
        <v>3093.29</v>
      </c>
      <c r="P1271">
        <v>0</v>
      </c>
      <c r="Q1271">
        <v>3093.29</v>
      </c>
      <c r="R1271">
        <v>494.93</v>
      </c>
      <c r="S1271">
        <v>123.73</v>
      </c>
      <c r="T1271">
        <v>3464.49</v>
      </c>
      <c r="U1271" t="s">
        <v>9428</v>
      </c>
      <c r="V1271" t="s">
        <v>9408</v>
      </c>
      <c r="W1271" t="s">
        <v>423</v>
      </c>
    </row>
    <row r="1272" spans="1:23" hidden="1" x14ac:dyDescent="0.2">
      <c r="A1272">
        <v>2012</v>
      </c>
      <c r="B1272" t="s">
        <v>303</v>
      </c>
      <c r="C1272" s="733">
        <v>40926.734918981485</v>
      </c>
      <c r="D12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72" t="s">
        <v>478</v>
      </c>
      <c r="F1272" t="s">
        <v>2136</v>
      </c>
      <c r="G1272" t="s">
        <v>2901</v>
      </c>
      <c r="H1272">
        <v>34682</v>
      </c>
      <c r="I1272" t="s">
        <v>423</v>
      </c>
      <c r="J1272" t="s">
        <v>2629</v>
      </c>
      <c r="K1272" t="s">
        <v>2625</v>
      </c>
      <c r="L1272" t="s">
        <v>2626</v>
      </c>
      <c r="M1272">
        <v>33</v>
      </c>
      <c r="N1272">
        <v>23.45</v>
      </c>
      <c r="O1272">
        <v>2735.21</v>
      </c>
      <c r="P1272">
        <v>0</v>
      </c>
      <c r="Q1272">
        <v>2735.21</v>
      </c>
      <c r="R1272">
        <v>437.63</v>
      </c>
      <c r="S1272">
        <v>109.41</v>
      </c>
      <c r="T1272">
        <v>3063.43</v>
      </c>
      <c r="U1272" t="s">
        <v>2635</v>
      </c>
      <c r="V1272" t="s">
        <v>9408</v>
      </c>
      <c r="W1272" t="s">
        <v>423</v>
      </c>
    </row>
    <row r="1273" spans="1:23" hidden="1" x14ac:dyDescent="0.2">
      <c r="A1273">
        <v>2012</v>
      </c>
      <c r="B1273" t="s">
        <v>303</v>
      </c>
      <c r="C1273" s="733">
        <v>40910</v>
      </c>
      <c r="D12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73" t="s">
        <v>478</v>
      </c>
      <c r="F1273" t="s">
        <v>2622</v>
      </c>
      <c r="G1273" t="s">
        <v>4498</v>
      </c>
      <c r="H1273">
        <v>34162</v>
      </c>
      <c r="I1273" t="s">
        <v>423</v>
      </c>
      <c r="J1273" t="s">
        <v>2629</v>
      </c>
      <c r="K1273" t="s">
        <v>2625</v>
      </c>
      <c r="L1273" t="s">
        <v>2626</v>
      </c>
      <c r="M1273">
        <v>33</v>
      </c>
      <c r="N1273">
        <v>23.31</v>
      </c>
      <c r="O1273">
        <v>1303.5</v>
      </c>
      <c r="P1273">
        <v>1130.0693249999999</v>
      </c>
      <c r="Q1273">
        <v>2433.5693249999999</v>
      </c>
      <c r="R1273">
        <v>389.37109199999998</v>
      </c>
      <c r="S1273">
        <v>97.342772999999994</v>
      </c>
      <c r="T1273">
        <v>2725.5976439999999</v>
      </c>
      <c r="U1273" t="s">
        <v>2660</v>
      </c>
      <c r="V1273" t="s">
        <v>9408</v>
      </c>
      <c r="W1273" t="s">
        <v>423</v>
      </c>
    </row>
    <row r="1274" spans="1:23" hidden="1" x14ac:dyDescent="0.2">
      <c r="A1274">
        <v>2012</v>
      </c>
      <c r="B1274" t="s">
        <v>303</v>
      </c>
      <c r="C1274" s="733">
        <v>40918</v>
      </c>
      <c r="D12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74" t="s">
        <v>478</v>
      </c>
      <c r="F1274" t="s">
        <v>2622</v>
      </c>
      <c r="G1274" t="s">
        <v>4499</v>
      </c>
      <c r="H1274">
        <v>34342</v>
      </c>
      <c r="I1274" t="s">
        <v>423</v>
      </c>
      <c r="J1274" t="s">
        <v>2629</v>
      </c>
      <c r="K1274" t="s">
        <v>2625</v>
      </c>
      <c r="L1274" t="s">
        <v>2626</v>
      </c>
      <c r="M1274">
        <v>33</v>
      </c>
      <c r="N1274">
        <v>24.44</v>
      </c>
      <c r="O1274">
        <v>2850.68</v>
      </c>
      <c r="P1274">
        <v>0</v>
      </c>
      <c r="Q1274">
        <v>2850.68</v>
      </c>
      <c r="R1274">
        <v>456.11</v>
      </c>
      <c r="S1274">
        <v>114.03</v>
      </c>
      <c r="T1274">
        <v>3192.76</v>
      </c>
      <c r="U1274" t="s">
        <v>2627</v>
      </c>
      <c r="V1274" t="s">
        <v>9408</v>
      </c>
      <c r="W1274" t="s">
        <v>423</v>
      </c>
    </row>
    <row r="1275" spans="1:23" hidden="1" x14ac:dyDescent="0.2">
      <c r="A1275">
        <v>2012</v>
      </c>
      <c r="B1275" t="s">
        <v>304</v>
      </c>
      <c r="C1275" s="733">
        <v>40961</v>
      </c>
      <c r="D12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75" t="s">
        <v>485</v>
      </c>
      <c r="F1275" t="s">
        <v>2099</v>
      </c>
      <c r="G1275" t="s">
        <v>8285</v>
      </c>
      <c r="H1275">
        <v>42408</v>
      </c>
      <c r="I1275" t="s">
        <v>423</v>
      </c>
      <c r="J1275" t="s">
        <v>2141</v>
      </c>
      <c r="K1275" t="s">
        <v>2102</v>
      </c>
      <c r="L1275" t="s">
        <v>2103</v>
      </c>
      <c r="M1275">
        <v>114</v>
      </c>
      <c r="N1275">
        <v>25.45</v>
      </c>
      <c r="O1275">
        <v>4089.31</v>
      </c>
      <c r="P1275">
        <v>0</v>
      </c>
      <c r="Q1275">
        <v>4089.31</v>
      </c>
      <c r="R1275">
        <v>654.29</v>
      </c>
      <c r="S1275">
        <v>163.57</v>
      </c>
      <c r="T1275">
        <v>4580.03</v>
      </c>
      <c r="U1275" t="s">
        <v>8883</v>
      </c>
      <c r="V1275" t="s">
        <v>9408</v>
      </c>
      <c r="W1275" t="s">
        <v>423</v>
      </c>
    </row>
    <row r="1276" spans="1:23" hidden="1" x14ac:dyDescent="0.2">
      <c r="A1276">
        <v>2012</v>
      </c>
      <c r="B1276" t="s">
        <v>303</v>
      </c>
      <c r="C1276" s="733">
        <v>40931</v>
      </c>
      <c r="D12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76" t="s">
        <v>485</v>
      </c>
      <c r="F1276" t="s">
        <v>2099</v>
      </c>
      <c r="G1276" t="s">
        <v>3733</v>
      </c>
      <c r="H1276">
        <v>40730</v>
      </c>
      <c r="I1276" t="s">
        <v>423</v>
      </c>
      <c r="J1276" t="s">
        <v>2141</v>
      </c>
      <c r="K1276" t="s">
        <v>2102</v>
      </c>
      <c r="L1276" t="s">
        <v>2103</v>
      </c>
      <c r="M1276">
        <v>114</v>
      </c>
      <c r="N1276">
        <v>25.19</v>
      </c>
      <c r="O1276">
        <v>4047.53</v>
      </c>
      <c r="P1276">
        <v>0</v>
      </c>
      <c r="Q1276">
        <v>4047.53</v>
      </c>
      <c r="R1276">
        <v>647.6</v>
      </c>
      <c r="S1276">
        <v>161.9</v>
      </c>
      <c r="T1276">
        <v>4533.2299999999996</v>
      </c>
      <c r="U1276" t="s">
        <v>2106</v>
      </c>
      <c r="V1276" t="s">
        <v>9408</v>
      </c>
      <c r="W1276" t="s">
        <v>423</v>
      </c>
    </row>
    <row r="1277" spans="1:23" hidden="1" x14ac:dyDescent="0.2">
      <c r="A1277">
        <v>2012</v>
      </c>
      <c r="B1277" t="s">
        <v>303</v>
      </c>
      <c r="C1277" s="733">
        <v>40910.467546296299</v>
      </c>
      <c r="D12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77" t="s">
        <v>485</v>
      </c>
      <c r="F1277" t="s">
        <v>2065</v>
      </c>
      <c r="G1277" t="s">
        <v>4058</v>
      </c>
      <c r="H1277">
        <v>39666</v>
      </c>
      <c r="I1277" t="s">
        <v>423</v>
      </c>
      <c r="J1277" t="s">
        <v>2186</v>
      </c>
      <c r="K1277" t="s">
        <v>2183</v>
      </c>
      <c r="L1277" t="s">
        <v>2184</v>
      </c>
      <c r="M1277">
        <v>19</v>
      </c>
      <c r="N1277">
        <v>16.010000000000002</v>
      </c>
      <c r="O1277">
        <v>760.8</v>
      </c>
      <c r="P1277">
        <v>856.57711200000006</v>
      </c>
      <c r="Q1277">
        <v>1617.3771119999999</v>
      </c>
      <c r="R1277">
        <v>258.78033799999997</v>
      </c>
      <c r="S1277">
        <v>64.695083999999994</v>
      </c>
      <c r="T1277">
        <v>1811.462366</v>
      </c>
      <c r="U1277" t="s">
        <v>3038</v>
      </c>
      <c r="V1277" t="s">
        <v>9408</v>
      </c>
      <c r="W1277" t="s">
        <v>423</v>
      </c>
    </row>
    <row r="1278" spans="1:23" hidden="1" x14ac:dyDescent="0.2">
      <c r="A1278">
        <v>2012</v>
      </c>
      <c r="B1278" t="s">
        <v>303</v>
      </c>
      <c r="C1278" s="733">
        <v>40936.439583333333</v>
      </c>
      <c r="D12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78" t="s">
        <v>478</v>
      </c>
      <c r="F1278" t="s">
        <v>2136</v>
      </c>
      <c r="G1278" t="s">
        <v>2900</v>
      </c>
      <c r="H1278">
        <v>35027</v>
      </c>
      <c r="I1278" t="s">
        <v>423</v>
      </c>
      <c r="J1278" t="s">
        <v>2629</v>
      </c>
      <c r="K1278" t="s">
        <v>2625</v>
      </c>
      <c r="L1278" t="s">
        <v>2626</v>
      </c>
      <c r="M1278">
        <v>33</v>
      </c>
      <c r="N1278">
        <v>23.25</v>
      </c>
      <c r="O1278">
        <v>2711.88</v>
      </c>
      <c r="P1278">
        <v>0</v>
      </c>
      <c r="Q1278">
        <v>2711.88</v>
      </c>
      <c r="R1278">
        <v>433.9</v>
      </c>
      <c r="S1278">
        <v>108.48</v>
      </c>
      <c r="T1278">
        <v>3037.3</v>
      </c>
      <c r="U1278" t="s">
        <v>7548</v>
      </c>
      <c r="V1278" t="s">
        <v>9408</v>
      </c>
      <c r="W1278" t="s">
        <v>423</v>
      </c>
    </row>
    <row r="1279" spans="1:23" hidden="1" x14ac:dyDescent="0.2">
      <c r="A1279">
        <v>2012</v>
      </c>
      <c r="B1279" t="s">
        <v>303</v>
      </c>
      <c r="C1279" s="733">
        <v>40933</v>
      </c>
      <c r="D12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79" t="s">
        <v>478</v>
      </c>
      <c r="F1279" t="s">
        <v>2622</v>
      </c>
      <c r="G1279" t="s">
        <v>2899</v>
      </c>
      <c r="H1279">
        <v>34858</v>
      </c>
      <c r="I1279" t="s">
        <v>423</v>
      </c>
      <c r="J1279" t="s">
        <v>2629</v>
      </c>
      <c r="K1279" t="s">
        <v>2625</v>
      </c>
      <c r="L1279" t="s">
        <v>2626</v>
      </c>
      <c r="M1279">
        <v>33</v>
      </c>
      <c r="N1279">
        <v>25.11</v>
      </c>
      <c r="O1279">
        <v>2928.83</v>
      </c>
      <c r="P1279">
        <v>0</v>
      </c>
      <c r="Q1279">
        <v>2928.83</v>
      </c>
      <c r="R1279">
        <v>468.61</v>
      </c>
      <c r="S1279">
        <v>117.15</v>
      </c>
      <c r="T1279">
        <v>3280.29</v>
      </c>
      <c r="U1279" t="s">
        <v>2633</v>
      </c>
      <c r="V1279" t="s">
        <v>9408</v>
      </c>
      <c r="W1279" t="s">
        <v>423</v>
      </c>
    </row>
    <row r="1280" spans="1:23" hidden="1" x14ac:dyDescent="0.2">
      <c r="A1280">
        <v>2012</v>
      </c>
      <c r="B1280" t="s">
        <v>303</v>
      </c>
      <c r="C1280" s="733">
        <v>40927</v>
      </c>
      <c r="D12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80" t="s">
        <v>478</v>
      </c>
      <c r="F1280" t="s">
        <v>2622</v>
      </c>
      <c r="G1280" t="s">
        <v>2898</v>
      </c>
      <c r="H1280">
        <v>34629</v>
      </c>
      <c r="I1280" t="s">
        <v>423</v>
      </c>
      <c r="J1280" t="s">
        <v>2629</v>
      </c>
      <c r="K1280" t="s">
        <v>2625</v>
      </c>
      <c r="L1280" t="s">
        <v>2626</v>
      </c>
      <c r="M1280">
        <v>33</v>
      </c>
      <c r="N1280">
        <v>25.94</v>
      </c>
      <c r="O1280">
        <v>3025.64</v>
      </c>
      <c r="P1280">
        <v>0</v>
      </c>
      <c r="Q1280">
        <v>3025.64</v>
      </c>
      <c r="R1280">
        <v>484.1</v>
      </c>
      <c r="S1280">
        <v>121.03</v>
      </c>
      <c r="T1280">
        <v>3388.71</v>
      </c>
      <c r="U1280" t="s">
        <v>2630</v>
      </c>
      <c r="V1280" t="s">
        <v>9408</v>
      </c>
      <c r="W1280" t="s">
        <v>423</v>
      </c>
    </row>
    <row r="1281" spans="1:23" hidden="1" x14ac:dyDescent="0.2">
      <c r="A1281">
        <v>2012</v>
      </c>
      <c r="B1281" t="s">
        <v>303</v>
      </c>
      <c r="C1281" s="733">
        <v>40931</v>
      </c>
      <c r="D12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81" t="s">
        <v>485</v>
      </c>
      <c r="F1281" t="s">
        <v>2065</v>
      </c>
      <c r="G1281" t="s">
        <v>4056</v>
      </c>
      <c r="H1281">
        <v>40679</v>
      </c>
      <c r="I1281" t="s">
        <v>423</v>
      </c>
      <c r="J1281" t="s">
        <v>2189</v>
      </c>
      <c r="K1281" t="s">
        <v>2183</v>
      </c>
      <c r="L1281" t="s">
        <v>2184</v>
      </c>
      <c r="M1281">
        <v>720</v>
      </c>
      <c r="N1281">
        <v>26.17</v>
      </c>
      <c r="O1281">
        <v>11616.6</v>
      </c>
      <c r="P1281">
        <v>0</v>
      </c>
      <c r="Q1281">
        <v>11616.6</v>
      </c>
      <c r="R1281">
        <v>1858.66</v>
      </c>
      <c r="S1281">
        <v>464.66</v>
      </c>
      <c r="T1281">
        <v>13010.6</v>
      </c>
      <c r="U1281" t="s">
        <v>2187</v>
      </c>
      <c r="V1281" t="s">
        <v>9408</v>
      </c>
      <c r="W1281" t="s">
        <v>423</v>
      </c>
    </row>
    <row r="1282" spans="1:23" hidden="1" x14ac:dyDescent="0.2">
      <c r="A1282">
        <v>2012</v>
      </c>
      <c r="B1282" t="s">
        <v>304</v>
      </c>
      <c r="C1282" s="733">
        <v>40954</v>
      </c>
      <c r="D12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82" t="s">
        <v>485</v>
      </c>
      <c r="F1282" t="s">
        <v>2065</v>
      </c>
      <c r="G1282" t="s">
        <v>7495</v>
      </c>
      <c r="H1282">
        <v>41899</v>
      </c>
      <c r="I1282" t="s">
        <v>423</v>
      </c>
      <c r="J1282" t="s">
        <v>2189</v>
      </c>
      <c r="K1282" t="s">
        <v>2183</v>
      </c>
      <c r="L1282" t="s">
        <v>2184</v>
      </c>
      <c r="M1282">
        <v>720</v>
      </c>
      <c r="N1282">
        <v>27.71</v>
      </c>
      <c r="O1282">
        <v>12300.19</v>
      </c>
      <c r="P1282">
        <v>0</v>
      </c>
      <c r="Q1282">
        <v>12300.19</v>
      </c>
      <c r="R1282">
        <v>1968.03</v>
      </c>
      <c r="S1282">
        <v>492.01</v>
      </c>
      <c r="T1282">
        <v>13776.21</v>
      </c>
      <c r="U1282" t="s">
        <v>8048</v>
      </c>
      <c r="V1282" t="s">
        <v>9408</v>
      </c>
      <c r="W1282" t="s">
        <v>423</v>
      </c>
    </row>
    <row r="1283" spans="1:23" hidden="1" x14ac:dyDescent="0.2">
      <c r="A1283">
        <v>2012</v>
      </c>
      <c r="B1283" t="s">
        <v>305</v>
      </c>
      <c r="C1283" s="733">
        <v>40969</v>
      </c>
      <c r="D1283" s="733" t="str">
        <f>CHOOSE(MONTH(Tabla_sqldatos_bonampakdb_Bon_v_ingresos2012[[#This Row],[fecha_guia]]),"Enero","Febrero","Marzo","Abril","Mayo","Junio","Julio","Agosto","Septiembre","Octubre","Noviembre","Diciembre")</f>
        <v>Marzo</v>
      </c>
      <c r="E1283" t="s">
        <v>485</v>
      </c>
      <c r="F1283" t="s">
        <v>2136</v>
      </c>
      <c r="G1283" t="s">
        <v>9637</v>
      </c>
      <c r="H1283">
        <v>42826</v>
      </c>
      <c r="I1283" t="s">
        <v>423</v>
      </c>
      <c r="J1283" t="s">
        <v>2189</v>
      </c>
      <c r="K1283" t="s">
        <v>2183</v>
      </c>
      <c r="L1283" t="s">
        <v>2184</v>
      </c>
      <c r="M1283">
        <v>720</v>
      </c>
      <c r="N1283">
        <v>23.6</v>
      </c>
      <c r="O1283">
        <v>10475.799999999999</v>
      </c>
      <c r="P1283">
        <v>0</v>
      </c>
      <c r="Q1283">
        <v>10475.799999999999</v>
      </c>
      <c r="R1283">
        <v>1676.13</v>
      </c>
      <c r="S1283">
        <v>419.03</v>
      </c>
      <c r="T1283">
        <v>11732.9</v>
      </c>
      <c r="V1283" t="s">
        <v>9408</v>
      </c>
      <c r="W1283" t="s">
        <v>423</v>
      </c>
    </row>
    <row r="1284" spans="1:23" hidden="1" x14ac:dyDescent="0.2">
      <c r="A1284">
        <v>2012</v>
      </c>
      <c r="B1284" t="s">
        <v>304</v>
      </c>
      <c r="C1284" s="733">
        <v>40959</v>
      </c>
      <c r="D12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84" t="s">
        <v>478</v>
      </c>
      <c r="F1284" t="s">
        <v>2136</v>
      </c>
      <c r="G1284" t="s">
        <v>8143</v>
      </c>
      <c r="H1284">
        <v>35669</v>
      </c>
      <c r="I1284" t="s">
        <v>423</v>
      </c>
      <c r="J1284" t="s">
        <v>4282</v>
      </c>
      <c r="K1284" t="s">
        <v>425</v>
      </c>
      <c r="L1284" t="s">
        <v>2145</v>
      </c>
      <c r="M1284">
        <v>1405</v>
      </c>
      <c r="N1284">
        <v>41.41</v>
      </c>
      <c r="O1284">
        <v>41800.080000000002</v>
      </c>
      <c r="P1284">
        <v>0</v>
      </c>
      <c r="Q1284">
        <v>41800.080000000002</v>
      </c>
      <c r="R1284">
        <v>6688.01</v>
      </c>
      <c r="S1284">
        <v>1672</v>
      </c>
      <c r="T1284">
        <v>46816.09</v>
      </c>
      <c r="U1284" t="s">
        <v>8252</v>
      </c>
      <c r="V1284" t="s">
        <v>9409</v>
      </c>
      <c r="W1284" t="s">
        <v>423</v>
      </c>
    </row>
    <row r="1285" spans="1:23" hidden="1" x14ac:dyDescent="0.2">
      <c r="A1285">
        <v>2012</v>
      </c>
      <c r="B1285" t="s">
        <v>304</v>
      </c>
      <c r="C1285" s="733">
        <v>40968</v>
      </c>
      <c r="D12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85" t="s">
        <v>478</v>
      </c>
      <c r="F1285" t="s">
        <v>2136</v>
      </c>
      <c r="G1285" t="s">
        <v>9635</v>
      </c>
      <c r="H1285">
        <v>35955</v>
      </c>
      <c r="I1285" t="s">
        <v>423</v>
      </c>
      <c r="J1285" t="s">
        <v>4282</v>
      </c>
      <c r="K1285" t="s">
        <v>425</v>
      </c>
      <c r="L1285" t="s">
        <v>2145</v>
      </c>
      <c r="M1285">
        <v>1405</v>
      </c>
      <c r="N1285">
        <v>43.18</v>
      </c>
      <c r="O1285">
        <v>43586.76</v>
      </c>
      <c r="P1285">
        <v>0</v>
      </c>
      <c r="Q1285">
        <v>43586.76</v>
      </c>
      <c r="R1285">
        <v>6973.88</v>
      </c>
      <c r="S1285">
        <v>1743.47</v>
      </c>
      <c r="T1285">
        <v>48817.17</v>
      </c>
      <c r="U1285" t="s">
        <v>9430</v>
      </c>
      <c r="V1285" t="s">
        <v>9409</v>
      </c>
      <c r="W1285" t="s">
        <v>423</v>
      </c>
    </row>
    <row r="1286" spans="1:23" hidden="1" x14ac:dyDescent="0.2">
      <c r="A1286">
        <v>2012</v>
      </c>
      <c r="B1286" t="s">
        <v>304</v>
      </c>
      <c r="C1286" s="733">
        <v>40961</v>
      </c>
      <c r="D12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86" t="s">
        <v>478</v>
      </c>
      <c r="F1286" t="s">
        <v>2136</v>
      </c>
      <c r="G1286" t="s">
        <v>8286</v>
      </c>
      <c r="H1286">
        <v>35556</v>
      </c>
      <c r="I1286" t="s">
        <v>423</v>
      </c>
      <c r="J1286" t="s">
        <v>4282</v>
      </c>
      <c r="K1286" t="s">
        <v>425</v>
      </c>
      <c r="L1286" t="s">
        <v>2145</v>
      </c>
      <c r="M1286">
        <v>1405</v>
      </c>
      <c r="N1286">
        <v>42.47</v>
      </c>
      <c r="O1286">
        <v>42870.07</v>
      </c>
      <c r="P1286">
        <v>0</v>
      </c>
      <c r="Q1286">
        <v>42870.07</v>
      </c>
      <c r="R1286">
        <v>6859.21</v>
      </c>
      <c r="S1286">
        <v>1714.8</v>
      </c>
      <c r="T1286">
        <v>48014.48</v>
      </c>
      <c r="U1286" t="s">
        <v>9430</v>
      </c>
      <c r="V1286" t="s">
        <v>9409</v>
      </c>
      <c r="W1286" t="s">
        <v>423</v>
      </c>
    </row>
    <row r="1287" spans="1:23" hidden="1" x14ac:dyDescent="0.2">
      <c r="A1287">
        <v>2012</v>
      </c>
      <c r="B1287" t="s">
        <v>304</v>
      </c>
      <c r="C1287" s="733">
        <v>40946</v>
      </c>
      <c r="D12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87" t="s">
        <v>478</v>
      </c>
      <c r="F1287" t="s">
        <v>2136</v>
      </c>
      <c r="G1287" t="s">
        <v>5234</v>
      </c>
      <c r="H1287">
        <v>35268</v>
      </c>
      <c r="I1287" t="s">
        <v>423</v>
      </c>
      <c r="J1287" t="s">
        <v>4282</v>
      </c>
      <c r="K1287" t="s">
        <v>425</v>
      </c>
      <c r="L1287" t="s">
        <v>2145</v>
      </c>
      <c r="M1287">
        <v>1405</v>
      </c>
      <c r="N1287">
        <v>52.08</v>
      </c>
      <c r="O1287">
        <v>52570.59</v>
      </c>
      <c r="P1287">
        <v>0</v>
      </c>
      <c r="Q1287">
        <v>52570.59</v>
      </c>
      <c r="R1287">
        <v>8411.2900000000009</v>
      </c>
      <c r="S1287">
        <v>2102.8200000000002</v>
      </c>
      <c r="T1287">
        <v>58879.06</v>
      </c>
      <c r="U1287" t="s">
        <v>3115</v>
      </c>
      <c r="V1287" t="s">
        <v>9409</v>
      </c>
      <c r="W1287" t="s">
        <v>423</v>
      </c>
    </row>
    <row r="1288" spans="1:23" hidden="1" x14ac:dyDescent="0.2">
      <c r="A1288">
        <v>2012</v>
      </c>
      <c r="B1288" t="s">
        <v>304</v>
      </c>
      <c r="C1288" s="733">
        <v>40960</v>
      </c>
      <c r="D12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88" t="s">
        <v>478</v>
      </c>
      <c r="F1288" t="s">
        <v>2136</v>
      </c>
      <c r="G1288" t="s">
        <v>8321</v>
      </c>
      <c r="H1288">
        <v>35732</v>
      </c>
      <c r="I1288" t="s">
        <v>423</v>
      </c>
      <c r="J1288" t="s">
        <v>4282</v>
      </c>
      <c r="K1288" t="s">
        <v>425</v>
      </c>
      <c r="L1288" t="s">
        <v>2145</v>
      </c>
      <c r="M1288">
        <v>1405</v>
      </c>
      <c r="N1288">
        <v>39.08</v>
      </c>
      <c r="O1288">
        <v>39448.129999999997</v>
      </c>
      <c r="P1288">
        <v>0</v>
      </c>
      <c r="Q1288">
        <v>39448.129999999997</v>
      </c>
      <c r="R1288">
        <v>6311.7</v>
      </c>
      <c r="S1288">
        <v>1577.93</v>
      </c>
      <c r="T1288">
        <v>44181.9</v>
      </c>
      <c r="U1288" t="s">
        <v>8252</v>
      </c>
      <c r="V1288" t="s">
        <v>9409</v>
      </c>
      <c r="W1288" t="s">
        <v>423</v>
      </c>
    </row>
    <row r="1289" spans="1:23" hidden="1" x14ac:dyDescent="0.2">
      <c r="A1289">
        <v>2012</v>
      </c>
      <c r="B1289" t="s">
        <v>303</v>
      </c>
      <c r="C1289" s="733">
        <v>40934.462233796294</v>
      </c>
      <c r="D12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89" t="s">
        <v>485</v>
      </c>
      <c r="F1289" t="s">
        <v>2065</v>
      </c>
      <c r="G1289" t="s">
        <v>3284</v>
      </c>
      <c r="H1289">
        <v>40931</v>
      </c>
      <c r="I1289" t="s">
        <v>423</v>
      </c>
      <c r="J1289" t="s">
        <v>2186</v>
      </c>
      <c r="K1289" t="s">
        <v>2183</v>
      </c>
      <c r="L1289" t="s">
        <v>2184</v>
      </c>
      <c r="M1289">
        <v>19</v>
      </c>
      <c r="N1289">
        <v>16.39</v>
      </c>
      <c r="O1289">
        <v>1849.94</v>
      </c>
      <c r="P1289">
        <v>0</v>
      </c>
      <c r="Q1289">
        <v>1849.94</v>
      </c>
      <c r="R1289">
        <v>295.99</v>
      </c>
      <c r="S1289">
        <v>74</v>
      </c>
      <c r="T1289">
        <v>2071.9299999999998</v>
      </c>
      <c r="U1289" t="s">
        <v>2187</v>
      </c>
      <c r="V1289" t="s">
        <v>9408</v>
      </c>
      <c r="W1289" t="s">
        <v>423</v>
      </c>
    </row>
    <row r="1290" spans="1:23" hidden="1" x14ac:dyDescent="0.2">
      <c r="A1290">
        <v>2012</v>
      </c>
      <c r="B1290" t="s">
        <v>304</v>
      </c>
      <c r="C1290" s="733">
        <v>40966</v>
      </c>
      <c r="D12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90" t="s">
        <v>485</v>
      </c>
      <c r="F1290" t="s">
        <v>2065</v>
      </c>
      <c r="G1290" t="s">
        <v>8796</v>
      </c>
      <c r="H1290">
        <v>42577</v>
      </c>
      <c r="I1290" t="s">
        <v>423</v>
      </c>
      <c r="J1290" t="s">
        <v>2186</v>
      </c>
      <c r="K1290" t="s">
        <v>2183</v>
      </c>
      <c r="L1290" t="s">
        <v>2184</v>
      </c>
      <c r="M1290">
        <v>19</v>
      </c>
      <c r="N1290">
        <v>16.059999999999999</v>
      </c>
      <c r="O1290">
        <v>1812.69</v>
      </c>
      <c r="P1290">
        <v>0</v>
      </c>
      <c r="Q1290">
        <v>1812.69</v>
      </c>
      <c r="R1290">
        <v>290.02999999999997</v>
      </c>
      <c r="S1290">
        <v>72.510000000000005</v>
      </c>
      <c r="T1290">
        <v>2030.21</v>
      </c>
      <c r="V1290" t="s">
        <v>9408</v>
      </c>
      <c r="W1290" t="s">
        <v>423</v>
      </c>
    </row>
    <row r="1291" spans="1:23" hidden="1" x14ac:dyDescent="0.2">
      <c r="A1291">
        <v>2012</v>
      </c>
      <c r="B1291" t="s">
        <v>304</v>
      </c>
      <c r="C1291" s="733">
        <v>40960</v>
      </c>
      <c r="D12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91" t="s">
        <v>485</v>
      </c>
      <c r="F1291" t="s">
        <v>2065</v>
      </c>
      <c r="G1291" t="s">
        <v>8202</v>
      </c>
      <c r="H1291">
        <v>42249</v>
      </c>
      <c r="I1291" t="s">
        <v>423</v>
      </c>
      <c r="J1291" t="s">
        <v>2186</v>
      </c>
      <c r="K1291" t="s">
        <v>2183</v>
      </c>
      <c r="L1291" t="s">
        <v>2184</v>
      </c>
      <c r="M1291">
        <v>19</v>
      </c>
      <c r="N1291">
        <v>16.03</v>
      </c>
      <c r="O1291">
        <v>1809.31</v>
      </c>
      <c r="P1291">
        <v>0</v>
      </c>
      <c r="Q1291">
        <v>1809.31</v>
      </c>
      <c r="R1291">
        <v>289.49</v>
      </c>
      <c r="S1291">
        <v>72.37</v>
      </c>
      <c r="T1291">
        <v>2026.43</v>
      </c>
      <c r="U1291" t="s">
        <v>9411</v>
      </c>
      <c r="V1291" t="s">
        <v>9408</v>
      </c>
      <c r="W1291" t="s">
        <v>423</v>
      </c>
    </row>
    <row r="1292" spans="1:23" hidden="1" x14ac:dyDescent="0.2">
      <c r="A1292">
        <v>2012</v>
      </c>
      <c r="B1292" t="s">
        <v>303</v>
      </c>
      <c r="C1292" s="733">
        <v>40928.499618055554</v>
      </c>
      <c r="D12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92" t="s">
        <v>485</v>
      </c>
      <c r="F1292" t="s">
        <v>2065</v>
      </c>
      <c r="G1292" t="s">
        <v>3287</v>
      </c>
      <c r="H1292">
        <v>40632</v>
      </c>
      <c r="I1292" t="s">
        <v>423</v>
      </c>
      <c r="J1292" t="s">
        <v>2186</v>
      </c>
      <c r="K1292" t="s">
        <v>2183</v>
      </c>
      <c r="L1292" t="s">
        <v>2184</v>
      </c>
      <c r="M1292">
        <v>19</v>
      </c>
      <c r="N1292">
        <v>15.89</v>
      </c>
      <c r="O1292">
        <v>1793.5</v>
      </c>
      <c r="P1292">
        <v>0</v>
      </c>
      <c r="Q1292">
        <v>1793.5</v>
      </c>
      <c r="R1292">
        <v>286.95999999999998</v>
      </c>
      <c r="S1292">
        <v>71.739999999999995</v>
      </c>
      <c r="T1292">
        <v>2008.72</v>
      </c>
      <c r="U1292" t="s">
        <v>2187</v>
      </c>
      <c r="V1292" t="s">
        <v>9408</v>
      </c>
      <c r="W1292" t="s">
        <v>423</v>
      </c>
    </row>
    <row r="1293" spans="1:23" hidden="1" x14ac:dyDescent="0.2">
      <c r="A1293">
        <v>2012</v>
      </c>
      <c r="B1293" t="s">
        <v>304</v>
      </c>
      <c r="C1293" s="733">
        <v>40960.451863425929</v>
      </c>
      <c r="D12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93" t="s">
        <v>478</v>
      </c>
      <c r="F1293" t="s">
        <v>2622</v>
      </c>
      <c r="G1293" t="s">
        <v>8269</v>
      </c>
      <c r="H1293">
        <v>35831</v>
      </c>
      <c r="I1293" t="s">
        <v>423</v>
      </c>
      <c r="J1293" t="s">
        <v>2629</v>
      </c>
      <c r="K1293" t="s">
        <v>2625</v>
      </c>
      <c r="L1293" t="s">
        <v>2626</v>
      </c>
      <c r="M1293">
        <v>33</v>
      </c>
      <c r="N1293">
        <v>23.44</v>
      </c>
      <c r="O1293">
        <v>2734.04</v>
      </c>
      <c r="P1293">
        <v>0</v>
      </c>
      <c r="Q1293">
        <v>2734.04</v>
      </c>
      <c r="R1293">
        <v>437.45</v>
      </c>
      <c r="S1293">
        <v>109.36</v>
      </c>
      <c r="T1293">
        <v>3062.13</v>
      </c>
      <c r="U1293" t="s">
        <v>8267</v>
      </c>
      <c r="V1293" t="s">
        <v>9408</v>
      </c>
      <c r="W1293" t="s">
        <v>423</v>
      </c>
    </row>
    <row r="1294" spans="1:23" hidden="1" x14ac:dyDescent="0.2">
      <c r="A1294">
        <v>2012</v>
      </c>
      <c r="B1294" t="s">
        <v>304</v>
      </c>
      <c r="C1294" s="733">
        <v>40954</v>
      </c>
      <c r="D12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94" t="s">
        <v>478</v>
      </c>
      <c r="F1294" t="s">
        <v>2622</v>
      </c>
      <c r="G1294" t="s">
        <v>7686</v>
      </c>
      <c r="H1294">
        <v>35591</v>
      </c>
      <c r="I1294" t="s">
        <v>423</v>
      </c>
      <c r="J1294" t="s">
        <v>2629</v>
      </c>
      <c r="K1294" t="s">
        <v>2625</v>
      </c>
      <c r="L1294" t="s">
        <v>2626</v>
      </c>
      <c r="M1294">
        <v>33</v>
      </c>
      <c r="N1294">
        <v>26.02</v>
      </c>
      <c r="O1294">
        <v>3034.97</v>
      </c>
      <c r="P1294">
        <v>0</v>
      </c>
      <c r="Q1294">
        <v>3034.97</v>
      </c>
      <c r="R1294">
        <v>485.6</v>
      </c>
      <c r="S1294">
        <v>121.4</v>
      </c>
      <c r="T1294">
        <v>3399.17</v>
      </c>
      <c r="U1294" t="s">
        <v>7548</v>
      </c>
      <c r="V1294" t="s">
        <v>9408</v>
      </c>
      <c r="W1294" t="s">
        <v>423</v>
      </c>
    </row>
    <row r="1295" spans="1:23" hidden="1" x14ac:dyDescent="0.2">
      <c r="A1295">
        <v>2012</v>
      </c>
      <c r="B1295" t="s">
        <v>303</v>
      </c>
      <c r="C1295" s="733">
        <v>40933</v>
      </c>
      <c r="D12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95" t="s">
        <v>485</v>
      </c>
      <c r="F1295" t="s">
        <v>2048</v>
      </c>
      <c r="G1295" t="s">
        <v>2307</v>
      </c>
      <c r="H1295">
        <v>40868</v>
      </c>
      <c r="I1295" t="s">
        <v>423</v>
      </c>
      <c r="J1295" t="s">
        <v>2050</v>
      </c>
      <c r="K1295" t="s">
        <v>2051</v>
      </c>
      <c r="L1295" t="s">
        <v>2052</v>
      </c>
      <c r="M1295">
        <v>90</v>
      </c>
      <c r="N1295">
        <v>28.3</v>
      </c>
      <c r="O1295">
        <v>3970.77</v>
      </c>
      <c r="P1295">
        <v>0</v>
      </c>
      <c r="Q1295">
        <v>3970.77</v>
      </c>
      <c r="R1295">
        <v>635.32000000000005</v>
      </c>
      <c r="S1295">
        <v>158.83000000000001</v>
      </c>
      <c r="T1295">
        <v>4447.26</v>
      </c>
      <c r="U1295" t="s">
        <v>2053</v>
      </c>
      <c r="V1295" t="s">
        <v>9408</v>
      </c>
      <c r="W1295" t="s">
        <v>423</v>
      </c>
    </row>
    <row r="1296" spans="1:23" hidden="1" x14ac:dyDescent="0.2">
      <c r="A1296">
        <v>2012</v>
      </c>
      <c r="B1296" t="s">
        <v>304</v>
      </c>
      <c r="C1296" s="733">
        <v>40942.72184027778</v>
      </c>
      <c r="D12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96" t="s">
        <v>485</v>
      </c>
      <c r="F1296" t="s">
        <v>2054</v>
      </c>
      <c r="G1296" t="s">
        <v>6736</v>
      </c>
      <c r="H1296">
        <v>10301</v>
      </c>
      <c r="I1296" t="s">
        <v>423</v>
      </c>
      <c r="J1296" t="s">
        <v>4545</v>
      </c>
      <c r="K1296" t="s">
        <v>2057</v>
      </c>
      <c r="L1296" t="s">
        <v>2058</v>
      </c>
      <c r="M1296">
        <v>144</v>
      </c>
      <c r="N1296">
        <v>25.3</v>
      </c>
      <c r="O1296">
        <v>4045.22</v>
      </c>
      <c r="P1296">
        <v>0</v>
      </c>
      <c r="Q1296">
        <v>4045.22</v>
      </c>
      <c r="R1296">
        <v>647.23</v>
      </c>
      <c r="S1296">
        <v>161.81</v>
      </c>
      <c r="T1296">
        <v>4530.6400000000003</v>
      </c>
      <c r="U1296" t="s">
        <v>2075</v>
      </c>
      <c r="V1296" t="s">
        <v>9408</v>
      </c>
      <c r="W1296" t="s">
        <v>423</v>
      </c>
    </row>
    <row r="1297" spans="1:23" hidden="1" x14ac:dyDescent="0.2">
      <c r="A1297">
        <v>2012</v>
      </c>
      <c r="B1297" t="s">
        <v>303</v>
      </c>
      <c r="C1297" s="733">
        <v>40924.555775462963</v>
      </c>
      <c r="D12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297" t="s">
        <v>485</v>
      </c>
      <c r="F1297" t="s">
        <v>2054</v>
      </c>
      <c r="G1297" t="s">
        <v>2324</v>
      </c>
      <c r="H1297">
        <v>10078</v>
      </c>
      <c r="I1297" t="s">
        <v>423</v>
      </c>
      <c r="J1297" t="s">
        <v>2056</v>
      </c>
      <c r="K1297" t="s">
        <v>2057</v>
      </c>
      <c r="L1297" t="s">
        <v>2058</v>
      </c>
      <c r="M1297">
        <v>19</v>
      </c>
      <c r="N1297">
        <v>47.17</v>
      </c>
      <c r="O1297">
        <v>5324.08</v>
      </c>
      <c r="P1297">
        <v>0</v>
      </c>
      <c r="Q1297">
        <v>5324.08</v>
      </c>
      <c r="R1297">
        <v>851.85</v>
      </c>
      <c r="S1297">
        <v>212.96</v>
      </c>
      <c r="T1297">
        <v>5962.97</v>
      </c>
      <c r="U1297" t="s">
        <v>2059</v>
      </c>
      <c r="V1297" t="s">
        <v>9409</v>
      </c>
      <c r="W1297" t="s">
        <v>423</v>
      </c>
    </row>
    <row r="1298" spans="1:23" hidden="1" x14ac:dyDescent="0.2">
      <c r="A1298">
        <v>2012</v>
      </c>
      <c r="B1298" t="s">
        <v>304</v>
      </c>
      <c r="C1298" s="733">
        <v>40963</v>
      </c>
      <c r="D12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98" t="s">
        <v>485</v>
      </c>
      <c r="F1298" t="s">
        <v>2048</v>
      </c>
      <c r="G1298" t="s">
        <v>8717</v>
      </c>
      <c r="H1298">
        <v>42618</v>
      </c>
      <c r="I1298" t="s">
        <v>423</v>
      </c>
      <c r="J1298" t="s">
        <v>2050</v>
      </c>
      <c r="K1298" t="s">
        <v>2051</v>
      </c>
      <c r="L1298" t="s">
        <v>2052</v>
      </c>
      <c r="M1298">
        <v>90</v>
      </c>
      <c r="N1298">
        <v>24.85</v>
      </c>
      <c r="O1298">
        <v>3486.7</v>
      </c>
      <c r="P1298">
        <v>0</v>
      </c>
      <c r="Q1298">
        <v>3486.7</v>
      </c>
      <c r="R1298">
        <v>557.87</v>
      </c>
      <c r="S1298">
        <v>139.47</v>
      </c>
      <c r="T1298">
        <v>3905.1</v>
      </c>
      <c r="V1298" t="s">
        <v>9408</v>
      </c>
      <c r="W1298" t="s">
        <v>423</v>
      </c>
    </row>
    <row r="1299" spans="1:23" hidden="1" x14ac:dyDescent="0.2">
      <c r="A1299">
        <v>2012</v>
      </c>
      <c r="B1299" t="s">
        <v>304</v>
      </c>
      <c r="C1299" s="733">
        <v>40956</v>
      </c>
      <c r="D12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299" t="s">
        <v>485</v>
      </c>
      <c r="F1299" t="s">
        <v>2065</v>
      </c>
      <c r="G1299" t="s">
        <v>7685</v>
      </c>
      <c r="H1299">
        <v>42142</v>
      </c>
      <c r="I1299" t="s">
        <v>423</v>
      </c>
      <c r="J1299" t="s">
        <v>2050</v>
      </c>
      <c r="K1299" t="s">
        <v>2051</v>
      </c>
      <c r="L1299" t="s">
        <v>2052</v>
      </c>
      <c r="M1299">
        <v>90</v>
      </c>
      <c r="N1299">
        <v>54.7</v>
      </c>
      <c r="O1299">
        <v>7674.96</v>
      </c>
      <c r="P1299">
        <v>0</v>
      </c>
      <c r="Q1299">
        <v>7674.96</v>
      </c>
      <c r="R1299">
        <v>1227.99</v>
      </c>
      <c r="S1299">
        <v>307</v>
      </c>
      <c r="T1299">
        <v>8595.9500000000007</v>
      </c>
      <c r="U1299" t="s">
        <v>8257</v>
      </c>
      <c r="V1299" t="s">
        <v>9409</v>
      </c>
      <c r="W1299" t="s">
        <v>423</v>
      </c>
    </row>
    <row r="1300" spans="1:23" hidden="1" x14ac:dyDescent="0.2">
      <c r="A1300">
        <v>2012</v>
      </c>
      <c r="B1300" t="s">
        <v>303</v>
      </c>
      <c r="C1300" s="733">
        <v>40919</v>
      </c>
      <c r="D13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00" t="s">
        <v>485</v>
      </c>
      <c r="F1300" t="s">
        <v>2054</v>
      </c>
      <c r="G1300" t="s">
        <v>2318</v>
      </c>
      <c r="H1300">
        <v>10016</v>
      </c>
      <c r="I1300" t="s">
        <v>423</v>
      </c>
      <c r="J1300" t="s">
        <v>2056</v>
      </c>
      <c r="K1300" t="s">
        <v>2057</v>
      </c>
      <c r="L1300" t="s">
        <v>2058</v>
      </c>
      <c r="M1300">
        <v>19</v>
      </c>
      <c r="N1300">
        <v>23.06</v>
      </c>
      <c r="O1300">
        <v>2602.7800000000002</v>
      </c>
      <c r="P1300">
        <v>0</v>
      </c>
      <c r="Q1300">
        <v>2602.7800000000002</v>
      </c>
      <c r="R1300">
        <v>416.45</v>
      </c>
      <c r="S1300">
        <v>104.11</v>
      </c>
      <c r="T1300">
        <v>2915.12</v>
      </c>
      <c r="U1300" t="s">
        <v>2070</v>
      </c>
      <c r="V1300" t="s">
        <v>9409</v>
      </c>
      <c r="W1300" t="s">
        <v>423</v>
      </c>
    </row>
    <row r="1301" spans="1:23" hidden="1" x14ac:dyDescent="0.2">
      <c r="A1301">
        <v>2012</v>
      </c>
      <c r="B1301" t="s">
        <v>303</v>
      </c>
      <c r="C1301" s="733">
        <v>40939.455138888887</v>
      </c>
      <c r="D13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01" t="s">
        <v>485</v>
      </c>
      <c r="F1301" t="s">
        <v>2054</v>
      </c>
      <c r="G1301" t="s">
        <v>2320</v>
      </c>
      <c r="H1301">
        <v>10264</v>
      </c>
      <c r="I1301" t="s">
        <v>423</v>
      </c>
      <c r="J1301" t="s">
        <v>2056</v>
      </c>
      <c r="K1301" t="s">
        <v>2057</v>
      </c>
      <c r="L1301" t="s">
        <v>2058</v>
      </c>
      <c r="M1301">
        <v>19</v>
      </c>
      <c r="N1301">
        <v>46.69</v>
      </c>
      <c r="O1301">
        <v>5269.9</v>
      </c>
      <c r="P1301">
        <v>0</v>
      </c>
      <c r="Q1301">
        <v>5269.9</v>
      </c>
      <c r="R1301">
        <v>843.18</v>
      </c>
      <c r="S1301">
        <v>210.8</v>
      </c>
      <c r="T1301">
        <v>5902.28</v>
      </c>
      <c r="U1301" t="s">
        <v>2073</v>
      </c>
      <c r="V1301" t="s">
        <v>9409</v>
      </c>
      <c r="W1301" t="s">
        <v>423</v>
      </c>
    </row>
    <row r="1302" spans="1:23" hidden="1" x14ac:dyDescent="0.2">
      <c r="A1302">
        <v>2012</v>
      </c>
      <c r="B1302" t="s">
        <v>303</v>
      </c>
      <c r="C1302" s="733">
        <v>40927.723958333336</v>
      </c>
      <c r="D13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02" t="s">
        <v>485</v>
      </c>
      <c r="F1302" t="s">
        <v>2054</v>
      </c>
      <c r="G1302" t="s">
        <v>2319</v>
      </c>
      <c r="H1302">
        <v>10137</v>
      </c>
      <c r="I1302" t="s">
        <v>423</v>
      </c>
      <c r="J1302" t="s">
        <v>2056</v>
      </c>
      <c r="K1302" t="s">
        <v>2057</v>
      </c>
      <c r="L1302" t="s">
        <v>2058</v>
      </c>
      <c r="M1302">
        <v>19</v>
      </c>
      <c r="N1302">
        <v>23.76</v>
      </c>
      <c r="O1302">
        <v>2681.79</v>
      </c>
      <c r="P1302">
        <v>0</v>
      </c>
      <c r="Q1302">
        <v>2681.79</v>
      </c>
      <c r="R1302">
        <v>429.09</v>
      </c>
      <c r="S1302">
        <v>107.27</v>
      </c>
      <c r="T1302">
        <v>3003.61</v>
      </c>
      <c r="U1302" t="s">
        <v>2077</v>
      </c>
      <c r="V1302" t="s">
        <v>9408</v>
      </c>
      <c r="W1302" t="s">
        <v>423</v>
      </c>
    </row>
    <row r="1303" spans="1:23" hidden="1" x14ac:dyDescent="0.2">
      <c r="A1303">
        <v>2012</v>
      </c>
      <c r="B1303" t="s">
        <v>304</v>
      </c>
      <c r="C1303" s="733">
        <v>40963</v>
      </c>
      <c r="D13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03" t="s">
        <v>485</v>
      </c>
      <c r="F1303" t="s">
        <v>2048</v>
      </c>
      <c r="G1303" t="s">
        <v>8710</v>
      </c>
      <c r="H1303">
        <v>42615</v>
      </c>
      <c r="I1303" t="s">
        <v>423</v>
      </c>
      <c r="J1303" t="s">
        <v>2050</v>
      </c>
      <c r="K1303" t="s">
        <v>2051</v>
      </c>
      <c r="L1303" t="s">
        <v>2052</v>
      </c>
      <c r="M1303">
        <v>90</v>
      </c>
      <c r="N1303">
        <v>57.45</v>
      </c>
      <c r="O1303">
        <v>8060.81</v>
      </c>
      <c r="P1303">
        <v>0</v>
      </c>
      <c r="Q1303">
        <v>8060.81</v>
      </c>
      <c r="R1303">
        <v>1289.73</v>
      </c>
      <c r="S1303">
        <v>322.43</v>
      </c>
      <c r="T1303">
        <v>9028.11</v>
      </c>
      <c r="V1303" t="s">
        <v>9409</v>
      </c>
      <c r="W1303" t="s">
        <v>423</v>
      </c>
    </row>
    <row r="1304" spans="1:23" hidden="1" x14ac:dyDescent="0.2">
      <c r="A1304">
        <v>2012</v>
      </c>
      <c r="B1304" t="s">
        <v>303</v>
      </c>
      <c r="C1304" s="733">
        <v>40935</v>
      </c>
      <c r="D13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04" t="s">
        <v>485</v>
      </c>
      <c r="F1304" t="s">
        <v>2048</v>
      </c>
      <c r="G1304" t="s">
        <v>2321</v>
      </c>
      <c r="H1304">
        <v>40977</v>
      </c>
      <c r="I1304" t="s">
        <v>423</v>
      </c>
      <c r="J1304" t="s">
        <v>2050</v>
      </c>
      <c r="K1304" t="s">
        <v>2051</v>
      </c>
      <c r="L1304" t="s">
        <v>2052</v>
      </c>
      <c r="M1304">
        <v>90</v>
      </c>
      <c r="N1304">
        <v>57.55</v>
      </c>
      <c r="O1304">
        <v>8074.84</v>
      </c>
      <c r="P1304">
        <v>0</v>
      </c>
      <c r="Q1304">
        <v>8074.84</v>
      </c>
      <c r="R1304">
        <v>1291.97</v>
      </c>
      <c r="S1304">
        <v>322.99</v>
      </c>
      <c r="T1304">
        <v>9043.82</v>
      </c>
      <c r="U1304" t="s">
        <v>2053</v>
      </c>
      <c r="V1304" t="s">
        <v>9409</v>
      </c>
      <c r="W1304" t="s">
        <v>423</v>
      </c>
    </row>
    <row r="1305" spans="1:23" hidden="1" x14ac:dyDescent="0.2">
      <c r="A1305">
        <v>2012</v>
      </c>
      <c r="B1305" t="s">
        <v>304</v>
      </c>
      <c r="C1305" s="733">
        <v>40954.537187499998</v>
      </c>
      <c r="D13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05" t="s">
        <v>485</v>
      </c>
      <c r="F1305" t="s">
        <v>2054</v>
      </c>
      <c r="G1305" t="s">
        <v>7676</v>
      </c>
      <c r="H1305">
        <v>10443</v>
      </c>
      <c r="I1305" t="s">
        <v>423</v>
      </c>
      <c r="J1305" t="s">
        <v>2056</v>
      </c>
      <c r="K1305" t="s">
        <v>2057</v>
      </c>
      <c r="L1305" t="s">
        <v>2058</v>
      </c>
      <c r="M1305">
        <v>19</v>
      </c>
      <c r="N1305">
        <v>28.02</v>
      </c>
      <c r="O1305">
        <v>3162.62</v>
      </c>
      <c r="P1305">
        <v>0</v>
      </c>
      <c r="Q1305">
        <v>3162.62</v>
      </c>
      <c r="R1305">
        <v>347.89</v>
      </c>
      <c r="S1305">
        <v>126.5</v>
      </c>
      <c r="T1305">
        <v>3384.01</v>
      </c>
      <c r="U1305" t="s">
        <v>8047</v>
      </c>
      <c r="V1305" t="s">
        <v>9408</v>
      </c>
      <c r="W1305" t="s">
        <v>423</v>
      </c>
    </row>
    <row r="1306" spans="1:23" hidden="1" x14ac:dyDescent="0.2">
      <c r="A1306">
        <v>2012</v>
      </c>
      <c r="B1306" t="s">
        <v>304</v>
      </c>
      <c r="C1306" s="733">
        <v>40943</v>
      </c>
      <c r="D13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06" t="s">
        <v>485</v>
      </c>
      <c r="F1306" t="s">
        <v>2054</v>
      </c>
      <c r="G1306" t="s">
        <v>2313</v>
      </c>
      <c r="H1306">
        <v>10333</v>
      </c>
      <c r="I1306" t="s">
        <v>423</v>
      </c>
      <c r="J1306" t="s">
        <v>2056</v>
      </c>
      <c r="K1306" t="s">
        <v>2057</v>
      </c>
      <c r="L1306" t="s">
        <v>2058</v>
      </c>
      <c r="M1306">
        <v>19</v>
      </c>
      <c r="N1306">
        <v>32.119999999999997</v>
      </c>
      <c r="O1306">
        <v>3625.38</v>
      </c>
      <c r="P1306">
        <v>0</v>
      </c>
      <c r="Q1306">
        <v>3625.38</v>
      </c>
      <c r="R1306">
        <v>580.05999999999995</v>
      </c>
      <c r="S1306">
        <v>145.02000000000001</v>
      </c>
      <c r="T1306">
        <v>4060.42</v>
      </c>
      <c r="U1306" t="s">
        <v>2075</v>
      </c>
      <c r="V1306" t="s">
        <v>9408</v>
      </c>
      <c r="W1306" t="s">
        <v>423</v>
      </c>
    </row>
    <row r="1307" spans="1:23" hidden="1" x14ac:dyDescent="0.2">
      <c r="A1307">
        <v>2012</v>
      </c>
      <c r="B1307" t="s">
        <v>303</v>
      </c>
      <c r="C1307" s="733">
        <v>40919</v>
      </c>
      <c r="D13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07" t="s">
        <v>485</v>
      </c>
      <c r="F1307" t="s">
        <v>2054</v>
      </c>
      <c r="G1307" t="s">
        <v>2305</v>
      </c>
      <c r="H1307">
        <v>9983</v>
      </c>
      <c r="I1307" t="s">
        <v>423</v>
      </c>
      <c r="J1307" t="s">
        <v>2056</v>
      </c>
      <c r="K1307" t="s">
        <v>2057</v>
      </c>
      <c r="L1307" t="s">
        <v>2058</v>
      </c>
      <c r="M1307">
        <v>19</v>
      </c>
      <c r="N1307">
        <v>47.72</v>
      </c>
      <c r="O1307">
        <v>5385.96</v>
      </c>
      <c r="P1307">
        <v>0</v>
      </c>
      <c r="Q1307">
        <v>5385.96</v>
      </c>
      <c r="R1307">
        <v>861.75</v>
      </c>
      <c r="S1307">
        <v>215.44</v>
      </c>
      <c r="T1307">
        <v>6032.27</v>
      </c>
      <c r="U1307" t="s">
        <v>2070</v>
      </c>
      <c r="V1307" t="s">
        <v>9409</v>
      </c>
      <c r="W1307" t="s">
        <v>423</v>
      </c>
    </row>
    <row r="1308" spans="1:23" hidden="1" x14ac:dyDescent="0.2">
      <c r="A1308">
        <v>2012</v>
      </c>
      <c r="B1308" t="s">
        <v>303</v>
      </c>
      <c r="C1308" s="733">
        <v>40938.56894675926</v>
      </c>
      <c r="D13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08" t="s">
        <v>485</v>
      </c>
      <c r="F1308" t="s">
        <v>2054</v>
      </c>
      <c r="G1308" t="s">
        <v>2304</v>
      </c>
      <c r="H1308">
        <v>10258</v>
      </c>
      <c r="I1308" t="s">
        <v>423</v>
      </c>
      <c r="J1308" t="s">
        <v>2056</v>
      </c>
      <c r="K1308" t="s">
        <v>2057</v>
      </c>
      <c r="L1308" t="s">
        <v>2058</v>
      </c>
      <c r="M1308">
        <v>19</v>
      </c>
      <c r="N1308">
        <v>24.23</v>
      </c>
      <c r="O1308">
        <v>2734.84</v>
      </c>
      <c r="P1308">
        <v>0</v>
      </c>
      <c r="Q1308">
        <v>2734.84</v>
      </c>
      <c r="R1308">
        <v>437.57</v>
      </c>
      <c r="S1308">
        <v>109.39</v>
      </c>
      <c r="T1308">
        <v>3063.02</v>
      </c>
      <c r="U1308" t="s">
        <v>2073</v>
      </c>
      <c r="V1308" t="s">
        <v>9408</v>
      </c>
      <c r="W1308" t="s">
        <v>423</v>
      </c>
    </row>
    <row r="1309" spans="1:23" hidden="1" x14ac:dyDescent="0.2">
      <c r="A1309">
        <v>2012</v>
      </c>
      <c r="B1309" t="s">
        <v>303</v>
      </c>
      <c r="C1309" s="733">
        <v>40939.503865740742</v>
      </c>
      <c r="D13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09" t="s">
        <v>485</v>
      </c>
      <c r="F1309" t="s">
        <v>2054</v>
      </c>
      <c r="G1309" t="s">
        <v>2421</v>
      </c>
      <c r="H1309">
        <v>10267</v>
      </c>
      <c r="I1309" t="s">
        <v>423</v>
      </c>
      <c r="J1309" t="s">
        <v>2056</v>
      </c>
      <c r="K1309" t="s">
        <v>2057</v>
      </c>
      <c r="L1309" t="s">
        <v>2058</v>
      </c>
      <c r="M1309">
        <v>19</v>
      </c>
      <c r="N1309">
        <v>22.83</v>
      </c>
      <c r="O1309">
        <v>2576.8200000000002</v>
      </c>
      <c r="P1309">
        <v>0</v>
      </c>
      <c r="Q1309">
        <v>2576.8200000000002</v>
      </c>
      <c r="R1309">
        <v>412.29</v>
      </c>
      <c r="S1309">
        <v>103.07</v>
      </c>
      <c r="T1309">
        <v>2886.04</v>
      </c>
      <c r="U1309" t="s">
        <v>2073</v>
      </c>
      <c r="V1309" t="s">
        <v>9408</v>
      </c>
      <c r="W1309" t="s">
        <v>423</v>
      </c>
    </row>
    <row r="1310" spans="1:23" hidden="1" x14ac:dyDescent="0.2">
      <c r="A1310">
        <v>2012</v>
      </c>
      <c r="B1310" t="s">
        <v>303</v>
      </c>
      <c r="C1310" s="733">
        <v>40933.50640046296</v>
      </c>
      <c r="D13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10" t="s">
        <v>485</v>
      </c>
      <c r="F1310" t="s">
        <v>2054</v>
      </c>
      <c r="G1310" t="s">
        <v>2309</v>
      </c>
      <c r="H1310">
        <v>10202</v>
      </c>
      <c r="I1310" t="s">
        <v>423</v>
      </c>
      <c r="J1310" t="s">
        <v>2056</v>
      </c>
      <c r="K1310" t="s">
        <v>2057</v>
      </c>
      <c r="L1310" t="s">
        <v>2058</v>
      </c>
      <c r="M1310">
        <v>19</v>
      </c>
      <c r="N1310">
        <v>24.79</v>
      </c>
      <c r="O1310">
        <v>2798.05</v>
      </c>
      <c r="P1310">
        <v>0</v>
      </c>
      <c r="Q1310">
        <v>2798.05</v>
      </c>
      <c r="R1310">
        <v>447.69</v>
      </c>
      <c r="S1310">
        <v>111.92</v>
      </c>
      <c r="T1310">
        <v>3133.82</v>
      </c>
      <c r="U1310" t="s">
        <v>2073</v>
      </c>
      <c r="V1310" t="s">
        <v>9408</v>
      </c>
      <c r="W1310" t="s">
        <v>423</v>
      </c>
    </row>
    <row r="1311" spans="1:23" hidden="1" x14ac:dyDescent="0.2">
      <c r="A1311">
        <v>2012</v>
      </c>
      <c r="B1311" t="s">
        <v>304</v>
      </c>
      <c r="C1311" s="733">
        <v>40959.722812499997</v>
      </c>
      <c r="D13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11" t="s">
        <v>485</v>
      </c>
      <c r="F1311" t="s">
        <v>2054</v>
      </c>
      <c r="G1311" t="s">
        <v>8145</v>
      </c>
      <c r="H1311">
        <v>10495</v>
      </c>
      <c r="I1311" t="s">
        <v>423</v>
      </c>
      <c r="J1311" t="s">
        <v>2056</v>
      </c>
      <c r="K1311" t="s">
        <v>2057</v>
      </c>
      <c r="L1311" t="s">
        <v>2058</v>
      </c>
      <c r="M1311">
        <v>19</v>
      </c>
      <c r="N1311">
        <v>23.49</v>
      </c>
      <c r="O1311">
        <v>2651.32</v>
      </c>
      <c r="P1311">
        <v>0</v>
      </c>
      <c r="Q1311">
        <v>2651.32</v>
      </c>
      <c r="R1311">
        <v>291.64</v>
      </c>
      <c r="S1311">
        <v>106.05</v>
      </c>
      <c r="T1311">
        <v>2836.91</v>
      </c>
      <c r="U1311" t="s">
        <v>8864</v>
      </c>
      <c r="V1311" t="s">
        <v>9408</v>
      </c>
      <c r="W1311" t="s">
        <v>423</v>
      </c>
    </row>
    <row r="1312" spans="1:23" hidden="1" x14ac:dyDescent="0.2">
      <c r="A1312">
        <v>2012</v>
      </c>
      <c r="B1312" t="s">
        <v>304</v>
      </c>
      <c r="C1312" s="733">
        <v>40943.595335648148</v>
      </c>
      <c r="D13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12" t="s">
        <v>485</v>
      </c>
      <c r="F1312" t="s">
        <v>2054</v>
      </c>
      <c r="G1312" t="s">
        <v>2312</v>
      </c>
      <c r="H1312">
        <v>10326</v>
      </c>
      <c r="I1312" t="s">
        <v>423</v>
      </c>
      <c r="J1312" t="s">
        <v>2056</v>
      </c>
      <c r="K1312" t="s">
        <v>2057</v>
      </c>
      <c r="L1312" t="s">
        <v>2058</v>
      </c>
      <c r="M1312">
        <v>19</v>
      </c>
      <c r="N1312">
        <v>23.19</v>
      </c>
      <c r="O1312">
        <v>2617.46</v>
      </c>
      <c r="P1312">
        <v>0</v>
      </c>
      <c r="Q1312">
        <v>2617.46</v>
      </c>
      <c r="R1312">
        <v>418.79</v>
      </c>
      <c r="S1312">
        <v>104.7</v>
      </c>
      <c r="T1312">
        <v>2931.55</v>
      </c>
      <c r="U1312" t="s">
        <v>2075</v>
      </c>
      <c r="V1312" t="s">
        <v>9408</v>
      </c>
      <c r="W1312" t="s">
        <v>423</v>
      </c>
    </row>
    <row r="1313" spans="1:23" hidden="1" x14ac:dyDescent="0.2">
      <c r="A1313">
        <v>2012</v>
      </c>
      <c r="B1313" t="s">
        <v>305</v>
      </c>
      <c r="C1313" s="733">
        <v>40969.507326388892</v>
      </c>
      <c r="D1313" s="733" t="str">
        <f>CHOOSE(MONTH(Tabla_sqldatos_bonampakdb_Bon_v_ingresos2012[[#This Row],[fecha_guia]]),"Enero","Febrero","Marzo","Abril","Mayo","Junio","Julio","Agosto","Septiembre","Octubre","Noviembre","Diciembre")</f>
        <v>Marzo</v>
      </c>
      <c r="E1313" t="s">
        <v>485</v>
      </c>
      <c r="F1313" t="s">
        <v>2054</v>
      </c>
      <c r="G1313" t="s">
        <v>9494</v>
      </c>
      <c r="H1313">
        <v>10616</v>
      </c>
      <c r="I1313" t="s">
        <v>423</v>
      </c>
      <c r="J1313" t="s">
        <v>2072</v>
      </c>
      <c r="K1313" t="s">
        <v>2057</v>
      </c>
      <c r="L1313" t="s">
        <v>2058</v>
      </c>
      <c r="M1313">
        <v>406</v>
      </c>
      <c r="N1313">
        <v>22.84</v>
      </c>
      <c r="O1313">
        <v>2577.9499999999998</v>
      </c>
      <c r="P1313">
        <v>0</v>
      </c>
      <c r="Q1313">
        <v>2577.9499999999998</v>
      </c>
      <c r="R1313">
        <v>283.57</v>
      </c>
      <c r="S1313">
        <v>103.12</v>
      </c>
      <c r="T1313">
        <v>2758.4</v>
      </c>
      <c r="V1313" t="s">
        <v>9408</v>
      </c>
      <c r="W1313" t="s">
        <v>423</v>
      </c>
    </row>
    <row r="1314" spans="1:23" x14ac:dyDescent="0.2">
      <c r="A1314">
        <v>2012</v>
      </c>
      <c r="B1314" t="s">
        <v>304</v>
      </c>
      <c r="C1314" s="733">
        <v>40967</v>
      </c>
      <c r="D13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14" t="s">
        <v>485</v>
      </c>
      <c r="F1314" t="s">
        <v>2065</v>
      </c>
      <c r="G1314" t="s">
        <v>8909</v>
      </c>
      <c r="H1314">
        <v>42748</v>
      </c>
      <c r="I1314" t="s">
        <v>423</v>
      </c>
      <c r="J1314" t="s">
        <v>2050</v>
      </c>
      <c r="K1314" t="s">
        <v>2051</v>
      </c>
      <c r="L1314" t="s">
        <v>2052</v>
      </c>
      <c r="M1314">
        <v>90</v>
      </c>
      <c r="N1314">
        <v>29.6</v>
      </c>
      <c r="O1314">
        <v>4153.18</v>
      </c>
      <c r="P1314">
        <v>0</v>
      </c>
      <c r="Q1314">
        <v>4153.18</v>
      </c>
      <c r="R1314">
        <v>664.51</v>
      </c>
      <c r="S1314">
        <v>166.13</v>
      </c>
      <c r="T1314">
        <v>4651.5600000000004</v>
      </c>
      <c r="U1314" t="s">
        <v>8780</v>
      </c>
      <c r="V1314" t="s">
        <v>9408</v>
      </c>
      <c r="W1314" t="s">
        <v>423</v>
      </c>
    </row>
    <row r="1315" spans="1:23" hidden="1" x14ac:dyDescent="0.2">
      <c r="A1315">
        <v>2012</v>
      </c>
      <c r="B1315" t="s">
        <v>304</v>
      </c>
      <c r="C1315" s="733">
        <v>40941</v>
      </c>
      <c r="D13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15" t="s">
        <v>485</v>
      </c>
      <c r="F1315" t="s">
        <v>2048</v>
      </c>
      <c r="G1315" t="s">
        <v>6454</v>
      </c>
      <c r="H1315">
        <v>41331</v>
      </c>
      <c r="I1315" t="s">
        <v>423</v>
      </c>
      <c r="J1315" t="s">
        <v>2050</v>
      </c>
      <c r="K1315" t="s">
        <v>2051</v>
      </c>
      <c r="L1315" t="s">
        <v>2052</v>
      </c>
      <c r="M1315">
        <v>90</v>
      </c>
      <c r="N1315">
        <v>58</v>
      </c>
      <c r="O1315">
        <v>8137.98</v>
      </c>
      <c r="P1315">
        <v>0</v>
      </c>
      <c r="Q1315">
        <v>8137.98</v>
      </c>
      <c r="R1315">
        <v>1302.08</v>
      </c>
      <c r="S1315">
        <v>325.52</v>
      </c>
      <c r="T1315">
        <v>9114.5400000000009</v>
      </c>
      <c r="U1315" t="s">
        <v>2067</v>
      </c>
      <c r="V1315" t="s">
        <v>9409</v>
      </c>
      <c r="W1315" t="s">
        <v>423</v>
      </c>
    </row>
    <row r="1316" spans="1:23" x14ac:dyDescent="0.2">
      <c r="A1316">
        <v>2012</v>
      </c>
      <c r="B1316" t="s">
        <v>304</v>
      </c>
      <c r="C1316" s="733">
        <v>40967</v>
      </c>
      <c r="D13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16" t="s">
        <v>485</v>
      </c>
      <c r="F1316" t="s">
        <v>2084</v>
      </c>
      <c r="G1316" t="s">
        <v>8975</v>
      </c>
      <c r="H1316">
        <v>42725</v>
      </c>
      <c r="I1316" t="s">
        <v>423</v>
      </c>
      <c r="J1316" t="s">
        <v>2050</v>
      </c>
      <c r="K1316" t="s">
        <v>2051</v>
      </c>
      <c r="L1316" t="s">
        <v>2052</v>
      </c>
      <c r="M1316">
        <v>90</v>
      </c>
      <c r="N1316">
        <v>25.5</v>
      </c>
      <c r="O1316">
        <v>3577.9</v>
      </c>
      <c r="P1316">
        <v>0</v>
      </c>
      <c r="Q1316">
        <v>3577.9</v>
      </c>
      <c r="R1316">
        <v>572.46</v>
      </c>
      <c r="S1316">
        <v>143.12</v>
      </c>
      <c r="T1316">
        <v>4007.24</v>
      </c>
      <c r="V1316" t="s">
        <v>9408</v>
      </c>
      <c r="W1316" t="s">
        <v>423</v>
      </c>
    </row>
    <row r="1317" spans="1:23" hidden="1" x14ac:dyDescent="0.2">
      <c r="A1317">
        <v>2012</v>
      </c>
      <c r="B1317" t="s">
        <v>303</v>
      </c>
      <c r="C1317" s="733">
        <v>40933.542071759257</v>
      </c>
      <c r="D13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17" t="s">
        <v>485</v>
      </c>
      <c r="F1317" t="s">
        <v>2065</v>
      </c>
      <c r="G1317" t="s">
        <v>2402</v>
      </c>
      <c r="H1317">
        <v>40853</v>
      </c>
      <c r="I1317" t="s">
        <v>423</v>
      </c>
      <c r="J1317" t="s">
        <v>2050</v>
      </c>
      <c r="K1317" t="s">
        <v>2051</v>
      </c>
      <c r="L1317" t="s">
        <v>2052</v>
      </c>
      <c r="M1317">
        <v>90</v>
      </c>
      <c r="N1317">
        <v>24.8</v>
      </c>
      <c r="O1317">
        <v>3479.69</v>
      </c>
      <c r="P1317">
        <v>0</v>
      </c>
      <c r="Q1317">
        <v>3479.69</v>
      </c>
      <c r="R1317">
        <v>556.75</v>
      </c>
      <c r="S1317">
        <v>139.19</v>
      </c>
      <c r="T1317">
        <v>3897.25</v>
      </c>
      <c r="V1317" t="s">
        <v>9408</v>
      </c>
      <c r="W1317" t="s">
        <v>423</v>
      </c>
    </row>
    <row r="1318" spans="1:23" hidden="1" x14ac:dyDescent="0.2">
      <c r="A1318">
        <v>2012</v>
      </c>
      <c r="B1318" t="s">
        <v>303</v>
      </c>
      <c r="C1318" s="733">
        <v>40919</v>
      </c>
      <c r="D13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18" t="s">
        <v>485</v>
      </c>
      <c r="F1318" t="s">
        <v>2065</v>
      </c>
      <c r="G1318" t="s">
        <v>2399</v>
      </c>
      <c r="H1318">
        <v>40145</v>
      </c>
      <c r="I1318" t="s">
        <v>423</v>
      </c>
      <c r="J1318" t="s">
        <v>2050</v>
      </c>
      <c r="K1318" t="s">
        <v>2051</v>
      </c>
      <c r="L1318" t="s">
        <v>2052</v>
      </c>
      <c r="M1318">
        <v>90</v>
      </c>
      <c r="N1318">
        <v>58.6</v>
      </c>
      <c r="O1318">
        <v>8222.17</v>
      </c>
      <c r="P1318">
        <v>0</v>
      </c>
      <c r="Q1318">
        <v>8222.17</v>
      </c>
      <c r="R1318">
        <v>1315.55</v>
      </c>
      <c r="S1318">
        <v>328.89</v>
      </c>
      <c r="T1318">
        <v>9208.83</v>
      </c>
      <c r="U1318" t="s">
        <v>2062</v>
      </c>
      <c r="V1318" t="s">
        <v>9409</v>
      </c>
      <c r="W1318" t="s">
        <v>423</v>
      </c>
    </row>
    <row r="1319" spans="1:23" hidden="1" x14ac:dyDescent="0.2">
      <c r="A1319">
        <v>2012</v>
      </c>
      <c r="B1319" t="s">
        <v>304</v>
      </c>
      <c r="C1319" s="733">
        <v>40941</v>
      </c>
      <c r="D13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19" t="s">
        <v>485</v>
      </c>
      <c r="F1319" t="s">
        <v>2084</v>
      </c>
      <c r="G1319" t="s">
        <v>2416</v>
      </c>
      <c r="H1319">
        <v>41315</v>
      </c>
      <c r="I1319" t="s">
        <v>423</v>
      </c>
      <c r="J1319" t="s">
        <v>2171</v>
      </c>
      <c r="K1319" t="s">
        <v>2051</v>
      </c>
      <c r="L1319" t="s">
        <v>2052</v>
      </c>
      <c r="M1319">
        <v>57</v>
      </c>
      <c r="N1319">
        <v>49.65</v>
      </c>
      <c r="O1319">
        <v>6966.39</v>
      </c>
      <c r="P1319">
        <v>0</v>
      </c>
      <c r="Q1319">
        <v>6966.39</v>
      </c>
      <c r="R1319">
        <v>1114.6199999999999</v>
      </c>
      <c r="S1319">
        <v>278.66000000000003</v>
      </c>
      <c r="T1319">
        <v>7802.35</v>
      </c>
      <c r="U1319" t="s">
        <v>2067</v>
      </c>
      <c r="V1319" t="s">
        <v>9409</v>
      </c>
      <c r="W1319" t="s">
        <v>423</v>
      </c>
    </row>
    <row r="1320" spans="1:23" hidden="1" x14ac:dyDescent="0.2">
      <c r="A1320">
        <v>2012</v>
      </c>
      <c r="B1320" t="s">
        <v>304</v>
      </c>
      <c r="C1320" s="733">
        <v>40941</v>
      </c>
      <c r="D13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20" t="s">
        <v>485</v>
      </c>
      <c r="F1320" t="s">
        <v>2084</v>
      </c>
      <c r="G1320" t="s">
        <v>2415</v>
      </c>
      <c r="H1320">
        <v>41321</v>
      </c>
      <c r="I1320" t="s">
        <v>423</v>
      </c>
      <c r="J1320" t="s">
        <v>2171</v>
      </c>
      <c r="K1320" t="s">
        <v>2051</v>
      </c>
      <c r="L1320" t="s">
        <v>2052</v>
      </c>
      <c r="M1320">
        <v>57</v>
      </c>
      <c r="N1320">
        <v>26.9</v>
      </c>
      <c r="O1320">
        <v>3774.34</v>
      </c>
      <c r="P1320">
        <v>0</v>
      </c>
      <c r="Q1320">
        <v>3774.34</v>
      </c>
      <c r="R1320">
        <v>603.89</v>
      </c>
      <c r="S1320">
        <v>150.97</v>
      </c>
      <c r="T1320">
        <v>4227.26</v>
      </c>
      <c r="U1320" t="s">
        <v>2067</v>
      </c>
      <c r="V1320" t="s">
        <v>9408</v>
      </c>
      <c r="W1320" t="s">
        <v>423</v>
      </c>
    </row>
    <row r="1321" spans="1:23" hidden="1" x14ac:dyDescent="0.2">
      <c r="A1321">
        <v>2012</v>
      </c>
      <c r="B1321" t="s">
        <v>304</v>
      </c>
      <c r="C1321" s="733">
        <v>40961</v>
      </c>
      <c r="D13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21" t="s">
        <v>505</v>
      </c>
      <c r="F1321" t="s">
        <v>1915</v>
      </c>
      <c r="G1321" t="s">
        <v>8255</v>
      </c>
      <c r="H1321">
        <v>22913</v>
      </c>
      <c r="I1321" t="s">
        <v>424</v>
      </c>
      <c r="J1321" t="s">
        <v>1917</v>
      </c>
      <c r="K1321" t="s">
        <v>1918</v>
      </c>
      <c r="L1321" t="s">
        <v>1919</v>
      </c>
      <c r="M1321">
        <v>267</v>
      </c>
      <c r="N1321">
        <v>30</v>
      </c>
      <c r="O1321">
        <v>4613.7</v>
      </c>
      <c r="P1321">
        <v>0</v>
      </c>
      <c r="Q1321">
        <v>4613.7</v>
      </c>
      <c r="R1321">
        <v>738.19</v>
      </c>
      <c r="S1321">
        <v>184.55</v>
      </c>
      <c r="T1321">
        <v>5167.34</v>
      </c>
      <c r="U1321" t="s">
        <v>8491</v>
      </c>
      <c r="V1321" t="s">
        <v>9408</v>
      </c>
      <c r="W1321" t="s">
        <v>424</v>
      </c>
    </row>
    <row r="1322" spans="1:23" hidden="1" x14ac:dyDescent="0.2">
      <c r="A1322">
        <v>2012</v>
      </c>
      <c r="B1322" t="s">
        <v>305</v>
      </c>
      <c r="C1322" s="733">
        <v>40970</v>
      </c>
      <c r="D1322" s="733" t="str">
        <f>CHOOSE(MONTH(Tabla_sqldatos_bonampakdb_Bon_v_ingresos2012[[#This Row],[fecha_guia]]),"Enero","Febrero","Marzo","Abril","Mayo","Junio","Julio","Agosto","Septiembre","Octubre","Noviembre","Diciembre")</f>
        <v>Marzo</v>
      </c>
      <c r="E1322" t="s">
        <v>505</v>
      </c>
      <c r="F1322" t="s">
        <v>1915</v>
      </c>
      <c r="G1322" t="s">
        <v>9672</v>
      </c>
      <c r="H1322">
        <v>23148</v>
      </c>
      <c r="I1322" t="s">
        <v>423</v>
      </c>
      <c r="J1322" t="s">
        <v>1917</v>
      </c>
      <c r="K1322" t="s">
        <v>1918</v>
      </c>
      <c r="L1322" t="s">
        <v>1919</v>
      </c>
      <c r="M1322">
        <v>267</v>
      </c>
      <c r="N1322">
        <v>23.99</v>
      </c>
      <c r="O1322">
        <v>5393.91</v>
      </c>
      <c r="P1322">
        <v>0</v>
      </c>
      <c r="Q1322">
        <v>5393.91</v>
      </c>
      <c r="R1322">
        <v>863.03</v>
      </c>
      <c r="S1322">
        <v>215.76</v>
      </c>
      <c r="T1322">
        <v>6041.18</v>
      </c>
      <c r="V1322" t="s">
        <v>9408</v>
      </c>
      <c r="W1322" t="s">
        <v>423</v>
      </c>
    </row>
    <row r="1323" spans="1:23" hidden="1" x14ac:dyDescent="0.2">
      <c r="A1323">
        <v>2012</v>
      </c>
      <c r="B1323" t="s">
        <v>303</v>
      </c>
      <c r="C1323" s="733">
        <v>40918</v>
      </c>
      <c r="D13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23" t="s">
        <v>478</v>
      </c>
      <c r="F1323" t="s">
        <v>2136</v>
      </c>
      <c r="G1323" t="s">
        <v>6701</v>
      </c>
      <c r="H1323">
        <v>34307</v>
      </c>
      <c r="I1323" t="s">
        <v>423</v>
      </c>
      <c r="J1323" t="s">
        <v>4632</v>
      </c>
      <c r="K1323" t="s">
        <v>425</v>
      </c>
      <c r="L1323" t="s">
        <v>2145</v>
      </c>
      <c r="M1323">
        <v>1395</v>
      </c>
      <c r="N1323">
        <v>52.26</v>
      </c>
      <c r="O1323">
        <v>47388.85</v>
      </c>
      <c r="P1323">
        <v>0</v>
      </c>
      <c r="Q1323">
        <v>47388.85</v>
      </c>
      <c r="R1323">
        <v>7582.22</v>
      </c>
      <c r="S1323">
        <v>1895.55</v>
      </c>
      <c r="T1323">
        <v>53075.519999999997</v>
      </c>
      <c r="U1323" t="s">
        <v>2350</v>
      </c>
      <c r="V1323" t="s">
        <v>9409</v>
      </c>
      <c r="W1323" t="s">
        <v>423</v>
      </c>
    </row>
    <row r="1324" spans="1:23" hidden="1" x14ac:dyDescent="0.2">
      <c r="A1324">
        <v>2012</v>
      </c>
      <c r="B1324" t="s">
        <v>304</v>
      </c>
      <c r="C1324" s="733">
        <v>40946</v>
      </c>
      <c r="D13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24" t="s">
        <v>485</v>
      </c>
      <c r="F1324" t="s">
        <v>2065</v>
      </c>
      <c r="G1324" t="s">
        <v>6695</v>
      </c>
      <c r="H1324">
        <v>41355</v>
      </c>
      <c r="I1324" t="s">
        <v>423</v>
      </c>
      <c r="J1324" t="s">
        <v>4626</v>
      </c>
      <c r="K1324" t="s">
        <v>2102</v>
      </c>
      <c r="L1324" t="s">
        <v>2184</v>
      </c>
      <c r="M1324">
        <v>1457</v>
      </c>
      <c r="N1324">
        <v>54.1</v>
      </c>
      <c r="O1324">
        <v>40029.67</v>
      </c>
      <c r="P1324">
        <v>0</v>
      </c>
      <c r="Q1324">
        <v>40029.67</v>
      </c>
      <c r="R1324">
        <v>6404.75</v>
      </c>
      <c r="S1324">
        <v>1601.19</v>
      </c>
      <c r="T1324">
        <v>44833.23</v>
      </c>
      <c r="U1324" t="s">
        <v>7462</v>
      </c>
      <c r="V1324" t="s">
        <v>9408</v>
      </c>
      <c r="W1324" t="s">
        <v>423</v>
      </c>
    </row>
    <row r="1325" spans="1:23" hidden="1" x14ac:dyDescent="0.2">
      <c r="A1325">
        <v>2012</v>
      </c>
      <c r="B1325" t="s">
        <v>304</v>
      </c>
      <c r="C1325" s="733">
        <v>40966</v>
      </c>
      <c r="D13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25" t="s">
        <v>505</v>
      </c>
      <c r="F1325" t="s">
        <v>1915</v>
      </c>
      <c r="G1325" t="s">
        <v>8862</v>
      </c>
      <c r="H1325">
        <v>23035</v>
      </c>
      <c r="I1325" t="s">
        <v>423</v>
      </c>
      <c r="J1325" t="s">
        <v>1917</v>
      </c>
      <c r="K1325" t="s">
        <v>1918</v>
      </c>
      <c r="L1325" t="s">
        <v>1919</v>
      </c>
      <c r="M1325">
        <v>267</v>
      </c>
      <c r="N1325">
        <v>24.85</v>
      </c>
      <c r="O1325">
        <v>5587.27</v>
      </c>
      <c r="P1325">
        <v>0</v>
      </c>
      <c r="Q1325">
        <v>5587.27</v>
      </c>
      <c r="R1325">
        <v>893.96</v>
      </c>
      <c r="S1325">
        <v>223.49</v>
      </c>
      <c r="T1325">
        <v>6257.74</v>
      </c>
      <c r="U1325" t="s">
        <v>9415</v>
      </c>
      <c r="V1325" t="s">
        <v>9408</v>
      </c>
      <c r="W1325" t="s">
        <v>423</v>
      </c>
    </row>
    <row r="1326" spans="1:23" hidden="1" x14ac:dyDescent="0.2">
      <c r="A1326">
        <v>2012</v>
      </c>
      <c r="B1326" t="s">
        <v>305</v>
      </c>
      <c r="C1326" s="733">
        <v>40971</v>
      </c>
      <c r="D1326" s="733" t="str">
        <f>CHOOSE(MONTH(Tabla_sqldatos_bonampakdb_Bon_v_ingresos2012[[#This Row],[fecha_guia]]),"Enero","Febrero","Marzo","Abril","Mayo","Junio","Julio","Agosto","Septiembre","Octubre","Noviembre","Diciembre")</f>
        <v>Marzo</v>
      </c>
      <c r="E1326" t="s">
        <v>505</v>
      </c>
      <c r="F1326" t="s">
        <v>1915</v>
      </c>
      <c r="G1326" t="s">
        <v>9673</v>
      </c>
      <c r="H1326">
        <v>23155</v>
      </c>
      <c r="I1326" t="s">
        <v>1979</v>
      </c>
      <c r="J1326" t="s">
        <v>1917</v>
      </c>
      <c r="K1326" t="s">
        <v>1918</v>
      </c>
      <c r="L1326" t="s">
        <v>1919</v>
      </c>
      <c r="M1326">
        <v>267</v>
      </c>
      <c r="N1326">
        <v>49.51</v>
      </c>
      <c r="O1326">
        <v>11131.83</v>
      </c>
      <c r="P1326">
        <v>0</v>
      </c>
      <c r="Q1326">
        <v>11131.83</v>
      </c>
      <c r="R1326">
        <v>1781.09</v>
      </c>
      <c r="S1326">
        <v>445.27</v>
      </c>
      <c r="T1326">
        <v>12467.65</v>
      </c>
      <c r="V1326" t="s">
        <v>9409</v>
      </c>
      <c r="W1326" t="s">
        <v>1979</v>
      </c>
    </row>
    <row r="1327" spans="1:23" hidden="1" x14ac:dyDescent="0.2">
      <c r="A1327">
        <v>2012</v>
      </c>
      <c r="B1327" t="s">
        <v>303</v>
      </c>
      <c r="C1327" s="733">
        <v>40933</v>
      </c>
      <c r="D13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27" t="s">
        <v>485</v>
      </c>
      <c r="F1327" t="s">
        <v>2048</v>
      </c>
      <c r="G1327" t="s">
        <v>5856</v>
      </c>
      <c r="H1327">
        <v>40855</v>
      </c>
      <c r="I1327" t="s">
        <v>423</v>
      </c>
      <c r="J1327" t="s">
        <v>4073</v>
      </c>
      <c r="K1327" t="s">
        <v>2051</v>
      </c>
      <c r="L1327" t="s">
        <v>2052</v>
      </c>
      <c r="M1327">
        <v>610</v>
      </c>
      <c r="N1327">
        <v>54.85</v>
      </c>
      <c r="O1327">
        <v>19443.78</v>
      </c>
      <c r="P1327">
        <v>0</v>
      </c>
      <c r="Q1327">
        <v>19443.78</v>
      </c>
      <c r="R1327">
        <v>3111</v>
      </c>
      <c r="S1327">
        <v>777.75</v>
      </c>
      <c r="T1327">
        <v>21777.03</v>
      </c>
      <c r="U1327" t="s">
        <v>2053</v>
      </c>
      <c r="V1327" t="s">
        <v>9409</v>
      </c>
      <c r="W1327" t="s">
        <v>423</v>
      </c>
    </row>
    <row r="1328" spans="1:23" hidden="1" x14ac:dyDescent="0.2">
      <c r="A1328">
        <v>2012</v>
      </c>
      <c r="B1328" t="s">
        <v>303</v>
      </c>
      <c r="C1328" s="733">
        <v>40933</v>
      </c>
      <c r="D13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28" t="s">
        <v>485</v>
      </c>
      <c r="F1328" t="s">
        <v>2065</v>
      </c>
      <c r="G1328" t="s">
        <v>4307</v>
      </c>
      <c r="H1328">
        <v>40832</v>
      </c>
      <c r="I1328" t="s">
        <v>423</v>
      </c>
      <c r="J1328" t="s">
        <v>3054</v>
      </c>
      <c r="K1328" t="s">
        <v>2183</v>
      </c>
      <c r="L1328" t="s">
        <v>2184</v>
      </c>
      <c r="M1328">
        <v>43</v>
      </c>
      <c r="N1328">
        <v>16.04</v>
      </c>
      <c r="O1328">
        <v>1810.43</v>
      </c>
      <c r="P1328">
        <v>0</v>
      </c>
      <c r="Q1328">
        <v>1810.43</v>
      </c>
      <c r="R1328">
        <v>289.67</v>
      </c>
      <c r="S1328">
        <v>72.42</v>
      </c>
      <c r="T1328">
        <v>2027.68</v>
      </c>
      <c r="U1328" t="s">
        <v>2187</v>
      </c>
      <c r="V1328" t="s">
        <v>9408</v>
      </c>
      <c r="W1328" t="s">
        <v>423</v>
      </c>
    </row>
    <row r="1329" spans="1:23" hidden="1" x14ac:dyDescent="0.2">
      <c r="A1329">
        <v>2012</v>
      </c>
      <c r="B1329" t="s">
        <v>304</v>
      </c>
      <c r="C1329" s="733">
        <v>40955.445324074077</v>
      </c>
      <c r="D13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29" t="s">
        <v>485</v>
      </c>
      <c r="F1329" t="s">
        <v>2065</v>
      </c>
      <c r="G1329" t="s">
        <v>7715</v>
      </c>
      <c r="H1329">
        <v>42072</v>
      </c>
      <c r="I1329" t="s">
        <v>423</v>
      </c>
      <c r="J1329" t="s">
        <v>3054</v>
      </c>
      <c r="K1329" t="s">
        <v>2183</v>
      </c>
      <c r="L1329" t="s">
        <v>2184</v>
      </c>
      <c r="M1329">
        <v>43</v>
      </c>
      <c r="N1329">
        <v>15.51</v>
      </c>
      <c r="O1329">
        <v>1750.61</v>
      </c>
      <c r="P1329">
        <v>0</v>
      </c>
      <c r="Q1329">
        <v>1750.61</v>
      </c>
      <c r="R1329">
        <v>280.10000000000002</v>
      </c>
      <c r="S1329">
        <v>70.02</v>
      </c>
      <c r="T1329">
        <v>1960.69</v>
      </c>
      <c r="U1329" t="s">
        <v>8048</v>
      </c>
      <c r="V1329" t="s">
        <v>9408</v>
      </c>
      <c r="W1329" t="s">
        <v>423</v>
      </c>
    </row>
    <row r="1330" spans="1:23" hidden="1" x14ac:dyDescent="0.2">
      <c r="A1330">
        <v>2012</v>
      </c>
      <c r="B1330" t="s">
        <v>303</v>
      </c>
      <c r="C1330" s="733">
        <v>40921</v>
      </c>
      <c r="D13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30" t="s">
        <v>485</v>
      </c>
      <c r="F1330" t="s">
        <v>2065</v>
      </c>
      <c r="G1330" t="s">
        <v>4305</v>
      </c>
      <c r="H1330">
        <v>40232</v>
      </c>
      <c r="I1330" t="s">
        <v>423</v>
      </c>
      <c r="J1330" t="s">
        <v>3054</v>
      </c>
      <c r="K1330" t="s">
        <v>2183</v>
      </c>
      <c r="L1330" t="s">
        <v>2184</v>
      </c>
      <c r="M1330">
        <v>43</v>
      </c>
      <c r="N1330">
        <v>14.12</v>
      </c>
      <c r="O1330">
        <v>1593.72</v>
      </c>
      <c r="P1330">
        <v>0</v>
      </c>
      <c r="Q1330">
        <v>1593.72</v>
      </c>
      <c r="R1330">
        <v>255</v>
      </c>
      <c r="S1330">
        <v>63.75</v>
      </c>
      <c r="T1330">
        <v>1784.97</v>
      </c>
      <c r="U1330" t="s">
        <v>7520</v>
      </c>
      <c r="V1330" t="s">
        <v>9408</v>
      </c>
      <c r="W1330" t="s">
        <v>423</v>
      </c>
    </row>
    <row r="1331" spans="1:23" hidden="1" x14ac:dyDescent="0.2">
      <c r="A1331">
        <v>2012</v>
      </c>
      <c r="B1331" t="s">
        <v>304</v>
      </c>
      <c r="C1331" s="733">
        <v>40960</v>
      </c>
      <c r="D13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31" t="s">
        <v>478</v>
      </c>
      <c r="F1331" t="s">
        <v>2136</v>
      </c>
      <c r="G1331" t="s">
        <v>8335</v>
      </c>
      <c r="H1331">
        <v>35806</v>
      </c>
      <c r="I1331" t="s">
        <v>423</v>
      </c>
      <c r="J1331" t="s">
        <v>4270</v>
      </c>
      <c r="K1331" t="s">
        <v>425</v>
      </c>
      <c r="L1331" t="s">
        <v>2145</v>
      </c>
      <c r="M1331">
        <v>560</v>
      </c>
      <c r="N1331">
        <v>42.37</v>
      </c>
      <c r="O1331">
        <v>13537.22</v>
      </c>
      <c r="P1331">
        <v>0</v>
      </c>
      <c r="Q1331">
        <v>13537.22</v>
      </c>
      <c r="R1331">
        <v>2165.9499999999998</v>
      </c>
      <c r="S1331">
        <v>541.49</v>
      </c>
      <c r="T1331">
        <v>15161.68</v>
      </c>
      <c r="U1331" t="s">
        <v>8312</v>
      </c>
      <c r="V1331" t="s">
        <v>9409</v>
      </c>
      <c r="W1331" t="s">
        <v>423</v>
      </c>
    </row>
    <row r="1332" spans="1:23" hidden="1" x14ac:dyDescent="0.2">
      <c r="A1332">
        <v>2012</v>
      </c>
      <c r="B1332" t="s">
        <v>303</v>
      </c>
      <c r="C1332" s="733">
        <v>40914</v>
      </c>
      <c r="D13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32" t="s">
        <v>478</v>
      </c>
      <c r="F1332" t="s">
        <v>2136</v>
      </c>
      <c r="G1332" t="s">
        <v>6703</v>
      </c>
      <c r="H1332">
        <v>34259</v>
      </c>
      <c r="I1332" t="s">
        <v>423</v>
      </c>
      <c r="J1332" t="s">
        <v>4270</v>
      </c>
      <c r="K1332" t="s">
        <v>425</v>
      </c>
      <c r="L1332" t="s">
        <v>2145</v>
      </c>
      <c r="M1332">
        <v>560</v>
      </c>
      <c r="N1332">
        <v>53.57</v>
      </c>
      <c r="O1332">
        <v>17115.62</v>
      </c>
      <c r="P1332">
        <v>0</v>
      </c>
      <c r="Q1332">
        <v>17115.62</v>
      </c>
      <c r="R1332">
        <v>2738.5</v>
      </c>
      <c r="S1332">
        <v>684.62</v>
      </c>
      <c r="T1332">
        <v>19169.5</v>
      </c>
      <c r="U1332" t="s">
        <v>2146</v>
      </c>
      <c r="V1332" t="s">
        <v>9409</v>
      </c>
      <c r="W1332" t="s">
        <v>423</v>
      </c>
    </row>
    <row r="1333" spans="1:23" hidden="1" x14ac:dyDescent="0.2">
      <c r="A1333">
        <v>2012</v>
      </c>
      <c r="B1333" t="s">
        <v>303</v>
      </c>
      <c r="C1333" s="733">
        <v>40931</v>
      </c>
      <c r="D13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33" t="s">
        <v>485</v>
      </c>
      <c r="F1333" t="s">
        <v>2065</v>
      </c>
      <c r="G1333" t="s">
        <v>6693</v>
      </c>
      <c r="H1333">
        <v>40581</v>
      </c>
      <c r="I1333" t="s">
        <v>423</v>
      </c>
      <c r="J1333" t="s">
        <v>4626</v>
      </c>
      <c r="K1333" t="s">
        <v>2102</v>
      </c>
      <c r="L1333" t="s">
        <v>2115</v>
      </c>
      <c r="M1333">
        <v>1457</v>
      </c>
      <c r="N1333">
        <v>25.49</v>
      </c>
      <c r="O1333">
        <v>18860.560000000001</v>
      </c>
      <c r="P1333">
        <v>0</v>
      </c>
      <c r="Q1333">
        <v>18860.560000000001</v>
      </c>
      <c r="R1333">
        <v>3017.69</v>
      </c>
      <c r="S1333">
        <v>754.42</v>
      </c>
      <c r="T1333">
        <v>21123.83</v>
      </c>
      <c r="U1333" t="s">
        <v>2108</v>
      </c>
      <c r="V1333" t="s">
        <v>9408</v>
      </c>
      <c r="W1333" t="s">
        <v>423</v>
      </c>
    </row>
    <row r="1334" spans="1:23" hidden="1" x14ac:dyDescent="0.2">
      <c r="A1334">
        <v>2012</v>
      </c>
      <c r="B1334" t="s">
        <v>303</v>
      </c>
      <c r="C1334" s="733">
        <v>40926.454502314817</v>
      </c>
      <c r="D13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34" t="s">
        <v>485</v>
      </c>
      <c r="F1334" t="s">
        <v>2065</v>
      </c>
      <c r="G1334" t="s">
        <v>6694</v>
      </c>
      <c r="H1334">
        <v>40496</v>
      </c>
      <c r="I1334" t="s">
        <v>423</v>
      </c>
      <c r="J1334" t="s">
        <v>3280</v>
      </c>
      <c r="K1334" t="s">
        <v>2102</v>
      </c>
      <c r="L1334" t="s">
        <v>2184</v>
      </c>
      <c r="M1334">
        <v>1020</v>
      </c>
      <c r="N1334">
        <v>26.98</v>
      </c>
      <c r="O1334">
        <v>19963.04</v>
      </c>
      <c r="P1334">
        <v>0</v>
      </c>
      <c r="Q1334">
        <v>19963.04</v>
      </c>
      <c r="R1334">
        <v>3194.09</v>
      </c>
      <c r="S1334">
        <v>798.52</v>
      </c>
      <c r="T1334">
        <v>22358.61</v>
      </c>
      <c r="U1334" t="s">
        <v>2106</v>
      </c>
      <c r="V1334" t="s">
        <v>9409</v>
      </c>
      <c r="W1334" t="s">
        <v>423</v>
      </c>
    </row>
    <row r="1335" spans="1:23" hidden="1" x14ac:dyDescent="0.2">
      <c r="A1335">
        <v>2012</v>
      </c>
      <c r="B1335" t="s">
        <v>304</v>
      </c>
      <c r="C1335" s="733">
        <v>40960</v>
      </c>
      <c r="D13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35" t="s">
        <v>485</v>
      </c>
      <c r="F1335" t="s">
        <v>2065</v>
      </c>
      <c r="G1335" t="s">
        <v>8199</v>
      </c>
      <c r="H1335">
        <v>42348</v>
      </c>
      <c r="I1335" t="s">
        <v>423</v>
      </c>
      <c r="J1335" t="s">
        <v>4073</v>
      </c>
      <c r="K1335" t="s">
        <v>2051</v>
      </c>
      <c r="L1335" t="s">
        <v>2052</v>
      </c>
      <c r="M1335">
        <v>610</v>
      </c>
      <c r="N1335">
        <v>55.4</v>
      </c>
      <c r="O1335">
        <v>19638.75</v>
      </c>
      <c r="P1335">
        <v>0</v>
      </c>
      <c r="Q1335">
        <v>19638.75</v>
      </c>
      <c r="R1335">
        <v>3142.2</v>
      </c>
      <c r="S1335">
        <v>785.55</v>
      </c>
      <c r="T1335">
        <v>21995.4</v>
      </c>
      <c r="U1335" t="s">
        <v>8780</v>
      </c>
      <c r="V1335" t="s">
        <v>9409</v>
      </c>
      <c r="W1335" t="s">
        <v>423</v>
      </c>
    </row>
    <row r="1336" spans="1:23" hidden="1" x14ac:dyDescent="0.2">
      <c r="A1336">
        <v>2012</v>
      </c>
      <c r="B1336" t="s">
        <v>304</v>
      </c>
      <c r="C1336" s="733">
        <v>40959</v>
      </c>
      <c r="D13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36" t="s">
        <v>485</v>
      </c>
      <c r="F1336" t="s">
        <v>2065</v>
      </c>
      <c r="G1336" t="s">
        <v>7739</v>
      </c>
      <c r="H1336">
        <v>42093</v>
      </c>
      <c r="I1336" t="s">
        <v>423</v>
      </c>
      <c r="J1336" t="s">
        <v>4626</v>
      </c>
      <c r="K1336" t="s">
        <v>2102</v>
      </c>
      <c r="L1336" t="s">
        <v>2115</v>
      </c>
      <c r="M1336">
        <v>1457</v>
      </c>
      <c r="N1336">
        <v>54.3</v>
      </c>
      <c r="O1336">
        <v>40177.660000000003</v>
      </c>
      <c r="P1336">
        <v>0</v>
      </c>
      <c r="Q1336">
        <v>40177.660000000003</v>
      </c>
      <c r="R1336">
        <v>6428.42</v>
      </c>
      <c r="S1336">
        <v>1607.11</v>
      </c>
      <c r="T1336">
        <v>44998.97</v>
      </c>
      <c r="U1336" t="s">
        <v>8883</v>
      </c>
      <c r="V1336" t="s">
        <v>9409</v>
      </c>
      <c r="W1336" t="s">
        <v>423</v>
      </c>
    </row>
    <row r="1337" spans="1:23" hidden="1" x14ac:dyDescent="0.2">
      <c r="A1337">
        <v>2012</v>
      </c>
      <c r="B1337" t="s">
        <v>303</v>
      </c>
      <c r="C1337" s="733">
        <v>40921</v>
      </c>
      <c r="D13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37" t="s">
        <v>478</v>
      </c>
      <c r="F1337" t="s">
        <v>2136</v>
      </c>
      <c r="G1337" t="s">
        <v>6702</v>
      </c>
      <c r="H1337">
        <v>34475</v>
      </c>
      <c r="I1337" t="s">
        <v>423</v>
      </c>
      <c r="J1337" t="s">
        <v>4270</v>
      </c>
      <c r="K1337" t="s">
        <v>425</v>
      </c>
      <c r="L1337" t="s">
        <v>2145</v>
      </c>
      <c r="M1337">
        <v>560</v>
      </c>
      <c r="N1337">
        <v>26.3</v>
      </c>
      <c r="O1337">
        <v>8402.85</v>
      </c>
      <c r="P1337">
        <v>0</v>
      </c>
      <c r="Q1337">
        <v>8402.85</v>
      </c>
      <c r="R1337">
        <v>1344.46</v>
      </c>
      <c r="S1337">
        <v>336.11</v>
      </c>
      <c r="T1337">
        <v>9411.2000000000007</v>
      </c>
      <c r="U1337" t="s">
        <v>2350</v>
      </c>
      <c r="V1337" t="s">
        <v>9408</v>
      </c>
      <c r="W1337" t="s">
        <v>423</v>
      </c>
    </row>
    <row r="1338" spans="1:23" hidden="1" x14ac:dyDescent="0.2">
      <c r="A1338">
        <v>2012</v>
      </c>
      <c r="B1338" t="s">
        <v>305</v>
      </c>
      <c r="C1338" s="733">
        <v>40969</v>
      </c>
      <c r="D1338" s="733" t="str">
        <f>CHOOSE(MONTH(Tabla_sqldatos_bonampakdb_Bon_v_ingresos2012[[#This Row],[fecha_guia]]),"Enero","Febrero","Marzo","Abril","Mayo","Junio","Julio","Agosto","Septiembre","Octubre","Noviembre","Diciembre")</f>
        <v>Marzo</v>
      </c>
      <c r="E1338" t="s">
        <v>485</v>
      </c>
      <c r="F1338" t="s">
        <v>2065</v>
      </c>
      <c r="G1338" t="s">
        <v>9561</v>
      </c>
      <c r="H1338">
        <v>42811</v>
      </c>
      <c r="I1338" t="s">
        <v>423</v>
      </c>
      <c r="J1338" t="s">
        <v>3280</v>
      </c>
      <c r="K1338" t="s">
        <v>2183</v>
      </c>
      <c r="L1338" t="s">
        <v>2184</v>
      </c>
      <c r="M1338">
        <v>1020</v>
      </c>
      <c r="N1338">
        <v>52.69</v>
      </c>
      <c r="O1338">
        <v>29268.77</v>
      </c>
      <c r="P1338">
        <v>0</v>
      </c>
      <c r="Q1338">
        <v>29268.77</v>
      </c>
      <c r="R1338">
        <v>4683</v>
      </c>
      <c r="S1338">
        <v>1170.75</v>
      </c>
      <c r="T1338">
        <v>32781.019999999997</v>
      </c>
      <c r="V1338" t="s">
        <v>9409</v>
      </c>
      <c r="W1338" t="s">
        <v>423</v>
      </c>
    </row>
    <row r="1339" spans="1:23" hidden="1" x14ac:dyDescent="0.2">
      <c r="A1339">
        <v>2012</v>
      </c>
      <c r="B1339" t="s">
        <v>303</v>
      </c>
      <c r="C1339" s="733">
        <v>40927</v>
      </c>
      <c r="D13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39" t="s">
        <v>485</v>
      </c>
      <c r="F1339" t="s">
        <v>2065</v>
      </c>
      <c r="G1339" t="s">
        <v>5700</v>
      </c>
      <c r="H1339">
        <v>40567</v>
      </c>
      <c r="I1339" t="s">
        <v>423</v>
      </c>
      <c r="J1339" t="s">
        <v>3054</v>
      </c>
      <c r="K1339" t="s">
        <v>2183</v>
      </c>
      <c r="L1339" t="s">
        <v>2184</v>
      </c>
      <c r="M1339">
        <v>43</v>
      </c>
      <c r="N1339">
        <v>15.44</v>
      </c>
      <c r="O1339">
        <v>1742.71</v>
      </c>
      <c r="P1339">
        <v>0</v>
      </c>
      <c r="Q1339">
        <v>1742.71</v>
      </c>
      <c r="R1339">
        <v>278.83</v>
      </c>
      <c r="S1339">
        <v>69.709999999999994</v>
      </c>
      <c r="T1339">
        <v>1951.83</v>
      </c>
      <c r="U1339" t="s">
        <v>7554</v>
      </c>
      <c r="V1339" t="s">
        <v>9408</v>
      </c>
      <c r="W1339" t="s">
        <v>423</v>
      </c>
    </row>
    <row r="1340" spans="1:23" hidden="1" x14ac:dyDescent="0.2">
      <c r="A1340">
        <v>2012</v>
      </c>
      <c r="B1340" t="s">
        <v>303</v>
      </c>
      <c r="C1340" s="733">
        <v>40910.472025462965</v>
      </c>
      <c r="D13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40" t="s">
        <v>485</v>
      </c>
      <c r="F1340" t="s">
        <v>2065</v>
      </c>
      <c r="G1340" t="s">
        <v>5703</v>
      </c>
      <c r="H1340">
        <v>39662</v>
      </c>
      <c r="I1340" t="s">
        <v>423</v>
      </c>
      <c r="J1340" t="s">
        <v>3054</v>
      </c>
      <c r="K1340" t="s">
        <v>2183</v>
      </c>
      <c r="L1340" t="s">
        <v>2184</v>
      </c>
      <c r="M1340">
        <v>43</v>
      </c>
      <c r="N1340">
        <v>15.83</v>
      </c>
      <c r="O1340">
        <v>752.24</v>
      </c>
      <c r="P1340">
        <v>846.93949399999997</v>
      </c>
      <c r="Q1340">
        <v>1599.179494</v>
      </c>
      <c r="R1340">
        <v>255.868719</v>
      </c>
      <c r="S1340">
        <v>63.967179999999999</v>
      </c>
      <c r="T1340">
        <v>1791.0810329999999</v>
      </c>
      <c r="U1340" t="s">
        <v>3038</v>
      </c>
      <c r="V1340" t="s">
        <v>9408</v>
      </c>
      <c r="W1340" t="s">
        <v>423</v>
      </c>
    </row>
    <row r="1341" spans="1:23" hidden="1" x14ac:dyDescent="0.2">
      <c r="A1341">
        <v>2012</v>
      </c>
      <c r="B1341" t="s">
        <v>303</v>
      </c>
      <c r="C1341" s="733">
        <v>40933</v>
      </c>
      <c r="D13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41" t="s">
        <v>485</v>
      </c>
      <c r="F1341" t="s">
        <v>2065</v>
      </c>
      <c r="G1341" t="s">
        <v>5702</v>
      </c>
      <c r="H1341">
        <v>40845</v>
      </c>
      <c r="I1341" t="s">
        <v>423</v>
      </c>
      <c r="J1341" t="s">
        <v>3054</v>
      </c>
      <c r="K1341" t="s">
        <v>2183</v>
      </c>
      <c r="L1341" t="s">
        <v>2184</v>
      </c>
      <c r="M1341">
        <v>43</v>
      </c>
      <c r="N1341">
        <v>16.54</v>
      </c>
      <c r="O1341">
        <v>1866.87</v>
      </c>
      <c r="P1341">
        <v>0</v>
      </c>
      <c r="Q1341">
        <v>1866.87</v>
      </c>
      <c r="R1341">
        <v>298.7</v>
      </c>
      <c r="S1341">
        <v>74.67</v>
      </c>
      <c r="T1341">
        <v>2090.9</v>
      </c>
      <c r="U1341" t="s">
        <v>2187</v>
      </c>
      <c r="V1341" t="s">
        <v>9408</v>
      </c>
      <c r="W1341" t="s">
        <v>423</v>
      </c>
    </row>
    <row r="1342" spans="1:23" hidden="1" x14ac:dyDescent="0.2">
      <c r="A1342">
        <v>2012</v>
      </c>
      <c r="B1342" t="s">
        <v>305</v>
      </c>
      <c r="C1342" s="733">
        <v>40973</v>
      </c>
      <c r="D1342" s="733" t="str">
        <f>CHOOSE(MONTH(Tabla_sqldatos_bonampakdb_Bon_v_ingresos2012[[#This Row],[fecha_guia]]),"Enero","Febrero","Marzo","Abril","Mayo","Junio","Julio","Agosto","Septiembre","Octubre","Noviembre","Diciembre")</f>
        <v>Marzo</v>
      </c>
      <c r="E1342" t="s">
        <v>505</v>
      </c>
      <c r="F1342" t="s">
        <v>1915</v>
      </c>
      <c r="G1342" t="s">
        <v>9674</v>
      </c>
      <c r="H1342">
        <v>23154</v>
      </c>
      <c r="I1342" t="s">
        <v>424</v>
      </c>
      <c r="J1342" t="s">
        <v>1954</v>
      </c>
      <c r="K1342" t="s">
        <v>1918</v>
      </c>
      <c r="L1342" t="s">
        <v>1919</v>
      </c>
      <c r="M1342">
        <v>303</v>
      </c>
      <c r="N1342">
        <v>27</v>
      </c>
      <c r="O1342">
        <v>5276.07</v>
      </c>
      <c r="P1342">
        <v>0</v>
      </c>
      <c r="Q1342">
        <v>5276.07</v>
      </c>
      <c r="R1342">
        <v>844.17</v>
      </c>
      <c r="S1342">
        <v>211.04</v>
      </c>
      <c r="T1342">
        <v>5909.2</v>
      </c>
      <c r="V1342" t="s">
        <v>9409</v>
      </c>
      <c r="W1342" t="s">
        <v>424</v>
      </c>
    </row>
    <row r="1343" spans="1:23" x14ac:dyDescent="0.2">
      <c r="A1343">
        <v>2012</v>
      </c>
      <c r="B1343" t="s">
        <v>304</v>
      </c>
      <c r="C1343" s="733">
        <v>40967</v>
      </c>
      <c r="D13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43" t="s">
        <v>485</v>
      </c>
      <c r="F1343" t="s">
        <v>2065</v>
      </c>
      <c r="G1343" t="s">
        <v>8898</v>
      </c>
      <c r="H1343">
        <v>42395</v>
      </c>
      <c r="I1343" t="s">
        <v>423</v>
      </c>
      <c r="J1343" t="s">
        <v>2813</v>
      </c>
      <c r="K1343" t="s">
        <v>2814</v>
      </c>
      <c r="L1343" t="s">
        <v>2815</v>
      </c>
      <c r="M1343">
        <v>365</v>
      </c>
      <c r="N1343">
        <v>23.974</v>
      </c>
      <c r="O1343">
        <v>6453.32</v>
      </c>
      <c r="P1343">
        <v>0</v>
      </c>
      <c r="Q1343">
        <v>6453.32</v>
      </c>
      <c r="R1343">
        <v>709.87</v>
      </c>
      <c r="S1343">
        <v>258.13</v>
      </c>
      <c r="T1343">
        <v>6905.06</v>
      </c>
      <c r="U1343" t="s">
        <v>8877</v>
      </c>
      <c r="V1343" t="s">
        <v>9408</v>
      </c>
      <c r="W1343" t="s">
        <v>423</v>
      </c>
    </row>
    <row r="1344" spans="1:23" hidden="1" x14ac:dyDescent="0.2">
      <c r="A1344">
        <v>2012</v>
      </c>
      <c r="B1344" t="s">
        <v>304</v>
      </c>
      <c r="C1344" s="733">
        <v>40953</v>
      </c>
      <c r="D13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44" t="s">
        <v>485</v>
      </c>
      <c r="F1344" t="s">
        <v>2065</v>
      </c>
      <c r="G1344" t="s">
        <v>6028</v>
      </c>
      <c r="H1344">
        <v>41769</v>
      </c>
      <c r="I1344" t="s">
        <v>423</v>
      </c>
      <c r="J1344" t="s">
        <v>2813</v>
      </c>
      <c r="K1344" t="s">
        <v>2814</v>
      </c>
      <c r="L1344" t="s">
        <v>2815</v>
      </c>
      <c r="M1344">
        <v>365</v>
      </c>
      <c r="N1344">
        <v>24.096</v>
      </c>
      <c r="O1344">
        <v>6486.16</v>
      </c>
      <c r="P1344">
        <v>0</v>
      </c>
      <c r="Q1344">
        <v>6486.16</v>
      </c>
      <c r="R1344">
        <v>713.48</v>
      </c>
      <c r="S1344">
        <v>259.45</v>
      </c>
      <c r="T1344">
        <v>6940.19</v>
      </c>
      <c r="U1344" t="s">
        <v>8877</v>
      </c>
      <c r="V1344" t="s">
        <v>9408</v>
      </c>
      <c r="W1344" t="s">
        <v>423</v>
      </c>
    </row>
    <row r="1345" spans="1:23" hidden="1" x14ac:dyDescent="0.2">
      <c r="A1345">
        <v>2012</v>
      </c>
      <c r="B1345" t="s">
        <v>303</v>
      </c>
      <c r="C1345" s="733">
        <v>40929.523912037039</v>
      </c>
      <c r="D13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45" t="s">
        <v>478</v>
      </c>
      <c r="F1345" t="s">
        <v>2136</v>
      </c>
      <c r="G1345" t="s">
        <v>6386</v>
      </c>
      <c r="H1345">
        <v>34805</v>
      </c>
      <c r="I1345" t="s">
        <v>423</v>
      </c>
      <c r="J1345" t="s">
        <v>3029</v>
      </c>
      <c r="K1345" t="s">
        <v>425</v>
      </c>
      <c r="L1345" t="s">
        <v>2145</v>
      </c>
      <c r="M1345">
        <v>35</v>
      </c>
      <c r="N1345">
        <v>25.58</v>
      </c>
      <c r="O1345">
        <v>3434.12</v>
      </c>
      <c r="P1345">
        <v>0</v>
      </c>
      <c r="Q1345">
        <v>3434.12</v>
      </c>
      <c r="R1345">
        <v>549.46</v>
      </c>
      <c r="S1345">
        <v>137.36000000000001</v>
      </c>
      <c r="T1345">
        <v>3846.22</v>
      </c>
      <c r="U1345" t="s">
        <v>3234</v>
      </c>
      <c r="V1345" t="s">
        <v>9408</v>
      </c>
      <c r="W1345" t="s">
        <v>423</v>
      </c>
    </row>
    <row r="1346" spans="1:23" hidden="1" x14ac:dyDescent="0.2">
      <c r="A1346">
        <v>2012</v>
      </c>
      <c r="B1346" t="s">
        <v>304</v>
      </c>
      <c r="C1346" s="733">
        <v>40946</v>
      </c>
      <c r="D13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46" t="s">
        <v>478</v>
      </c>
      <c r="F1346" t="s">
        <v>2136</v>
      </c>
      <c r="G1346" t="s">
        <v>6390</v>
      </c>
      <c r="H1346">
        <v>35284</v>
      </c>
      <c r="I1346" t="s">
        <v>423</v>
      </c>
      <c r="J1346" t="s">
        <v>3029</v>
      </c>
      <c r="K1346" t="s">
        <v>425</v>
      </c>
      <c r="L1346" t="s">
        <v>2145</v>
      </c>
      <c r="M1346">
        <v>35</v>
      </c>
      <c r="N1346">
        <v>24.52</v>
      </c>
      <c r="O1346">
        <v>3291.81</v>
      </c>
      <c r="P1346">
        <v>0</v>
      </c>
      <c r="Q1346">
        <v>3291.81</v>
      </c>
      <c r="R1346">
        <v>526.69000000000005</v>
      </c>
      <c r="S1346">
        <v>131.66999999999999</v>
      </c>
      <c r="T1346">
        <v>3686.83</v>
      </c>
      <c r="U1346" t="s">
        <v>3115</v>
      </c>
      <c r="V1346" t="s">
        <v>9408</v>
      </c>
      <c r="W1346" t="s">
        <v>423</v>
      </c>
    </row>
    <row r="1347" spans="1:23" hidden="1" x14ac:dyDescent="0.2">
      <c r="A1347">
        <v>2012</v>
      </c>
      <c r="B1347" t="s">
        <v>303</v>
      </c>
      <c r="C1347" s="733">
        <v>40911</v>
      </c>
      <c r="D13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47" t="s">
        <v>485</v>
      </c>
      <c r="F1347" t="s">
        <v>2065</v>
      </c>
      <c r="G1347" t="s">
        <v>7226</v>
      </c>
      <c r="H1347">
        <v>39087</v>
      </c>
      <c r="I1347" t="s">
        <v>423</v>
      </c>
      <c r="J1347" t="s">
        <v>5260</v>
      </c>
      <c r="K1347" t="s">
        <v>2102</v>
      </c>
      <c r="L1347" t="s">
        <v>2115</v>
      </c>
      <c r="M1347">
        <v>832</v>
      </c>
      <c r="N1347">
        <v>25.57</v>
      </c>
      <c r="O1347">
        <v>5371.75</v>
      </c>
      <c r="P1347">
        <v>6047.9996069999997</v>
      </c>
      <c r="Q1347">
        <v>11419.749607</v>
      </c>
      <c r="R1347">
        <v>1827.1599369999999</v>
      </c>
      <c r="S1347">
        <v>456.789984</v>
      </c>
      <c r="T1347">
        <v>12790.119559999999</v>
      </c>
      <c r="U1347" t="s">
        <v>2104</v>
      </c>
      <c r="V1347" t="s">
        <v>9409</v>
      </c>
      <c r="W1347" t="s">
        <v>423</v>
      </c>
    </row>
    <row r="1348" spans="1:23" hidden="1" x14ac:dyDescent="0.2">
      <c r="A1348">
        <v>2012</v>
      </c>
      <c r="B1348" t="s">
        <v>304</v>
      </c>
      <c r="C1348" s="733">
        <v>40960</v>
      </c>
      <c r="D13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48" t="s">
        <v>485</v>
      </c>
      <c r="F1348" t="s">
        <v>2065</v>
      </c>
      <c r="G1348" t="s">
        <v>8111</v>
      </c>
      <c r="H1348">
        <v>42288</v>
      </c>
      <c r="I1348" t="s">
        <v>423</v>
      </c>
      <c r="J1348" t="s">
        <v>2050</v>
      </c>
      <c r="K1348" t="s">
        <v>2051</v>
      </c>
      <c r="L1348" t="s">
        <v>2052</v>
      </c>
      <c r="M1348">
        <v>90</v>
      </c>
      <c r="N1348">
        <v>25.6</v>
      </c>
      <c r="O1348">
        <v>3591.94</v>
      </c>
      <c r="P1348">
        <v>0</v>
      </c>
      <c r="Q1348">
        <v>3591.94</v>
      </c>
      <c r="R1348">
        <v>574.71</v>
      </c>
      <c r="S1348">
        <v>143.68</v>
      </c>
      <c r="T1348">
        <v>4022.97</v>
      </c>
      <c r="U1348" t="s">
        <v>8780</v>
      </c>
      <c r="V1348" t="s">
        <v>9408</v>
      </c>
      <c r="W1348" t="s">
        <v>423</v>
      </c>
    </row>
    <row r="1349" spans="1:23" hidden="1" x14ac:dyDescent="0.2">
      <c r="A1349">
        <v>2012</v>
      </c>
      <c r="B1349" t="s">
        <v>304</v>
      </c>
      <c r="C1349" s="733">
        <v>40943</v>
      </c>
      <c r="D13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49" t="s">
        <v>485</v>
      </c>
      <c r="F1349" t="s">
        <v>2054</v>
      </c>
      <c r="G1349" t="s">
        <v>2500</v>
      </c>
      <c r="H1349">
        <v>10315</v>
      </c>
      <c r="I1349" t="s">
        <v>423</v>
      </c>
      <c r="J1349" t="s">
        <v>2056</v>
      </c>
      <c r="K1349" t="s">
        <v>2057</v>
      </c>
      <c r="L1349" t="s">
        <v>2058</v>
      </c>
      <c r="M1349">
        <v>19</v>
      </c>
      <c r="N1349">
        <v>47.18</v>
      </c>
      <c r="O1349">
        <v>5325.21</v>
      </c>
      <c r="P1349">
        <v>0</v>
      </c>
      <c r="Q1349">
        <v>5325.21</v>
      </c>
      <c r="R1349">
        <v>852.03</v>
      </c>
      <c r="S1349">
        <v>213.01</v>
      </c>
      <c r="T1349">
        <v>5964.23</v>
      </c>
      <c r="U1349" t="s">
        <v>2075</v>
      </c>
      <c r="V1349" t="s">
        <v>9409</v>
      </c>
      <c r="W1349" t="s">
        <v>423</v>
      </c>
    </row>
    <row r="1350" spans="1:23" hidden="1" x14ac:dyDescent="0.2">
      <c r="A1350">
        <v>2012</v>
      </c>
      <c r="B1350" t="s">
        <v>303</v>
      </c>
      <c r="C1350" s="733">
        <v>40935</v>
      </c>
      <c r="D13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50" t="s">
        <v>485</v>
      </c>
      <c r="F1350" t="s">
        <v>2084</v>
      </c>
      <c r="G1350" t="s">
        <v>2482</v>
      </c>
      <c r="H1350">
        <v>41007</v>
      </c>
      <c r="I1350" t="s">
        <v>423</v>
      </c>
      <c r="J1350" t="s">
        <v>2050</v>
      </c>
      <c r="K1350" t="s">
        <v>2051</v>
      </c>
      <c r="L1350" t="s">
        <v>2052</v>
      </c>
      <c r="M1350">
        <v>90</v>
      </c>
      <c r="N1350">
        <v>26.3</v>
      </c>
      <c r="O1350">
        <v>3690.15</v>
      </c>
      <c r="P1350">
        <v>0</v>
      </c>
      <c r="Q1350">
        <v>3690.15</v>
      </c>
      <c r="R1350">
        <v>590.41999999999996</v>
      </c>
      <c r="S1350">
        <v>147.61000000000001</v>
      </c>
      <c r="T1350">
        <v>4132.96</v>
      </c>
      <c r="U1350" t="s">
        <v>2064</v>
      </c>
      <c r="V1350" t="s">
        <v>9408</v>
      </c>
      <c r="W1350" t="s">
        <v>423</v>
      </c>
    </row>
    <row r="1351" spans="1:23" hidden="1" x14ac:dyDescent="0.2">
      <c r="A1351">
        <v>2012</v>
      </c>
      <c r="B1351" t="s">
        <v>303</v>
      </c>
      <c r="C1351" s="733">
        <v>40932</v>
      </c>
      <c r="D13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51" t="s">
        <v>485</v>
      </c>
      <c r="F1351" t="s">
        <v>2048</v>
      </c>
      <c r="G1351" t="s">
        <v>2481</v>
      </c>
      <c r="H1351">
        <v>39997</v>
      </c>
      <c r="I1351" t="s">
        <v>423</v>
      </c>
      <c r="J1351" t="s">
        <v>2050</v>
      </c>
      <c r="K1351" t="s">
        <v>2051</v>
      </c>
      <c r="L1351" t="s">
        <v>2052</v>
      </c>
      <c r="M1351">
        <v>90</v>
      </c>
      <c r="N1351">
        <v>25.75</v>
      </c>
      <c r="O1351">
        <v>3612.98</v>
      </c>
      <c r="P1351">
        <v>0</v>
      </c>
      <c r="Q1351">
        <v>3612.98</v>
      </c>
      <c r="R1351">
        <v>578.08000000000004</v>
      </c>
      <c r="S1351">
        <v>144.52000000000001</v>
      </c>
      <c r="T1351">
        <v>4046.54</v>
      </c>
      <c r="U1351" t="s">
        <v>2053</v>
      </c>
      <c r="V1351" t="s">
        <v>9408</v>
      </c>
      <c r="W1351" t="s">
        <v>423</v>
      </c>
    </row>
    <row r="1352" spans="1:23" hidden="1" x14ac:dyDescent="0.2">
      <c r="A1352">
        <v>2012</v>
      </c>
      <c r="B1352" t="s">
        <v>304</v>
      </c>
      <c r="C1352" s="733">
        <v>40962</v>
      </c>
      <c r="D13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52" t="s">
        <v>485</v>
      </c>
      <c r="F1352" t="s">
        <v>2065</v>
      </c>
      <c r="G1352" t="s">
        <v>8579</v>
      </c>
      <c r="H1352">
        <v>42508</v>
      </c>
      <c r="I1352" t="s">
        <v>423</v>
      </c>
      <c r="J1352" t="s">
        <v>2050</v>
      </c>
      <c r="K1352" t="s">
        <v>2051</v>
      </c>
      <c r="L1352" t="s">
        <v>2052</v>
      </c>
      <c r="M1352">
        <v>90</v>
      </c>
      <c r="N1352">
        <v>54.45</v>
      </c>
      <c r="O1352">
        <v>7639.88</v>
      </c>
      <c r="P1352">
        <v>0</v>
      </c>
      <c r="Q1352">
        <v>7639.88</v>
      </c>
      <c r="R1352">
        <v>1222.3800000000001</v>
      </c>
      <c r="S1352">
        <v>305.60000000000002</v>
      </c>
      <c r="T1352">
        <v>8556.66</v>
      </c>
      <c r="U1352" t="s">
        <v>8780</v>
      </c>
      <c r="V1352" t="s">
        <v>9409</v>
      </c>
      <c r="W1352" t="s">
        <v>423</v>
      </c>
    </row>
    <row r="1353" spans="1:23" hidden="1" x14ac:dyDescent="0.2">
      <c r="A1353">
        <v>2012</v>
      </c>
      <c r="B1353" t="s">
        <v>304</v>
      </c>
      <c r="C1353" s="733">
        <v>40952</v>
      </c>
      <c r="D13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53" t="s">
        <v>485</v>
      </c>
      <c r="F1353" t="s">
        <v>2065</v>
      </c>
      <c r="G1353" t="s">
        <v>2484</v>
      </c>
      <c r="H1353">
        <v>41846</v>
      </c>
      <c r="I1353" t="s">
        <v>423</v>
      </c>
      <c r="J1353" t="s">
        <v>2050</v>
      </c>
      <c r="K1353" t="s">
        <v>2051</v>
      </c>
      <c r="L1353" t="s">
        <v>2052</v>
      </c>
      <c r="M1353">
        <v>90</v>
      </c>
      <c r="N1353">
        <v>59.35</v>
      </c>
      <c r="O1353">
        <v>8327.4</v>
      </c>
      <c r="P1353">
        <v>0</v>
      </c>
      <c r="Q1353">
        <v>8327.4</v>
      </c>
      <c r="R1353">
        <v>1332.38</v>
      </c>
      <c r="S1353">
        <v>333.1</v>
      </c>
      <c r="T1353">
        <v>9326.68</v>
      </c>
      <c r="U1353" t="s">
        <v>7568</v>
      </c>
      <c r="V1353" t="s">
        <v>9409</v>
      </c>
      <c r="W1353" t="s">
        <v>423</v>
      </c>
    </row>
    <row r="1354" spans="1:23" hidden="1" x14ac:dyDescent="0.2">
      <c r="A1354">
        <v>2012</v>
      </c>
      <c r="B1354" t="s">
        <v>303</v>
      </c>
      <c r="C1354" s="733">
        <v>40926</v>
      </c>
      <c r="D13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54" t="s">
        <v>485</v>
      </c>
      <c r="F1354" t="s">
        <v>2048</v>
      </c>
      <c r="G1354" t="s">
        <v>2485</v>
      </c>
      <c r="H1354">
        <v>40533</v>
      </c>
      <c r="I1354" t="s">
        <v>423</v>
      </c>
      <c r="J1354" t="s">
        <v>2050</v>
      </c>
      <c r="K1354" t="s">
        <v>2051</v>
      </c>
      <c r="L1354" t="s">
        <v>2052</v>
      </c>
      <c r="M1354">
        <v>90</v>
      </c>
      <c r="N1354">
        <v>26</v>
      </c>
      <c r="O1354">
        <v>3648.06</v>
      </c>
      <c r="P1354">
        <v>0</v>
      </c>
      <c r="Q1354">
        <v>3648.06</v>
      </c>
      <c r="R1354">
        <v>583.69000000000005</v>
      </c>
      <c r="S1354">
        <v>145.91999999999999</v>
      </c>
      <c r="T1354">
        <v>4085.83</v>
      </c>
      <c r="U1354" t="s">
        <v>2062</v>
      </c>
      <c r="V1354" t="s">
        <v>9408</v>
      </c>
      <c r="W1354" t="s">
        <v>423</v>
      </c>
    </row>
    <row r="1355" spans="1:23" hidden="1" x14ac:dyDescent="0.2">
      <c r="A1355">
        <v>2012</v>
      </c>
      <c r="B1355" t="s">
        <v>303</v>
      </c>
      <c r="C1355" s="733">
        <v>40928</v>
      </c>
      <c r="D13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55" t="s">
        <v>485</v>
      </c>
      <c r="F1355" t="s">
        <v>2065</v>
      </c>
      <c r="G1355" t="s">
        <v>2483</v>
      </c>
      <c r="H1355">
        <v>40657</v>
      </c>
      <c r="I1355" t="s">
        <v>423</v>
      </c>
      <c r="J1355" t="s">
        <v>2050</v>
      </c>
      <c r="K1355" t="s">
        <v>2051</v>
      </c>
      <c r="L1355" t="s">
        <v>2052</v>
      </c>
      <c r="M1355">
        <v>90</v>
      </c>
      <c r="N1355">
        <v>52.05</v>
      </c>
      <c r="O1355">
        <v>7303.14</v>
      </c>
      <c r="P1355">
        <v>0</v>
      </c>
      <c r="Q1355">
        <v>7303.14</v>
      </c>
      <c r="R1355">
        <v>1168.5</v>
      </c>
      <c r="S1355">
        <v>292.13</v>
      </c>
      <c r="T1355">
        <v>8179.51</v>
      </c>
      <c r="U1355" t="s">
        <v>2062</v>
      </c>
      <c r="V1355" t="s">
        <v>9409</v>
      </c>
      <c r="W1355" t="s">
        <v>423</v>
      </c>
    </row>
    <row r="1356" spans="1:23" hidden="1" x14ac:dyDescent="0.2">
      <c r="A1356">
        <v>2012</v>
      </c>
      <c r="B1356" t="s">
        <v>304</v>
      </c>
      <c r="C1356" s="733">
        <v>40953</v>
      </c>
      <c r="D13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56" t="s">
        <v>485</v>
      </c>
      <c r="F1356" t="s">
        <v>2054</v>
      </c>
      <c r="G1356" t="s">
        <v>2493</v>
      </c>
      <c r="H1356">
        <v>10425</v>
      </c>
      <c r="I1356" t="s">
        <v>423</v>
      </c>
      <c r="J1356" t="s">
        <v>2056</v>
      </c>
      <c r="K1356" t="s">
        <v>2057</v>
      </c>
      <c r="L1356" t="s">
        <v>2058</v>
      </c>
      <c r="M1356">
        <v>19</v>
      </c>
      <c r="N1356">
        <v>47.8</v>
      </c>
      <c r="O1356">
        <v>5395.19</v>
      </c>
      <c r="P1356">
        <v>0</v>
      </c>
      <c r="Q1356">
        <v>5395.19</v>
      </c>
      <c r="R1356">
        <v>593.47</v>
      </c>
      <c r="S1356">
        <v>215.81</v>
      </c>
      <c r="T1356">
        <v>5772.85</v>
      </c>
      <c r="U1356" t="s">
        <v>8047</v>
      </c>
      <c r="V1356" t="s">
        <v>9409</v>
      </c>
      <c r="W1356" t="s">
        <v>423</v>
      </c>
    </row>
    <row r="1357" spans="1:23" hidden="1" x14ac:dyDescent="0.2">
      <c r="A1357">
        <v>2012</v>
      </c>
      <c r="B1357" t="s">
        <v>303</v>
      </c>
      <c r="C1357" s="733">
        <v>40928</v>
      </c>
      <c r="D13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57" t="s">
        <v>485</v>
      </c>
      <c r="F1357" t="s">
        <v>2048</v>
      </c>
      <c r="G1357" t="s">
        <v>2496</v>
      </c>
      <c r="H1357">
        <v>40659</v>
      </c>
      <c r="I1357" t="s">
        <v>423</v>
      </c>
      <c r="J1357" t="s">
        <v>2050</v>
      </c>
      <c r="K1357" t="s">
        <v>2051</v>
      </c>
      <c r="L1357" t="s">
        <v>2052</v>
      </c>
      <c r="M1357">
        <v>90</v>
      </c>
      <c r="N1357">
        <v>55.3</v>
      </c>
      <c r="O1357">
        <v>7759.14</v>
      </c>
      <c r="P1357">
        <v>0</v>
      </c>
      <c r="Q1357">
        <v>7759.14</v>
      </c>
      <c r="R1357">
        <v>1241.46</v>
      </c>
      <c r="S1357">
        <v>310.37</v>
      </c>
      <c r="T1357">
        <v>8690.23</v>
      </c>
      <c r="U1357" t="s">
        <v>2062</v>
      </c>
      <c r="V1357" t="s">
        <v>9409</v>
      </c>
      <c r="W1357" t="s">
        <v>423</v>
      </c>
    </row>
    <row r="1358" spans="1:23" hidden="1" x14ac:dyDescent="0.2">
      <c r="A1358">
        <v>2012</v>
      </c>
      <c r="B1358" t="s">
        <v>304</v>
      </c>
      <c r="C1358" s="733">
        <v>40956</v>
      </c>
      <c r="D13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58" t="s">
        <v>485</v>
      </c>
      <c r="F1358" t="s">
        <v>2065</v>
      </c>
      <c r="G1358" t="s">
        <v>7873</v>
      </c>
      <c r="H1358">
        <v>42167</v>
      </c>
      <c r="I1358" t="s">
        <v>423</v>
      </c>
      <c r="J1358" t="s">
        <v>2050</v>
      </c>
      <c r="K1358" t="s">
        <v>2051</v>
      </c>
      <c r="L1358" t="s">
        <v>2052</v>
      </c>
      <c r="M1358">
        <v>90</v>
      </c>
      <c r="N1358">
        <v>48.5</v>
      </c>
      <c r="O1358">
        <v>6805.04</v>
      </c>
      <c r="P1358">
        <v>0</v>
      </c>
      <c r="Q1358">
        <v>6805.04</v>
      </c>
      <c r="R1358">
        <v>1088.81</v>
      </c>
      <c r="S1358">
        <v>272.2</v>
      </c>
      <c r="T1358">
        <v>7621.65</v>
      </c>
      <c r="U1358" t="s">
        <v>8257</v>
      </c>
      <c r="V1358" t="s">
        <v>9409</v>
      </c>
      <c r="W1358" t="s">
        <v>423</v>
      </c>
    </row>
    <row r="1359" spans="1:23" hidden="1" x14ac:dyDescent="0.2">
      <c r="A1359">
        <v>2012</v>
      </c>
      <c r="B1359" t="s">
        <v>303</v>
      </c>
      <c r="C1359" s="733">
        <v>40931</v>
      </c>
      <c r="D13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59" t="s">
        <v>485</v>
      </c>
      <c r="F1359" t="s">
        <v>2048</v>
      </c>
      <c r="G1359" t="s">
        <v>2479</v>
      </c>
      <c r="H1359">
        <v>40654</v>
      </c>
      <c r="I1359" t="s">
        <v>423</v>
      </c>
      <c r="J1359" t="s">
        <v>2050</v>
      </c>
      <c r="K1359" t="s">
        <v>2051</v>
      </c>
      <c r="L1359" t="s">
        <v>2052</v>
      </c>
      <c r="M1359">
        <v>90</v>
      </c>
      <c r="N1359">
        <v>24.65</v>
      </c>
      <c r="O1359">
        <v>3458.64</v>
      </c>
      <c r="P1359">
        <v>0</v>
      </c>
      <c r="Q1359">
        <v>3458.64</v>
      </c>
      <c r="R1359">
        <v>553.38</v>
      </c>
      <c r="S1359">
        <v>138.35</v>
      </c>
      <c r="T1359">
        <v>3873.67</v>
      </c>
      <c r="U1359" t="s">
        <v>2053</v>
      </c>
      <c r="V1359" t="s">
        <v>9408</v>
      </c>
      <c r="W1359" t="s">
        <v>423</v>
      </c>
    </row>
    <row r="1360" spans="1:23" hidden="1" x14ac:dyDescent="0.2">
      <c r="A1360">
        <v>2012</v>
      </c>
      <c r="B1360" t="s">
        <v>303</v>
      </c>
      <c r="C1360" s="733">
        <v>40936</v>
      </c>
      <c r="D13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60" t="s">
        <v>485</v>
      </c>
      <c r="F1360" t="s">
        <v>2054</v>
      </c>
      <c r="G1360" t="s">
        <v>3121</v>
      </c>
      <c r="H1360">
        <v>10249</v>
      </c>
      <c r="I1360" t="s">
        <v>423</v>
      </c>
      <c r="J1360" t="s">
        <v>2056</v>
      </c>
      <c r="K1360" t="s">
        <v>2057</v>
      </c>
      <c r="L1360" t="s">
        <v>2058</v>
      </c>
      <c r="M1360">
        <v>19</v>
      </c>
      <c r="N1360">
        <v>46.1</v>
      </c>
      <c r="O1360">
        <v>5203.3100000000004</v>
      </c>
      <c r="P1360">
        <v>0</v>
      </c>
      <c r="Q1360">
        <v>5203.3100000000004</v>
      </c>
      <c r="R1360">
        <v>832.53</v>
      </c>
      <c r="S1360">
        <v>208.13</v>
      </c>
      <c r="T1360">
        <v>5827.71</v>
      </c>
      <c r="U1360" t="s">
        <v>2073</v>
      </c>
      <c r="V1360" t="s">
        <v>9409</v>
      </c>
      <c r="W1360" t="s">
        <v>423</v>
      </c>
    </row>
    <row r="1361" spans="1:23" hidden="1" x14ac:dyDescent="0.2">
      <c r="A1361">
        <v>2012</v>
      </c>
      <c r="B1361" t="s">
        <v>304</v>
      </c>
      <c r="C1361" s="733">
        <v>40952.592245370368</v>
      </c>
      <c r="D13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61" t="s">
        <v>485</v>
      </c>
      <c r="F1361" t="s">
        <v>2054</v>
      </c>
      <c r="G1361" t="s">
        <v>2494</v>
      </c>
      <c r="H1361">
        <v>10419</v>
      </c>
      <c r="I1361" t="s">
        <v>423</v>
      </c>
      <c r="J1361" t="s">
        <v>2056</v>
      </c>
      <c r="K1361" t="s">
        <v>2057</v>
      </c>
      <c r="L1361" t="s">
        <v>2058</v>
      </c>
      <c r="M1361">
        <v>19</v>
      </c>
      <c r="N1361">
        <v>23.78</v>
      </c>
      <c r="O1361">
        <v>2684.05</v>
      </c>
      <c r="P1361">
        <v>0</v>
      </c>
      <c r="Q1361">
        <v>2684.05</v>
      </c>
      <c r="R1361">
        <v>295.25</v>
      </c>
      <c r="S1361">
        <v>107.36</v>
      </c>
      <c r="T1361">
        <v>2871.94</v>
      </c>
      <c r="U1361" t="s">
        <v>8047</v>
      </c>
      <c r="V1361" t="s">
        <v>9408</v>
      </c>
      <c r="W1361" t="s">
        <v>423</v>
      </c>
    </row>
    <row r="1362" spans="1:23" x14ac:dyDescent="0.2">
      <c r="A1362">
        <v>2012</v>
      </c>
      <c r="B1362" t="s">
        <v>304</v>
      </c>
      <c r="C1362" s="733">
        <v>40967.777175925927</v>
      </c>
      <c r="D13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62" t="s">
        <v>485</v>
      </c>
      <c r="F1362" t="s">
        <v>2054</v>
      </c>
      <c r="G1362" t="s">
        <v>8913</v>
      </c>
      <c r="H1362">
        <v>10600</v>
      </c>
      <c r="I1362" t="s">
        <v>423</v>
      </c>
      <c r="J1362" t="s">
        <v>2056</v>
      </c>
      <c r="K1362" t="s">
        <v>2057</v>
      </c>
      <c r="L1362" t="s">
        <v>2058</v>
      </c>
      <c r="M1362">
        <v>19</v>
      </c>
      <c r="N1362">
        <v>45.72</v>
      </c>
      <c r="O1362">
        <v>5160.42</v>
      </c>
      <c r="P1362">
        <v>0</v>
      </c>
      <c r="Q1362">
        <v>5160.42</v>
      </c>
      <c r="R1362">
        <v>567.65</v>
      </c>
      <c r="S1362">
        <v>206.42</v>
      </c>
      <c r="T1362">
        <v>5521.65</v>
      </c>
      <c r="V1362" t="s">
        <v>9409</v>
      </c>
      <c r="W1362" t="s">
        <v>423</v>
      </c>
    </row>
    <row r="1363" spans="1:23" hidden="1" x14ac:dyDescent="0.2">
      <c r="A1363">
        <v>2012</v>
      </c>
      <c r="B1363" t="s">
        <v>304</v>
      </c>
      <c r="C1363" s="733">
        <v>40941</v>
      </c>
      <c r="D13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63" t="s">
        <v>485</v>
      </c>
      <c r="F1363" t="s">
        <v>2048</v>
      </c>
      <c r="G1363" t="s">
        <v>6668</v>
      </c>
      <c r="H1363">
        <v>41297</v>
      </c>
      <c r="I1363" t="s">
        <v>423</v>
      </c>
      <c r="J1363" t="s">
        <v>2050</v>
      </c>
      <c r="K1363" t="s">
        <v>2051</v>
      </c>
      <c r="L1363" t="s">
        <v>2052</v>
      </c>
      <c r="M1363">
        <v>90</v>
      </c>
      <c r="N1363">
        <v>24.45</v>
      </c>
      <c r="O1363">
        <v>3430.58</v>
      </c>
      <c r="P1363">
        <v>0</v>
      </c>
      <c r="Q1363">
        <v>3430.58</v>
      </c>
      <c r="R1363">
        <v>548.89</v>
      </c>
      <c r="S1363">
        <v>137.22</v>
      </c>
      <c r="T1363">
        <v>3842.25</v>
      </c>
      <c r="U1363" t="s">
        <v>2064</v>
      </c>
      <c r="V1363" t="s">
        <v>9408</v>
      </c>
      <c r="W1363" t="s">
        <v>423</v>
      </c>
    </row>
    <row r="1364" spans="1:23" hidden="1" x14ac:dyDescent="0.2">
      <c r="A1364">
        <v>2012</v>
      </c>
      <c r="B1364" t="s">
        <v>304</v>
      </c>
      <c r="C1364" s="733">
        <v>40941</v>
      </c>
      <c r="D13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64" t="s">
        <v>485</v>
      </c>
      <c r="F1364" t="s">
        <v>2048</v>
      </c>
      <c r="G1364" t="s">
        <v>3122</v>
      </c>
      <c r="H1364">
        <v>41300</v>
      </c>
      <c r="I1364" t="s">
        <v>423</v>
      </c>
      <c r="J1364" t="s">
        <v>2050</v>
      </c>
      <c r="K1364" t="s">
        <v>2051</v>
      </c>
      <c r="L1364" t="s">
        <v>2052</v>
      </c>
      <c r="M1364">
        <v>90</v>
      </c>
      <c r="N1364">
        <v>49.7</v>
      </c>
      <c r="O1364">
        <v>6973.41</v>
      </c>
      <c r="P1364">
        <v>0</v>
      </c>
      <c r="Q1364">
        <v>6973.41</v>
      </c>
      <c r="R1364">
        <v>1115.75</v>
      </c>
      <c r="S1364">
        <v>278.94</v>
      </c>
      <c r="T1364">
        <v>7810.22</v>
      </c>
      <c r="U1364" t="s">
        <v>2067</v>
      </c>
      <c r="V1364" t="s">
        <v>9409</v>
      </c>
      <c r="W1364" t="s">
        <v>423</v>
      </c>
    </row>
    <row r="1365" spans="1:23" hidden="1" x14ac:dyDescent="0.2">
      <c r="A1365">
        <v>2012</v>
      </c>
      <c r="B1365" t="s">
        <v>304</v>
      </c>
      <c r="C1365" s="733">
        <v>40953</v>
      </c>
      <c r="D13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65" t="s">
        <v>485</v>
      </c>
      <c r="F1365" t="s">
        <v>2065</v>
      </c>
      <c r="G1365" t="s">
        <v>2497</v>
      </c>
      <c r="H1365">
        <v>41875</v>
      </c>
      <c r="I1365" t="s">
        <v>423</v>
      </c>
      <c r="J1365" t="s">
        <v>2050</v>
      </c>
      <c r="K1365" t="s">
        <v>2051</v>
      </c>
      <c r="L1365" t="s">
        <v>2052</v>
      </c>
      <c r="M1365">
        <v>90</v>
      </c>
      <c r="N1365">
        <v>51.85</v>
      </c>
      <c r="O1365">
        <v>7275.07</v>
      </c>
      <c r="P1365">
        <v>0</v>
      </c>
      <c r="Q1365">
        <v>7275.07</v>
      </c>
      <c r="R1365">
        <v>1164.01</v>
      </c>
      <c r="S1365">
        <v>291</v>
      </c>
      <c r="T1365">
        <v>8148.08</v>
      </c>
      <c r="V1365" t="s">
        <v>9409</v>
      </c>
      <c r="W1365" t="s">
        <v>423</v>
      </c>
    </row>
    <row r="1366" spans="1:23" hidden="1" x14ac:dyDescent="0.2">
      <c r="A1366">
        <v>2012</v>
      </c>
      <c r="B1366" t="s">
        <v>303</v>
      </c>
      <c r="C1366" s="733">
        <v>40924</v>
      </c>
      <c r="D13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66" t="s">
        <v>485</v>
      </c>
      <c r="F1366" t="s">
        <v>2048</v>
      </c>
      <c r="G1366" t="s">
        <v>2495</v>
      </c>
      <c r="H1366">
        <v>40374</v>
      </c>
      <c r="I1366" t="s">
        <v>423</v>
      </c>
      <c r="J1366" t="s">
        <v>2050</v>
      </c>
      <c r="K1366" t="s">
        <v>2051</v>
      </c>
      <c r="L1366" t="s">
        <v>2052</v>
      </c>
      <c r="M1366">
        <v>90</v>
      </c>
      <c r="N1366">
        <v>56.5</v>
      </c>
      <c r="O1366">
        <v>7927.52</v>
      </c>
      <c r="P1366">
        <v>0</v>
      </c>
      <c r="Q1366">
        <v>7927.52</v>
      </c>
      <c r="R1366">
        <v>1268.4000000000001</v>
      </c>
      <c r="S1366">
        <v>317.10000000000002</v>
      </c>
      <c r="T1366">
        <v>8878.82</v>
      </c>
      <c r="U1366" t="s">
        <v>2062</v>
      </c>
      <c r="V1366" t="s">
        <v>9409</v>
      </c>
      <c r="W1366" t="s">
        <v>423</v>
      </c>
    </row>
    <row r="1367" spans="1:23" x14ac:dyDescent="0.2">
      <c r="A1367">
        <v>2012</v>
      </c>
      <c r="B1367" t="s">
        <v>304</v>
      </c>
      <c r="C1367" s="733">
        <v>40968.531527777777</v>
      </c>
      <c r="D13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67" t="s">
        <v>485</v>
      </c>
      <c r="F1367" t="s">
        <v>2065</v>
      </c>
      <c r="G1367" t="s">
        <v>9416</v>
      </c>
      <c r="H1367">
        <v>42859</v>
      </c>
      <c r="I1367" t="s">
        <v>423</v>
      </c>
      <c r="J1367" t="s">
        <v>2050</v>
      </c>
      <c r="K1367" t="s">
        <v>2051</v>
      </c>
      <c r="L1367" t="s">
        <v>2052</v>
      </c>
      <c r="M1367">
        <v>90</v>
      </c>
      <c r="N1367">
        <v>56.05</v>
      </c>
      <c r="O1367">
        <v>7864.38</v>
      </c>
      <c r="P1367">
        <v>0</v>
      </c>
      <c r="Q1367">
        <v>7864.38</v>
      </c>
      <c r="R1367">
        <v>1258.3</v>
      </c>
      <c r="S1367">
        <v>314.58</v>
      </c>
      <c r="T1367">
        <v>8808.1</v>
      </c>
      <c r="V1367" t="s">
        <v>9409</v>
      </c>
      <c r="W1367" t="s">
        <v>423</v>
      </c>
    </row>
    <row r="1368" spans="1:23" x14ac:dyDescent="0.2">
      <c r="A1368">
        <v>2012</v>
      </c>
      <c r="B1368" t="s">
        <v>304</v>
      </c>
      <c r="C1368" s="733">
        <v>40968</v>
      </c>
      <c r="D13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68" t="s">
        <v>485</v>
      </c>
      <c r="F1368" t="s">
        <v>2065</v>
      </c>
      <c r="G1368" t="s">
        <v>9417</v>
      </c>
      <c r="H1368">
        <v>42866</v>
      </c>
      <c r="I1368" t="s">
        <v>423</v>
      </c>
      <c r="J1368" t="s">
        <v>2050</v>
      </c>
      <c r="K1368" t="s">
        <v>2051</v>
      </c>
      <c r="L1368" t="s">
        <v>2052</v>
      </c>
      <c r="M1368">
        <v>90</v>
      </c>
      <c r="N1368">
        <v>53.9</v>
      </c>
      <c r="O1368">
        <v>7562.71</v>
      </c>
      <c r="P1368">
        <v>0</v>
      </c>
      <c r="Q1368">
        <v>7562.71</v>
      </c>
      <c r="R1368">
        <v>1210.03</v>
      </c>
      <c r="S1368">
        <v>302.51</v>
      </c>
      <c r="T1368">
        <v>8470.23</v>
      </c>
      <c r="V1368" t="s">
        <v>9409</v>
      </c>
      <c r="W1368" t="s">
        <v>423</v>
      </c>
    </row>
    <row r="1369" spans="1:23" hidden="1" x14ac:dyDescent="0.2">
      <c r="A1369">
        <v>2012</v>
      </c>
      <c r="B1369" t="s">
        <v>304</v>
      </c>
      <c r="C1369" s="733">
        <v>40952</v>
      </c>
      <c r="D13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69" t="s">
        <v>505</v>
      </c>
      <c r="F1369" t="s">
        <v>1915</v>
      </c>
      <c r="G1369" t="s">
        <v>4899</v>
      </c>
      <c r="H1369">
        <v>22674</v>
      </c>
      <c r="I1369" t="s">
        <v>423</v>
      </c>
      <c r="J1369" t="s">
        <v>4760</v>
      </c>
      <c r="K1369" t="s">
        <v>1918</v>
      </c>
      <c r="L1369" t="s">
        <v>1919</v>
      </c>
      <c r="M1369">
        <v>444</v>
      </c>
      <c r="N1369">
        <v>26.95</v>
      </c>
      <c r="O1369">
        <v>8363.66</v>
      </c>
      <c r="P1369">
        <v>0</v>
      </c>
      <c r="Q1369">
        <v>8363.66</v>
      </c>
      <c r="R1369">
        <v>1338.19</v>
      </c>
      <c r="S1369">
        <v>334.55</v>
      </c>
      <c r="T1369">
        <v>9367.2999999999993</v>
      </c>
      <c r="U1369" t="s">
        <v>7522</v>
      </c>
      <c r="V1369" t="s">
        <v>9409</v>
      </c>
      <c r="W1369" t="s">
        <v>423</v>
      </c>
    </row>
    <row r="1370" spans="1:23" hidden="1" x14ac:dyDescent="0.2">
      <c r="A1370">
        <v>2012</v>
      </c>
      <c r="B1370" t="s">
        <v>304</v>
      </c>
      <c r="C1370" s="733">
        <v>40961</v>
      </c>
      <c r="D13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70" t="s">
        <v>505</v>
      </c>
      <c r="F1370" t="s">
        <v>1915</v>
      </c>
      <c r="G1370" t="s">
        <v>8250</v>
      </c>
      <c r="H1370">
        <v>22852</v>
      </c>
      <c r="I1370" t="s">
        <v>423</v>
      </c>
      <c r="J1370" t="s">
        <v>4760</v>
      </c>
      <c r="K1370" t="s">
        <v>1918</v>
      </c>
      <c r="L1370" t="s">
        <v>1919</v>
      </c>
      <c r="M1370">
        <v>444</v>
      </c>
      <c r="N1370">
        <v>25.17</v>
      </c>
      <c r="O1370">
        <v>7811.26</v>
      </c>
      <c r="P1370">
        <v>0</v>
      </c>
      <c r="Q1370">
        <v>7811.26</v>
      </c>
      <c r="R1370">
        <v>1249.8</v>
      </c>
      <c r="S1370">
        <v>312.45</v>
      </c>
      <c r="T1370">
        <v>8748.61</v>
      </c>
      <c r="U1370" t="s">
        <v>8491</v>
      </c>
      <c r="V1370" t="s">
        <v>9408</v>
      </c>
      <c r="W1370" t="s">
        <v>423</v>
      </c>
    </row>
    <row r="1371" spans="1:23" hidden="1" x14ac:dyDescent="0.2">
      <c r="A1371">
        <v>2012</v>
      </c>
      <c r="B1371" t="s">
        <v>304</v>
      </c>
      <c r="C1371" s="733">
        <v>40952.924131944441</v>
      </c>
      <c r="D13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71" t="s">
        <v>505</v>
      </c>
      <c r="F1371" t="s">
        <v>1915</v>
      </c>
      <c r="G1371" t="s">
        <v>4900</v>
      </c>
      <c r="H1371">
        <v>22674</v>
      </c>
      <c r="I1371" t="s">
        <v>423</v>
      </c>
      <c r="J1371" t="s">
        <v>4760</v>
      </c>
      <c r="K1371" t="s">
        <v>1918</v>
      </c>
      <c r="L1371" t="s">
        <v>1919</v>
      </c>
      <c r="M1371">
        <v>444</v>
      </c>
      <c r="N1371">
        <v>26.82</v>
      </c>
      <c r="O1371">
        <v>8323.32</v>
      </c>
      <c r="P1371">
        <v>0</v>
      </c>
      <c r="Q1371">
        <v>8323.32</v>
      </c>
      <c r="R1371">
        <v>1331.73</v>
      </c>
      <c r="S1371">
        <v>332.93</v>
      </c>
      <c r="T1371">
        <v>9322.1200000000008</v>
      </c>
      <c r="U1371" t="s">
        <v>7522</v>
      </c>
      <c r="V1371" t="s">
        <v>9409</v>
      </c>
      <c r="W1371" t="s">
        <v>423</v>
      </c>
    </row>
    <row r="1372" spans="1:23" x14ac:dyDescent="0.2">
      <c r="A1372">
        <v>2012</v>
      </c>
      <c r="B1372" t="s">
        <v>304</v>
      </c>
      <c r="C1372" s="733">
        <v>40968</v>
      </c>
      <c r="D13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72" t="s">
        <v>485</v>
      </c>
      <c r="F1372" t="s">
        <v>2065</v>
      </c>
      <c r="G1372" t="s">
        <v>9050</v>
      </c>
      <c r="H1372">
        <v>42814</v>
      </c>
      <c r="I1372" t="s">
        <v>423</v>
      </c>
      <c r="J1372" t="s">
        <v>3204</v>
      </c>
      <c r="K1372" t="s">
        <v>2183</v>
      </c>
      <c r="L1372" t="s">
        <v>2184</v>
      </c>
      <c r="M1372">
        <v>80</v>
      </c>
      <c r="N1372">
        <v>51.39</v>
      </c>
      <c r="O1372">
        <v>5800.39</v>
      </c>
      <c r="P1372">
        <v>0</v>
      </c>
      <c r="Q1372">
        <v>5800.39</v>
      </c>
      <c r="R1372">
        <v>928.06</v>
      </c>
      <c r="S1372">
        <v>232.02</v>
      </c>
      <c r="T1372">
        <v>6496.43</v>
      </c>
      <c r="V1372" t="s">
        <v>9409</v>
      </c>
      <c r="W1372" t="s">
        <v>423</v>
      </c>
    </row>
    <row r="1373" spans="1:23" hidden="1" x14ac:dyDescent="0.2">
      <c r="A1373">
        <v>2012</v>
      </c>
      <c r="B1373" t="s">
        <v>304</v>
      </c>
      <c r="C1373" s="733">
        <v>40956.435104166667</v>
      </c>
      <c r="D13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73" t="s">
        <v>485</v>
      </c>
      <c r="F1373" t="s">
        <v>2065</v>
      </c>
      <c r="G1373" t="s">
        <v>7703</v>
      </c>
      <c r="H1373">
        <v>42113</v>
      </c>
      <c r="I1373" t="s">
        <v>423</v>
      </c>
      <c r="J1373" t="s">
        <v>3204</v>
      </c>
      <c r="K1373" t="s">
        <v>2183</v>
      </c>
      <c r="L1373" t="s">
        <v>2184</v>
      </c>
      <c r="M1373">
        <v>80</v>
      </c>
      <c r="N1373">
        <v>16.46</v>
      </c>
      <c r="O1373">
        <v>5684.13</v>
      </c>
      <c r="P1373">
        <v>0</v>
      </c>
      <c r="Q1373">
        <v>5684.13</v>
      </c>
      <c r="R1373">
        <v>909.46</v>
      </c>
      <c r="S1373">
        <v>227.37</v>
      </c>
      <c r="T1373">
        <v>6366.22</v>
      </c>
      <c r="U1373" t="s">
        <v>9411</v>
      </c>
      <c r="V1373" t="s">
        <v>9408</v>
      </c>
      <c r="W1373" t="s">
        <v>423</v>
      </c>
    </row>
    <row r="1374" spans="1:23" hidden="1" x14ac:dyDescent="0.2">
      <c r="A1374">
        <v>2012</v>
      </c>
      <c r="B1374" t="s">
        <v>303</v>
      </c>
      <c r="C1374" s="733">
        <v>40932</v>
      </c>
      <c r="D13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74" t="s">
        <v>485</v>
      </c>
      <c r="F1374" t="s">
        <v>2065</v>
      </c>
      <c r="G1374" t="s">
        <v>3580</v>
      </c>
      <c r="H1374">
        <v>40776</v>
      </c>
      <c r="I1374" t="s">
        <v>423</v>
      </c>
      <c r="J1374" t="s">
        <v>2182</v>
      </c>
      <c r="K1374" t="s">
        <v>2183</v>
      </c>
      <c r="L1374" t="s">
        <v>2184</v>
      </c>
      <c r="M1374">
        <v>62</v>
      </c>
      <c r="N1374">
        <v>16.25</v>
      </c>
      <c r="O1374">
        <v>2407.2800000000002</v>
      </c>
      <c r="P1374">
        <v>0</v>
      </c>
      <c r="Q1374">
        <v>2407.2800000000002</v>
      </c>
      <c r="R1374">
        <v>385.16</v>
      </c>
      <c r="S1374">
        <v>96.29</v>
      </c>
      <c r="T1374">
        <v>2696.15</v>
      </c>
      <c r="U1374" t="s">
        <v>2187</v>
      </c>
      <c r="V1374" t="s">
        <v>9408</v>
      </c>
      <c r="W1374" t="s">
        <v>423</v>
      </c>
    </row>
    <row r="1375" spans="1:23" hidden="1" x14ac:dyDescent="0.2">
      <c r="A1375">
        <v>2012</v>
      </c>
      <c r="B1375" t="s">
        <v>305</v>
      </c>
      <c r="C1375" s="733">
        <v>40970.430636574078</v>
      </c>
      <c r="D1375" s="733" t="str">
        <f>CHOOSE(MONTH(Tabla_sqldatos_bonampakdb_Bon_v_ingresos2012[[#This Row],[fecha_guia]]),"Enero","Febrero","Marzo","Abril","Mayo","Junio","Julio","Agosto","Septiembre","Octubre","Noviembre","Diciembre")</f>
        <v>Marzo</v>
      </c>
      <c r="E1375" t="s">
        <v>485</v>
      </c>
      <c r="F1375" t="s">
        <v>2065</v>
      </c>
      <c r="G1375" t="s">
        <v>9413</v>
      </c>
      <c r="H1375">
        <v>42992</v>
      </c>
      <c r="I1375" t="s">
        <v>423</v>
      </c>
      <c r="J1375" t="s">
        <v>2182</v>
      </c>
      <c r="K1375" t="s">
        <v>2183</v>
      </c>
      <c r="L1375" t="s">
        <v>2184</v>
      </c>
      <c r="M1375">
        <v>62</v>
      </c>
      <c r="N1375">
        <v>14.53</v>
      </c>
      <c r="O1375">
        <v>2152.4699999999998</v>
      </c>
      <c r="P1375">
        <v>0</v>
      </c>
      <c r="Q1375">
        <v>2152.4699999999998</v>
      </c>
      <c r="R1375">
        <v>344.4</v>
      </c>
      <c r="S1375">
        <v>86.1</v>
      </c>
      <c r="T1375">
        <v>2410.77</v>
      </c>
      <c r="V1375" t="s">
        <v>9408</v>
      </c>
      <c r="W1375" t="s">
        <v>423</v>
      </c>
    </row>
    <row r="1376" spans="1:23" hidden="1" x14ac:dyDescent="0.2">
      <c r="A1376">
        <v>2012</v>
      </c>
      <c r="B1376" t="s">
        <v>303</v>
      </c>
      <c r="C1376" s="733">
        <v>40934</v>
      </c>
      <c r="D13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76" t="s">
        <v>485</v>
      </c>
      <c r="F1376" t="s">
        <v>2065</v>
      </c>
      <c r="G1376" t="s">
        <v>3229</v>
      </c>
      <c r="H1376">
        <v>40827</v>
      </c>
      <c r="I1376" t="s">
        <v>424</v>
      </c>
      <c r="J1376" t="s">
        <v>2114</v>
      </c>
      <c r="K1376" t="s">
        <v>2102</v>
      </c>
      <c r="L1376" t="s">
        <v>2115</v>
      </c>
      <c r="M1376">
        <v>500</v>
      </c>
      <c r="N1376">
        <v>54</v>
      </c>
      <c r="O1376">
        <v>10009.44</v>
      </c>
      <c r="P1376">
        <v>0</v>
      </c>
      <c r="Q1376">
        <v>10009.44</v>
      </c>
      <c r="R1376">
        <v>1601.51</v>
      </c>
      <c r="S1376">
        <v>400.38</v>
      </c>
      <c r="T1376">
        <v>11210.57</v>
      </c>
      <c r="U1376" t="s">
        <v>2116</v>
      </c>
      <c r="V1376" t="s">
        <v>9409</v>
      </c>
      <c r="W1376" t="s">
        <v>424</v>
      </c>
    </row>
    <row r="1377" spans="1:23" hidden="1" x14ac:dyDescent="0.2">
      <c r="A1377">
        <v>2012</v>
      </c>
      <c r="B1377" t="s">
        <v>303</v>
      </c>
      <c r="C1377" s="733">
        <v>40928</v>
      </c>
      <c r="D13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77" t="s">
        <v>485</v>
      </c>
      <c r="F1377" t="s">
        <v>2065</v>
      </c>
      <c r="G1377" t="s">
        <v>3212</v>
      </c>
      <c r="H1377">
        <v>40180</v>
      </c>
      <c r="I1377" t="s">
        <v>424</v>
      </c>
      <c r="J1377" t="s">
        <v>2114</v>
      </c>
      <c r="K1377" t="s">
        <v>2102</v>
      </c>
      <c r="L1377" t="s">
        <v>2115</v>
      </c>
      <c r="M1377">
        <v>500</v>
      </c>
      <c r="N1377">
        <v>54</v>
      </c>
      <c r="O1377">
        <v>10009.44</v>
      </c>
      <c r="P1377">
        <v>0</v>
      </c>
      <c r="Q1377">
        <v>10009.44</v>
      </c>
      <c r="R1377">
        <v>1601.51</v>
      </c>
      <c r="S1377">
        <v>400.38</v>
      </c>
      <c r="T1377">
        <v>11210.57</v>
      </c>
      <c r="U1377" t="s">
        <v>2119</v>
      </c>
      <c r="V1377" t="s">
        <v>9409</v>
      </c>
      <c r="W1377" t="s">
        <v>424</v>
      </c>
    </row>
    <row r="1378" spans="1:23" hidden="1" x14ac:dyDescent="0.2">
      <c r="A1378">
        <v>2012</v>
      </c>
      <c r="B1378" t="s">
        <v>304</v>
      </c>
      <c r="C1378" s="733">
        <v>40952</v>
      </c>
      <c r="D13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78" t="s">
        <v>485</v>
      </c>
      <c r="F1378" t="s">
        <v>2065</v>
      </c>
      <c r="G1378" t="s">
        <v>3230</v>
      </c>
      <c r="H1378">
        <v>41680</v>
      </c>
      <c r="I1378" t="s">
        <v>424</v>
      </c>
      <c r="J1378" t="s">
        <v>2114</v>
      </c>
      <c r="K1378" t="s">
        <v>2102</v>
      </c>
      <c r="L1378" t="s">
        <v>2115</v>
      </c>
      <c r="M1378">
        <v>500</v>
      </c>
      <c r="N1378">
        <v>54</v>
      </c>
      <c r="O1378">
        <v>10009.44</v>
      </c>
      <c r="P1378">
        <v>0</v>
      </c>
      <c r="Q1378">
        <v>10009.44</v>
      </c>
      <c r="R1378">
        <v>1601.51</v>
      </c>
      <c r="S1378">
        <v>400.38</v>
      </c>
      <c r="T1378">
        <v>11210.57</v>
      </c>
      <c r="U1378" t="s">
        <v>8871</v>
      </c>
      <c r="V1378" t="s">
        <v>9409</v>
      </c>
      <c r="W1378" t="s">
        <v>424</v>
      </c>
    </row>
    <row r="1379" spans="1:23" hidden="1" x14ac:dyDescent="0.2">
      <c r="A1379">
        <v>2012</v>
      </c>
      <c r="B1379" t="s">
        <v>303</v>
      </c>
      <c r="C1379" s="733">
        <v>40934</v>
      </c>
      <c r="D13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79" t="s">
        <v>485</v>
      </c>
      <c r="F1379" t="s">
        <v>2065</v>
      </c>
      <c r="G1379" t="s">
        <v>3211</v>
      </c>
      <c r="H1379">
        <v>40939</v>
      </c>
      <c r="I1379" t="s">
        <v>424</v>
      </c>
      <c r="J1379" t="s">
        <v>2114</v>
      </c>
      <c r="K1379" t="s">
        <v>2102</v>
      </c>
      <c r="L1379" t="s">
        <v>2115</v>
      </c>
      <c r="M1379">
        <v>500</v>
      </c>
      <c r="N1379">
        <v>54</v>
      </c>
      <c r="O1379">
        <v>10009.44</v>
      </c>
      <c r="P1379">
        <v>0</v>
      </c>
      <c r="Q1379">
        <v>10009.44</v>
      </c>
      <c r="R1379">
        <v>1601.51</v>
      </c>
      <c r="S1379">
        <v>400.38</v>
      </c>
      <c r="T1379">
        <v>11210.57</v>
      </c>
      <c r="U1379" t="s">
        <v>2116</v>
      </c>
      <c r="V1379" t="s">
        <v>9409</v>
      </c>
      <c r="W1379" t="s">
        <v>424</v>
      </c>
    </row>
    <row r="1380" spans="1:23" hidden="1" x14ac:dyDescent="0.2">
      <c r="A1380">
        <v>2012</v>
      </c>
      <c r="B1380" t="s">
        <v>304</v>
      </c>
      <c r="C1380" s="733">
        <v>40940</v>
      </c>
      <c r="D13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80" t="s">
        <v>485</v>
      </c>
      <c r="F1380" t="s">
        <v>2065</v>
      </c>
      <c r="G1380" t="s">
        <v>3220</v>
      </c>
      <c r="H1380">
        <v>41162</v>
      </c>
      <c r="I1380" t="s">
        <v>424</v>
      </c>
      <c r="J1380" t="s">
        <v>2114</v>
      </c>
      <c r="K1380" t="s">
        <v>2102</v>
      </c>
      <c r="L1380" t="s">
        <v>2115</v>
      </c>
      <c r="M1380">
        <v>500</v>
      </c>
      <c r="N1380">
        <v>54</v>
      </c>
      <c r="O1380">
        <v>10009.44</v>
      </c>
      <c r="P1380">
        <v>0</v>
      </c>
      <c r="Q1380">
        <v>10009.44</v>
      </c>
      <c r="R1380">
        <v>1601.51</v>
      </c>
      <c r="S1380">
        <v>400.38</v>
      </c>
      <c r="T1380">
        <v>11210.57</v>
      </c>
      <c r="U1380" t="s">
        <v>8871</v>
      </c>
      <c r="V1380" t="s">
        <v>9409</v>
      </c>
      <c r="W1380" t="s">
        <v>424</v>
      </c>
    </row>
    <row r="1381" spans="1:23" hidden="1" x14ac:dyDescent="0.2">
      <c r="A1381">
        <v>2012</v>
      </c>
      <c r="B1381" t="s">
        <v>304</v>
      </c>
      <c r="C1381" s="733">
        <v>40954</v>
      </c>
      <c r="D13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81" t="s">
        <v>505</v>
      </c>
      <c r="F1381" t="s">
        <v>1915</v>
      </c>
      <c r="G1381" t="s">
        <v>7473</v>
      </c>
      <c r="H1381">
        <v>22730</v>
      </c>
      <c r="I1381" t="s">
        <v>423</v>
      </c>
      <c r="J1381" t="s">
        <v>3207</v>
      </c>
      <c r="K1381" t="s">
        <v>1918</v>
      </c>
      <c r="L1381" t="s">
        <v>1919</v>
      </c>
      <c r="M1381">
        <v>334</v>
      </c>
      <c r="N1381">
        <v>25.08</v>
      </c>
      <c r="O1381">
        <v>6925.59</v>
      </c>
      <c r="P1381">
        <v>0</v>
      </c>
      <c r="Q1381">
        <v>6925.59</v>
      </c>
      <c r="R1381">
        <v>1108.0899999999999</v>
      </c>
      <c r="S1381">
        <v>277.02</v>
      </c>
      <c r="T1381">
        <v>7756.66</v>
      </c>
      <c r="U1381" t="s">
        <v>7529</v>
      </c>
      <c r="V1381" t="s">
        <v>9408</v>
      </c>
      <c r="W1381" t="s">
        <v>423</v>
      </c>
    </row>
    <row r="1382" spans="1:23" hidden="1" x14ac:dyDescent="0.2">
      <c r="A1382">
        <v>2012</v>
      </c>
      <c r="B1382" t="s">
        <v>304</v>
      </c>
      <c r="C1382" s="733">
        <v>40956.456620370373</v>
      </c>
      <c r="D13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82" t="s">
        <v>485</v>
      </c>
      <c r="F1382" t="s">
        <v>2065</v>
      </c>
      <c r="G1382" t="s">
        <v>7705</v>
      </c>
      <c r="H1382">
        <v>42119</v>
      </c>
      <c r="I1382" t="s">
        <v>423</v>
      </c>
      <c r="J1382" t="s">
        <v>3204</v>
      </c>
      <c r="K1382" t="s">
        <v>2183</v>
      </c>
      <c r="L1382" t="s">
        <v>2184</v>
      </c>
      <c r="M1382">
        <v>80</v>
      </c>
      <c r="N1382">
        <v>15.17</v>
      </c>
      <c r="O1382">
        <v>1712.24</v>
      </c>
      <c r="P1382">
        <v>0</v>
      </c>
      <c r="Q1382">
        <v>1712.24</v>
      </c>
      <c r="R1382">
        <v>273.95999999999998</v>
      </c>
      <c r="S1382">
        <v>68.489999999999995</v>
      </c>
      <c r="T1382">
        <v>1917.71</v>
      </c>
      <c r="U1382" t="s">
        <v>8048</v>
      </c>
      <c r="V1382" t="s">
        <v>9408</v>
      </c>
      <c r="W1382" t="s">
        <v>423</v>
      </c>
    </row>
    <row r="1383" spans="1:23" hidden="1" x14ac:dyDescent="0.2">
      <c r="A1383">
        <v>2012</v>
      </c>
      <c r="B1383" t="s">
        <v>305</v>
      </c>
      <c r="C1383" s="733">
        <v>40969</v>
      </c>
      <c r="D1383" s="733" t="str">
        <f>CHOOSE(MONTH(Tabla_sqldatos_bonampakdb_Bon_v_ingresos2012[[#This Row],[fecha_guia]]),"Enero","Febrero","Marzo","Abril","Mayo","Junio","Julio","Agosto","Septiembre","Octubre","Noviembre","Diciembre")</f>
        <v>Marzo</v>
      </c>
      <c r="E1383" t="s">
        <v>485</v>
      </c>
      <c r="F1383" t="s">
        <v>2065</v>
      </c>
      <c r="G1383" t="s">
        <v>9526</v>
      </c>
      <c r="H1383">
        <v>42818</v>
      </c>
      <c r="I1383" t="s">
        <v>423</v>
      </c>
      <c r="J1383" t="s">
        <v>3419</v>
      </c>
      <c r="K1383" t="s">
        <v>2183</v>
      </c>
      <c r="L1383" t="s">
        <v>2184</v>
      </c>
      <c r="M1383">
        <v>80</v>
      </c>
      <c r="N1383">
        <v>50.13</v>
      </c>
      <c r="O1383">
        <v>5658.17</v>
      </c>
      <c r="P1383">
        <v>0</v>
      </c>
      <c r="Q1383">
        <v>5658.17</v>
      </c>
      <c r="R1383">
        <v>905.31</v>
      </c>
      <c r="S1383">
        <v>226.33</v>
      </c>
      <c r="T1383">
        <v>6337.15</v>
      </c>
      <c r="V1383" t="s">
        <v>9409</v>
      </c>
      <c r="W1383" t="s">
        <v>423</v>
      </c>
    </row>
    <row r="1384" spans="1:23" hidden="1" x14ac:dyDescent="0.2">
      <c r="A1384">
        <v>2012</v>
      </c>
      <c r="B1384" t="s">
        <v>303</v>
      </c>
      <c r="C1384" s="733">
        <v>40921</v>
      </c>
      <c r="D13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84" t="s">
        <v>485</v>
      </c>
      <c r="F1384" t="s">
        <v>2065</v>
      </c>
      <c r="G1384" t="s">
        <v>3592</v>
      </c>
      <c r="H1384">
        <v>40251</v>
      </c>
      <c r="I1384" t="s">
        <v>423</v>
      </c>
      <c r="J1384" t="s">
        <v>2182</v>
      </c>
      <c r="K1384" t="s">
        <v>2183</v>
      </c>
      <c r="L1384" t="s">
        <v>2184</v>
      </c>
      <c r="M1384">
        <v>62</v>
      </c>
      <c r="N1384">
        <v>51.9</v>
      </c>
      <c r="O1384">
        <v>7688.47</v>
      </c>
      <c r="P1384">
        <v>0</v>
      </c>
      <c r="Q1384">
        <v>7688.47</v>
      </c>
      <c r="R1384">
        <v>1230.1500000000001</v>
      </c>
      <c r="S1384">
        <v>307.54000000000002</v>
      </c>
      <c r="T1384">
        <v>8611.08</v>
      </c>
      <c r="U1384" t="s">
        <v>7587</v>
      </c>
      <c r="V1384" t="s">
        <v>9409</v>
      </c>
      <c r="W1384" t="s">
        <v>423</v>
      </c>
    </row>
    <row r="1385" spans="1:23" hidden="1" x14ac:dyDescent="0.2">
      <c r="A1385">
        <v>2012</v>
      </c>
      <c r="B1385" t="s">
        <v>304</v>
      </c>
      <c r="C1385" s="733">
        <v>40940</v>
      </c>
      <c r="D13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85" t="s">
        <v>485</v>
      </c>
      <c r="F1385" t="s">
        <v>2065</v>
      </c>
      <c r="G1385" t="s">
        <v>3594</v>
      </c>
      <c r="H1385">
        <v>40353</v>
      </c>
      <c r="I1385" t="s">
        <v>423</v>
      </c>
      <c r="J1385" t="s">
        <v>2182</v>
      </c>
      <c r="K1385" t="s">
        <v>2183</v>
      </c>
      <c r="L1385" t="s">
        <v>2184</v>
      </c>
      <c r="M1385">
        <v>62</v>
      </c>
      <c r="N1385">
        <v>16.16</v>
      </c>
      <c r="O1385">
        <v>2393.94</v>
      </c>
      <c r="P1385">
        <v>0</v>
      </c>
      <c r="Q1385">
        <v>2393.94</v>
      </c>
      <c r="R1385">
        <v>383.03</v>
      </c>
      <c r="S1385">
        <v>95.76</v>
      </c>
      <c r="T1385">
        <v>2681.21</v>
      </c>
      <c r="U1385" t="s">
        <v>2187</v>
      </c>
      <c r="V1385" t="s">
        <v>9408</v>
      </c>
      <c r="W1385" t="s">
        <v>423</v>
      </c>
    </row>
    <row r="1386" spans="1:23" hidden="1" x14ac:dyDescent="0.2">
      <c r="A1386">
        <v>2012</v>
      </c>
      <c r="B1386" t="s">
        <v>304</v>
      </c>
      <c r="C1386" s="733">
        <v>40940</v>
      </c>
      <c r="D13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86" t="s">
        <v>485</v>
      </c>
      <c r="F1386" t="s">
        <v>2065</v>
      </c>
      <c r="G1386" t="s">
        <v>3593</v>
      </c>
      <c r="H1386">
        <v>41185</v>
      </c>
      <c r="I1386" t="s">
        <v>423</v>
      </c>
      <c r="J1386" t="s">
        <v>2182</v>
      </c>
      <c r="K1386" t="s">
        <v>2183</v>
      </c>
      <c r="L1386" t="s">
        <v>2184</v>
      </c>
      <c r="M1386">
        <v>62</v>
      </c>
      <c r="N1386">
        <v>16.03</v>
      </c>
      <c r="O1386">
        <v>2374.6799999999998</v>
      </c>
      <c r="P1386">
        <v>0</v>
      </c>
      <c r="Q1386">
        <v>2374.6799999999998</v>
      </c>
      <c r="R1386">
        <v>379.95</v>
      </c>
      <c r="S1386">
        <v>94.99</v>
      </c>
      <c r="T1386">
        <v>2659.64</v>
      </c>
      <c r="U1386" t="s">
        <v>2192</v>
      </c>
      <c r="V1386" t="s">
        <v>9408</v>
      </c>
      <c r="W1386" t="s">
        <v>423</v>
      </c>
    </row>
    <row r="1387" spans="1:23" hidden="1" x14ac:dyDescent="0.2">
      <c r="A1387">
        <v>2012</v>
      </c>
      <c r="B1387" t="s">
        <v>304</v>
      </c>
      <c r="C1387" s="733">
        <v>40963</v>
      </c>
      <c r="D13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87" t="s">
        <v>485</v>
      </c>
      <c r="F1387" t="s">
        <v>2065</v>
      </c>
      <c r="G1387" t="s">
        <v>8563</v>
      </c>
      <c r="H1387">
        <v>42536</v>
      </c>
      <c r="I1387" t="s">
        <v>423</v>
      </c>
      <c r="J1387" t="s">
        <v>2182</v>
      </c>
      <c r="K1387" t="s">
        <v>2183</v>
      </c>
      <c r="L1387" t="s">
        <v>2184</v>
      </c>
      <c r="M1387">
        <v>62</v>
      </c>
      <c r="N1387">
        <v>15.82</v>
      </c>
      <c r="O1387">
        <v>2343.5700000000002</v>
      </c>
      <c r="P1387">
        <v>0</v>
      </c>
      <c r="Q1387">
        <v>2343.5700000000002</v>
      </c>
      <c r="R1387">
        <v>374.97</v>
      </c>
      <c r="S1387">
        <v>93.74</v>
      </c>
      <c r="T1387">
        <v>2624.8</v>
      </c>
      <c r="U1387" t="s">
        <v>9411</v>
      </c>
      <c r="V1387" t="s">
        <v>9408</v>
      </c>
      <c r="W1387" t="s">
        <v>423</v>
      </c>
    </row>
    <row r="1388" spans="1:23" hidden="1" x14ac:dyDescent="0.2">
      <c r="A1388">
        <v>2012</v>
      </c>
      <c r="B1388" t="s">
        <v>303</v>
      </c>
      <c r="C1388" s="733">
        <v>40918</v>
      </c>
      <c r="D13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88" t="s">
        <v>505</v>
      </c>
      <c r="F1388" t="s">
        <v>1915</v>
      </c>
      <c r="G1388" t="s">
        <v>3206</v>
      </c>
      <c r="H1388">
        <v>21842</v>
      </c>
      <c r="I1388" t="s">
        <v>423</v>
      </c>
      <c r="J1388" t="s">
        <v>3207</v>
      </c>
      <c r="K1388" t="s">
        <v>1918</v>
      </c>
      <c r="L1388" t="s">
        <v>1919</v>
      </c>
      <c r="M1388">
        <v>334</v>
      </c>
      <c r="N1388">
        <v>51.95</v>
      </c>
      <c r="O1388">
        <v>14345.47</v>
      </c>
      <c r="P1388">
        <v>0</v>
      </c>
      <c r="Q1388">
        <v>14345.47</v>
      </c>
      <c r="R1388">
        <v>2295.2800000000002</v>
      </c>
      <c r="S1388">
        <v>573.82000000000005</v>
      </c>
      <c r="T1388">
        <v>16066.93</v>
      </c>
      <c r="U1388" t="s">
        <v>1931</v>
      </c>
      <c r="V1388" t="s">
        <v>9409</v>
      </c>
      <c r="W1388" t="s">
        <v>423</v>
      </c>
    </row>
    <row r="1389" spans="1:23" hidden="1" x14ac:dyDescent="0.2">
      <c r="A1389">
        <v>2012</v>
      </c>
      <c r="B1389" t="s">
        <v>303</v>
      </c>
      <c r="C1389" s="733">
        <v>40925</v>
      </c>
      <c r="D13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89" t="s">
        <v>505</v>
      </c>
      <c r="F1389" t="s">
        <v>1915</v>
      </c>
      <c r="G1389" t="s">
        <v>4891</v>
      </c>
      <c r="H1389">
        <v>22022</v>
      </c>
      <c r="I1389" t="s">
        <v>423</v>
      </c>
      <c r="J1389" t="s">
        <v>3207</v>
      </c>
      <c r="K1389" t="s">
        <v>1918</v>
      </c>
      <c r="L1389" t="s">
        <v>1919</v>
      </c>
      <c r="M1389">
        <v>334</v>
      </c>
      <c r="N1389">
        <v>24.29</v>
      </c>
      <c r="O1389">
        <v>6707.44</v>
      </c>
      <c r="P1389">
        <v>0</v>
      </c>
      <c r="Q1389">
        <v>6707.44</v>
      </c>
      <c r="R1389">
        <v>1073.19</v>
      </c>
      <c r="S1389">
        <v>268.3</v>
      </c>
      <c r="T1389">
        <v>7512.33</v>
      </c>
      <c r="U1389" t="s">
        <v>1936</v>
      </c>
      <c r="V1389" t="s">
        <v>9408</v>
      </c>
      <c r="W1389" t="s">
        <v>423</v>
      </c>
    </row>
    <row r="1390" spans="1:23" hidden="1" x14ac:dyDescent="0.2">
      <c r="A1390">
        <v>2012</v>
      </c>
      <c r="B1390" t="s">
        <v>304</v>
      </c>
      <c r="C1390" s="733">
        <v>40968</v>
      </c>
      <c r="D13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90" t="s">
        <v>505</v>
      </c>
      <c r="F1390" t="s">
        <v>1915</v>
      </c>
      <c r="G1390" t="s">
        <v>9497</v>
      </c>
      <c r="H1390">
        <v>23078</v>
      </c>
      <c r="I1390" t="s">
        <v>423</v>
      </c>
      <c r="J1390" t="s">
        <v>4155</v>
      </c>
      <c r="K1390" t="s">
        <v>1918</v>
      </c>
      <c r="L1390" t="s">
        <v>1919</v>
      </c>
      <c r="M1390">
        <v>650</v>
      </c>
      <c r="N1390">
        <v>24.8</v>
      </c>
      <c r="O1390">
        <v>10665.24</v>
      </c>
      <c r="P1390">
        <v>0</v>
      </c>
      <c r="Q1390">
        <v>10665.24</v>
      </c>
      <c r="R1390">
        <v>1706.44</v>
      </c>
      <c r="S1390">
        <v>426.61</v>
      </c>
      <c r="T1390">
        <v>11945.07</v>
      </c>
      <c r="V1390" t="s">
        <v>9408</v>
      </c>
      <c r="W1390" t="s">
        <v>423</v>
      </c>
    </row>
    <row r="1391" spans="1:23" hidden="1" x14ac:dyDescent="0.2">
      <c r="A1391">
        <v>2012</v>
      </c>
      <c r="B1391" t="s">
        <v>305</v>
      </c>
      <c r="C1391" s="733">
        <v>40969</v>
      </c>
      <c r="D1391" s="733" t="str">
        <f>CHOOSE(MONTH(Tabla_sqldatos_bonampakdb_Bon_v_ingresos2012[[#This Row],[fecha_guia]]),"Enero","Febrero","Marzo","Abril","Mayo","Junio","Julio","Agosto","Septiembre","Octubre","Noviembre","Diciembre")</f>
        <v>Marzo</v>
      </c>
      <c r="E1391" t="s">
        <v>485</v>
      </c>
      <c r="F1391" t="s">
        <v>2065</v>
      </c>
      <c r="G1391" t="s">
        <v>9498</v>
      </c>
      <c r="H1391">
        <v>42760</v>
      </c>
      <c r="I1391" t="s">
        <v>423</v>
      </c>
      <c r="J1391" t="s">
        <v>3147</v>
      </c>
      <c r="K1391" t="s">
        <v>2183</v>
      </c>
      <c r="L1391" t="s">
        <v>2184</v>
      </c>
      <c r="M1391">
        <v>528</v>
      </c>
      <c r="N1391">
        <v>25.69</v>
      </c>
      <c r="O1391">
        <v>7953.62</v>
      </c>
      <c r="P1391">
        <v>0</v>
      </c>
      <c r="Q1391">
        <v>7953.62</v>
      </c>
      <c r="R1391">
        <v>1272.58</v>
      </c>
      <c r="S1391">
        <v>318.14</v>
      </c>
      <c r="T1391">
        <v>8908.06</v>
      </c>
      <c r="V1391" t="s">
        <v>9409</v>
      </c>
      <c r="W1391" t="s">
        <v>423</v>
      </c>
    </row>
    <row r="1392" spans="1:23" hidden="1" x14ac:dyDescent="0.2">
      <c r="A1392">
        <v>2012</v>
      </c>
      <c r="B1392" t="s">
        <v>303</v>
      </c>
      <c r="C1392" s="733">
        <v>40928</v>
      </c>
      <c r="D13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92" t="s">
        <v>485</v>
      </c>
      <c r="F1392" t="s">
        <v>2065</v>
      </c>
      <c r="G1392" t="s">
        <v>3688</v>
      </c>
      <c r="H1392">
        <v>40536</v>
      </c>
      <c r="I1392" t="s">
        <v>423</v>
      </c>
      <c r="J1392" t="s">
        <v>3147</v>
      </c>
      <c r="K1392" t="s">
        <v>2183</v>
      </c>
      <c r="L1392" t="s">
        <v>2184</v>
      </c>
      <c r="M1392">
        <v>528</v>
      </c>
      <c r="N1392">
        <v>48.5</v>
      </c>
      <c r="O1392">
        <v>15015.6</v>
      </c>
      <c r="P1392">
        <v>0</v>
      </c>
      <c r="Q1392">
        <v>15015.6</v>
      </c>
      <c r="R1392">
        <v>2402.5</v>
      </c>
      <c r="S1392">
        <v>600.62</v>
      </c>
      <c r="T1392">
        <v>16817.48</v>
      </c>
      <c r="U1392" t="s">
        <v>7554</v>
      </c>
      <c r="V1392" t="s">
        <v>9409</v>
      </c>
      <c r="W1392" t="s">
        <v>423</v>
      </c>
    </row>
    <row r="1393" spans="1:23" hidden="1" x14ac:dyDescent="0.2">
      <c r="A1393">
        <v>2012</v>
      </c>
      <c r="B1393" t="s">
        <v>303</v>
      </c>
      <c r="C1393" s="733">
        <v>40926</v>
      </c>
      <c r="D13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93" t="s">
        <v>485</v>
      </c>
      <c r="F1393" t="s">
        <v>2065</v>
      </c>
      <c r="G1393" t="s">
        <v>3689</v>
      </c>
      <c r="H1393">
        <v>39912</v>
      </c>
      <c r="I1393" t="s">
        <v>423</v>
      </c>
      <c r="J1393" t="s">
        <v>3147</v>
      </c>
      <c r="K1393" t="s">
        <v>2183</v>
      </c>
      <c r="L1393" t="s">
        <v>2184</v>
      </c>
      <c r="M1393">
        <v>528</v>
      </c>
      <c r="N1393">
        <v>48.37</v>
      </c>
      <c r="O1393">
        <v>14975.35</v>
      </c>
      <c r="P1393">
        <v>0</v>
      </c>
      <c r="Q1393">
        <v>14975.35</v>
      </c>
      <c r="R1393">
        <v>2396.06</v>
      </c>
      <c r="S1393">
        <v>599.01</v>
      </c>
      <c r="T1393">
        <v>16772.400000000001</v>
      </c>
      <c r="U1393" t="s">
        <v>7554</v>
      </c>
      <c r="V1393" t="s">
        <v>9409</v>
      </c>
      <c r="W1393" t="s">
        <v>423</v>
      </c>
    </row>
    <row r="1394" spans="1:23" hidden="1" x14ac:dyDescent="0.2">
      <c r="A1394">
        <v>2012</v>
      </c>
      <c r="B1394" t="s">
        <v>303</v>
      </c>
      <c r="C1394" s="733">
        <v>40939</v>
      </c>
      <c r="D13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94" t="s">
        <v>485</v>
      </c>
      <c r="F1394" t="s">
        <v>2065</v>
      </c>
      <c r="G1394" t="s">
        <v>3690</v>
      </c>
      <c r="H1394">
        <v>41061</v>
      </c>
      <c r="I1394" t="s">
        <v>423</v>
      </c>
      <c r="J1394" t="s">
        <v>3147</v>
      </c>
      <c r="K1394" t="s">
        <v>2183</v>
      </c>
      <c r="L1394" t="s">
        <v>2184</v>
      </c>
      <c r="M1394">
        <v>528</v>
      </c>
      <c r="N1394">
        <v>24.84</v>
      </c>
      <c r="O1394">
        <v>7690.46</v>
      </c>
      <c r="P1394">
        <v>0</v>
      </c>
      <c r="Q1394">
        <v>7690.46</v>
      </c>
      <c r="R1394">
        <v>1230.47</v>
      </c>
      <c r="S1394">
        <v>307.62</v>
      </c>
      <c r="T1394">
        <v>8613.31</v>
      </c>
      <c r="U1394" t="s">
        <v>2192</v>
      </c>
      <c r="V1394" t="s">
        <v>9408</v>
      </c>
      <c r="W1394" t="s">
        <v>423</v>
      </c>
    </row>
    <row r="1395" spans="1:23" hidden="1" x14ac:dyDescent="0.2">
      <c r="A1395">
        <v>2012</v>
      </c>
      <c r="B1395" t="s">
        <v>304</v>
      </c>
      <c r="C1395" s="733">
        <v>40946</v>
      </c>
      <c r="D13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95" t="s">
        <v>485</v>
      </c>
      <c r="F1395" t="s">
        <v>2065</v>
      </c>
      <c r="G1395" t="s">
        <v>4536</v>
      </c>
      <c r="H1395">
        <v>41348</v>
      </c>
      <c r="I1395" t="s">
        <v>423</v>
      </c>
      <c r="J1395" t="s">
        <v>3204</v>
      </c>
      <c r="K1395" t="s">
        <v>2183</v>
      </c>
      <c r="L1395" t="s">
        <v>2184</v>
      </c>
      <c r="M1395">
        <v>80</v>
      </c>
      <c r="N1395">
        <v>46.87</v>
      </c>
      <c r="O1395">
        <v>5290.22</v>
      </c>
      <c r="P1395">
        <v>0</v>
      </c>
      <c r="Q1395">
        <v>5290.22</v>
      </c>
      <c r="R1395">
        <v>846.43</v>
      </c>
      <c r="S1395">
        <v>211.61</v>
      </c>
      <c r="T1395">
        <v>5925.04</v>
      </c>
      <c r="U1395" t="s">
        <v>2192</v>
      </c>
      <c r="V1395" t="s">
        <v>9409</v>
      </c>
      <c r="W1395" t="s">
        <v>423</v>
      </c>
    </row>
    <row r="1396" spans="1:23" hidden="1" x14ac:dyDescent="0.2">
      <c r="A1396">
        <v>2012</v>
      </c>
      <c r="B1396" t="s">
        <v>304</v>
      </c>
      <c r="C1396" s="733">
        <v>40956</v>
      </c>
      <c r="D13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96" t="s">
        <v>478</v>
      </c>
      <c r="F1396" t="s">
        <v>2136</v>
      </c>
      <c r="G1396" t="s">
        <v>7656</v>
      </c>
      <c r="H1396">
        <v>35765</v>
      </c>
      <c r="I1396" t="s">
        <v>423</v>
      </c>
      <c r="J1396" t="s">
        <v>5249</v>
      </c>
      <c r="K1396" t="s">
        <v>425</v>
      </c>
      <c r="L1396" t="s">
        <v>2145</v>
      </c>
      <c r="M1396">
        <v>134</v>
      </c>
      <c r="N1396">
        <v>21.6</v>
      </c>
      <c r="O1396">
        <v>3930.98</v>
      </c>
      <c r="P1396">
        <v>0</v>
      </c>
      <c r="Q1396">
        <v>3930.98</v>
      </c>
      <c r="R1396">
        <v>628.96</v>
      </c>
      <c r="S1396">
        <v>157.24</v>
      </c>
      <c r="T1396">
        <v>4402.7</v>
      </c>
      <c r="U1396" t="s">
        <v>9455</v>
      </c>
      <c r="V1396" t="s">
        <v>9408</v>
      </c>
      <c r="W1396" t="s">
        <v>423</v>
      </c>
    </row>
    <row r="1397" spans="1:23" hidden="1" x14ac:dyDescent="0.2">
      <c r="A1397">
        <v>2012</v>
      </c>
      <c r="B1397" t="s">
        <v>303</v>
      </c>
      <c r="C1397" s="733">
        <v>40910</v>
      </c>
      <c r="D13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97" t="s">
        <v>478</v>
      </c>
      <c r="F1397" t="s">
        <v>2136</v>
      </c>
      <c r="G1397" t="s">
        <v>6899</v>
      </c>
      <c r="H1397">
        <v>34005</v>
      </c>
      <c r="I1397" t="s">
        <v>423</v>
      </c>
      <c r="J1397" t="s">
        <v>5249</v>
      </c>
      <c r="K1397" t="s">
        <v>425</v>
      </c>
      <c r="L1397" t="s">
        <v>2145</v>
      </c>
      <c r="M1397">
        <v>134</v>
      </c>
      <c r="N1397">
        <v>48.18</v>
      </c>
      <c r="O1397">
        <v>3691.55</v>
      </c>
      <c r="P1397">
        <v>4156.2792300000001</v>
      </c>
      <c r="Q1397">
        <v>7847.8292300000003</v>
      </c>
      <c r="R1397">
        <v>1255.652677</v>
      </c>
      <c r="S1397">
        <v>313.91316899999998</v>
      </c>
      <c r="T1397">
        <v>8789.5687379999999</v>
      </c>
      <c r="U1397" t="s">
        <v>6900</v>
      </c>
      <c r="V1397" t="s">
        <v>9409</v>
      </c>
      <c r="W1397" t="s">
        <v>423</v>
      </c>
    </row>
    <row r="1398" spans="1:23" hidden="1" x14ac:dyDescent="0.2">
      <c r="A1398">
        <v>2012</v>
      </c>
      <c r="B1398" t="s">
        <v>303</v>
      </c>
      <c r="C1398" s="733">
        <v>40913</v>
      </c>
      <c r="D13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398" t="s">
        <v>478</v>
      </c>
      <c r="F1398" t="s">
        <v>2136</v>
      </c>
      <c r="G1398" t="s">
        <v>6898</v>
      </c>
      <c r="H1398">
        <v>34240</v>
      </c>
      <c r="I1398" t="s">
        <v>423</v>
      </c>
      <c r="J1398" t="s">
        <v>4699</v>
      </c>
      <c r="K1398" t="s">
        <v>425</v>
      </c>
      <c r="L1398" t="s">
        <v>2145</v>
      </c>
      <c r="M1398">
        <v>555</v>
      </c>
      <c r="N1398">
        <v>27.68</v>
      </c>
      <c r="O1398">
        <v>3723.51</v>
      </c>
      <c r="P1398">
        <v>4192.2626739999996</v>
      </c>
      <c r="Q1398">
        <v>7915.7726739999998</v>
      </c>
      <c r="R1398">
        <v>1266.5236279999999</v>
      </c>
      <c r="S1398">
        <v>316.63090699999998</v>
      </c>
      <c r="T1398">
        <v>8865.665395</v>
      </c>
      <c r="U1398" t="s">
        <v>3118</v>
      </c>
      <c r="V1398" t="s">
        <v>9408</v>
      </c>
      <c r="W1398" t="s">
        <v>423</v>
      </c>
    </row>
    <row r="1399" spans="1:23" hidden="1" x14ac:dyDescent="0.2">
      <c r="A1399">
        <v>2012</v>
      </c>
      <c r="B1399" t="s">
        <v>304</v>
      </c>
      <c r="C1399" s="733">
        <v>40962</v>
      </c>
      <c r="D13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399" t="s">
        <v>485</v>
      </c>
      <c r="F1399" t="s">
        <v>2065</v>
      </c>
      <c r="G1399" t="s">
        <v>8523</v>
      </c>
      <c r="H1399">
        <v>42312</v>
      </c>
      <c r="I1399" t="s">
        <v>423</v>
      </c>
      <c r="J1399" t="s">
        <v>5260</v>
      </c>
      <c r="K1399" t="s">
        <v>2102</v>
      </c>
      <c r="L1399" t="s">
        <v>2115</v>
      </c>
      <c r="M1399">
        <v>832</v>
      </c>
      <c r="N1399">
        <v>52.24</v>
      </c>
      <c r="O1399">
        <v>26066.19</v>
      </c>
      <c r="P1399">
        <v>0</v>
      </c>
      <c r="Q1399">
        <v>26066.19</v>
      </c>
      <c r="R1399">
        <v>4170.59</v>
      </c>
      <c r="S1399">
        <v>1042.6500000000001</v>
      </c>
      <c r="T1399">
        <v>29194.13</v>
      </c>
      <c r="U1399" t="s">
        <v>8883</v>
      </c>
      <c r="V1399" t="s">
        <v>9409</v>
      </c>
      <c r="W1399" t="s">
        <v>423</v>
      </c>
    </row>
    <row r="1400" spans="1:23" hidden="1" x14ac:dyDescent="0.2">
      <c r="A1400">
        <v>2012</v>
      </c>
      <c r="B1400" t="s">
        <v>303</v>
      </c>
      <c r="C1400" s="733">
        <v>40929</v>
      </c>
      <c r="D14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00" t="s">
        <v>478</v>
      </c>
      <c r="F1400" t="s">
        <v>2142</v>
      </c>
      <c r="G1400" t="s">
        <v>6902</v>
      </c>
      <c r="H1400">
        <v>34763</v>
      </c>
      <c r="I1400" t="s">
        <v>423</v>
      </c>
      <c r="J1400" t="s">
        <v>5249</v>
      </c>
      <c r="K1400" t="s">
        <v>425</v>
      </c>
      <c r="L1400" t="s">
        <v>2145</v>
      </c>
      <c r="M1400">
        <v>134</v>
      </c>
      <c r="N1400">
        <v>48.03</v>
      </c>
      <c r="O1400">
        <v>8740.98</v>
      </c>
      <c r="P1400">
        <v>0</v>
      </c>
      <c r="Q1400">
        <v>8740.98</v>
      </c>
      <c r="R1400">
        <v>1398.56</v>
      </c>
      <c r="S1400">
        <v>349.64</v>
      </c>
      <c r="T1400">
        <v>9789.9</v>
      </c>
      <c r="V1400" t="s">
        <v>9409</v>
      </c>
      <c r="W1400" t="s">
        <v>423</v>
      </c>
    </row>
    <row r="1401" spans="1:23" hidden="1" x14ac:dyDescent="0.2">
      <c r="A1401">
        <v>2012</v>
      </c>
      <c r="B1401" t="s">
        <v>304</v>
      </c>
      <c r="C1401" s="733">
        <v>40960</v>
      </c>
      <c r="D14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01" t="s">
        <v>505</v>
      </c>
      <c r="F1401" t="s">
        <v>1915</v>
      </c>
      <c r="G1401" t="s">
        <v>8104</v>
      </c>
      <c r="H1401">
        <v>22884</v>
      </c>
      <c r="I1401" t="s">
        <v>424</v>
      </c>
      <c r="J1401" t="s">
        <v>1917</v>
      </c>
      <c r="K1401" t="s">
        <v>1918</v>
      </c>
      <c r="L1401" t="s">
        <v>1919</v>
      </c>
      <c r="M1401">
        <v>267</v>
      </c>
      <c r="N1401">
        <v>30</v>
      </c>
      <c r="O1401">
        <v>4613.7</v>
      </c>
      <c r="P1401">
        <v>0</v>
      </c>
      <c r="Q1401">
        <v>4613.7</v>
      </c>
      <c r="R1401">
        <v>738.19</v>
      </c>
      <c r="S1401">
        <v>184.55</v>
      </c>
      <c r="T1401">
        <v>5167.34</v>
      </c>
      <c r="U1401" t="s">
        <v>8491</v>
      </c>
      <c r="V1401" t="s">
        <v>9408</v>
      </c>
      <c r="W1401" t="s">
        <v>424</v>
      </c>
    </row>
    <row r="1402" spans="1:23" hidden="1" x14ac:dyDescent="0.2">
      <c r="A1402">
        <v>2012</v>
      </c>
      <c r="B1402" t="s">
        <v>304</v>
      </c>
      <c r="C1402" s="733">
        <v>40959</v>
      </c>
      <c r="D14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02" t="s">
        <v>505</v>
      </c>
      <c r="F1402" t="s">
        <v>1915</v>
      </c>
      <c r="G1402" t="s">
        <v>8109</v>
      </c>
      <c r="H1402">
        <v>22892</v>
      </c>
      <c r="I1402" t="s">
        <v>424</v>
      </c>
      <c r="J1402" t="s">
        <v>1917</v>
      </c>
      <c r="K1402" t="s">
        <v>1918</v>
      </c>
      <c r="L1402" t="s">
        <v>1919</v>
      </c>
      <c r="M1402">
        <v>267</v>
      </c>
      <c r="N1402">
        <v>30</v>
      </c>
      <c r="O1402">
        <v>4613.7</v>
      </c>
      <c r="P1402">
        <v>0</v>
      </c>
      <c r="Q1402">
        <v>4613.7</v>
      </c>
      <c r="R1402">
        <v>738.19</v>
      </c>
      <c r="S1402">
        <v>184.55</v>
      </c>
      <c r="T1402">
        <v>5167.34</v>
      </c>
      <c r="U1402" t="s">
        <v>8491</v>
      </c>
      <c r="V1402" t="s">
        <v>9408</v>
      </c>
      <c r="W1402" t="s">
        <v>424</v>
      </c>
    </row>
    <row r="1403" spans="1:23" hidden="1" x14ac:dyDescent="0.2">
      <c r="A1403">
        <v>2012</v>
      </c>
      <c r="B1403" t="s">
        <v>303</v>
      </c>
      <c r="C1403" s="733">
        <v>40938</v>
      </c>
      <c r="D14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03" t="s">
        <v>485</v>
      </c>
      <c r="F1403" t="s">
        <v>2048</v>
      </c>
      <c r="G1403" t="s">
        <v>6263</v>
      </c>
      <c r="H1403">
        <v>41106</v>
      </c>
      <c r="I1403" t="s">
        <v>423</v>
      </c>
      <c r="J1403" t="s">
        <v>4073</v>
      </c>
      <c r="K1403" t="s">
        <v>2051</v>
      </c>
      <c r="L1403" t="s">
        <v>2052</v>
      </c>
      <c r="M1403">
        <v>610</v>
      </c>
      <c r="N1403">
        <v>28.5</v>
      </c>
      <c r="O1403">
        <v>10102.959999999999</v>
      </c>
      <c r="P1403">
        <v>0</v>
      </c>
      <c r="Q1403">
        <v>10102.959999999999</v>
      </c>
      <c r="R1403">
        <v>1616.47</v>
      </c>
      <c r="S1403">
        <v>404.12</v>
      </c>
      <c r="T1403">
        <v>11315.31</v>
      </c>
      <c r="U1403" t="s">
        <v>2064</v>
      </c>
      <c r="V1403" t="s">
        <v>9408</v>
      </c>
      <c r="W1403" t="s">
        <v>423</v>
      </c>
    </row>
    <row r="1404" spans="1:23" hidden="1" x14ac:dyDescent="0.2">
      <c r="A1404">
        <v>2012</v>
      </c>
      <c r="B1404" t="s">
        <v>304</v>
      </c>
      <c r="C1404" s="733">
        <v>40954</v>
      </c>
      <c r="D14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04" t="s">
        <v>485</v>
      </c>
      <c r="F1404" t="s">
        <v>2065</v>
      </c>
      <c r="G1404" t="s">
        <v>7667</v>
      </c>
      <c r="H1404">
        <v>42020</v>
      </c>
      <c r="I1404" t="s">
        <v>423</v>
      </c>
      <c r="J1404" t="s">
        <v>4073</v>
      </c>
      <c r="K1404" t="s">
        <v>2051</v>
      </c>
      <c r="L1404" t="s">
        <v>2052</v>
      </c>
      <c r="M1404">
        <v>610</v>
      </c>
      <c r="N1404">
        <v>50.25</v>
      </c>
      <c r="O1404">
        <v>17813.12</v>
      </c>
      <c r="P1404">
        <v>0</v>
      </c>
      <c r="Q1404">
        <v>17813.12</v>
      </c>
      <c r="R1404">
        <v>2850.1</v>
      </c>
      <c r="S1404">
        <v>712.52</v>
      </c>
      <c r="T1404">
        <v>19950.7</v>
      </c>
      <c r="U1404" t="s">
        <v>8780</v>
      </c>
      <c r="V1404" t="s">
        <v>9409</v>
      </c>
      <c r="W1404" t="s">
        <v>423</v>
      </c>
    </row>
    <row r="1405" spans="1:23" hidden="1" x14ac:dyDescent="0.2">
      <c r="A1405">
        <v>2012</v>
      </c>
      <c r="B1405" t="s">
        <v>304</v>
      </c>
      <c r="C1405" s="733">
        <v>40947</v>
      </c>
      <c r="D14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05" t="s">
        <v>478</v>
      </c>
      <c r="F1405" t="s">
        <v>2136</v>
      </c>
      <c r="G1405" t="s">
        <v>7116</v>
      </c>
      <c r="H1405">
        <v>35331</v>
      </c>
      <c r="I1405" t="s">
        <v>423</v>
      </c>
      <c r="J1405" t="s">
        <v>4632</v>
      </c>
      <c r="K1405" t="s">
        <v>425</v>
      </c>
      <c r="L1405" t="s">
        <v>2145</v>
      </c>
      <c r="M1405">
        <v>1395</v>
      </c>
      <c r="N1405">
        <v>48.29</v>
      </c>
      <c r="O1405">
        <v>43788.89</v>
      </c>
      <c r="P1405">
        <v>0</v>
      </c>
      <c r="Q1405">
        <v>43788.89</v>
      </c>
      <c r="R1405">
        <v>7006.22</v>
      </c>
      <c r="S1405">
        <v>1751.56</v>
      </c>
      <c r="T1405">
        <v>49043.55</v>
      </c>
      <c r="U1405" t="s">
        <v>3115</v>
      </c>
      <c r="V1405" t="s">
        <v>9409</v>
      </c>
      <c r="W1405" t="s">
        <v>423</v>
      </c>
    </row>
    <row r="1406" spans="1:23" hidden="1" x14ac:dyDescent="0.2">
      <c r="A1406">
        <v>2012</v>
      </c>
      <c r="B1406" t="s">
        <v>303</v>
      </c>
      <c r="C1406" s="733">
        <v>40926</v>
      </c>
      <c r="D14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06" t="s">
        <v>485</v>
      </c>
      <c r="F1406" t="s">
        <v>2065</v>
      </c>
      <c r="G1406" t="s">
        <v>7111</v>
      </c>
      <c r="H1406">
        <v>40417</v>
      </c>
      <c r="I1406" t="s">
        <v>423</v>
      </c>
      <c r="J1406" t="s">
        <v>4626</v>
      </c>
      <c r="K1406" t="s">
        <v>2102</v>
      </c>
      <c r="L1406" t="s">
        <v>2115</v>
      </c>
      <c r="M1406">
        <v>1457</v>
      </c>
      <c r="N1406">
        <v>50.37</v>
      </c>
      <c r="O1406">
        <v>37269.769999999997</v>
      </c>
      <c r="P1406">
        <v>0</v>
      </c>
      <c r="Q1406">
        <v>37269.769999999997</v>
      </c>
      <c r="R1406">
        <v>5963.16</v>
      </c>
      <c r="S1406">
        <v>1490.79</v>
      </c>
      <c r="T1406">
        <v>41742.14</v>
      </c>
      <c r="U1406" t="s">
        <v>2106</v>
      </c>
      <c r="V1406" t="s">
        <v>9409</v>
      </c>
      <c r="W1406" t="s">
        <v>423</v>
      </c>
    </row>
    <row r="1407" spans="1:23" hidden="1" x14ac:dyDescent="0.2">
      <c r="A1407">
        <v>2012</v>
      </c>
      <c r="B1407" t="s">
        <v>304</v>
      </c>
      <c r="C1407" s="733">
        <v>40960</v>
      </c>
      <c r="D14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07" t="s">
        <v>485</v>
      </c>
      <c r="F1407" t="s">
        <v>2065</v>
      </c>
      <c r="G1407" t="s">
        <v>8092</v>
      </c>
      <c r="H1407">
        <v>42209</v>
      </c>
      <c r="I1407" t="s">
        <v>423</v>
      </c>
      <c r="J1407" t="s">
        <v>4626</v>
      </c>
      <c r="K1407" t="s">
        <v>2102</v>
      </c>
      <c r="L1407" t="s">
        <v>2115</v>
      </c>
      <c r="M1407">
        <v>1457</v>
      </c>
      <c r="N1407">
        <v>52.6</v>
      </c>
      <c r="O1407">
        <v>38919.79</v>
      </c>
      <c r="P1407">
        <v>0</v>
      </c>
      <c r="Q1407">
        <v>38919.79</v>
      </c>
      <c r="R1407">
        <v>6227.17</v>
      </c>
      <c r="S1407">
        <v>1556.79</v>
      </c>
      <c r="T1407">
        <v>43590.17</v>
      </c>
      <c r="U1407" t="s">
        <v>8883</v>
      </c>
      <c r="V1407" t="s">
        <v>9409</v>
      </c>
      <c r="W1407" t="s">
        <v>423</v>
      </c>
    </row>
    <row r="1408" spans="1:23" hidden="1" x14ac:dyDescent="0.2">
      <c r="A1408">
        <v>2012</v>
      </c>
      <c r="B1408" t="s">
        <v>305</v>
      </c>
      <c r="C1408" s="733">
        <v>40969</v>
      </c>
      <c r="D1408" s="733" t="str">
        <f>CHOOSE(MONTH(Tabla_sqldatos_bonampakdb_Bon_v_ingresos2012[[#This Row],[fecha_guia]]),"Enero","Febrero","Marzo","Abril","Mayo","Junio","Julio","Agosto","Septiembre","Octubre","Noviembre","Diciembre")</f>
        <v>Marzo</v>
      </c>
      <c r="E1408" t="s">
        <v>505</v>
      </c>
      <c r="F1408" t="s">
        <v>1915</v>
      </c>
      <c r="G1408" t="s">
        <v>9478</v>
      </c>
      <c r="H1408">
        <v>23113</v>
      </c>
      <c r="I1408" t="s">
        <v>423</v>
      </c>
      <c r="J1408" t="s">
        <v>1917</v>
      </c>
      <c r="K1408" t="s">
        <v>1918</v>
      </c>
      <c r="L1408" t="s">
        <v>1919</v>
      </c>
      <c r="M1408">
        <v>267</v>
      </c>
      <c r="N1408">
        <v>49.7</v>
      </c>
      <c r="O1408">
        <v>11174.55</v>
      </c>
      <c r="P1408">
        <v>0</v>
      </c>
      <c r="Q1408">
        <v>11174.55</v>
      </c>
      <c r="R1408">
        <v>1787.93</v>
      </c>
      <c r="S1408">
        <v>446.98</v>
      </c>
      <c r="T1408">
        <v>12515.5</v>
      </c>
      <c r="V1408" t="s">
        <v>9409</v>
      </c>
      <c r="W1408" t="s">
        <v>423</v>
      </c>
    </row>
    <row r="1409" spans="1:23" hidden="1" x14ac:dyDescent="0.2">
      <c r="A1409">
        <v>2012</v>
      </c>
      <c r="B1409" t="s">
        <v>304</v>
      </c>
      <c r="C1409" s="733">
        <v>40946</v>
      </c>
      <c r="D14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09" t="s">
        <v>505</v>
      </c>
      <c r="F1409" t="s">
        <v>1915</v>
      </c>
      <c r="G1409" t="s">
        <v>6884</v>
      </c>
      <c r="H1409">
        <v>22529</v>
      </c>
      <c r="I1409" t="s">
        <v>423</v>
      </c>
      <c r="J1409" t="s">
        <v>1917</v>
      </c>
      <c r="K1409" t="s">
        <v>1918</v>
      </c>
      <c r="L1409" t="s">
        <v>1919</v>
      </c>
      <c r="M1409">
        <v>267</v>
      </c>
      <c r="N1409">
        <v>24.78</v>
      </c>
      <c r="O1409">
        <v>5571.54</v>
      </c>
      <c r="P1409">
        <v>0</v>
      </c>
      <c r="Q1409">
        <v>5571.54</v>
      </c>
      <c r="R1409">
        <v>891.45</v>
      </c>
      <c r="S1409">
        <v>222.86</v>
      </c>
      <c r="T1409">
        <v>6240.13</v>
      </c>
      <c r="U1409" t="s">
        <v>1924</v>
      </c>
      <c r="V1409" t="s">
        <v>9408</v>
      </c>
      <c r="W1409" t="s">
        <v>423</v>
      </c>
    </row>
    <row r="1410" spans="1:23" hidden="1" x14ac:dyDescent="0.2">
      <c r="A1410">
        <v>2012</v>
      </c>
      <c r="B1410" t="s">
        <v>304</v>
      </c>
      <c r="C1410" s="733">
        <v>40955</v>
      </c>
      <c r="D14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10" t="s">
        <v>505</v>
      </c>
      <c r="F1410" t="s">
        <v>1915</v>
      </c>
      <c r="G1410" t="s">
        <v>7745</v>
      </c>
      <c r="H1410">
        <v>22761</v>
      </c>
      <c r="I1410" t="s">
        <v>423</v>
      </c>
      <c r="J1410" t="s">
        <v>1917</v>
      </c>
      <c r="K1410" t="s">
        <v>1918</v>
      </c>
      <c r="L1410" t="s">
        <v>1919</v>
      </c>
      <c r="M1410">
        <v>267</v>
      </c>
      <c r="N1410">
        <v>24.85</v>
      </c>
      <c r="O1410">
        <v>5587.27</v>
      </c>
      <c r="P1410">
        <v>0</v>
      </c>
      <c r="Q1410">
        <v>5587.27</v>
      </c>
      <c r="R1410">
        <v>893.96</v>
      </c>
      <c r="S1410">
        <v>223.49</v>
      </c>
      <c r="T1410">
        <v>6257.74</v>
      </c>
      <c r="U1410" t="s">
        <v>7529</v>
      </c>
      <c r="V1410" t="s">
        <v>9408</v>
      </c>
      <c r="W1410" t="s">
        <v>423</v>
      </c>
    </row>
    <row r="1411" spans="1:23" hidden="1" x14ac:dyDescent="0.2">
      <c r="A1411">
        <v>2012</v>
      </c>
      <c r="B1411" t="s">
        <v>304</v>
      </c>
      <c r="C1411" s="733">
        <v>40956.61383101852</v>
      </c>
      <c r="D14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11" t="s">
        <v>505</v>
      </c>
      <c r="F1411" t="s">
        <v>2065</v>
      </c>
      <c r="G1411" t="s">
        <v>7561</v>
      </c>
      <c r="H1411">
        <v>22838</v>
      </c>
      <c r="I1411" t="s">
        <v>424</v>
      </c>
      <c r="J1411" t="s">
        <v>1917</v>
      </c>
      <c r="K1411" t="s">
        <v>1918</v>
      </c>
      <c r="L1411" t="s">
        <v>1919</v>
      </c>
      <c r="M1411">
        <v>267</v>
      </c>
      <c r="N1411">
        <v>30</v>
      </c>
      <c r="O1411">
        <v>2929.97</v>
      </c>
      <c r="P1411">
        <v>1683.8244589999999</v>
      </c>
      <c r="Q1411">
        <v>4613.7944589999997</v>
      </c>
      <c r="R1411">
        <v>738.20711300000005</v>
      </c>
      <c r="S1411">
        <v>184.55177800000001</v>
      </c>
      <c r="T1411">
        <v>5167.4497940000001</v>
      </c>
      <c r="U1411" t="s">
        <v>7529</v>
      </c>
      <c r="V1411" t="s">
        <v>9408</v>
      </c>
      <c r="W1411" t="s">
        <v>424</v>
      </c>
    </row>
    <row r="1412" spans="1:23" hidden="1" x14ac:dyDescent="0.2">
      <c r="A1412">
        <v>2012</v>
      </c>
      <c r="B1412" t="s">
        <v>303</v>
      </c>
      <c r="C1412" s="733">
        <v>40933</v>
      </c>
      <c r="D14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12" t="s">
        <v>485</v>
      </c>
      <c r="F1412" t="s">
        <v>2065</v>
      </c>
      <c r="G1412" t="s">
        <v>6046</v>
      </c>
      <c r="H1412">
        <v>40864</v>
      </c>
      <c r="I1412" t="s">
        <v>423</v>
      </c>
      <c r="J1412" t="s">
        <v>4073</v>
      </c>
      <c r="K1412" t="s">
        <v>2051</v>
      </c>
      <c r="L1412" t="s">
        <v>2052</v>
      </c>
      <c r="M1412">
        <v>610</v>
      </c>
      <c r="N1412">
        <v>48.3</v>
      </c>
      <c r="O1412">
        <v>17121.87</v>
      </c>
      <c r="P1412">
        <v>0</v>
      </c>
      <c r="Q1412">
        <v>17121.87</v>
      </c>
      <c r="R1412">
        <v>2739.5</v>
      </c>
      <c r="S1412">
        <v>684.87</v>
      </c>
      <c r="T1412">
        <v>19176.5</v>
      </c>
      <c r="U1412" t="s">
        <v>2053</v>
      </c>
      <c r="V1412" t="s">
        <v>9409</v>
      </c>
      <c r="W1412" t="s">
        <v>423</v>
      </c>
    </row>
    <row r="1413" spans="1:23" hidden="1" x14ac:dyDescent="0.2">
      <c r="A1413">
        <v>2012</v>
      </c>
      <c r="B1413" t="s">
        <v>303</v>
      </c>
      <c r="C1413" s="733">
        <v>40926</v>
      </c>
      <c r="D14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13" t="s">
        <v>485</v>
      </c>
      <c r="F1413" t="s">
        <v>2065</v>
      </c>
      <c r="G1413" t="s">
        <v>3338</v>
      </c>
      <c r="H1413">
        <v>40459</v>
      </c>
      <c r="I1413" t="s">
        <v>423</v>
      </c>
      <c r="J1413" t="s">
        <v>3054</v>
      </c>
      <c r="K1413" t="s">
        <v>2183</v>
      </c>
      <c r="L1413" t="s">
        <v>2184</v>
      </c>
      <c r="M1413">
        <v>43</v>
      </c>
      <c r="N1413">
        <v>14.81</v>
      </c>
      <c r="O1413">
        <v>1671.6</v>
      </c>
      <c r="P1413">
        <v>0</v>
      </c>
      <c r="Q1413">
        <v>1671.6</v>
      </c>
      <c r="R1413">
        <v>267.45999999999998</v>
      </c>
      <c r="S1413">
        <v>66.86</v>
      </c>
      <c r="T1413">
        <v>1872.2</v>
      </c>
      <c r="U1413" t="s">
        <v>7554</v>
      </c>
      <c r="V1413" t="s">
        <v>9408</v>
      </c>
      <c r="W1413" t="s">
        <v>423</v>
      </c>
    </row>
    <row r="1414" spans="1:23" hidden="1" x14ac:dyDescent="0.2">
      <c r="A1414">
        <v>2012</v>
      </c>
      <c r="B1414" t="s">
        <v>303</v>
      </c>
      <c r="C1414" s="733">
        <v>40932</v>
      </c>
      <c r="D14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14" t="s">
        <v>478</v>
      </c>
      <c r="F1414" t="s">
        <v>2136</v>
      </c>
      <c r="G1414" t="s">
        <v>7120</v>
      </c>
      <c r="H1414">
        <v>34806</v>
      </c>
      <c r="I1414" t="s">
        <v>423</v>
      </c>
      <c r="J1414" t="s">
        <v>4270</v>
      </c>
      <c r="K1414" t="s">
        <v>425</v>
      </c>
      <c r="L1414" t="s">
        <v>2145</v>
      </c>
      <c r="M1414">
        <v>560</v>
      </c>
      <c r="N1414">
        <v>24.33</v>
      </c>
      <c r="O1414">
        <v>7773.44</v>
      </c>
      <c r="P1414">
        <v>0</v>
      </c>
      <c r="Q1414">
        <v>7773.44</v>
      </c>
      <c r="R1414">
        <v>1243.75</v>
      </c>
      <c r="S1414">
        <v>310.94</v>
      </c>
      <c r="T1414">
        <v>8706.25</v>
      </c>
      <c r="U1414" t="s">
        <v>2355</v>
      </c>
      <c r="V1414" t="s">
        <v>9409</v>
      </c>
      <c r="W1414" t="s">
        <v>423</v>
      </c>
    </row>
    <row r="1415" spans="1:23" hidden="1" x14ac:dyDescent="0.2">
      <c r="A1415">
        <v>2012</v>
      </c>
      <c r="B1415" t="s">
        <v>303</v>
      </c>
      <c r="C1415" s="733">
        <v>40931</v>
      </c>
      <c r="D14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15" t="s">
        <v>485</v>
      </c>
      <c r="F1415" t="s">
        <v>2065</v>
      </c>
      <c r="G1415" t="s">
        <v>7110</v>
      </c>
      <c r="H1415">
        <v>40586</v>
      </c>
      <c r="I1415" t="s">
        <v>423</v>
      </c>
      <c r="J1415" t="s">
        <v>4626</v>
      </c>
      <c r="K1415" t="s">
        <v>2102</v>
      </c>
      <c r="L1415" t="s">
        <v>2115</v>
      </c>
      <c r="M1415">
        <v>1457</v>
      </c>
      <c r="N1415">
        <v>51.17</v>
      </c>
      <c r="O1415">
        <v>37861.71</v>
      </c>
      <c r="P1415">
        <v>0</v>
      </c>
      <c r="Q1415">
        <v>37861.71</v>
      </c>
      <c r="R1415">
        <v>6057.87</v>
      </c>
      <c r="S1415">
        <v>1514.47</v>
      </c>
      <c r="T1415">
        <v>42405.11</v>
      </c>
      <c r="U1415" t="s">
        <v>2108</v>
      </c>
      <c r="V1415" t="s">
        <v>9409</v>
      </c>
      <c r="W1415" t="s">
        <v>423</v>
      </c>
    </row>
    <row r="1416" spans="1:23" hidden="1" x14ac:dyDescent="0.2">
      <c r="A1416">
        <v>2012</v>
      </c>
      <c r="B1416" t="s">
        <v>304</v>
      </c>
      <c r="C1416" s="733">
        <v>40963</v>
      </c>
      <c r="D14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16" t="s">
        <v>485</v>
      </c>
      <c r="F1416" t="s">
        <v>2048</v>
      </c>
      <c r="G1416" t="s">
        <v>8765</v>
      </c>
      <c r="H1416">
        <v>42614</v>
      </c>
      <c r="I1416" t="s">
        <v>423</v>
      </c>
      <c r="J1416" t="s">
        <v>4073</v>
      </c>
      <c r="K1416" t="s">
        <v>2051</v>
      </c>
      <c r="L1416" t="s">
        <v>2052</v>
      </c>
      <c r="M1416">
        <v>610</v>
      </c>
      <c r="N1416">
        <v>53</v>
      </c>
      <c r="O1416">
        <v>18787.97</v>
      </c>
      <c r="P1416">
        <v>0</v>
      </c>
      <c r="Q1416">
        <v>18787.97</v>
      </c>
      <c r="R1416">
        <v>3006.08</v>
      </c>
      <c r="S1416">
        <v>751.52</v>
      </c>
      <c r="T1416">
        <v>21042.53</v>
      </c>
      <c r="U1416" t="s">
        <v>8780</v>
      </c>
      <c r="V1416" t="s">
        <v>9409</v>
      </c>
      <c r="W1416" t="s">
        <v>423</v>
      </c>
    </row>
    <row r="1417" spans="1:23" hidden="1" x14ac:dyDescent="0.2">
      <c r="A1417">
        <v>2012</v>
      </c>
      <c r="B1417" t="s">
        <v>304</v>
      </c>
      <c r="C1417" s="733">
        <v>40941</v>
      </c>
      <c r="D14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17" t="s">
        <v>485</v>
      </c>
      <c r="F1417" t="s">
        <v>2065</v>
      </c>
      <c r="G1417" t="s">
        <v>7109</v>
      </c>
      <c r="H1417">
        <v>39753</v>
      </c>
      <c r="I1417" t="s">
        <v>423</v>
      </c>
      <c r="J1417" t="s">
        <v>4626</v>
      </c>
      <c r="K1417" t="s">
        <v>2102</v>
      </c>
      <c r="L1417" t="s">
        <v>2115</v>
      </c>
      <c r="M1417">
        <v>1457</v>
      </c>
      <c r="N1417">
        <v>26.38</v>
      </c>
      <c r="O1417">
        <v>19519.09</v>
      </c>
      <c r="P1417">
        <v>0</v>
      </c>
      <c r="Q1417">
        <v>19519.09</v>
      </c>
      <c r="R1417">
        <v>3123.05</v>
      </c>
      <c r="S1417">
        <v>780.76</v>
      </c>
      <c r="T1417">
        <v>21861.38</v>
      </c>
      <c r="U1417" t="s">
        <v>8051</v>
      </c>
      <c r="V1417" t="s">
        <v>9409</v>
      </c>
      <c r="W1417" t="s">
        <v>423</v>
      </c>
    </row>
    <row r="1418" spans="1:23" hidden="1" x14ac:dyDescent="0.2">
      <c r="A1418">
        <v>2012</v>
      </c>
      <c r="B1418" t="s">
        <v>304</v>
      </c>
      <c r="C1418" s="733">
        <v>40952</v>
      </c>
      <c r="D14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18" t="s">
        <v>478</v>
      </c>
      <c r="F1418" t="s">
        <v>2136</v>
      </c>
      <c r="G1418" t="s">
        <v>7119</v>
      </c>
      <c r="H1418">
        <v>35455</v>
      </c>
      <c r="I1418" t="s">
        <v>423</v>
      </c>
      <c r="J1418" t="s">
        <v>4270</v>
      </c>
      <c r="K1418" t="s">
        <v>425</v>
      </c>
      <c r="L1418" t="s">
        <v>2145</v>
      </c>
      <c r="M1418">
        <v>560</v>
      </c>
      <c r="N1418">
        <v>23.82</v>
      </c>
      <c r="O1418">
        <v>7610.49</v>
      </c>
      <c r="P1418">
        <v>0</v>
      </c>
      <c r="Q1418">
        <v>7610.49</v>
      </c>
      <c r="R1418">
        <v>1217.68</v>
      </c>
      <c r="S1418">
        <v>304.42</v>
      </c>
      <c r="T1418">
        <v>8523.75</v>
      </c>
      <c r="U1418" t="s">
        <v>7553</v>
      </c>
      <c r="V1418" t="s">
        <v>9408</v>
      </c>
      <c r="W1418" t="s">
        <v>423</v>
      </c>
    </row>
    <row r="1419" spans="1:23" hidden="1" x14ac:dyDescent="0.2">
      <c r="A1419">
        <v>2012</v>
      </c>
      <c r="B1419" t="s">
        <v>303</v>
      </c>
      <c r="C1419" s="733">
        <v>40925</v>
      </c>
      <c r="D14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19" t="s">
        <v>478</v>
      </c>
      <c r="F1419" t="s">
        <v>2136</v>
      </c>
      <c r="G1419" t="s">
        <v>7117</v>
      </c>
      <c r="H1419">
        <v>34520</v>
      </c>
      <c r="I1419" t="s">
        <v>423</v>
      </c>
      <c r="J1419" t="s">
        <v>4632</v>
      </c>
      <c r="K1419" t="s">
        <v>425</v>
      </c>
      <c r="L1419" t="s">
        <v>2145</v>
      </c>
      <c r="M1419">
        <v>1395</v>
      </c>
      <c r="N1419">
        <v>51.87</v>
      </c>
      <c r="O1419">
        <v>47035.199999999997</v>
      </c>
      <c r="P1419">
        <v>0</v>
      </c>
      <c r="Q1419">
        <v>47035.199999999997</v>
      </c>
      <c r="R1419">
        <v>7525.63</v>
      </c>
      <c r="S1419">
        <v>1881.41</v>
      </c>
      <c r="T1419">
        <v>52679.42</v>
      </c>
      <c r="U1419" t="s">
        <v>2146</v>
      </c>
      <c r="V1419" t="s">
        <v>9409</v>
      </c>
      <c r="W1419" t="s">
        <v>423</v>
      </c>
    </row>
    <row r="1420" spans="1:23" hidden="1" x14ac:dyDescent="0.2">
      <c r="A1420">
        <v>2012</v>
      </c>
      <c r="B1420" t="s">
        <v>304</v>
      </c>
      <c r="C1420" s="733">
        <v>40956</v>
      </c>
      <c r="D14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20" t="s">
        <v>505</v>
      </c>
      <c r="F1420" t="s">
        <v>1915</v>
      </c>
      <c r="G1420" t="s">
        <v>7560</v>
      </c>
      <c r="H1420">
        <v>22834</v>
      </c>
      <c r="I1420" t="s">
        <v>424</v>
      </c>
      <c r="J1420" t="s">
        <v>1917</v>
      </c>
      <c r="K1420" t="s">
        <v>1918</v>
      </c>
      <c r="L1420" t="s">
        <v>1919</v>
      </c>
      <c r="M1420">
        <v>267</v>
      </c>
      <c r="N1420">
        <v>30</v>
      </c>
      <c r="O1420">
        <v>2929.97</v>
      </c>
      <c r="P1420">
        <v>1683.8244589999999</v>
      </c>
      <c r="Q1420">
        <v>4613.7944589999997</v>
      </c>
      <c r="R1420">
        <v>738.20711300000005</v>
      </c>
      <c r="S1420">
        <v>184.55177800000001</v>
      </c>
      <c r="T1420">
        <v>5167.4497940000001</v>
      </c>
      <c r="U1420" t="s">
        <v>7529</v>
      </c>
      <c r="V1420" t="s">
        <v>9408</v>
      </c>
      <c r="W1420" t="s">
        <v>424</v>
      </c>
    </row>
    <row r="1421" spans="1:23" hidden="1" x14ac:dyDescent="0.2">
      <c r="A1421">
        <v>2012</v>
      </c>
      <c r="B1421" t="s">
        <v>304</v>
      </c>
      <c r="C1421" s="733">
        <v>40964</v>
      </c>
      <c r="D14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21" t="s">
        <v>505</v>
      </c>
      <c r="F1421" t="s">
        <v>1915</v>
      </c>
      <c r="G1421" t="s">
        <v>8764</v>
      </c>
      <c r="H1421">
        <v>23000</v>
      </c>
      <c r="I1421" t="s">
        <v>424</v>
      </c>
      <c r="J1421" t="s">
        <v>1954</v>
      </c>
      <c r="K1421" t="s">
        <v>1918</v>
      </c>
      <c r="L1421" t="s">
        <v>1919</v>
      </c>
      <c r="M1421">
        <v>303</v>
      </c>
      <c r="N1421">
        <v>27</v>
      </c>
      <c r="O1421">
        <v>2083.35</v>
      </c>
      <c r="P1421">
        <v>1197.2804120000001</v>
      </c>
      <c r="Q1421">
        <v>3280.630412</v>
      </c>
      <c r="R1421">
        <v>524.90086599999995</v>
      </c>
      <c r="S1421">
        <v>131.22521599999999</v>
      </c>
      <c r="T1421">
        <v>3674.3060620000001</v>
      </c>
      <c r="U1421" t="s">
        <v>9415</v>
      </c>
      <c r="V1421" t="s">
        <v>9408</v>
      </c>
      <c r="W1421" t="s">
        <v>424</v>
      </c>
    </row>
    <row r="1422" spans="1:23" hidden="1" x14ac:dyDescent="0.2">
      <c r="A1422">
        <v>2012</v>
      </c>
      <c r="B1422" t="s">
        <v>305</v>
      </c>
      <c r="C1422" s="733">
        <v>40971</v>
      </c>
      <c r="D1422" s="733" t="str">
        <f>CHOOSE(MONTH(Tabla_sqldatos_bonampakdb_Bon_v_ingresos2012[[#This Row],[fecha_guia]]),"Enero","Febrero","Marzo","Abril","Mayo","Junio","Julio","Agosto","Septiembre","Octubre","Noviembre","Diciembre")</f>
        <v>Marzo</v>
      </c>
      <c r="E1422" t="s">
        <v>505</v>
      </c>
      <c r="F1422" t="s">
        <v>1915</v>
      </c>
      <c r="G1422" t="s">
        <v>9675</v>
      </c>
      <c r="H1422">
        <v>23179</v>
      </c>
      <c r="I1422" t="s">
        <v>424</v>
      </c>
      <c r="J1422" t="s">
        <v>1954</v>
      </c>
      <c r="K1422" t="s">
        <v>1918</v>
      </c>
      <c r="L1422" t="s">
        <v>1919</v>
      </c>
      <c r="M1422">
        <v>303</v>
      </c>
      <c r="N1422">
        <v>27</v>
      </c>
      <c r="O1422">
        <v>5276.07</v>
      </c>
      <c r="P1422">
        <v>0</v>
      </c>
      <c r="Q1422">
        <v>5276.07</v>
      </c>
      <c r="R1422">
        <v>844.17</v>
      </c>
      <c r="S1422">
        <v>211.04</v>
      </c>
      <c r="T1422">
        <v>5909.2</v>
      </c>
      <c r="V1422" t="s">
        <v>9408</v>
      </c>
      <c r="W1422" t="s">
        <v>424</v>
      </c>
    </row>
    <row r="1423" spans="1:23" hidden="1" x14ac:dyDescent="0.2">
      <c r="A1423">
        <v>2012</v>
      </c>
      <c r="B1423" t="s">
        <v>304</v>
      </c>
      <c r="C1423" s="733">
        <v>40956</v>
      </c>
      <c r="D14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23" t="s">
        <v>485</v>
      </c>
      <c r="F1423" t="s">
        <v>2065</v>
      </c>
      <c r="G1423" t="s">
        <v>7859</v>
      </c>
      <c r="H1423">
        <v>42151</v>
      </c>
      <c r="I1423" t="s">
        <v>423</v>
      </c>
      <c r="J1423" t="s">
        <v>4073</v>
      </c>
      <c r="K1423" t="s">
        <v>2051</v>
      </c>
      <c r="L1423" t="s">
        <v>2052</v>
      </c>
      <c r="M1423">
        <v>610</v>
      </c>
      <c r="N1423">
        <v>48.6</v>
      </c>
      <c r="O1423">
        <v>17228.21</v>
      </c>
      <c r="P1423">
        <v>0</v>
      </c>
      <c r="Q1423">
        <v>17228.21</v>
      </c>
      <c r="R1423">
        <v>2756.51</v>
      </c>
      <c r="S1423">
        <v>689.13</v>
      </c>
      <c r="T1423">
        <v>19295.59</v>
      </c>
      <c r="U1423" t="s">
        <v>8257</v>
      </c>
      <c r="V1423" t="s">
        <v>9409</v>
      </c>
      <c r="W1423" t="s">
        <v>423</v>
      </c>
    </row>
    <row r="1424" spans="1:23" hidden="1" x14ac:dyDescent="0.2">
      <c r="A1424">
        <v>2012</v>
      </c>
      <c r="B1424" t="s">
        <v>303</v>
      </c>
      <c r="C1424" s="733">
        <v>40924</v>
      </c>
      <c r="D14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24" t="s">
        <v>485</v>
      </c>
      <c r="F1424" t="s">
        <v>2065</v>
      </c>
      <c r="G1424" t="s">
        <v>7202</v>
      </c>
      <c r="H1424">
        <v>40287</v>
      </c>
      <c r="I1424" t="s">
        <v>423</v>
      </c>
      <c r="J1424" t="s">
        <v>4626</v>
      </c>
      <c r="K1424" t="s">
        <v>2102</v>
      </c>
      <c r="L1424" t="s">
        <v>2115</v>
      </c>
      <c r="M1424">
        <v>1457</v>
      </c>
      <c r="N1424">
        <v>27.17</v>
      </c>
      <c r="O1424">
        <v>20103.63</v>
      </c>
      <c r="P1424">
        <v>0</v>
      </c>
      <c r="Q1424">
        <v>20103.63</v>
      </c>
      <c r="R1424">
        <v>3216.58</v>
      </c>
      <c r="S1424">
        <v>804.15</v>
      </c>
      <c r="T1424">
        <v>22516.06</v>
      </c>
      <c r="U1424" t="s">
        <v>2106</v>
      </c>
      <c r="V1424" t="s">
        <v>9408</v>
      </c>
      <c r="W1424" t="s">
        <v>423</v>
      </c>
    </row>
    <row r="1425" spans="1:23" hidden="1" x14ac:dyDescent="0.2">
      <c r="A1425">
        <v>2012</v>
      </c>
      <c r="B1425" t="s">
        <v>303</v>
      </c>
      <c r="C1425" s="733">
        <v>40928</v>
      </c>
      <c r="D14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25" t="s">
        <v>485</v>
      </c>
      <c r="F1425" t="s">
        <v>2065</v>
      </c>
      <c r="G1425" t="s">
        <v>6232</v>
      </c>
      <c r="H1425">
        <v>39758</v>
      </c>
      <c r="I1425" t="s">
        <v>423</v>
      </c>
      <c r="J1425" t="s">
        <v>2182</v>
      </c>
      <c r="K1425" t="s">
        <v>2183</v>
      </c>
      <c r="L1425" t="s">
        <v>2184</v>
      </c>
      <c r="M1425">
        <v>62</v>
      </c>
      <c r="N1425">
        <v>25.97</v>
      </c>
      <c r="O1425">
        <v>3847.2</v>
      </c>
      <c r="P1425">
        <v>0</v>
      </c>
      <c r="Q1425">
        <v>3847.2</v>
      </c>
      <c r="R1425">
        <v>615.54999999999995</v>
      </c>
      <c r="S1425">
        <v>153.88999999999999</v>
      </c>
      <c r="T1425">
        <v>4308.8599999999997</v>
      </c>
      <c r="U1425" t="s">
        <v>2187</v>
      </c>
      <c r="V1425" t="s">
        <v>9408</v>
      </c>
      <c r="W1425" t="s">
        <v>423</v>
      </c>
    </row>
    <row r="1426" spans="1:23" hidden="1" x14ac:dyDescent="0.2">
      <c r="A1426">
        <v>2012</v>
      </c>
      <c r="B1426" t="s">
        <v>303</v>
      </c>
      <c r="C1426" s="733">
        <v>40928</v>
      </c>
      <c r="D14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26" t="s">
        <v>485</v>
      </c>
      <c r="F1426" t="s">
        <v>2065</v>
      </c>
      <c r="G1426" t="s">
        <v>5826</v>
      </c>
      <c r="H1426">
        <v>39804</v>
      </c>
      <c r="I1426" t="s">
        <v>423</v>
      </c>
      <c r="J1426" t="s">
        <v>2182</v>
      </c>
      <c r="K1426" t="s">
        <v>2183</v>
      </c>
      <c r="L1426" t="s">
        <v>2184</v>
      </c>
      <c r="M1426">
        <v>62</v>
      </c>
      <c r="N1426">
        <v>16.350000000000001</v>
      </c>
      <c r="O1426">
        <v>2422.09</v>
      </c>
      <c r="P1426">
        <v>0</v>
      </c>
      <c r="Q1426">
        <v>2422.09</v>
      </c>
      <c r="R1426">
        <v>387.53</v>
      </c>
      <c r="S1426">
        <v>96.88</v>
      </c>
      <c r="T1426">
        <v>2712.74</v>
      </c>
      <c r="U1426" t="s">
        <v>2187</v>
      </c>
      <c r="V1426" t="s">
        <v>9408</v>
      </c>
      <c r="W1426" t="s">
        <v>423</v>
      </c>
    </row>
    <row r="1427" spans="1:23" hidden="1" x14ac:dyDescent="0.2">
      <c r="A1427">
        <v>2012</v>
      </c>
      <c r="B1427" t="s">
        <v>304</v>
      </c>
      <c r="C1427" s="733">
        <v>40952</v>
      </c>
      <c r="D14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27" t="s">
        <v>485</v>
      </c>
      <c r="F1427" t="s">
        <v>2065</v>
      </c>
      <c r="G1427" t="s">
        <v>5825</v>
      </c>
      <c r="H1427">
        <v>41793</v>
      </c>
      <c r="I1427" t="s">
        <v>423</v>
      </c>
      <c r="J1427" t="s">
        <v>2182</v>
      </c>
      <c r="K1427" t="s">
        <v>2183</v>
      </c>
      <c r="L1427" t="s">
        <v>2184</v>
      </c>
      <c r="M1427">
        <v>62</v>
      </c>
      <c r="N1427">
        <v>16.010000000000002</v>
      </c>
      <c r="O1427">
        <v>2371.7199999999998</v>
      </c>
      <c r="P1427">
        <v>0</v>
      </c>
      <c r="Q1427">
        <v>2371.7199999999998</v>
      </c>
      <c r="R1427">
        <v>379.48</v>
      </c>
      <c r="S1427">
        <v>94.87</v>
      </c>
      <c r="T1427">
        <v>2656.33</v>
      </c>
      <c r="U1427" t="s">
        <v>8048</v>
      </c>
      <c r="V1427" t="s">
        <v>9408</v>
      </c>
      <c r="W1427" t="s">
        <v>423</v>
      </c>
    </row>
    <row r="1428" spans="1:23" hidden="1" x14ac:dyDescent="0.2">
      <c r="A1428">
        <v>2012</v>
      </c>
      <c r="B1428" t="s">
        <v>304</v>
      </c>
      <c r="C1428" s="733">
        <v>40942</v>
      </c>
      <c r="D14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28" t="s">
        <v>485</v>
      </c>
      <c r="F1428" t="s">
        <v>2065</v>
      </c>
      <c r="G1428" t="s">
        <v>5628</v>
      </c>
      <c r="H1428">
        <v>41292</v>
      </c>
      <c r="I1428" t="s">
        <v>423</v>
      </c>
      <c r="J1428" t="s">
        <v>2182</v>
      </c>
      <c r="K1428" t="s">
        <v>2183</v>
      </c>
      <c r="L1428" t="s">
        <v>2184</v>
      </c>
      <c r="M1428">
        <v>62</v>
      </c>
      <c r="N1428">
        <v>16.28</v>
      </c>
      <c r="O1428">
        <v>2411.7199999999998</v>
      </c>
      <c r="P1428">
        <v>0</v>
      </c>
      <c r="Q1428">
        <v>2411.7199999999998</v>
      </c>
      <c r="R1428">
        <v>385.88</v>
      </c>
      <c r="S1428">
        <v>96.47</v>
      </c>
      <c r="T1428">
        <v>2701.13</v>
      </c>
      <c r="U1428" t="s">
        <v>2192</v>
      </c>
      <c r="V1428" t="s">
        <v>9408</v>
      </c>
      <c r="W1428" t="s">
        <v>423</v>
      </c>
    </row>
    <row r="1429" spans="1:23" hidden="1" x14ac:dyDescent="0.2">
      <c r="A1429">
        <v>2012</v>
      </c>
      <c r="B1429" t="s">
        <v>303</v>
      </c>
      <c r="C1429" s="733">
        <v>40925</v>
      </c>
      <c r="D14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29" t="s">
        <v>485</v>
      </c>
      <c r="F1429" t="s">
        <v>2065</v>
      </c>
      <c r="G1429" t="s">
        <v>5630</v>
      </c>
      <c r="H1429">
        <v>40437</v>
      </c>
      <c r="I1429" t="s">
        <v>423</v>
      </c>
      <c r="J1429" t="s">
        <v>2182</v>
      </c>
      <c r="K1429" t="s">
        <v>2183</v>
      </c>
      <c r="L1429" t="s">
        <v>2184</v>
      </c>
      <c r="M1429">
        <v>62</v>
      </c>
      <c r="N1429">
        <v>16.32</v>
      </c>
      <c r="O1429">
        <v>2417.64</v>
      </c>
      <c r="P1429">
        <v>0</v>
      </c>
      <c r="Q1429">
        <v>2417.64</v>
      </c>
      <c r="R1429">
        <v>386.82</v>
      </c>
      <c r="S1429">
        <v>96.71</v>
      </c>
      <c r="T1429">
        <v>2707.75</v>
      </c>
      <c r="U1429" t="s">
        <v>7554</v>
      </c>
      <c r="V1429" t="s">
        <v>9408</v>
      </c>
      <c r="W1429" t="s">
        <v>423</v>
      </c>
    </row>
    <row r="1430" spans="1:23" hidden="1" x14ac:dyDescent="0.2">
      <c r="A1430">
        <v>2012</v>
      </c>
      <c r="B1430" t="s">
        <v>304</v>
      </c>
      <c r="C1430" s="733">
        <v>40954.450949074075</v>
      </c>
      <c r="D14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30" t="s">
        <v>485</v>
      </c>
      <c r="F1430" t="s">
        <v>2065</v>
      </c>
      <c r="G1430" t="s">
        <v>7467</v>
      </c>
      <c r="H1430">
        <v>41977</v>
      </c>
      <c r="I1430" t="s">
        <v>423</v>
      </c>
      <c r="J1430" t="s">
        <v>2182</v>
      </c>
      <c r="K1430" t="s">
        <v>2183</v>
      </c>
      <c r="L1430" t="s">
        <v>2184</v>
      </c>
      <c r="M1430">
        <v>62</v>
      </c>
      <c r="N1430">
        <v>16.32</v>
      </c>
      <c r="O1430">
        <v>2417.64</v>
      </c>
      <c r="P1430">
        <v>0</v>
      </c>
      <c r="Q1430">
        <v>2417.64</v>
      </c>
      <c r="R1430">
        <v>386.82</v>
      </c>
      <c r="S1430">
        <v>96.71</v>
      </c>
      <c r="T1430">
        <v>2707.75</v>
      </c>
      <c r="U1430" t="s">
        <v>8048</v>
      </c>
      <c r="V1430" t="s">
        <v>9408</v>
      </c>
      <c r="W1430" t="s">
        <v>423</v>
      </c>
    </row>
    <row r="1431" spans="1:23" hidden="1" x14ac:dyDescent="0.2">
      <c r="A1431">
        <v>2012</v>
      </c>
      <c r="B1431" t="s">
        <v>303</v>
      </c>
      <c r="C1431" s="733">
        <v>40928</v>
      </c>
      <c r="D14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31" t="s">
        <v>485</v>
      </c>
      <c r="F1431" t="s">
        <v>2065</v>
      </c>
      <c r="G1431" t="s">
        <v>3752</v>
      </c>
      <c r="H1431">
        <v>40254</v>
      </c>
      <c r="I1431" t="s">
        <v>424</v>
      </c>
      <c r="J1431" t="s">
        <v>2114</v>
      </c>
      <c r="K1431" t="s">
        <v>2102</v>
      </c>
      <c r="L1431" t="s">
        <v>2115</v>
      </c>
      <c r="M1431">
        <v>500</v>
      </c>
      <c r="N1431">
        <v>54</v>
      </c>
      <c r="O1431">
        <v>10009.44</v>
      </c>
      <c r="P1431">
        <v>0</v>
      </c>
      <c r="Q1431">
        <v>10009.44</v>
      </c>
      <c r="R1431">
        <v>1601.51</v>
      </c>
      <c r="S1431">
        <v>400.38</v>
      </c>
      <c r="T1431">
        <v>11210.57</v>
      </c>
      <c r="U1431" t="s">
        <v>2121</v>
      </c>
      <c r="V1431" t="s">
        <v>9409</v>
      </c>
      <c r="W1431" t="s">
        <v>424</v>
      </c>
    </row>
    <row r="1432" spans="1:23" hidden="1" x14ac:dyDescent="0.2">
      <c r="A1432">
        <v>2012</v>
      </c>
      <c r="B1432" t="s">
        <v>303</v>
      </c>
      <c r="C1432" s="733">
        <v>40935</v>
      </c>
      <c r="D14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32" t="s">
        <v>485</v>
      </c>
      <c r="F1432" t="s">
        <v>2065</v>
      </c>
      <c r="G1432" t="s">
        <v>3751</v>
      </c>
      <c r="H1432">
        <v>40951</v>
      </c>
      <c r="I1432" t="s">
        <v>424</v>
      </c>
      <c r="J1432" t="s">
        <v>2114</v>
      </c>
      <c r="K1432" t="s">
        <v>2102</v>
      </c>
      <c r="L1432" t="s">
        <v>2115</v>
      </c>
      <c r="M1432">
        <v>500</v>
      </c>
      <c r="N1432">
        <v>54</v>
      </c>
      <c r="O1432">
        <v>10009.44</v>
      </c>
      <c r="P1432">
        <v>0</v>
      </c>
      <c r="Q1432">
        <v>10009.44</v>
      </c>
      <c r="R1432">
        <v>1601.51</v>
      </c>
      <c r="S1432">
        <v>400.38</v>
      </c>
      <c r="T1432">
        <v>11210.57</v>
      </c>
      <c r="U1432" t="s">
        <v>2116</v>
      </c>
      <c r="V1432" t="s">
        <v>9409</v>
      </c>
      <c r="W1432" t="s">
        <v>424</v>
      </c>
    </row>
    <row r="1433" spans="1:23" hidden="1" x14ac:dyDescent="0.2">
      <c r="A1433">
        <v>2012</v>
      </c>
      <c r="B1433" t="s">
        <v>304</v>
      </c>
      <c r="C1433" s="733">
        <v>40941</v>
      </c>
      <c r="D14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33" t="s">
        <v>485</v>
      </c>
      <c r="F1433" t="s">
        <v>2065</v>
      </c>
      <c r="G1433" t="s">
        <v>3755</v>
      </c>
      <c r="H1433">
        <v>39643</v>
      </c>
      <c r="I1433" t="s">
        <v>424</v>
      </c>
      <c r="J1433" t="s">
        <v>2135</v>
      </c>
      <c r="K1433" t="s">
        <v>2102</v>
      </c>
      <c r="L1433" t="s">
        <v>2115</v>
      </c>
      <c r="M1433">
        <v>494</v>
      </c>
      <c r="N1433">
        <v>54</v>
      </c>
      <c r="O1433">
        <v>11375.64</v>
      </c>
      <c r="P1433">
        <v>0</v>
      </c>
      <c r="Q1433">
        <v>11375.64</v>
      </c>
      <c r="R1433">
        <v>1820.1</v>
      </c>
      <c r="S1433">
        <v>455.03</v>
      </c>
      <c r="T1433">
        <v>12740.71</v>
      </c>
      <c r="U1433" t="s">
        <v>8871</v>
      </c>
      <c r="V1433" t="s">
        <v>9409</v>
      </c>
      <c r="W1433" t="s">
        <v>424</v>
      </c>
    </row>
    <row r="1434" spans="1:23" hidden="1" x14ac:dyDescent="0.2">
      <c r="A1434">
        <v>2012</v>
      </c>
      <c r="B1434" t="s">
        <v>304</v>
      </c>
      <c r="C1434" s="733">
        <v>40942</v>
      </c>
      <c r="D14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34" t="s">
        <v>485</v>
      </c>
      <c r="F1434" t="s">
        <v>2065</v>
      </c>
      <c r="G1434" t="s">
        <v>7198</v>
      </c>
      <c r="H1434">
        <v>41349</v>
      </c>
      <c r="I1434" t="s">
        <v>424</v>
      </c>
      <c r="J1434" t="s">
        <v>2114</v>
      </c>
      <c r="K1434" t="s">
        <v>2102</v>
      </c>
      <c r="L1434" t="s">
        <v>2115</v>
      </c>
      <c r="M1434">
        <v>500</v>
      </c>
      <c r="N1434">
        <v>54</v>
      </c>
      <c r="O1434">
        <v>10009.44</v>
      </c>
      <c r="P1434">
        <v>0</v>
      </c>
      <c r="Q1434">
        <v>10009.44</v>
      </c>
      <c r="R1434">
        <v>1601.51</v>
      </c>
      <c r="S1434">
        <v>400.38</v>
      </c>
      <c r="T1434">
        <v>11210.57</v>
      </c>
      <c r="V1434" t="s">
        <v>9409</v>
      </c>
      <c r="W1434" t="s">
        <v>424</v>
      </c>
    </row>
    <row r="1435" spans="1:23" hidden="1" x14ac:dyDescent="0.2">
      <c r="A1435">
        <v>2012</v>
      </c>
      <c r="B1435" t="s">
        <v>304</v>
      </c>
      <c r="C1435" s="733">
        <v>40940</v>
      </c>
      <c r="D14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35" t="s">
        <v>485</v>
      </c>
      <c r="F1435" t="s">
        <v>2065</v>
      </c>
      <c r="G1435" t="s">
        <v>5829</v>
      </c>
      <c r="H1435">
        <v>39998</v>
      </c>
      <c r="I1435" t="s">
        <v>423</v>
      </c>
      <c r="J1435" t="s">
        <v>3204</v>
      </c>
      <c r="K1435" t="s">
        <v>2183</v>
      </c>
      <c r="L1435" t="s">
        <v>2184</v>
      </c>
      <c r="M1435">
        <v>80</v>
      </c>
      <c r="N1435">
        <v>15.13</v>
      </c>
      <c r="O1435">
        <v>1707.72</v>
      </c>
      <c r="P1435">
        <v>0</v>
      </c>
      <c r="Q1435">
        <v>1707.72</v>
      </c>
      <c r="R1435">
        <v>273.24</v>
      </c>
      <c r="S1435">
        <v>68.31</v>
      </c>
      <c r="T1435">
        <v>1912.65</v>
      </c>
      <c r="U1435" t="s">
        <v>2187</v>
      </c>
      <c r="V1435" t="s">
        <v>9408</v>
      </c>
      <c r="W1435" t="s">
        <v>423</v>
      </c>
    </row>
    <row r="1436" spans="1:23" hidden="1" x14ac:dyDescent="0.2">
      <c r="A1436">
        <v>2012</v>
      </c>
      <c r="B1436" t="s">
        <v>304</v>
      </c>
      <c r="C1436" s="733">
        <v>40959</v>
      </c>
      <c r="D14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36" t="s">
        <v>485</v>
      </c>
      <c r="F1436" t="s">
        <v>2065</v>
      </c>
      <c r="G1436" t="s">
        <v>7631</v>
      </c>
      <c r="H1436">
        <v>42110</v>
      </c>
      <c r="I1436" t="s">
        <v>423</v>
      </c>
      <c r="J1436" t="s">
        <v>3204</v>
      </c>
      <c r="K1436" t="s">
        <v>2183</v>
      </c>
      <c r="L1436" t="s">
        <v>2184</v>
      </c>
      <c r="M1436">
        <v>80</v>
      </c>
      <c r="N1436">
        <v>51.62</v>
      </c>
      <c r="O1436">
        <v>5826.35</v>
      </c>
      <c r="P1436">
        <v>0</v>
      </c>
      <c r="Q1436">
        <v>5826.35</v>
      </c>
      <c r="R1436">
        <v>932.22</v>
      </c>
      <c r="S1436">
        <v>233.05</v>
      </c>
      <c r="T1436">
        <v>6525.52</v>
      </c>
      <c r="U1436" t="s">
        <v>9411</v>
      </c>
      <c r="V1436" t="s">
        <v>9409</v>
      </c>
      <c r="W1436" t="s">
        <v>423</v>
      </c>
    </row>
    <row r="1437" spans="1:23" hidden="1" x14ac:dyDescent="0.2">
      <c r="A1437">
        <v>2012</v>
      </c>
      <c r="B1437" t="s">
        <v>303</v>
      </c>
      <c r="C1437" s="733">
        <v>40934</v>
      </c>
      <c r="D14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37" t="s">
        <v>485</v>
      </c>
      <c r="F1437" t="s">
        <v>2065</v>
      </c>
      <c r="G1437" t="s">
        <v>3771</v>
      </c>
      <c r="H1437">
        <v>40808</v>
      </c>
      <c r="I1437" t="s">
        <v>423</v>
      </c>
      <c r="J1437" t="s">
        <v>2345</v>
      </c>
      <c r="K1437" t="s">
        <v>2102</v>
      </c>
      <c r="L1437" t="s">
        <v>2115</v>
      </c>
      <c r="M1437">
        <v>426</v>
      </c>
      <c r="N1437">
        <v>51.77</v>
      </c>
      <c r="O1437">
        <v>17407.66</v>
      </c>
      <c r="P1437">
        <v>0</v>
      </c>
      <c r="Q1437">
        <v>17407.66</v>
      </c>
      <c r="R1437">
        <v>2785.23</v>
      </c>
      <c r="S1437">
        <v>696.31</v>
      </c>
      <c r="T1437">
        <v>19496.580000000002</v>
      </c>
      <c r="U1437" t="s">
        <v>2110</v>
      </c>
      <c r="V1437" t="s">
        <v>9409</v>
      </c>
      <c r="W1437" t="s">
        <v>423</v>
      </c>
    </row>
    <row r="1438" spans="1:23" hidden="1" x14ac:dyDescent="0.2">
      <c r="A1438">
        <v>2012</v>
      </c>
      <c r="B1438" t="s">
        <v>303</v>
      </c>
      <c r="C1438" s="733">
        <v>40928</v>
      </c>
      <c r="D14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38" t="s">
        <v>485</v>
      </c>
      <c r="F1438" t="s">
        <v>2065</v>
      </c>
      <c r="G1438" t="s">
        <v>3757</v>
      </c>
      <c r="H1438">
        <v>40253</v>
      </c>
      <c r="I1438" t="s">
        <v>424</v>
      </c>
      <c r="J1438" t="s">
        <v>2114</v>
      </c>
      <c r="K1438" t="s">
        <v>2102</v>
      </c>
      <c r="L1438" t="s">
        <v>2115</v>
      </c>
      <c r="M1438">
        <v>500</v>
      </c>
      <c r="N1438">
        <v>54</v>
      </c>
      <c r="O1438">
        <v>10009.44</v>
      </c>
      <c r="P1438">
        <v>0</v>
      </c>
      <c r="Q1438">
        <v>10009.44</v>
      </c>
      <c r="R1438">
        <v>1601.51</v>
      </c>
      <c r="S1438">
        <v>400.38</v>
      </c>
      <c r="T1438">
        <v>11210.57</v>
      </c>
      <c r="U1438" t="s">
        <v>2121</v>
      </c>
      <c r="V1438" t="s">
        <v>9409</v>
      </c>
      <c r="W1438" t="s">
        <v>424</v>
      </c>
    </row>
    <row r="1439" spans="1:23" hidden="1" x14ac:dyDescent="0.2">
      <c r="A1439">
        <v>2012</v>
      </c>
      <c r="B1439" t="s">
        <v>303</v>
      </c>
      <c r="C1439" s="733">
        <v>40939</v>
      </c>
      <c r="D14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39" t="s">
        <v>485</v>
      </c>
      <c r="F1439" t="s">
        <v>2065</v>
      </c>
      <c r="G1439" t="s">
        <v>6148</v>
      </c>
      <c r="H1439">
        <v>39909</v>
      </c>
      <c r="I1439" t="s">
        <v>423</v>
      </c>
      <c r="J1439" t="s">
        <v>2836</v>
      </c>
      <c r="K1439" t="s">
        <v>2814</v>
      </c>
      <c r="L1439" t="s">
        <v>2815</v>
      </c>
      <c r="M1439">
        <v>70</v>
      </c>
      <c r="N1439">
        <v>23.09</v>
      </c>
      <c r="O1439">
        <v>2606.17</v>
      </c>
      <c r="P1439">
        <v>0</v>
      </c>
      <c r="Q1439">
        <v>2606.17</v>
      </c>
      <c r="R1439">
        <v>416.99</v>
      </c>
      <c r="S1439">
        <v>104.25</v>
      </c>
      <c r="T1439">
        <v>2918.91</v>
      </c>
      <c r="U1439" t="s">
        <v>2826</v>
      </c>
      <c r="V1439" t="s">
        <v>9408</v>
      </c>
      <c r="W1439" t="s">
        <v>423</v>
      </c>
    </row>
    <row r="1440" spans="1:23" hidden="1" x14ac:dyDescent="0.2">
      <c r="A1440">
        <v>2012</v>
      </c>
      <c r="B1440" t="s">
        <v>303</v>
      </c>
      <c r="C1440" s="733">
        <v>40928</v>
      </c>
      <c r="D14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40" t="s">
        <v>485</v>
      </c>
      <c r="F1440" t="s">
        <v>2065</v>
      </c>
      <c r="G1440" t="s">
        <v>3756</v>
      </c>
      <c r="H1440">
        <v>40583</v>
      </c>
      <c r="I1440" t="s">
        <v>424</v>
      </c>
      <c r="J1440" t="s">
        <v>2135</v>
      </c>
      <c r="K1440" t="s">
        <v>2102</v>
      </c>
      <c r="L1440" t="s">
        <v>2115</v>
      </c>
      <c r="M1440">
        <v>494</v>
      </c>
      <c r="N1440">
        <v>54</v>
      </c>
      <c r="O1440">
        <v>11375.64</v>
      </c>
      <c r="P1440">
        <v>0</v>
      </c>
      <c r="Q1440">
        <v>11375.64</v>
      </c>
      <c r="R1440">
        <v>1820.1</v>
      </c>
      <c r="S1440">
        <v>455.03</v>
      </c>
      <c r="T1440">
        <v>12740.71</v>
      </c>
      <c r="U1440" t="s">
        <v>2119</v>
      </c>
      <c r="V1440" t="s">
        <v>9409</v>
      </c>
      <c r="W1440" t="s">
        <v>424</v>
      </c>
    </row>
    <row r="1441" spans="1:23" hidden="1" x14ac:dyDescent="0.2">
      <c r="A1441">
        <v>2012</v>
      </c>
      <c r="B1441" t="s">
        <v>303</v>
      </c>
      <c r="C1441" s="733">
        <v>40939</v>
      </c>
      <c r="D14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41" t="s">
        <v>485</v>
      </c>
      <c r="F1441" t="s">
        <v>2065</v>
      </c>
      <c r="G1441" t="s">
        <v>7199</v>
      </c>
      <c r="H1441">
        <v>41053</v>
      </c>
      <c r="I1441" t="s">
        <v>423</v>
      </c>
      <c r="J1441" t="s">
        <v>2345</v>
      </c>
      <c r="K1441" t="s">
        <v>2102</v>
      </c>
      <c r="L1441" t="s">
        <v>2115</v>
      </c>
      <c r="M1441">
        <v>426</v>
      </c>
      <c r="N1441">
        <v>25.56</v>
      </c>
      <c r="O1441">
        <v>8594.5499999999993</v>
      </c>
      <c r="P1441">
        <v>0</v>
      </c>
      <c r="Q1441">
        <v>8594.5499999999993</v>
      </c>
      <c r="R1441">
        <v>1375.13</v>
      </c>
      <c r="S1441">
        <v>343.78</v>
      </c>
      <c r="T1441">
        <v>9625.9</v>
      </c>
      <c r="U1441" t="s">
        <v>2110</v>
      </c>
      <c r="V1441" t="s">
        <v>9408</v>
      </c>
      <c r="W1441" t="s">
        <v>423</v>
      </c>
    </row>
    <row r="1442" spans="1:23" hidden="1" x14ac:dyDescent="0.2">
      <c r="A1442">
        <v>2012</v>
      </c>
      <c r="B1442" t="s">
        <v>304</v>
      </c>
      <c r="C1442" s="733">
        <v>40942</v>
      </c>
      <c r="D14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42" t="s">
        <v>485</v>
      </c>
      <c r="F1442" t="s">
        <v>2065</v>
      </c>
      <c r="G1442" t="s">
        <v>3759</v>
      </c>
      <c r="H1442">
        <v>41347</v>
      </c>
      <c r="I1442" t="s">
        <v>423</v>
      </c>
      <c r="J1442" t="s">
        <v>2114</v>
      </c>
      <c r="K1442" t="s">
        <v>2102</v>
      </c>
      <c r="L1442" t="s">
        <v>2115</v>
      </c>
      <c r="M1442">
        <v>500</v>
      </c>
      <c r="N1442">
        <v>54.91</v>
      </c>
      <c r="O1442">
        <v>18463.490000000002</v>
      </c>
      <c r="P1442">
        <v>0</v>
      </c>
      <c r="Q1442">
        <v>18463.490000000002</v>
      </c>
      <c r="R1442">
        <v>2954.16</v>
      </c>
      <c r="S1442">
        <v>738.54</v>
      </c>
      <c r="T1442">
        <v>20679.11</v>
      </c>
      <c r="U1442" t="s">
        <v>8051</v>
      </c>
      <c r="V1442" t="s">
        <v>9409</v>
      </c>
      <c r="W1442" t="s">
        <v>423</v>
      </c>
    </row>
    <row r="1443" spans="1:23" hidden="1" x14ac:dyDescent="0.2">
      <c r="A1443">
        <v>2012</v>
      </c>
      <c r="B1443" t="s">
        <v>304</v>
      </c>
      <c r="C1443" s="733">
        <v>40960</v>
      </c>
      <c r="D14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43" t="s">
        <v>485</v>
      </c>
      <c r="F1443" t="s">
        <v>2084</v>
      </c>
      <c r="G1443" t="s">
        <v>8223</v>
      </c>
      <c r="H1443">
        <v>41985</v>
      </c>
      <c r="I1443" t="s">
        <v>423</v>
      </c>
      <c r="J1443" t="s">
        <v>2836</v>
      </c>
      <c r="K1443" t="s">
        <v>2814</v>
      </c>
      <c r="L1443" t="s">
        <v>2815</v>
      </c>
      <c r="M1443">
        <v>70</v>
      </c>
      <c r="N1443">
        <v>28.024000000000001</v>
      </c>
      <c r="O1443">
        <v>3163.07</v>
      </c>
      <c r="P1443">
        <v>0</v>
      </c>
      <c r="Q1443">
        <v>3163.07</v>
      </c>
      <c r="R1443">
        <v>347.94</v>
      </c>
      <c r="S1443">
        <v>126.52</v>
      </c>
      <c r="T1443">
        <v>3384.49</v>
      </c>
      <c r="U1443" t="s">
        <v>8877</v>
      </c>
      <c r="V1443" t="s">
        <v>9408</v>
      </c>
      <c r="W1443" t="s">
        <v>423</v>
      </c>
    </row>
    <row r="1444" spans="1:23" hidden="1" x14ac:dyDescent="0.2">
      <c r="A1444">
        <v>2012</v>
      </c>
      <c r="B1444" t="s">
        <v>304</v>
      </c>
      <c r="C1444" s="733">
        <v>40963</v>
      </c>
      <c r="D14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44" t="s">
        <v>485</v>
      </c>
      <c r="F1444" t="s">
        <v>2065</v>
      </c>
      <c r="G1444" t="s">
        <v>8519</v>
      </c>
      <c r="H1444">
        <v>42462</v>
      </c>
      <c r="I1444" t="s">
        <v>423</v>
      </c>
      <c r="J1444" t="s">
        <v>2182</v>
      </c>
      <c r="K1444" t="s">
        <v>2183</v>
      </c>
      <c r="L1444" t="s">
        <v>2184</v>
      </c>
      <c r="M1444">
        <v>62</v>
      </c>
      <c r="N1444">
        <v>15.33</v>
      </c>
      <c r="O1444">
        <v>2270.9899999999998</v>
      </c>
      <c r="P1444">
        <v>0</v>
      </c>
      <c r="Q1444">
        <v>2270.9899999999998</v>
      </c>
      <c r="R1444">
        <v>363.36</v>
      </c>
      <c r="S1444">
        <v>90.84</v>
      </c>
      <c r="T1444">
        <v>2543.5100000000002</v>
      </c>
      <c r="U1444" t="s">
        <v>9411</v>
      </c>
      <c r="V1444" t="s">
        <v>9408</v>
      </c>
      <c r="W1444" t="s">
        <v>423</v>
      </c>
    </row>
    <row r="1445" spans="1:23" hidden="1" x14ac:dyDescent="0.2">
      <c r="A1445">
        <v>2012</v>
      </c>
      <c r="B1445" t="s">
        <v>303</v>
      </c>
      <c r="C1445" s="733">
        <v>40935</v>
      </c>
      <c r="D14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45" t="s">
        <v>485</v>
      </c>
      <c r="F1445" t="s">
        <v>2065</v>
      </c>
      <c r="G1445" t="s">
        <v>6494</v>
      </c>
      <c r="H1445">
        <v>39895</v>
      </c>
      <c r="I1445" t="s">
        <v>423</v>
      </c>
      <c r="J1445" t="s">
        <v>3204</v>
      </c>
      <c r="K1445" t="s">
        <v>2183</v>
      </c>
      <c r="L1445" t="s">
        <v>2184</v>
      </c>
      <c r="M1445">
        <v>80</v>
      </c>
      <c r="N1445">
        <v>30.26</v>
      </c>
      <c r="O1445">
        <v>3415.45</v>
      </c>
      <c r="P1445">
        <v>0</v>
      </c>
      <c r="Q1445">
        <v>3415.45</v>
      </c>
      <c r="R1445">
        <v>546.47</v>
      </c>
      <c r="S1445">
        <v>136.62</v>
      </c>
      <c r="T1445">
        <v>3825.3</v>
      </c>
      <c r="U1445" t="s">
        <v>2187</v>
      </c>
      <c r="V1445" t="s">
        <v>9409</v>
      </c>
      <c r="W1445" t="s">
        <v>423</v>
      </c>
    </row>
    <row r="1446" spans="1:23" hidden="1" x14ac:dyDescent="0.2">
      <c r="A1446">
        <v>2012</v>
      </c>
      <c r="B1446" t="s">
        <v>304</v>
      </c>
      <c r="C1446" s="733">
        <v>40940</v>
      </c>
      <c r="D14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46" t="s">
        <v>485</v>
      </c>
      <c r="F1446" t="s">
        <v>2065</v>
      </c>
      <c r="G1446" t="s">
        <v>5644</v>
      </c>
      <c r="H1446">
        <v>40110</v>
      </c>
      <c r="I1446" t="s">
        <v>423</v>
      </c>
      <c r="J1446" t="s">
        <v>2182</v>
      </c>
      <c r="K1446" t="s">
        <v>2183</v>
      </c>
      <c r="L1446" t="s">
        <v>2184</v>
      </c>
      <c r="M1446">
        <v>62</v>
      </c>
      <c r="N1446">
        <v>15.83</v>
      </c>
      <c r="O1446">
        <v>2345.06</v>
      </c>
      <c r="P1446">
        <v>0</v>
      </c>
      <c r="Q1446">
        <v>2345.06</v>
      </c>
      <c r="R1446">
        <v>375.21</v>
      </c>
      <c r="S1446">
        <v>93.8</v>
      </c>
      <c r="T1446">
        <v>2626.47</v>
      </c>
      <c r="U1446" t="s">
        <v>2187</v>
      </c>
      <c r="V1446" t="s">
        <v>9408</v>
      </c>
      <c r="W1446" t="s">
        <v>423</v>
      </c>
    </row>
    <row r="1447" spans="1:23" hidden="1" x14ac:dyDescent="0.2">
      <c r="A1447">
        <v>2012</v>
      </c>
      <c r="B1447" t="s">
        <v>303</v>
      </c>
      <c r="C1447" s="733">
        <v>40939</v>
      </c>
      <c r="D14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47" t="s">
        <v>485</v>
      </c>
      <c r="F1447" t="s">
        <v>2065</v>
      </c>
      <c r="G1447" t="s">
        <v>3750</v>
      </c>
      <c r="H1447">
        <v>41062</v>
      </c>
      <c r="I1447" t="s">
        <v>424</v>
      </c>
      <c r="J1447" t="s">
        <v>2114</v>
      </c>
      <c r="K1447" t="s">
        <v>2102</v>
      </c>
      <c r="L1447" t="s">
        <v>2115</v>
      </c>
      <c r="M1447">
        <v>500</v>
      </c>
      <c r="N1447">
        <v>54</v>
      </c>
      <c r="O1447">
        <v>10009.44</v>
      </c>
      <c r="P1447">
        <v>0</v>
      </c>
      <c r="Q1447">
        <v>10009.44</v>
      </c>
      <c r="R1447">
        <v>1601.51</v>
      </c>
      <c r="S1447">
        <v>400.38</v>
      </c>
      <c r="T1447">
        <v>11210.57</v>
      </c>
      <c r="U1447" t="s">
        <v>8871</v>
      </c>
      <c r="V1447" t="s">
        <v>9409</v>
      </c>
      <c r="W1447" t="s">
        <v>424</v>
      </c>
    </row>
    <row r="1448" spans="1:23" hidden="1" x14ac:dyDescent="0.2">
      <c r="A1448">
        <v>2012</v>
      </c>
      <c r="B1448" t="s">
        <v>303</v>
      </c>
      <c r="C1448" s="733">
        <v>40938</v>
      </c>
      <c r="D14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48" t="s">
        <v>485</v>
      </c>
      <c r="F1448" t="s">
        <v>2065</v>
      </c>
      <c r="G1448" t="s">
        <v>3769</v>
      </c>
      <c r="H1448">
        <v>40942</v>
      </c>
      <c r="I1448" t="s">
        <v>424</v>
      </c>
      <c r="J1448" t="s">
        <v>2135</v>
      </c>
      <c r="K1448" t="s">
        <v>2102</v>
      </c>
      <c r="L1448" t="s">
        <v>2115</v>
      </c>
      <c r="M1448">
        <v>494</v>
      </c>
      <c r="N1448">
        <v>54</v>
      </c>
      <c r="O1448">
        <v>11375.64</v>
      </c>
      <c r="P1448">
        <v>0</v>
      </c>
      <c r="Q1448">
        <v>11375.64</v>
      </c>
      <c r="R1448">
        <v>1820.1</v>
      </c>
      <c r="S1448">
        <v>455.03</v>
      </c>
      <c r="T1448">
        <v>12740.71</v>
      </c>
      <c r="U1448" t="s">
        <v>2116</v>
      </c>
      <c r="V1448" t="s">
        <v>9409</v>
      </c>
      <c r="W1448" t="s">
        <v>424</v>
      </c>
    </row>
    <row r="1449" spans="1:23" hidden="1" x14ac:dyDescent="0.2">
      <c r="A1449">
        <v>2012</v>
      </c>
      <c r="B1449" t="s">
        <v>303</v>
      </c>
      <c r="C1449" s="733">
        <v>40938</v>
      </c>
      <c r="D14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49" t="s">
        <v>485</v>
      </c>
      <c r="F1449" t="s">
        <v>2065</v>
      </c>
      <c r="G1449" t="s">
        <v>3770</v>
      </c>
      <c r="H1449">
        <v>41057</v>
      </c>
      <c r="I1449" t="s">
        <v>423</v>
      </c>
      <c r="J1449" t="s">
        <v>2345</v>
      </c>
      <c r="K1449" t="s">
        <v>2102</v>
      </c>
      <c r="L1449" t="s">
        <v>2115</v>
      </c>
      <c r="M1449">
        <v>426</v>
      </c>
      <c r="N1449">
        <v>49.14</v>
      </c>
      <c r="O1449">
        <v>16523.32</v>
      </c>
      <c r="P1449">
        <v>0</v>
      </c>
      <c r="Q1449">
        <v>16523.32</v>
      </c>
      <c r="R1449">
        <v>2643.73</v>
      </c>
      <c r="S1449">
        <v>660.93</v>
      </c>
      <c r="T1449">
        <v>18506.12</v>
      </c>
      <c r="V1449" t="s">
        <v>9409</v>
      </c>
      <c r="W1449" t="s">
        <v>423</v>
      </c>
    </row>
    <row r="1450" spans="1:23" x14ac:dyDescent="0.2">
      <c r="A1450">
        <v>2012</v>
      </c>
      <c r="B1450" t="s">
        <v>304</v>
      </c>
      <c r="C1450" s="733">
        <v>40967</v>
      </c>
      <c r="D14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50" t="s">
        <v>485</v>
      </c>
      <c r="F1450" t="s">
        <v>2084</v>
      </c>
      <c r="G1450" t="s">
        <v>9009</v>
      </c>
      <c r="H1450">
        <v>42204</v>
      </c>
      <c r="I1450" t="s">
        <v>423</v>
      </c>
      <c r="J1450" t="s">
        <v>2813</v>
      </c>
      <c r="K1450" t="s">
        <v>2814</v>
      </c>
      <c r="L1450" t="s">
        <v>2815</v>
      </c>
      <c r="M1450">
        <v>365</v>
      </c>
      <c r="N1450">
        <v>23.856999999999999</v>
      </c>
      <c r="O1450">
        <v>6421.83</v>
      </c>
      <c r="P1450">
        <v>0</v>
      </c>
      <c r="Q1450">
        <v>6421.83</v>
      </c>
      <c r="R1450">
        <v>706.4</v>
      </c>
      <c r="S1450">
        <v>256.87</v>
      </c>
      <c r="T1450">
        <v>6871.36</v>
      </c>
      <c r="U1450" t="s">
        <v>8877</v>
      </c>
      <c r="V1450" t="s">
        <v>9408</v>
      </c>
      <c r="W1450" t="s">
        <v>423</v>
      </c>
    </row>
    <row r="1451" spans="1:23" hidden="1" x14ac:dyDescent="0.2">
      <c r="A1451">
        <v>2012</v>
      </c>
      <c r="B1451" t="s">
        <v>304</v>
      </c>
      <c r="C1451" s="733">
        <v>40949</v>
      </c>
      <c r="D14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51" t="s">
        <v>485</v>
      </c>
      <c r="F1451" t="s">
        <v>2084</v>
      </c>
      <c r="G1451" t="s">
        <v>2834</v>
      </c>
      <c r="H1451">
        <v>41279</v>
      </c>
      <c r="I1451" t="s">
        <v>423</v>
      </c>
      <c r="J1451" t="s">
        <v>2813</v>
      </c>
      <c r="K1451" t="s">
        <v>2814</v>
      </c>
      <c r="L1451" t="s">
        <v>2815</v>
      </c>
      <c r="M1451">
        <v>365</v>
      </c>
      <c r="N1451">
        <v>23.922999999999998</v>
      </c>
      <c r="O1451">
        <v>6439.59</v>
      </c>
      <c r="P1451">
        <v>0</v>
      </c>
      <c r="Q1451">
        <v>6439.59</v>
      </c>
      <c r="R1451">
        <v>708.36</v>
      </c>
      <c r="S1451">
        <v>257.58</v>
      </c>
      <c r="T1451">
        <v>6890.37</v>
      </c>
      <c r="U1451" t="s">
        <v>7527</v>
      </c>
      <c r="V1451" t="s">
        <v>9408</v>
      </c>
      <c r="W1451" t="s">
        <v>423</v>
      </c>
    </row>
    <row r="1452" spans="1:23" hidden="1" x14ac:dyDescent="0.2">
      <c r="A1452">
        <v>2012</v>
      </c>
      <c r="B1452" t="s">
        <v>303</v>
      </c>
      <c r="C1452" s="733">
        <v>40926</v>
      </c>
      <c r="D14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52" t="s">
        <v>485</v>
      </c>
      <c r="F1452" t="s">
        <v>2065</v>
      </c>
      <c r="G1452" t="s">
        <v>2828</v>
      </c>
      <c r="H1452">
        <v>40106</v>
      </c>
      <c r="I1452" t="s">
        <v>423</v>
      </c>
      <c r="J1452" t="s">
        <v>2813</v>
      </c>
      <c r="K1452" t="s">
        <v>2814</v>
      </c>
      <c r="L1452" t="s">
        <v>2815</v>
      </c>
      <c r="M1452">
        <v>365</v>
      </c>
      <c r="N1452">
        <v>23.805</v>
      </c>
      <c r="O1452">
        <v>6407.83</v>
      </c>
      <c r="P1452">
        <v>0</v>
      </c>
      <c r="Q1452">
        <v>6407.83</v>
      </c>
      <c r="R1452">
        <v>1025.25</v>
      </c>
      <c r="S1452">
        <v>256.31</v>
      </c>
      <c r="T1452">
        <v>7176.77</v>
      </c>
      <c r="U1452" t="s">
        <v>2826</v>
      </c>
      <c r="V1452" t="s">
        <v>9408</v>
      </c>
      <c r="W1452" t="s">
        <v>423</v>
      </c>
    </row>
    <row r="1453" spans="1:23" hidden="1" x14ac:dyDescent="0.2">
      <c r="A1453">
        <v>2012</v>
      </c>
      <c r="B1453" t="s">
        <v>303</v>
      </c>
      <c r="C1453" s="733">
        <v>40925</v>
      </c>
      <c r="D14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53" t="s">
        <v>478</v>
      </c>
      <c r="F1453" t="s">
        <v>2136</v>
      </c>
      <c r="G1453" t="s">
        <v>4697</v>
      </c>
      <c r="H1453">
        <v>34574</v>
      </c>
      <c r="I1453" t="s">
        <v>423</v>
      </c>
      <c r="J1453" t="s">
        <v>3029</v>
      </c>
      <c r="K1453" t="s">
        <v>425</v>
      </c>
      <c r="L1453" t="s">
        <v>2145</v>
      </c>
      <c r="M1453">
        <v>35</v>
      </c>
      <c r="N1453">
        <v>24.81</v>
      </c>
      <c r="O1453">
        <v>3330.74</v>
      </c>
      <c r="P1453">
        <v>0</v>
      </c>
      <c r="Q1453">
        <v>3330.74</v>
      </c>
      <c r="R1453">
        <v>532.91999999999996</v>
      </c>
      <c r="S1453">
        <v>133.22999999999999</v>
      </c>
      <c r="T1453">
        <v>3730.43</v>
      </c>
      <c r="U1453" t="s">
        <v>2146</v>
      </c>
      <c r="V1453" t="s">
        <v>9408</v>
      </c>
      <c r="W1453" t="s">
        <v>423</v>
      </c>
    </row>
    <row r="1454" spans="1:23" x14ac:dyDescent="0.2">
      <c r="A1454">
        <v>2012</v>
      </c>
      <c r="B1454" t="s">
        <v>304</v>
      </c>
      <c r="C1454" s="733">
        <v>40967</v>
      </c>
      <c r="D14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54" t="s">
        <v>485</v>
      </c>
      <c r="F1454" t="s">
        <v>2065</v>
      </c>
      <c r="G1454" t="s">
        <v>9033</v>
      </c>
      <c r="H1454">
        <v>42763</v>
      </c>
      <c r="I1454" t="s">
        <v>423</v>
      </c>
      <c r="J1454" t="s">
        <v>5260</v>
      </c>
      <c r="K1454" t="s">
        <v>2102</v>
      </c>
      <c r="L1454" t="s">
        <v>2115</v>
      </c>
      <c r="M1454">
        <v>832</v>
      </c>
      <c r="N1454">
        <v>53.19</v>
      </c>
      <c r="O1454">
        <v>26540.21</v>
      </c>
      <c r="P1454">
        <v>0</v>
      </c>
      <c r="Q1454">
        <v>26540.21</v>
      </c>
      <c r="R1454">
        <v>4246.43</v>
      </c>
      <c r="S1454">
        <v>1061.6099999999999</v>
      </c>
      <c r="T1454">
        <v>29725.03</v>
      </c>
      <c r="V1454" t="s">
        <v>9409</v>
      </c>
      <c r="W1454" t="s">
        <v>423</v>
      </c>
    </row>
    <row r="1455" spans="1:23" hidden="1" x14ac:dyDescent="0.2">
      <c r="A1455">
        <v>2012</v>
      </c>
      <c r="B1455" t="s">
        <v>303</v>
      </c>
      <c r="C1455" s="733">
        <v>40933</v>
      </c>
      <c r="D14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55" t="s">
        <v>505</v>
      </c>
      <c r="F1455" t="s">
        <v>1915</v>
      </c>
      <c r="G1455" t="s">
        <v>1998</v>
      </c>
      <c r="H1455">
        <v>22231</v>
      </c>
      <c r="I1455" t="s">
        <v>424</v>
      </c>
      <c r="J1455" t="s">
        <v>1917</v>
      </c>
      <c r="K1455" t="s">
        <v>1918</v>
      </c>
      <c r="L1455" t="s">
        <v>1919</v>
      </c>
      <c r="M1455">
        <v>267</v>
      </c>
      <c r="N1455">
        <v>30</v>
      </c>
      <c r="O1455">
        <v>2929.97</v>
      </c>
      <c r="P1455">
        <v>1683.8244589999999</v>
      </c>
      <c r="Q1455">
        <v>4613.7944589999997</v>
      </c>
      <c r="R1455">
        <v>738.20711300000005</v>
      </c>
      <c r="S1455">
        <v>184.55177800000001</v>
      </c>
      <c r="T1455">
        <v>5167.4497940000001</v>
      </c>
      <c r="U1455" t="s">
        <v>1928</v>
      </c>
      <c r="V1455" t="s">
        <v>9408</v>
      </c>
      <c r="W1455" t="s">
        <v>424</v>
      </c>
    </row>
    <row r="1456" spans="1:23" hidden="1" x14ac:dyDescent="0.2">
      <c r="A1456">
        <v>2012</v>
      </c>
      <c r="B1456" t="s">
        <v>304</v>
      </c>
      <c r="C1456" s="733">
        <v>40967</v>
      </c>
      <c r="D14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56" t="s">
        <v>505</v>
      </c>
      <c r="F1456" t="s">
        <v>1915</v>
      </c>
      <c r="G1456" t="s">
        <v>8907</v>
      </c>
      <c r="H1456">
        <v>23057</v>
      </c>
      <c r="I1456" t="s">
        <v>424</v>
      </c>
      <c r="J1456" t="s">
        <v>1917</v>
      </c>
      <c r="K1456" t="s">
        <v>1918</v>
      </c>
      <c r="L1456" t="s">
        <v>1919</v>
      </c>
      <c r="M1456">
        <v>267</v>
      </c>
      <c r="N1456">
        <v>27</v>
      </c>
      <c r="O1456">
        <v>4152.33</v>
      </c>
      <c r="P1456">
        <v>0</v>
      </c>
      <c r="Q1456">
        <v>4152.33</v>
      </c>
      <c r="R1456">
        <v>664.37</v>
      </c>
      <c r="S1456">
        <v>166.09</v>
      </c>
      <c r="T1456">
        <v>4650.6099999999997</v>
      </c>
      <c r="U1456" t="s">
        <v>9415</v>
      </c>
      <c r="V1456" t="s">
        <v>9408</v>
      </c>
      <c r="W1456" t="s">
        <v>424</v>
      </c>
    </row>
    <row r="1457" spans="1:23" hidden="1" x14ac:dyDescent="0.2">
      <c r="A1457">
        <v>2012</v>
      </c>
      <c r="B1457" t="s">
        <v>303</v>
      </c>
      <c r="C1457" s="733">
        <v>40931</v>
      </c>
      <c r="D14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57" t="s">
        <v>505</v>
      </c>
      <c r="F1457" t="s">
        <v>1915</v>
      </c>
      <c r="G1457" t="s">
        <v>1992</v>
      </c>
      <c r="H1457">
        <v>22166</v>
      </c>
      <c r="I1457" t="s">
        <v>423</v>
      </c>
      <c r="J1457" t="s">
        <v>1917</v>
      </c>
      <c r="K1457" t="s">
        <v>1918</v>
      </c>
      <c r="L1457" t="s">
        <v>1919</v>
      </c>
      <c r="M1457">
        <v>267</v>
      </c>
      <c r="N1457">
        <v>27.02</v>
      </c>
      <c r="O1457">
        <v>6075.18</v>
      </c>
      <c r="P1457">
        <v>0</v>
      </c>
      <c r="Q1457">
        <v>6075.18</v>
      </c>
      <c r="R1457">
        <v>972.03</v>
      </c>
      <c r="S1457">
        <v>243.01</v>
      </c>
      <c r="T1457">
        <v>6804.2</v>
      </c>
      <c r="V1457" t="s">
        <v>9408</v>
      </c>
      <c r="W1457" t="s">
        <v>423</v>
      </c>
    </row>
    <row r="1458" spans="1:23" hidden="1" x14ac:dyDescent="0.2">
      <c r="A1458">
        <v>2012</v>
      </c>
      <c r="B1458" t="s">
        <v>304</v>
      </c>
      <c r="C1458" s="733">
        <v>40949.678298611114</v>
      </c>
      <c r="D14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58" t="s">
        <v>505</v>
      </c>
      <c r="F1458" t="s">
        <v>1915</v>
      </c>
      <c r="G1458" t="s">
        <v>6936</v>
      </c>
      <c r="H1458">
        <v>22639</v>
      </c>
      <c r="I1458" t="s">
        <v>424</v>
      </c>
      <c r="J1458" t="s">
        <v>1917</v>
      </c>
      <c r="K1458" t="s">
        <v>1918</v>
      </c>
      <c r="L1458" t="s">
        <v>1919</v>
      </c>
      <c r="M1458">
        <v>267</v>
      </c>
      <c r="N1458">
        <v>30</v>
      </c>
      <c r="O1458">
        <v>2929.97</v>
      </c>
      <c r="P1458">
        <v>1683.8244589999999</v>
      </c>
      <c r="Q1458">
        <v>4613.7944589999997</v>
      </c>
      <c r="R1458">
        <v>738.20711300000005</v>
      </c>
      <c r="S1458">
        <v>184.55177800000001</v>
      </c>
      <c r="T1458">
        <v>5167.4497940000001</v>
      </c>
      <c r="U1458" t="s">
        <v>1924</v>
      </c>
      <c r="V1458" t="s">
        <v>9408</v>
      </c>
      <c r="W1458" t="s">
        <v>424</v>
      </c>
    </row>
    <row r="1459" spans="1:23" hidden="1" x14ac:dyDescent="0.2">
      <c r="A1459">
        <v>2012</v>
      </c>
      <c r="B1459" t="s">
        <v>303</v>
      </c>
      <c r="C1459" s="733">
        <v>40928</v>
      </c>
      <c r="D14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59" t="s">
        <v>505</v>
      </c>
      <c r="F1459" t="s">
        <v>1915</v>
      </c>
      <c r="G1459" t="s">
        <v>2001</v>
      </c>
      <c r="H1459">
        <v>22114</v>
      </c>
      <c r="I1459" t="s">
        <v>424</v>
      </c>
      <c r="J1459" t="s">
        <v>1917</v>
      </c>
      <c r="K1459" t="s">
        <v>1918</v>
      </c>
      <c r="L1459" t="s">
        <v>1919</v>
      </c>
      <c r="M1459">
        <v>267</v>
      </c>
      <c r="N1459">
        <v>30</v>
      </c>
      <c r="O1459">
        <v>2929.97</v>
      </c>
      <c r="P1459">
        <v>1683.8244589999999</v>
      </c>
      <c r="Q1459">
        <v>4613.7944589999997</v>
      </c>
      <c r="R1459">
        <v>738.20711300000005</v>
      </c>
      <c r="S1459">
        <v>184.55177800000001</v>
      </c>
      <c r="T1459">
        <v>5167.4497940000001</v>
      </c>
      <c r="U1459" t="s">
        <v>1928</v>
      </c>
      <c r="V1459" t="s">
        <v>9408</v>
      </c>
      <c r="W1459" t="s">
        <v>424</v>
      </c>
    </row>
    <row r="1460" spans="1:23" hidden="1" x14ac:dyDescent="0.2">
      <c r="A1460">
        <v>2012</v>
      </c>
      <c r="B1460" t="s">
        <v>303</v>
      </c>
      <c r="C1460" s="733">
        <v>40931</v>
      </c>
      <c r="D14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60" t="s">
        <v>485</v>
      </c>
      <c r="F1460" t="s">
        <v>2048</v>
      </c>
      <c r="G1460" t="s">
        <v>6064</v>
      </c>
      <c r="H1460">
        <v>40743</v>
      </c>
      <c r="I1460" t="s">
        <v>423</v>
      </c>
      <c r="J1460" t="s">
        <v>4073</v>
      </c>
      <c r="K1460" t="s">
        <v>2051</v>
      </c>
      <c r="L1460" t="s">
        <v>2052</v>
      </c>
      <c r="M1460">
        <v>610</v>
      </c>
      <c r="N1460">
        <v>52.85</v>
      </c>
      <c r="O1460">
        <v>18734.8</v>
      </c>
      <c r="P1460">
        <v>0</v>
      </c>
      <c r="Q1460">
        <v>18734.8</v>
      </c>
      <c r="R1460">
        <v>2997.57</v>
      </c>
      <c r="S1460">
        <v>749.39</v>
      </c>
      <c r="T1460">
        <v>20982.98</v>
      </c>
      <c r="U1460" t="s">
        <v>2053</v>
      </c>
      <c r="V1460" t="s">
        <v>9409</v>
      </c>
      <c r="W1460" t="s">
        <v>423</v>
      </c>
    </row>
    <row r="1461" spans="1:23" hidden="1" x14ac:dyDescent="0.2">
      <c r="A1461">
        <v>2012</v>
      </c>
      <c r="B1461" t="s">
        <v>304</v>
      </c>
      <c r="C1461" s="733">
        <v>40962</v>
      </c>
      <c r="D14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61" t="s">
        <v>485</v>
      </c>
      <c r="F1461" t="s">
        <v>2065</v>
      </c>
      <c r="G1461" t="s">
        <v>8497</v>
      </c>
      <c r="H1461">
        <v>42494</v>
      </c>
      <c r="I1461" t="s">
        <v>423</v>
      </c>
      <c r="J1461" t="s">
        <v>4073</v>
      </c>
      <c r="K1461" t="s">
        <v>2051</v>
      </c>
      <c r="L1461" t="s">
        <v>2052</v>
      </c>
      <c r="M1461">
        <v>610</v>
      </c>
      <c r="N1461">
        <v>60.05</v>
      </c>
      <c r="O1461">
        <v>21287.119999999999</v>
      </c>
      <c r="P1461">
        <v>0</v>
      </c>
      <c r="Q1461">
        <v>21287.119999999999</v>
      </c>
      <c r="R1461">
        <v>3405.94</v>
      </c>
      <c r="S1461">
        <v>851.48</v>
      </c>
      <c r="T1461">
        <v>23841.58</v>
      </c>
      <c r="U1461" t="s">
        <v>8780</v>
      </c>
      <c r="V1461" t="s">
        <v>9409</v>
      </c>
      <c r="W1461" t="s">
        <v>423</v>
      </c>
    </row>
    <row r="1462" spans="1:23" hidden="1" x14ac:dyDescent="0.2">
      <c r="A1462">
        <v>2012</v>
      </c>
      <c r="B1462" t="s">
        <v>303</v>
      </c>
      <c r="C1462" s="733">
        <v>40929</v>
      </c>
      <c r="D14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62" t="s">
        <v>478</v>
      </c>
      <c r="F1462" t="s">
        <v>2136</v>
      </c>
      <c r="G1462" t="s">
        <v>7211</v>
      </c>
      <c r="H1462">
        <v>34753</v>
      </c>
      <c r="I1462" t="s">
        <v>423</v>
      </c>
      <c r="J1462" t="s">
        <v>4632</v>
      </c>
      <c r="K1462" t="s">
        <v>425</v>
      </c>
      <c r="L1462" t="s">
        <v>2145</v>
      </c>
      <c r="M1462">
        <v>1395</v>
      </c>
      <c r="N1462">
        <v>43.85</v>
      </c>
      <c r="O1462">
        <v>39762.74</v>
      </c>
      <c r="P1462">
        <v>0</v>
      </c>
      <c r="Q1462">
        <v>39762.74</v>
      </c>
      <c r="R1462">
        <v>6362.04</v>
      </c>
      <c r="S1462">
        <v>1590.51</v>
      </c>
      <c r="T1462">
        <v>44534.27</v>
      </c>
      <c r="U1462" t="s">
        <v>3234</v>
      </c>
      <c r="V1462" t="s">
        <v>9409</v>
      </c>
      <c r="W1462" t="s">
        <v>423</v>
      </c>
    </row>
    <row r="1463" spans="1:23" hidden="1" x14ac:dyDescent="0.2">
      <c r="A1463">
        <v>2012</v>
      </c>
      <c r="B1463" t="s">
        <v>304</v>
      </c>
      <c r="C1463" s="733">
        <v>40948</v>
      </c>
      <c r="D14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63" t="s">
        <v>505</v>
      </c>
      <c r="F1463" t="s">
        <v>1915</v>
      </c>
      <c r="G1463" t="s">
        <v>1993</v>
      </c>
      <c r="H1463">
        <v>22589</v>
      </c>
      <c r="I1463" t="s">
        <v>424</v>
      </c>
      <c r="J1463" t="s">
        <v>1917</v>
      </c>
      <c r="K1463" t="s">
        <v>1918</v>
      </c>
      <c r="L1463" t="s">
        <v>1919</v>
      </c>
      <c r="M1463">
        <v>267</v>
      </c>
      <c r="N1463">
        <v>27</v>
      </c>
      <c r="O1463">
        <v>2636.97</v>
      </c>
      <c r="P1463">
        <v>1515.4402889999999</v>
      </c>
      <c r="Q1463">
        <v>4152.4102890000004</v>
      </c>
      <c r="R1463">
        <v>664.38564599999995</v>
      </c>
      <c r="S1463">
        <v>166.09641199999999</v>
      </c>
      <c r="T1463">
        <v>4650.6995230000002</v>
      </c>
      <c r="U1463" t="s">
        <v>1924</v>
      </c>
      <c r="V1463" t="s">
        <v>9408</v>
      </c>
      <c r="W1463" t="s">
        <v>424</v>
      </c>
    </row>
    <row r="1464" spans="1:23" hidden="1" x14ac:dyDescent="0.2">
      <c r="A1464">
        <v>2012</v>
      </c>
      <c r="B1464" t="s">
        <v>304</v>
      </c>
      <c r="C1464" s="733">
        <v>40967</v>
      </c>
      <c r="D14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64" t="s">
        <v>505</v>
      </c>
      <c r="F1464" t="s">
        <v>1915</v>
      </c>
      <c r="G1464" t="s">
        <v>8849</v>
      </c>
      <c r="H1464">
        <v>23054</v>
      </c>
      <c r="I1464" t="s">
        <v>424</v>
      </c>
      <c r="J1464" t="s">
        <v>1917</v>
      </c>
      <c r="K1464" t="s">
        <v>1918</v>
      </c>
      <c r="L1464" t="s">
        <v>1919</v>
      </c>
      <c r="M1464">
        <v>267</v>
      </c>
      <c r="N1464">
        <v>54</v>
      </c>
      <c r="O1464">
        <v>8304.66</v>
      </c>
      <c r="P1464">
        <v>0</v>
      </c>
      <c r="Q1464">
        <v>8304.66</v>
      </c>
      <c r="R1464">
        <v>1328.75</v>
      </c>
      <c r="S1464">
        <v>332.19</v>
      </c>
      <c r="T1464">
        <v>9301.2199999999993</v>
      </c>
      <c r="U1464" t="s">
        <v>9415</v>
      </c>
      <c r="V1464" t="s">
        <v>9409</v>
      </c>
      <c r="W1464" t="s">
        <v>424</v>
      </c>
    </row>
    <row r="1465" spans="1:23" hidden="1" x14ac:dyDescent="0.2">
      <c r="A1465">
        <v>2012</v>
      </c>
      <c r="B1465" t="s">
        <v>303</v>
      </c>
      <c r="C1465" s="733">
        <v>40926</v>
      </c>
      <c r="D14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65" t="s">
        <v>485</v>
      </c>
      <c r="F1465" t="s">
        <v>2048</v>
      </c>
      <c r="G1465" t="s">
        <v>6079</v>
      </c>
      <c r="H1465">
        <v>40520</v>
      </c>
      <c r="I1465" t="s">
        <v>423</v>
      </c>
      <c r="J1465" t="s">
        <v>4073</v>
      </c>
      <c r="K1465" t="s">
        <v>2051</v>
      </c>
      <c r="L1465" t="s">
        <v>2052</v>
      </c>
      <c r="M1465">
        <v>610</v>
      </c>
      <c r="N1465">
        <v>52.4</v>
      </c>
      <c r="O1465">
        <v>18575.28</v>
      </c>
      <c r="P1465">
        <v>0</v>
      </c>
      <c r="Q1465">
        <v>18575.28</v>
      </c>
      <c r="R1465">
        <v>2972.04</v>
      </c>
      <c r="S1465">
        <v>743.01</v>
      </c>
      <c r="T1465">
        <v>20804.310000000001</v>
      </c>
      <c r="U1465" t="s">
        <v>2062</v>
      </c>
      <c r="V1465" t="s">
        <v>9409</v>
      </c>
      <c r="W1465" t="s">
        <v>423</v>
      </c>
    </row>
    <row r="1466" spans="1:23" hidden="1" x14ac:dyDescent="0.2">
      <c r="A1466">
        <v>2012</v>
      </c>
      <c r="B1466" t="s">
        <v>304</v>
      </c>
      <c r="C1466" s="733">
        <v>40946</v>
      </c>
      <c r="D14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66" t="s">
        <v>485</v>
      </c>
      <c r="F1466" t="s">
        <v>2048</v>
      </c>
      <c r="G1466" t="s">
        <v>6080</v>
      </c>
      <c r="H1466">
        <v>41501</v>
      </c>
      <c r="I1466" t="s">
        <v>423</v>
      </c>
      <c r="J1466" t="s">
        <v>4073</v>
      </c>
      <c r="K1466" t="s">
        <v>2051</v>
      </c>
      <c r="L1466" t="s">
        <v>2052</v>
      </c>
      <c r="M1466">
        <v>610</v>
      </c>
      <c r="N1466">
        <v>57.25</v>
      </c>
      <c r="O1466">
        <v>20294.55</v>
      </c>
      <c r="P1466">
        <v>0</v>
      </c>
      <c r="Q1466">
        <v>20294.55</v>
      </c>
      <c r="R1466">
        <v>3247.13</v>
      </c>
      <c r="S1466">
        <v>811.78</v>
      </c>
      <c r="T1466">
        <v>22729.9</v>
      </c>
      <c r="U1466" t="s">
        <v>7568</v>
      </c>
      <c r="V1466" t="s">
        <v>9409</v>
      </c>
      <c r="W1466" t="s">
        <v>423</v>
      </c>
    </row>
    <row r="1467" spans="1:23" hidden="1" x14ac:dyDescent="0.2">
      <c r="A1467">
        <v>2012</v>
      </c>
      <c r="B1467" t="s">
        <v>304</v>
      </c>
      <c r="C1467" s="733">
        <v>40963</v>
      </c>
      <c r="D14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67" t="s">
        <v>485</v>
      </c>
      <c r="F1467" t="s">
        <v>2048</v>
      </c>
      <c r="G1467" t="s">
        <v>8705</v>
      </c>
      <c r="H1467">
        <v>42619</v>
      </c>
      <c r="I1467" t="s">
        <v>423</v>
      </c>
      <c r="J1467" t="s">
        <v>4073</v>
      </c>
      <c r="K1467" t="s">
        <v>2051</v>
      </c>
      <c r="L1467" t="s">
        <v>2052</v>
      </c>
      <c r="M1467">
        <v>610</v>
      </c>
      <c r="N1467">
        <v>53.35</v>
      </c>
      <c r="O1467">
        <v>18912.04</v>
      </c>
      <c r="P1467">
        <v>0</v>
      </c>
      <c r="Q1467">
        <v>18912.04</v>
      </c>
      <c r="R1467">
        <v>3025.93</v>
      </c>
      <c r="S1467">
        <v>756.48</v>
      </c>
      <c r="T1467">
        <v>21181.49</v>
      </c>
      <c r="V1467" t="s">
        <v>9409</v>
      </c>
      <c r="W1467" t="s">
        <v>423</v>
      </c>
    </row>
    <row r="1468" spans="1:23" hidden="1" x14ac:dyDescent="0.2">
      <c r="A1468">
        <v>2012</v>
      </c>
      <c r="B1468" t="s">
        <v>303</v>
      </c>
      <c r="C1468" s="733">
        <v>40920</v>
      </c>
      <c r="D14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68" t="s">
        <v>485</v>
      </c>
      <c r="F1468" t="s">
        <v>2048</v>
      </c>
      <c r="G1468" t="s">
        <v>6078</v>
      </c>
      <c r="H1468">
        <v>40220</v>
      </c>
      <c r="I1468" t="s">
        <v>423</v>
      </c>
      <c r="J1468" t="s">
        <v>4073</v>
      </c>
      <c r="K1468" t="s">
        <v>2051</v>
      </c>
      <c r="L1468" t="s">
        <v>2052</v>
      </c>
      <c r="M1468">
        <v>610</v>
      </c>
      <c r="N1468">
        <v>52.75</v>
      </c>
      <c r="O1468">
        <v>18699.349999999999</v>
      </c>
      <c r="P1468">
        <v>0</v>
      </c>
      <c r="Q1468">
        <v>18699.349999999999</v>
      </c>
      <c r="R1468">
        <v>2991.9</v>
      </c>
      <c r="S1468">
        <v>747.97</v>
      </c>
      <c r="T1468">
        <v>20943.28</v>
      </c>
      <c r="U1468" t="s">
        <v>2062</v>
      </c>
      <c r="V1468" t="s">
        <v>9409</v>
      </c>
      <c r="W1468" t="s">
        <v>423</v>
      </c>
    </row>
    <row r="1469" spans="1:23" hidden="1" x14ac:dyDescent="0.2">
      <c r="A1469">
        <v>2012</v>
      </c>
      <c r="B1469" t="s">
        <v>303</v>
      </c>
      <c r="C1469" s="733">
        <v>40934</v>
      </c>
      <c r="D14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69" t="s">
        <v>485</v>
      </c>
      <c r="F1469" t="s">
        <v>2065</v>
      </c>
      <c r="G1469" t="s">
        <v>5342</v>
      </c>
      <c r="H1469">
        <v>40928</v>
      </c>
      <c r="I1469" t="s">
        <v>423</v>
      </c>
      <c r="J1469" t="s">
        <v>3054</v>
      </c>
      <c r="K1469" t="s">
        <v>2183</v>
      </c>
      <c r="L1469" t="s">
        <v>2184</v>
      </c>
      <c r="M1469">
        <v>43</v>
      </c>
      <c r="N1469">
        <v>15.61</v>
      </c>
      <c r="O1469">
        <v>1761.9</v>
      </c>
      <c r="P1469">
        <v>0</v>
      </c>
      <c r="Q1469">
        <v>1761.9</v>
      </c>
      <c r="R1469">
        <v>281.89999999999998</v>
      </c>
      <c r="S1469">
        <v>70.48</v>
      </c>
      <c r="T1469">
        <v>1973.32</v>
      </c>
      <c r="U1469" t="s">
        <v>2187</v>
      </c>
      <c r="V1469" t="s">
        <v>9408</v>
      </c>
      <c r="W1469" t="s">
        <v>423</v>
      </c>
    </row>
    <row r="1470" spans="1:23" hidden="1" x14ac:dyDescent="0.2">
      <c r="A1470">
        <v>2012</v>
      </c>
      <c r="B1470" t="s">
        <v>304</v>
      </c>
      <c r="C1470" s="733">
        <v>40948.452187499999</v>
      </c>
      <c r="D14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70" t="s">
        <v>485</v>
      </c>
      <c r="F1470" t="s">
        <v>2065</v>
      </c>
      <c r="G1470" t="s">
        <v>5343</v>
      </c>
      <c r="H1470">
        <v>41620</v>
      </c>
      <c r="I1470" t="s">
        <v>423</v>
      </c>
      <c r="J1470" t="s">
        <v>3054</v>
      </c>
      <c r="K1470" t="s">
        <v>2183</v>
      </c>
      <c r="L1470" t="s">
        <v>2184</v>
      </c>
      <c r="M1470">
        <v>43</v>
      </c>
      <c r="N1470">
        <v>14.6</v>
      </c>
      <c r="O1470">
        <v>1647.9</v>
      </c>
      <c r="P1470">
        <v>0</v>
      </c>
      <c r="Q1470">
        <v>1647.9</v>
      </c>
      <c r="R1470">
        <v>263.66000000000003</v>
      </c>
      <c r="S1470">
        <v>65.92</v>
      </c>
      <c r="T1470">
        <v>1845.64</v>
      </c>
      <c r="U1470" t="s">
        <v>2192</v>
      </c>
      <c r="V1470" t="s">
        <v>9408</v>
      </c>
      <c r="W1470" t="s">
        <v>423</v>
      </c>
    </row>
    <row r="1471" spans="1:23" hidden="1" x14ac:dyDescent="0.2">
      <c r="A1471">
        <v>2012</v>
      </c>
      <c r="B1471" t="s">
        <v>303</v>
      </c>
      <c r="C1471" s="733">
        <v>40938</v>
      </c>
      <c r="D14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71" t="s">
        <v>485</v>
      </c>
      <c r="F1471" t="s">
        <v>2065</v>
      </c>
      <c r="G1471" t="s">
        <v>4488</v>
      </c>
      <c r="H1471">
        <v>41075</v>
      </c>
      <c r="I1471" t="s">
        <v>423</v>
      </c>
      <c r="J1471" t="s">
        <v>3054</v>
      </c>
      <c r="K1471" t="s">
        <v>2183</v>
      </c>
      <c r="L1471" t="s">
        <v>2184</v>
      </c>
      <c r="M1471">
        <v>43</v>
      </c>
      <c r="N1471">
        <v>16.760000000000002</v>
      </c>
      <c r="O1471">
        <v>1891.7</v>
      </c>
      <c r="P1471">
        <v>0</v>
      </c>
      <c r="Q1471">
        <v>1891.7</v>
      </c>
      <c r="R1471">
        <v>302.67</v>
      </c>
      <c r="S1471">
        <v>75.67</v>
      </c>
      <c r="T1471">
        <v>2118.6999999999998</v>
      </c>
      <c r="U1471" t="s">
        <v>2187</v>
      </c>
      <c r="V1471" t="s">
        <v>9408</v>
      </c>
      <c r="W1471" t="s">
        <v>423</v>
      </c>
    </row>
    <row r="1472" spans="1:23" hidden="1" x14ac:dyDescent="0.2">
      <c r="A1472">
        <v>2012</v>
      </c>
      <c r="B1472" t="s">
        <v>303</v>
      </c>
      <c r="C1472" s="733">
        <v>40925</v>
      </c>
      <c r="D14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72" t="s">
        <v>478</v>
      </c>
      <c r="F1472" t="s">
        <v>2136</v>
      </c>
      <c r="G1472" t="s">
        <v>7215</v>
      </c>
      <c r="H1472">
        <v>34572</v>
      </c>
      <c r="I1472" t="s">
        <v>423</v>
      </c>
      <c r="J1472" t="s">
        <v>4270</v>
      </c>
      <c r="K1472" t="s">
        <v>425</v>
      </c>
      <c r="L1472" t="s">
        <v>2145</v>
      </c>
      <c r="M1472">
        <v>560</v>
      </c>
      <c r="N1472">
        <v>24.34</v>
      </c>
      <c r="O1472">
        <v>7776.63</v>
      </c>
      <c r="P1472">
        <v>0</v>
      </c>
      <c r="Q1472">
        <v>7776.63</v>
      </c>
      <c r="R1472">
        <v>1244.26</v>
      </c>
      <c r="S1472">
        <v>311.07</v>
      </c>
      <c r="T1472">
        <v>8709.82</v>
      </c>
      <c r="U1472" t="s">
        <v>2927</v>
      </c>
      <c r="V1472" t="s">
        <v>9408</v>
      </c>
      <c r="W1472" t="s">
        <v>423</v>
      </c>
    </row>
    <row r="1473" spans="1:23" hidden="1" x14ac:dyDescent="0.2">
      <c r="A1473">
        <v>2012</v>
      </c>
      <c r="B1473" t="s">
        <v>304</v>
      </c>
      <c r="C1473" s="733">
        <v>40952</v>
      </c>
      <c r="D14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73" t="s">
        <v>485</v>
      </c>
      <c r="F1473" t="s">
        <v>2048</v>
      </c>
      <c r="G1473" t="s">
        <v>6082</v>
      </c>
      <c r="H1473">
        <v>41834</v>
      </c>
      <c r="I1473" t="s">
        <v>423</v>
      </c>
      <c r="J1473" t="s">
        <v>4770</v>
      </c>
      <c r="K1473" t="s">
        <v>2051</v>
      </c>
      <c r="L1473" t="s">
        <v>2052</v>
      </c>
      <c r="M1473">
        <v>599</v>
      </c>
      <c r="N1473">
        <v>26.85</v>
      </c>
      <c r="O1473">
        <v>9365.2800000000007</v>
      </c>
      <c r="P1473">
        <v>0</v>
      </c>
      <c r="Q1473">
        <v>9365.2800000000007</v>
      </c>
      <c r="R1473">
        <v>1498.44</v>
      </c>
      <c r="S1473">
        <v>374.61</v>
      </c>
      <c r="T1473">
        <v>10489.11</v>
      </c>
      <c r="U1473" t="s">
        <v>7568</v>
      </c>
      <c r="V1473" t="s">
        <v>9408</v>
      </c>
      <c r="W1473" t="s">
        <v>423</v>
      </c>
    </row>
    <row r="1474" spans="1:23" hidden="1" x14ac:dyDescent="0.2">
      <c r="A1474">
        <v>2012</v>
      </c>
      <c r="B1474" t="s">
        <v>303</v>
      </c>
      <c r="C1474" s="733">
        <v>40935</v>
      </c>
      <c r="D14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74" t="s">
        <v>485</v>
      </c>
      <c r="F1474" t="s">
        <v>2048</v>
      </c>
      <c r="G1474" t="s">
        <v>6063</v>
      </c>
      <c r="H1474">
        <v>40980</v>
      </c>
      <c r="I1474" t="s">
        <v>423</v>
      </c>
      <c r="J1474" t="s">
        <v>4073</v>
      </c>
      <c r="K1474" t="s">
        <v>2051</v>
      </c>
      <c r="L1474" t="s">
        <v>2052</v>
      </c>
      <c r="M1474">
        <v>610</v>
      </c>
      <c r="N1474">
        <v>52.7</v>
      </c>
      <c r="O1474">
        <v>18681.62</v>
      </c>
      <c r="P1474">
        <v>0</v>
      </c>
      <c r="Q1474">
        <v>18681.62</v>
      </c>
      <c r="R1474">
        <v>2989.06</v>
      </c>
      <c r="S1474">
        <v>747.26</v>
      </c>
      <c r="T1474">
        <v>20923.419999999998</v>
      </c>
      <c r="U1474" t="s">
        <v>2053</v>
      </c>
      <c r="V1474" t="s">
        <v>9409</v>
      </c>
      <c r="W1474" t="s">
        <v>423</v>
      </c>
    </row>
    <row r="1475" spans="1:23" hidden="1" x14ac:dyDescent="0.2">
      <c r="A1475">
        <v>2012</v>
      </c>
      <c r="B1475" t="s">
        <v>303</v>
      </c>
      <c r="C1475" s="733">
        <v>40921</v>
      </c>
      <c r="D14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75" t="s">
        <v>478</v>
      </c>
      <c r="F1475" t="s">
        <v>2136</v>
      </c>
      <c r="G1475" t="s">
        <v>7213</v>
      </c>
      <c r="H1475">
        <v>34458</v>
      </c>
      <c r="I1475" t="s">
        <v>423</v>
      </c>
      <c r="J1475" t="s">
        <v>4270</v>
      </c>
      <c r="K1475" t="s">
        <v>425</v>
      </c>
      <c r="L1475" t="s">
        <v>2145</v>
      </c>
      <c r="M1475">
        <v>560</v>
      </c>
      <c r="N1475">
        <v>29.14</v>
      </c>
      <c r="O1475">
        <v>9310.23</v>
      </c>
      <c r="P1475">
        <v>0</v>
      </c>
      <c r="Q1475">
        <v>9310.23</v>
      </c>
      <c r="R1475">
        <v>1489.64</v>
      </c>
      <c r="S1475">
        <v>372.41</v>
      </c>
      <c r="T1475">
        <v>10427.459999999999</v>
      </c>
      <c r="U1475" t="s">
        <v>2355</v>
      </c>
      <c r="V1475" t="s">
        <v>9408</v>
      </c>
      <c r="W1475" t="s">
        <v>423</v>
      </c>
    </row>
    <row r="1476" spans="1:23" hidden="1" x14ac:dyDescent="0.2">
      <c r="A1476">
        <v>2012</v>
      </c>
      <c r="B1476" t="s">
        <v>304</v>
      </c>
      <c r="C1476" s="733">
        <v>40953</v>
      </c>
      <c r="D14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76" t="s">
        <v>478</v>
      </c>
      <c r="F1476" t="s">
        <v>2136</v>
      </c>
      <c r="G1476" t="s">
        <v>7214</v>
      </c>
      <c r="H1476">
        <v>35561</v>
      </c>
      <c r="I1476" t="s">
        <v>423</v>
      </c>
      <c r="J1476" t="s">
        <v>4270</v>
      </c>
      <c r="K1476" t="s">
        <v>425</v>
      </c>
      <c r="L1476" t="s">
        <v>2145</v>
      </c>
      <c r="M1476">
        <v>560</v>
      </c>
      <c r="N1476">
        <v>23.32</v>
      </c>
      <c r="O1476">
        <v>7450.74</v>
      </c>
      <c r="P1476">
        <v>0</v>
      </c>
      <c r="Q1476">
        <v>7450.74</v>
      </c>
      <c r="R1476">
        <v>1192.1199999999999</v>
      </c>
      <c r="S1476">
        <v>298.02999999999997</v>
      </c>
      <c r="T1476">
        <v>8344.83</v>
      </c>
      <c r="U1476" t="s">
        <v>7553</v>
      </c>
      <c r="V1476" t="s">
        <v>9408</v>
      </c>
      <c r="W1476" t="s">
        <v>423</v>
      </c>
    </row>
    <row r="1477" spans="1:23" hidden="1" x14ac:dyDescent="0.2">
      <c r="A1477">
        <v>2012</v>
      </c>
      <c r="B1477" t="s">
        <v>303</v>
      </c>
      <c r="C1477" s="733">
        <v>40938</v>
      </c>
      <c r="D14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77" t="s">
        <v>505</v>
      </c>
      <c r="F1477" t="s">
        <v>1915</v>
      </c>
      <c r="G1477" t="s">
        <v>4902</v>
      </c>
      <c r="H1477">
        <v>22314</v>
      </c>
      <c r="I1477" t="s">
        <v>423</v>
      </c>
      <c r="J1477" t="s">
        <v>1945</v>
      </c>
      <c r="K1477" t="s">
        <v>1918</v>
      </c>
      <c r="L1477" t="s">
        <v>1919</v>
      </c>
      <c r="M1477">
        <v>949</v>
      </c>
      <c r="N1477">
        <v>24.9</v>
      </c>
      <c r="O1477">
        <v>18628.439999999999</v>
      </c>
      <c r="P1477">
        <v>0</v>
      </c>
      <c r="Q1477">
        <v>18628.439999999999</v>
      </c>
      <c r="R1477">
        <v>2980.55</v>
      </c>
      <c r="S1477">
        <v>745.14</v>
      </c>
      <c r="T1477">
        <v>20863.849999999999</v>
      </c>
      <c r="U1477" t="s">
        <v>1936</v>
      </c>
      <c r="V1477" t="s">
        <v>9408</v>
      </c>
      <c r="W1477" t="s">
        <v>423</v>
      </c>
    </row>
    <row r="1478" spans="1:23" hidden="1" x14ac:dyDescent="0.2">
      <c r="A1478">
        <v>2012</v>
      </c>
      <c r="B1478" t="s">
        <v>303</v>
      </c>
      <c r="C1478" s="733">
        <v>40913</v>
      </c>
      <c r="D14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78" t="s">
        <v>505</v>
      </c>
      <c r="F1478" t="s">
        <v>1915</v>
      </c>
      <c r="G1478" t="s">
        <v>4892</v>
      </c>
      <c r="H1478">
        <v>21724</v>
      </c>
      <c r="I1478" t="s">
        <v>423</v>
      </c>
      <c r="J1478" t="s">
        <v>3207</v>
      </c>
      <c r="K1478" t="s">
        <v>1918</v>
      </c>
      <c r="L1478" t="s">
        <v>1919</v>
      </c>
      <c r="M1478">
        <v>334</v>
      </c>
      <c r="N1478">
        <v>26.74</v>
      </c>
      <c r="O1478">
        <v>3108.74</v>
      </c>
      <c r="P1478">
        <v>3500.099279</v>
      </c>
      <c r="Q1478">
        <v>6608.8392789999998</v>
      </c>
      <c r="R1478">
        <v>1057.4142850000001</v>
      </c>
      <c r="S1478">
        <v>264.35357099999999</v>
      </c>
      <c r="T1478">
        <v>7401.899993</v>
      </c>
      <c r="U1478" t="s">
        <v>8869</v>
      </c>
      <c r="V1478" t="s">
        <v>9408</v>
      </c>
      <c r="W1478" t="s">
        <v>423</v>
      </c>
    </row>
    <row r="1479" spans="1:23" hidden="1" x14ac:dyDescent="0.2">
      <c r="A1479">
        <v>2012</v>
      </c>
      <c r="B1479" t="s">
        <v>304</v>
      </c>
      <c r="C1479" s="733">
        <v>40966</v>
      </c>
      <c r="D14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79" t="s">
        <v>505</v>
      </c>
      <c r="F1479" t="s">
        <v>1915</v>
      </c>
      <c r="G1479" t="s">
        <v>9051</v>
      </c>
      <c r="H1479">
        <v>23023</v>
      </c>
      <c r="I1479" t="s">
        <v>423</v>
      </c>
      <c r="J1479" t="s">
        <v>3207</v>
      </c>
      <c r="K1479" t="s">
        <v>1918</v>
      </c>
      <c r="L1479" t="s">
        <v>1919</v>
      </c>
      <c r="M1479">
        <v>334</v>
      </c>
      <c r="N1479">
        <v>50.07</v>
      </c>
      <c r="O1479">
        <v>13826.33</v>
      </c>
      <c r="P1479">
        <v>0</v>
      </c>
      <c r="Q1479">
        <v>13826.33</v>
      </c>
      <c r="R1479">
        <v>2212.21</v>
      </c>
      <c r="S1479">
        <v>553.04999999999995</v>
      </c>
      <c r="T1479">
        <v>15485.49</v>
      </c>
      <c r="V1479" t="s">
        <v>9409</v>
      </c>
      <c r="W1479" t="s">
        <v>423</v>
      </c>
    </row>
    <row r="1480" spans="1:23" hidden="1" x14ac:dyDescent="0.2">
      <c r="A1480">
        <v>2012</v>
      </c>
      <c r="B1480" t="s">
        <v>304</v>
      </c>
      <c r="C1480" s="733">
        <v>40955</v>
      </c>
      <c r="D14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80" t="s">
        <v>505</v>
      </c>
      <c r="F1480" t="s">
        <v>1915</v>
      </c>
      <c r="G1480" t="s">
        <v>7831</v>
      </c>
      <c r="H1480">
        <v>22777</v>
      </c>
      <c r="I1480" t="s">
        <v>423</v>
      </c>
      <c r="J1480" t="s">
        <v>3207</v>
      </c>
      <c r="K1480" t="s">
        <v>1918</v>
      </c>
      <c r="L1480" t="s">
        <v>1919</v>
      </c>
      <c r="M1480">
        <v>334</v>
      </c>
      <c r="N1480">
        <v>25.08</v>
      </c>
      <c r="O1480">
        <v>6925.59</v>
      </c>
      <c r="P1480">
        <v>0</v>
      </c>
      <c r="Q1480">
        <v>6925.59</v>
      </c>
      <c r="R1480">
        <v>1108.0899999999999</v>
      </c>
      <c r="S1480">
        <v>277.02</v>
      </c>
      <c r="T1480">
        <v>7756.66</v>
      </c>
      <c r="U1480" t="s">
        <v>7529</v>
      </c>
      <c r="V1480" t="s">
        <v>9408</v>
      </c>
      <c r="W1480" t="s">
        <v>423</v>
      </c>
    </row>
    <row r="1481" spans="1:23" hidden="1" x14ac:dyDescent="0.2">
      <c r="A1481">
        <v>2012</v>
      </c>
      <c r="B1481" t="s">
        <v>303</v>
      </c>
      <c r="C1481" s="733">
        <v>40926</v>
      </c>
      <c r="D14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81" t="s">
        <v>478</v>
      </c>
      <c r="F1481" t="s">
        <v>2622</v>
      </c>
      <c r="G1481" t="s">
        <v>4025</v>
      </c>
      <c r="H1481">
        <v>34602</v>
      </c>
      <c r="I1481" t="s">
        <v>423</v>
      </c>
      <c r="J1481" t="s">
        <v>2624</v>
      </c>
      <c r="K1481" t="s">
        <v>2625</v>
      </c>
      <c r="L1481" t="s">
        <v>2626</v>
      </c>
      <c r="M1481">
        <v>10</v>
      </c>
      <c r="N1481">
        <v>26.2</v>
      </c>
      <c r="O1481">
        <v>2956.67</v>
      </c>
      <c r="P1481">
        <v>0</v>
      </c>
      <c r="Q1481">
        <v>2956.67</v>
      </c>
      <c r="R1481">
        <v>473.07</v>
      </c>
      <c r="S1481">
        <v>118.27</v>
      </c>
      <c r="T1481">
        <v>3311.47</v>
      </c>
      <c r="U1481" t="s">
        <v>2627</v>
      </c>
      <c r="V1481" t="s">
        <v>9408</v>
      </c>
      <c r="W1481" t="s">
        <v>423</v>
      </c>
    </row>
    <row r="1482" spans="1:23" hidden="1" x14ac:dyDescent="0.2">
      <c r="A1482">
        <v>2012</v>
      </c>
      <c r="B1482" t="s">
        <v>305</v>
      </c>
      <c r="C1482" s="733">
        <v>40969.696655092594</v>
      </c>
      <c r="D1482" s="733" t="str">
        <f>CHOOSE(MONTH(Tabla_sqldatos_bonampakdb_Bon_v_ingresos2012[[#This Row],[fecha_guia]]),"Enero","Febrero","Marzo","Abril","Mayo","Junio","Julio","Agosto","Septiembre","Octubre","Noviembre","Diciembre")</f>
        <v>Marzo</v>
      </c>
      <c r="E1482" t="s">
        <v>478</v>
      </c>
      <c r="F1482" t="s">
        <v>2622</v>
      </c>
      <c r="G1482" t="s">
        <v>9438</v>
      </c>
      <c r="H1482">
        <v>36225</v>
      </c>
      <c r="I1482" t="s">
        <v>423</v>
      </c>
      <c r="J1482" t="s">
        <v>2624</v>
      </c>
      <c r="K1482" t="s">
        <v>2625</v>
      </c>
      <c r="L1482" t="s">
        <v>2626</v>
      </c>
      <c r="M1482">
        <v>10</v>
      </c>
      <c r="N1482">
        <v>22.91</v>
      </c>
      <c r="O1482">
        <v>2585.39</v>
      </c>
      <c r="P1482">
        <v>0</v>
      </c>
      <c r="Q1482">
        <v>2585.39</v>
      </c>
      <c r="R1482">
        <v>413.66</v>
      </c>
      <c r="S1482">
        <v>103.42</v>
      </c>
      <c r="T1482">
        <v>2895.63</v>
      </c>
      <c r="V1482" t="s">
        <v>9408</v>
      </c>
      <c r="W1482" t="s">
        <v>423</v>
      </c>
    </row>
    <row r="1483" spans="1:23" hidden="1" x14ac:dyDescent="0.2">
      <c r="A1483">
        <v>2012</v>
      </c>
      <c r="B1483" t="s">
        <v>303</v>
      </c>
      <c r="C1483" s="733">
        <v>40929.887789351851</v>
      </c>
      <c r="D14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83" t="s">
        <v>478</v>
      </c>
      <c r="F1483" t="s">
        <v>2622</v>
      </c>
      <c r="G1483" t="s">
        <v>4032</v>
      </c>
      <c r="H1483">
        <v>34821</v>
      </c>
      <c r="I1483" t="s">
        <v>423</v>
      </c>
      <c r="J1483" t="s">
        <v>2624</v>
      </c>
      <c r="K1483" t="s">
        <v>2625</v>
      </c>
      <c r="L1483" t="s">
        <v>2626</v>
      </c>
      <c r="M1483">
        <v>10</v>
      </c>
      <c r="N1483">
        <v>22.73</v>
      </c>
      <c r="O1483">
        <v>2565.08</v>
      </c>
      <c r="P1483">
        <v>0</v>
      </c>
      <c r="Q1483">
        <v>2565.08</v>
      </c>
      <c r="R1483">
        <v>410.41</v>
      </c>
      <c r="S1483">
        <v>102.6</v>
      </c>
      <c r="T1483">
        <v>2872.89</v>
      </c>
      <c r="U1483" t="s">
        <v>2633</v>
      </c>
      <c r="V1483" t="s">
        <v>9408</v>
      </c>
      <c r="W1483" t="s">
        <v>423</v>
      </c>
    </row>
    <row r="1484" spans="1:23" hidden="1" x14ac:dyDescent="0.2">
      <c r="A1484">
        <v>2012</v>
      </c>
      <c r="B1484" t="s">
        <v>304</v>
      </c>
      <c r="C1484" s="733">
        <v>40956.854259259257</v>
      </c>
      <c r="D14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84" t="s">
        <v>478</v>
      </c>
      <c r="F1484" t="s">
        <v>2622</v>
      </c>
      <c r="G1484" t="s">
        <v>7768</v>
      </c>
      <c r="H1484">
        <v>35760</v>
      </c>
      <c r="I1484" t="s">
        <v>423</v>
      </c>
      <c r="J1484" t="s">
        <v>2624</v>
      </c>
      <c r="K1484" t="s">
        <v>2625</v>
      </c>
      <c r="L1484" t="s">
        <v>2626</v>
      </c>
      <c r="M1484">
        <v>10</v>
      </c>
      <c r="N1484">
        <v>20.49</v>
      </c>
      <c r="O1484">
        <v>2312.3000000000002</v>
      </c>
      <c r="P1484">
        <v>0</v>
      </c>
      <c r="Q1484">
        <v>2312.3000000000002</v>
      </c>
      <c r="R1484">
        <v>369.97</v>
      </c>
      <c r="S1484">
        <v>92.49</v>
      </c>
      <c r="T1484">
        <v>2589.7800000000002</v>
      </c>
      <c r="U1484" t="s">
        <v>8267</v>
      </c>
      <c r="V1484" t="s">
        <v>9408</v>
      </c>
      <c r="W1484" t="s">
        <v>423</v>
      </c>
    </row>
    <row r="1485" spans="1:23" hidden="1" x14ac:dyDescent="0.2">
      <c r="A1485">
        <v>2012</v>
      </c>
      <c r="B1485" t="s">
        <v>303</v>
      </c>
      <c r="C1485" s="733">
        <v>40921.588865740741</v>
      </c>
      <c r="D14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85" t="s">
        <v>478</v>
      </c>
      <c r="F1485" t="s">
        <v>2622</v>
      </c>
      <c r="G1485" t="s">
        <v>4383</v>
      </c>
      <c r="H1485">
        <v>34489</v>
      </c>
      <c r="I1485" t="s">
        <v>423</v>
      </c>
      <c r="J1485" t="s">
        <v>2624</v>
      </c>
      <c r="K1485" t="s">
        <v>2625</v>
      </c>
      <c r="L1485" t="s">
        <v>2626</v>
      </c>
      <c r="M1485">
        <v>10</v>
      </c>
      <c r="N1485">
        <v>24.58</v>
      </c>
      <c r="O1485">
        <v>2773.85</v>
      </c>
      <c r="P1485">
        <v>0</v>
      </c>
      <c r="Q1485">
        <v>2773.85</v>
      </c>
      <c r="R1485">
        <v>443.82</v>
      </c>
      <c r="S1485">
        <v>110.95</v>
      </c>
      <c r="T1485">
        <v>3106.72</v>
      </c>
      <c r="U1485" t="s">
        <v>2635</v>
      </c>
      <c r="V1485" t="s">
        <v>9408</v>
      </c>
      <c r="W1485" t="s">
        <v>423</v>
      </c>
    </row>
    <row r="1486" spans="1:23" hidden="1" x14ac:dyDescent="0.2">
      <c r="A1486">
        <v>2012</v>
      </c>
      <c r="B1486" t="s">
        <v>304</v>
      </c>
      <c r="C1486" s="733">
        <v>40947.411747685182</v>
      </c>
      <c r="D14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86" t="s">
        <v>478</v>
      </c>
      <c r="F1486" t="s">
        <v>2622</v>
      </c>
      <c r="G1486" t="s">
        <v>4394</v>
      </c>
      <c r="H1486">
        <v>35416</v>
      </c>
      <c r="I1486" t="s">
        <v>423</v>
      </c>
      <c r="J1486" t="s">
        <v>2624</v>
      </c>
      <c r="K1486" t="s">
        <v>2625</v>
      </c>
      <c r="L1486" t="s">
        <v>2626</v>
      </c>
      <c r="M1486">
        <v>10</v>
      </c>
      <c r="N1486">
        <v>24.67</v>
      </c>
      <c r="O1486">
        <v>2784.01</v>
      </c>
      <c r="P1486">
        <v>0</v>
      </c>
      <c r="Q1486">
        <v>2784.01</v>
      </c>
      <c r="R1486">
        <v>445.44</v>
      </c>
      <c r="S1486">
        <v>111.36</v>
      </c>
      <c r="T1486">
        <v>3118.09</v>
      </c>
      <c r="U1486" t="s">
        <v>2630</v>
      </c>
      <c r="V1486" t="s">
        <v>9408</v>
      </c>
      <c r="W1486" t="s">
        <v>423</v>
      </c>
    </row>
    <row r="1487" spans="1:23" hidden="1" x14ac:dyDescent="0.2">
      <c r="A1487">
        <v>2012</v>
      </c>
      <c r="B1487" t="s">
        <v>304</v>
      </c>
      <c r="C1487" s="733">
        <v>40954</v>
      </c>
      <c r="D14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87" t="s">
        <v>478</v>
      </c>
      <c r="F1487" t="s">
        <v>2622</v>
      </c>
      <c r="G1487" t="s">
        <v>7595</v>
      </c>
      <c r="H1487">
        <v>35650</v>
      </c>
      <c r="I1487" t="s">
        <v>423</v>
      </c>
      <c r="J1487" t="s">
        <v>2624</v>
      </c>
      <c r="K1487" t="s">
        <v>2625</v>
      </c>
      <c r="L1487" t="s">
        <v>2626</v>
      </c>
      <c r="M1487">
        <v>10</v>
      </c>
      <c r="N1487">
        <v>24.83</v>
      </c>
      <c r="O1487">
        <v>2802.07</v>
      </c>
      <c r="P1487">
        <v>0</v>
      </c>
      <c r="Q1487">
        <v>2802.07</v>
      </c>
      <c r="R1487">
        <v>448.33</v>
      </c>
      <c r="S1487">
        <v>112.08</v>
      </c>
      <c r="T1487">
        <v>3138.32</v>
      </c>
      <c r="U1487" t="s">
        <v>7548</v>
      </c>
      <c r="V1487" t="s">
        <v>9408</v>
      </c>
      <c r="W1487" t="s">
        <v>423</v>
      </c>
    </row>
    <row r="1488" spans="1:23" hidden="1" x14ac:dyDescent="0.2">
      <c r="A1488">
        <v>2012</v>
      </c>
      <c r="B1488" t="s">
        <v>304</v>
      </c>
      <c r="C1488" s="733">
        <v>40966.474976851852</v>
      </c>
      <c r="D14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88" t="s">
        <v>478</v>
      </c>
      <c r="F1488" t="s">
        <v>2622</v>
      </c>
      <c r="G1488" t="s">
        <v>8962</v>
      </c>
      <c r="H1488">
        <v>36053</v>
      </c>
      <c r="I1488" t="s">
        <v>423</v>
      </c>
      <c r="J1488" t="s">
        <v>2624</v>
      </c>
      <c r="K1488" t="s">
        <v>2625</v>
      </c>
      <c r="L1488" t="s">
        <v>2626</v>
      </c>
      <c r="M1488">
        <v>10</v>
      </c>
      <c r="N1488">
        <v>23.57</v>
      </c>
      <c r="O1488">
        <v>2659.87</v>
      </c>
      <c r="P1488">
        <v>0</v>
      </c>
      <c r="Q1488">
        <v>2659.87</v>
      </c>
      <c r="R1488">
        <v>425.58</v>
      </c>
      <c r="S1488">
        <v>106.39</v>
      </c>
      <c r="T1488">
        <v>2979.06</v>
      </c>
      <c r="U1488" t="s">
        <v>9428</v>
      </c>
      <c r="V1488" t="s">
        <v>9408</v>
      </c>
      <c r="W1488" t="s">
        <v>423</v>
      </c>
    </row>
    <row r="1489" spans="1:23" hidden="1" x14ac:dyDescent="0.2">
      <c r="A1489">
        <v>2012</v>
      </c>
      <c r="B1489" t="s">
        <v>305</v>
      </c>
      <c r="C1489" s="733">
        <v>40969.69809027778</v>
      </c>
      <c r="D1489" s="733" t="str">
        <f>CHOOSE(MONTH(Tabla_sqldatos_bonampakdb_Bon_v_ingresos2012[[#This Row],[fecha_guia]]),"Enero","Febrero","Marzo","Abril","Mayo","Junio","Julio","Agosto","Septiembre","Octubre","Noviembre","Diciembre")</f>
        <v>Marzo</v>
      </c>
      <c r="E1489" t="s">
        <v>478</v>
      </c>
      <c r="F1489" t="s">
        <v>2622</v>
      </c>
      <c r="G1489" t="s">
        <v>9439</v>
      </c>
      <c r="H1489">
        <v>36228</v>
      </c>
      <c r="I1489" t="s">
        <v>423</v>
      </c>
      <c r="J1489" t="s">
        <v>2624</v>
      </c>
      <c r="K1489" t="s">
        <v>2625</v>
      </c>
      <c r="L1489" t="s">
        <v>2626</v>
      </c>
      <c r="M1489">
        <v>10</v>
      </c>
      <c r="N1489">
        <v>24.8</v>
      </c>
      <c r="O1489">
        <v>2798.68</v>
      </c>
      <c r="P1489">
        <v>0</v>
      </c>
      <c r="Q1489">
        <v>2798.68</v>
      </c>
      <c r="R1489">
        <v>447.79</v>
      </c>
      <c r="S1489">
        <v>111.95</v>
      </c>
      <c r="T1489">
        <v>3134.52</v>
      </c>
      <c r="V1489" t="s">
        <v>9408</v>
      </c>
      <c r="W1489" t="s">
        <v>423</v>
      </c>
    </row>
    <row r="1490" spans="1:23" hidden="1" x14ac:dyDescent="0.2">
      <c r="A1490">
        <v>2012</v>
      </c>
      <c r="B1490" t="s">
        <v>304</v>
      </c>
      <c r="C1490" s="733">
        <v>40954</v>
      </c>
      <c r="D14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90" t="s">
        <v>478</v>
      </c>
      <c r="F1490" t="s">
        <v>2622</v>
      </c>
      <c r="G1490" t="s">
        <v>7791</v>
      </c>
      <c r="H1490">
        <v>35586</v>
      </c>
      <c r="I1490" t="s">
        <v>423</v>
      </c>
      <c r="J1490" t="s">
        <v>2624</v>
      </c>
      <c r="K1490" t="s">
        <v>2625</v>
      </c>
      <c r="L1490" t="s">
        <v>2626</v>
      </c>
      <c r="M1490">
        <v>10</v>
      </c>
      <c r="N1490">
        <v>25.54</v>
      </c>
      <c r="O1490">
        <v>2882.19</v>
      </c>
      <c r="P1490">
        <v>0</v>
      </c>
      <c r="Q1490">
        <v>2882.19</v>
      </c>
      <c r="R1490">
        <v>461.15</v>
      </c>
      <c r="S1490">
        <v>115.29</v>
      </c>
      <c r="T1490">
        <v>3228.05</v>
      </c>
      <c r="U1490" t="s">
        <v>7548</v>
      </c>
      <c r="V1490" t="s">
        <v>9408</v>
      </c>
      <c r="W1490" t="s">
        <v>423</v>
      </c>
    </row>
    <row r="1491" spans="1:23" hidden="1" x14ac:dyDescent="0.2">
      <c r="A1491">
        <v>2012</v>
      </c>
      <c r="B1491" t="s">
        <v>303</v>
      </c>
      <c r="C1491" s="733">
        <v>40918</v>
      </c>
      <c r="D14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91" t="s">
        <v>478</v>
      </c>
      <c r="F1491" t="s">
        <v>2622</v>
      </c>
      <c r="G1491" t="s">
        <v>4024</v>
      </c>
      <c r="H1491">
        <v>34361</v>
      </c>
      <c r="I1491" t="s">
        <v>423</v>
      </c>
      <c r="J1491" t="s">
        <v>2624</v>
      </c>
      <c r="K1491" t="s">
        <v>2625</v>
      </c>
      <c r="L1491" t="s">
        <v>2626</v>
      </c>
      <c r="M1491">
        <v>10</v>
      </c>
      <c r="N1491">
        <v>26.31</v>
      </c>
      <c r="O1491">
        <v>2969.08</v>
      </c>
      <c r="P1491">
        <v>0</v>
      </c>
      <c r="Q1491">
        <v>2969.08</v>
      </c>
      <c r="R1491">
        <v>475.05</v>
      </c>
      <c r="S1491">
        <v>118.76</v>
      </c>
      <c r="T1491">
        <v>3325.37</v>
      </c>
      <c r="U1491" t="s">
        <v>2635</v>
      </c>
      <c r="V1491" t="s">
        <v>9408</v>
      </c>
      <c r="W1491" t="s">
        <v>423</v>
      </c>
    </row>
    <row r="1492" spans="1:23" hidden="1" x14ac:dyDescent="0.2">
      <c r="A1492">
        <v>2012</v>
      </c>
      <c r="B1492" t="s">
        <v>304</v>
      </c>
      <c r="C1492" s="733">
        <v>40963.460810185185</v>
      </c>
      <c r="D14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92" t="s">
        <v>478</v>
      </c>
      <c r="F1492" t="s">
        <v>2622</v>
      </c>
      <c r="G1492" t="s">
        <v>8964</v>
      </c>
      <c r="H1492">
        <v>36005</v>
      </c>
      <c r="I1492" t="s">
        <v>423</v>
      </c>
      <c r="J1492" t="s">
        <v>2668</v>
      </c>
      <c r="K1492" t="s">
        <v>2625</v>
      </c>
      <c r="L1492" t="s">
        <v>2626</v>
      </c>
      <c r="M1492">
        <v>76</v>
      </c>
      <c r="N1492">
        <v>22.79</v>
      </c>
      <c r="O1492">
        <v>2571.85</v>
      </c>
      <c r="P1492">
        <v>0</v>
      </c>
      <c r="Q1492">
        <v>2571.85</v>
      </c>
      <c r="R1492">
        <v>411.5</v>
      </c>
      <c r="S1492">
        <v>102.87</v>
      </c>
      <c r="T1492">
        <v>2880.48</v>
      </c>
      <c r="U1492" t="s">
        <v>9428</v>
      </c>
      <c r="V1492" t="s">
        <v>9408</v>
      </c>
      <c r="W1492" t="s">
        <v>423</v>
      </c>
    </row>
    <row r="1493" spans="1:23" hidden="1" x14ac:dyDescent="0.2">
      <c r="A1493">
        <v>2012</v>
      </c>
      <c r="B1493" t="s">
        <v>303</v>
      </c>
      <c r="C1493" s="733">
        <v>40918</v>
      </c>
      <c r="D14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93" t="s">
        <v>478</v>
      </c>
      <c r="F1493" t="s">
        <v>2142</v>
      </c>
      <c r="G1493" t="s">
        <v>4028</v>
      </c>
      <c r="H1493">
        <v>34320</v>
      </c>
      <c r="I1493" t="s">
        <v>423</v>
      </c>
      <c r="J1493" t="s">
        <v>2639</v>
      </c>
      <c r="K1493" t="s">
        <v>2640</v>
      </c>
      <c r="L1493" t="s">
        <v>2641</v>
      </c>
      <c r="M1493">
        <v>274</v>
      </c>
      <c r="N1493">
        <v>46.01</v>
      </c>
      <c r="O1493">
        <v>5914.13</v>
      </c>
      <c r="P1493">
        <v>0</v>
      </c>
      <c r="Q1493">
        <v>5914.13</v>
      </c>
      <c r="R1493">
        <v>946.26</v>
      </c>
      <c r="S1493">
        <v>236.57</v>
      </c>
      <c r="T1493">
        <v>6623.82</v>
      </c>
      <c r="U1493" t="s">
        <v>2992</v>
      </c>
      <c r="V1493" t="s">
        <v>9409</v>
      </c>
      <c r="W1493" t="s">
        <v>423</v>
      </c>
    </row>
    <row r="1494" spans="1:23" hidden="1" x14ac:dyDescent="0.2">
      <c r="A1494">
        <v>2012</v>
      </c>
      <c r="B1494" t="s">
        <v>303</v>
      </c>
      <c r="C1494" s="733">
        <v>40911</v>
      </c>
      <c r="D14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94" t="s">
        <v>485</v>
      </c>
      <c r="F1494" t="s">
        <v>2048</v>
      </c>
      <c r="G1494" t="s">
        <v>4765</v>
      </c>
      <c r="H1494">
        <v>39720</v>
      </c>
      <c r="I1494" t="s">
        <v>423</v>
      </c>
      <c r="J1494" t="s">
        <v>4093</v>
      </c>
      <c r="K1494" t="s">
        <v>2051</v>
      </c>
      <c r="L1494" t="s">
        <v>2052</v>
      </c>
      <c r="M1494">
        <v>647</v>
      </c>
      <c r="N1494">
        <v>27.6</v>
      </c>
      <c r="O1494">
        <v>4396.3999999999996</v>
      </c>
      <c r="P1494">
        <v>4949.8627960000003</v>
      </c>
      <c r="Q1494">
        <v>9346.2627960000009</v>
      </c>
      <c r="R1494">
        <v>1495.402047</v>
      </c>
      <c r="S1494">
        <v>373.85051199999998</v>
      </c>
      <c r="T1494">
        <v>10467.814331</v>
      </c>
      <c r="U1494" t="s">
        <v>2089</v>
      </c>
      <c r="V1494" t="s">
        <v>9408</v>
      </c>
      <c r="W1494" t="s">
        <v>423</v>
      </c>
    </row>
    <row r="1495" spans="1:23" hidden="1" x14ac:dyDescent="0.2">
      <c r="A1495">
        <v>2012</v>
      </c>
      <c r="B1495" t="s">
        <v>304</v>
      </c>
      <c r="C1495" s="733">
        <v>40941</v>
      </c>
      <c r="D14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95" t="s">
        <v>485</v>
      </c>
      <c r="F1495" t="s">
        <v>2054</v>
      </c>
      <c r="G1495" t="s">
        <v>4764</v>
      </c>
      <c r="H1495">
        <v>41303</v>
      </c>
      <c r="I1495" t="s">
        <v>423</v>
      </c>
      <c r="J1495" t="s">
        <v>4093</v>
      </c>
      <c r="K1495" t="s">
        <v>2051</v>
      </c>
      <c r="L1495" t="s">
        <v>2052</v>
      </c>
      <c r="M1495">
        <v>647</v>
      </c>
      <c r="N1495">
        <v>24.7</v>
      </c>
      <c r="O1495">
        <v>9344.75</v>
      </c>
      <c r="P1495">
        <v>0</v>
      </c>
      <c r="Q1495">
        <v>9344.75</v>
      </c>
      <c r="R1495">
        <v>1495.16</v>
      </c>
      <c r="S1495">
        <v>373.79</v>
      </c>
      <c r="T1495">
        <v>10466.120000000001</v>
      </c>
      <c r="U1495" t="s">
        <v>2067</v>
      </c>
      <c r="V1495" t="s">
        <v>9409</v>
      </c>
      <c r="W1495" t="s">
        <v>423</v>
      </c>
    </row>
    <row r="1496" spans="1:23" hidden="1" x14ac:dyDescent="0.2">
      <c r="A1496">
        <v>2012</v>
      </c>
      <c r="B1496" t="s">
        <v>304</v>
      </c>
      <c r="C1496" s="733">
        <v>40960</v>
      </c>
      <c r="D14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96" t="s">
        <v>485</v>
      </c>
      <c r="F1496" t="s">
        <v>2065</v>
      </c>
      <c r="G1496" t="s">
        <v>8114</v>
      </c>
      <c r="H1496">
        <v>42294</v>
      </c>
      <c r="I1496" t="s">
        <v>423</v>
      </c>
      <c r="J1496" t="s">
        <v>4093</v>
      </c>
      <c r="K1496" t="s">
        <v>2051</v>
      </c>
      <c r="L1496" t="s">
        <v>2052</v>
      </c>
      <c r="M1496">
        <v>647</v>
      </c>
      <c r="N1496">
        <v>50.25</v>
      </c>
      <c r="O1496">
        <v>19011.080000000002</v>
      </c>
      <c r="P1496">
        <v>0</v>
      </c>
      <c r="Q1496">
        <v>19011.080000000002</v>
      </c>
      <c r="R1496">
        <v>3041.77</v>
      </c>
      <c r="S1496">
        <v>760.44</v>
      </c>
      <c r="T1496">
        <v>21292.41</v>
      </c>
      <c r="U1496" t="s">
        <v>8780</v>
      </c>
      <c r="V1496" t="s">
        <v>9409</v>
      </c>
      <c r="W1496" t="s">
        <v>423</v>
      </c>
    </row>
    <row r="1497" spans="1:23" hidden="1" x14ac:dyDescent="0.2">
      <c r="A1497">
        <v>2012</v>
      </c>
      <c r="B1497" t="s">
        <v>303</v>
      </c>
      <c r="C1497" s="733">
        <v>40939</v>
      </c>
      <c r="D14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497" t="s">
        <v>478</v>
      </c>
      <c r="F1497" t="s">
        <v>2142</v>
      </c>
      <c r="G1497" t="s">
        <v>4029</v>
      </c>
      <c r="H1497">
        <v>34954</v>
      </c>
      <c r="I1497" t="s">
        <v>423</v>
      </c>
      <c r="J1497" t="s">
        <v>2639</v>
      </c>
      <c r="K1497" t="s">
        <v>2640</v>
      </c>
      <c r="L1497" t="s">
        <v>2641</v>
      </c>
      <c r="M1497">
        <v>274</v>
      </c>
      <c r="N1497">
        <v>48.52</v>
      </c>
      <c r="O1497">
        <v>6236.76</v>
      </c>
      <c r="P1497">
        <v>0</v>
      </c>
      <c r="Q1497">
        <v>6236.76</v>
      </c>
      <c r="R1497">
        <v>997.88</v>
      </c>
      <c r="S1497">
        <v>249.47</v>
      </c>
      <c r="T1497">
        <v>6985.17</v>
      </c>
      <c r="U1497" t="s">
        <v>2990</v>
      </c>
      <c r="V1497" t="s">
        <v>9409</v>
      </c>
      <c r="W1497" t="s">
        <v>423</v>
      </c>
    </row>
    <row r="1498" spans="1:23" hidden="1" x14ac:dyDescent="0.2">
      <c r="A1498">
        <v>2012</v>
      </c>
      <c r="B1498" t="s">
        <v>304</v>
      </c>
      <c r="C1498" s="733">
        <v>40947</v>
      </c>
      <c r="D14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98" t="s">
        <v>478</v>
      </c>
      <c r="F1498" t="s">
        <v>2142</v>
      </c>
      <c r="G1498" t="s">
        <v>4030</v>
      </c>
      <c r="H1498">
        <v>35350</v>
      </c>
      <c r="I1498" t="s">
        <v>423</v>
      </c>
      <c r="J1498" t="s">
        <v>2639</v>
      </c>
      <c r="K1498" t="s">
        <v>2640</v>
      </c>
      <c r="L1498" t="s">
        <v>2641</v>
      </c>
      <c r="M1498">
        <v>274</v>
      </c>
      <c r="N1498">
        <v>47.53</v>
      </c>
      <c r="O1498">
        <v>6109.51</v>
      </c>
      <c r="P1498">
        <v>0</v>
      </c>
      <c r="Q1498">
        <v>6109.51</v>
      </c>
      <c r="R1498">
        <v>977.52</v>
      </c>
      <c r="S1498">
        <v>244.38</v>
      </c>
      <c r="T1498">
        <v>6842.65</v>
      </c>
      <c r="U1498" t="s">
        <v>2887</v>
      </c>
      <c r="V1498" t="s">
        <v>9409</v>
      </c>
      <c r="W1498" t="s">
        <v>423</v>
      </c>
    </row>
    <row r="1499" spans="1:23" hidden="1" x14ac:dyDescent="0.2">
      <c r="A1499">
        <v>2012</v>
      </c>
      <c r="B1499" t="s">
        <v>304</v>
      </c>
      <c r="C1499" s="733">
        <v>40947.393136574072</v>
      </c>
      <c r="D14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499" t="s">
        <v>478</v>
      </c>
      <c r="F1499" t="s">
        <v>2622</v>
      </c>
      <c r="G1499" t="s">
        <v>4385</v>
      </c>
      <c r="H1499">
        <v>35408</v>
      </c>
      <c r="I1499" t="s">
        <v>423</v>
      </c>
      <c r="J1499" t="s">
        <v>2624</v>
      </c>
      <c r="K1499" t="s">
        <v>2625</v>
      </c>
      <c r="L1499" t="s">
        <v>2626</v>
      </c>
      <c r="M1499">
        <v>10</v>
      </c>
      <c r="N1499">
        <v>24.65</v>
      </c>
      <c r="O1499">
        <v>2781.75</v>
      </c>
      <c r="P1499">
        <v>0</v>
      </c>
      <c r="Q1499">
        <v>2781.75</v>
      </c>
      <c r="R1499">
        <v>445.08</v>
      </c>
      <c r="S1499">
        <v>111.27</v>
      </c>
      <c r="T1499">
        <v>3115.56</v>
      </c>
      <c r="U1499" t="s">
        <v>2630</v>
      </c>
      <c r="V1499" t="s">
        <v>9408</v>
      </c>
      <c r="W1499" t="s">
        <v>423</v>
      </c>
    </row>
    <row r="1500" spans="1:23" hidden="1" x14ac:dyDescent="0.2">
      <c r="A1500">
        <v>2012</v>
      </c>
      <c r="B1500" t="s">
        <v>303</v>
      </c>
      <c r="C1500" s="733">
        <v>40932.448854166665</v>
      </c>
      <c r="D15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00" t="s">
        <v>478</v>
      </c>
      <c r="F1500" t="s">
        <v>2622</v>
      </c>
      <c r="G1500" t="s">
        <v>4386</v>
      </c>
      <c r="H1500">
        <v>34890</v>
      </c>
      <c r="I1500" t="s">
        <v>423</v>
      </c>
      <c r="J1500" t="s">
        <v>2624</v>
      </c>
      <c r="K1500" t="s">
        <v>2625</v>
      </c>
      <c r="L1500" t="s">
        <v>2626</v>
      </c>
      <c r="M1500">
        <v>10</v>
      </c>
      <c r="N1500">
        <v>24.41</v>
      </c>
      <c r="O1500">
        <v>2754.67</v>
      </c>
      <c r="P1500">
        <v>0</v>
      </c>
      <c r="Q1500">
        <v>2754.67</v>
      </c>
      <c r="R1500">
        <v>440.75</v>
      </c>
      <c r="S1500">
        <v>110.19</v>
      </c>
      <c r="T1500">
        <v>3085.23</v>
      </c>
      <c r="U1500" t="s">
        <v>2633</v>
      </c>
      <c r="V1500" t="s">
        <v>9408</v>
      </c>
      <c r="W1500" t="s">
        <v>423</v>
      </c>
    </row>
    <row r="1501" spans="1:23" hidden="1" x14ac:dyDescent="0.2">
      <c r="A1501">
        <v>2012</v>
      </c>
      <c r="B1501" t="s">
        <v>304</v>
      </c>
      <c r="C1501" s="733">
        <v>40947.394201388888</v>
      </c>
      <c r="D15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01" t="s">
        <v>478</v>
      </c>
      <c r="F1501" t="s">
        <v>2622</v>
      </c>
      <c r="G1501" t="s">
        <v>4384</v>
      </c>
      <c r="H1501">
        <v>35411</v>
      </c>
      <c r="I1501" t="s">
        <v>423</v>
      </c>
      <c r="J1501" t="s">
        <v>2624</v>
      </c>
      <c r="K1501" t="s">
        <v>2625</v>
      </c>
      <c r="L1501" t="s">
        <v>2626</v>
      </c>
      <c r="M1501">
        <v>10</v>
      </c>
      <c r="N1501">
        <v>24.58</v>
      </c>
      <c r="O1501">
        <v>2773.85</v>
      </c>
      <c r="P1501">
        <v>0</v>
      </c>
      <c r="Q1501">
        <v>2773.85</v>
      </c>
      <c r="R1501">
        <v>443.82</v>
      </c>
      <c r="S1501">
        <v>110.95</v>
      </c>
      <c r="T1501">
        <v>3106.72</v>
      </c>
      <c r="U1501" t="s">
        <v>2652</v>
      </c>
      <c r="V1501" t="s">
        <v>9408</v>
      </c>
      <c r="W1501" t="s">
        <v>423</v>
      </c>
    </row>
    <row r="1502" spans="1:23" hidden="1" x14ac:dyDescent="0.2">
      <c r="A1502">
        <v>2012</v>
      </c>
      <c r="B1502" t="s">
        <v>304</v>
      </c>
      <c r="C1502" s="733">
        <v>40966</v>
      </c>
      <c r="D15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02" t="s">
        <v>478</v>
      </c>
      <c r="F1502" t="s">
        <v>2136</v>
      </c>
      <c r="G1502" t="s">
        <v>8963</v>
      </c>
      <c r="H1502">
        <v>36009</v>
      </c>
      <c r="I1502" t="s">
        <v>423</v>
      </c>
      <c r="J1502" t="s">
        <v>2624</v>
      </c>
      <c r="K1502" t="s">
        <v>2625</v>
      </c>
      <c r="L1502" t="s">
        <v>2626</v>
      </c>
      <c r="M1502">
        <v>10</v>
      </c>
      <c r="N1502">
        <v>22.25</v>
      </c>
      <c r="O1502">
        <v>2510.91</v>
      </c>
      <c r="P1502">
        <v>0</v>
      </c>
      <c r="Q1502">
        <v>2510.91</v>
      </c>
      <c r="R1502">
        <v>401.75</v>
      </c>
      <c r="S1502">
        <v>100.44</v>
      </c>
      <c r="T1502">
        <v>2812.22</v>
      </c>
      <c r="U1502" t="s">
        <v>9428</v>
      </c>
      <c r="V1502" t="s">
        <v>9408</v>
      </c>
      <c r="W1502" t="s">
        <v>423</v>
      </c>
    </row>
    <row r="1503" spans="1:23" hidden="1" x14ac:dyDescent="0.2">
      <c r="A1503">
        <v>2012</v>
      </c>
      <c r="B1503" t="s">
        <v>303</v>
      </c>
      <c r="C1503" s="733">
        <v>40932.462129629632</v>
      </c>
      <c r="D15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03" t="s">
        <v>478</v>
      </c>
      <c r="F1503" t="s">
        <v>2136</v>
      </c>
      <c r="G1503" t="s">
        <v>4027</v>
      </c>
      <c r="H1503">
        <v>34896</v>
      </c>
      <c r="I1503" t="s">
        <v>423</v>
      </c>
      <c r="J1503" t="s">
        <v>2624</v>
      </c>
      <c r="K1503" t="s">
        <v>2625</v>
      </c>
      <c r="L1503" t="s">
        <v>2626</v>
      </c>
      <c r="M1503">
        <v>10</v>
      </c>
      <c r="N1503">
        <v>22.36</v>
      </c>
      <c r="O1503">
        <v>2523.33</v>
      </c>
      <c r="P1503">
        <v>0</v>
      </c>
      <c r="Q1503">
        <v>2523.33</v>
      </c>
      <c r="R1503">
        <v>403.73</v>
      </c>
      <c r="S1503">
        <v>100.93</v>
      </c>
      <c r="T1503">
        <v>2826.13</v>
      </c>
      <c r="U1503" t="s">
        <v>2633</v>
      </c>
      <c r="V1503" t="s">
        <v>9408</v>
      </c>
      <c r="W1503" t="s">
        <v>423</v>
      </c>
    </row>
    <row r="1504" spans="1:23" hidden="1" x14ac:dyDescent="0.2">
      <c r="A1504">
        <v>2012</v>
      </c>
      <c r="B1504" t="s">
        <v>304</v>
      </c>
      <c r="C1504" s="733">
        <v>40963.398275462961</v>
      </c>
      <c r="D15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04" t="s">
        <v>478</v>
      </c>
      <c r="F1504" t="s">
        <v>2136</v>
      </c>
      <c r="G1504" t="s">
        <v>9167</v>
      </c>
      <c r="H1504">
        <v>35975</v>
      </c>
      <c r="I1504" t="s">
        <v>423</v>
      </c>
      <c r="J1504" t="s">
        <v>5249</v>
      </c>
      <c r="K1504" t="s">
        <v>425</v>
      </c>
      <c r="L1504" t="s">
        <v>2145</v>
      </c>
      <c r="M1504">
        <v>134</v>
      </c>
      <c r="N1504">
        <v>24.84</v>
      </c>
      <c r="O1504">
        <v>4520.63</v>
      </c>
      <c r="P1504">
        <v>0</v>
      </c>
      <c r="Q1504">
        <v>4520.63</v>
      </c>
      <c r="R1504">
        <v>723.3</v>
      </c>
      <c r="S1504">
        <v>180.83</v>
      </c>
      <c r="T1504">
        <v>5063.1000000000004</v>
      </c>
      <c r="U1504" t="s">
        <v>9430</v>
      </c>
      <c r="V1504" t="s">
        <v>9408</v>
      </c>
      <c r="W1504" t="s">
        <v>423</v>
      </c>
    </row>
    <row r="1505" spans="1:23" hidden="1" x14ac:dyDescent="0.2">
      <c r="A1505">
        <v>2012</v>
      </c>
      <c r="B1505" t="s">
        <v>303</v>
      </c>
      <c r="C1505" s="733">
        <v>40922</v>
      </c>
      <c r="D15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05" t="s">
        <v>478</v>
      </c>
      <c r="F1505" t="s">
        <v>2136</v>
      </c>
      <c r="G1505" t="s">
        <v>5740</v>
      </c>
      <c r="H1505">
        <v>34464</v>
      </c>
      <c r="I1505" t="s">
        <v>423</v>
      </c>
      <c r="J1505" t="s">
        <v>4699</v>
      </c>
      <c r="K1505" t="s">
        <v>425</v>
      </c>
      <c r="L1505" t="s">
        <v>2145</v>
      </c>
      <c r="M1505">
        <v>555</v>
      </c>
      <c r="N1505">
        <v>56.63</v>
      </c>
      <c r="O1505">
        <v>18093.28</v>
      </c>
      <c r="P1505">
        <v>0</v>
      </c>
      <c r="Q1505">
        <v>18093.28</v>
      </c>
      <c r="R1505">
        <v>2894.93</v>
      </c>
      <c r="S1505">
        <v>723.73</v>
      </c>
      <c r="T1505">
        <v>20264.48</v>
      </c>
      <c r="U1505" t="s">
        <v>2580</v>
      </c>
      <c r="V1505" t="s">
        <v>9409</v>
      </c>
      <c r="W1505" t="s">
        <v>423</v>
      </c>
    </row>
    <row r="1506" spans="1:23" hidden="1" x14ac:dyDescent="0.2">
      <c r="A1506">
        <v>2012</v>
      </c>
      <c r="B1506" t="s">
        <v>304</v>
      </c>
      <c r="C1506" s="733">
        <v>40961</v>
      </c>
      <c r="D15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06" t="s">
        <v>485</v>
      </c>
      <c r="F1506" t="s">
        <v>2065</v>
      </c>
      <c r="G1506" t="s">
        <v>8338</v>
      </c>
      <c r="H1506">
        <v>42230</v>
      </c>
      <c r="I1506" t="s">
        <v>423</v>
      </c>
      <c r="J1506" t="s">
        <v>5260</v>
      </c>
      <c r="K1506" t="s">
        <v>2102</v>
      </c>
      <c r="L1506" t="s">
        <v>2115</v>
      </c>
      <c r="M1506">
        <v>832</v>
      </c>
      <c r="N1506">
        <v>50.63</v>
      </c>
      <c r="O1506">
        <v>25262.85</v>
      </c>
      <c r="P1506">
        <v>0</v>
      </c>
      <c r="Q1506">
        <v>25262.85</v>
      </c>
      <c r="R1506">
        <v>4042.06</v>
      </c>
      <c r="S1506">
        <v>1010.51</v>
      </c>
      <c r="T1506">
        <v>28294.400000000001</v>
      </c>
      <c r="U1506" t="s">
        <v>8883</v>
      </c>
      <c r="V1506" t="s">
        <v>9409</v>
      </c>
      <c r="W1506" t="s">
        <v>423</v>
      </c>
    </row>
    <row r="1507" spans="1:23" hidden="1" x14ac:dyDescent="0.2">
      <c r="A1507">
        <v>2012</v>
      </c>
      <c r="B1507" t="s">
        <v>304</v>
      </c>
      <c r="C1507" s="733">
        <v>40942</v>
      </c>
      <c r="D15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07" t="s">
        <v>485</v>
      </c>
      <c r="F1507" t="s">
        <v>2065</v>
      </c>
      <c r="G1507" t="s">
        <v>5748</v>
      </c>
      <c r="H1507">
        <v>41252</v>
      </c>
      <c r="I1507" t="s">
        <v>423</v>
      </c>
      <c r="J1507" t="s">
        <v>5260</v>
      </c>
      <c r="K1507" t="s">
        <v>2102</v>
      </c>
      <c r="L1507" t="s">
        <v>2115</v>
      </c>
      <c r="M1507">
        <v>832</v>
      </c>
      <c r="N1507">
        <v>48.63</v>
      </c>
      <c r="O1507">
        <v>24264.91</v>
      </c>
      <c r="P1507">
        <v>0</v>
      </c>
      <c r="Q1507">
        <v>24264.91</v>
      </c>
      <c r="R1507">
        <v>3882.39</v>
      </c>
      <c r="S1507">
        <v>970.6</v>
      </c>
      <c r="T1507">
        <v>27176.7</v>
      </c>
      <c r="U1507" t="s">
        <v>7462</v>
      </c>
      <c r="V1507" t="s">
        <v>9409</v>
      </c>
      <c r="W1507" t="s">
        <v>423</v>
      </c>
    </row>
    <row r="1508" spans="1:23" hidden="1" x14ac:dyDescent="0.2">
      <c r="A1508">
        <v>2012</v>
      </c>
      <c r="B1508" t="s">
        <v>304</v>
      </c>
      <c r="C1508" s="733">
        <v>40959</v>
      </c>
      <c r="D15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08" t="s">
        <v>478</v>
      </c>
      <c r="F1508" t="s">
        <v>2136</v>
      </c>
      <c r="G1508" t="s">
        <v>8050</v>
      </c>
      <c r="H1508">
        <v>35562</v>
      </c>
      <c r="I1508" t="s">
        <v>423</v>
      </c>
      <c r="J1508" t="s">
        <v>5249</v>
      </c>
      <c r="K1508" t="s">
        <v>425</v>
      </c>
      <c r="L1508" t="s">
        <v>2145</v>
      </c>
      <c r="M1508">
        <v>134</v>
      </c>
      <c r="N1508">
        <v>40.65</v>
      </c>
      <c r="O1508">
        <v>7397.89</v>
      </c>
      <c r="P1508">
        <v>0</v>
      </c>
      <c r="Q1508">
        <v>7397.89</v>
      </c>
      <c r="R1508">
        <v>1183.6600000000001</v>
      </c>
      <c r="S1508">
        <v>295.92</v>
      </c>
      <c r="T1508">
        <v>8285.6299999999992</v>
      </c>
      <c r="U1508" t="s">
        <v>8252</v>
      </c>
      <c r="V1508" t="s">
        <v>9409</v>
      </c>
      <c r="W1508" t="s">
        <v>423</v>
      </c>
    </row>
    <row r="1509" spans="1:23" hidden="1" x14ac:dyDescent="0.2">
      <c r="A1509">
        <v>2012</v>
      </c>
      <c r="B1509" t="s">
        <v>303</v>
      </c>
      <c r="C1509" s="733">
        <v>40924</v>
      </c>
      <c r="D15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09" t="s">
        <v>485</v>
      </c>
      <c r="F1509" t="s">
        <v>2065</v>
      </c>
      <c r="G1509" t="s">
        <v>3676</v>
      </c>
      <c r="H1509">
        <v>40385</v>
      </c>
      <c r="I1509" t="s">
        <v>423</v>
      </c>
      <c r="J1509" t="s">
        <v>2050</v>
      </c>
      <c r="K1509" t="s">
        <v>2051</v>
      </c>
      <c r="L1509" t="s">
        <v>2052</v>
      </c>
      <c r="M1509">
        <v>90</v>
      </c>
      <c r="N1509">
        <v>28.1</v>
      </c>
      <c r="O1509">
        <v>3942.71</v>
      </c>
      <c r="P1509">
        <v>0</v>
      </c>
      <c r="Q1509">
        <v>3942.71</v>
      </c>
      <c r="R1509">
        <v>630.83000000000004</v>
      </c>
      <c r="S1509">
        <v>157.71</v>
      </c>
      <c r="T1509">
        <v>4415.83</v>
      </c>
      <c r="U1509" t="s">
        <v>2062</v>
      </c>
      <c r="V1509" t="s">
        <v>9408</v>
      </c>
      <c r="W1509" t="s">
        <v>423</v>
      </c>
    </row>
    <row r="1510" spans="1:23" hidden="1" x14ac:dyDescent="0.2">
      <c r="A1510">
        <v>2012</v>
      </c>
      <c r="B1510" t="s">
        <v>304</v>
      </c>
      <c r="C1510" s="733">
        <v>40952</v>
      </c>
      <c r="D15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10" t="s">
        <v>485</v>
      </c>
      <c r="F1510" t="s">
        <v>2065</v>
      </c>
      <c r="G1510" t="s">
        <v>3681</v>
      </c>
      <c r="H1510">
        <v>41725</v>
      </c>
      <c r="I1510" t="s">
        <v>423</v>
      </c>
      <c r="J1510" t="s">
        <v>2050</v>
      </c>
      <c r="K1510" t="s">
        <v>2051</v>
      </c>
      <c r="L1510" t="s">
        <v>2052</v>
      </c>
      <c r="M1510">
        <v>90</v>
      </c>
      <c r="N1510">
        <v>46.8</v>
      </c>
      <c r="O1510">
        <v>6566.51</v>
      </c>
      <c r="P1510">
        <v>0</v>
      </c>
      <c r="Q1510">
        <v>6566.51</v>
      </c>
      <c r="R1510">
        <v>1050.6400000000001</v>
      </c>
      <c r="S1510">
        <v>262.66000000000003</v>
      </c>
      <c r="T1510">
        <v>7354.49</v>
      </c>
      <c r="U1510" t="s">
        <v>8257</v>
      </c>
      <c r="V1510" t="s">
        <v>9409</v>
      </c>
      <c r="W1510" t="s">
        <v>423</v>
      </c>
    </row>
    <row r="1511" spans="1:23" hidden="1" x14ac:dyDescent="0.2">
      <c r="A1511">
        <v>2012</v>
      </c>
      <c r="B1511" t="s">
        <v>303</v>
      </c>
      <c r="C1511" s="733">
        <v>40932</v>
      </c>
      <c r="D15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11" t="s">
        <v>485</v>
      </c>
      <c r="F1511" t="s">
        <v>2054</v>
      </c>
      <c r="G1511" t="s">
        <v>3682</v>
      </c>
      <c r="H1511">
        <v>39827</v>
      </c>
      <c r="I1511" t="s">
        <v>423</v>
      </c>
      <c r="J1511" t="s">
        <v>2050</v>
      </c>
      <c r="K1511" t="s">
        <v>2051</v>
      </c>
      <c r="L1511" t="s">
        <v>2052</v>
      </c>
      <c r="M1511">
        <v>90</v>
      </c>
      <c r="N1511">
        <v>49.35</v>
      </c>
      <c r="O1511">
        <v>6924.3</v>
      </c>
      <c r="P1511">
        <v>0</v>
      </c>
      <c r="Q1511">
        <v>6924.3</v>
      </c>
      <c r="R1511">
        <v>1107.8900000000001</v>
      </c>
      <c r="S1511">
        <v>276.97000000000003</v>
      </c>
      <c r="T1511">
        <v>7755.22</v>
      </c>
      <c r="U1511" t="s">
        <v>2053</v>
      </c>
      <c r="V1511" t="s">
        <v>9409</v>
      </c>
      <c r="W1511" t="s">
        <v>423</v>
      </c>
    </row>
    <row r="1512" spans="1:23" hidden="1" x14ac:dyDescent="0.2">
      <c r="A1512">
        <v>2012</v>
      </c>
      <c r="B1512" t="s">
        <v>304</v>
      </c>
      <c r="C1512" s="733">
        <v>40946</v>
      </c>
      <c r="D15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12" t="s">
        <v>485</v>
      </c>
      <c r="F1512" t="s">
        <v>2054</v>
      </c>
      <c r="G1512" t="s">
        <v>3683</v>
      </c>
      <c r="H1512">
        <v>41475</v>
      </c>
      <c r="I1512" t="s">
        <v>423</v>
      </c>
      <c r="J1512" t="s">
        <v>2171</v>
      </c>
      <c r="K1512" t="s">
        <v>2051</v>
      </c>
      <c r="L1512" t="s">
        <v>2052</v>
      </c>
      <c r="M1512">
        <v>57</v>
      </c>
      <c r="N1512">
        <v>24.7</v>
      </c>
      <c r="O1512">
        <v>3465.66</v>
      </c>
      <c r="P1512">
        <v>0</v>
      </c>
      <c r="Q1512">
        <v>3465.66</v>
      </c>
      <c r="R1512">
        <v>554.51</v>
      </c>
      <c r="S1512">
        <v>138.63</v>
      </c>
      <c r="T1512">
        <v>3881.54</v>
      </c>
      <c r="U1512" t="s">
        <v>2067</v>
      </c>
      <c r="V1512" t="s">
        <v>9408</v>
      </c>
      <c r="W1512" t="s">
        <v>423</v>
      </c>
    </row>
    <row r="1513" spans="1:23" hidden="1" x14ac:dyDescent="0.2">
      <c r="A1513">
        <v>2012</v>
      </c>
      <c r="B1513" t="s">
        <v>304</v>
      </c>
      <c r="C1513" s="733">
        <v>40960</v>
      </c>
      <c r="D15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13" t="s">
        <v>485</v>
      </c>
      <c r="F1513" t="s">
        <v>2065</v>
      </c>
      <c r="G1513" t="s">
        <v>8049</v>
      </c>
      <c r="H1513">
        <v>42293</v>
      </c>
      <c r="I1513" t="s">
        <v>423</v>
      </c>
      <c r="J1513" t="s">
        <v>2050</v>
      </c>
      <c r="K1513" t="s">
        <v>2051</v>
      </c>
      <c r="L1513" t="s">
        <v>2052</v>
      </c>
      <c r="M1513">
        <v>90</v>
      </c>
      <c r="N1513">
        <v>51.55</v>
      </c>
      <c r="O1513">
        <v>7232.98</v>
      </c>
      <c r="P1513">
        <v>0</v>
      </c>
      <c r="Q1513">
        <v>7232.98</v>
      </c>
      <c r="R1513">
        <v>1157.28</v>
      </c>
      <c r="S1513">
        <v>289.32</v>
      </c>
      <c r="T1513">
        <v>8100.94</v>
      </c>
      <c r="U1513" t="s">
        <v>8780</v>
      </c>
      <c r="V1513" t="s">
        <v>9409</v>
      </c>
      <c r="W1513" t="s">
        <v>423</v>
      </c>
    </row>
    <row r="1514" spans="1:23" hidden="1" x14ac:dyDescent="0.2">
      <c r="A1514">
        <v>2012</v>
      </c>
      <c r="B1514" t="s">
        <v>303</v>
      </c>
      <c r="C1514" s="733">
        <v>40911.531689814816</v>
      </c>
      <c r="D15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14" t="s">
        <v>485</v>
      </c>
      <c r="F1514" t="s">
        <v>2084</v>
      </c>
      <c r="G1514" t="s">
        <v>3664</v>
      </c>
      <c r="H1514">
        <v>39709</v>
      </c>
      <c r="I1514" t="s">
        <v>423</v>
      </c>
      <c r="J1514" t="s">
        <v>2050</v>
      </c>
      <c r="K1514" t="s">
        <v>2051</v>
      </c>
      <c r="L1514" t="s">
        <v>2052</v>
      </c>
      <c r="M1514">
        <v>90</v>
      </c>
      <c r="N1514">
        <v>25.25</v>
      </c>
      <c r="O1514">
        <v>1491.52</v>
      </c>
      <c r="P1514">
        <v>1679.2874529999999</v>
      </c>
      <c r="Q1514">
        <v>3170.8074529999999</v>
      </c>
      <c r="R1514">
        <v>507.32919199999998</v>
      </c>
      <c r="S1514">
        <v>126.83229799999999</v>
      </c>
      <c r="T1514">
        <v>3551.3043469999998</v>
      </c>
      <c r="U1514" t="s">
        <v>2089</v>
      </c>
      <c r="V1514" t="s">
        <v>9408</v>
      </c>
      <c r="W1514" t="s">
        <v>423</v>
      </c>
    </row>
    <row r="1515" spans="1:23" hidden="1" x14ac:dyDescent="0.2">
      <c r="A1515">
        <v>2012</v>
      </c>
      <c r="B1515" t="s">
        <v>303</v>
      </c>
      <c r="C1515" s="733">
        <v>40935.471585648149</v>
      </c>
      <c r="D15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15" t="s">
        <v>485</v>
      </c>
      <c r="F1515" t="s">
        <v>2054</v>
      </c>
      <c r="G1515" t="s">
        <v>3678</v>
      </c>
      <c r="H1515">
        <v>10232</v>
      </c>
      <c r="I1515" t="s">
        <v>423</v>
      </c>
      <c r="J1515" t="s">
        <v>2056</v>
      </c>
      <c r="K1515" t="s">
        <v>2057</v>
      </c>
      <c r="L1515" t="s">
        <v>2058</v>
      </c>
      <c r="M1515">
        <v>19</v>
      </c>
      <c r="N1515">
        <v>22.6</v>
      </c>
      <c r="O1515">
        <v>2550.86</v>
      </c>
      <c r="P1515">
        <v>0</v>
      </c>
      <c r="Q1515">
        <v>2550.86</v>
      </c>
      <c r="R1515">
        <v>408.14</v>
      </c>
      <c r="S1515">
        <v>102.03</v>
      </c>
      <c r="T1515">
        <v>2856.97</v>
      </c>
      <c r="U1515" t="s">
        <v>2073</v>
      </c>
      <c r="V1515" t="s">
        <v>9408</v>
      </c>
      <c r="W1515" t="s">
        <v>423</v>
      </c>
    </row>
    <row r="1516" spans="1:23" hidden="1" x14ac:dyDescent="0.2">
      <c r="A1516">
        <v>2012</v>
      </c>
      <c r="B1516" t="s">
        <v>304</v>
      </c>
      <c r="C1516" s="733">
        <v>40952</v>
      </c>
      <c r="D15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16" t="s">
        <v>485</v>
      </c>
      <c r="F1516" t="s">
        <v>2065</v>
      </c>
      <c r="G1516" t="s">
        <v>4837</v>
      </c>
      <c r="H1516">
        <v>41715</v>
      </c>
      <c r="I1516" t="s">
        <v>423</v>
      </c>
      <c r="J1516" t="s">
        <v>2050</v>
      </c>
      <c r="K1516" t="s">
        <v>2051</v>
      </c>
      <c r="L1516" t="s">
        <v>2052</v>
      </c>
      <c r="M1516">
        <v>90</v>
      </c>
      <c r="N1516">
        <v>55.95</v>
      </c>
      <c r="O1516">
        <v>7850.34</v>
      </c>
      <c r="P1516">
        <v>0</v>
      </c>
      <c r="Q1516">
        <v>7850.34</v>
      </c>
      <c r="R1516">
        <v>1256.06</v>
      </c>
      <c r="S1516">
        <v>314.01</v>
      </c>
      <c r="T1516">
        <v>8792.39</v>
      </c>
      <c r="V1516" t="s">
        <v>9409</v>
      </c>
      <c r="W1516" t="s">
        <v>423</v>
      </c>
    </row>
    <row r="1517" spans="1:23" hidden="1" x14ac:dyDescent="0.2">
      <c r="A1517">
        <v>2012</v>
      </c>
      <c r="B1517" t="s">
        <v>303</v>
      </c>
      <c r="C1517" s="733">
        <v>40911</v>
      </c>
      <c r="D15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17" t="s">
        <v>485</v>
      </c>
      <c r="F1517" t="s">
        <v>2048</v>
      </c>
      <c r="G1517" t="s">
        <v>4836</v>
      </c>
      <c r="H1517">
        <v>39711</v>
      </c>
      <c r="I1517" t="s">
        <v>423</v>
      </c>
      <c r="J1517" t="s">
        <v>2050</v>
      </c>
      <c r="K1517" t="s">
        <v>2051</v>
      </c>
      <c r="L1517" t="s">
        <v>2052</v>
      </c>
      <c r="M1517">
        <v>90</v>
      </c>
      <c r="N1517">
        <v>25.25</v>
      </c>
      <c r="O1517">
        <v>1491.52</v>
      </c>
      <c r="P1517">
        <v>1679.2874529999999</v>
      </c>
      <c r="Q1517">
        <v>3170.8074529999999</v>
      </c>
      <c r="R1517">
        <v>507.32919199999998</v>
      </c>
      <c r="S1517">
        <v>126.83229799999999</v>
      </c>
      <c r="T1517">
        <v>3551.3043469999998</v>
      </c>
      <c r="U1517" t="s">
        <v>2089</v>
      </c>
      <c r="V1517" t="s">
        <v>9408</v>
      </c>
      <c r="W1517" t="s">
        <v>423</v>
      </c>
    </row>
    <row r="1518" spans="1:23" x14ac:dyDescent="0.2">
      <c r="A1518">
        <v>2012</v>
      </c>
      <c r="B1518" t="s">
        <v>304</v>
      </c>
      <c r="C1518" s="733">
        <v>40967</v>
      </c>
      <c r="D15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18" t="s">
        <v>485</v>
      </c>
      <c r="F1518" t="s">
        <v>2065</v>
      </c>
      <c r="G1518" t="s">
        <v>9019</v>
      </c>
      <c r="H1518">
        <v>42589</v>
      </c>
      <c r="I1518" t="s">
        <v>423</v>
      </c>
      <c r="J1518" t="s">
        <v>2050</v>
      </c>
      <c r="K1518" t="s">
        <v>2051</v>
      </c>
      <c r="L1518" t="s">
        <v>2052</v>
      </c>
      <c r="M1518">
        <v>90</v>
      </c>
      <c r="N1518">
        <v>54</v>
      </c>
      <c r="O1518">
        <v>7576.74</v>
      </c>
      <c r="P1518">
        <v>0</v>
      </c>
      <c r="Q1518">
        <v>7576.74</v>
      </c>
      <c r="R1518">
        <v>1212.28</v>
      </c>
      <c r="S1518">
        <v>303.07</v>
      </c>
      <c r="T1518">
        <v>8485.9500000000007</v>
      </c>
      <c r="V1518" t="s">
        <v>9409</v>
      </c>
      <c r="W1518" t="s">
        <v>423</v>
      </c>
    </row>
    <row r="1519" spans="1:23" hidden="1" x14ac:dyDescent="0.2">
      <c r="A1519">
        <v>2012</v>
      </c>
      <c r="B1519" t="s">
        <v>304</v>
      </c>
      <c r="C1519" s="733">
        <v>40946</v>
      </c>
      <c r="D15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19" t="s">
        <v>485</v>
      </c>
      <c r="F1519" t="s">
        <v>2054</v>
      </c>
      <c r="G1519" t="s">
        <v>3667</v>
      </c>
      <c r="H1519">
        <v>10284</v>
      </c>
      <c r="I1519" t="s">
        <v>423</v>
      </c>
      <c r="J1519" t="s">
        <v>2056</v>
      </c>
      <c r="K1519" t="s">
        <v>2057</v>
      </c>
      <c r="L1519" t="s">
        <v>2058</v>
      </c>
      <c r="M1519">
        <v>19</v>
      </c>
      <c r="N1519">
        <v>47.91</v>
      </c>
      <c r="O1519">
        <v>5407.6</v>
      </c>
      <c r="P1519">
        <v>0</v>
      </c>
      <c r="Q1519">
        <v>5407.6</v>
      </c>
      <c r="R1519">
        <v>865.22</v>
      </c>
      <c r="S1519">
        <v>216.3</v>
      </c>
      <c r="T1519">
        <v>6056.52</v>
      </c>
      <c r="U1519" t="s">
        <v>2075</v>
      </c>
      <c r="V1519" t="s">
        <v>9409</v>
      </c>
      <c r="W1519" t="s">
        <v>423</v>
      </c>
    </row>
    <row r="1520" spans="1:23" hidden="1" x14ac:dyDescent="0.2">
      <c r="A1520">
        <v>2012</v>
      </c>
      <c r="B1520" t="s">
        <v>304</v>
      </c>
      <c r="C1520" s="733">
        <v>40952.555173611108</v>
      </c>
      <c r="D15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20" t="s">
        <v>485</v>
      </c>
      <c r="F1520" t="s">
        <v>2054</v>
      </c>
      <c r="G1520" t="s">
        <v>3671</v>
      </c>
      <c r="H1520">
        <v>10415</v>
      </c>
      <c r="I1520" t="s">
        <v>423</v>
      </c>
      <c r="J1520" t="s">
        <v>2056</v>
      </c>
      <c r="K1520" t="s">
        <v>2057</v>
      </c>
      <c r="L1520" t="s">
        <v>2058</v>
      </c>
      <c r="M1520">
        <v>19</v>
      </c>
      <c r="N1520">
        <v>25.09</v>
      </c>
      <c r="O1520">
        <v>2831.91</v>
      </c>
      <c r="P1520">
        <v>0</v>
      </c>
      <c r="Q1520">
        <v>2831.91</v>
      </c>
      <c r="R1520">
        <v>311.51</v>
      </c>
      <c r="S1520">
        <v>113.28</v>
      </c>
      <c r="T1520">
        <v>3030.14</v>
      </c>
      <c r="U1520" t="s">
        <v>8047</v>
      </c>
      <c r="V1520" t="s">
        <v>9408</v>
      </c>
      <c r="W1520" t="s">
        <v>423</v>
      </c>
    </row>
    <row r="1521" spans="1:23" hidden="1" x14ac:dyDescent="0.2">
      <c r="A1521">
        <v>2012</v>
      </c>
      <c r="B1521" t="s">
        <v>303</v>
      </c>
      <c r="C1521" s="733">
        <v>40926.524629629632</v>
      </c>
      <c r="D15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21" t="s">
        <v>485</v>
      </c>
      <c r="F1521" t="s">
        <v>2054</v>
      </c>
      <c r="G1521" t="s">
        <v>3672</v>
      </c>
      <c r="H1521">
        <v>10115</v>
      </c>
      <c r="I1521" t="s">
        <v>423</v>
      </c>
      <c r="J1521" t="s">
        <v>2056</v>
      </c>
      <c r="K1521" t="s">
        <v>2057</v>
      </c>
      <c r="L1521" t="s">
        <v>2058</v>
      </c>
      <c r="M1521">
        <v>19</v>
      </c>
      <c r="N1521">
        <v>46.56</v>
      </c>
      <c r="O1521">
        <v>5255.23</v>
      </c>
      <c r="P1521">
        <v>0</v>
      </c>
      <c r="Q1521">
        <v>5255.23</v>
      </c>
      <c r="R1521">
        <v>840.84</v>
      </c>
      <c r="S1521">
        <v>210.21</v>
      </c>
      <c r="T1521">
        <v>5885.86</v>
      </c>
      <c r="U1521" t="s">
        <v>2077</v>
      </c>
      <c r="V1521" t="s">
        <v>9409</v>
      </c>
      <c r="W1521" t="s">
        <v>423</v>
      </c>
    </row>
    <row r="1522" spans="1:23" hidden="1" x14ac:dyDescent="0.2">
      <c r="A1522">
        <v>2012</v>
      </c>
      <c r="B1522" t="s">
        <v>303</v>
      </c>
      <c r="C1522" s="733">
        <v>40920</v>
      </c>
      <c r="D15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22" t="s">
        <v>485</v>
      </c>
      <c r="F1522" t="s">
        <v>2054</v>
      </c>
      <c r="G1522" t="s">
        <v>3679</v>
      </c>
      <c r="H1522">
        <v>10052</v>
      </c>
      <c r="I1522" t="s">
        <v>423</v>
      </c>
      <c r="J1522" t="s">
        <v>2056</v>
      </c>
      <c r="K1522" t="s">
        <v>2057</v>
      </c>
      <c r="L1522" t="s">
        <v>2058</v>
      </c>
      <c r="M1522">
        <v>19</v>
      </c>
      <c r="N1522">
        <v>45.61</v>
      </c>
      <c r="O1522">
        <v>5148</v>
      </c>
      <c r="P1522">
        <v>0</v>
      </c>
      <c r="Q1522">
        <v>5148</v>
      </c>
      <c r="R1522">
        <v>823.68</v>
      </c>
      <c r="S1522">
        <v>205.92</v>
      </c>
      <c r="T1522">
        <v>5765.76</v>
      </c>
      <c r="U1522" t="s">
        <v>2059</v>
      </c>
      <c r="V1522" t="s">
        <v>9409</v>
      </c>
      <c r="W1522" t="s">
        <v>423</v>
      </c>
    </row>
    <row r="1523" spans="1:23" hidden="1" x14ac:dyDescent="0.2">
      <c r="A1523">
        <v>2012</v>
      </c>
      <c r="B1523" t="s">
        <v>304</v>
      </c>
      <c r="C1523" s="733">
        <v>40960.517430555556</v>
      </c>
      <c r="D15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23" t="s">
        <v>485</v>
      </c>
      <c r="F1523" t="s">
        <v>2048</v>
      </c>
      <c r="G1523" t="s">
        <v>8105</v>
      </c>
      <c r="H1523">
        <v>42335</v>
      </c>
      <c r="I1523" t="s">
        <v>423</v>
      </c>
      <c r="J1523" t="s">
        <v>2050</v>
      </c>
      <c r="K1523" t="s">
        <v>2051</v>
      </c>
      <c r="L1523" t="s">
        <v>2052</v>
      </c>
      <c r="M1523">
        <v>90</v>
      </c>
      <c r="N1523">
        <v>25.75</v>
      </c>
      <c r="O1523">
        <v>3612.98</v>
      </c>
      <c r="P1523">
        <v>0</v>
      </c>
      <c r="Q1523">
        <v>3612.98</v>
      </c>
      <c r="R1523">
        <v>578.08000000000004</v>
      </c>
      <c r="S1523">
        <v>144.52000000000001</v>
      </c>
      <c r="T1523">
        <v>4046.54</v>
      </c>
      <c r="U1523" t="s">
        <v>8780</v>
      </c>
      <c r="V1523" t="s">
        <v>9408</v>
      </c>
      <c r="W1523" t="s">
        <v>423</v>
      </c>
    </row>
    <row r="1524" spans="1:23" hidden="1" x14ac:dyDescent="0.2">
      <c r="A1524">
        <v>2012</v>
      </c>
      <c r="B1524" t="s">
        <v>305</v>
      </c>
      <c r="C1524" s="733">
        <v>40970</v>
      </c>
      <c r="D1524" s="733" t="str">
        <f>CHOOSE(MONTH(Tabla_sqldatos_bonampakdb_Bon_v_ingresos2012[[#This Row],[fecha_guia]]),"Enero","Febrero","Marzo","Abril","Mayo","Junio","Julio","Agosto","Septiembre","Octubre","Noviembre","Diciembre")</f>
        <v>Marzo</v>
      </c>
      <c r="E1524" t="s">
        <v>485</v>
      </c>
      <c r="F1524" t="s">
        <v>2048</v>
      </c>
      <c r="G1524" t="s">
        <v>9676</v>
      </c>
      <c r="H1524">
        <v>42945</v>
      </c>
      <c r="I1524" t="s">
        <v>423</v>
      </c>
      <c r="J1524" t="s">
        <v>2171</v>
      </c>
      <c r="K1524" t="s">
        <v>2051</v>
      </c>
      <c r="L1524" t="s">
        <v>2052</v>
      </c>
      <c r="M1524">
        <v>57</v>
      </c>
      <c r="N1524">
        <v>26.75</v>
      </c>
      <c r="O1524">
        <v>3753.29</v>
      </c>
      <c r="P1524">
        <v>0</v>
      </c>
      <c r="Q1524">
        <v>3753.29</v>
      </c>
      <c r="R1524">
        <v>600.53</v>
      </c>
      <c r="S1524">
        <v>150.13</v>
      </c>
      <c r="T1524">
        <v>4203.6899999999996</v>
      </c>
      <c r="V1524" t="s">
        <v>9409</v>
      </c>
      <c r="W1524" t="s">
        <v>423</v>
      </c>
    </row>
    <row r="1525" spans="1:23" hidden="1" x14ac:dyDescent="0.2">
      <c r="A1525">
        <v>2012</v>
      </c>
      <c r="B1525" t="s">
        <v>304</v>
      </c>
      <c r="C1525" s="733">
        <v>40954.558680555558</v>
      </c>
      <c r="D15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25" t="s">
        <v>485</v>
      </c>
      <c r="F1525" t="s">
        <v>2048</v>
      </c>
      <c r="G1525" t="s">
        <v>7851</v>
      </c>
      <c r="H1525">
        <v>41998</v>
      </c>
      <c r="I1525" t="s">
        <v>423</v>
      </c>
      <c r="J1525" t="s">
        <v>2050</v>
      </c>
      <c r="K1525" t="s">
        <v>2051</v>
      </c>
      <c r="L1525" t="s">
        <v>2052</v>
      </c>
      <c r="M1525">
        <v>90</v>
      </c>
      <c r="N1525">
        <v>24.85</v>
      </c>
      <c r="O1525">
        <v>3486.7</v>
      </c>
      <c r="P1525">
        <v>0</v>
      </c>
      <c r="Q1525">
        <v>3486.7</v>
      </c>
      <c r="R1525">
        <v>557.87</v>
      </c>
      <c r="S1525">
        <v>139.47</v>
      </c>
      <c r="T1525">
        <v>3905.1</v>
      </c>
      <c r="U1525" t="s">
        <v>8780</v>
      </c>
      <c r="V1525" t="s">
        <v>9408</v>
      </c>
      <c r="W1525" t="s">
        <v>423</v>
      </c>
    </row>
    <row r="1526" spans="1:23" x14ac:dyDescent="0.2">
      <c r="A1526">
        <v>2012</v>
      </c>
      <c r="B1526" t="s">
        <v>304</v>
      </c>
      <c r="C1526" s="733">
        <v>40967</v>
      </c>
      <c r="D15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26" t="s">
        <v>485</v>
      </c>
      <c r="F1526" t="s">
        <v>2048</v>
      </c>
      <c r="G1526" t="s">
        <v>9350</v>
      </c>
      <c r="H1526">
        <v>42586</v>
      </c>
      <c r="I1526" t="s">
        <v>423</v>
      </c>
      <c r="J1526" t="s">
        <v>2050</v>
      </c>
      <c r="K1526" t="s">
        <v>2051</v>
      </c>
      <c r="L1526" t="s">
        <v>2052</v>
      </c>
      <c r="M1526">
        <v>90</v>
      </c>
      <c r="N1526">
        <v>57.65</v>
      </c>
      <c r="O1526">
        <v>8088.87</v>
      </c>
      <c r="P1526">
        <v>0</v>
      </c>
      <c r="Q1526">
        <v>8088.87</v>
      </c>
      <c r="R1526">
        <v>1294.22</v>
      </c>
      <c r="S1526">
        <v>323.55</v>
      </c>
      <c r="T1526">
        <v>9059.5400000000009</v>
      </c>
      <c r="U1526" t="s">
        <v>8780</v>
      </c>
      <c r="V1526" t="s">
        <v>9409</v>
      </c>
      <c r="W1526" t="s">
        <v>423</v>
      </c>
    </row>
    <row r="1527" spans="1:23" hidden="1" x14ac:dyDescent="0.2">
      <c r="A1527">
        <v>2012</v>
      </c>
      <c r="B1527" t="s">
        <v>304</v>
      </c>
      <c r="C1527" s="733">
        <v>40946</v>
      </c>
      <c r="D15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27" t="s">
        <v>485</v>
      </c>
      <c r="F1527" t="s">
        <v>2048</v>
      </c>
      <c r="G1527" t="s">
        <v>3896</v>
      </c>
      <c r="H1527">
        <v>41473</v>
      </c>
      <c r="I1527" t="s">
        <v>423</v>
      </c>
      <c r="J1527" t="s">
        <v>2050</v>
      </c>
      <c r="K1527" t="s">
        <v>2051</v>
      </c>
      <c r="L1527" t="s">
        <v>2052</v>
      </c>
      <c r="M1527">
        <v>90</v>
      </c>
      <c r="N1527">
        <v>26.2</v>
      </c>
      <c r="O1527">
        <v>3676.12</v>
      </c>
      <c r="P1527">
        <v>0</v>
      </c>
      <c r="Q1527">
        <v>3676.12</v>
      </c>
      <c r="R1527">
        <v>588.17999999999995</v>
      </c>
      <c r="S1527">
        <v>147.04</v>
      </c>
      <c r="T1527">
        <v>4117.26</v>
      </c>
      <c r="U1527" t="s">
        <v>2067</v>
      </c>
      <c r="V1527" t="s">
        <v>9408</v>
      </c>
      <c r="W1527" t="s">
        <v>423</v>
      </c>
    </row>
    <row r="1528" spans="1:23" hidden="1" x14ac:dyDescent="0.2">
      <c r="A1528">
        <v>2012</v>
      </c>
      <c r="B1528" t="s">
        <v>304</v>
      </c>
      <c r="C1528" s="733">
        <v>40941.511620370373</v>
      </c>
      <c r="D15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28" t="s">
        <v>485</v>
      </c>
      <c r="F1528" t="s">
        <v>2048</v>
      </c>
      <c r="G1528" t="s">
        <v>3665</v>
      </c>
      <c r="H1528">
        <v>41308</v>
      </c>
      <c r="I1528" t="s">
        <v>423</v>
      </c>
      <c r="J1528" t="s">
        <v>2050</v>
      </c>
      <c r="K1528" t="s">
        <v>2051</v>
      </c>
      <c r="L1528" t="s">
        <v>2052</v>
      </c>
      <c r="M1528">
        <v>90</v>
      </c>
      <c r="N1528">
        <v>50.35</v>
      </c>
      <c r="O1528">
        <v>7064.61</v>
      </c>
      <c r="P1528">
        <v>0</v>
      </c>
      <c r="Q1528">
        <v>7064.61</v>
      </c>
      <c r="R1528">
        <v>1130.3399999999999</v>
      </c>
      <c r="S1528">
        <v>282.58</v>
      </c>
      <c r="T1528">
        <v>7912.37</v>
      </c>
      <c r="U1528" t="s">
        <v>2067</v>
      </c>
      <c r="V1528" t="s">
        <v>9409</v>
      </c>
      <c r="W1528" t="s">
        <v>423</v>
      </c>
    </row>
    <row r="1529" spans="1:23" hidden="1" x14ac:dyDescent="0.2">
      <c r="A1529">
        <v>2012</v>
      </c>
      <c r="B1529" t="s">
        <v>303</v>
      </c>
      <c r="C1529" s="733">
        <v>40932</v>
      </c>
      <c r="D15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29" t="s">
        <v>485</v>
      </c>
      <c r="F1529" t="s">
        <v>2048</v>
      </c>
      <c r="G1529" t="s">
        <v>3666</v>
      </c>
      <c r="H1529">
        <v>40014</v>
      </c>
      <c r="I1529" t="s">
        <v>423</v>
      </c>
      <c r="J1529" t="s">
        <v>2050</v>
      </c>
      <c r="K1529" t="s">
        <v>2051</v>
      </c>
      <c r="L1529" t="s">
        <v>2052</v>
      </c>
      <c r="M1529">
        <v>90</v>
      </c>
      <c r="N1529">
        <v>56.3</v>
      </c>
      <c r="O1529">
        <v>7899.45</v>
      </c>
      <c r="P1529">
        <v>0</v>
      </c>
      <c r="Q1529">
        <v>7899.45</v>
      </c>
      <c r="R1529">
        <v>1263.9100000000001</v>
      </c>
      <c r="S1529">
        <v>315.98</v>
      </c>
      <c r="T1529">
        <v>8847.3799999999992</v>
      </c>
      <c r="U1529" t="s">
        <v>2053</v>
      </c>
      <c r="V1529" t="s">
        <v>9409</v>
      </c>
      <c r="W1529" t="s">
        <v>423</v>
      </c>
    </row>
    <row r="1530" spans="1:23" hidden="1" x14ac:dyDescent="0.2">
      <c r="A1530">
        <v>2012</v>
      </c>
      <c r="B1530" t="s">
        <v>304</v>
      </c>
      <c r="C1530" s="733">
        <v>40946</v>
      </c>
      <c r="D15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30" t="s">
        <v>485</v>
      </c>
      <c r="F1530" t="s">
        <v>2048</v>
      </c>
      <c r="G1530" t="s">
        <v>6519</v>
      </c>
      <c r="H1530">
        <v>41502</v>
      </c>
      <c r="I1530" t="s">
        <v>423</v>
      </c>
      <c r="J1530" t="s">
        <v>4073</v>
      </c>
      <c r="K1530" t="s">
        <v>2051</v>
      </c>
      <c r="L1530" t="s">
        <v>2052</v>
      </c>
      <c r="M1530">
        <v>610</v>
      </c>
      <c r="N1530">
        <v>25.9</v>
      </c>
      <c r="O1530">
        <v>9181.2900000000009</v>
      </c>
      <c r="P1530">
        <v>0</v>
      </c>
      <c r="Q1530">
        <v>9181.2900000000009</v>
      </c>
      <c r="R1530">
        <v>1469.01</v>
      </c>
      <c r="S1530">
        <v>367.25</v>
      </c>
      <c r="T1530">
        <v>10283.049999999999</v>
      </c>
      <c r="U1530" t="s">
        <v>7568</v>
      </c>
      <c r="V1530" t="s">
        <v>9408</v>
      </c>
      <c r="W1530" t="s">
        <v>423</v>
      </c>
    </row>
    <row r="1531" spans="1:23" hidden="1" x14ac:dyDescent="0.2">
      <c r="A1531">
        <v>2012</v>
      </c>
      <c r="B1531" t="s">
        <v>304</v>
      </c>
      <c r="C1531" s="733">
        <v>40953</v>
      </c>
      <c r="D15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31" t="s">
        <v>485</v>
      </c>
      <c r="F1531" t="s">
        <v>2065</v>
      </c>
      <c r="G1531" t="s">
        <v>6260</v>
      </c>
      <c r="H1531">
        <v>41860</v>
      </c>
      <c r="I1531" t="s">
        <v>423</v>
      </c>
      <c r="J1531" t="s">
        <v>4073</v>
      </c>
      <c r="K1531" t="s">
        <v>2051</v>
      </c>
      <c r="L1531" t="s">
        <v>2052</v>
      </c>
      <c r="M1531">
        <v>610</v>
      </c>
      <c r="N1531">
        <v>58.25</v>
      </c>
      <c r="O1531">
        <v>20649.04</v>
      </c>
      <c r="P1531">
        <v>0</v>
      </c>
      <c r="Q1531">
        <v>20649.04</v>
      </c>
      <c r="R1531">
        <v>3303.85</v>
      </c>
      <c r="S1531">
        <v>825.96</v>
      </c>
      <c r="T1531">
        <v>23126.93</v>
      </c>
      <c r="U1531" t="s">
        <v>7568</v>
      </c>
      <c r="V1531" t="s">
        <v>9409</v>
      </c>
      <c r="W1531" t="s">
        <v>423</v>
      </c>
    </row>
    <row r="1532" spans="1:23" hidden="1" x14ac:dyDescent="0.2">
      <c r="A1532">
        <v>2012</v>
      </c>
      <c r="B1532" t="s">
        <v>304</v>
      </c>
      <c r="C1532" s="733">
        <v>40941</v>
      </c>
      <c r="D15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32" t="s">
        <v>485</v>
      </c>
      <c r="F1532" t="s">
        <v>2065</v>
      </c>
      <c r="G1532" t="s">
        <v>6992</v>
      </c>
      <c r="H1532">
        <v>41211</v>
      </c>
      <c r="I1532" t="s">
        <v>423</v>
      </c>
      <c r="J1532" t="s">
        <v>4626</v>
      </c>
      <c r="K1532" t="s">
        <v>2102</v>
      </c>
      <c r="L1532" t="s">
        <v>2184</v>
      </c>
      <c r="M1532">
        <v>1457</v>
      </c>
      <c r="N1532">
        <v>51.14</v>
      </c>
      <c r="O1532">
        <v>37839.51</v>
      </c>
      <c r="P1532">
        <v>0</v>
      </c>
      <c r="Q1532">
        <v>37839.51</v>
      </c>
      <c r="R1532">
        <v>6054.32</v>
      </c>
      <c r="S1532">
        <v>1513.58</v>
      </c>
      <c r="T1532">
        <v>42380.25</v>
      </c>
      <c r="V1532" t="s">
        <v>9409</v>
      </c>
      <c r="W1532" t="s">
        <v>423</v>
      </c>
    </row>
    <row r="1533" spans="1:23" hidden="1" x14ac:dyDescent="0.2">
      <c r="A1533">
        <v>2012</v>
      </c>
      <c r="B1533" t="s">
        <v>303</v>
      </c>
      <c r="C1533" s="733">
        <v>40913</v>
      </c>
      <c r="D15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33" t="s">
        <v>478</v>
      </c>
      <c r="F1533" t="s">
        <v>2136</v>
      </c>
      <c r="G1533" t="s">
        <v>6999</v>
      </c>
      <c r="H1533">
        <v>34226</v>
      </c>
      <c r="I1533" t="s">
        <v>423</v>
      </c>
      <c r="J1533" t="s">
        <v>4270</v>
      </c>
      <c r="K1533" t="s">
        <v>425</v>
      </c>
      <c r="L1533" t="s">
        <v>2145</v>
      </c>
      <c r="M1533">
        <v>560</v>
      </c>
      <c r="N1533">
        <v>26.12</v>
      </c>
      <c r="O1533">
        <v>3513.66</v>
      </c>
      <c r="P1533">
        <v>3955.9946570000002</v>
      </c>
      <c r="Q1533">
        <v>7469.654657</v>
      </c>
      <c r="R1533">
        <v>1195.1447450000001</v>
      </c>
      <c r="S1533">
        <v>298.78618599999999</v>
      </c>
      <c r="T1533">
        <v>8366.0132159999994</v>
      </c>
      <c r="U1533" t="s">
        <v>2150</v>
      </c>
      <c r="V1533" t="s">
        <v>9408</v>
      </c>
      <c r="W1533" t="s">
        <v>423</v>
      </c>
    </row>
    <row r="1534" spans="1:23" hidden="1" x14ac:dyDescent="0.2">
      <c r="A1534">
        <v>2012</v>
      </c>
      <c r="B1534" t="s">
        <v>303</v>
      </c>
      <c r="C1534" s="733">
        <v>40928</v>
      </c>
      <c r="D15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34" t="s">
        <v>485</v>
      </c>
      <c r="F1534" t="s">
        <v>2048</v>
      </c>
      <c r="G1534" t="s">
        <v>2155</v>
      </c>
      <c r="H1534">
        <v>40645</v>
      </c>
      <c r="I1534" t="s">
        <v>423</v>
      </c>
      <c r="J1534" t="s">
        <v>2050</v>
      </c>
      <c r="K1534" t="s">
        <v>2051</v>
      </c>
      <c r="L1534" t="s">
        <v>2052</v>
      </c>
      <c r="M1534">
        <v>90</v>
      </c>
      <c r="N1534">
        <v>49.85</v>
      </c>
      <c r="O1534">
        <v>6994.45</v>
      </c>
      <c r="P1534">
        <v>0</v>
      </c>
      <c r="Q1534">
        <v>6994.45</v>
      </c>
      <c r="R1534">
        <v>1119.1099999999999</v>
      </c>
      <c r="S1534">
        <v>279.77999999999997</v>
      </c>
      <c r="T1534">
        <v>7833.78</v>
      </c>
      <c r="U1534" t="s">
        <v>2062</v>
      </c>
      <c r="V1534" t="s">
        <v>9409</v>
      </c>
      <c r="W1534" t="s">
        <v>423</v>
      </c>
    </row>
    <row r="1535" spans="1:23" hidden="1" x14ac:dyDescent="0.2">
      <c r="A1535">
        <v>2012</v>
      </c>
      <c r="B1535" t="s">
        <v>303</v>
      </c>
      <c r="C1535" s="733">
        <v>40931</v>
      </c>
      <c r="D15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35" t="s">
        <v>485</v>
      </c>
      <c r="F1535" t="s">
        <v>2054</v>
      </c>
      <c r="G1535" t="s">
        <v>2506</v>
      </c>
      <c r="H1535">
        <v>40750</v>
      </c>
      <c r="I1535" t="s">
        <v>423</v>
      </c>
      <c r="J1535" t="s">
        <v>2050</v>
      </c>
      <c r="K1535" t="s">
        <v>2051</v>
      </c>
      <c r="L1535" t="s">
        <v>2052</v>
      </c>
      <c r="M1535">
        <v>90</v>
      </c>
      <c r="N1535">
        <v>27.75</v>
      </c>
      <c r="O1535">
        <v>3893.6</v>
      </c>
      <c r="P1535">
        <v>0</v>
      </c>
      <c r="Q1535">
        <v>3893.6</v>
      </c>
      <c r="R1535">
        <v>622.98</v>
      </c>
      <c r="S1535">
        <v>155.74</v>
      </c>
      <c r="T1535">
        <v>4360.84</v>
      </c>
      <c r="U1535" t="s">
        <v>2053</v>
      </c>
      <c r="V1535" t="s">
        <v>9408</v>
      </c>
      <c r="W1535" t="s">
        <v>423</v>
      </c>
    </row>
    <row r="1536" spans="1:23" hidden="1" x14ac:dyDescent="0.2">
      <c r="A1536">
        <v>2012</v>
      </c>
      <c r="B1536" t="s">
        <v>303</v>
      </c>
      <c r="C1536" s="733">
        <v>40931</v>
      </c>
      <c r="D15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36" t="s">
        <v>485</v>
      </c>
      <c r="F1536" t="s">
        <v>2054</v>
      </c>
      <c r="G1536" t="s">
        <v>6236</v>
      </c>
      <c r="H1536">
        <v>40744</v>
      </c>
      <c r="I1536" t="s">
        <v>423</v>
      </c>
      <c r="J1536" t="s">
        <v>2050</v>
      </c>
      <c r="K1536" t="s">
        <v>2051</v>
      </c>
      <c r="L1536" t="s">
        <v>2052</v>
      </c>
      <c r="M1536">
        <v>90</v>
      </c>
      <c r="N1536">
        <v>26.7</v>
      </c>
      <c r="O1536">
        <v>3746.28</v>
      </c>
      <c r="P1536">
        <v>0</v>
      </c>
      <c r="Q1536">
        <v>3746.28</v>
      </c>
      <c r="R1536">
        <v>599.4</v>
      </c>
      <c r="S1536">
        <v>149.85</v>
      </c>
      <c r="T1536">
        <v>4195.83</v>
      </c>
      <c r="U1536" t="s">
        <v>2053</v>
      </c>
      <c r="V1536" t="s">
        <v>9408</v>
      </c>
      <c r="W1536" t="s">
        <v>423</v>
      </c>
    </row>
    <row r="1537" spans="1:23" hidden="1" x14ac:dyDescent="0.2">
      <c r="A1537">
        <v>2012</v>
      </c>
      <c r="B1537" t="s">
        <v>303</v>
      </c>
      <c r="C1537" s="733">
        <v>40933</v>
      </c>
      <c r="D15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37" t="s">
        <v>485</v>
      </c>
      <c r="F1537" t="s">
        <v>2065</v>
      </c>
      <c r="G1537" t="s">
        <v>2157</v>
      </c>
      <c r="H1537">
        <v>40879</v>
      </c>
      <c r="I1537" t="s">
        <v>423</v>
      </c>
      <c r="J1537" t="s">
        <v>2050</v>
      </c>
      <c r="K1537" t="s">
        <v>2051</v>
      </c>
      <c r="L1537" t="s">
        <v>2052</v>
      </c>
      <c r="M1537">
        <v>90</v>
      </c>
      <c r="N1537">
        <v>53.95</v>
      </c>
      <c r="O1537">
        <v>7569.72</v>
      </c>
      <c r="P1537">
        <v>0</v>
      </c>
      <c r="Q1537">
        <v>7569.72</v>
      </c>
      <c r="R1537">
        <v>1211.1600000000001</v>
      </c>
      <c r="S1537">
        <v>302.79000000000002</v>
      </c>
      <c r="T1537">
        <v>8478.09</v>
      </c>
      <c r="U1537" t="s">
        <v>2053</v>
      </c>
      <c r="V1537" t="s">
        <v>9409</v>
      </c>
      <c r="W1537" t="s">
        <v>423</v>
      </c>
    </row>
    <row r="1538" spans="1:23" hidden="1" x14ac:dyDescent="0.2">
      <c r="A1538">
        <v>2012</v>
      </c>
      <c r="B1538" t="s">
        <v>303</v>
      </c>
      <c r="C1538" s="733">
        <v>40935</v>
      </c>
      <c r="D15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38" t="s">
        <v>485</v>
      </c>
      <c r="F1538" t="s">
        <v>2065</v>
      </c>
      <c r="G1538" t="s">
        <v>2158</v>
      </c>
      <c r="H1538">
        <v>40981</v>
      </c>
      <c r="I1538" t="s">
        <v>423</v>
      </c>
      <c r="J1538" t="s">
        <v>2050</v>
      </c>
      <c r="K1538" t="s">
        <v>2051</v>
      </c>
      <c r="L1538" t="s">
        <v>2052</v>
      </c>
      <c r="M1538">
        <v>90</v>
      </c>
      <c r="N1538">
        <v>26.75</v>
      </c>
      <c r="O1538">
        <v>3753.29</v>
      </c>
      <c r="P1538">
        <v>0</v>
      </c>
      <c r="Q1538">
        <v>3753.29</v>
      </c>
      <c r="R1538">
        <v>600.53</v>
      </c>
      <c r="S1538">
        <v>150.13</v>
      </c>
      <c r="T1538">
        <v>4203.6899999999996</v>
      </c>
      <c r="U1538" t="s">
        <v>2053</v>
      </c>
      <c r="V1538" t="s">
        <v>9408</v>
      </c>
      <c r="W1538" t="s">
        <v>423</v>
      </c>
    </row>
    <row r="1539" spans="1:23" hidden="1" x14ac:dyDescent="0.2">
      <c r="A1539">
        <v>2012</v>
      </c>
      <c r="B1539" t="s">
        <v>304</v>
      </c>
      <c r="C1539" s="733">
        <v>40956</v>
      </c>
      <c r="D15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39" t="s">
        <v>485</v>
      </c>
      <c r="F1539" t="s">
        <v>2065</v>
      </c>
      <c r="G1539" t="s">
        <v>7621</v>
      </c>
      <c r="H1539">
        <v>42153</v>
      </c>
      <c r="I1539" t="s">
        <v>423</v>
      </c>
      <c r="J1539" t="s">
        <v>2050</v>
      </c>
      <c r="K1539" t="s">
        <v>2051</v>
      </c>
      <c r="L1539" t="s">
        <v>2052</v>
      </c>
      <c r="M1539">
        <v>90</v>
      </c>
      <c r="N1539">
        <v>25.7</v>
      </c>
      <c r="O1539">
        <v>3605.97</v>
      </c>
      <c r="P1539">
        <v>0</v>
      </c>
      <c r="Q1539">
        <v>3605.97</v>
      </c>
      <c r="R1539">
        <v>576.95000000000005</v>
      </c>
      <c r="S1539">
        <v>144.24</v>
      </c>
      <c r="T1539">
        <v>4038.68</v>
      </c>
      <c r="U1539" t="s">
        <v>8257</v>
      </c>
      <c r="V1539" t="s">
        <v>9408</v>
      </c>
      <c r="W1539" t="s">
        <v>423</v>
      </c>
    </row>
    <row r="1540" spans="1:23" hidden="1" x14ac:dyDescent="0.2">
      <c r="A1540">
        <v>2012</v>
      </c>
      <c r="B1540" t="s">
        <v>304</v>
      </c>
      <c r="C1540" s="733">
        <v>40946</v>
      </c>
      <c r="D15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40" t="s">
        <v>485</v>
      </c>
      <c r="F1540" t="s">
        <v>2048</v>
      </c>
      <c r="G1540" t="s">
        <v>6242</v>
      </c>
      <c r="H1540">
        <v>41508</v>
      </c>
      <c r="I1540" t="s">
        <v>423</v>
      </c>
      <c r="J1540" t="s">
        <v>2050</v>
      </c>
      <c r="K1540" t="s">
        <v>2051</v>
      </c>
      <c r="L1540" t="s">
        <v>2052</v>
      </c>
      <c r="M1540">
        <v>90</v>
      </c>
      <c r="N1540">
        <v>31.9</v>
      </c>
      <c r="O1540">
        <v>4475.8900000000003</v>
      </c>
      <c r="P1540">
        <v>0</v>
      </c>
      <c r="Q1540">
        <v>4475.8900000000003</v>
      </c>
      <c r="R1540">
        <v>716.14</v>
      </c>
      <c r="S1540">
        <v>179.04</v>
      </c>
      <c r="T1540">
        <v>5012.99</v>
      </c>
      <c r="U1540" t="s">
        <v>7568</v>
      </c>
      <c r="V1540" t="s">
        <v>9408</v>
      </c>
      <c r="W1540" t="s">
        <v>423</v>
      </c>
    </row>
    <row r="1541" spans="1:23" hidden="1" x14ac:dyDescent="0.2">
      <c r="A1541">
        <v>2012</v>
      </c>
      <c r="B1541" t="s">
        <v>304</v>
      </c>
      <c r="C1541" s="733">
        <v>40957.431689814817</v>
      </c>
      <c r="D15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41" t="s">
        <v>485</v>
      </c>
      <c r="F1541" t="s">
        <v>2054</v>
      </c>
      <c r="G1541" t="s">
        <v>7730</v>
      </c>
      <c r="H1541">
        <v>10467</v>
      </c>
      <c r="I1541" t="s">
        <v>423</v>
      </c>
      <c r="J1541" t="s">
        <v>2056</v>
      </c>
      <c r="K1541" t="s">
        <v>2057</v>
      </c>
      <c r="L1541" t="s">
        <v>2058</v>
      </c>
      <c r="M1541">
        <v>19</v>
      </c>
      <c r="N1541">
        <v>45.53</v>
      </c>
      <c r="O1541">
        <v>5138.97</v>
      </c>
      <c r="P1541">
        <v>0</v>
      </c>
      <c r="Q1541">
        <v>5138.97</v>
      </c>
      <c r="R1541">
        <v>565.29</v>
      </c>
      <c r="S1541">
        <v>205.56</v>
      </c>
      <c r="T1541">
        <v>5498.7</v>
      </c>
      <c r="U1541" t="s">
        <v>8047</v>
      </c>
      <c r="V1541" t="s">
        <v>9409</v>
      </c>
      <c r="W1541" t="s">
        <v>423</v>
      </c>
    </row>
    <row r="1542" spans="1:23" hidden="1" x14ac:dyDescent="0.2">
      <c r="A1542">
        <v>2012</v>
      </c>
      <c r="B1542" t="s">
        <v>303</v>
      </c>
      <c r="C1542" s="733">
        <v>40929.429803240739</v>
      </c>
      <c r="D15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42" t="s">
        <v>485</v>
      </c>
      <c r="F1542" t="s">
        <v>2054</v>
      </c>
      <c r="G1542" t="s">
        <v>2152</v>
      </c>
      <c r="H1542">
        <v>10167</v>
      </c>
      <c r="I1542" t="s">
        <v>423</v>
      </c>
      <c r="J1542" t="s">
        <v>2056</v>
      </c>
      <c r="K1542" t="s">
        <v>2057</v>
      </c>
      <c r="L1542" t="s">
        <v>2058</v>
      </c>
      <c r="M1542">
        <v>19</v>
      </c>
      <c r="N1542">
        <v>23.89</v>
      </c>
      <c r="O1542">
        <v>2696.46</v>
      </c>
      <c r="P1542">
        <v>0</v>
      </c>
      <c r="Q1542">
        <v>2696.46</v>
      </c>
      <c r="R1542">
        <v>431.43</v>
      </c>
      <c r="S1542">
        <v>107.86</v>
      </c>
      <c r="T1542">
        <v>3020.03</v>
      </c>
      <c r="U1542" t="s">
        <v>2077</v>
      </c>
      <c r="V1542" t="s">
        <v>9408</v>
      </c>
      <c r="W1542" t="s">
        <v>423</v>
      </c>
    </row>
    <row r="1543" spans="1:23" x14ac:dyDescent="0.2">
      <c r="A1543">
        <v>2012</v>
      </c>
      <c r="B1543" t="s">
        <v>304</v>
      </c>
      <c r="C1543" s="733">
        <v>40967</v>
      </c>
      <c r="D15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43" t="s">
        <v>485</v>
      </c>
      <c r="F1543" t="s">
        <v>2054</v>
      </c>
      <c r="G1543" t="s">
        <v>8914</v>
      </c>
      <c r="H1543">
        <v>10586</v>
      </c>
      <c r="I1543" t="s">
        <v>423</v>
      </c>
      <c r="J1543" t="s">
        <v>2056</v>
      </c>
      <c r="K1543" t="s">
        <v>2057</v>
      </c>
      <c r="L1543" t="s">
        <v>2058</v>
      </c>
      <c r="M1543">
        <v>19</v>
      </c>
      <c r="N1543">
        <v>32.32</v>
      </c>
      <c r="O1543">
        <v>3647.96</v>
      </c>
      <c r="P1543">
        <v>0</v>
      </c>
      <c r="Q1543">
        <v>3647.96</v>
      </c>
      <c r="R1543">
        <v>401.28</v>
      </c>
      <c r="S1543">
        <v>145.91999999999999</v>
      </c>
      <c r="T1543">
        <v>3903.32</v>
      </c>
      <c r="V1543" t="s">
        <v>9408</v>
      </c>
      <c r="W1543" t="s">
        <v>423</v>
      </c>
    </row>
    <row r="1544" spans="1:23" x14ac:dyDescent="0.2">
      <c r="A1544">
        <v>2012</v>
      </c>
      <c r="B1544" t="s">
        <v>304</v>
      </c>
      <c r="C1544" s="733">
        <v>40967</v>
      </c>
      <c r="D15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44" t="s">
        <v>485</v>
      </c>
      <c r="F1544" t="s">
        <v>2054</v>
      </c>
      <c r="G1544" t="s">
        <v>8915</v>
      </c>
      <c r="H1544">
        <v>10561</v>
      </c>
      <c r="I1544" t="s">
        <v>423</v>
      </c>
      <c r="J1544" t="s">
        <v>2056</v>
      </c>
      <c r="K1544" t="s">
        <v>2057</v>
      </c>
      <c r="L1544" t="s">
        <v>2058</v>
      </c>
      <c r="M1544">
        <v>19</v>
      </c>
      <c r="N1544">
        <v>46.46</v>
      </c>
      <c r="O1544">
        <v>5243.94</v>
      </c>
      <c r="P1544">
        <v>0</v>
      </c>
      <c r="Q1544">
        <v>5243.94</v>
      </c>
      <c r="R1544">
        <v>576.83000000000004</v>
      </c>
      <c r="S1544">
        <v>209.76</v>
      </c>
      <c r="T1544">
        <v>5611.01</v>
      </c>
      <c r="V1544" t="s">
        <v>9409</v>
      </c>
      <c r="W1544" t="s">
        <v>423</v>
      </c>
    </row>
    <row r="1545" spans="1:23" hidden="1" x14ac:dyDescent="0.2">
      <c r="A1545">
        <v>2012</v>
      </c>
      <c r="B1545" t="s">
        <v>304</v>
      </c>
      <c r="C1545" s="733">
        <v>40956</v>
      </c>
      <c r="D15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45" t="s">
        <v>485</v>
      </c>
      <c r="F1545" t="s">
        <v>2054</v>
      </c>
      <c r="G1545" t="s">
        <v>7719</v>
      </c>
      <c r="H1545">
        <v>10460</v>
      </c>
      <c r="I1545" t="s">
        <v>423</v>
      </c>
      <c r="J1545" t="s">
        <v>2056</v>
      </c>
      <c r="K1545" t="s">
        <v>2057</v>
      </c>
      <c r="L1545" t="s">
        <v>2058</v>
      </c>
      <c r="M1545">
        <v>19</v>
      </c>
      <c r="N1545">
        <v>47.55</v>
      </c>
      <c r="O1545">
        <v>5366.97</v>
      </c>
      <c r="P1545">
        <v>0</v>
      </c>
      <c r="Q1545">
        <v>5366.97</v>
      </c>
      <c r="R1545">
        <v>590.37</v>
      </c>
      <c r="S1545">
        <v>214.68</v>
      </c>
      <c r="T1545">
        <v>5742.66</v>
      </c>
      <c r="U1545" t="s">
        <v>8864</v>
      </c>
      <c r="V1545" t="s">
        <v>9409</v>
      </c>
      <c r="W1545" t="s">
        <v>423</v>
      </c>
    </row>
    <row r="1546" spans="1:23" hidden="1" x14ac:dyDescent="0.2">
      <c r="A1546">
        <v>2012</v>
      </c>
      <c r="B1546" t="s">
        <v>304</v>
      </c>
      <c r="C1546" s="733">
        <v>40947.508043981485</v>
      </c>
      <c r="D15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46" t="s">
        <v>485</v>
      </c>
      <c r="F1546" t="s">
        <v>2054</v>
      </c>
      <c r="G1546" t="s">
        <v>2167</v>
      </c>
      <c r="H1546">
        <v>10353</v>
      </c>
      <c r="I1546" t="s">
        <v>423</v>
      </c>
      <c r="J1546" t="s">
        <v>2056</v>
      </c>
      <c r="K1546" t="s">
        <v>2057</v>
      </c>
      <c r="L1546" t="s">
        <v>2058</v>
      </c>
      <c r="M1546">
        <v>19</v>
      </c>
      <c r="N1546">
        <v>47.43</v>
      </c>
      <c r="O1546">
        <v>5353.42</v>
      </c>
      <c r="P1546">
        <v>0</v>
      </c>
      <c r="Q1546">
        <v>5353.42</v>
      </c>
      <c r="R1546">
        <v>588.88</v>
      </c>
      <c r="S1546">
        <v>214.14</v>
      </c>
      <c r="T1546">
        <v>5728.16</v>
      </c>
      <c r="U1546" t="s">
        <v>2082</v>
      </c>
      <c r="V1546" t="s">
        <v>9409</v>
      </c>
      <c r="W1546" t="s">
        <v>423</v>
      </c>
    </row>
    <row r="1547" spans="1:23" hidden="1" x14ac:dyDescent="0.2">
      <c r="A1547">
        <v>2012</v>
      </c>
      <c r="B1547" t="s">
        <v>303</v>
      </c>
      <c r="C1547" s="733">
        <v>40935</v>
      </c>
      <c r="D15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47" t="s">
        <v>485</v>
      </c>
      <c r="F1547" t="s">
        <v>2054</v>
      </c>
      <c r="G1547" t="s">
        <v>6245</v>
      </c>
      <c r="H1547">
        <v>10226</v>
      </c>
      <c r="I1547" t="s">
        <v>423</v>
      </c>
      <c r="J1547" t="s">
        <v>2056</v>
      </c>
      <c r="K1547" t="s">
        <v>2057</v>
      </c>
      <c r="L1547" t="s">
        <v>2058</v>
      </c>
      <c r="M1547">
        <v>19</v>
      </c>
      <c r="N1547">
        <v>30.67</v>
      </c>
      <c r="O1547">
        <v>3461.72</v>
      </c>
      <c r="P1547">
        <v>0</v>
      </c>
      <c r="Q1547">
        <v>3461.72</v>
      </c>
      <c r="R1547">
        <v>553.88</v>
      </c>
      <c r="S1547">
        <v>138.47</v>
      </c>
      <c r="T1547">
        <v>3877.13</v>
      </c>
      <c r="U1547" t="s">
        <v>2073</v>
      </c>
      <c r="V1547" t="s">
        <v>9408</v>
      </c>
      <c r="W1547" t="s">
        <v>423</v>
      </c>
    </row>
    <row r="1548" spans="1:23" hidden="1" x14ac:dyDescent="0.2">
      <c r="A1548">
        <v>2012</v>
      </c>
      <c r="B1548" t="s">
        <v>304</v>
      </c>
      <c r="C1548" s="733">
        <v>40956</v>
      </c>
      <c r="D15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48" t="s">
        <v>485</v>
      </c>
      <c r="F1548" t="s">
        <v>2048</v>
      </c>
      <c r="G1548" t="s">
        <v>7555</v>
      </c>
      <c r="H1548">
        <v>42150</v>
      </c>
      <c r="I1548" t="s">
        <v>423</v>
      </c>
      <c r="J1548" t="s">
        <v>2171</v>
      </c>
      <c r="K1548" t="s">
        <v>2051</v>
      </c>
      <c r="L1548" t="s">
        <v>2052</v>
      </c>
      <c r="M1548">
        <v>57</v>
      </c>
      <c r="N1548">
        <v>47.55</v>
      </c>
      <c r="O1548">
        <v>6671.74</v>
      </c>
      <c r="P1548">
        <v>0</v>
      </c>
      <c r="Q1548">
        <v>6671.74</v>
      </c>
      <c r="R1548">
        <v>1067.48</v>
      </c>
      <c r="S1548">
        <v>266.87</v>
      </c>
      <c r="T1548">
        <v>7472.35</v>
      </c>
      <c r="U1548" t="s">
        <v>8257</v>
      </c>
      <c r="V1548" t="s">
        <v>9409</v>
      </c>
      <c r="W1548" t="s">
        <v>423</v>
      </c>
    </row>
    <row r="1549" spans="1:23" hidden="1" x14ac:dyDescent="0.2">
      <c r="A1549">
        <v>2012</v>
      </c>
      <c r="B1549" t="s">
        <v>304</v>
      </c>
      <c r="C1549" s="733">
        <v>40953</v>
      </c>
      <c r="D15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49" t="s">
        <v>485</v>
      </c>
      <c r="F1549" t="s">
        <v>2065</v>
      </c>
      <c r="G1549" t="s">
        <v>2170</v>
      </c>
      <c r="H1549">
        <v>41857</v>
      </c>
      <c r="I1549" t="s">
        <v>423</v>
      </c>
      <c r="J1549" t="s">
        <v>2171</v>
      </c>
      <c r="K1549" t="s">
        <v>2051</v>
      </c>
      <c r="L1549" t="s">
        <v>2052</v>
      </c>
      <c r="M1549">
        <v>57</v>
      </c>
      <c r="N1549">
        <v>55.25</v>
      </c>
      <c r="O1549">
        <v>7752.13</v>
      </c>
      <c r="P1549">
        <v>0</v>
      </c>
      <c r="Q1549">
        <v>7752.13</v>
      </c>
      <c r="R1549">
        <v>1240.3399999999999</v>
      </c>
      <c r="S1549">
        <v>310.08999999999997</v>
      </c>
      <c r="T1549">
        <v>8682.3799999999992</v>
      </c>
      <c r="U1549" t="s">
        <v>7568</v>
      </c>
      <c r="V1549" t="s">
        <v>9409</v>
      </c>
      <c r="W1549" t="s">
        <v>423</v>
      </c>
    </row>
    <row r="1550" spans="1:23" hidden="1" x14ac:dyDescent="0.2">
      <c r="A1550">
        <v>2012</v>
      </c>
      <c r="B1550" t="s">
        <v>303</v>
      </c>
      <c r="C1550" s="733">
        <v>40926</v>
      </c>
      <c r="D15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50" t="s">
        <v>485</v>
      </c>
      <c r="F1550" t="s">
        <v>2048</v>
      </c>
      <c r="G1550" t="s">
        <v>2505</v>
      </c>
      <c r="H1550">
        <v>40521</v>
      </c>
      <c r="I1550" t="s">
        <v>423</v>
      </c>
      <c r="J1550" t="s">
        <v>2171</v>
      </c>
      <c r="K1550" t="s">
        <v>2051</v>
      </c>
      <c r="L1550" t="s">
        <v>2052</v>
      </c>
      <c r="M1550">
        <v>57</v>
      </c>
      <c r="N1550">
        <v>24.8</v>
      </c>
      <c r="O1550">
        <v>3479.69</v>
      </c>
      <c r="P1550">
        <v>0</v>
      </c>
      <c r="Q1550">
        <v>3479.69</v>
      </c>
      <c r="R1550">
        <v>556.75</v>
      </c>
      <c r="S1550">
        <v>139.19</v>
      </c>
      <c r="T1550">
        <v>3897.25</v>
      </c>
      <c r="U1550" t="s">
        <v>2062</v>
      </c>
      <c r="V1550" t="s">
        <v>9408</v>
      </c>
      <c r="W1550" t="s">
        <v>423</v>
      </c>
    </row>
    <row r="1551" spans="1:23" hidden="1" x14ac:dyDescent="0.2">
      <c r="A1551">
        <v>2012</v>
      </c>
      <c r="B1551" t="s">
        <v>304</v>
      </c>
      <c r="C1551" s="733">
        <v>40952</v>
      </c>
      <c r="D15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51" t="s">
        <v>485</v>
      </c>
      <c r="F1551" t="s">
        <v>2048</v>
      </c>
      <c r="G1551" t="s">
        <v>6243</v>
      </c>
      <c r="H1551">
        <v>41836</v>
      </c>
      <c r="I1551" t="s">
        <v>423</v>
      </c>
      <c r="J1551" t="s">
        <v>2050</v>
      </c>
      <c r="K1551" t="s">
        <v>2051</v>
      </c>
      <c r="L1551" t="s">
        <v>2052</v>
      </c>
      <c r="M1551">
        <v>90</v>
      </c>
      <c r="N1551">
        <v>57.5</v>
      </c>
      <c r="O1551">
        <v>8067.82</v>
      </c>
      <c r="P1551">
        <v>0</v>
      </c>
      <c r="Q1551">
        <v>8067.82</v>
      </c>
      <c r="R1551">
        <v>1290.8499999999999</v>
      </c>
      <c r="S1551">
        <v>322.70999999999998</v>
      </c>
      <c r="T1551">
        <v>9035.9599999999991</v>
      </c>
      <c r="U1551" t="s">
        <v>7568</v>
      </c>
      <c r="V1551" t="s">
        <v>9409</v>
      </c>
      <c r="W1551" t="s">
        <v>423</v>
      </c>
    </row>
    <row r="1552" spans="1:23" hidden="1" x14ac:dyDescent="0.2">
      <c r="A1552">
        <v>2012</v>
      </c>
      <c r="B1552" t="s">
        <v>303</v>
      </c>
      <c r="C1552" s="733">
        <v>40931.545567129629</v>
      </c>
      <c r="D15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52" t="s">
        <v>485</v>
      </c>
      <c r="F1552" t="s">
        <v>2048</v>
      </c>
      <c r="G1552" t="s">
        <v>6237</v>
      </c>
      <c r="H1552">
        <v>40747</v>
      </c>
      <c r="I1552" t="s">
        <v>423</v>
      </c>
      <c r="J1552" t="s">
        <v>2050</v>
      </c>
      <c r="K1552" t="s">
        <v>2051</v>
      </c>
      <c r="L1552" t="s">
        <v>2052</v>
      </c>
      <c r="M1552">
        <v>90</v>
      </c>
      <c r="N1552">
        <v>52.35</v>
      </c>
      <c r="O1552">
        <v>7345.23</v>
      </c>
      <c r="P1552">
        <v>0</v>
      </c>
      <c r="Q1552">
        <v>7345.23</v>
      </c>
      <c r="R1552">
        <v>1175.24</v>
      </c>
      <c r="S1552">
        <v>293.81</v>
      </c>
      <c r="T1552">
        <v>8226.66</v>
      </c>
      <c r="U1552" t="s">
        <v>2053</v>
      </c>
      <c r="V1552" t="s">
        <v>9409</v>
      </c>
      <c r="W1552" t="s">
        <v>423</v>
      </c>
    </row>
    <row r="1553" spans="1:23" hidden="1" x14ac:dyDescent="0.2">
      <c r="A1553">
        <v>2012</v>
      </c>
      <c r="B1553" t="s">
        <v>303</v>
      </c>
      <c r="C1553" s="733">
        <v>40933</v>
      </c>
      <c r="D15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53" t="s">
        <v>485</v>
      </c>
      <c r="F1553" t="s">
        <v>2048</v>
      </c>
      <c r="G1553" t="s">
        <v>2156</v>
      </c>
      <c r="H1553">
        <v>40876</v>
      </c>
      <c r="I1553" t="s">
        <v>423</v>
      </c>
      <c r="J1553" t="s">
        <v>2050</v>
      </c>
      <c r="K1553" t="s">
        <v>2051</v>
      </c>
      <c r="L1553" t="s">
        <v>2052</v>
      </c>
      <c r="M1553">
        <v>90</v>
      </c>
      <c r="N1553">
        <v>25.15</v>
      </c>
      <c r="O1553">
        <v>3528.8</v>
      </c>
      <c r="P1553">
        <v>0</v>
      </c>
      <c r="Q1553">
        <v>3528.8</v>
      </c>
      <c r="R1553">
        <v>564.61</v>
      </c>
      <c r="S1553">
        <v>141.15</v>
      </c>
      <c r="T1553">
        <v>3952.26</v>
      </c>
      <c r="V1553" t="s">
        <v>9408</v>
      </c>
      <c r="W1553" t="s">
        <v>423</v>
      </c>
    </row>
    <row r="1554" spans="1:23" hidden="1" x14ac:dyDescent="0.2">
      <c r="A1554">
        <v>2012</v>
      </c>
      <c r="B1554" t="s">
        <v>304</v>
      </c>
      <c r="C1554" s="733">
        <v>40957.439918981479</v>
      </c>
      <c r="D15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54" t="s">
        <v>485</v>
      </c>
      <c r="F1554" t="s">
        <v>2054</v>
      </c>
      <c r="G1554" t="s">
        <v>7765</v>
      </c>
      <c r="H1554">
        <v>10465</v>
      </c>
      <c r="I1554" t="s">
        <v>423</v>
      </c>
      <c r="J1554" t="s">
        <v>2056</v>
      </c>
      <c r="K1554" t="s">
        <v>2057</v>
      </c>
      <c r="L1554" t="s">
        <v>2058</v>
      </c>
      <c r="M1554">
        <v>19</v>
      </c>
      <c r="N1554">
        <v>23</v>
      </c>
      <c r="O1554">
        <v>2596.0100000000002</v>
      </c>
      <c r="P1554">
        <v>0</v>
      </c>
      <c r="Q1554">
        <v>2596.0100000000002</v>
      </c>
      <c r="R1554">
        <v>285.56</v>
      </c>
      <c r="S1554">
        <v>103.84</v>
      </c>
      <c r="T1554">
        <v>2777.73</v>
      </c>
      <c r="U1554" t="s">
        <v>8047</v>
      </c>
      <c r="V1554" t="s">
        <v>9408</v>
      </c>
      <c r="W1554" t="s">
        <v>423</v>
      </c>
    </row>
    <row r="1555" spans="1:23" hidden="1" x14ac:dyDescent="0.2">
      <c r="A1555">
        <v>2012</v>
      </c>
      <c r="B1555" t="s">
        <v>303</v>
      </c>
      <c r="C1555" s="733">
        <v>40935</v>
      </c>
      <c r="D15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55" t="s">
        <v>485</v>
      </c>
      <c r="F1555" t="s">
        <v>2048</v>
      </c>
      <c r="G1555" t="s">
        <v>2168</v>
      </c>
      <c r="H1555">
        <v>40987</v>
      </c>
      <c r="I1555" t="s">
        <v>423</v>
      </c>
      <c r="J1555" t="s">
        <v>2050</v>
      </c>
      <c r="K1555" t="s">
        <v>2051</v>
      </c>
      <c r="L1555" t="s">
        <v>2052</v>
      </c>
      <c r="M1555">
        <v>90</v>
      </c>
      <c r="N1555">
        <v>29.4</v>
      </c>
      <c r="O1555">
        <v>4125.1099999999997</v>
      </c>
      <c r="P1555">
        <v>0</v>
      </c>
      <c r="Q1555">
        <v>4125.1099999999997</v>
      </c>
      <c r="R1555">
        <v>660.02</v>
      </c>
      <c r="S1555">
        <v>165</v>
      </c>
      <c r="T1555">
        <v>4620.13</v>
      </c>
      <c r="U1555" t="s">
        <v>2053</v>
      </c>
      <c r="V1555" t="s">
        <v>9408</v>
      </c>
      <c r="W1555" t="s">
        <v>423</v>
      </c>
    </row>
    <row r="1556" spans="1:23" hidden="1" x14ac:dyDescent="0.2">
      <c r="A1556">
        <v>2012</v>
      </c>
      <c r="B1556" t="s">
        <v>304</v>
      </c>
      <c r="C1556" s="733">
        <v>40966</v>
      </c>
      <c r="D15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56" t="s">
        <v>485</v>
      </c>
      <c r="F1556" t="s">
        <v>2065</v>
      </c>
      <c r="G1556" t="s">
        <v>8801</v>
      </c>
      <c r="H1556">
        <v>42621</v>
      </c>
      <c r="I1556" t="s">
        <v>423</v>
      </c>
      <c r="J1556" t="s">
        <v>2189</v>
      </c>
      <c r="K1556" t="s">
        <v>2183</v>
      </c>
      <c r="L1556" t="s">
        <v>2184</v>
      </c>
      <c r="M1556">
        <v>720</v>
      </c>
      <c r="N1556">
        <v>26.76</v>
      </c>
      <c r="O1556">
        <v>11878.5</v>
      </c>
      <c r="P1556">
        <v>0</v>
      </c>
      <c r="Q1556">
        <v>11878.5</v>
      </c>
      <c r="R1556">
        <v>1900.56</v>
      </c>
      <c r="S1556">
        <v>475.14</v>
      </c>
      <c r="T1556">
        <v>13303.92</v>
      </c>
      <c r="V1556" t="s">
        <v>9408</v>
      </c>
      <c r="W1556" t="s">
        <v>423</v>
      </c>
    </row>
    <row r="1557" spans="1:23" hidden="1" x14ac:dyDescent="0.2">
      <c r="A1557">
        <v>2012</v>
      </c>
      <c r="B1557" t="s">
        <v>303</v>
      </c>
      <c r="C1557" s="733">
        <v>40912</v>
      </c>
      <c r="D15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57" t="s">
        <v>478</v>
      </c>
      <c r="F1557" t="s">
        <v>2136</v>
      </c>
      <c r="G1557" t="s">
        <v>2656</v>
      </c>
      <c r="H1557">
        <v>34219</v>
      </c>
      <c r="I1557" t="s">
        <v>423</v>
      </c>
      <c r="J1557" t="s">
        <v>2629</v>
      </c>
      <c r="K1557" t="s">
        <v>2625</v>
      </c>
      <c r="L1557" t="s">
        <v>2626</v>
      </c>
      <c r="M1557">
        <v>33</v>
      </c>
      <c r="N1557">
        <v>23.98</v>
      </c>
      <c r="O1557">
        <v>1340.96</v>
      </c>
      <c r="P1557">
        <v>1162.5452720000001</v>
      </c>
      <c r="Q1557">
        <v>2503.5052719999999</v>
      </c>
      <c r="R1557">
        <v>400.56084399999997</v>
      </c>
      <c r="S1557">
        <v>100.14021099999999</v>
      </c>
      <c r="T1557">
        <v>2803.9259050000001</v>
      </c>
      <c r="U1557" t="s">
        <v>2627</v>
      </c>
      <c r="V1557" t="s">
        <v>9408</v>
      </c>
      <c r="W1557" t="s">
        <v>423</v>
      </c>
    </row>
    <row r="1558" spans="1:23" hidden="1" x14ac:dyDescent="0.2">
      <c r="A1558">
        <v>2012</v>
      </c>
      <c r="B1558" t="s">
        <v>304</v>
      </c>
      <c r="C1558" s="733">
        <v>40955.756736111114</v>
      </c>
      <c r="D15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58" t="s">
        <v>478</v>
      </c>
      <c r="F1558" t="s">
        <v>2622</v>
      </c>
      <c r="G1558" t="s">
        <v>7897</v>
      </c>
      <c r="H1558">
        <v>35727</v>
      </c>
      <c r="I1558" t="s">
        <v>423</v>
      </c>
      <c r="J1558" t="s">
        <v>2629</v>
      </c>
      <c r="K1558" t="s">
        <v>2625</v>
      </c>
      <c r="L1558" t="s">
        <v>2626</v>
      </c>
      <c r="M1558">
        <v>33</v>
      </c>
      <c r="N1558">
        <v>25.96</v>
      </c>
      <c r="O1558">
        <v>3027.97</v>
      </c>
      <c r="P1558">
        <v>0</v>
      </c>
      <c r="Q1558">
        <v>3027.97</v>
      </c>
      <c r="R1558">
        <v>484.48</v>
      </c>
      <c r="S1558">
        <v>121.12</v>
      </c>
      <c r="T1558">
        <v>3391.33</v>
      </c>
      <c r="U1558" t="s">
        <v>8267</v>
      </c>
      <c r="V1558" t="s">
        <v>9408</v>
      </c>
      <c r="W1558" t="s">
        <v>423</v>
      </c>
    </row>
    <row r="1559" spans="1:23" hidden="1" x14ac:dyDescent="0.2">
      <c r="A1559">
        <v>2012</v>
      </c>
      <c r="B1559" t="s">
        <v>303</v>
      </c>
      <c r="C1559" s="733">
        <v>40939.534618055557</v>
      </c>
      <c r="D15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59" t="s">
        <v>478</v>
      </c>
      <c r="F1559" t="s">
        <v>2622</v>
      </c>
      <c r="G1559" t="s">
        <v>2657</v>
      </c>
      <c r="H1559">
        <v>35145</v>
      </c>
      <c r="I1559" t="s">
        <v>423</v>
      </c>
      <c r="J1559" t="s">
        <v>2629</v>
      </c>
      <c r="K1559" t="s">
        <v>2625</v>
      </c>
      <c r="L1559" t="s">
        <v>2626</v>
      </c>
      <c r="M1559">
        <v>33</v>
      </c>
      <c r="N1559">
        <v>25.4</v>
      </c>
      <c r="O1559">
        <v>2962.66</v>
      </c>
      <c r="P1559">
        <v>0</v>
      </c>
      <c r="Q1559">
        <v>2962.66</v>
      </c>
      <c r="R1559">
        <v>474.02</v>
      </c>
      <c r="S1559">
        <v>118.51</v>
      </c>
      <c r="T1559">
        <v>3318.17</v>
      </c>
      <c r="U1559" t="s">
        <v>2648</v>
      </c>
      <c r="V1559" t="s">
        <v>9408</v>
      </c>
      <c r="W1559" t="s">
        <v>423</v>
      </c>
    </row>
    <row r="1560" spans="1:23" hidden="1" x14ac:dyDescent="0.2">
      <c r="A1560">
        <v>2012</v>
      </c>
      <c r="B1560" t="s">
        <v>304</v>
      </c>
      <c r="C1560" s="733">
        <v>40940</v>
      </c>
      <c r="D15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60" t="s">
        <v>485</v>
      </c>
      <c r="F1560" t="s">
        <v>2065</v>
      </c>
      <c r="G1560" t="s">
        <v>5653</v>
      </c>
      <c r="H1560">
        <v>40172</v>
      </c>
      <c r="I1560" t="s">
        <v>423</v>
      </c>
      <c r="J1560" t="s">
        <v>2189</v>
      </c>
      <c r="K1560" t="s">
        <v>2183</v>
      </c>
      <c r="L1560" t="s">
        <v>2184</v>
      </c>
      <c r="M1560">
        <v>720</v>
      </c>
      <c r="N1560">
        <v>25.49</v>
      </c>
      <c r="O1560">
        <v>11314.76</v>
      </c>
      <c r="P1560">
        <v>0</v>
      </c>
      <c r="Q1560">
        <v>11314.76</v>
      </c>
      <c r="R1560">
        <v>1810.36</v>
      </c>
      <c r="S1560">
        <v>452.59</v>
      </c>
      <c r="T1560">
        <v>12672.53</v>
      </c>
      <c r="U1560" t="s">
        <v>2187</v>
      </c>
      <c r="V1560" t="s">
        <v>9408</v>
      </c>
      <c r="W1560" t="s">
        <v>423</v>
      </c>
    </row>
    <row r="1561" spans="1:23" hidden="1" x14ac:dyDescent="0.2">
      <c r="A1561">
        <v>2012</v>
      </c>
      <c r="B1561" t="s">
        <v>303</v>
      </c>
      <c r="C1561" s="733">
        <v>40935</v>
      </c>
      <c r="D15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61" t="s">
        <v>485</v>
      </c>
      <c r="F1561" t="s">
        <v>2065</v>
      </c>
      <c r="G1561" t="s">
        <v>2537</v>
      </c>
      <c r="H1561">
        <v>40992</v>
      </c>
      <c r="I1561" t="s">
        <v>423</v>
      </c>
      <c r="J1561" t="s">
        <v>2050</v>
      </c>
      <c r="K1561" t="s">
        <v>2051</v>
      </c>
      <c r="L1561" t="s">
        <v>2052</v>
      </c>
      <c r="M1561">
        <v>90</v>
      </c>
      <c r="N1561">
        <v>55.65</v>
      </c>
      <c r="O1561">
        <v>7808.25</v>
      </c>
      <c r="P1561">
        <v>0</v>
      </c>
      <c r="Q1561">
        <v>7808.25</v>
      </c>
      <c r="R1561">
        <v>1249.32</v>
      </c>
      <c r="S1561">
        <v>312.33</v>
      </c>
      <c r="T1561">
        <v>8745.24</v>
      </c>
      <c r="U1561" t="s">
        <v>2053</v>
      </c>
      <c r="V1561" t="s">
        <v>9409</v>
      </c>
      <c r="W1561" t="s">
        <v>423</v>
      </c>
    </row>
    <row r="1562" spans="1:23" hidden="1" x14ac:dyDescent="0.2">
      <c r="A1562">
        <v>2012</v>
      </c>
      <c r="B1562" t="s">
        <v>303</v>
      </c>
      <c r="C1562" s="733">
        <v>40933</v>
      </c>
      <c r="D15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62" t="s">
        <v>485</v>
      </c>
      <c r="F1562" t="s">
        <v>2048</v>
      </c>
      <c r="G1562" t="s">
        <v>2558</v>
      </c>
      <c r="H1562">
        <v>40881</v>
      </c>
      <c r="I1562" t="s">
        <v>423</v>
      </c>
      <c r="J1562" t="s">
        <v>2171</v>
      </c>
      <c r="K1562" t="s">
        <v>2051</v>
      </c>
      <c r="L1562" t="s">
        <v>2052</v>
      </c>
      <c r="M1562">
        <v>57</v>
      </c>
      <c r="N1562">
        <v>52.9</v>
      </c>
      <c r="O1562">
        <v>7422.4</v>
      </c>
      <c r="P1562">
        <v>0</v>
      </c>
      <c r="Q1562">
        <v>7422.4</v>
      </c>
      <c r="R1562">
        <v>1187.58</v>
      </c>
      <c r="S1562">
        <v>296.89999999999998</v>
      </c>
      <c r="T1562">
        <v>8313.08</v>
      </c>
      <c r="U1562" t="s">
        <v>2053</v>
      </c>
      <c r="V1562" t="s">
        <v>9409</v>
      </c>
      <c r="W1562" t="s">
        <v>423</v>
      </c>
    </row>
    <row r="1563" spans="1:23" hidden="1" x14ac:dyDescent="0.2">
      <c r="A1563">
        <v>2012</v>
      </c>
      <c r="B1563" t="s">
        <v>303</v>
      </c>
      <c r="C1563" s="733">
        <v>40931</v>
      </c>
      <c r="D15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63" t="s">
        <v>485</v>
      </c>
      <c r="F1563" t="s">
        <v>2054</v>
      </c>
      <c r="G1563" t="s">
        <v>2559</v>
      </c>
      <c r="H1563">
        <v>40755</v>
      </c>
      <c r="I1563" t="s">
        <v>423</v>
      </c>
      <c r="J1563" t="s">
        <v>2050</v>
      </c>
      <c r="K1563" t="s">
        <v>2051</v>
      </c>
      <c r="L1563" t="s">
        <v>2052</v>
      </c>
      <c r="M1563">
        <v>90</v>
      </c>
      <c r="N1563">
        <v>53.7</v>
      </c>
      <c r="O1563">
        <v>7534.65</v>
      </c>
      <c r="P1563">
        <v>0</v>
      </c>
      <c r="Q1563">
        <v>7534.65</v>
      </c>
      <c r="R1563">
        <v>1205.54</v>
      </c>
      <c r="S1563">
        <v>301.39</v>
      </c>
      <c r="T1563">
        <v>8438.7999999999993</v>
      </c>
      <c r="V1563" t="s">
        <v>9409</v>
      </c>
      <c r="W1563" t="s">
        <v>423</v>
      </c>
    </row>
    <row r="1564" spans="1:23" hidden="1" x14ac:dyDescent="0.2">
      <c r="A1564">
        <v>2012</v>
      </c>
      <c r="B1564" t="s">
        <v>305</v>
      </c>
      <c r="C1564" s="733">
        <v>40970</v>
      </c>
      <c r="D1564" s="733" t="str">
        <f>CHOOSE(MONTH(Tabla_sqldatos_bonampakdb_Bon_v_ingresos2012[[#This Row],[fecha_guia]]),"Enero","Febrero","Marzo","Abril","Mayo","Junio","Julio","Agosto","Septiembre","Octubre","Noviembre","Diciembre")</f>
        <v>Marzo</v>
      </c>
      <c r="E1564" t="s">
        <v>485</v>
      </c>
      <c r="F1564" t="s">
        <v>2065</v>
      </c>
      <c r="G1564" t="s">
        <v>9677</v>
      </c>
      <c r="H1564">
        <v>42926</v>
      </c>
      <c r="I1564" t="s">
        <v>423</v>
      </c>
      <c r="J1564" t="s">
        <v>2050</v>
      </c>
      <c r="K1564" t="s">
        <v>2051</v>
      </c>
      <c r="L1564" t="s">
        <v>2052</v>
      </c>
      <c r="M1564">
        <v>90</v>
      </c>
      <c r="N1564">
        <v>48.95</v>
      </c>
      <c r="O1564">
        <v>6868.17</v>
      </c>
      <c r="P1564">
        <v>0</v>
      </c>
      <c r="Q1564">
        <v>6868.17</v>
      </c>
      <c r="R1564">
        <v>1098.9100000000001</v>
      </c>
      <c r="S1564">
        <v>274.73</v>
      </c>
      <c r="T1564">
        <v>7692.35</v>
      </c>
      <c r="V1564" t="s">
        <v>9409</v>
      </c>
      <c r="W1564" t="s">
        <v>423</v>
      </c>
    </row>
    <row r="1565" spans="1:23" hidden="1" x14ac:dyDescent="0.2">
      <c r="A1565">
        <v>2012</v>
      </c>
      <c r="B1565" t="s">
        <v>304</v>
      </c>
      <c r="C1565" s="733">
        <v>40946</v>
      </c>
      <c r="D15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65" t="s">
        <v>485</v>
      </c>
      <c r="F1565" t="s">
        <v>2048</v>
      </c>
      <c r="G1565" t="s">
        <v>2536</v>
      </c>
      <c r="H1565">
        <v>41510</v>
      </c>
      <c r="I1565" t="s">
        <v>423</v>
      </c>
      <c r="J1565" t="s">
        <v>2050</v>
      </c>
      <c r="K1565" t="s">
        <v>2051</v>
      </c>
      <c r="L1565" t="s">
        <v>2052</v>
      </c>
      <c r="M1565">
        <v>90</v>
      </c>
      <c r="N1565">
        <v>24.5</v>
      </c>
      <c r="O1565">
        <v>3437.6</v>
      </c>
      <c r="P1565">
        <v>0</v>
      </c>
      <c r="Q1565">
        <v>3437.6</v>
      </c>
      <c r="R1565">
        <v>550.02</v>
      </c>
      <c r="S1565">
        <v>137.5</v>
      </c>
      <c r="T1565">
        <v>3850.12</v>
      </c>
      <c r="U1565" t="s">
        <v>7568</v>
      </c>
      <c r="V1565" t="s">
        <v>9408</v>
      </c>
      <c r="W1565" t="s">
        <v>423</v>
      </c>
    </row>
    <row r="1566" spans="1:23" hidden="1" x14ac:dyDescent="0.2">
      <c r="A1566">
        <v>2012</v>
      </c>
      <c r="B1566" t="s">
        <v>303</v>
      </c>
      <c r="C1566" s="733">
        <v>40924.450624999998</v>
      </c>
      <c r="D15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66" t="s">
        <v>485</v>
      </c>
      <c r="F1566" t="s">
        <v>2065</v>
      </c>
      <c r="G1566" t="s">
        <v>2541</v>
      </c>
      <c r="H1566">
        <v>40348</v>
      </c>
      <c r="I1566" t="s">
        <v>423</v>
      </c>
      <c r="J1566" t="s">
        <v>2050</v>
      </c>
      <c r="K1566" t="s">
        <v>2051</v>
      </c>
      <c r="L1566" t="s">
        <v>2052</v>
      </c>
      <c r="M1566">
        <v>90</v>
      </c>
      <c r="N1566">
        <v>49.55</v>
      </c>
      <c r="O1566">
        <v>6952.36</v>
      </c>
      <c r="P1566">
        <v>0</v>
      </c>
      <c r="Q1566">
        <v>6952.36</v>
      </c>
      <c r="R1566">
        <v>1112.3800000000001</v>
      </c>
      <c r="S1566">
        <v>278.08999999999997</v>
      </c>
      <c r="T1566">
        <v>7786.65</v>
      </c>
      <c r="U1566" t="s">
        <v>2062</v>
      </c>
      <c r="V1566" t="s">
        <v>9409</v>
      </c>
      <c r="W1566" t="s">
        <v>423</v>
      </c>
    </row>
    <row r="1567" spans="1:23" hidden="1" x14ac:dyDescent="0.2">
      <c r="A1567">
        <v>2012</v>
      </c>
      <c r="B1567" t="s">
        <v>303</v>
      </c>
      <c r="C1567" s="733">
        <v>40926</v>
      </c>
      <c r="D15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67" t="s">
        <v>485</v>
      </c>
      <c r="F1567" t="s">
        <v>2065</v>
      </c>
      <c r="G1567" t="s">
        <v>2542</v>
      </c>
      <c r="H1567">
        <v>40531</v>
      </c>
      <c r="I1567" t="s">
        <v>423</v>
      </c>
      <c r="J1567" t="s">
        <v>2050</v>
      </c>
      <c r="K1567" t="s">
        <v>2051</v>
      </c>
      <c r="L1567" t="s">
        <v>2052</v>
      </c>
      <c r="M1567">
        <v>90</v>
      </c>
      <c r="N1567">
        <v>56.05</v>
      </c>
      <c r="O1567">
        <v>7864.38</v>
      </c>
      <c r="P1567">
        <v>0</v>
      </c>
      <c r="Q1567">
        <v>7864.38</v>
      </c>
      <c r="R1567">
        <v>1258.3</v>
      </c>
      <c r="S1567">
        <v>314.58</v>
      </c>
      <c r="T1567">
        <v>8808.1</v>
      </c>
      <c r="U1567" t="s">
        <v>2062</v>
      </c>
      <c r="V1567" t="s">
        <v>9409</v>
      </c>
      <c r="W1567" t="s">
        <v>423</v>
      </c>
    </row>
    <row r="1568" spans="1:23" hidden="1" x14ac:dyDescent="0.2">
      <c r="A1568">
        <v>2012</v>
      </c>
      <c r="B1568" t="s">
        <v>304</v>
      </c>
      <c r="C1568" s="733">
        <v>40953</v>
      </c>
      <c r="D15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68" t="s">
        <v>485</v>
      </c>
      <c r="F1568" t="s">
        <v>2065</v>
      </c>
      <c r="G1568" t="s">
        <v>2540</v>
      </c>
      <c r="H1568">
        <v>41870</v>
      </c>
      <c r="I1568" t="s">
        <v>423</v>
      </c>
      <c r="J1568" t="s">
        <v>2050</v>
      </c>
      <c r="K1568" t="s">
        <v>2051</v>
      </c>
      <c r="L1568" t="s">
        <v>2052</v>
      </c>
      <c r="M1568">
        <v>90</v>
      </c>
      <c r="N1568">
        <v>59.1</v>
      </c>
      <c r="O1568">
        <v>8292.32</v>
      </c>
      <c r="P1568">
        <v>0</v>
      </c>
      <c r="Q1568">
        <v>8292.32</v>
      </c>
      <c r="R1568">
        <v>1326.77</v>
      </c>
      <c r="S1568">
        <v>331.69</v>
      </c>
      <c r="T1568">
        <v>9287.4</v>
      </c>
      <c r="U1568" t="s">
        <v>7568</v>
      </c>
      <c r="V1568" t="s">
        <v>9409</v>
      </c>
      <c r="W1568" t="s">
        <v>423</v>
      </c>
    </row>
    <row r="1569" spans="1:23" hidden="1" x14ac:dyDescent="0.2">
      <c r="A1569">
        <v>2012</v>
      </c>
      <c r="B1569" t="s">
        <v>304</v>
      </c>
      <c r="C1569" s="733">
        <v>40941</v>
      </c>
      <c r="D15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69" t="s">
        <v>485</v>
      </c>
      <c r="F1569" t="s">
        <v>2065</v>
      </c>
      <c r="G1569" t="s">
        <v>2539</v>
      </c>
      <c r="H1569">
        <v>41295</v>
      </c>
      <c r="I1569" t="s">
        <v>423</v>
      </c>
      <c r="J1569" t="s">
        <v>2050</v>
      </c>
      <c r="K1569" t="s">
        <v>2051</v>
      </c>
      <c r="L1569" t="s">
        <v>2052</v>
      </c>
      <c r="M1569">
        <v>90</v>
      </c>
      <c r="N1569">
        <v>55.55</v>
      </c>
      <c r="O1569">
        <v>7794.22</v>
      </c>
      <c r="P1569">
        <v>0</v>
      </c>
      <c r="Q1569">
        <v>7794.22</v>
      </c>
      <c r="R1569">
        <v>1247.08</v>
      </c>
      <c r="S1569">
        <v>311.77</v>
      </c>
      <c r="T1569">
        <v>8729.5300000000007</v>
      </c>
      <c r="U1569" t="s">
        <v>2067</v>
      </c>
      <c r="V1569" t="s">
        <v>9409</v>
      </c>
      <c r="W1569" t="s">
        <v>423</v>
      </c>
    </row>
    <row r="1570" spans="1:23" hidden="1" x14ac:dyDescent="0.2">
      <c r="A1570">
        <v>2012</v>
      </c>
      <c r="B1570" t="s">
        <v>303</v>
      </c>
      <c r="C1570" s="733">
        <v>40928</v>
      </c>
      <c r="D15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70" t="s">
        <v>485</v>
      </c>
      <c r="F1570" t="s">
        <v>2065</v>
      </c>
      <c r="G1570" t="s">
        <v>2538</v>
      </c>
      <c r="H1570">
        <v>40647</v>
      </c>
      <c r="I1570" t="s">
        <v>423</v>
      </c>
      <c r="J1570" t="s">
        <v>2050</v>
      </c>
      <c r="K1570" t="s">
        <v>2051</v>
      </c>
      <c r="L1570" t="s">
        <v>2052</v>
      </c>
      <c r="M1570">
        <v>90</v>
      </c>
      <c r="N1570">
        <v>51.3</v>
      </c>
      <c r="O1570">
        <v>7197.9</v>
      </c>
      <c r="P1570">
        <v>0</v>
      </c>
      <c r="Q1570">
        <v>7197.9</v>
      </c>
      <c r="R1570">
        <v>1151.6600000000001</v>
      </c>
      <c r="S1570">
        <v>287.92</v>
      </c>
      <c r="T1570">
        <v>8061.64</v>
      </c>
      <c r="U1570" t="s">
        <v>2062</v>
      </c>
      <c r="V1570" t="s">
        <v>9409</v>
      </c>
      <c r="W1570" t="s">
        <v>423</v>
      </c>
    </row>
    <row r="1571" spans="1:23" hidden="1" x14ac:dyDescent="0.2">
      <c r="A1571">
        <v>2012</v>
      </c>
      <c r="B1571" t="s">
        <v>303</v>
      </c>
      <c r="C1571" s="733">
        <v>40939.648553240739</v>
      </c>
      <c r="D15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71" t="s">
        <v>485</v>
      </c>
      <c r="F1571" t="s">
        <v>2054</v>
      </c>
      <c r="G1571" t="s">
        <v>2551</v>
      </c>
      <c r="H1571">
        <v>10274</v>
      </c>
      <c r="I1571" t="s">
        <v>423</v>
      </c>
      <c r="J1571" t="s">
        <v>2056</v>
      </c>
      <c r="K1571" t="s">
        <v>2057</v>
      </c>
      <c r="L1571" t="s">
        <v>2058</v>
      </c>
      <c r="M1571">
        <v>19</v>
      </c>
      <c r="N1571">
        <v>47.02</v>
      </c>
      <c r="O1571">
        <v>5307.15</v>
      </c>
      <c r="P1571">
        <v>0</v>
      </c>
      <c r="Q1571">
        <v>5307.15</v>
      </c>
      <c r="R1571">
        <v>849.14</v>
      </c>
      <c r="S1571">
        <v>212.29</v>
      </c>
      <c r="T1571">
        <v>5944</v>
      </c>
      <c r="U1571" t="s">
        <v>2073</v>
      </c>
      <c r="V1571" t="s">
        <v>9409</v>
      </c>
      <c r="W1571" t="s">
        <v>423</v>
      </c>
    </row>
    <row r="1572" spans="1:23" hidden="1" x14ac:dyDescent="0.2">
      <c r="A1572">
        <v>2012</v>
      </c>
      <c r="B1572" t="s">
        <v>304</v>
      </c>
      <c r="C1572" s="733">
        <v>40956</v>
      </c>
      <c r="D15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72" t="s">
        <v>485</v>
      </c>
      <c r="F1572" t="s">
        <v>2065</v>
      </c>
      <c r="G1572" t="s">
        <v>7994</v>
      </c>
      <c r="H1572">
        <v>42155</v>
      </c>
      <c r="I1572" t="s">
        <v>423</v>
      </c>
      <c r="J1572" t="s">
        <v>2050</v>
      </c>
      <c r="K1572" t="s">
        <v>2051</v>
      </c>
      <c r="L1572" t="s">
        <v>2052</v>
      </c>
      <c r="M1572">
        <v>90</v>
      </c>
      <c r="N1572">
        <v>49.35</v>
      </c>
      <c r="O1572">
        <v>6924.3</v>
      </c>
      <c r="P1572">
        <v>0</v>
      </c>
      <c r="Q1572">
        <v>6924.3</v>
      </c>
      <c r="R1572">
        <v>1107.8900000000001</v>
      </c>
      <c r="S1572">
        <v>276.97000000000003</v>
      </c>
      <c r="T1572">
        <v>7755.22</v>
      </c>
      <c r="V1572" t="s">
        <v>9409</v>
      </c>
      <c r="W1572" t="s">
        <v>423</v>
      </c>
    </row>
    <row r="1573" spans="1:23" hidden="1" x14ac:dyDescent="0.2">
      <c r="A1573">
        <v>2012</v>
      </c>
      <c r="B1573" t="s">
        <v>304</v>
      </c>
      <c r="C1573" s="733">
        <v>40940.571875000001</v>
      </c>
      <c r="D15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73" t="s">
        <v>485</v>
      </c>
      <c r="F1573" t="s">
        <v>2054</v>
      </c>
      <c r="G1573" t="s">
        <v>2543</v>
      </c>
      <c r="H1573">
        <v>10278</v>
      </c>
      <c r="I1573" t="s">
        <v>423</v>
      </c>
      <c r="J1573" t="s">
        <v>2056</v>
      </c>
      <c r="K1573" t="s">
        <v>2057</v>
      </c>
      <c r="L1573" t="s">
        <v>2058</v>
      </c>
      <c r="M1573">
        <v>19</v>
      </c>
      <c r="N1573">
        <v>47.11</v>
      </c>
      <c r="O1573">
        <v>5317.31</v>
      </c>
      <c r="P1573">
        <v>0</v>
      </c>
      <c r="Q1573">
        <v>5317.31</v>
      </c>
      <c r="R1573">
        <v>850.77</v>
      </c>
      <c r="S1573">
        <v>212.69</v>
      </c>
      <c r="T1573">
        <v>5955.39</v>
      </c>
      <c r="U1573" t="s">
        <v>2075</v>
      </c>
      <c r="V1573" t="s">
        <v>9409</v>
      </c>
      <c r="W1573" t="s">
        <v>423</v>
      </c>
    </row>
    <row r="1574" spans="1:23" x14ac:dyDescent="0.2">
      <c r="A1574">
        <v>2012</v>
      </c>
      <c r="B1574" t="s">
        <v>304</v>
      </c>
      <c r="C1574" s="733">
        <v>40967</v>
      </c>
      <c r="D15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74" t="s">
        <v>485</v>
      </c>
      <c r="F1574" t="s">
        <v>2054</v>
      </c>
      <c r="G1574" t="s">
        <v>8966</v>
      </c>
      <c r="H1574">
        <v>10585</v>
      </c>
      <c r="I1574" t="s">
        <v>423</v>
      </c>
      <c r="J1574" t="s">
        <v>2056</v>
      </c>
      <c r="K1574" t="s">
        <v>2057</v>
      </c>
      <c r="L1574" t="s">
        <v>2058</v>
      </c>
      <c r="M1574">
        <v>19</v>
      </c>
      <c r="N1574">
        <v>30.04</v>
      </c>
      <c r="O1574">
        <v>3390.61</v>
      </c>
      <c r="P1574">
        <v>0</v>
      </c>
      <c r="Q1574">
        <v>3390.61</v>
      </c>
      <c r="R1574">
        <v>372.97</v>
      </c>
      <c r="S1574">
        <v>135.62</v>
      </c>
      <c r="T1574">
        <v>3627.96</v>
      </c>
      <c r="V1574" t="s">
        <v>9408</v>
      </c>
      <c r="W1574" t="s">
        <v>423</v>
      </c>
    </row>
    <row r="1575" spans="1:23" hidden="1" x14ac:dyDescent="0.2">
      <c r="A1575">
        <v>2012</v>
      </c>
      <c r="B1575" t="s">
        <v>305</v>
      </c>
      <c r="C1575" s="733">
        <v>40971.615428240744</v>
      </c>
      <c r="D1575" s="733" t="str">
        <f>CHOOSE(MONTH(Tabla_sqldatos_bonampakdb_Bon_v_ingresos2012[[#This Row],[fecha_guia]]),"Enero","Febrero","Marzo","Abril","Mayo","Junio","Julio","Agosto","Septiembre","Octubre","Noviembre","Diciembre")</f>
        <v>Marzo</v>
      </c>
      <c r="E1575" t="s">
        <v>485</v>
      </c>
      <c r="F1575" t="s">
        <v>2054</v>
      </c>
      <c r="G1575" t="s">
        <v>9678</v>
      </c>
      <c r="H1575">
        <v>10645</v>
      </c>
      <c r="I1575" t="s">
        <v>423</v>
      </c>
      <c r="J1575" t="s">
        <v>2056</v>
      </c>
      <c r="K1575" t="s">
        <v>2057</v>
      </c>
      <c r="L1575" t="s">
        <v>2058</v>
      </c>
      <c r="M1575">
        <v>19</v>
      </c>
      <c r="N1575">
        <v>25</v>
      </c>
      <c r="O1575">
        <v>2821.75</v>
      </c>
      <c r="P1575">
        <v>0</v>
      </c>
      <c r="Q1575">
        <v>2821.75</v>
      </c>
      <c r="R1575">
        <v>310.39</v>
      </c>
      <c r="S1575">
        <v>112.87</v>
      </c>
      <c r="T1575">
        <v>3019.27</v>
      </c>
      <c r="V1575" t="s">
        <v>9408</v>
      </c>
      <c r="W1575" t="s">
        <v>423</v>
      </c>
    </row>
    <row r="1576" spans="1:23" x14ac:dyDescent="0.2">
      <c r="A1576">
        <v>2012</v>
      </c>
      <c r="B1576" t="s">
        <v>304</v>
      </c>
      <c r="C1576" s="733">
        <v>40968</v>
      </c>
      <c r="D15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76" t="s">
        <v>485</v>
      </c>
      <c r="F1576" t="s">
        <v>2048</v>
      </c>
      <c r="G1576" t="s">
        <v>9557</v>
      </c>
      <c r="H1576">
        <v>42860</v>
      </c>
      <c r="I1576" t="s">
        <v>423</v>
      </c>
      <c r="J1576" t="s">
        <v>2050</v>
      </c>
      <c r="K1576" t="s">
        <v>2051</v>
      </c>
      <c r="L1576" t="s">
        <v>2052</v>
      </c>
      <c r="M1576">
        <v>90</v>
      </c>
      <c r="N1576">
        <v>53</v>
      </c>
      <c r="O1576">
        <v>7436.43</v>
      </c>
      <c r="P1576">
        <v>0</v>
      </c>
      <c r="Q1576">
        <v>7436.43</v>
      </c>
      <c r="R1576">
        <v>1189.83</v>
      </c>
      <c r="S1576">
        <v>297.45999999999998</v>
      </c>
      <c r="T1576">
        <v>8328.7999999999993</v>
      </c>
      <c r="V1576" t="s">
        <v>9409</v>
      </c>
      <c r="W1576" t="s">
        <v>423</v>
      </c>
    </row>
    <row r="1577" spans="1:23" hidden="1" x14ac:dyDescent="0.2">
      <c r="A1577">
        <v>2012</v>
      </c>
      <c r="B1577" t="s">
        <v>304</v>
      </c>
      <c r="C1577" s="733">
        <v>40962</v>
      </c>
      <c r="D15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77" t="s">
        <v>485</v>
      </c>
      <c r="F1577" t="s">
        <v>2065</v>
      </c>
      <c r="G1577" t="s">
        <v>8536</v>
      </c>
      <c r="H1577">
        <v>42507</v>
      </c>
      <c r="I1577" t="s">
        <v>423</v>
      </c>
      <c r="J1577" t="s">
        <v>2050</v>
      </c>
      <c r="K1577" t="s">
        <v>2051</v>
      </c>
      <c r="L1577" t="s">
        <v>2052</v>
      </c>
      <c r="M1577">
        <v>90</v>
      </c>
      <c r="N1577">
        <v>25.7</v>
      </c>
      <c r="O1577">
        <v>3605.97</v>
      </c>
      <c r="P1577">
        <v>0</v>
      </c>
      <c r="Q1577">
        <v>3605.97</v>
      </c>
      <c r="R1577">
        <v>576.95000000000005</v>
      </c>
      <c r="S1577">
        <v>144.24</v>
      </c>
      <c r="T1577">
        <v>4038.68</v>
      </c>
      <c r="V1577" t="s">
        <v>9408</v>
      </c>
      <c r="W1577" t="s">
        <v>423</v>
      </c>
    </row>
    <row r="1578" spans="1:23" hidden="1" x14ac:dyDescent="0.2">
      <c r="A1578">
        <v>2012</v>
      </c>
      <c r="B1578" t="s">
        <v>305</v>
      </c>
      <c r="C1578" s="733">
        <v>40971.627245370371</v>
      </c>
      <c r="D1578" s="733" t="str">
        <f>CHOOSE(MONTH(Tabla_sqldatos_bonampakdb_Bon_v_ingresos2012[[#This Row],[fecha_guia]]),"Enero","Febrero","Marzo","Abril","Mayo","Junio","Julio","Agosto","Septiembre","Octubre","Noviembre","Diciembre")</f>
        <v>Marzo</v>
      </c>
      <c r="E1578" t="s">
        <v>485</v>
      </c>
      <c r="F1578" t="s">
        <v>2054</v>
      </c>
      <c r="G1578" t="s">
        <v>9679</v>
      </c>
      <c r="H1578">
        <v>10641</v>
      </c>
      <c r="I1578" t="s">
        <v>423</v>
      </c>
      <c r="J1578" t="s">
        <v>2056</v>
      </c>
      <c r="K1578" t="s">
        <v>2057</v>
      </c>
      <c r="L1578" t="s">
        <v>2058</v>
      </c>
      <c r="M1578">
        <v>19</v>
      </c>
      <c r="N1578">
        <v>45.94</v>
      </c>
      <c r="O1578">
        <v>5185.25</v>
      </c>
      <c r="P1578">
        <v>0</v>
      </c>
      <c r="Q1578">
        <v>5185.25</v>
      </c>
      <c r="R1578">
        <v>570.38</v>
      </c>
      <c r="S1578">
        <v>207.41</v>
      </c>
      <c r="T1578">
        <v>5548.22</v>
      </c>
      <c r="V1578" t="s">
        <v>9409</v>
      </c>
      <c r="W1578" t="s">
        <v>423</v>
      </c>
    </row>
    <row r="1579" spans="1:23" hidden="1" x14ac:dyDescent="0.2">
      <c r="A1579">
        <v>2012</v>
      </c>
      <c r="B1579" t="s">
        <v>303</v>
      </c>
      <c r="C1579" s="733">
        <v>40938</v>
      </c>
      <c r="D15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79" t="s">
        <v>485</v>
      </c>
      <c r="F1579" t="s">
        <v>2048</v>
      </c>
      <c r="G1579" t="s">
        <v>2552</v>
      </c>
      <c r="H1579">
        <v>41119</v>
      </c>
      <c r="I1579" t="s">
        <v>423</v>
      </c>
      <c r="J1579" t="s">
        <v>2050</v>
      </c>
      <c r="K1579" t="s">
        <v>2051</v>
      </c>
      <c r="L1579" t="s">
        <v>2052</v>
      </c>
      <c r="M1579">
        <v>90</v>
      </c>
      <c r="N1579">
        <v>57.75</v>
      </c>
      <c r="O1579">
        <v>8102.9</v>
      </c>
      <c r="P1579">
        <v>0</v>
      </c>
      <c r="Q1579">
        <v>8102.9</v>
      </c>
      <c r="R1579">
        <v>1296.46</v>
      </c>
      <c r="S1579">
        <v>324.12</v>
      </c>
      <c r="T1579">
        <v>9075.24</v>
      </c>
      <c r="U1579" t="s">
        <v>2064</v>
      </c>
      <c r="V1579" t="s">
        <v>9409</v>
      </c>
      <c r="W1579" t="s">
        <v>423</v>
      </c>
    </row>
    <row r="1580" spans="1:23" hidden="1" x14ac:dyDescent="0.2">
      <c r="A1580">
        <v>2012</v>
      </c>
      <c r="B1580" t="s">
        <v>304</v>
      </c>
      <c r="C1580" s="733">
        <v>40952</v>
      </c>
      <c r="D15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80" t="s">
        <v>485</v>
      </c>
      <c r="F1580" t="s">
        <v>2065</v>
      </c>
      <c r="G1580" t="s">
        <v>2555</v>
      </c>
      <c r="H1580">
        <v>41839</v>
      </c>
      <c r="I1580" t="s">
        <v>423</v>
      </c>
      <c r="J1580" t="s">
        <v>2050</v>
      </c>
      <c r="K1580" t="s">
        <v>2051</v>
      </c>
      <c r="L1580" t="s">
        <v>2052</v>
      </c>
      <c r="M1580">
        <v>90</v>
      </c>
      <c r="N1580">
        <v>27.45</v>
      </c>
      <c r="O1580">
        <v>3851.51</v>
      </c>
      <c r="P1580">
        <v>0</v>
      </c>
      <c r="Q1580">
        <v>3851.51</v>
      </c>
      <c r="R1580">
        <v>616.24</v>
      </c>
      <c r="S1580">
        <v>154.06</v>
      </c>
      <c r="T1580">
        <v>4313.6899999999996</v>
      </c>
      <c r="U1580" t="s">
        <v>7568</v>
      </c>
      <c r="V1580" t="s">
        <v>9408</v>
      </c>
      <c r="W1580" t="s">
        <v>423</v>
      </c>
    </row>
    <row r="1581" spans="1:23" hidden="1" x14ac:dyDescent="0.2">
      <c r="A1581">
        <v>2012</v>
      </c>
      <c r="B1581" t="s">
        <v>303</v>
      </c>
      <c r="C1581" s="733">
        <v>40931</v>
      </c>
      <c r="D15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81" t="s">
        <v>485</v>
      </c>
      <c r="F1581" t="s">
        <v>2048</v>
      </c>
      <c r="G1581" t="s">
        <v>2535</v>
      </c>
      <c r="H1581">
        <v>40758</v>
      </c>
      <c r="I1581" t="s">
        <v>423</v>
      </c>
      <c r="J1581" t="s">
        <v>2050</v>
      </c>
      <c r="K1581" t="s">
        <v>2051</v>
      </c>
      <c r="L1581" t="s">
        <v>2052</v>
      </c>
      <c r="M1581">
        <v>90</v>
      </c>
      <c r="N1581">
        <v>24.75</v>
      </c>
      <c r="O1581">
        <v>3472.67</v>
      </c>
      <c r="P1581">
        <v>0</v>
      </c>
      <c r="Q1581">
        <v>3472.67</v>
      </c>
      <c r="R1581">
        <v>555.63</v>
      </c>
      <c r="S1581">
        <v>138.91</v>
      </c>
      <c r="T1581">
        <v>3889.39</v>
      </c>
      <c r="U1581" t="s">
        <v>2053</v>
      </c>
      <c r="V1581" t="s">
        <v>9408</v>
      </c>
      <c r="W1581" t="s">
        <v>423</v>
      </c>
    </row>
    <row r="1582" spans="1:23" hidden="1" x14ac:dyDescent="0.2">
      <c r="A1582">
        <v>2012</v>
      </c>
      <c r="B1582" t="s">
        <v>303</v>
      </c>
      <c r="C1582" s="733">
        <v>40929</v>
      </c>
      <c r="D15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82" t="s">
        <v>485</v>
      </c>
      <c r="F1582" t="s">
        <v>2054</v>
      </c>
      <c r="G1582" t="s">
        <v>2621</v>
      </c>
      <c r="H1582">
        <v>10160</v>
      </c>
      <c r="I1582" t="s">
        <v>423</v>
      </c>
      <c r="J1582" t="s">
        <v>2056</v>
      </c>
      <c r="K1582" t="s">
        <v>2057</v>
      </c>
      <c r="L1582" t="s">
        <v>2058</v>
      </c>
      <c r="M1582">
        <v>19</v>
      </c>
      <c r="N1582">
        <v>48.11</v>
      </c>
      <c r="O1582">
        <v>5430.18</v>
      </c>
      <c r="P1582">
        <v>0</v>
      </c>
      <c r="Q1582">
        <v>5430.18</v>
      </c>
      <c r="R1582">
        <v>868.83</v>
      </c>
      <c r="S1582">
        <v>217.21</v>
      </c>
      <c r="T1582">
        <v>6081.8</v>
      </c>
      <c r="U1582" t="s">
        <v>2077</v>
      </c>
      <c r="V1582" t="s">
        <v>9409</v>
      </c>
      <c r="W1582" t="s">
        <v>423</v>
      </c>
    </row>
    <row r="1583" spans="1:23" hidden="1" x14ac:dyDescent="0.2">
      <c r="A1583">
        <v>2012</v>
      </c>
      <c r="B1583" t="s">
        <v>303</v>
      </c>
      <c r="C1583" s="733">
        <v>40938</v>
      </c>
      <c r="D15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83" t="s">
        <v>505</v>
      </c>
      <c r="F1583" t="s">
        <v>1915</v>
      </c>
      <c r="G1583" t="s">
        <v>7151</v>
      </c>
      <c r="H1583">
        <v>22312</v>
      </c>
      <c r="I1583" t="s">
        <v>423</v>
      </c>
      <c r="J1583" t="s">
        <v>4155</v>
      </c>
      <c r="K1583" t="s">
        <v>1918</v>
      </c>
      <c r="L1583" t="s">
        <v>1919</v>
      </c>
      <c r="M1583">
        <v>650</v>
      </c>
      <c r="N1583">
        <v>53.38</v>
      </c>
      <c r="O1583">
        <v>22956.07</v>
      </c>
      <c r="P1583">
        <v>0</v>
      </c>
      <c r="Q1583">
        <v>22956.07</v>
      </c>
      <c r="R1583">
        <v>3672.97</v>
      </c>
      <c r="S1583">
        <v>918.24</v>
      </c>
      <c r="T1583">
        <v>25710.799999999999</v>
      </c>
      <c r="U1583" t="s">
        <v>1936</v>
      </c>
      <c r="V1583" t="s">
        <v>9409</v>
      </c>
      <c r="W1583" t="s">
        <v>423</v>
      </c>
    </row>
    <row r="1584" spans="1:23" hidden="1" x14ac:dyDescent="0.2">
      <c r="A1584">
        <v>2012</v>
      </c>
      <c r="B1584" t="s">
        <v>303</v>
      </c>
      <c r="C1584" s="733">
        <v>40913</v>
      </c>
      <c r="D15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84" t="s">
        <v>505</v>
      </c>
      <c r="F1584" t="s">
        <v>1915</v>
      </c>
      <c r="G1584" t="s">
        <v>7152</v>
      </c>
      <c r="H1584">
        <v>21714</v>
      </c>
      <c r="I1584" t="s">
        <v>423</v>
      </c>
      <c r="J1584" t="s">
        <v>4155</v>
      </c>
      <c r="K1584" t="s">
        <v>1918</v>
      </c>
      <c r="L1584" t="s">
        <v>1919</v>
      </c>
      <c r="M1584">
        <v>650</v>
      </c>
      <c r="N1584">
        <v>55.13</v>
      </c>
      <c r="O1584">
        <v>9981.89</v>
      </c>
      <c r="P1584">
        <v>11238.510131999999</v>
      </c>
      <c r="Q1584">
        <v>21220.400131999999</v>
      </c>
      <c r="R1584">
        <v>3395.264021</v>
      </c>
      <c r="S1584">
        <v>848.81600500000002</v>
      </c>
      <c r="T1584">
        <v>23766.848148000001</v>
      </c>
      <c r="U1584" t="s">
        <v>8869</v>
      </c>
      <c r="V1584" t="s">
        <v>9409</v>
      </c>
      <c r="W1584" t="s">
        <v>423</v>
      </c>
    </row>
    <row r="1585" spans="1:23" x14ac:dyDescent="0.2">
      <c r="A1585">
        <v>2012</v>
      </c>
      <c r="B1585" t="s">
        <v>304</v>
      </c>
      <c r="C1585" s="733">
        <v>40968.48704861111</v>
      </c>
      <c r="D15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85" t="s">
        <v>485</v>
      </c>
      <c r="F1585" t="s">
        <v>2065</v>
      </c>
      <c r="G1585" t="s">
        <v>9474</v>
      </c>
      <c r="H1585">
        <v>42872</v>
      </c>
      <c r="I1585" t="s">
        <v>423</v>
      </c>
      <c r="J1585" t="s">
        <v>3204</v>
      </c>
      <c r="K1585" t="s">
        <v>2183</v>
      </c>
      <c r="L1585" t="s">
        <v>2184</v>
      </c>
      <c r="M1585">
        <v>80</v>
      </c>
      <c r="N1585">
        <v>15.51</v>
      </c>
      <c r="O1585">
        <v>1750.61</v>
      </c>
      <c r="P1585">
        <v>0</v>
      </c>
      <c r="Q1585">
        <v>1750.61</v>
      </c>
      <c r="R1585">
        <v>280.10000000000002</v>
      </c>
      <c r="S1585">
        <v>70.02</v>
      </c>
      <c r="T1585">
        <v>1960.69</v>
      </c>
      <c r="V1585" t="s">
        <v>9408</v>
      </c>
      <c r="W1585" t="s">
        <v>423</v>
      </c>
    </row>
    <row r="1586" spans="1:23" hidden="1" x14ac:dyDescent="0.2">
      <c r="A1586">
        <v>2012</v>
      </c>
      <c r="B1586" t="s">
        <v>304</v>
      </c>
      <c r="C1586" s="733">
        <v>40962</v>
      </c>
      <c r="D15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86" t="s">
        <v>485</v>
      </c>
      <c r="F1586" t="s">
        <v>2048</v>
      </c>
      <c r="G1586" t="s">
        <v>8648</v>
      </c>
      <c r="H1586">
        <v>42499</v>
      </c>
      <c r="I1586" t="s">
        <v>423</v>
      </c>
      <c r="J1586" t="s">
        <v>2050</v>
      </c>
      <c r="K1586" t="s">
        <v>2051</v>
      </c>
      <c r="L1586" t="s">
        <v>2052</v>
      </c>
      <c r="M1586">
        <v>90</v>
      </c>
      <c r="N1586">
        <v>23.9</v>
      </c>
      <c r="O1586">
        <v>3353.41</v>
      </c>
      <c r="P1586">
        <v>0</v>
      </c>
      <c r="Q1586">
        <v>3353.41</v>
      </c>
      <c r="R1586">
        <v>536.54999999999995</v>
      </c>
      <c r="S1586">
        <v>134.13999999999999</v>
      </c>
      <c r="T1586">
        <v>3755.82</v>
      </c>
      <c r="V1586" t="s">
        <v>9408</v>
      </c>
      <c r="W1586" t="s">
        <v>423</v>
      </c>
    </row>
    <row r="1587" spans="1:23" hidden="1" x14ac:dyDescent="0.2">
      <c r="A1587">
        <v>2012</v>
      </c>
      <c r="B1587" t="s">
        <v>304</v>
      </c>
      <c r="C1587" s="733">
        <v>40956</v>
      </c>
      <c r="D15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87" t="s">
        <v>485</v>
      </c>
      <c r="F1587" t="s">
        <v>2054</v>
      </c>
      <c r="G1587" t="s">
        <v>7860</v>
      </c>
      <c r="H1587">
        <v>42157</v>
      </c>
      <c r="I1587" t="s">
        <v>423</v>
      </c>
      <c r="J1587" t="s">
        <v>2050</v>
      </c>
      <c r="K1587" t="s">
        <v>2051</v>
      </c>
      <c r="L1587" t="s">
        <v>2052</v>
      </c>
      <c r="M1587">
        <v>90</v>
      </c>
      <c r="N1587">
        <v>26.75</v>
      </c>
      <c r="O1587">
        <v>3753.29</v>
      </c>
      <c r="P1587">
        <v>0</v>
      </c>
      <c r="Q1587">
        <v>3753.29</v>
      </c>
      <c r="R1587">
        <v>600.53</v>
      </c>
      <c r="S1587">
        <v>150.13</v>
      </c>
      <c r="T1587">
        <v>4203.6899999999996</v>
      </c>
      <c r="V1587" t="s">
        <v>9408</v>
      </c>
      <c r="W1587" t="s">
        <v>423</v>
      </c>
    </row>
    <row r="1588" spans="1:23" hidden="1" x14ac:dyDescent="0.2">
      <c r="A1588">
        <v>2012</v>
      </c>
      <c r="B1588" t="s">
        <v>304</v>
      </c>
      <c r="C1588" s="733">
        <v>40953</v>
      </c>
      <c r="D15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88" t="s">
        <v>485</v>
      </c>
      <c r="F1588" t="s">
        <v>2054</v>
      </c>
      <c r="G1588" t="s">
        <v>3745</v>
      </c>
      <c r="H1588">
        <v>41863</v>
      </c>
      <c r="I1588" t="s">
        <v>423</v>
      </c>
      <c r="J1588" t="s">
        <v>2050</v>
      </c>
      <c r="K1588" t="s">
        <v>2051</v>
      </c>
      <c r="L1588" t="s">
        <v>2052</v>
      </c>
      <c r="M1588">
        <v>90</v>
      </c>
      <c r="N1588">
        <v>29.95</v>
      </c>
      <c r="O1588">
        <v>4202.28</v>
      </c>
      <c r="P1588">
        <v>0</v>
      </c>
      <c r="Q1588">
        <v>4202.28</v>
      </c>
      <c r="R1588">
        <v>672.37</v>
      </c>
      <c r="S1588">
        <v>168.09</v>
      </c>
      <c r="T1588">
        <v>4706.5600000000004</v>
      </c>
      <c r="U1588" t="s">
        <v>7568</v>
      </c>
      <c r="V1588" t="s">
        <v>9408</v>
      </c>
      <c r="W1588" t="s">
        <v>423</v>
      </c>
    </row>
    <row r="1589" spans="1:23" x14ac:dyDescent="0.2">
      <c r="A1589">
        <v>2012</v>
      </c>
      <c r="B1589" t="s">
        <v>304</v>
      </c>
      <c r="C1589" s="733">
        <v>40968.450949074075</v>
      </c>
      <c r="D15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89" t="s">
        <v>485</v>
      </c>
      <c r="F1589" t="s">
        <v>2054</v>
      </c>
      <c r="G1589" t="s">
        <v>9441</v>
      </c>
      <c r="H1589">
        <v>10601</v>
      </c>
      <c r="I1589" t="s">
        <v>423</v>
      </c>
      <c r="J1589" t="s">
        <v>2056</v>
      </c>
      <c r="K1589" t="s">
        <v>2057</v>
      </c>
      <c r="L1589" t="s">
        <v>2058</v>
      </c>
      <c r="M1589">
        <v>19</v>
      </c>
      <c r="N1589">
        <v>46.26</v>
      </c>
      <c r="O1589">
        <v>5221.37</v>
      </c>
      <c r="P1589">
        <v>0</v>
      </c>
      <c r="Q1589">
        <v>5221.37</v>
      </c>
      <c r="R1589">
        <v>574.35</v>
      </c>
      <c r="S1589">
        <v>208.85</v>
      </c>
      <c r="T1589">
        <v>5586.87</v>
      </c>
      <c r="V1589" t="s">
        <v>9409</v>
      </c>
      <c r="W1589" t="s">
        <v>423</v>
      </c>
    </row>
    <row r="1590" spans="1:23" hidden="1" x14ac:dyDescent="0.2">
      <c r="A1590">
        <v>2012</v>
      </c>
      <c r="B1590" t="s">
        <v>304</v>
      </c>
      <c r="C1590" s="733">
        <v>40946</v>
      </c>
      <c r="D15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90" t="s">
        <v>485</v>
      </c>
      <c r="F1590" t="s">
        <v>2084</v>
      </c>
      <c r="G1590" t="s">
        <v>2739</v>
      </c>
      <c r="H1590">
        <v>41506</v>
      </c>
      <c r="I1590" t="s">
        <v>423</v>
      </c>
      <c r="J1590" t="s">
        <v>2050</v>
      </c>
      <c r="K1590" t="s">
        <v>2051</v>
      </c>
      <c r="L1590" t="s">
        <v>2052</v>
      </c>
      <c r="M1590">
        <v>90</v>
      </c>
      <c r="N1590">
        <v>24.75</v>
      </c>
      <c r="O1590">
        <v>3472.67</v>
      </c>
      <c r="P1590">
        <v>0</v>
      </c>
      <c r="Q1590">
        <v>3472.67</v>
      </c>
      <c r="R1590">
        <v>555.63</v>
      </c>
      <c r="S1590">
        <v>138.91</v>
      </c>
      <c r="T1590">
        <v>3889.39</v>
      </c>
      <c r="U1590" t="s">
        <v>7568</v>
      </c>
      <c r="V1590" t="s">
        <v>9408</v>
      </c>
      <c r="W1590" t="s">
        <v>423</v>
      </c>
    </row>
    <row r="1591" spans="1:23" hidden="1" x14ac:dyDescent="0.2">
      <c r="A1591">
        <v>2012</v>
      </c>
      <c r="B1591" t="s">
        <v>303</v>
      </c>
      <c r="C1591" s="733">
        <v>40933</v>
      </c>
      <c r="D15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91" t="s">
        <v>485</v>
      </c>
      <c r="F1591" t="s">
        <v>2048</v>
      </c>
      <c r="G1591" t="s">
        <v>2730</v>
      </c>
      <c r="H1591">
        <v>40877</v>
      </c>
      <c r="I1591" t="s">
        <v>423</v>
      </c>
      <c r="J1591" t="s">
        <v>2050</v>
      </c>
      <c r="K1591" t="s">
        <v>2051</v>
      </c>
      <c r="L1591" t="s">
        <v>2052</v>
      </c>
      <c r="M1591">
        <v>90</v>
      </c>
      <c r="N1591">
        <v>25.5</v>
      </c>
      <c r="O1591">
        <v>3577.9</v>
      </c>
      <c r="P1591">
        <v>0</v>
      </c>
      <c r="Q1591">
        <v>3577.9</v>
      </c>
      <c r="R1591">
        <v>572.46</v>
      </c>
      <c r="S1591">
        <v>143.12</v>
      </c>
      <c r="T1591">
        <v>4007.24</v>
      </c>
      <c r="V1591" t="s">
        <v>9408</v>
      </c>
      <c r="W1591" t="s">
        <v>423</v>
      </c>
    </row>
    <row r="1592" spans="1:23" hidden="1" x14ac:dyDescent="0.2">
      <c r="A1592">
        <v>2012</v>
      </c>
      <c r="B1592" t="s">
        <v>304</v>
      </c>
      <c r="C1592" s="733">
        <v>40956</v>
      </c>
      <c r="D15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92" t="s">
        <v>485</v>
      </c>
      <c r="F1592" t="s">
        <v>2065</v>
      </c>
      <c r="G1592" t="s">
        <v>7817</v>
      </c>
      <c r="H1592">
        <v>42154</v>
      </c>
      <c r="I1592" t="s">
        <v>423</v>
      </c>
      <c r="J1592" t="s">
        <v>2050</v>
      </c>
      <c r="K1592" t="s">
        <v>2051</v>
      </c>
      <c r="L1592" t="s">
        <v>2052</v>
      </c>
      <c r="M1592">
        <v>90</v>
      </c>
      <c r="N1592">
        <v>27.75</v>
      </c>
      <c r="O1592">
        <v>3893.6</v>
      </c>
      <c r="P1592">
        <v>0</v>
      </c>
      <c r="Q1592">
        <v>3893.6</v>
      </c>
      <c r="R1592">
        <v>622.98</v>
      </c>
      <c r="S1592">
        <v>155.74</v>
      </c>
      <c r="T1592">
        <v>4360.84</v>
      </c>
      <c r="V1592" t="s">
        <v>9408</v>
      </c>
      <c r="W1592" t="s">
        <v>423</v>
      </c>
    </row>
    <row r="1593" spans="1:23" hidden="1" x14ac:dyDescent="0.2">
      <c r="A1593">
        <v>2012</v>
      </c>
      <c r="B1593" t="s">
        <v>304</v>
      </c>
      <c r="C1593" s="733">
        <v>40949.531215277777</v>
      </c>
      <c r="D15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93" t="s">
        <v>485</v>
      </c>
      <c r="F1593" t="s">
        <v>2054</v>
      </c>
      <c r="G1593" t="s">
        <v>2745</v>
      </c>
      <c r="H1593">
        <v>10377</v>
      </c>
      <c r="I1593" t="s">
        <v>423</v>
      </c>
      <c r="J1593" t="s">
        <v>2056</v>
      </c>
      <c r="K1593" t="s">
        <v>2057</v>
      </c>
      <c r="L1593" t="s">
        <v>2058</v>
      </c>
      <c r="M1593">
        <v>19</v>
      </c>
      <c r="N1593">
        <v>47.49</v>
      </c>
      <c r="O1593">
        <v>5360.2</v>
      </c>
      <c r="P1593">
        <v>0</v>
      </c>
      <c r="Q1593">
        <v>5360.2</v>
      </c>
      <c r="R1593">
        <v>589.62</v>
      </c>
      <c r="S1593">
        <v>214.41</v>
      </c>
      <c r="T1593">
        <v>5735.41</v>
      </c>
      <c r="U1593" t="s">
        <v>2082</v>
      </c>
      <c r="V1593" t="s">
        <v>9409</v>
      </c>
      <c r="W1593" t="s">
        <v>423</v>
      </c>
    </row>
    <row r="1594" spans="1:23" hidden="1" x14ac:dyDescent="0.2">
      <c r="A1594">
        <v>2012</v>
      </c>
      <c r="B1594" t="s">
        <v>304</v>
      </c>
      <c r="C1594" s="733">
        <v>40953.5624537037</v>
      </c>
      <c r="D15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94" t="s">
        <v>485</v>
      </c>
      <c r="F1594" t="s">
        <v>2054</v>
      </c>
      <c r="G1594" t="s">
        <v>2731</v>
      </c>
      <c r="H1594">
        <v>10431</v>
      </c>
      <c r="I1594" t="s">
        <v>423</v>
      </c>
      <c r="J1594" t="s">
        <v>2056</v>
      </c>
      <c r="K1594" t="s">
        <v>2057</v>
      </c>
      <c r="L1594" t="s">
        <v>2058</v>
      </c>
      <c r="M1594">
        <v>19</v>
      </c>
      <c r="N1594">
        <v>25.11</v>
      </c>
      <c r="O1594">
        <v>2834.17</v>
      </c>
      <c r="P1594">
        <v>0</v>
      </c>
      <c r="Q1594">
        <v>2834.17</v>
      </c>
      <c r="R1594">
        <v>311.76</v>
      </c>
      <c r="S1594">
        <v>113.37</v>
      </c>
      <c r="T1594">
        <v>3032.56</v>
      </c>
      <c r="U1594" t="s">
        <v>8047</v>
      </c>
      <c r="V1594" t="s">
        <v>9408</v>
      </c>
      <c r="W1594" t="s">
        <v>423</v>
      </c>
    </row>
    <row r="1595" spans="1:23" hidden="1" x14ac:dyDescent="0.2">
      <c r="A1595">
        <v>2012</v>
      </c>
      <c r="B1595" t="s">
        <v>304</v>
      </c>
      <c r="C1595" s="733">
        <v>40964</v>
      </c>
      <c r="D15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95" t="s">
        <v>485</v>
      </c>
      <c r="F1595" t="s">
        <v>2054</v>
      </c>
      <c r="G1595" t="s">
        <v>8813</v>
      </c>
      <c r="H1595">
        <v>10546</v>
      </c>
      <c r="I1595" t="s">
        <v>423</v>
      </c>
      <c r="J1595" t="s">
        <v>2056</v>
      </c>
      <c r="K1595" t="s">
        <v>2057</v>
      </c>
      <c r="L1595" t="s">
        <v>2058</v>
      </c>
      <c r="M1595">
        <v>19</v>
      </c>
      <c r="N1595">
        <v>45.88</v>
      </c>
      <c r="O1595">
        <v>5178.4799999999996</v>
      </c>
      <c r="P1595">
        <v>0</v>
      </c>
      <c r="Q1595">
        <v>5178.4799999999996</v>
      </c>
      <c r="R1595">
        <v>569.63</v>
      </c>
      <c r="S1595">
        <v>207.14</v>
      </c>
      <c r="T1595">
        <v>5540.97</v>
      </c>
      <c r="U1595" t="s">
        <v>8864</v>
      </c>
      <c r="V1595" t="s">
        <v>9409</v>
      </c>
      <c r="W1595" t="s">
        <v>423</v>
      </c>
    </row>
    <row r="1596" spans="1:23" hidden="1" x14ac:dyDescent="0.2">
      <c r="A1596">
        <v>2012</v>
      </c>
      <c r="B1596" t="s">
        <v>303</v>
      </c>
      <c r="C1596" s="733">
        <v>40931.650578703702</v>
      </c>
      <c r="D15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96" t="s">
        <v>485</v>
      </c>
      <c r="F1596" t="s">
        <v>2054</v>
      </c>
      <c r="G1596" t="s">
        <v>2727</v>
      </c>
      <c r="H1596">
        <v>10186</v>
      </c>
      <c r="I1596" t="s">
        <v>423</v>
      </c>
      <c r="J1596" t="s">
        <v>2056</v>
      </c>
      <c r="K1596" t="s">
        <v>2057</v>
      </c>
      <c r="L1596" t="s">
        <v>2058</v>
      </c>
      <c r="M1596">
        <v>19</v>
      </c>
      <c r="N1596">
        <v>46.7</v>
      </c>
      <c r="O1596">
        <v>5271.03</v>
      </c>
      <c r="P1596">
        <v>0</v>
      </c>
      <c r="Q1596">
        <v>5271.03</v>
      </c>
      <c r="R1596">
        <v>843.36</v>
      </c>
      <c r="S1596">
        <v>210.84</v>
      </c>
      <c r="T1596">
        <v>5903.55</v>
      </c>
      <c r="U1596" t="s">
        <v>2077</v>
      </c>
      <c r="V1596" t="s">
        <v>9409</v>
      </c>
      <c r="W1596" t="s">
        <v>423</v>
      </c>
    </row>
    <row r="1597" spans="1:23" hidden="1" x14ac:dyDescent="0.2">
      <c r="A1597">
        <v>2012</v>
      </c>
      <c r="B1597" t="s">
        <v>303</v>
      </c>
      <c r="C1597" s="733">
        <v>40932.558425925927</v>
      </c>
      <c r="D15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97" t="s">
        <v>485</v>
      </c>
      <c r="F1597" t="s">
        <v>2054</v>
      </c>
      <c r="G1597" t="s">
        <v>2726</v>
      </c>
      <c r="H1597">
        <v>10194</v>
      </c>
      <c r="I1597" t="s">
        <v>423</v>
      </c>
      <c r="J1597" t="s">
        <v>2056</v>
      </c>
      <c r="K1597" t="s">
        <v>2057</v>
      </c>
      <c r="L1597" t="s">
        <v>2058</v>
      </c>
      <c r="M1597">
        <v>19</v>
      </c>
      <c r="N1597">
        <v>47.91</v>
      </c>
      <c r="O1597">
        <v>5407.6</v>
      </c>
      <c r="P1597">
        <v>0</v>
      </c>
      <c r="Q1597">
        <v>5407.6</v>
      </c>
      <c r="R1597">
        <v>865.22</v>
      </c>
      <c r="S1597">
        <v>216.3</v>
      </c>
      <c r="T1597">
        <v>6056.52</v>
      </c>
      <c r="U1597" t="s">
        <v>2073</v>
      </c>
      <c r="V1597" t="s">
        <v>9409</v>
      </c>
      <c r="W1597" t="s">
        <v>423</v>
      </c>
    </row>
    <row r="1598" spans="1:23" hidden="1" x14ac:dyDescent="0.2">
      <c r="A1598">
        <v>2012</v>
      </c>
      <c r="B1598" t="s">
        <v>303</v>
      </c>
      <c r="C1598" s="733">
        <v>40932.470254629632</v>
      </c>
      <c r="D15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598" t="s">
        <v>485</v>
      </c>
      <c r="F1598" t="s">
        <v>2054</v>
      </c>
      <c r="G1598" t="s">
        <v>2732</v>
      </c>
      <c r="H1598">
        <v>10191</v>
      </c>
      <c r="I1598" t="s">
        <v>423</v>
      </c>
      <c r="J1598" t="s">
        <v>2056</v>
      </c>
      <c r="K1598" t="s">
        <v>2057</v>
      </c>
      <c r="L1598" t="s">
        <v>2058</v>
      </c>
      <c r="M1598">
        <v>19</v>
      </c>
      <c r="N1598">
        <v>47.15</v>
      </c>
      <c r="O1598">
        <v>5321.82</v>
      </c>
      <c r="P1598">
        <v>0</v>
      </c>
      <c r="Q1598">
        <v>5321.82</v>
      </c>
      <c r="R1598">
        <v>851.49</v>
      </c>
      <c r="S1598">
        <v>212.87</v>
      </c>
      <c r="T1598">
        <v>5960.44</v>
      </c>
      <c r="U1598" t="s">
        <v>2073</v>
      </c>
      <c r="V1598" t="s">
        <v>9409</v>
      </c>
      <c r="W1598" t="s">
        <v>423</v>
      </c>
    </row>
    <row r="1599" spans="1:23" hidden="1" x14ac:dyDescent="0.2">
      <c r="A1599">
        <v>2012</v>
      </c>
      <c r="B1599" t="s">
        <v>304</v>
      </c>
      <c r="C1599" s="733">
        <v>40946</v>
      </c>
      <c r="D15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599" t="s">
        <v>485</v>
      </c>
      <c r="F1599" t="s">
        <v>2048</v>
      </c>
      <c r="G1599" t="s">
        <v>6513</v>
      </c>
      <c r="H1599">
        <v>41509</v>
      </c>
      <c r="I1599" t="s">
        <v>423</v>
      </c>
      <c r="J1599" t="s">
        <v>2171</v>
      </c>
      <c r="K1599" t="s">
        <v>2051</v>
      </c>
      <c r="L1599" t="s">
        <v>2052</v>
      </c>
      <c r="M1599">
        <v>57</v>
      </c>
      <c r="N1599">
        <v>26.95</v>
      </c>
      <c r="O1599">
        <v>3781.35</v>
      </c>
      <c r="P1599">
        <v>0</v>
      </c>
      <c r="Q1599">
        <v>3781.35</v>
      </c>
      <c r="R1599">
        <v>605.02</v>
      </c>
      <c r="S1599">
        <v>151.25</v>
      </c>
      <c r="T1599">
        <v>4235.12</v>
      </c>
      <c r="U1599" t="s">
        <v>7568</v>
      </c>
      <c r="V1599" t="s">
        <v>9408</v>
      </c>
      <c r="W1599" t="s">
        <v>423</v>
      </c>
    </row>
    <row r="1600" spans="1:23" hidden="1" x14ac:dyDescent="0.2">
      <c r="A1600">
        <v>2012</v>
      </c>
      <c r="B1600" t="s">
        <v>303</v>
      </c>
      <c r="C1600" s="733">
        <v>40928</v>
      </c>
      <c r="D16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00" t="s">
        <v>485</v>
      </c>
      <c r="F1600" t="s">
        <v>2048</v>
      </c>
      <c r="G1600" t="s">
        <v>6510</v>
      </c>
      <c r="H1600">
        <v>40646</v>
      </c>
      <c r="I1600" t="s">
        <v>423</v>
      </c>
      <c r="J1600" t="s">
        <v>2050</v>
      </c>
      <c r="K1600" t="s">
        <v>2051</v>
      </c>
      <c r="L1600" t="s">
        <v>2052</v>
      </c>
      <c r="M1600">
        <v>90</v>
      </c>
      <c r="N1600">
        <v>26.85</v>
      </c>
      <c r="O1600">
        <v>3767.32</v>
      </c>
      <c r="P1600">
        <v>0</v>
      </c>
      <c r="Q1600">
        <v>3767.32</v>
      </c>
      <c r="R1600">
        <v>602.77</v>
      </c>
      <c r="S1600">
        <v>150.69</v>
      </c>
      <c r="T1600">
        <v>4219.3999999999996</v>
      </c>
      <c r="U1600" t="s">
        <v>2062</v>
      </c>
      <c r="V1600" t="s">
        <v>9408</v>
      </c>
      <c r="W1600" t="s">
        <v>423</v>
      </c>
    </row>
    <row r="1601" spans="1:23" x14ac:dyDescent="0.2">
      <c r="A1601">
        <v>2012</v>
      </c>
      <c r="B1601" t="s">
        <v>304</v>
      </c>
      <c r="C1601" s="733">
        <v>40968.759618055556</v>
      </c>
      <c r="D16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01" t="s">
        <v>485</v>
      </c>
      <c r="F1601" t="s">
        <v>2054</v>
      </c>
      <c r="G1601" t="s">
        <v>9440</v>
      </c>
      <c r="H1601">
        <v>10613</v>
      </c>
      <c r="I1601" t="s">
        <v>423</v>
      </c>
      <c r="J1601" t="s">
        <v>4545</v>
      </c>
      <c r="K1601" t="s">
        <v>2057</v>
      </c>
      <c r="L1601" t="s">
        <v>2058</v>
      </c>
      <c r="M1601">
        <v>144</v>
      </c>
      <c r="N1601">
        <v>23.74</v>
      </c>
      <c r="O1601">
        <v>3795.79</v>
      </c>
      <c r="P1601">
        <v>0</v>
      </c>
      <c r="Q1601">
        <v>3795.79</v>
      </c>
      <c r="R1601">
        <v>417.54</v>
      </c>
      <c r="S1601">
        <v>151.83000000000001</v>
      </c>
      <c r="T1601">
        <v>4061.5</v>
      </c>
      <c r="V1601" t="s">
        <v>9408</v>
      </c>
      <c r="W1601" t="s">
        <v>423</v>
      </c>
    </row>
    <row r="1602" spans="1:23" hidden="1" x14ac:dyDescent="0.2">
      <c r="A1602">
        <v>2012</v>
      </c>
      <c r="B1602" t="s">
        <v>304</v>
      </c>
      <c r="C1602" s="733">
        <v>40962</v>
      </c>
      <c r="D16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02" t="s">
        <v>485</v>
      </c>
      <c r="F1602" t="s">
        <v>2048</v>
      </c>
      <c r="G1602" t="s">
        <v>8649</v>
      </c>
      <c r="H1602">
        <v>42504</v>
      </c>
      <c r="I1602" t="s">
        <v>423</v>
      </c>
      <c r="J1602" t="s">
        <v>2050</v>
      </c>
      <c r="K1602" t="s">
        <v>2051</v>
      </c>
      <c r="L1602" t="s">
        <v>2052</v>
      </c>
      <c r="M1602">
        <v>90</v>
      </c>
      <c r="N1602">
        <v>49.85</v>
      </c>
      <c r="O1602">
        <v>6994.45</v>
      </c>
      <c r="P1602">
        <v>0</v>
      </c>
      <c r="Q1602">
        <v>6994.45</v>
      </c>
      <c r="R1602">
        <v>1119.1099999999999</v>
      </c>
      <c r="S1602">
        <v>279.77999999999997</v>
      </c>
      <c r="T1602">
        <v>7833.78</v>
      </c>
      <c r="U1602" t="s">
        <v>8780</v>
      </c>
      <c r="V1602" t="s">
        <v>9409</v>
      </c>
      <c r="W1602" t="s">
        <v>423</v>
      </c>
    </row>
    <row r="1603" spans="1:23" hidden="1" x14ac:dyDescent="0.2">
      <c r="A1603">
        <v>2012</v>
      </c>
      <c r="B1603" t="s">
        <v>303</v>
      </c>
      <c r="C1603" s="733">
        <v>40935</v>
      </c>
      <c r="D16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03" t="s">
        <v>485</v>
      </c>
      <c r="F1603" t="s">
        <v>2048</v>
      </c>
      <c r="G1603" t="s">
        <v>2744</v>
      </c>
      <c r="H1603">
        <v>40988</v>
      </c>
      <c r="I1603" t="s">
        <v>423</v>
      </c>
      <c r="J1603" t="s">
        <v>2050</v>
      </c>
      <c r="K1603" t="s">
        <v>2051</v>
      </c>
      <c r="L1603" t="s">
        <v>2052</v>
      </c>
      <c r="M1603">
        <v>90</v>
      </c>
      <c r="N1603">
        <v>28.4</v>
      </c>
      <c r="O1603">
        <v>3984.8</v>
      </c>
      <c r="P1603">
        <v>0</v>
      </c>
      <c r="Q1603">
        <v>3984.8</v>
      </c>
      <c r="R1603">
        <v>637.57000000000005</v>
      </c>
      <c r="S1603">
        <v>159.38999999999999</v>
      </c>
      <c r="T1603">
        <v>4462.9799999999996</v>
      </c>
      <c r="V1603" t="s">
        <v>9408</v>
      </c>
      <c r="W1603" t="s">
        <v>423</v>
      </c>
    </row>
    <row r="1604" spans="1:23" hidden="1" x14ac:dyDescent="0.2">
      <c r="A1604">
        <v>2012</v>
      </c>
      <c r="B1604" t="s">
        <v>303</v>
      </c>
      <c r="C1604" s="733">
        <v>40919</v>
      </c>
      <c r="D16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04" t="s">
        <v>485</v>
      </c>
      <c r="F1604" t="s">
        <v>2054</v>
      </c>
      <c r="G1604" t="s">
        <v>2740</v>
      </c>
      <c r="H1604">
        <v>9981</v>
      </c>
      <c r="I1604" t="s">
        <v>423</v>
      </c>
      <c r="J1604" t="s">
        <v>2056</v>
      </c>
      <c r="K1604" t="s">
        <v>2057</v>
      </c>
      <c r="L1604" t="s">
        <v>2058</v>
      </c>
      <c r="M1604">
        <v>19</v>
      </c>
      <c r="N1604">
        <v>24.06</v>
      </c>
      <c r="O1604">
        <v>2715.65</v>
      </c>
      <c r="P1604">
        <v>0</v>
      </c>
      <c r="Q1604">
        <v>2715.65</v>
      </c>
      <c r="R1604">
        <v>434.5</v>
      </c>
      <c r="S1604">
        <v>108.63</v>
      </c>
      <c r="T1604">
        <v>3041.52</v>
      </c>
      <c r="U1604" t="s">
        <v>2070</v>
      </c>
      <c r="V1604" t="s">
        <v>9409</v>
      </c>
      <c r="W1604" t="s">
        <v>423</v>
      </c>
    </row>
    <row r="1605" spans="1:23" hidden="1" x14ac:dyDescent="0.2">
      <c r="A1605">
        <v>2012</v>
      </c>
      <c r="B1605" t="s">
        <v>303</v>
      </c>
      <c r="C1605" s="733">
        <v>40935</v>
      </c>
      <c r="D16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05" t="s">
        <v>485</v>
      </c>
      <c r="F1605" t="s">
        <v>2048</v>
      </c>
      <c r="G1605" t="s">
        <v>6509</v>
      </c>
      <c r="H1605">
        <v>40994</v>
      </c>
      <c r="I1605" t="s">
        <v>423</v>
      </c>
      <c r="J1605" t="s">
        <v>2050</v>
      </c>
      <c r="K1605" t="s">
        <v>2051</v>
      </c>
      <c r="L1605" t="s">
        <v>2052</v>
      </c>
      <c r="M1605">
        <v>90</v>
      </c>
      <c r="N1605">
        <v>27.8</v>
      </c>
      <c r="O1605">
        <v>3900.62</v>
      </c>
      <c r="P1605">
        <v>0</v>
      </c>
      <c r="Q1605">
        <v>3900.62</v>
      </c>
      <c r="R1605">
        <v>624.1</v>
      </c>
      <c r="S1605">
        <v>156.02000000000001</v>
      </c>
      <c r="T1605">
        <v>4368.7</v>
      </c>
      <c r="U1605" t="s">
        <v>2053</v>
      </c>
      <c r="V1605" t="s">
        <v>9408</v>
      </c>
      <c r="W1605" t="s">
        <v>423</v>
      </c>
    </row>
    <row r="1606" spans="1:23" hidden="1" x14ac:dyDescent="0.2">
      <c r="A1606">
        <v>2012</v>
      </c>
      <c r="B1606" t="s">
        <v>303</v>
      </c>
      <c r="C1606" s="733">
        <v>40931</v>
      </c>
      <c r="D16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06" t="s">
        <v>485</v>
      </c>
      <c r="F1606" t="s">
        <v>2048</v>
      </c>
      <c r="G1606" t="s">
        <v>2728</v>
      </c>
      <c r="H1606">
        <v>40757</v>
      </c>
      <c r="I1606" t="s">
        <v>423</v>
      </c>
      <c r="J1606" t="s">
        <v>2050</v>
      </c>
      <c r="K1606" t="s">
        <v>2051</v>
      </c>
      <c r="L1606" t="s">
        <v>2052</v>
      </c>
      <c r="M1606">
        <v>90</v>
      </c>
      <c r="N1606">
        <v>28.95</v>
      </c>
      <c r="O1606">
        <v>4061.97</v>
      </c>
      <c r="P1606">
        <v>0</v>
      </c>
      <c r="Q1606">
        <v>4061.97</v>
      </c>
      <c r="R1606">
        <v>649.91999999999996</v>
      </c>
      <c r="S1606">
        <v>162.47999999999999</v>
      </c>
      <c r="T1606">
        <v>4549.41</v>
      </c>
      <c r="U1606" t="s">
        <v>2053</v>
      </c>
      <c r="V1606" t="s">
        <v>9408</v>
      </c>
      <c r="W1606" t="s">
        <v>423</v>
      </c>
    </row>
    <row r="1607" spans="1:23" hidden="1" x14ac:dyDescent="0.2">
      <c r="A1607">
        <v>2012</v>
      </c>
      <c r="B1607" t="s">
        <v>303</v>
      </c>
      <c r="C1607" s="733">
        <v>40931</v>
      </c>
      <c r="D16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07" t="s">
        <v>485</v>
      </c>
      <c r="F1607" t="s">
        <v>2048</v>
      </c>
      <c r="G1607" t="s">
        <v>3746</v>
      </c>
      <c r="H1607">
        <v>40751</v>
      </c>
      <c r="I1607" t="s">
        <v>423</v>
      </c>
      <c r="J1607" t="s">
        <v>2050</v>
      </c>
      <c r="K1607" t="s">
        <v>2051</v>
      </c>
      <c r="L1607" t="s">
        <v>2052</v>
      </c>
      <c r="M1607">
        <v>90</v>
      </c>
      <c r="N1607">
        <v>28.7</v>
      </c>
      <c r="O1607">
        <v>4026.9</v>
      </c>
      <c r="P1607">
        <v>0</v>
      </c>
      <c r="Q1607">
        <v>4026.9</v>
      </c>
      <c r="R1607">
        <v>644.29999999999995</v>
      </c>
      <c r="S1607">
        <v>161.08000000000001</v>
      </c>
      <c r="T1607">
        <v>4510.12</v>
      </c>
      <c r="U1607" t="s">
        <v>2053</v>
      </c>
      <c r="V1607" t="s">
        <v>9408</v>
      </c>
      <c r="W1607" t="s">
        <v>423</v>
      </c>
    </row>
    <row r="1608" spans="1:23" hidden="1" x14ac:dyDescent="0.2">
      <c r="A1608">
        <v>2012</v>
      </c>
      <c r="B1608" t="s">
        <v>304</v>
      </c>
      <c r="C1608" s="733">
        <v>40953</v>
      </c>
      <c r="D16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08" t="s">
        <v>485</v>
      </c>
      <c r="F1608" t="s">
        <v>2048</v>
      </c>
      <c r="G1608" t="s">
        <v>2729</v>
      </c>
      <c r="H1608">
        <v>41861</v>
      </c>
      <c r="I1608" t="s">
        <v>423</v>
      </c>
      <c r="J1608" t="s">
        <v>2050</v>
      </c>
      <c r="K1608" t="s">
        <v>2051</v>
      </c>
      <c r="L1608" t="s">
        <v>2052</v>
      </c>
      <c r="M1608">
        <v>90</v>
      </c>
      <c r="N1608">
        <v>27.4</v>
      </c>
      <c r="O1608">
        <v>3844.49</v>
      </c>
      <c r="P1608">
        <v>0</v>
      </c>
      <c r="Q1608">
        <v>3844.49</v>
      </c>
      <c r="R1608">
        <v>615.12</v>
      </c>
      <c r="S1608">
        <v>153.78</v>
      </c>
      <c r="T1608">
        <v>4305.83</v>
      </c>
      <c r="U1608" t="s">
        <v>7568</v>
      </c>
      <c r="V1608" t="s">
        <v>9408</v>
      </c>
      <c r="W1608" t="s">
        <v>423</v>
      </c>
    </row>
    <row r="1609" spans="1:23" hidden="1" x14ac:dyDescent="0.2">
      <c r="A1609">
        <v>2012</v>
      </c>
      <c r="B1609" t="s">
        <v>303</v>
      </c>
      <c r="C1609" s="733">
        <v>40931</v>
      </c>
      <c r="D16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09" t="s">
        <v>485</v>
      </c>
      <c r="F1609" t="s">
        <v>2048</v>
      </c>
      <c r="G1609" t="s">
        <v>2751</v>
      </c>
      <c r="H1609">
        <v>40748</v>
      </c>
      <c r="I1609" t="s">
        <v>423</v>
      </c>
      <c r="J1609" t="s">
        <v>2171</v>
      </c>
      <c r="K1609" t="s">
        <v>2051</v>
      </c>
      <c r="L1609" t="s">
        <v>2052</v>
      </c>
      <c r="M1609">
        <v>57</v>
      </c>
      <c r="N1609">
        <v>24.75</v>
      </c>
      <c r="O1609">
        <v>3472.67</v>
      </c>
      <c r="P1609">
        <v>0</v>
      </c>
      <c r="Q1609">
        <v>3472.67</v>
      </c>
      <c r="R1609">
        <v>555.63</v>
      </c>
      <c r="S1609">
        <v>138.91</v>
      </c>
      <c r="T1609">
        <v>3889.39</v>
      </c>
      <c r="U1609" t="s">
        <v>2053</v>
      </c>
      <c r="V1609" t="s">
        <v>9408</v>
      </c>
      <c r="W1609" t="s">
        <v>423</v>
      </c>
    </row>
    <row r="1610" spans="1:23" hidden="1" x14ac:dyDescent="0.2">
      <c r="A1610">
        <v>2012</v>
      </c>
      <c r="B1610" t="s">
        <v>303</v>
      </c>
      <c r="C1610" s="733">
        <v>40934</v>
      </c>
      <c r="D16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10" t="s">
        <v>478</v>
      </c>
      <c r="F1610" t="s">
        <v>2136</v>
      </c>
      <c r="G1610" t="s">
        <v>5235</v>
      </c>
      <c r="H1610">
        <v>34871</v>
      </c>
      <c r="I1610" t="s">
        <v>423</v>
      </c>
      <c r="J1610" t="s">
        <v>4282</v>
      </c>
      <c r="K1610" t="s">
        <v>425</v>
      </c>
      <c r="L1610" t="s">
        <v>2145</v>
      </c>
      <c r="M1610">
        <v>1405</v>
      </c>
      <c r="N1610">
        <v>46.35</v>
      </c>
      <c r="O1610">
        <v>46786.62</v>
      </c>
      <c r="P1610">
        <v>0</v>
      </c>
      <c r="Q1610">
        <v>46786.62</v>
      </c>
      <c r="R1610">
        <v>7485.86</v>
      </c>
      <c r="S1610">
        <v>1871.46</v>
      </c>
      <c r="T1610">
        <v>52401.02</v>
      </c>
      <c r="U1610" t="s">
        <v>3234</v>
      </c>
      <c r="V1610" t="s">
        <v>9409</v>
      </c>
      <c r="W1610" t="s">
        <v>423</v>
      </c>
    </row>
    <row r="1611" spans="1:23" hidden="1" x14ac:dyDescent="0.2">
      <c r="A1611">
        <v>2012</v>
      </c>
      <c r="B1611" t="s">
        <v>304</v>
      </c>
      <c r="C1611" s="733">
        <v>40942</v>
      </c>
      <c r="D16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11" t="s">
        <v>478</v>
      </c>
      <c r="F1611" t="s">
        <v>2136</v>
      </c>
      <c r="G1611" t="s">
        <v>5233</v>
      </c>
      <c r="H1611">
        <v>35201</v>
      </c>
      <c r="I1611" t="s">
        <v>423</v>
      </c>
      <c r="J1611" t="s">
        <v>4282</v>
      </c>
      <c r="K1611" t="s">
        <v>425</v>
      </c>
      <c r="L1611" t="s">
        <v>2145</v>
      </c>
      <c r="M1611">
        <v>1405</v>
      </c>
      <c r="N1611">
        <v>49.94</v>
      </c>
      <c r="O1611">
        <v>50410.43</v>
      </c>
      <c r="P1611">
        <v>0</v>
      </c>
      <c r="Q1611">
        <v>50410.43</v>
      </c>
      <c r="R1611">
        <v>8065.67</v>
      </c>
      <c r="S1611">
        <v>2016.42</v>
      </c>
      <c r="T1611">
        <v>56459.68</v>
      </c>
      <c r="U1611" t="s">
        <v>3115</v>
      </c>
      <c r="V1611" t="s">
        <v>9409</v>
      </c>
      <c r="W1611" t="s">
        <v>423</v>
      </c>
    </row>
    <row r="1612" spans="1:23" hidden="1" x14ac:dyDescent="0.2">
      <c r="A1612">
        <v>2012</v>
      </c>
      <c r="B1612" t="s">
        <v>303</v>
      </c>
      <c r="C1612" s="733">
        <v>40938</v>
      </c>
      <c r="D16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12" t="s">
        <v>485</v>
      </c>
      <c r="F1612" t="s">
        <v>2065</v>
      </c>
      <c r="G1612" t="s">
        <v>4059</v>
      </c>
      <c r="H1612">
        <v>41089</v>
      </c>
      <c r="I1612" t="s">
        <v>423</v>
      </c>
      <c r="J1612" t="s">
        <v>2186</v>
      </c>
      <c r="K1612" t="s">
        <v>2183</v>
      </c>
      <c r="L1612" t="s">
        <v>2184</v>
      </c>
      <c r="M1612">
        <v>19</v>
      </c>
      <c r="N1612">
        <v>15.9</v>
      </c>
      <c r="O1612">
        <v>1794.63</v>
      </c>
      <c r="P1612">
        <v>0</v>
      </c>
      <c r="Q1612">
        <v>1794.63</v>
      </c>
      <c r="R1612">
        <v>287.14</v>
      </c>
      <c r="S1612">
        <v>71.790000000000006</v>
      </c>
      <c r="T1612">
        <v>2009.98</v>
      </c>
      <c r="U1612" t="s">
        <v>2187</v>
      </c>
      <c r="V1612" t="s">
        <v>9408</v>
      </c>
      <c r="W1612" t="s">
        <v>423</v>
      </c>
    </row>
    <row r="1613" spans="1:23" hidden="1" x14ac:dyDescent="0.2">
      <c r="A1613">
        <v>2012</v>
      </c>
      <c r="B1613" t="s">
        <v>303</v>
      </c>
      <c r="C1613" s="733">
        <v>40938</v>
      </c>
      <c r="D16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13" t="s">
        <v>485</v>
      </c>
      <c r="F1613" t="s">
        <v>2065</v>
      </c>
      <c r="G1613" t="s">
        <v>4047</v>
      </c>
      <c r="H1613">
        <v>41092</v>
      </c>
      <c r="I1613" t="s">
        <v>423</v>
      </c>
      <c r="J1613" t="s">
        <v>2186</v>
      </c>
      <c r="K1613" t="s">
        <v>2183</v>
      </c>
      <c r="L1613" t="s">
        <v>2184</v>
      </c>
      <c r="M1613">
        <v>19</v>
      </c>
      <c r="N1613">
        <v>16.100000000000001</v>
      </c>
      <c r="O1613">
        <v>1817.21</v>
      </c>
      <c r="P1613">
        <v>0</v>
      </c>
      <c r="Q1613">
        <v>1817.21</v>
      </c>
      <c r="R1613">
        <v>290.75</v>
      </c>
      <c r="S1613">
        <v>72.69</v>
      </c>
      <c r="T1613">
        <v>2035.27</v>
      </c>
      <c r="U1613" t="s">
        <v>2187</v>
      </c>
      <c r="V1613" t="s">
        <v>9408</v>
      </c>
      <c r="W1613" t="s">
        <v>423</v>
      </c>
    </row>
    <row r="1614" spans="1:23" hidden="1" x14ac:dyDescent="0.2">
      <c r="A1614">
        <v>2012</v>
      </c>
      <c r="B1614" t="s">
        <v>304</v>
      </c>
      <c r="C1614" s="733">
        <v>40963</v>
      </c>
      <c r="D16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14" t="s">
        <v>485</v>
      </c>
      <c r="F1614" t="s">
        <v>2065</v>
      </c>
      <c r="G1614" t="s">
        <v>8546</v>
      </c>
      <c r="H1614">
        <v>42545</v>
      </c>
      <c r="I1614" t="s">
        <v>423</v>
      </c>
      <c r="J1614" t="s">
        <v>2186</v>
      </c>
      <c r="K1614" t="s">
        <v>2183</v>
      </c>
      <c r="L1614" t="s">
        <v>2184</v>
      </c>
      <c r="M1614">
        <v>19</v>
      </c>
      <c r="N1614">
        <v>16.170000000000002</v>
      </c>
      <c r="O1614">
        <v>1825.11</v>
      </c>
      <c r="P1614">
        <v>0</v>
      </c>
      <c r="Q1614">
        <v>1825.11</v>
      </c>
      <c r="R1614">
        <v>292.02</v>
      </c>
      <c r="S1614">
        <v>73</v>
      </c>
      <c r="T1614">
        <v>2044.13</v>
      </c>
      <c r="U1614" t="s">
        <v>9411</v>
      </c>
      <c r="V1614" t="s">
        <v>9408</v>
      </c>
      <c r="W1614" t="s">
        <v>423</v>
      </c>
    </row>
    <row r="1615" spans="1:23" hidden="1" x14ac:dyDescent="0.2">
      <c r="A1615">
        <v>2012</v>
      </c>
      <c r="B1615" t="s">
        <v>304</v>
      </c>
      <c r="C1615" s="733">
        <v>40963</v>
      </c>
      <c r="D16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15" t="s">
        <v>505</v>
      </c>
      <c r="F1615" t="s">
        <v>1915</v>
      </c>
      <c r="G1615" t="s">
        <v>8500</v>
      </c>
      <c r="H1615">
        <v>22990</v>
      </c>
      <c r="I1615" t="s">
        <v>424</v>
      </c>
      <c r="J1615" t="s">
        <v>1917</v>
      </c>
      <c r="K1615" t="s">
        <v>1918</v>
      </c>
      <c r="L1615" t="s">
        <v>1919</v>
      </c>
      <c r="M1615">
        <v>267</v>
      </c>
      <c r="N1615">
        <v>27</v>
      </c>
      <c r="O1615">
        <v>4152.33</v>
      </c>
      <c r="P1615">
        <v>0</v>
      </c>
      <c r="Q1615">
        <v>4152.33</v>
      </c>
      <c r="R1615">
        <v>664.37</v>
      </c>
      <c r="S1615">
        <v>166.09</v>
      </c>
      <c r="T1615">
        <v>4650.6099999999997</v>
      </c>
      <c r="U1615" t="s">
        <v>8778</v>
      </c>
      <c r="V1615" t="s">
        <v>9408</v>
      </c>
      <c r="W1615" t="s">
        <v>424</v>
      </c>
    </row>
    <row r="1616" spans="1:23" hidden="1" x14ac:dyDescent="0.2">
      <c r="A1616">
        <v>2012</v>
      </c>
      <c r="B1616" t="s">
        <v>303</v>
      </c>
      <c r="C1616" s="733">
        <v>40935</v>
      </c>
      <c r="D16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16" t="s">
        <v>505</v>
      </c>
      <c r="F1616" t="s">
        <v>1915</v>
      </c>
      <c r="G1616" t="s">
        <v>1925</v>
      </c>
      <c r="H1616">
        <v>22286</v>
      </c>
      <c r="I1616" t="s">
        <v>424</v>
      </c>
      <c r="J1616" t="s">
        <v>1917</v>
      </c>
      <c r="K1616" t="s">
        <v>1918</v>
      </c>
      <c r="L1616" t="s">
        <v>1919</v>
      </c>
      <c r="M1616">
        <v>267</v>
      </c>
      <c r="N1616">
        <v>30</v>
      </c>
      <c r="O1616">
        <v>2929.97</v>
      </c>
      <c r="P1616">
        <v>1683.8244589999999</v>
      </c>
      <c r="Q1616">
        <v>4613.7944589999997</v>
      </c>
      <c r="R1616">
        <v>738.20711300000005</v>
      </c>
      <c r="S1616">
        <v>184.55177800000001</v>
      </c>
      <c r="T1616">
        <v>5167.4497940000001</v>
      </c>
      <c r="U1616" t="s">
        <v>1926</v>
      </c>
      <c r="V1616" t="s">
        <v>9408</v>
      </c>
      <c r="W1616" t="s">
        <v>424</v>
      </c>
    </row>
    <row r="1617" spans="1:23" hidden="1" x14ac:dyDescent="0.2">
      <c r="A1617">
        <v>2012</v>
      </c>
      <c r="B1617" t="s">
        <v>303</v>
      </c>
      <c r="C1617" s="733">
        <v>40932</v>
      </c>
      <c r="D16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17" t="s">
        <v>485</v>
      </c>
      <c r="F1617" t="s">
        <v>2065</v>
      </c>
      <c r="G1617" t="s">
        <v>5487</v>
      </c>
      <c r="H1617">
        <v>40775</v>
      </c>
      <c r="I1617" t="s">
        <v>423</v>
      </c>
      <c r="J1617" t="s">
        <v>4626</v>
      </c>
      <c r="K1617" t="s">
        <v>2102</v>
      </c>
      <c r="L1617" t="s">
        <v>2115</v>
      </c>
      <c r="M1617">
        <v>1457</v>
      </c>
      <c r="N1617">
        <v>25.13</v>
      </c>
      <c r="O1617">
        <v>18594.189999999999</v>
      </c>
      <c r="P1617">
        <v>0</v>
      </c>
      <c r="Q1617">
        <v>18594.189999999999</v>
      </c>
      <c r="R1617">
        <v>2975.07</v>
      </c>
      <c r="S1617">
        <v>743.77</v>
      </c>
      <c r="T1617">
        <v>20825.490000000002</v>
      </c>
      <c r="U1617" t="s">
        <v>2108</v>
      </c>
      <c r="V1617" t="s">
        <v>9409</v>
      </c>
      <c r="W1617" t="s">
        <v>423</v>
      </c>
    </row>
    <row r="1618" spans="1:23" hidden="1" x14ac:dyDescent="0.2">
      <c r="A1618">
        <v>2012</v>
      </c>
      <c r="B1618" t="s">
        <v>303</v>
      </c>
      <c r="C1618" s="733">
        <v>40926</v>
      </c>
      <c r="D16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18" t="s">
        <v>505</v>
      </c>
      <c r="F1618" t="s">
        <v>1915</v>
      </c>
      <c r="G1618" t="s">
        <v>1940</v>
      </c>
      <c r="H1618">
        <v>22054</v>
      </c>
      <c r="I1618" t="s">
        <v>424</v>
      </c>
      <c r="J1618" t="s">
        <v>1917</v>
      </c>
      <c r="K1618" t="s">
        <v>1918</v>
      </c>
      <c r="L1618" t="s">
        <v>1919</v>
      </c>
      <c r="M1618">
        <v>267</v>
      </c>
      <c r="N1618">
        <v>30</v>
      </c>
      <c r="O1618">
        <v>2929.97</v>
      </c>
      <c r="P1618">
        <v>1683.8244589999999</v>
      </c>
      <c r="Q1618">
        <v>4613.7944589999997</v>
      </c>
      <c r="R1618">
        <v>738.20711300000005</v>
      </c>
      <c r="S1618">
        <v>184.55177800000001</v>
      </c>
      <c r="T1618">
        <v>5167.4497940000001</v>
      </c>
      <c r="U1618" t="s">
        <v>1928</v>
      </c>
      <c r="V1618" t="s">
        <v>9408</v>
      </c>
      <c r="W1618" t="s">
        <v>424</v>
      </c>
    </row>
    <row r="1619" spans="1:23" hidden="1" x14ac:dyDescent="0.2">
      <c r="A1619">
        <v>2012</v>
      </c>
      <c r="B1619" t="s">
        <v>304</v>
      </c>
      <c r="C1619" s="733">
        <v>40960</v>
      </c>
      <c r="D16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19" t="s">
        <v>485</v>
      </c>
      <c r="F1619" t="s">
        <v>2048</v>
      </c>
      <c r="G1619" t="s">
        <v>8083</v>
      </c>
      <c r="H1619">
        <v>42330</v>
      </c>
      <c r="I1619" t="s">
        <v>423</v>
      </c>
      <c r="J1619" t="s">
        <v>4073</v>
      </c>
      <c r="K1619" t="s">
        <v>2051</v>
      </c>
      <c r="L1619" t="s">
        <v>2052</v>
      </c>
      <c r="M1619">
        <v>610</v>
      </c>
      <c r="N1619">
        <v>50.7</v>
      </c>
      <c r="O1619">
        <v>17972.64</v>
      </c>
      <c r="P1619">
        <v>0</v>
      </c>
      <c r="Q1619">
        <v>17972.64</v>
      </c>
      <c r="R1619">
        <v>2875.62</v>
      </c>
      <c r="S1619">
        <v>718.91</v>
      </c>
      <c r="T1619">
        <v>20129.349999999999</v>
      </c>
      <c r="U1619" t="s">
        <v>8780</v>
      </c>
      <c r="V1619" t="s">
        <v>9409</v>
      </c>
      <c r="W1619" t="s">
        <v>423</v>
      </c>
    </row>
    <row r="1620" spans="1:23" hidden="1" x14ac:dyDescent="0.2">
      <c r="A1620">
        <v>2012</v>
      </c>
      <c r="B1620" t="s">
        <v>304</v>
      </c>
      <c r="C1620" s="733">
        <v>40960</v>
      </c>
      <c r="D16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20" t="s">
        <v>485</v>
      </c>
      <c r="F1620" t="s">
        <v>2065</v>
      </c>
      <c r="G1620" t="s">
        <v>8135</v>
      </c>
      <c r="H1620">
        <v>42347</v>
      </c>
      <c r="I1620" t="s">
        <v>423</v>
      </c>
      <c r="J1620" t="s">
        <v>4073</v>
      </c>
      <c r="K1620" t="s">
        <v>2051</v>
      </c>
      <c r="L1620" t="s">
        <v>2052</v>
      </c>
      <c r="M1620">
        <v>610</v>
      </c>
      <c r="N1620">
        <v>49.75</v>
      </c>
      <c r="O1620">
        <v>17635.88</v>
      </c>
      <c r="P1620">
        <v>0</v>
      </c>
      <c r="Q1620">
        <v>17635.88</v>
      </c>
      <c r="R1620">
        <v>2821.74</v>
      </c>
      <c r="S1620">
        <v>705.44</v>
      </c>
      <c r="T1620">
        <v>19752.18</v>
      </c>
      <c r="U1620" t="s">
        <v>8780</v>
      </c>
      <c r="V1620" t="s">
        <v>9409</v>
      </c>
      <c r="W1620" t="s">
        <v>423</v>
      </c>
    </row>
    <row r="1621" spans="1:23" hidden="1" x14ac:dyDescent="0.2">
      <c r="A1621">
        <v>2012</v>
      </c>
      <c r="B1621" t="s">
        <v>304</v>
      </c>
      <c r="C1621" s="733">
        <v>40960</v>
      </c>
      <c r="D16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21" t="s">
        <v>485</v>
      </c>
      <c r="F1621" t="s">
        <v>2065</v>
      </c>
      <c r="G1621" t="s">
        <v>8184</v>
      </c>
      <c r="H1621">
        <v>42262</v>
      </c>
      <c r="I1621" t="s">
        <v>423</v>
      </c>
      <c r="J1621" t="s">
        <v>3054</v>
      </c>
      <c r="K1621" t="s">
        <v>2183</v>
      </c>
      <c r="L1621" t="s">
        <v>2184</v>
      </c>
      <c r="M1621">
        <v>43</v>
      </c>
      <c r="N1621">
        <v>16.010000000000002</v>
      </c>
      <c r="O1621">
        <v>1807.05</v>
      </c>
      <c r="P1621">
        <v>0</v>
      </c>
      <c r="Q1621">
        <v>1807.05</v>
      </c>
      <c r="R1621">
        <v>289.13</v>
      </c>
      <c r="S1621">
        <v>72.28</v>
      </c>
      <c r="T1621">
        <v>2023.9</v>
      </c>
      <c r="V1621" t="s">
        <v>9408</v>
      </c>
      <c r="W1621" t="s">
        <v>423</v>
      </c>
    </row>
    <row r="1622" spans="1:23" hidden="1" x14ac:dyDescent="0.2">
      <c r="A1622">
        <v>2012</v>
      </c>
      <c r="B1622" t="s">
        <v>303</v>
      </c>
      <c r="C1622" s="733">
        <v>40927</v>
      </c>
      <c r="D16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22" t="s">
        <v>485</v>
      </c>
      <c r="F1622" t="s">
        <v>2065</v>
      </c>
      <c r="G1622" t="s">
        <v>4053</v>
      </c>
      <c r="H1622">
        <v>40565</v>
      </c>
      <c r="I1622" t="s">
        <v>423</v>
      </c>
      <c r="J1622" t="s">
        <v>3054</v>
      </c>
      <c r="K1622" t="s">
        <v>2183</v>
      </c>
      <c r="L1622" t="s">
        <v>2184</v>
      </c>
      <c r="M1622">
        <v>43</v>
      </c>
      <c r="N1622">
        <v>15.86</v>
      </c>
      <c r="O1622">
        <v>1790.12</v>
      </c>
      <c r="P1622">
        <v>0</v>
      </c>
      <c r="Q1622">
        <v>1790.12</v>
      </c>
      <c r="R1622">
        <v>286.42</v>
      </c>
      <c r="S1622">
        <v>71.599999999999994</v>
      </c>
      <c r="T1622">
        <v>2004.94</v>
      </c>
      <c r="U1622" t="s">
        <v>7554</v>
      </c>
      <c r="V1622" t="s">
        <v>9408</v>
      </c>
      <c r="W1622" t="s">
        <v>423</v>
      </c>
    </row>
    <row r="1623" spans="1:23" hidden="1" x14ac:dyDescent="0.2">
      <c r="A1623">
        <v>2012</v>
      </c>
      <c r="B1623" t="s">
        <v>304</v>
      </c>
      <c r="C1623" s="733">
        <v>40941</v>
      </c>
      <c r="D16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23" t="s">
        <v>485</v>
      </c>
      <c r="F1623" t="s">
        <v>2065</v>
      </c>
      <c r="G1623" t="s">
        <v>5477</v>
      </c>
      <c r="H1623">
        <v>39787</v>
      </c>
      <c r="I1623" t="s">
        <v>423</v>
      </c>
      <c r="J1623" t="s">
        <v>4626</v>
      </c>
      <c r="K1623" t="s">
        <v>2102</v>
      </c>
      <c r="L1623" t="s">
        <v>2115</v>
      </c>
      <c r="M1623">
        <v>1457</v>
      </c>
      <c r="N1623">
        <v>26.59</v>
      </c>
      <c r="O1623">
        <v>19674.47</v>
      </c>
      <c r="P1623">
        <v>0</v>
      </c>
      <c r="Q1623">
        <v>19674.47</v>
      </c>
      <c r="R1623">
        <v>3147.92</v>
      </c>
      <c r="S1623">
        <v>786.98</v>
      </c>
      <c r="T1623">
        <v>22035.41</v>
      </c>
      <c r="V1623" t="s">
        <v>9408</v>
      </c>
      <c r="W1623" t="s">
        <v>423</v>
      </c>
    </row>
    <row r="1624" spans="1:23" hidden="1" x14ac:dyDescent="0.2">
      <c r="A1624">
        <v>2012</v>
      </c>
      <c r="B1624" t="s">
        <v>304</v>
      </c>
      <c r="C1624" s="733">
        <v>40966</v>
      </c>
      <c r="D16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24" t="s">
        <v>485</v>
      </c>
      <c r="F1624" t="s">
        <v>2065</v>
      </c>
      <c r="G1624" t="s">
        <v>8841</v>
      </c>
      <c r="H1624">
        <v>42428</v>
      </c>
      <c r="I1624" t="s">
        <v>423</v>
      </c>
      <c r="J1624" t="s">
        <v>4626</v>
      </c>
      <c r="K1624" t="s">
        <v>2102</v>
      </c>
      <c r="L1624" t="s">
        <v>2115</v>
      </c>
      <c r="M1624">
        <v>1457</v>
      </c>
      <c r="N1624">
        <v>51.5</v>
      </c>
      <c r="O1624">
        <v>38105.879999999997</v>
      </c>
      <c r="P1624">
        <v>0</v>
      </c>
      <c r="Q1624">
        <v>38105.879999999997</v>
      </c>
      <c r="R1624">
        <v>6096.94</v>
      </c>
      <c r="S1624">
        <v>1524.24</v>
      </c>
      <c r="T1624">
        <v>42678.58</v>
      </c>
      <c r="V1624" t="s">
        <v>9409</v>
      </c>
      <c r="W1624" t="s">
        <v>423</v>
      </c>
    </row>
    <row r="1625" spans="1:23" x14ac:dyDescent="0.2">
      <c r="A1625">
        <v>2012</v>
      </c>
      <c r="B1625" t="s">
        <v>304</v>
      </c>
      <c r="C1625" s="733">
        <v>40967</v>
      </c>
      <c r="D16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25" t="s">
        <v>485</v>
      </c>
      <c r="F1625" t="s">
        <v>2048</v>
      </c>
      <c r="G1625" t="s">
        <v>9297</v>
      </c>
      <c r="H1625">
        <v>42724</v>
      </c>
      <c r="I1625" t="s">
        <v>423</v>
      </c>
      <c r="J1625" t="s">
        <v>4073</v>
      </c>
      <c r="K1625" t="s">
        <v>2051</v>
      </c>
      <c r="L1625" t="s">
        <v>2052</v>
      </c>
      <c r="M1625">
        <v>610</v>
      </c>
      <c r="N1625">
        <v>53.65</v>
      </c>
      <c r="O1625">
        <v>19018.39</v>
      </c>
      <c r="P1625">
        <v>0</v>
      </c>
      <c r="Q1625">
        <v>19018.39</v>
      </c>
      <c r="R1625">
        <v>3042.94</v>
      </c>
      <c r="S1625">
        <v>760.74</v>
      </c>
      <c r="T1625">
        <v>21300.59</v>
      </c>
      <c r="U1625" t="s">
        <v>8780</v>
      </c>
      <c r="V1625" t="s">
        <v>9409</v>
      </c>
      <c r="W1625" t="s">
        <v>423</v>
      </c>
    </row>
    <row r="1626" spans="1:23" x14ac:dyDescent="0.2">
      <c r="A1626">
        <v>2012</v>
      </c>
      <c r="B1626" t="s">
        <v>304</v>
      </c>
      <c r="C1626" s="733">
        <v>40967</v>
      </c>
      <c r="D16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26" t="s">
        <v>485</v>
      </c>
      <c r="F1626" t="s">
        <v>2048</v>
      </c>
      <c r="G1626" t="s">
        <v>9296</v>
      </c>
      <c r="H1626">
        <v>42595</v>
      </c>
      <c r="I1626" t="s">
        <v>423</v>
      </c>
      <c r="J1626" t="s">
        <v>4073</v>
      </c>
      <c r="K1626" t="s">
        <v>2051</v>
      </c>
      <c r="L1626" t="s">
        <v>2052</v>
      </c>
      <c r="M1626">
        <v>610</v>
      </c>
      <c r="N1626">
        <v>53.8</v>
      </c>
      <c r="O1626">
        <v>19071.560000000001</v>
      </c>
      <c r="P1626">
        <v>0</v>
      </c>
      <c r="Q1626">
        <v>19071.560000000001</v>
      </c>
      <c r="R1626">
        <v>3051.45</v>
      </c>
      <c r="S1626">
        <v>762.86</v>
      </c>
      <c r="T1626">
        <v>21360.15</v>
      </c>
      <c r="U1626" t="s">
        <v>8780</v>
      </c>
      <c r="V1626" t="s">
        <v>9409</v>
      </c>
      <c r="W1626" t="s">
        <v>423</v>
      </c>
    </row>
    <row r="1627" spans="1:23" hidden="1" x14ac:dyDescent="0.2">
      <c r="A1627">
        <v>2012</v>
      </c>
      <c r="B1627" t="s">
        <v>303</v>
      </c>
      <c r="C1627" s="733">
        <v>40924.539861111109</v>
      </c>
      <c r="D16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27" t="s">
        <v>485</v>
      </c>
      <c r="F1627" t="s">
        <v>2054</v>
      </c>
      <c r="G1627" t="s">
        <v>4525</v>
      </c>
      <c r="H1627">
        <v>40396</v>
      </c>
      <c r="I1627" t="s">
        <v>423</v>
      </c>
      <c r="J1627" t="s">
        <v>4073</v>
      </c>
      <c r="K1627" t="s">
        <v>2051</v>
      </c>
      <c r="L1627" t="s">
        <v>2052</v>
      </c>
      <c r="M1627">
        <v>610</v>
      </c>
      <c r="N1627">
        <v>28.9</v>
      </c>
      <c r="O1627">
        <v>10244.76</v>
      </c>
      <c r="P1627">
        <v>0</v>
      </c>
      <c r="Q1627">
        <v>10244.76</v>
      </c>
      <c r="R1627">
        <v>1639.16</v>
      </c>
      <c r="S1627">
        <v>409.79</v>
      </c>
      <c r="T1627">
        <v>11474.13</v>
      </c>
      <c r="U1627" t="s">
        <v>2062</v>
      </c>
      <c r="V1627" t="s">
        <v>9408</v>
      </c>
      <c r="W1627" t="s">
        <v>423</v>
      </c>
    </row>
    <row r="1628" spans="1:23" hidden="1" x14ac:dyDescent="0.2">
      <c r="A1628">
        <v>2012</v>
      </c>
      <c r="B1628" t="s">
        <v>304</v>
      </c>
      <c r="C1628" s="733">
        <v>40963</v>
      </c>
      <c r="D16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28" t="s">
        <v>478</v>
      </c>
      <c r="F1628" t="s">
        <v>2136</v>
      </c>
      <c r="G1628" t="s">
        <v>8870</v>
      </c>
      <c r="H1628">
        <v>35961</v>
      </c>
      <c r="I1628" t="s">
        <v>423</v>
      </c>
      <c r="J1628" t="s">
        <v>4270</v>
      </c>
      <c r="K1628" t="s">
        <v>425</v>
      </c>
      <c r="L1628" t="s">
        <v>2145</v>
      </c>
      <c r="M1628">
        <v>560</v>
      </c>
      <c r="N1628">
        <v>26.96</v>
      </c>
      <c r="O1628">
        <v>8613.7199999999993</v>
      </c>
      <c r="P1628">
        <v>0</v>
      </c>
      <c r="Q1628">
        <v>8613.7199999999993</v>
      </c>
      <c r="R1628">
        <v>1378.2</v>
      </c>
      <c r="S1628">
        <v>344.55</v>
      </c>
      <c r="T1628">
        <v>9647.3700000000008</v>
      </c>
      <c r="U1628" t="s">
        <v>9457</v>
      </c>
      <c r="V1628" t="s">
        <v>9408</v>
      </c>
      <c r="W1628" t="s">
        <v>423</v>
      </c>
    </row>
    <row r="1629" spans="1:23" hidden="1" x14ac:dyDescent="0.2">
      <c r="A1629">
        <v>2012</v>
      </c>
      <c r="B1629" t="s">
        <v>303</v>
      </c>
      <c r="C1629" s="733">
        <v>40933</v>
      </c>
      <c r="D16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29" t="s">
        <v>505</v>
      </c>
      <c r="F1629" t="s">
        <v>2065</v>
      </c>
      <c r="G1629" t="s">
        <v>1939</v>
      </c>
      <c r="H1629">
        <v>22226</v>
      </c>
      <c r="I1629" t="s">
        <v>424</v>
      </c>
      <c r="J1629" t="s">
        <v>1917</v>
      </c>
      <c r="K1629" t="s">
        <v>1918</v>
      </c>
      <c r="L1629" t="s">
        <v>1919</v>
      </c>
      <c r="M1629">
        <v>267</v>
      </c>
      <c r="N1629">
        <v>30</v>
      </c>
      <c r="O1629">
        <v>2929.97</v>
      </c>
      <c r="P1629">
        <v>1683.8244589999999</v>
      </c>
      <c r="Q1629">
        <v>4613.7944589999997</v>
      </c>
      <c r="R1629">
        <v>738.20711300000005</v>
      </c>
      <c r="S1629">
        <v>184.55177800000001</v>
      </c>
      <c r="T1629">
        <v>5167.4497940000001</v>
      </c>
      <c r="U1629" t="s">
        <v>1928</v>
      </c>
      <c r="V1629" t="s">
        <v>9408</v>
      </c>
      <c r="W1629" t="s">
        <v>424</v>
      </c>
    </row>
    <row r="1630" spans="1:23" hidden="1" x14ac:dyDescent="0.2">
      <c r="A1630">
        <v>2012</v>
      </c>
      <c r="B1630" t="s">
        <v>304</v>
      </c>
      <c r="C1630" s="733">
        <v>40954</v>
      </c>
      <c r="D16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30" t="s">
        <v>505</v>
      </c>
      <c r="F1630" t="s">
        <v>1915</v>
      </c>
      <c r="G1630" t="s">
        <v>7615</v>
      </c>
      <c r="H1630">
        <v>22754</v>
      </c>
      <c r="I1630" t="s">
        <v>423</v>
      </c>
      <c r="J1630" t="s">
        <v>4760</v>
      </c>
      <c r="K1630" t="s">
        <v>1918</v>
      </c>
      <c r="L1630" t="s">
        <v>1919</v>
      </c>
      <c r="M1630">
        <v>444</v>
      </c>
      <c r="N1630">
        <v>24.95</v>
      </c>
      <c r="O1630">
        <v>7742.98</v>
      </c>
      <c r="P1630">
        <v>0</v>
      </c>
      <c r="Q1630">
        <v>7742.98</v>
      </c>
      <c r="R1630">
        <v>1238.8800000000001</v>
      </c>
      <c r="S1630">
        <v>309.72000000000003</v>
      </c>
      <c r="T1630">
        <v>8672.14</v>
      </c>
      <c r="U1630" t="s">
        <v>7529</v>
      </c>
      <c r="V1630" t="s">
        <v>9408</v>
      </c>
      <c r="W1630" t="s">
        <v>423</v>
      </c>
    </row>
    <row r="1631" spans="1:23" hidden="1" x14ac:dyDescent="0.2">
      <c r="A1631">
        <v>2012</v>
      </c>
      <c r="B1631" t="s">
        <v>304</v>
      </c>
      <c r="C1631" s="733">
        <v>40957</v>
      </c>
      <c r="D16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31" t="s">
        <v>505</v>
      </c>
      <c r="F1631" t="s">
        <v>1915</v>
      </c>
      <c r="G1631" t="s">
        <v>7984</v>
      </c>
      <c r="H1631">
        <v>22850</v>
      </c>
      <c r="I1631" t="s">
        <v>423</v>
      </c>
      <c r="J1631" t="s">
        <v>4259</v>
      </c>
      <c r="K1631" t="s">
        <v>1918</v>
      </c>
      <c r="L1631" t="s">
        <v>1919</v>
      </c>
      <c r="M1631">
        <v>467</v>
      </c>
      <c r="N1631">
        <v>26.4</v>
      </c>
      <c r="O1631">
        <v>8192.98</v>
      </c>
      <c r="P1631">
        <v>0</v>
      </c>
      <c r="Q1631">
        <v>8192.98</v>
      </c>
      <c r="R1631">
        <v>1310.88</v>
      </c>
      <c r="S1631">
        <v>327.72</v>
      </c>
      <c r="T1631">
        <v>9176.14</v>
      </c>
      <c r="U1631" t="s">
        <v>8491</v>
      </c>
      <c r="V1631" t="s">
        <v>9409</v>
      </c>
      <c r="W1631" t="s">
        <v>423</v>
      </c>
    </row>
    <row r="1632" spans="1:23" hidden="1" x14ac:dyDescent="0.2">
      <c r="A1632">
        <v>2012</v>
      </c>
      <c r="B1632" t="s">
        <v>303</v>
      </c>
      <c r="C1632" s="733">
        <v>40927.639293981483</v>
      </c>
      <c r="D16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32" t="s">
        <v>505</v>
      </c>
      <c r="F1632" t="s">
        <v>1915</v>
      </c>
      <c r="G1632" t="s">
        <v>1956</v>
      </c>
      <c r="H1632">
        <v>22105</v>
      </c>
      <c r="I1632" t="s">
        <v>424</v>
      </c>
      <c r="J1632" t="s">
        <v>1954</v>
      </c>
      <c r="K1632" t="s">
        <v>1918</v>
      </c>
      <c r="L1632" t="s">
        <v>1919</v>
      </c>
      <c r="M1632">
        <v>303</v>
      </c>
      <c r="N1632">
        <v>30</v>
      </c>
      <c r="O1632">
        <v>2314.83</v>
      </c>
      <c r="P1632">
        <v>1330.309653</v>
      </c>
      <c r="Q1632">
        <v>3645.1396530000002</v>
      </c>
      <c r="R1632">
        <v>583.22234400000002</v>
      </c>
      <c r="S1632">
        <v>145.80558600000001</v>
      </c>
      <c r="T1632">
        <v>4082.556411</v>
      </c>
      <c r="U1632" t="s">
        <v>8778</v>
      </c>
      <c r="V1632" t="s">
        <v>9408</v>
      </c>
      <c r="W1632" t="s">
        <v>424</v>
      </c>
    </row>
    <row r="1633" spans="1:23" hidden="1" x14ac:dyDescent="0.2">
      <c r="A1633">
        <v>2012</v>
      </c>
      <c r="B1633" t="s">
        <v>303</v>
      </c>
      <c r="C1633" s="733">
        <v>40933</v>
      </c>
      <c r="D16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33" t="s">
        <v>505</v>
      </c>
      <c r="F1633" t="s">
        <v>1915</v>
      </c>
      <c r="G1633" t="s">
        <v>4759</v>
      </c>
      <c r="H1633">
        <v>22223</v>
      </c>
      <c r="I1633" t="s">
        <v>423</v>
      </c>
      <c r="J1633" t="s">
        <v>4760</v>
      </c>
      <c r="K1633" t="s">
        <v>1918</v>
      </c>
      <c r="L1633" t="s">
        <v>1919</v>
      </c>
      <c r="M1633">
        <v>444</v>
      </c>
      <c r="N1633">
        <v>27.17</v>
      </c>
      <c r="O1633">
        <v>8431.94</v>
      </c>
      <c r="P1633">
        <v>0</v>
      </c>
      <c r="Q1633">
        <v>8431.94</v>
      </c>
      <c r="R1633">
        <v>1349.11</v>
      </c>
      <c r="S1633">
        <v>337.28</v>
      </c>
      <c r="T1633">
        <v>9443.77</v>
      </c>
      <c r="U1633" t="s">
        <v>1936</v>
      </c>
      <c r="V1633" t="s">
        <v>9408</v>
      </c>
      <c r="W1633" t="s">
        <v>423</v>
      </c>
    </row>
    <row r="1634" spans="1:23" hidden="1" x14ac:dyDescent="0.2">
      <c r="A1634">
        <v>2012</v>
      </c>
      <c r="B1634" t="s">
        <v>304</v>
      </c>
      <c r="C1634" s="733">
        <v>40940</v>
      </c>
      <c r="D16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34" t="s">
        <v>485</v>
      </c>
      <c r="F1634" t="s">
        <v>2065</v>
      </c>
      <c r="G1634" t="s">
        <v>4519</v>
      </c>
      <c r="H1634">
        <v>41156</v>
      </c>
      <c r="I1634" t="s">
        <v>423</v>
      </c>
      <c r="J1634" t="s">
        <v>4520</v>
      </c>
      <c r="K1634" t="s">
        <v>2183</v>
      </c>
      <c r="L1634" t="s">
        <v>2184</v>
      </c>
      <c r="M1634">
        <v>346</v>
      </c>
      <c r="N1634">
        <v>28.17</v>
      </c>
      <c r="O1634">
        <v>6049.79</v>
      </c>
      <c r="P1634">
        <v>0</v>
      </c>
      <c r="Q1634">
        <v>6049.79</v>
      </c>
      <c r="R1634">
        <v>967.97</v>
      </c>
      <c r="S1634">
        <v>241.99</v>
      </c>
      <c r="T1634">
        <v>6775.77</v>
      </c>
      <c r="U1634" t="s">
        <v>9411</v>
      </c>
      <c r="V1634" t="s">
        <v>9408</v>
      </c>
      <c r="W1634" t="s">
        <v>423</v>
      </c>
    </row>
    <row r="1635" spans="1:23" hidden="1" x14ac:dyDescent="0.2">
      <c r="A1635">
        <v>2012</v>
      </c>
      <c r="B1635" t="s">
        <v>304</v>
      </c>
      <c r="C1635" s="733">
        <v>40966</v>
      </c>
      <c r="D16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35" t="s">
        <v>485</v>
      </c>
      <c r="F1635" t="s">
        <v>2065</v>
      </c>
      <c r="G1635" t="s">
        <v>8842</v>
      </c>
      <c r="H1635">
        <v>42535</v>
      </c>
      <c r="I1635" t="s">
        <v>423</v>
      </c>
      <c r="J1635" t="s">
        <v>3280</v>
      </c>
      <c r="K1635" t="s">
        <v>2183</v>
      </c>
      <c r="L1635" t="s">
        <v>2184</v>
      </c>
      <c r="M1635">
        <v>1020</v>
      </c>
      <c r="N1635">
        <v>50.79</v>
      </c>
      <c r="O1635">
        <v>28213.34</v>
      </c>
      <c r="P1635">
        <v>0</v>
      </c>
      <c r="Q1635">
        <v>28213.34</v>
      </c>
      <c r="R1635">
        <v>4514.13</v>
      </c>
      <c r="S1635">
        <v>1128.53</v>
      </c>
      <c r="T1635">
        <v>31598.94</v>
      </c>
      <c r="V1635" t="s">
        <v>9409</v>
      </c>
      <c r="W1635" t="s">
        <v>423</v>
      </c>
    </row>
    <row r="1636" spans="1:23" hidden="1" x14ac:dyDescent="0.2">
      <c r="A1636">
        <v>2012</v>
      </c>
      <c r="B1636" t="s">
        <v>304</v>
      </c>
      <c r="C1636" s="733">
        <v>40940</v>
      </c>
      <c r="D16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36" t="s">
        <v>485</v>
      </c>
      <c r="F1636" t="s">
        <v>2065</v>
      </c>
      <c r="G1636" t="s">
        <v>4517</v>
      </c>
      <c r="H1636">
        <v>39969</v>
      </c>
      <c r="I1636" t="s">
        <v>423</v>
      </c>
      <c r="J1636" t="s">
        <v>4518</v>
      </c>
      <c r="K1636" t="s">
        <v>2183</v>
      </c>
      <c r="L1636" t="s">
        <v>2184</v>
      </c>
      <c r="M1636">
        <v>337</v>
      </c>
      <c r="N1636">
        <v>25.3</v>
      </c>
      <c r="O1636">
        <v>5612.05</v>
      </c>
      <c r="P1636">
        <v>0</v>
      </c>
      <c r="Q1636">
        <v>5612.05</v>
      </c>
      <c r="R1636">
        <v>897.93</v>
      </c>
      <c r="S1636">
        <v>224.48</v>
      </c>
      <c r="T1636">
        <v>6285.5</v>
      </c>
      <c r="U1636" t="s">
        <v>3049</v>
      </c>
      <c r="V1636" t="s">
        <v>9408</v>
      </c>
      <c r="W1636" t="s">
        <v>423</v>
      </c>
    </row>
    <row r="1637" spans="1:23" hidden="1" x14ac:dyDescent="0.2">
      <c r="A1637">
        <v>2012</v>
      </c>
      <c r="B1637" t="s">
        <v>304</v>
      </c>
      <c r="C1637" s="733">
        <v>40948</v>
      </c>
      <c r="D16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37" t="s">
        <v>485</v>
      </c>
      <c r="F1637" t="s">
        <v>2048</v>
      </c>
      <c r="G1637" t="s">
        <v>5064</v>
      </c>
      <c r="H1637">
        <v>41652</v>
      </c>
      <c r="I1637" t="s">
        <v>423</v>
      </c>
      <c r="J1637" t="s">
        <v>2050</v>
      </c>
      <c r="K1637" t="s">
        <v>2051</v>
      </c>
      <c r="L1637" t="s">
        <v>2052</v>
      </c>
      <c r="M1637">
        <v>90</v>
      </c>
      <c r="N1637">
        <v>53.3</v>
      </c>
      <c r="O1637">
        <v>7478.52</v>
      </c>
      <c r="P1637">
        <v>0</v>
      </c>
      <c r="Q1637">
        <v>7478.52</v>
      </c>
      <c r="R1637">
        <v>1196.56</v>
      </c>
      <c r="S1637">
        <v>299.14</v>
      </c>
      <c r="T1637">
        <v>8375.94</v>
      </c>
      <c r="U1637" t="s">
        <v>7568</v>
      </c>
      <c r="V1637" t="s">
        <v>9409</v>
      </c>
      <c r="W1637" t="s">
        <v>423</v>
      </c>
    </row>
    <row r="1638" spans="1:23" hidden="1" x14ac:dyDescent="0.2">
      <c r="A1638">
        <v>2012</v>
      </c>
      <c r="B1638" t="s">
        <v>304</v>
      </c>
      <c r="C1638" s="733">
        <v>40962</v>
      </c>
      <c r="D16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38" t="s">
        <v>485</v>
      </c>
      <c r="F1638" t="s">
        <v>2054</v>
      </c>
      <c r="G1638" t="s">
        <v>8524</v>
      </c>
      <c r="H1638">
        <v>10503</v>
      </c>
      <c r="I1638" t="s">
        <v>423</v>
      </c>
      <c r="J1638" t="s">
        <v>2056</v>
      </c>
      <c r="K1638" t="s">
        <v>2057</v>
      </c>
      <c r="L1638" t="s">
        <v>2058</v>
      </c>
      <c r="M1638">
        <v>19</v>
      </c>
      <c r="N1638">
        <v>47.36</v>
      </c>
      <c r="O1638">
        <v>5345.52</v>
      </c>
      <c r="P1638">
        <v>0</v>
      </c>
      <c r="Q1638">
        <v>5345.52</v>
      </c>
      <c r="R1638">
        <v>588.01</v>
      </c>
      <c r="S1638">
        <v>213.82</v>
      </c>
      <c r="T1638">
        <v>5719.71</v>
      </c>
      <c r="U1638" t="s">
        <v>8864</v>
      </c>
      <c r="V1638" t="s">
        <v>9409</v>
      </c>
      <c r="W1638" t="s">
        <v>423</v>
      </c>
    </row>
    <row r="1639" spans="1:23" hidden="1" x14ac:dyDescent="0.2">
      <c r="A1639">
        <v>2012</v>
      </c>
      <c r="B1639" t="s">
        <v>304</v>
      </c>
      <c r="C1639" s="733">
        <v>40966.482777777775</v>
      </c>
      <c r="D16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39" t="s">
        <v>485</v>
      </c>
      <c r="F1639" t="s">
        <v>2054</v>
      </c>
      <c r="G1639" t="s">
        <v>8865</v>
      </c>
      <c r="H1639">
        <v>10556</v>
      </c>
      <c r="I1639" t="s">
        <v>423</v>
      </c>
      <c r="J1639" t="s">
        <v>2056</v>
      </c>
      <c r="K1639" t="s">
        <v>2057</v>
      </c>
      <c r="L1639" t="s">
        <v>2058</v>
      </c>
      <c r="M1639">
        <v>19</v>
      </c>
      <c r="N1639">
        <v>46.35</v>
      </c>
      <c r="O1639">
        <v>5231.5200000000004</v>
      </c>
      <c r="P1639">
        <v>0</v>
      </c>
      <c r="Q1639">
        <v>5231.5200000000004</v>
      </c>
      <c r="R1639">
        <v>575.47</v>
      </c>
      <c r="S1639">
        <v>209.26</v>
      </c>
      <c r="T1639">
        <v>5597.73</v>
      </c>
      <c r="U1639" t="s">
        <v>8864</v>
      </c>
      <c r="V1639" t="s">
        <v>9409</v>
      </c>
      <c r="W1639" t="s">
        <v>423</v>
      </c>
    </row>
    <row r="1640" spans="1:23" hidden="1" x14ac:dyDescent="0.2">
      <c r="A1640">
        <v>2012</v>
      </c>
      <c r="B1640" t="s">
        <v>303</v>
      </c>
      <c r="C1640" s="733">
        <v>40933.508229166669</v>
      </c>
      <c r="D16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40" t="s">
        <v>485</v>
      </c>
      <c r="F1640" t="s">
        <v>2054</v>
      </c>
      <c r="G1640" t="s">
        <v>4933</v>
      </c>
      <c r="H1640">
        <v>10201</v>
      </c>
      <c r="I1640" t="s">
        <v>423</v>
      </c>
      <c r="J1640" t="s">
        <v>2056</v>
      </c>
      <c r="K1640" t="s">
        <v>2057</v>
      </c>
      <c r="L1640" t="s">
        <v>2058</v>
      </c>
      <c r="M1640">
        <v>19</v>
      </c>
      <c r="N1640">
        <v>28.43</v>
      </c>
      <c r="O1640">
        <v>3208.89</v>
      </c>
      <c r="P1640">
        <v>0</v>
      </c>
      <c r="Q1640">
        <v>3208.89</v>
      </c>
      <c r="R1640">
        <v>513.41999999999996</v>
      </c>
      <c r="S1640">
        <v>128.36000000000001</v>
      </c>
      <c r="T1640">
        <v>3593.95</v>
      </c>
      <c r="U1640" t="s">
        <v>2073</v>
      </c>
      <c r="V1640" t="s">
        <v>9408</v>
      </c>
      <c r="W1640" t="s">
        <v>423</v>
      </c>
    </row>
    <row r="1641" spans="1:23" hidden="1" x14ac:dyDescent="0.2">
      <c r="A1641">
        <v>2012</v>
      </c>
      <c r="B1641" t="s">
        <v>304</v>
      </c>
      <c r="C1641" s="733">
        <v>40952</v>
      </c>
      <c r="D16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41" t="s">
        <v>485</v>
      </c>
      <c r="F1641" t="s">
        <v>2065</v>
      </c>
      <c r="G1641" t="s">
        <v>2091</v>
      </c>
      <c r="H1641">
        <v>41849</v>
      </c>
      <c r="I1641" t="s">
        <v>423</v>
      </c>
      <c r="J1641" t="s">
        <v>2050</v>
      </c>
      <c r="K1641" t="s">
        <v>2051</v>
      </c>
      <c r="L1641" t="s">
        <v>2052</v>
      </c>
      <c r="M1641">
        <v>90</v>
      </c>
      <c r="N1641">
        <v>27.1</v>
      </c>
      <c r="O1641">
        <v>3802.4</v>
      </c>
      <c r="P1641">
        <v>0</v>
      </c>
      <c r="Q1641">
        <v>3802.4</v>
      </c>
      <c r="R1641">
        <v>608.38</v>
      </c>
      <c r="S1641">
        <v>152.1</v>
      </c>
      <c r="T1641">
        <v>4258.68</v>
      </c>
      <c r="U1641" t="s">
        <v>7568</v>
      </c>
      <c r="V1641" t="s">
        <v>9408</v>
      </c>
      <c r="W1641" t="s">
        <v>423</v>
      </c>
    </row>
    <row r="1642" spans="1:23" hidden="1" x14ac:dyDescent="0.2">
      <c r="A1642">
        <v>2012</v>
      </c>
      <c r="B1642" t="s">
        <v>305</v>
      </c>
      <c r="C1642" s="733">
        <v>40969</v>
      </c>
      <c r="D1642" s="733" t="str">
        <f>CHOOSE(MONTH(Tabla_sqldatos_bonampakdb_Bon_v_ingresos2012[[#This Row],[fecha_guia]]),"Enero","Febrero","Marzo","Abril","Mayo","Junio","Julio","Agosto","Septiembre","Octubre","Noviembre","Diciembre")</f>
        <v>Marzo</v>
      </c>
      <c r="E1642" t="s">
        <v>485</v>
      </c>
      <c r="F1642" t="s">
        <v>2065</v>
      </c>
      <c r="G1642" t="s">
        <v>9574</v>
      </c>
      <c r="H1642">
        <v>42803</v>
      </c>
      <c r="I1642" t="s">
        <v>423</v>
      </c>
      <c r="J1642" t="s">
        <v>2139</v>
      </c>
      <c r="K1642" t="s">
        <v>2102</v>
      </c>
      <c r="L1642" t="s">
        <v>2115</v>
      </c>
      <c r="M1642">
        <v>543</v>
      </c>
      <c r="N1642">
        <v>51.53</v>
      </c>
      <c r="O1642">
        <v>17326.96</v>
      </c>
      <c r="P1642">
        <v>0</v>
      </c>
      <c r="Q1642">
        <v>17326.96</v>
      </c>
      <c r="R1642">
        <v>2772.31</v>
      </c>
      <c r="S1642">
        <v>693.08</v>
      </c>
      <c r="T1642">
        <v>19406.189999999999</v>
      </c>
      <c r="V1642" t="s">
        <v>9409</v>
      </c>
      <c r="W1642" t="s">
        <v>423</v>
      </c>
    </row>
    <row r="1643" spans="1:23" hidden="1" x14ac:dyDescent="0.2">
      <c r="A1643">
        <v>2012</v>
      </c>
      <c r="B1643" t="s">
        <v>303</v>
      </c>
      <c r="C1643" s="733">
        <v>40935</v>
      </c>
      <c r="D16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43" t="s">
        <v>485</v>
      </c>
      <c r="F1643" t="s">
        <v>2065</v>
      </c>
      <c r="G1643" t="s">
        <v>5082</v>
      </c>
      <c r="H1643">
        <v>40902</v>
      </c>
      <c r="I1643" t="s">
        <v>423</v>
      </c>
      <c r="J1643" t="s">
        <v>2139</v>
      </c>
      <c r="K1643" t="s">
        <v>2102</v>
      </c>
      <c r="L1643" t="s">
        <v>2115</v>
      </c>
      <c r="M1643">
        <v>543</v>
      </c>
      <c r="N1643">
        <v>52.8</v>
      </c>
      <c r="O1643">
        <v>17754</v>
      </c>
      <c r="P1643">
        <v>0</v>
      </c>
      <c r="Q1643">
        <v>17754</v>
      </c>
      <c r="R1643">
        <v>2840.64</v>
      </c>
      <c r="S1643">
        <v>710.16</v>
      </c>
      <c r="T1643">
        <v>19884.48</v>
      </c>
      <c r="U1643" t="s">
        <v>2110</v>
      </c>
      <c r="V1643" t="s">
        <v>9409</v>
      </c>
      <c r="W1643" t="s">
        <v>423</v>
      </c>
    </row>
    <row r="1644" spans="1:23" hidden="1" x14ac:dyDescent="0.2">
      <c r="A1644">
        <v>2012</v>
      </c>
      <c r="B1644" t="s">
        <v>303</v>
      </c>
      <c r="C1644" s="733">
        <v>40939</v>
      </c>
      <c r="D16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44" t="s">
        <v>485</v>
      </c>
      <c r="F1644" t="s">
        <v>2065</v>
      </c>
      <c r="G1644" t="s">
        <v>3388</v>
      </c>
      <c r="H1644">
        <v>39970</v>
      </c>
      <c r="I1644" t="s">
        <v>423</v>
      </c>
      <c r="J1644" t="s">
        <v>2186</v>
      </c>
      <c r="K1644" t="s">
        <v>2183</v>
      </c>
      <c r="L1644" t="s">
        <v>2184</v>
      </c>
      <c r="M1644">
        <v>19</v>
      </c>
      <c r="N1644">
        <v>25.17</v>
      </c>
      <c r="O1644">
        <v>2840.94</v>
      </c>
      <c r="P1644">
        <v>0</v>
      </c>
      <c r="Q1644">
        <v>2840.94</v>
      </c>
      <c r="R1644">
        <v>454.55</v>
      </c>
      <c r="S1644">
        <v>113.64</v>
      </c>
      <c r="T1644">
        <v>3181.85</v>
      </c>
      <c r="U1644" t="s">
        <v>2187</v>
      </c>
      <c r="V1644" t="s">
        <v>9408</v>
      </c>
      <c r="W1644" t="s">
        <v>423</v>
      </c>
    </row>
    <row r="1645" spans="1:23" hidden="1" x14ac:dyDescent="0.2">
      <c r="A1645">
        <v>2012</v>
      </c>
      <c r="B1645" t="s">
        <v>303</v>
      </c>
      <c r="C1645" s="733">
        <v>40925</v>
      </c>
      <c r="D16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45" t="s">
        <v>485</v>
      </c>
      <c r="F1645" t="s">
        <v>2065</v>
      </c>
      <c r="G1645" t="s">
        <v>3160</v>
      </c>
      <c r="H1645">
        <v>40445</v>
      </c>
      <c r="I1645" t="s">
        <v>423</v>
      </c>
      <c r="J1645" t="s">
        <v>2196</v>
      </c>
      <c r="K1645" t="s">
        <v>2183</v>
      </c>
      <c r="L1645" t="s">
        <v>2115</v>
      </c>
      <c r="M1645">
        <v>10</v>
      </c>
      <c r="N1645">
        <v>25.69</v>
      </c>
      <c r="O1645">
        <v>2899.63</v>
      </c>
      <c r="P1645">
        <v>0</v>
      </c>
      <c r="Q1645">
        <v>2899.63</v>
      </c>
      <c r="R1645">
        <v>463.94</v>
      </c>
      <c r="S1645">
        <v>115.99</v>
      </c>
      <c r="T1645">
        <v>3247.58</v>
      </c>
      <c r="U1645" t="s">
        <v>7554</v>
      </c>
      <c r="V1645" t="s">
        <v>9408</v>
      </c>
      <c r="W1645" t="s">
        <v>423</v>
      </c>
    </row>
    <row r="1646" spans="1:23" hidden="1" x14ac:dyDescent="0.2">
      <c r="A1646">
        <v>2012</v>
      </c>
      <c r="B1646" t="s">
        <v>303</v>
      </c>
      <c r="C1646" s="733">
        <v>40938</v>
      </c>
      <c r="D16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46" t="s">
        <v>485</v>
      </c>
      <c r="F1646" t="s">
        <v>2065</v>
      </c>
      <c r="G1646" t="s">
        <v>3159</v>
      </c>
      <c r="H1646">
        <v>40960</v>
      </c>
      <c r="I1646" t="s">
        <v>423</v>
      </c>
      <c r="J1646" t="s">
        <v>2196</v>
      </c>
      <c r="K1646" t="s">
        <v>2183</v>
      </c>
      <c r="L1646" t="s">
        <v>2184</v>
      </c>
      <c r="M1646">
        <v>10</v>
      </c>
      <c r="N1646">
        <v>50.55</v>
      </c>
      <c r="O1646">
        <v>5705.58</v>
      </c>
      <c r="P1646">
        <v>0</v>
      </c>
      <c r="Q1646">
        <v>5705.58</v>
      </c>
      <c r="R1646">
        <v>912.89</v>
      </c>
      <c r="S1646">
        <v>228.22</v>
      </c>
      <c r="T1646">
        <v>6390.25</v>
      </c>
      <c r="U1646" t="s">
        <v>2187</v>
      </c>
      <c r="V1646" t="s">
        <v>9409</v>
      </c>
      <c r="W1646" t="s">
        <v>423</v>
      </c>
    </row>
    <row r="1647" spans="1:23" hidden="1" x14ac:dyDescent="0.2">
      <c r="A1647">
        <v>2012</v>
      </c>
      <c r="B1647" t="s">
        <v>303</v>
      </c>
      <c r="C1647" s="733">
        <v>40924</v>
      </c>
      <c r="D16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47" t="s">
        <v>485</v>
      </c>
      <c r="F1647" t="s">
        <v>2136</v>
      </c>
      <c r="G1647" t="s">
        <v>3172</v>
      </c>
      <c r="H1647">
        <v>40275</v>
      </c>
      <c r="I1647" t="s">
        <v>423</v>
      </c>
      <c r="J1647" t="s">
        <v>2196</v>
      </c>
      <c r="K1647" t="s">
        <v>2183</v>
      </c>
      <c r="L1647" t="s">
        <v>2184</v>
      </c>
      <c r="M1647">
        <v>10</v>
      </c>
      <c r="N1647">
        <v>28.21</v>
      </c>
      <c r="O1647">
        <v>3184.06</v>
      </c>
      <c r="P1647">
        <v>0</v>
      </c>
      <c r="Q1647">
        <v>3184.06</v>
      </c>
      <c r="R1647">
        <v>509.45</v>
      </c>
      <c r="S1647">
        <v>127.36</v>
      </c>
      <c r="T1647">
        <v>3566.15</v>
      </c>
      <c r="U1647" t="s">
        <v>7554</v>
      </c>
      <c r="V1647" t="s">
        <v>9408</v>
      </c>
      <c r="W1647" t="s">
        <v>423</v>
      </c>
    </row>
    <row r="1648" spans="1:23" hidden="1" x14ac:dyDescent="0.2">
      <c r="A1648">
        <v>2012</v>
      </c>
      <c r="B1648" t="s">
        <v>304</v>
      </c>
      <c r="C1648" s="733">
        <v>40955</v>
      </c>
      <c r="D16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48" t="s">
        <v>485</v>
      </c>
      <c r="F1648" t="s">
        <v>2065</v>
      </c>
      <c r="G1648" t="s">
        <v>7980</v>
      </c>
      <c r="H1648">
        <v>41948</v>
      </c>
      <c r="I1648" t="s">
        <v>423</v>
      </c>
      <c r="J1648" t="s">
        <v>2139</v>
      </c>
      <c r="K1648" t="s">
        <v>2102</v>
      </c>
      <c r="L1648" t="s">
        <v>2115</v>
      </c>
      <c r="M1648">
        <v>543</v>
      </c>
      <c r="N1648">
        <v>24.53</v>
      </c>
      <c r="O1648">
        <v>8248.2099999999991</v>
      </c>
      <c r="P1648">
        <v>0</v>
      </c>
      <c r="Q1648">
        <v>8248.2099999999991</v>
      </c>
      <c r="R1648">
        <v>1319.71</v>
      </c>
      <c r="S1648">
        <v>329.93</v>
      </c>
      <c r="T1648">
        <v>9237.99</v>
      </c>
      <c r="U1648" t="s">
        <v>8051</v>
      </c>
      <c r="V1648" t="s">
        <v>9408</v>
      </c>
      <c r="W1648" t="s">
        <v>423</v>
      </c>
    </row>
    <row r="1649" spans="1:23" hidden="1" x14ac:dyDescent="0.2">
      <c r="A1649">
        <v>2012</v>
      </c>
      <c r="B1649" t="s">
        <v>304</v>
      </c>
      <c r="C1649" s="733">
        <v>40967</v>
      </c>
      <c r="D16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49" t="s">
        <v>478</v>
      </c>
      <c r="F1649" t="s">
        <v>2136</v>
      </c>
      <c r="G1649" t="s">
        <v>8997</v>
      </c>
      <c r="H1649">
        <v>36055</v>
      </c>
      <c r="I1649" t="s">
        <v>423</v>
      </c>
      <c r="J1649" t="s">
        <v>2148</v>
      </c>
      <c r="K1649" t="s">
        <v>425</v>
      </c>
      <c r="L1649" t="s">
        <v>2145</v>
      </c>
      <c r="M1649">
        <v>205</v>
      </c>
      <c r="N1649">
        <v>22.58</v>
      </c>
      <c r="O1649">
        <v>4479.1899999999996</v>
      </c>
      <c r="P1649">
        <v>0</v>
      </c>
      <c r="Q1649">
        <v>4479.1899999999996</v>
      </c>
      <c r="R1649">
        <v>716.67</v>
      </c>
      <c r="S1649">
        <v>179.17</v>
      </c>
      <c r="T1649">
        <v>5016.6899999999996</v>
      </c>
      <c r="U1649" t="s">
        <v>9457</v>
      </c>
      <c r="V1649" t="s">
        <v>9408</v>
      </c>
      <c r="W1649" t="s">
        <v>423</v>
      </c>
    </row>
    <row r="1650" spans="1:23" hidden="1" x14ac:dyDescent="0.2">
      <c r="A1650">
        <v>2012</v>
      </c>
      <c r="B1650" t="s">
        <v>304</v>
      </c>
      <c r="C1650" s="733">
        <v>40949</v>
      </c>
      <c r="D16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50" t="s">
        <v>478</v>
      </c>
      <c r="F1650" t="s">
        <v>2136</v>
      </c>
      <c r="G1650" t="s">
        <v>5273</v>
      </c>
      <c r="H1650">
        <v>35488</v>
      </c>
      <c r="I1650" t="s">
        <v>423</v>
      </c>
      <c r="J1650" t="s">
        <v>4285</v>
      </c>
      <c r="K1650" t="s">
        <v>425</v>
      </c>
      <c r="L1650" t="s">
        <v>2145</v>
      </c>
      <c r="M1650">
        <v>110</v>
      </c>
      <c r="N1650">
        <v>22.83</v>
      </c>
      <c r="O1650">
        <v>3715.58</v>
      </c>
      <c r="P1650">
        <v>0</v>
      </c>
      <c r="Q1650">
        <v>3715.58</v>
      </c>
      <c r="R1650">
        <v>594.49</v>
      </c>
      <c r="S1650">
        <v>148.62</v>
      </c>
      <c r="T1650">
        <v>4161.45</v>
      </c>
      <c r="U1650" t="s">
        <v>7523</v>
      </c>
      <c r="V1650" t="s">
        <v>9408</v>
      </c>
      <c r="W1650" t="s">
        <v>423</v>
      </c>
    </row>
    <row r="1651" spans="1:23" hidden="1" x14ac:dyDescent="0.2">
      <c r="A1651">
        <v>2012</v>
      </c>
      <c r="B1651" t="s">
        <v>303</v>
      </c>
      <c r="C1651" s="733">
        <v>40932</v>
      </c>
      <c r="D16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51" t="s">
        <v>485</v>
      </c>
      <c r="F1651" t="s">
        <v>2065</v>
      </c>
      <c r="G1651" t="s">
        <v>2715</v>
      </c>
      <c r="H1651">
        <v>40514</v>
      </c>
      <c r="I1651" t="s">
        <v>423</v>
      </c>
      <c r="J1651" t="s">
        <v>2139</v>
      </c>
      <c r="K1651" t="s">
        <v>2102</v>
      </c>
      <c r="L1651" t="s">
        <v>2115</v>
      </c>
      <c r="M1651">
        <v>543</v>
      </c>
      <c r="N1651">
        <v>51.18</v>
      </c>
      <c r="O1651">
        <v>17209.28</v>
      </c>
      <c r="P1651">
        <v>0</v>
      </c>
      <c r="Q1651">
        <v>17209.28</v>
      </c>
      <c r="R1651">
        <v>2753.48</v>
      </c>
      <c r="S1651">
        <v>688.37</v>
      </c>
      <c r="T1651">
        <v>19274.39</v>
      </c>
      <c r="U1651" t="s">
        <v>2108</v>
      </c>
      <c r="V1651" t="s">
        <v>9409</v>
      </c>
      <c r="W1651" t="s">
        <v>423</v>
      </c>
    </row>
    <row r="1652" spans="1:23" hidden="1" x14ac:dyDescent="0.2">
      <c r="A1652">
        <v>2012</v>
      </c>
      <c r="B1652" t="s">
        <v>303</v>
      </c>
      <c r="C1652" s="733">
        <v>40934</v>
      </c>
      <c r="D16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52" t="s">
        <v>485</v>
      </c>
      <c r="F1652" t="s">
        <v>2065</v>
      </c>
      <c r="G1652" t="s">
        <v>3171</v>
      </c>
      <c r="H1652">
        <v>40847</v>
      </c>
      <c r="I1652" t="s">
        <v>423</v>
      </c>
      <c r="J1652" t="s">
        <v>2196</v>
      </c>
      <c r="K1652" t="s">
        <v>2183</v>
      </c>
      <c r="L1652" t="s">
        <v>2184</v>
      </c>
      <c r="M1652">
        <v>10</v>
      </c>
      <c r="N1652">
        <v>50.76</v>
      </c>
      <c r="O1652">
        <v>5729.28</v>
      </c>
      <c r="P1652">
        <v>0</v>
      </c>
      <c r="Q1652">
        <v>5729.28</v>
      </c>
      <c r="R1652">
        <v>916.68</v>
      </c>
      <c r="S1652">
        <v>229.17</v>
      </c>
      <c r="T1652">
        <v>6416.79</v>
      </c>
      <c r="U1652" t="s">
        <v>2187</v>
      </c>
      <c r="V1652" t="s">
        <v>9409</v>
      </c>
      <c r="W1652" t="s">
        <v>423</v>
      </c>
    </row>
    <row r="1653" spans="1:23" hidden="1" x14ac:dyDescent="0.2">
      <c r="A1653">
        <v>2012</v>
      </c>
      <c r="B1653" t="s">
        <v>303</v>
      </c>
      <c r="C1653" s="733">
        <v>40920</v>
      </c>
      <c r="D16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53" t="s">
        <v>485</v>
      </c>
      <c r="F1653" t="s">
        <v>2065</v>
      </c>
      <c r="G1653" t="s">
        <v>3390</v>
      </c>
      <c r="H1653">
        <v>40186</v>
      </c>
      <c r="I1653" t="s">
        <v>423</v>
      </c>
      <c r="J1653" t="s">
        <v>2196</v>
      </c>
      <c r="K1653" t="s">
        <v>2183</v>
      </c>
      <c r="L1653" t="s">
        <v>2184</v>
      </c>
      <c r="M1653">
        <v>10</v>
      </c>
      <c r="N1653">
        <v>25.22</v>
      </c>
      <c r="O1653">
        <v>2846.58</v>
      </c>
      <c r="P1653">
        <v>0</v>
      </c>
      <c r="Q1653">
        <v>2846.58</v>
      </c>
      <c r="R1653">
        <v>455.45</v>
      </c>
      <c r="S1653">
        <v>113.86</v>
      </c>
      <c r="T1653">
        <v>3188.17</v>
      </c>
      <c r="U1653" t="s">
        <v>7520</v>
      </c>
      <c r="V1653" t="s">
        <v>9408</v>
      </c>
      <c r="W1653" t="s">
        <v>423</v>
      </c>
    </row>
    <row r="1654" spans="1:23" hidden="1" x14ac:dyDescent="0.2">
      <c r="A1654">
        <v>2012</v>
      </c>
      <c r="B1654" t="s">
        <v>303</v>
      </c>
      <c r="C1654" s="733">
        <v>40934</v>
      </c>
      <c r="D16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54" t="s">
        <v>485</v>
      </c>
      <c r="F1654" t="s">
        <v>2065</v>
      </c>
      <c r="G1654" t="s">
        <v>3169</v>
      </c>
      <c r="H1654">
        <v>40772</v>
      </c>
      <c r="I1654" t="s">
        <v>423</v>
      </c>
      <c r="J1654" t="s">
        <v>2196</v>
      </c>
      <c r="K1654" t="s">
        <v>2183</v>
      </c>
      <c r="L1654" t="s">
        <v>2184</v>
      </c>
      <c r="M1654">
        <v>10</v>
      </c>
      <c r="N1654">
        <v>50.24</v>
      </c>
      <c r="O1654">
        <v>5670.59</v>
      </c>
      <c r="P1654">
        <v>0</v>
      </c>
      <c r="Q1654">
        <v>5670.59</v>
      </c>
      <c r="R1654">
        <v>907.29</v>
      </c>
      <c r="S1654">
        <v>226.82</v>
      </c>
      <c r="T1654">
        <v>6351.06</v>
      </c>
      <c r="U1654" t="s">
        <v>2187</v>
      </c>
      <c r="V1654" t="s">
        <v>9409</v>
      </c>
      <c r="W1654" t="s">
        <v>423</v>
      </c>
    </row>
    <row r="1655" spans="1:23" hidden="1" x14ac:dyDescent="0.2">
      <c r="A1655">
        <v>2012</v>
      </c>
      <c r="B1655" t="s">
        <v>304</v>
      </c>
      <c r="C1655" s="733">
        <v>40942</v>
      </c>
      <c r="D16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55" t="s">
        <v>485</v>
      </c>
      <c r="F1655" t="s">
        <v>2065</v>
      </c>
      <c r="G1655" t="s">
        <v>3168</v>
      </c>
      <c r="H1655">
        <v>41361</v>
      </c>
      <c r="I1655" t="s">
        <v>423</v>
      </c>
      <c r="J1655" t="s">
        <v>2196</v>
      </c>
      <c r="K1655" t="s">
        <v>2183</v>
      </c>
      <c r="L1655" t="s">
        <v>2184</v>
      </c>
      <c r="M1655">
        <v>10</v>
      </c>
      <c r="N1655">
        <v>26.66</v>
      </c>
      <c r="O1655">
        <v>3009.11</v>
      </c>
      <c r="P1655">
        <v>0</v>
      </c>
      <c r="Q1655">
        <v>3009.11</v>
      </c>
      <c r="R1655">
        <v>481.46</v>
      </c>
      <c r="S1655">
        <v>120.36</v>
      </c>
      <c r="T1655">
        <v>3370.21</v>
      </c>
      <c r="U1655" t="s">
        <v>2192</v>
      </c>
      <c r="V1655" t="s">
        <v>9408</v>
      </c>
      <c r="W1655" t="s">
        <v>423</v>
      </c>
    </row>
    <row r="1656" spans="1:23" hidden="1" x14ac:dyDescent="0.2">
      <c r="A1656">
        <v>2012</v>
      </c>
      <c r="B1656" t="s">
        <v>304</v>
      </c>
      <c r="C1656" s="733">
        <v>40963.450891203705</v>
      </c>
      <c r="D16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56" t="s">
        <v>485</v>
      </c>
      <c r="F1656" t="s">
        <v>2065</v>
      </c>
      <c r="G1656" t="s">
        <v>8628</v>
      </c>
      <c r="H1656">
        <v>42562</v>
      </c>
      <c r="I1656" t="s">
        <v>423</v>
      </c>
      <c r="J1656" t="s">
        <v>2196</v>
      </c>
      <c r="K1656" t="s">
        <v>2183</v>
      </c>
      <c r="L1656" t="s">
        <v>2184</v>
      </c>
      <c r="M1656">
        <v>10</v>
      </c>
      <c r="N1656">
        <v>53.9</v>
      </c>
      <c r="O1656">
        <v>6083.69</v>
      </c>
      <c r="P1656">
        <v>0</v>
      </c>
      <c r="Q1656">
        <v>6083.69</v>
      </c>
      <c r="R1656">
        <v>973.39</v>
      </c>
      <c r="S1656">
        <v>243.35</v>
      </c>
      <c r="T1656">
        <v>6813.73</v>
      </c>
      <c r="U1656" t="s">
        <v>9411</v>
      </c>
      <c r="V1656" t="s">
        <v>9409</v>
      </c>
      <c r="W1656" t="s">
        <v>423</v>
      </c>
    </row>
    <row r="1657" spans="1:23" hidden="1" x14ac:dyDescent="0.2">
      <c r="A1657">
        <v>2012</v>
      </c>
      <c r="B1657" t="s">
        <v>303</v>
      </c>
      <c r="C1657" s="733">
        <v>40931</v>
      </c>
      <c r="D16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57" t="s">
        <v>485</v>
      </c>
      <c r="F1657" t="s">
        <v>2065</v>
      </c>
      <c r="G1657" t="s">
        <v>3162</v>
      </c>
      <c r="H1657">
        <v>40611</v>
      </c>
      <c r="I1657" t="s">
        <v>423</v>
      </c>
      <c r="J1657" t="s">
        <v>2196</v>
      </c>
      <c r="K1657" t="s">
        <v>2183</v>
      </c>
      <c r="L1657" t="s">
        <v>2184</v>
      </c>
      <c r="M1657">
        <v>10</v>
      </c>
      <c r="N1657">
        <v>47.59</v>
      </c>
      <c r="O1657">
        <v>5371.48</v>
      </c>
      <c r="P1657">
        <v>0</v>
      </c>
      <c r="Q1657">
        <v>5371.48</v>
      </c>
      <c r="R1657">
        <v>859.44</v>
      </c>
      <c r="S1657">
        <v>214.86</v>
      </c>
      <c r="T1657">
        <v>6016.06</v>
      </c>
      <c r="U1657" t="s">
        <v>2187</v>
      </c>
      <c r="V1657" t="s">
        <v>9409</v>
      </c>
      <c r="W1657" t="s">
        <v>423</v>
      </c>
    </row>
    <row r="1658" spans="1:23" hidden="1" x14ac:dyDescent="0.2">
      <c r="A1658">
        <v>2012</v>
      </c>
      <c r="B1658" t="s">
        <v>304</v>
      </c>
      <c r="C1658" s="733">
        <v>40962</v>
      </c>
      <c r="D16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58" t="s">
        <v>485</v>
      </c>
      <c r="F1658" t="s">
        <v>2065</v>
      </c>
      <c r="G1658" t="s">
        <v>8629</v>
      </c>
      <c r="H1658">
        <v>42473</v>
      </c>
      <c r="I1658" t="s">
        <v>423</v>
      </c>
      <c r="J1658" t="s">
        <v>2196</v>
      </c>
      <c r="K1658" t="s">
        <v>2183</v>
      </c>
      <c r="L1658" t="s">
        <v>2184</v>
      </c>
      <c r="M1658">
        <v>10</v>
      </c>
      <c r="N1658">
        <v>47.94</v>
      </c>
      <c r="O1658">
        <v>5410.99</v>
      </c>
      <c r="P1658">
        <v>0</v>
      </c>
      <c r="Q1658">
        <v>5410.99</v>
      </c>
      <c r="R1658">
        <v>865.76</v>
      </c>
      <c r="S1658">
        <v>216.44</v>
      </c>
      <c r="T1658">
        <v>6060.31</v>
      </c>
      <c r="U1658" t="s">
        <v>9411</v>
      </c>
      <c r="V1658" t="s">
        <v>9409</v>
      </c>
      <c r="W1658" t="s">
        <v>423</v>
      </c>
    </row>
    <row r="1659" spans="1:23" hidden="1" x14ac:dyDescent="0.2">
      <c r="A1659">
        <v>2012</v>
      </c>
      <c r="B1659" t="s">
        <v>304</v>
      </c>
      <c r="C1659" s="733">
        <v>40948</v>
      </c>
      <c r="D16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59" t="s">
        <v>485</v>
      </c>
      <c r="F1659" t="s">
        <v>2065</v>
      </c>
      <c r="G1659" t="s">
        <v>5083</v>
      </c>
      <c r="H1659">
        <v>41544</v>
      </c>
      <c r="I1659" t="s">
        <v>423</v>
      </c>
      <c r="J1659" t="s">
        <v>2139</v>
      </c>
      <c r="K1659" t="s">
        <v>2102</v>
      </c>
      <c r="L1659" t="s">
        <v>2115</v>
      </c>
      <c r="M1659">
        <v>543</v>
      </c>
      <c r="N1659">
        <v>51.28</v>
      </c>
      <c r="O1659">
        <v>17242.900000000001</v>
      </c>
      <c r="P1659">
        <v>0</v>
      </c>
      <c r="Q1659">
        <v>17242.900000000001</v>
      </c>
      <c r="R1659">
        <v>2758.86</v>
      </c>
      <c r="S1659">
        <v>689.72</v>
      </c>
      <c r="T1659">
        <v>19312.04</v>
      </c>
      <c r="U1659" t="s">
        <v>7462</v>
      </c>
      <c r="V1659" t="s">
        <v>9409</v>
      </c>
      <c r="W1659" t="s">
        <v>423</v>
      </c>
    </row>
    <row r="1660" spans="1:23" hidden="1" x14ac:dyDescent="0.2">
      <c r="A1660">
        <v>2012</v>
      </c>
      <c r="B1660" t="s">
        <v>303</v>
      </c>
      <c r="C1660" s="733">
        <v>40928</v>
      </c>
      <c r="D16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60" t="s">
        <v>485</v>
      </c>
      <c r="F1660" t="s">
        <v>2065</v>
      </c>
      <c r="G1660" t="s">
        <v>5274</v>
      </c>
      <c r="H1660">
        <v>40539</v>
      </c>
      <c r="I1660" t="s">
        <v>423</v>
      </c>
      <c r="J1660" t="s">
        <v>2139</v>
      </c>
      <c r="K1660" t="s">
        <v>2102</v>
      </c>
      <c r="L1660" t="s">
        <v>2115</v>
      </c>
      <c r="M1660">
        <v>543</v>
      </c>
      <c r="N1660">
        <v>50.75</v>
      </c>
      <c r="O1660">
        <v>17064.689999999999</v>
      </c>
      <c r="P1660">
        <v>0</v>
      </c>
      <c r="Q1660">
        <v>17064.689999999999</v>
      </c>
      <c r="R1660">
        <v>2730.35</v>
      </c>
      <c r="S1660">
        <v>682.59</v>
      </c>
      <c r="T1660">
        <v>19112.45</v>
      </c>
      <c r="U1660" t="s">
        <v>2108</v>
      </c>
      <c r="V1660" t="s">
        <v>9409</v>
      </c>
      <c r="W1660" t="s">
        <v>423</v>
      </c>
    </row>
    <row r="1661" spans="1:23" hidden="1" x14ac:dyDescent="0.2">
      <c r="A1661">
        <v>2012</v>
      </c>
      <c r="B1661" t="s">
        <v>304</v>
      </c>
      <c r="C1661" s="733">
        <v>40947</v>
      </c>
      <c r="D16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61" t="s">
        <v>485</v>
      </c>
      <c r="F1661" t="s">
        <v>2065</v>
      </c>
      <c r="G1661" t="s">
        <v>3161</v>
      </c>
      <c r="H1661">
        <v>41537</v>
      </c>
      <c r="I1661" t="s">
        <v>423</v>
      </c>
      <c r="J1661" t="s">
        <v>2196</v>
      </c>
      <c r="K1661" t="s">
        <v>2183</v>
      </c>
      <c r="L1661" t="s">
        <v>2184</v>
      </c>
      <c r="M1661">
        <v>10</v>
      </c>
      <c r="N1661">
        <v>16.04</v>
      </c>
      <c r="O1661">
        <v>1810.43</v>
      </c>
      <c r="P1661">
        <v>0</v>
      </c>
      <c r="Q1661">
        <v>1810.43</v>
      </c>
      <c r="R1661">
        <v>289.67</v>
      </c>
      <c r="S1661">
        <v>72.42</v>
      </c>
      <c r="T1661">
        <v>2027.68</v>
      </c>
      <c r="U1661" t="s">
        <v>2192</v>
      </c>
      <c r="V1661" t="s">
        <v>9408</v>
      </c>
      <c r="W1661" t="s">
        <v>423</v>
      </c>
    </row>
    <row r="1662" spans="1:23" hidden="1" x14ac:dyDescent="0.2">
      <c r="A1662">
        <v>2012</v>
      </c>
      <c r="B1662" t="s">
        <v>305</v>
      </c>
      <c r="C1662" s="733">
        <v>40970.424571759257</v>
      </c>
      <c r="D1662" s="733" t="str">
        <f>CHOOSE(MONTH(Tabla_sqldatos_bonampakdb_Bon_v_ingresos2012[[#This Row],[fecha_guia]]),"Enero","Febrero","Marzo","Abril","Mayo","Junio","Julio","Agosto","Septiembre","Octubre","Noviembre","Diciembre")</f>
        <v>Marzo</v>
      </c>
      <c r="E1662" t="s">
        <v>485</v>
      </c>
      <c r="F1662" t="s">
        <v>2065</v>
      </c>
      <c r="G1662" t="s">
        <v>9575</v>
      </c>
      <c r="H1662">
        <v>43005</v>
      </c>
      <c r="I1662" t="s">
        <v>423</v>
      </c>
      <c r="J1662" t="s">
        <v>2196</v>
      </c>
      <c r="K1662" t="s">
        <v>2183</v>
      </c>
      <c r="L1662" t="s">
        <v>2184</v>
      </c>
      <c r="M1662">
        <v>10</v>
      </c>
      <c r="N1662">
        <v>16.28</v>
      </c>
      <c r="O1662">
        <v>1837.52</v>
      </c>
      <c r="P1662">
        <v>0</v>
      </c>
      <c r="Q1662">
        <v>1837.52</v>
      </c>
      <c r="R1662">
        <v>294</v>
      </c>
      <c r="S1662">
        <v>73.5</v>
      </c>
      <c r="T1662">
        <v>2058.02</v>
      </c>
      <c r="V1662" t="s">
        <v>9408</v>
      </c>
      <c r="W1662" t="s">
        <v>423</v>
      </c>
    </row>
    <row r="1663" spans="1:23" hidden="1" x14ac:dyDescent="0.2">
      <c r="A1663">
        <v>2012</v>
      </c>
      <c r="B1663" t="s">
        <v>304</v>
      </c>
      <c r="C1663" s="733">
        <v>40953.513437499998</v>
      </c>
      <c r="D16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63" t="s">
        <v>485</v>
      </c>
      <c r="F1663" t="s">
        <v>2054</v>
      </c>
      <c r="G1663" t="s">
        <v>2480</v>
      </c>
      <c r="H1663">
        <v>10429</v>
      </c>
      <c r="I1663" t="s">
        <v>423</v>
      </c>
      <c r="J1663" t="s">
        <v>2056</v>
      </c>
      <c r="K1663" t="s">
        <v>2057</v>
      </c>
      <c r="L1663" t="s">
        <v>2058</v>
      </c>
      <c r="M1663">
        <v>19</v>
      </c>
      <c r="N1663">
        <v>24.51</v>
      </c>
      <c r="O1663">
        <v>2766.44</v>
      </c>
      <c r="P1663">
        <v>0</v>
      </c>
      <c r="Q1663">
        <v>2766.44</v>
      </c>
      <c r="R1663">
        <v>304.31</v>
      </c>
      <c r="S1663">
        <v>110.66</v>
      </c>
      <c r="T1663">
        <v>2960.09</v>
      </c>
      <c r="U1663" t="s">
        <v>8047</v>
      </c>
      <c r="V1663" t="s">
        <v>9408</v>
      </c>
      <c r="W1663" t="s">
        <v>423</v>
      </c>
    </row>
    <row r="1664" spans="1:23" hidden="1" x14ac:dyDescent="0.2">
      <c r="A1664">
        <v>2012</v>
      </c>
      <c r="B1664" t="s">
        <v>304</v>
      </c>
      <c r="C1664" s="733">
        <v>40948.562060185184</v>
      </c>
      <c r="D16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64" t="s">
        <v>485</v>
      </c>
      <c r="F1664" t="s">
        <v>2054</v>
      </c>
      <c r="G1664" t="s">
        <v>3120</v>
      </c>
      <c r="H1664">
        <v>10364</v>
      </c>
      <c r="I1664" t="s">
        <v>423</v>
      </c>
      <c r="J1664" t="s">
        <v>2056</v>
      </c>
      <c r="K1664" t="s">
        <v>2057</v>
      </c>
      <c r="L1664" t="s">
        <v>2058</v>
      </c>
      <c r="M1664">
        <v>19</v>
      </c>
      <c r="N1664">
        <v>23.92</v>
      </c>
      <c r="O1664">
        <v>2699.85</v>
      </c>
      <c r="P1664">
        <v>0</v>
      </c>
      <c r="Q1664">
        <v>2699.85</v>
      </c>
      <c r="R1664">
        <v>296.98</v>
      </c>
      <c r="S1664">
        <v>107.99</v>
      </c>
      <c r="T1664">
        <v>2888.84</v>
      </c>
      <c r="U1664" t="s">
        <v>2082</v>
      </c>
      <c r="V1664" t="s">
        <v>9408</v>
      </c>
      <c r="W1664" t="s">
        <v>423</v>
      </c>
    </row>
    <row r="1665" spans="1:23" hidden="1" x14ac:dyDescent="0.2">
      <c r="A1665">
        <v>2012</v>
      </c>
      <c r="B1665" t="s">
        <v>304</v>
      </c>
      <c r="C1665" s="733">
        <v>40966</v>
      </c>
      <c r="D16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65" t="s">
        <v>485</v>
      </c>
      <c r="F1665" t="s">
        <v>2054</v>
      </c>
      <c r="G1665" t="s">
        <v>8912</v>
      </c>
      <c r="H1665">
        <v>10574</v>
      </c>
      <c r="I1665" t="s">
        <v>423</v>
      </c>
      <c r="J1665" t="s">
        <v>2056</v>
      </c>
      <c r="K1665" t="s">
        <v>2057</v>
      </c>
      <c r="L1665" t="s">
        <v>2058</v>
      </c>
      <c r="M1665">
        <v>19</v>
      </c>
      <c r="N1665">
        <v>23.55</v>
      </c>
      <c r="O1665">
        <v>2658.09</v>
      </c>
      <c r="P1665">
        <v>0</v>
      </c>
      <c r="Q1665">
        <v>2658.09</v>
      </c>
      <c r="R1665">
        <v>292.39</v>
      </c>
      <c r="S1665">
        <v>106.32</v>
      </c>
      <c r="T1665">
        <v>2844.16</v>
      </c>
      <c r="U1665" t="s">
        <v>8864</v>
      </c>
      <c r="V1665" t="s">
        <v>9408</v>
      </c>
      <c r="W1665" t="s">
        <v>423</v>
      </c>
    </row>
    <row r="1666" spans="1:23" hidden="1" x14ac:dyDescent="0.2">
      <c r="A1666">
        <v>2012</v>
      </c>
      <c r="B1666" t="s">
        <v>304</v>
      </c>
      <c r="C1666" s="733">
        <v>40960</v>
      </c>
      <c r="D16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66" t="s">
        <v>485</v>
      </c>
      <c r="F1666" t="s">
        <v>2054</v>
      </c>
      <c r="G1666" t="s">
        <v>8204</v>
      </c>
      <c r="H1666">
        <v>42333</v>
      </c>
      <c r="I1666" t="s">
        <v>423</v>
      </c>
      <c r="J1666" t="s">
        <v>2050</v>
      </c>
      <c r="K1666" t="s">
        <v>2051</v>
      </c>
      <c r="L1666" t="s">
        <v>2052</v>
      </c>
      <c r="M1666">
        <v>90</v>
      </c>
      <c r="N1666">
        <v>57.6</v>
      </c>
      <c r="O1666">
        <v>8081.86</v>
      </c>
      <c r="P1666">
        <v>0</v>
      </c>
      <c r="Q1666">
        <v>8081.86</v>
      </c>
      <c r="R1666">
        <v>1293.0999999999999</v>
      </c>
      <c r="S1666">
        <v>323.27</v>
      </c>
      <c r="T1666">
        <v>9051.69</v>
      </c>
      <c r="U1666" t="s">
        <v>8780</v>
      </c>
      <c r="V1666" t="s">
        <v>9409</v>
      </c>
      <c r="W1666" t="s">
        <v>423</v>
      </c>
    </row>
    <row r="1667" spans="1:23" hidden="1" x14ac:dyDescent="0.2">
      <c r="A1667">
        <v>2012</v>
      </c>
      <c r="B1667" t="s">
        <v>303</v>
      </c>
      <c r="C1667" s="733">
        <v>40932</v>
      </c>
      <c r="D16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67" t="s">
        <v>485</v>
      </c>
      <c r="F1667" t="s">
        <v>2065</v>
      </c>
      <c r="G1667" t="s">
        <v>2491</v>
      </c>
      <c r="H1667">
        <v>39994</v>
      </c>
      <c r="I1667" t="s">
        <v>423</v>
      </c>
      <c r="J1667" t="s">
        <v>2050</v>
      </c>
      <c r="K1667" t="s">
        <v>2051</v>
      </c>
      <c r="L1667" t="s">
        <v>2052</v>
      </c>
      <c r="M1667">
        <v>90</v>
      </c>
      <c r="N1667">
        <v>28.2</v>
      </c>
      <c r="O1667">
        <v>3956.74</v>
      </c>
      <c r="P1667">
        <v>0</v>
      </c>
      <c r="Q1667">
        <v>3956.74</v>
      </c>
      <c r="R1667">
        <v>633.08000000000004</v>
      </c>
      <c r="S1667">
        <v>158.27000000000001</v>
      </c>
      <c r="T1667">
        <v>4431.55</v>
      </c>
      <c r="U1667" t="s">
        <v>2053</v>
      </c>
      <c r="V1667" t="s">
        <v>9408</v>
      </c>
      <c r="W1667" t="s">
        <v>423</v>
      </c>
    </row>
    <row r="1668" spans="1:23" hidden="1" x14ac:dyDescent="0.2">
      <c r="A1668">
        <v>2012</v>
      </c>
      <c r="B1668" t="s">
        <v>303</v>
      </c>
      <c r="C1668" s="733">
        <v>40928</v>
      </c>
      <c r="D16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68" t="s">
        <v>485</v>
      </c>
      <c r="F1668" t="s">
        <v>2065</v>
      </c>
      <c r="G1668" t="s">
        <v>2489</v>
      </c>
      <c r="H1668">
        <v>40651</v>
      </c>
      <c r="I1668" t="s">
        <v>423</v>
      </c>
      <c r="J1668" t="s">
        <v>2050</v>
      </c>
      <c r="K1668" t="s">
        <v>2051</v>
      </c>
      <c r="L1668" t="s">
        <v>2052</v>
      </c>
      <c r="M1668">
        <v>90</v>
      </c>
      <c r="N1668">
        <v>52.45</v>
      </c>
      <c r="O1668">
        <v>7359.26</v>
      </c>
      <c r="P1668">
        <v>0</v>
      </c>
      <c r="Q1668">
        <v>7359.26</v>
      </c>
      <c r="R1668">
        <v>1177.48</v>
      </c>
      <c r="S1668">
        <v>294.37</v>
      </c>
      <c r="T1668">
        <v>8242.3700000000008</v>
      </c>
      <c r="U1668" t="s">
        <v>2062</v>
      </c>
      <c r="V1668" t="s">
        <v>9409</v>
      </c>
      <c r="W1668" t="s">
        <v>423</v>
      </c>
    </row>
    <row r="1669" spans="1:23" hidden="1" x14ac:dyDescent="0.2">
      <c r="A1669">
        <v>2012</v>
      </c>
      <c r="B1669" t="s">
        <v>305</v>
      </c>
      <c r="C1669" s="733">
        <v>40970</v>
      </c>
      <c r="D1669" s="733" t="str">
        <f>CHOOSE(MONTH(Tabla_sqldatos_bonampakdb_Bon_v_ingresos2012[[#This Row],[fecha_guia]]),"Enero","Febrero","Marzo","Abril","Mayo","Junio","Julio","Agosto","Septiembre","Octubre","Noviembre","Diciembre")</f>
        <v>Marzo</v>
      </c>
      <c r="E1669" t="s">
        <v>485</v>
      </c>
      <c r="F1669" t="s">
        <v>2054</v>
      </c>
      <c r="G1669" t="s">
        <v>9680</v>
      </c>
      <c r="H1669">
        <v>42925</v>
      </c>
      <c r="I1669" t="s">
        <v>423</v>
      </c>
      <c r="J1669" t="s">
        <v>2171</v>
      </c>
      <c r="K1669" t="s">
        <v>2051</v>
      </c>
      <c r="L1669" t="s">
        <v>2052</v>
      </c>
      <c r="M1669">
        <v>57</v>
      </c>
      <c r="N1669">
        <v>25.2</v>
      </c>
      <c r="O1669">
        <v>3535.81</v>
      </c>
      <c r="P1669">
        <v>0</v>
      </c>
      <c r="Q1669">
        <v>3535.81</v>
      </c>
      <c r="R1669">
        <v>565.73</v>
      </c>
      <c r="S1669">
        <v>141.43</v>
      </c>
      <c r="T1669">
        <v>3960.11</v>
      </c>
      <c r="V1669" t="s">
        <v>9408</v>
      </c>
      <c r="W1669" t="s">
        <v>423</v>
      </c>
    </row>
    <row r="1670" spans="1:23" hidden="1" x14ac:dyDescent="0.2">
      <c r="A1670">
        <v>2012</v>
      </c>
      <c r="B1670" t="s">
        <v>303</v>
      </c>
      <c r="C1670" s="733">
        <v>40934</v>
      </c>
      <c r="D16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70" t="s">
        <v>485</v>
      </c>
      <c r="F1670" t="s">
        <v>2065</v>
      </c>
      <c r="G1670" t="s">
        <v>3130</v>
      </c>
      <c r="H1670">
        <v>40774</v>
      </c>
      <c r="I1670" t="s">
        <v>423</v>
      </c>
      <c r="J1670" t="s">
        <v>2196</v>
      </c>
      <c r="K1670" t="s">
        <v>2183</v>
      </c>
      <c r="L1670" t="s">
        <v>2184</v>
      </c>
      <c r="M1670">
        <v>10</v>
      </c>
      <c r="N1670">
        <v>27.67</v>
      </c>
      <c r="O1670">
        <v>3123.11</v>
      </c>
      <c r="P1670">
        <v>0</v>
      </c>
      <c r="Q1670">
        <v>3123.11</v>
      </c>
      <c r="R1670">
        <v>499.7</v>
      </c>
      <c r="S1670">
        <v>124.92</v>
      </c>
      <c r="T1670">
        <v>3497.89</v>
      </c>
      <c r="U1670" t="s">
        <v>2187</v>
      </c>
      <c r="V1670" t="s">
        <v>9408</v>
      </c>
      <c r="W1670" t="s">
        <v>423</v>
      </c>
    </row>
    <row r="1671" spans="1:23" hidden="1" x14ac:dyDescent="0.2">
      <c r="A1671">
        <v>2012</v>
      </c>
      <c r="B1671" t="s">
        <v>304</v>
      </c>
      <c r="C1671" s="733">
        <v>40962.501550925925</v>
      </c>
      <c r="D16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71" t="s">
        <v>485</v>
      </c>
      <c r="F1671" t="s">
        <v>2065</v>
      </c>
      <c r="G1671" t="s">
        <v>8581</v>
      </c>
      <c r="H1671">
        <v>42471</v>
      </c>
      <c r="I1671" t="s">
        <v>423</v>
      </c>
      <c r="J1671" t="s">
        <v>2196</v>
      </c>
      <c r="K1671" t="s">
        <v>2183</v>
      </c>
      <c r="L1671" t="s">
        <v>2184</v>
      </c>
      <c r="M1671">
        <v>10</v>
      </c>
      <c r="N1671">
        <v>23.27</v>
      </c>
      <c r="O1671">
        <v>2626.48</v>
      </c>
      <c r="P1671">
        <v>0</v>
      </c>
      <c r="Q1671">
        <v>2626.48</v>
      </c>
      <c r="R1671">
        <v>420.24</v>
      </c>
      <c r="S1671">
        <v>105.06</v>
      </c>
      <c r="T1671">
        <v>2941.66</v>
      </c>
      <c r="U1671" t="s">
        <v>9411</v>
      </c>
      <c r="V1671" t="s">
        <v>9408</v>
      </c>
      <c r="W1671" t="s">
        <v>423</v>
      </c>
    </row>
    <row r="1672" spans="1:23" hidden="1" x14ac:dyDescent="0.2">
      <c r="A1672">
        <v>2012</v>
      </c>
      <c r="B1672" t="s">
        <v>303</v>
      </c>
      <c r="C1672" s="733">
        <v>40939</v>
      </c>
      <c r="D16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72" t="s">
        <v>485</v>
      </c>
      <c r="F1672" t="s">
        <v>2065</v>
      </c>
      <c r="G1672" t="s">
        <v>3129</v>
      </c>
      <c r="H1672">
        <v>41093</v>
      </c>
      <c r="I1672" t="s">
        <v>423</v>
      </c>
      <c r="J1672" t="s">
        <v>2196</v>
      </c>
      <c r="K1672" t="s">
        <v>2183</v>
      </c>
      <c r="L1672" t="s">
        <v>2184</v>
      </c>
      <c r="M1672">
        <v>10</v>
      </c>
      <c r="N1672">
        <v>45.03</v>
      </c>
      <c r="O1672">
        <v>5082.54</v>
      </c>
      <c r="P1672">
        <v>0</v>
      </c>
      <c r="Q1672">
        <v>5082.54</v>
      </c>
      <c r="R1672">
        <v>813.21</v>
      </c>
      <c r="S1672">
        <v>203.3</v>
      </c>
      <c r="T1672">
        <v>5692.45</v>
      </c>
      <c r="U1672" t="s">
        <v>3049</v>
      </c>
      <c r="V1672" t="s">
        <v>9409</v>
      </c>
      <c r="W1672" t="s">
        <v>423</v>
      </c>
    </row>
    <row r="1673" spans="1:23" hidden="1" x14ac:dyDescent="0.2">
      <c r="A1673">
        <v>2012</v>
      </c>
      <c r="B1673" t="s">
        <v>303</v>
      </c>
      <c r="C1673" s="733">
        <v>40925</v>
      </c>
      <c r="D16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73" t="s">
        <v>485</v>
      </c>
      <c r="F1673" t="s">
        <v>2065</v>
      </c>
      <c r="G1673" t="s">
        <v>6610</v>
      </c>
      <c r="H1673">
        <v>40307</v>
      </c>
      <c r="I1673" t="s">
        <v>423</v>
      </c>
      <c r="J1673" t="s">
        <v>2114</v>
      </c>
      <c r="K1673" t="s">
        <v>2102</v>
      </c>
      <c r="L1673" t="s">
        <v>2115</v>
      </c>
      <c r="M1673">
        <v>500</v>
      </c>
      <c r="N1673">
        <v>53.38</v>
      </c>
      <c r="O1673">
        <v>17949.02</v>
      </c>
      <c r="P1673">
        <v>0</v>
      </c>
      <c r="Q1673">
        <v>17949.02</v>
      </c>
      <c r="R1673">
        <v>2871.84</v>
      </c>
      <c r="S1673">
        <v>717.96</v>
      </c>
      <c r="T1673">
        <v>20102.900000000001</v>
      </c>
      <c r="U1673" t="s">
        <v>2106</v>
      </c>
      <c r="V1673" t="s">
        <v>9409</v>
      </c>
      <c r="W1673" t="s">
        <v>423</v>
      </c>
    </row>
    <row r="1674" spans="1:23" hidden="1" x14ac:dyDescent="0.2">
      <c r="A1674">
        <v>2012</v>
      </c>
      <c r="B1674" t="s">
        <v>303</v>
      </c>
      <c r="C1674" s="733">
        <v>40935</v>
      </c>
      <c r="D16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74" t="s">
        <v>485</v>
      </c>
      <c r="F1674" t="s">
        <v>2065</v>
      </c>
      <c r="G1674" t="s">
        <v>7074</v>
      </c>
      <c r="H1674">
        <v>40899</v>
      </c>
      <c r="I1674" t="s">
        <v>423</v>
      </c>
      <c r="J1674" t="s">
        <v>2139</v>
      </c>
      <c r="K1674" t="s">
        <v>2102</v>
      </c>
      <c r="L1674" t="s">
        <v>2115</v>
      </c>
      <c r="M1674">
        <v>543</v>
      </c>
      <c r="N1674">
        <v>52.03</v>
      </c>
      <c r="O1674">
        <v>17495.09</v>
      </c>
      <c r="P1674">
        <v>0</v>
      </c>
      <c r="Q1674">
        <v>17495.09</v>
      </c>
      <c r="R1674">
        <v>2799.21</v>
      </c>
      <c r="S1674">
        <v>699.8</v>
      </c>
      <c r="T1674">
        <v>19594.5</v>
      </c>
      <c r="U1674" t="s">
        <v>2110</v>
      </c>
      <c r="V1674" t="s">
        <v>9409</v>
      </c>
      <c r="W1674" t="s">
        <v>423</v>
      </c>
    </row>
    <row r="1675" spans="1:23" hidden="1" x14ac:dyDescent="0.2">
      <c r="A1675">
        <v>2012</v>
      </c>
      <c r="B1675" t="s">
        <v>304</v>
      </c>
      <c r="C1675" s="733">
        <v>40954</v>
      </c>
      <c r="D16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75" t="s">
        <v>478</v>
      </c>
      <c r="F1675" t="s">
        <v>2136</v>
      </c>
      <c r="G1675" t="s">
        <v>7919</v>
      </c>
      <c r="H1675">
        <v>35573</v>
      </c>
      <c r="I1675" t="s">
        <v>423</v>
      </c>
      <c r="J1675" t="s">
        <v>4285</v>
      </c>
      <c r="K1675" t="s">
        <v>425</v>
      </c>
      <c r="L1675" t="s">
        <v>2145</v>
      </c>
      <c r="M1675">
        <v>110</v>
      </c>
      <c r="N1675">
        <v>22.93</v>
      </c>
      <c r="O1675">
        <v>3731.86</v>
      </c>
      <c r="P1675">
        <v>0</v>
      </c>
      <c r="Q1675">
        <v>3731.86</v>
      </c>
      <c r="R1675">
        <v>597.1</v>
      </c>
      <c r="S1675">
        <v>149.27000000000001</v>
      </c>
      <c r="T1675">
        <v>4179.6899999999996</v>
      </c>
      <c r="U1675" t="s">
        <v>7553</v>
      </c>
      <c r="V1675" t="s">
        <v>9408</v>
      </c>
      <c r="W1675" t="s">
        <v>423</v>
      </c>
    </row>
    <row r="1676" spans="1:23" hidden="1" x14ac:dyDescent="0.2">
      <c r="A1676">
        <v>2012</v>
      </c>
      <c r="B1676" t="s">
        <v>303</v>
      </c>
      <c r="C1676" s="733">
        <v>40926</v>
      </c>
      <c r="D16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76" t="s">
        <v>478</v>
      </c>
      <c r="F1676" t="s">
        <v>2136</v>
      </c>
      <c r="G1676" t="s">
        <v>7063</v>
      </c>
      <c r="H1676">
        <v>34708</v>
      </c>
      <c r="I1676" t="s">
        <v>423</v>
      </c>
      <c r="J1676" t="s">
        <v>4285</v>
      </c>
      <c r="K1676" t="s">
        <v>425</v>
      </c>
      <c r="L1676" t="s">
        <v>2145</v>
      </c>
      <c r="M1676">
        <v>110</v>
      </c>
      <c r="N1676">
        <v>30.03</v>
      </c>
      <c r="O1676">
        <v>4887.38</v>
      </c>
      <c r="P1676">
        <v>0</v>
      </c>
      <c r="Q1676">
        <v>4887.38</v>
      </c>
      <c r="R1676">
        <v>781.98</v>
      </c>
      <c r="S1676">
        <v>195.5</v>
      </c>
      <c r="T1676">
        <v>5473.86</v>
      </c>
      <c r="U1676" t="s">
        <v>2146</v>
      </c>
      <c r="V1676" t="s">
        <v>9408</v>
      </c>
      <c r="W1676" t="s">
        <v>423</v>
      </c>
    </row>
    <row r="1677" spans="1:23" hidden="1" x14ac:dyDescent="0.2">
      <c r="A1677">
        <v>2012</v>
      </c>
      <c r="B1677" t="s">
        <v>303</v>
      </c>
      <c r="C1677" s="733">
        <v>40934</v>
      </c>
      <c r="D16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77" t="s">
        <v>485</v>
      </c>
      <c r="F1677" t="s">
        <v>2065</v>
      </c>
      <c r="G1677" t="s">
        <v>2357</v>
      </c>
      <c r="H1677">
        <v>40818</v>
      </c>
      <c r="I1677" t="s">
        <v>423</v>
      </c>
      <c r="J1677" t="s">
        <v>2139</v>
      </c>
      <c r="K1677" t="s">
        <v>2102</v>
      </c>
      <c r="L1677" t="s">
        <v>2115</v>
      </c>
      <c r="M1677">
        <v>543</v>
      </c>
      <c r="N1677">
        <v>48.93</v>
      </c>
      <c r="O1677">
        <v>16452.71</v>
      </c>
      <c r="P1677">
        <v>0</v>
      </c>
      <c r="Q1677">
        <v>16452.71</v>
      </c>
      <c r="R1677">
        <v>2632.43</v>
      </c>
      <c r="S1677">
        <v>658.11</v>
      </c>
      <c r="T1677">
        <v>18427.03</v>
      </c>
      <c r="U1677" t="s">
        <v>2110</v>
      </c>
      <c r="V1677" t="s">
        <v>9409</v>
      </c>
      <c r="W1677" t="s">
        <v>423</v>
      </c>
    </row>
    <row r="1678" spans="1:23" x14ac:dyDescent="0.2">
      <c r="A1678">
        <v>2012</v>
      </c>
      <c r="B1678" t="s">
        <v>304</v>
      </c>
      <c r="C1678" s="733">
        <v>40968</v>
      </c>
      <c r="D16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78" t="s">
        <v>485</v>
      </c>
      <c r="F1678" t="s">
        <v>2065</v>
      </c>
      <c r="G1678" t="s">
        <v>8936</v>
      </c>
      <c r="H1678">
        <v>42782</v>
      </c>
      <c r="I1678" t="s">
        <v>423</v>
      </c>
      <c r="J1678" t="s">
        <v>2196</v>
      </c>
      <c r="K1678" t="s">
        <v>2183</v>
      </c>
      <c r="L1678" t="s">
        <v>2184</v>
      </c>
      <c r="M1678">
        <v>10</v>
      </c>
      <c r="N1678">
        <v>49.91</v>
      </c>
      <c r="O1678">
        <v>5633.34</v>
      </c>
      <c r="P1678">
        <v>0</v>
      </c>
      <c r="Q1678">
        <v>5633.34</v>
      </c>
      <c r="R1678">
        <v>901.33</v>
      </c>
      <c r="S1678">
        <v>225.33</v>
      </c>
      <c r="T1678">
        <v>6309.34</v>
      </c>
      <c r="V1678" t="s">
        <v>9409</v>
      </c>
      <c r="W1678" t="s">
        <v>423</v>
      </c>
    </row>
    <row r="1679" spans="1:23" hidden="1" x14ac:dyDescent="0.2">
      <c r="A1679">
        <v>2012</v>
      </c>
      <c r="B1679" t="s">
        <v>303</v>
      </c>
      <c r="C1679" s="733">
        <v>40931</v>
      </c>
      <c r="D16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79" t="s">
        <v>485</v>
      </c>
      <c r="F1679" t="s">
        <v>2065</v>
      </c>
      <c r="G1679" t="s">
        <v>3142</v>
      </c>
      <c r="H1679">
        <v>40596</v>
      </c>
      <c r="I1679" t="s">
        <v>423</v>
      </c>
      <c r="J1679" t="s">
        <v>2196</v>
      </c>
      <c r="K1679" t="s">
        <v>2183</v>
      </c>
      <c r="L1679" t="s">
        <v>2184</v>
      </c>
      <c r="M1679">
        <v>10</v>
      </c>
      <c r="N1679">
        <v>54.07</v>
      </c>
      <c r="O1679">
        <v>6102.88</v>
      </c>
      <c r="P1679">
        <v>0</v>
      </c>
      <c r="Q1679">
        <v>6102.88</v>
      </c>
      <c r="R1679">
        <v>976.46</v>
      </c>
      <c r="S1679">
        <v>244.12</v>
      </c>
      <c r="T1679">
        <v>6835.22</v>
      </c>
      <c r="U1679" t="s">
        <v>2187</v>
      </c>
      <c r="V1679" t="s">
        <v>9409</v>
      </c>
      <c r="W1679" t="s">
        <v>423</v>
      </c>
    </row>
    <row r="1680" spans="1:23" hidden="1" x14ac:dyDescent="0.2">
      <c r="A1680">
        <v>2012</v>
      </c>
      <c r="B1680" t="s">
        <v>303</v>
      </c>
      <c r="C1680" s="733">
        <v>40920.42769675926</v>
      </c>
      <c r="D16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80" t="s">
        <v>485</v>
      </c>
      <c r="F1680" t="s">
        <v>2065</v>
      </c>
      <c r="G1680" t="s">
        <v>3144</v>
      </c>
      <c r="H1680">
        <v>40187</v>
      </c>
      <c r="I1680" t="s">
        <v>423</v>
      </c>
      <c r="J1680" t="s">
        <v>2196</v>
      </c>
      <c r="K1680" t="s">
        <v>2183</v>
      </c>
      <c r="L1680" t="s">
        <v>2184</v>
      </c>
      <c r="M1680">
        <v>10</v>
      </c>
      <c r="N1680">
        <v>25.46</v>
      </c>
      <c r="O1680">
        <v>2873.67</v>
      </c>
      <c r="P1680">
        <v>0</v>
      </c>
      <c r="Q1680">
        <v>2873.67</v>
      </c>
      <c r="R1680">
        <v>459.79</v>
      </c>
      <c r="S1680">
        <v>114.95</v>
      </c>
      <c r="T1680">
        <v>3218.51</v>
      </c>
      <c r="U1680" t="s">
        <v>7520</v>
      </c>
      <c r="V1680" t="s">
        <v>9408</v>
      </c>
      <c r="W1680" t="s">
        <v>423</v>
      </c>
    </row>
    <row r="1681" spans="1:23" hidden="1" x14ac:dyDescent="0.2">
      <c r="A1681">
        <v>2012</v>
      </c>
      <c r="B1681" t="s">
        <v>305</v>
      </c>
      <c r="C1681" s="733">
        <v>40970</v>
      </c>
      <c r="D1681" s="733" t="str">
        <f>CHOOSE(MONTH(Tabla_sqldatos_bonampakdb_Bon_v_ingresos2012[[#This Row],[fecha_guia]]),"Enero","Febrero","Marzo","Abril","Mayo","Junio","Julio","Agosto","Septiembre","Octubre","Noviembre","Diciembre")</f>
        <v>Marzo</v>
      </c>
      <c r="E1681" t="s">
        <v>485</v>
      </c>
      <c r="F1681" t="s">
        <v>2065</v>
      </c>
      <c r="G1681" t="s">
        <v>9460</v>
      </c>
      <c r="H1681">
        <v>42976</v>
      </c>
      <c r="I1681" t="s">
        <v>423</v>
      </c>
      <c r="J1681" t="s">
        <v>2196</v>
      </c>
      <c r="K1681" t="s">
        <v>2183</v>
      </c>
      <c r="L1681" t="s">
        <v>2184</v>
      </c>
      <c r="M1681">
        <v>10</v>
      </c>
      <c r="N1681">
        <v>50.48</v>
      </c>
      <c r="O1681">
        <v>5697.68</v>
      </c>
      <c r="P1681">
        <v>0</v>
      </c>
      <c r="Q1681">
        <v>5697.68</v>
      </c>
      <c r="R1681">
        <v>911.63</v>
      </c>
      <c r="S1681">
        <v>227.91</v>
      </c>
      <c r="T1681">
        <v>6381.4</v>
      </c>
      <c r="V1681" t="s">
        <v>9409</v>
      </c>
      <c r="W1681" t="s">
        <v>423</v>
      </c>
    </row>
    <row r="1682" spans="1:23" hidden="1" x14ac:dyDescent="0.2">
      <c r="A1682">
        <v>2012</v>
      </c>
      <c r="B1682" t="s">
        <v>304</v>
      </c>
      <c r="C1682" s="733">
        <v>40963.450439814813</v>
      </c>
      <c r="D16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82" t="s">
        <v>485</v>
      </c>
      <c r="F1682" t="s">
        <v>2065</v>
      </c>
      <c r="G1682" t="s">
        <v>8582</v>
      </c>
      <c r="H1682">
        <v>42564</v>
      </c>
      <c r="I1682" t="s">
        <v>423</v>
      </c>
      <c r="J1682" t="s">
        <v>2196</v>
      </c>
      <c r="K1682" t="s">
        <v>2183</v>
      </c>
      <c r="L1682" t="s">
        <v>2184</v>
      </c>
      <c r="M1682">
        <v>10</v>
      </c>
      <c r="N1682">
        <v>52.81</v>
      </c>
      <c r="O1682">
        <v>5960.66</v>
      </c>
      <c r="P1682">
        <v>0</v>
      </c>
      <c r="Q1682">
        <v>5960.66</v>
      </c>
      <c r="R1682">
        <v>953.71</v>
      </c>
      <c r="S1682">
        <v>238.43</v>
      </c>
      <c r="T1682">
        <v>6675.94</v>
      </c>
      <c r="U1682" t="s">
        <v>9411</v>
      </c>
      <c r="V1682" t="s">
        <v>9409</v>
      </c>
      <c r="W1682" t="s">
        <v>423</v>
      </c>
    </row>
    <row r="1683" spans="1:23" hidden="1" x14ac:dyDescent="0.2">
      <c r="A1683">
        <v>2012</v>
      </c>
      <c r="B1683" t="s">
        <v>303</v>
      </c>
      <c r="C1683" s="733">
        <v>40921</v>
      </c>
      <c r="D16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83" t="s">
        <v>485</v>
      </c>
      <c r="F1683" t="s">
        <v>2065</v>
      </c>
      <c r="G1683" t="s">
        <v>3138</v>
      </c>
      <c r="H1683">
        <v>40257</v>
      </c>
      <c r="I1683" t="s">
        <v>423</v>
      </c>
      <c r="J1683" t="s">
        <v>2196</v>
      </c>
      <c r="K1683" t="s">
        <v>2183</v>
      </c>
      <c r="L1683" t="s">
        <v>2184</v>
      </c>
      <c r="M1683">
        <v>10</v>
      </c>
      <c r="N1683">
        <v>51.01</v>
      </c>
      <c r="O1683">
        <v>5757.5</v>
      </c>
      <c r="P1683">
        <v>0</v>
      </c>
      <c r="Q1683">
        <v>5757.5</v>
      </c>
      <c r="R1683">
        <v>921.2</v>
      </c>
      <c r="S1683">
        <v>230.3</v>
      </c>
      <c r="T1683">
        <v>6448.4</v>
      </c>
      <c r="U1683" t="s">
        <v>7587</v>
      </c>
      <c r="V1683" t="s">
        <v>9409</v>
      </c>
      <c r="W1683" t="s">
        <v>423</v>
      </c>
    </row>
    <row r="1684" spans="1:23" hidden="1" x14ac:dyDescent="0.2">
      <c r="A1684">
        <v>2012</v>
      </c>
      <c r="B1684" t="s">
        <v>303</v>
      </c>
      <c r="C1684" s="733">
        <v>40933</v>
      </c>
      <c r="D16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84" t="s">
        <v>485</v>
      </c>
      <c r="F1684" t="s">
        <v>2065</v>
      </c>
      <c r="G1684" t="s">
        <v>6609</v>
      </c>
      <c r="H1684">
        <v>40761</v>
      </c>
      <c r="I1684" t="s">
        <v>423</v>
      </c>
      <c r="J1684" t="s">
        <v>2114</v>
      </c>
      <c r="K1684" t="s">
        <v>2102</v>
      </c>
      <c r="L1684" t="s">
        <v>2115</v>
      </c>
      <c r="M1684">
        <v>500</v>
      </c>
      <c r="N1684">
        <v>43.06</v>
      </c>
      <c r="O1684">
        <v>14478.92</v>
      </c>
      <c r="P1684">
        <v>0</v>
      </c>
      <c r="Q1684">
        <v>14478.92</v>
      </c>
      <c r="R1684">
        <v>2316.63</v>
      </c>
      <c r="S1684">
        <v>579.16</v>
      </c>
      <c r="T1684">
        <v>16216.39</v>
      </c>
      <c r="U1684" t="s">
        <v>2110</v>
      </c>
      <c r="V1684" t="s">
        <v>9409</v>
      </c>
      <c r="W1684" t="s">
        <v>423</v>
      </c>
    </row>
    <row r="1685" spans="1:23" hidden="1" x14ac:dyDescent="0.2">
      <c r="A1685">
        <v>2012</v>
      </c>
      <c r="B1685" t="s">
        <v>303</v>
      </c>
      <c r="C1685" s="733">
        <v>40929</v>
      </c>
      <c r="D16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85" t="s">
        <v>478</v>
      </c>
      <c r="F1685" t="s">
        <v>2136</v>
      </c>
      <c r="G1685" t="s">
        <v>2353</v>
      </c>
      <c r="H1685">
        <v>34706</v>
      </c>
      <c r="I1685" t="s">
        <v>423</v>
      </c>
      <c r="J1685" t="s">
        <v>2148</v>
      </c>
      <c r="K1685" t="s">
        <v>425</v>
      </c>
      <c r="L1685" t="s">
        <v>2145</v>
      </c>
      <c r="M1685">
        <v>205</v>
      </c>
      <c r="N1685">
        <v>23.5</v>
      </c>
      <c r="O1685">
        <v>4661.7</v>
      </c>
      <c r="P1685">
        <v>0</v>
      </c>
      <c r="Q1685">
        <v>4661.7</v>
      </c>
      <c r="R1685">
        <v>745.87</v>
      </c>
      <c r="S1685">
        <v>186.47</v>
      </c>
      <c r="T1685">
        <v>5221.1000000000004</v>
      </c>
      <c r="U1685" t="s">
        <v>2150</v>
      </c>
      <c r="V1685" t="s">
        <v>9408</v>
      </c>
      <c r="W1685" t="s">
        <v>423</v>
      </c>
    </row>
    <row r="1686" spans="1:23" hidden="1" x14ac:dyDescent="0.2">
      <c r="A1686">
        <v>2012</v>
      </c>
      <c r="B1686" t="s">
        <v>303</v>
      </c>
      <c r="C1686" s="733">
        <v>40934</v>
      </c>
      <c r="D16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86" t="s">
        <v>478</v>
      </c>
      <c r="F1686" t="s">
        <v>2136</v>
      </c>
      <c r="G1686" t="s">
        <v>2354</v>
      </c>
      <c r="H1686">
        <v>34883</v>
      </c>
      <c r="I1686" t="s">
        <v>423</v>
      </c>
      <c r="J1686" t="s">
        <v>2148</v>
      </c>
      <c r="K1686" t="s">
        <v>425</v>
      </c>
      <c r="L1686" t="s">
        <v>2145</v>
      </c>
      <c r="M1686">
        <v>205</v>
      </c>
      <c r="N1686">
        <v>21.2</v>
      </c>
      <c r="O1686">
        <v>4205.4399999999996</v>
      </c>
      <c r="P1686">
        <v>0</v>
      </c>
      <c r="Q1686">
        <v>4205.4399999999996</v>
      </c>
      <c r="R1686">
        <v>672.87</v>
      </c>
      <c r="S1686">
        <v>168.22</v>
      </c>
      <c r="T1686">
        <v>4710.09</v>
      </c>
      <c r="U1686" t="s">
        <v>2355</v>
      </c>
      <c r="V1686" t="s">
        <v>9408</v>
      </c>
      <c r="W1686" t="s">
        <v>423</v>
      </c>
    </row>
    <row r="1687" spans="1:23" hidden="1" x14ac:dyDescent="0.2">
      <c r="A1687">
        <v>2012</v>
      </c>
      <c r="B1687" t="s">
        <v>303</v>
      </c>
      <c r="C1687" s="733">
        <v>40919</v>
      </c>
      <c r="D16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87" t="s">
        <v>478</v>
      </c>
      <c r="F1687" t="s">
        <v>2136</v>
      </c>
      <c r="G1687" t="s">
        <v>6611</v>
      </c>
      <c r="H1687">
        <v>34409</v>
      </c>
      <c r="I1687" t="s">
        <v>423</v>
      </c>
      <c r="J1687" t="s">
        <v>4791</v>
      </c>
      <c r="K1687" t="s">
        <v>425</v>
      </c>
      <c r="L1687" t="s">
        <v>2145</v>
      </c>
      <c r="M1687">
        <v>139</v>
      </c>
      <c r="N1687">
        <v>24.14</v>
      </c>
      <c r="O1687">
        <v>3928.78</v>
      </c>
      <c r="P1687">
        <v>0</v>
      </c>
      <c r="Q1687">
        <v>3928.78</v>
      </c>
      <c r="R1687">
        <v>628.61</v>
      </c>
      <c r="S1687">
        <v>157.15</v>
      </c>
      <c r="T1687">
        <v>4400.24</v>
      </c>
      <c r="U1687" t="s">
        <v>2350</v>
      </c>
      <c r="V1687" t="s">
        <v>9408</v>
      </c>
      <c r="W1687" t="s">
        <v>423</v>
      </c>
    </row>
    <row r="1688" spans="1:23" hidden="1" x14ac:dyDescent="0.2">
      <c r="A1688">
        <v>2012</v>
      </c>
      <c r="B1688" t="s">
        <v>304</v>
      </c>
      <c r="C1688" s="733">
        <v>40955</v>
      </c>
      <c r="D16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88" t="s">
        <v>485</v>
      </c>
      <c r="F1688" t="s">
        <v>2065</v>
      </c>
      <c r="G1688" t="s">
        <v>7843</v>
      </c>
      <c r="H1688">
        <v>41936</v>
      </c>
      <c r="I1688" t="s">
        <v>423</v>
      </c>
      <c r="J1688" t="s">
        <v>2139</v>
      </c>
      <c r="K1688" t="s">
        <v>2102</v>
      </c>
      <c r="L1688" t="s">
        <v>2115</v>
      </c>
      <c r="M1688">
        <v>543</v>
      </c>
      <c r="N1688">
        <v>48.4</v>
      </c>
      <c r="O1688">
        <v>16274.5</v>
      </c>
      <c r="P1688">
        <v>0</v>
      </c>
      <c r="Q1688">
        <v>16274.5</v>
      </c>
      <c r="R1688">
        <v>2603.92</v>
      </c>
      <c r="S1688">
        <v>650.98</v>
      </c>
      <c r="T1688">
        <v>18227.439999999999</v>
      </c>
      <c r="U1688" t="s">
        <v>8051</v>
      </c>
      <c r="V1688" t="s">
        <v>9409</v>
      </c>
      <c r="W1688" t="s">
        <v>423</v>
      </c>
    </row>
    <row r="1689" spans="1:23" hidden="1" x14ac:dyDescent="0.2">
      <c r="A1689">
        <v>2012</v>
      </c>
      <c r="B1689" t="s">
        <v>304</v>
      </c>
      <c r="C1689" s="733">
        <v>40948</v>
      </c>
      <c r="D16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689" t="s">
        <v>485</v>
      </c>
      <c r="F1689" t="s">
        <v>2065</v>
      </c>
      <c r="G1689" t="s">
        <v>6039</v>
      </c>
      <c r="H1689">
        <v>40155</v>
      </c>
      <c r="I1689" t="s">
        <v>423</v>
      </c>
      <c r="J1689" t="s">
        <v>4523</v>
      </c>
      <c r="K1689" t="s">
        <v>2183</v>
      </c>
      <c r="L1689" t="s">
        <v>2184</v>
      </c>
      <c r="M1689">
        <v>6</v>
      </c>
      <c r="N1689">
        <v>26.23</v>
      </c>
      <c r="O1689">
        <v>5633.15</v>
      </c>
      <c r="P1689">
        <v>0</v>
      </c>
      <c r="Q1689">
        <v>5633.15</v>
      </c>
      <c r="R1689">
        <v>901.3</v>
      </c>
      <c r="S1689">
        <v>225.33</v>
      </c>
      <c r="T1689">
        <v>6309.12</v>
      </c>
      <c r="U1689" t="s">
        <v>2192</v>
      </c>
      <c r="V1689" t="s">
        <v>9408</v>
      </c>
      <c r="W1689" t="s">
        <v>423</v>
      </c>
    </row>
    <row r="1690" spans="1:23" hidden="1" x14ac:dyDescent="0.2">
      <c r="A1690">
        <v>2012</v>
      </c>
      <c r="B1690" t="s">
        <v>303</v>
      </c>
      <c r="C1690" s="733">
        <v>40926</v>
      </c>
      <c r="D16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90" t="s">
        <v>505</v>
      </c>
      <c r="F1690" t="s">
        <v>1915</v>
      </c>
      <c r="G1690" t="s">
        <v>6561</v>
      </c>
      <c r="H1690">
        <v>22056</v>
      </c>
      <c r="I1690" t="s">
        <v>423</v>
      </c>
      <c r="J1690" t="s">
        <v>4760</v>
      </c>
      <c r="K1690" t="s">
        <v>1918</v>
      </c>
      <c r="L1690" t="s">
        <v>1919</v>
      </c>
      <c r="M1690">
        <v>444</v>
      </c>
      <c r="N1690">
        <v>25.96</v>
      </c>
      <c r="O1690">
        <v>8056.43</v>
      </c>
      <c r="P1690">
        <v>0</v>
      </c>
      <c r="Q1690">
        <v>8056.43</v>
      </c>
      <c r="R1690">
        <v>1289.03</v>
      </c>
      <c r="S1690">
        <v>322.26</v>
      </c>
      <c r="T1690">
        <v>9023.2000000000007</v>
      </c>
      <c r="U1690" t="s">
        <v>8778</v>
      </c>
      <c r="V1690" t="s">
        <v>9408</v>
      </c>
      <c r="W1690" t="s">
        <v>423</v>
      </c>
    </row>
    <row r="1691" spans="1:23" hidden="1" x14ac:dyDescent="0.2">
      <c r="A1691">
        <v>2012</v>
      </c>
      <c r="B1691" t="s">
        <v>305</v>
      </c>
      <c r="C1691" s="733">
        <v>40971</v>
      </c>
      <c r="D1691" s="733" t="str">
        <f>CHOOSE(MONTH(Tabla_sqldatos_bonampakdb_Bon_v_ingresos2012[[#This Row],[fecha_guia]]),"Enero","Febrero","Marzo","Abril","Mayo","Junio","Julio","Agosto","Septiembre","Octubre","Noviembre","Diciembre")</f>
        <v>Marzo</v>
      </c>
      <c r="E1691" t="s">
        <v>505</v>
      </c>
      <c r="F1691" t="s">
        <v>1915</v>
      </c>
      <c r="G1691" t="s">
        <v>9681</v>
      </c>
      <c r="H1691">
        <v>23171</v>
      </c>
      <c r="I1691" t="s">
        <v>424</v>
      </c>
      <c r="J1691" t="s">
        <v>1954</v>
      </c>
      <c r="K1691" t="s">
        <v>1918</v>
      </c>
      <c r="L1691" t="s">
        <v>1919</v>
      </c>
      <c r="M1691">
        <v>303</v>
      </c>
      <c r="N1691">
        <v>54</v>
      </c>
      <c r="O1691">
        <v>10552.14</v>
      </c>
      <c r="P1691">
        <v>0</v>
      </c>
      <c r="Q1691">
        <v>10552.14</v>
      </c>
      <c r="R1691">
        <v>1688.34</v>
      </c>
      <c r="S1691">
        <v>422.09</v>
      </c>
      <c r="T1691">
        <v>11818.39</v>
      </c>
      <c r="V1691" t="s">
        <v>9409</v>
      </c>
      <c r="W1691" t="s">
        <v>424</v>
      </c>
    </row>
    <row r="1692" spans="1:23" hidden="1" x14ac:dyDescent="0.2">
      <c r="A1692">
        <v>2012</v>
      </c>
      <c r="B1692" t="s">
        <v>303</v>
      </c>
      <c r="C1692" s="733">
        <v>40932</v>
      </c>
      <c r="D16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92" t="s">
        <v>478</v>
      </c>
      <c r="F1692" t="s">
        <v>2136</v>
      </c>
      <c r="G1692" t="s">
        <v>7118</v>
      </c>
      <c r="H1692">
        <v>34810</v>
      </c>
      <c r="I1692" t="s">
        <v>423</v>
      </c>
      <c r="J1692" t="s">
        <v>4632</v>
      </c>
      <c r="K1692" t="s">
        <v>425</v>
      </c>
      <c r="L1692" t="s">
        <v>2145</v>
      </c>
      <c r="M1692">
        <v>1395</v>
      </c>
      <c r="N1692">
        <v>44.26</v>
      </c>
      <c r="O1692">
        <v>40134.53</v>
      </c>
      <c r="P1692">
        <v>0</v>
      </c>
      <c r="Q1692">
        <v>40134.53</v>
      </c>
      <c r="R1692">
        <v>6421.52</v>
      </c>
      <c r="S1692">
        <v>1605.38</v>
      </c>
      <c r="T1692">
        <v>44950.67</v>
      </c>
      <c r="U1692" t="s">
        <v>3234</v>
      </c>
      <c r="V1692" t="s">
        <v>9409</v>
      </c>
      <c r="W1692" t="s">
        <v>423</v>
      </c>
    </row>
    <row r="1693" spans="1:23" hidden="1" x14ac:dyDescent="0.2">
      <c r="A1693">
        <v>2012</v>
      </c>
      <c r="B1693" t="s">
        <v>303</v>
      </c>
      <c r="C1693" s="733">
        <v>40938</v>
      </c>
      <c r="D16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93" t="s">
        <v>485</v>
      </c>
      <c r="F1693" t="s">
        <v>2065</v>
      </c>
      <c r="G1693" t="s">
        <v>7121</v>
      </c>
      <c r="H1693">
        <v>41024</v>
      </c>
      <c r="I1693" t="s">
        <v>423</v>
      </c>
      <c r="J1693" t="s">
        <v>4626</v>
      </c>
      <c r="K1693" t="s">
        <v>2102</v>
      </c>
      <c r="L1693" t="s">
        <v>2115</v>
      </c>
      <c r="M1693">
        <v>1457</v>
      </c>
      <c r="N1693">
        <v>25.03</v>
      </c>
      <c r="O1693">
        <v>18520.2</v>
      </c>
      <c r="P1693">
        <v>0</v>
      </c>
      <c r="Q1693">
        <v>18520.2</v>
      </c>
      <c r="R1693">
        <v>2963.23</v>
      </c>
      <c r="S1693">
        <v>740.81</v>
      </c>
      <c r="T1693">
        <v>20742.62</v>
      </c>
      <c r="U1693" t="s">
        <v>2110</v>
      </c>
      <c r="V1693" t="s">
        <v>9408</v>
      </c>
      <c r="W1693" t="s">
        <v>423</v>
      </c>
    </row>
    <row r="1694" spans="1:23" hidden="1" x14ac:dyDescent="0.2">
      <c r="A1694">
        <v>2012</v>
      </c>
      <c r="B1694" t="s">
        <v>303</v>
      </c>
      <c r="C1694" s="733">
        <v>40920</v>
      </c>
      <c r="D16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94" t="s">
        <v>485</v>
      </c>
      <c r="F1694" t="s">
        <v>2065</v>
      </c>
      <c r="G1694" t="s">
        <v>7108</v>
      </c>
      <c r="H1694">
        <v>40018</v>
      </c>
      <c r="I1694" t="s">
        <v>423</v>
      </c>
      <c r="J1694" t="s">
        <v>4626</v>
      </c>
      <c r="K1694" t="s">
        <v>2102</v>
      </c>
      <c r="L1694" t="s">
        <v>2115</v>
      </c>
      <c r="M1694">
        <v>1457</v>
      </c>
      <c r="N1694">
        <v>53.37</v>
      </c>
      <c r="O1694">
        <v>39489.53</v>
      </c>
      <c r="P1694">
        <v>0</v>
      </c>
      <c r="Q1694">
        <v>39489.53</v>
      </c>
      <c r="R1694">
        <v>6318.32</v>
      </c>
      <c r="S1694">
        <v>1579.58</v>
      </c>
      <c r="T1694">
        <v>44228.27</v>
      </c>
      <c r="U1694" t="s">
        <v>2106</v>
      </c>
      <c r="V1694" t="s">
        <v>9409</v>
      </c>
      <c r="W1694" t="s">
        <v>423</v>
      </c>
    </row>
    <row r="1695" spans="1:23" hidden="1" x14ac:dyDescent="0.2">
      <c r="A1695">
        <v>2012</v>
      </c>
      <c r="B1695" t="s">
        <v>305</v>
      </c>
      <c r="C1695" s="733">
        <v>40970</v>
      </c>
      <c r="D1695" s="733" t="str">
        <f>CHOOSE(MONTH(Tabla_sqldatos_bonampakdb_Bon_v_ingresos2012[[#This Row],[fecha_guia]]),"Enero","Febrero","Marzo","Abril","Mayo","Junio","Julio","Agosto","Septiembre","Octubre","Noviembre","Diciembre")</f>
        <v>Marzo</v>
      </c>
      <c r="E1695" t="s">
        <v>485</v>
      </c>
      <c r="F1695" t="s">
        <v>2065</v>
      </c>
      <c r="G1695" t="s">
        <v>9479</v>
      </c>
      <c r="H1695">
        <v>42670</v>
      </c>
      <c r="I1695" t="s">
        <v>423</v>
      </c>
      <c r="J1695" t="s">
        <v>4626</v>
      </c>
      <c r="K1695" t="s">
        <v>2102</v>
      </c>
      <c r="L1695" t="s">
        <v>2115</v>
      </c>
      <c r="M1695">
        <v>1457</v>
      </c>
      <c r="N1695">
        <v>51.08</v>
      </c>
      <c r="O1695">
        <v>37795.11</v>
      </c>
      <c r="P1695">
        <v>0</v>
      </c>
      <c r="Q1695">
        <v>37795.11</v>
      </c>
      <c r="R1695">
        <v>6047.22</v>
      </c>
      <c r="S1695">
        <v>1511.8</v>
      </c>
      <c r="T1695">
        <v>42330.53</v>
      </c>
      <c r="V1695" t="s">
        <v>9409</v>
      </c>
      <c r="W1695" t="s">
        <v>423</v>
      </c>
    </row>
    <row r="1696" spans="1:23" hidden="1" x14ac:dyDescent="0.2">
      <c r="A1696">
        <v>2012</v>
      </c>
      <c r="B1696" t="s">
        <v>303</v>
      </c>
      <c r="C1696" s="733">
        <v>40926.74931712963</v>
      </c>
      <c r="D16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96" t="s">
        <v>485</v>
      </c>
      <c r="F1696" t="s">
        <v>2054</v>
      </c>
      <c r="G1696" t="s">
        <v>2250</v>
      </c>
      <c r="H1696">
        <v>10120</v>
      </c>
      <c r="I1696" t="s">
        <v>423</v>
      </c>
      <c r="J1696" t="s">
        <v>2072</v>
      </c>
      <c r="K1696" t="s">
        <v>2057</v>
      </c>
      <c r="L1696" t="s">
        <v>2058</v>
      </c>
      <c r="M1696">
        <v>406</v>
      </c>
      <c r="N1696">
        <v>46.75</v>
      </c>
      <c r="O1696">
        <v>12775.84</v>
      </c>
      <c r="P1696">
        <v>0</v>
      </c>
      <c r="Q1696">
        <v>12775.84</v>
      </c>
      <c r="R1696">
        <v>2044.13</v>
      </c>
      <c r="S1696">
        <v>511.03</v>
      </c>
      <c r="T1696">
        <v>14308.94</v>
      </c>
      <c r="U1696" t="s">
        <v>2077</v>
      </c>
      <c r="V1696" t="s">
        <v>9409</v>
      </c>
      <c r="W1696" t="s">
        <v>423</v>
      </c>
    </row>
    <row r="1697" spans="1:23" hidden="1" x14ac:dyDescent="0.2">
      <c r="A1697">
        <v>2012</v>
      </c>
      <c r="B1697" t="s">
        <v>303</v>
      </c>
      <c r="C1697" s="733">
        <v>40932</v>
      </c>
      <c r="D16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97" t="s">
        <v>485</v>
      </c>
      <c r="F1697" t="s">
        <v>2054</v>
      </c>
      <c r="G1697" t="s">
        <v>2263</v>
      </c>
      <c r="H1697">
        <v>10174</v>
      </c>
      <c r="I1697" t="s">
        <v>423</v>
      </c>
      <c r="J1697" t="s">
        <v>2072</v>
      </c>
      <c r="K1697" t="s">
        <v>2057</v>
      </c>
      <c r="L1697" t="s">
        <v>2058</v>
      </c>
      <c r="M1697">
        <v>406</v>
      </c>
      <c r="N1697">
        <v>46.94</v>
      </c>
      <c r="O1697">
        <v>12827.76</v>
      </c>
      <c r="P1697">
        <v>0</v>
      </c>
      <c r="Q1697">
        <v>12827.76</v>
      </c>
      <c r="R1697">
        <v>2052.44</v>
      </c>
      <c r="S1697">
        <v>513.11</v>
      </c>
      <c r="T1697">
        <v>14367.09</v>
      </c>
      <c r="U1697" t="s">
        <v>2073</v>
      </c>
      <c r="V1697" t="s">
        <v>9409</v>
      </c>
      <c r="W1697" t="s">
        <v>423</v>
      </c>
    </row>
    <row r="1698" spans="1:23" hidden="1" x14ac:dyDescent="0.2">
      <c r="A1698">
        <v>2012</v>
      </c>
      <c r="B1698" t="s">
        <v>303</v>
      </c>
      <c r="C1698" s="733">
        <v>40939</v>
      </c>
      <c r="D16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98" t="s">
        <v>485</v>
      </c>
      <c r="F1698" t="s">
        <v>2054</v>
      </c>
      <c r="G1698" t="s">
        <v>2264</v>
      </c>
      <c r="H1698">
        <v>9979</v>
      </c>
      <c r="I1698" t="s">
        <v>423</v>
      </c>
      <c r="J1698" t="s">
        <v>2072</v>
      </c>
      <c r="K1698" t="s">
        <v>2057</v>
      </c>
      <c r="L1698" t="s">
        <v>2058</v>
      </c>
      <c r="M1698">
        <v>406</v>
      </c>
      <c r="N1698">
        <v>23.78</v>
      </c>
      <c r="O1698">
        <v>6498.6</v>
      </c>
      <c r="P1698">
        <v>0</v>
      </c>
      <c r="Q1698">
        <v>6498.6</v>
      </c>
      <c r="R1698">
        <v>1039.78</v>
      </c>
      <c r="S1698">
        <v>259.94</v>
      </c>
      <c r="T1698">
        <v>7278.44</v>
      </c>
      <c r="U1698" t="s">
        <v>2073</v>
      </c>
      <c r="V1698" t="s">
        <v>9409</v>
      </c>
      <c r="W1698" t="s">
        <v>423</v>
      </c>
    </row>
    <row r="1699" spans="1:23" hidden="1" x14ac:dyDescent="0.2">
      <c r="A1699">
        <v>2012</v>
      </c>
      <c r="B1699" t="s">
        <v>303</v>
      </c>
      <c r="C1699" s="733">
        <v>40926.513252314813</v>
      </c>
      <c r="D16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699" t="s">
        <v>485</v>
      </c>
      <c r="F1699" t="s">
        <v>2054</v>
      </c>
      <c r="G1699" t="s">
        <v>2266</v>
      </c>
      <c r="H1699">
        <v>10111</v>
      </c>
      <c r="I1699" t="s">
        <v>423</v>
      </c>
      <c r="J1699" t="s">
        <v>2072</v>
      </c>
      <c r="K1699" t="s">
        <v>2057</v>
      </c>
      <c r="L1699" t="s">
        <v>2058</v>
      </c>
      <c r="M1699">
        <v>406</v>
      </c>
      <c r="N1699">
        <v>23.93</v>
      </c>
      <c r="O1699">
        <v>6539.59</v>
      </c>
      <c r="P1699">
        <v>0</v>
      </c>
      <c r="Q1699">
        <v>6539.59</v>
      </c>
      <c r="R1699">
        <v>1046.33</v>
      </c>
      <c r="S1699">
        <v>261.58</v>
      </c>
      <c r="T1699">
        <v>7324.34</v>
      </c>
      <c r="U1699" t="s">
        <v>2077</v>
      </c>
      <c r="V1699" t="s">
        <v>9408</v>
      </c>
      <c r="W1699" t="s">
        <v>423</v>
      </c>
    </row>
    <row r="1700" spans="1:23" hidden="1" x14ac:dyDescent="0.2">
      <c r="A1700">
        <v>2012</v>
      </c>
      <c r="B1700" t="s">
        <v>304</v>
      </c>
      <c r="C1700" s="733">
        <v>40948</v>
      </c>
      <c r="D17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00" t="s">
        <v>485</v>
      </c>
      <c r="F1700" t="s">
        <v>2054</v>
      </c>
      <c r="G1700" t="s">
        <v>6050</v>
      </c>
      <c r="H1700">
        <v>10358</v>
      </c>
      <c r="I1700" t="s">
        <v>423</v>
      </c>
      <c r="J1700" t="s">
        <v>2072</v>
      </c>
      <c r="K1700" t="s">
        <v>2057</v>
      </c>
      <c r="L1700" t="s">
        <v>2058</v>
      </c>
      <c r="M1700">
        <v>406</v>
      </c>
      <c r="N1700">
        <v>29.9</v>
      </c>
      <c r="O1700">
        <v>8171.07</v>
      </c>
      <c r="P1700">
        <v>0</v>
      </c>
      <c r="Q1700">
        <v>8171.07</v>
      </c>
      <c r="R1700">
        <v>898.82</v>
      </c>
      <c r="S1700">
        <v>326.83999999999997</v>
      </c>
      <c r="T1700">
        <v>8743.0499999999993</v>
      </c>
      <c r="U1700" t="s">
        <v>2082</v>
      </c>
      <c r="V1700" t="s">
        <v>9408</v>
      </c>
      <c r="W1700" t="s">
        <v>423</v>
      </c>
    </row>
    <row r="1701" spans="1:23" hidden="1" x14ac:dyDescent="0.2">
      <c r="A1701">
        <v>2012</v>
      </c>
      <c r="B1701" t="s">
        <v>304</v>
      </c>
      <c r="C1701" s="733">
        <v>40952.484618055554</v>
      </c>
      <c r="D17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01" t="s">
        <v>485</v>
      </c>
      <c r="F1701" t="s">
        <v>2054</v>
      </c>
      <c r="G1701" t="s">
        <v>6051</v>
      </c>
      <c r="H1701">
        <v>10401</v>
      </c>
      <c r="I1701" t="s">
        <v>423</v>
      </c>
      <c r="J1701" t="s">
        <v>2072</v>
      </c>
      <c r="K1701" t="s">
        <v>2057</v>
      </c>
      <c r="L1701" t="s">
        <v>2058</v>
      </c>
      <c r="M1701">
        <v>406</v>
      </c>
      <c r="N1701">
        <v>30.99</v>
      </c>
      <c r="O1701">
        <v>8468.9500000000007</v>
      </c>
      <c r="P1701">
        <v>0</v>
      </c>
      <c r="Q1701">
        <v>8468.9500000000007</v>
      </c>
      <c r="R1701">
        <v>931.58</v>
      </c>
      <c r="S1701">
        <v>338.76</v>
      </c>
      <c r="T1701">
        <v>9061.77</v>
      </c>
      <c r="U1701" t="s">
        <v>8047</v>
      </c>
      <c r="V1701" t="s">
        <v>9408</v>
      </c>
      <c r="W1701" t="s">
        <v>423</v>
      </c>
    </row>
    <row r="1702" spans="1:23" hidden="1" x14ac:dyDescent="0.2">
      <c r="A1702">
        <v>2012</v>
      </c>
      <c r="B1702" t="s">
        <v>303</v>
      </c>
      <c r="C1702" s="733">
        <v>40936.555162037039</v>
      </c>
      <c r="D17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02" t="s">
        <v>485</v>
      </c>
      <c r="F1702" t="s">
        <v>2054</v>
      </c>
      <c r="G1702" t="s">
        <v>2267</v>
      </c>
      <c r="H1702">
        <v>10250</v>
      </c>
      <c r="I1702" t="s">
        <v>423</v>
      </c>
      <c r="J1702" t="s">
        <v>2072</v>
      </c>
      <c r="K1702" t="s">
        <v>2057</v>
      </c>
      <c r="L1702" t="s">
        <v>2058</v>
      </c>
      <c r="M1702">
        <v>406</v>
      </c>
      <c r="N1702">
        <v>48.88</v>
      </c>
      <c r="O1702">
        <v>13357.93</v>
      </c>
      <c r="P1702">
        <v>0</v>
      </c>
      <c r="Q1702">
        <v>13357.93</v>
      </c>
      <c r="R1702">
        <v>2137.27</v>
      </c>
      <c r="S1702">
        <v>534.32000000000005</v>
      </c>
      <c r="T1702">
        <v>14960.88</v>
      </c>
      <c r="U1702" t="s">
        <v>2073</v>
      </c>
      <c r="V1702" t="s">
        <v>9409</v>
      </c>
      <c r="W1702" t="s">
        <v>423</v>
      </c>
    </row>
    <row r="1703" spans="1:23" hidden="1" x14ac:dyDescent="0.2">
      <c r="A1703">
        <v>2012</v>
      </c>
      <c r="B1703" t="s">
        <v>303</v>
      </c>
      <c r="C1703" s="733">
        <v>40932</v>
      </c>
      <c r="D17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03" t="s">
        <v>485</v>
      </c>
      <c r="F1703" t="s">
        <v>2054</v>
      </c>
      <c r="G1703" t="s">
        <v>2253</v>
      </c>
      <c r="H1703">
        <v>10178</v>
      </c>
      <c r="I1703" t="s">
        <v>423</v>
      </c>
      <c r="J1703" t="s">
        <v>2072</v>
      </c>
      <c r="K1703" t="s">
        <v>2057</v>
      </c>
      <c r="L1703" t="s">
        <v>2058</v>
      </c>
      <c r="M1703">
        <v>406</v>
      </c>
      <c r="N1703">
        <v>47.13</v>
      </c>
      <c r="O1703">
        <v>12879.69</v>
      </c>
      <c r="P1703">
        <v>0</v>
      </c>
      <c r="Q1703">
        <v>12879.69</v>
      </c>
      <c r="R1703">
        <v>2060.75</v>
      </c>
      <c r="S1703">
        <v>515.19000000000005</v>
      </c>
      <c r="T1703">
        <v>14425.25</v>
      </c>
      <c r="U1703" t="s">
        <v>2075</v>
      </c>
      <c r="V1703" t="s">
        <v>9409</v>
      </c>
      <c r="W1703" t="s">
        <v>423</v>
      </c>
    </row>
    <row r="1704" spans="1:23" hidden="1" x14ac:dyDescent="0.2">
      <c r="A1704">
        <v>2012</v>
      </c>
      <c r="B1704" t="s">
        <v>303</v>
      </c>
      <c r="C1704" s="733">
        <v>40921</v>
      </c>
      <c r="D17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04" t="s">
        <v>505</v>
      </c>
      <c r="F1704" t="s">
        <v>1915</v>
      </c>
      <c r="G1704" t="s">
        <v>2379</v>
      </c>
      <c r="H1704">
        <v>21945</v>
      </c>
      <c r="I1704" t="s">
        <v>423</v>
      </c>
      <c r="J1704" t="s">
        <v>1943</v>
      </c>
      <c r="K1704" t="s">
        <v>1918</v>
      </c>
      <c r="L1704" t="s">
        <v>1919</v>
      </c>
      <c r="M1704">
        <v>319</v>
      </c>
      <c r="N1704">
        <v>54.22</v>
      </c>
      <c r="O1704">
        <v>15899.47</v>
      </c>
      <c r="P1704">
        <v>0</v>
      </c>
      <c r="Q1704">
        <v>15899.47</v>
      </c>
      <c r="R1704">
        <v>2543.92</v>
      </c>
      <c r="S1704">
        <v>635.98</v>
      </c>
      <c r="T1704">
        <v>17807.41</v>
      </c>
      <c r="U1704" t="s">
        <v>1931</v>
      </c>
      <c r="V1704" t="s">
        <v>9409</v>
      </c>
      <c r="W1704" t="s">
        <v>423</v>
      </c>
    </row>
    <row r="1705" spans="1:23" hidden="1" x14ac:dyDescent="0.2">
      <c r="A1705">
        <v>2012</v>
      </c>
      <c r="B1705" t="s">
        <v>303</v>
      </c>
      <c r="C1705" s="733">
        <v>40921</v>
      </c>
      <c r="D17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05" t="s">
        <v>505</v>
      </c>
      <c r="F1705" t="s">
        <v>1915</v>
      </c>
      <c r="G1705" t="s">
        <v>3091</v>
      </c>
      <c r="H1705">
        <v>21935</v>
      </c>
      <c r="I1705" t="s">
        <v>423</v>
      </c>
      <c r="J1705" t="s">
        <v>1943</v>
      </c>
      <c r="K1705" t="s">
        <v>1918</v>
      </c>
      <c r="L1705" t="s">
        <v>1919</v>
      </c>
      <c r="M1705">
        <v>319</v>
      </c>
      <c r="N1705">
        <v>50.61</v>
      </c>
      <c r="O1705">
        <v>14840.88</v>
      </c>
      <c r="P1705">
        <v>0</v>
      </c>
      <c r="Q1705">
        <v>14840.88</v>
      </c>
      <c r="R1705">
        <v>2374.54</v>
      </c>
      <c r="S1705">
        <v>593.64</v>
      </c>
      <c r="T1705">
        <v>16621.78</v>
      </c>
      <c r="U1705" t="s">
        <v>1931</v>
      </c>
      <c r="V1705" t="s">
        <v>9409</v>
      </c>
      <c r="W1705" t="s">
        <v>423</v>
      </c>
    </row>
    <row r="1706" spans="1:23" hidden="1" x14ac:dyDescent="0.2">
      <c r="A1706">
        <v>2012</v>
      </c>
      <c r="B1706" t="s">
        <v>303</v>
      </c>
      <c r="C1706" s="733">
        <v>40928</v>
      </c>
      <c r="D17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06" t="s">
        <v>505</v>
      </c>
      <c r="F1706" t="s">
        <v>1915</v>
      </c>
      <c r="G1706" t="s">
        <v>6577</v>
      </c>
      <c r="H1706">
        <v>22119</v>
      </c>
      <c r="I1706" t="s">
        <v>423</v>
      </c>
      <c r="J1706" t="s">
        <v>1943</v>
      </c>
      <c r="K1706" t="s">
        <v>1918</v>
      </c>
      <c r="L1706" t="s">
        <v>1919</v>
      </c>
      <c r="M1706">
        <v>319</v>
      </c>
      <c r="N1706">
        <v>26.75</v>
      </c>
      <c r="O1706">
        <v>7844.17</v>
      </c>
      <c r="P1706">
        <v>0</v>
      </c>
      <c r="Q1706">
        <v>7844.17</v>
      </c>
      <c r="R1706">
        <v>1255.07</v>
      </c>
      <c r="S1706">
        <v>313.77</v>
      </c>
      <c r="T1706">
        <v>8785.4699999999993</v>
      </c>
      <c r="U1706" t="s">
        <v>1936</v>
      </c>
      <c r="V1706" t="s">
        <v>9408</v>
      </c>
      <c r="W1706" t="s">
        <v>423</v>
      </c>
    </row>
    <row r="1707" spans="1:23" hidden="1" x14ac:dyDescent="0.2">
      <c r="A1707">
        <v>2012</v>
      </c>
      <c r="B1707" t="s">
        <v>304</v>
      </c>
      <c r="C1707" s="733">
        <v>40942</v>
      </c>
      <c r="D17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07" t="s">
        <v>505</v>
      </c>
      <c r="F1707" t="s">
        <v>1915</v>
      </c>
      <c r="G1707" t="s">
        <v>6556</v>
      </c>
      <c r="H1707">
        <v>22473</v>
      </c>
      <c r="I1707" t="s">
        <v>423</v>
      </c>
      <c r="J1707" t="s">
        <v>1943</v>
      </c>
      <c r="K1707" t="s">
        <v>1918</v>
      </c>
      <c r="L1707" t="s">
        <v>1919</v>
      </c>
      <c r="M1707">
        <v>319</v>
      </c>
      <c r="N1707">
        <v>53.96</v>
      </c>
      <c r="O1707">
        <v>15823.23</v>
      </c>
      <c r="P1707">
        <v>0</v>
      </c>
      <c r="Q1707">
        <v>15823.23</v>
      </c>
      <c r="R1707">
        <v>2531.7199999999998</v>
      </c>
      <c r="S1707">
        <v>632.92999999999995</v>
      </c>
      <c r="T1707">
        <v>17722.02</v>
      </c>
      <c r="U1707" t="s">
        <v>1924</v>
      </c>
      <c r="V1707" t="s">
        <v>9409</v>
      </c>
      <c r="W1707" t="s">
        <v>423</v>
      </c>
    </row>
    <row r="1708" spans="1:23" x14ac:dyDescent="0.2">
      <c r="A1708">
        <v>2012</v>
      </c>
      <c r="B1708" t="s">
        <v>304</v>
      </c>
      <c r="C1708" s="733">
        <v>40967.438831018517</v>
      </c>
      <c r="D17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08" t="s">
        <v>485</v>
      </c>
      <c r="F1708" t="s">
        <v>2054</v>
      </c>
      <c r="G1708" t="s">
        <v>9005</v>
      </c>
      <c r="H1708">
        <v>10597</v>
      </c>
      <c r="I1708" t="s">
        <v>423</v>
      </c>
      <c r="J1708" t="s">
        <v>2072</v>
      </c>
      <c r="K1708" t="s">
        <v>2057</v>
      </c>
      <c r="L1708" t="s">
        <v>2058</v>
      </c>
      <c r="M1708">
        <v>406</v>
      </c>
      <c r="N1708">
        <v>46.32</v>
      </c>
      <c r="O1708">
        <v>12658.33</v>
      </c>
      <c r="P1708">
        <v>0</v>
      </c>
      <c r="Q1708">
        <v>12658.33</v>
      </c>
      <c r="R1708">
        <v>1392.42</v>
      </c>
      <c r="S1708">
        <v>506.33</v>
      </c>
      <c r="T1708">
        <v>13544.42</v>
      </c>
      <c r="V1708" t="s">
        <v>9409</v>
      </c>
      <c r="W1708" t="s">
        <v>423</v>
      </c>
    </row>
    <row r="1709" spans="1:23" x14ac:dyDescent="0.2">
      <c r="A1709">
        <v>2012</v>
      </c>
      <c r="B1709" t="s">
        <v>304</v>
      </c>
      <c r="C1709" s="733">
        <v>40967.420578703706</v>
      </c>
      <c r="D17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09" t="s">
        <v>485</v>
      </c>
      <c r="F1709" t="s">
        <v>2054</v>
      </c>
      <c r="G1709" t="s">
        <v>9006</v>
      </c>
      <c r="H1709">
        <v>10589</v>
      </c>
      <c r="I1709" t="s">
        <v>423</v>
      </c>
      <c r="J1709" t="s">
        <v>2072</v>
      </c>
      <c r="K1709" t="s">
        <v>2057</v>
      </c>
      <c r="L1709" t="s">
        <v>2058</v>
      </c>
      <c r="M1709">
        <v>406</v>
      </c>
      <c r="N1709">
        <v>45.58</v>
      </c>
      <c r="O1709">
        <v>12456.1</v>
      </c>
      <c r="P1709">
        <v>0</v>
      </c>
      <c r="Q1709">
        <v>12456.1</v>
      </c>
      <c r="R1709">
        <v>1370.17</v>
      </c>
      <c r="S1709">
        <v>498.24</v>
      </c>
      <c r="T1709">
        <v>13328.03</v>
      </c>
      <c r="V1709" t="s">
        <v>9409</v>
      </c>
      <c r="W1709" t="s">
        <v>423</v>
      </c>
    </row>
    <row r="1710" spans="1:23" hidden="1" x14ac:dyDescent="0.2">
      <c r="A1710">
        <v>2012</v>
      </c>
      <c r="B1710" t="s">
        <v>303</v>
      </c>
      <c r="C1710" s="733">
        <v>40921.473946759259</v>
      </c>
      <c r="D17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10" t="s">
        <v>485</v>
      </c>
      <c r="F1710" t="s">
        <v>2054</v>
      </c>
      <c r="G1710" t="s">
        <v>2261</v>
      </c>
      <c r="H1710">
        <v>10053</v>
      </c>
      <c r="I1710" t="s">
        <v>423</v>
      </c>
      <c r="J1710" t="s">
        <v>2072</v>
      </c>
      <c r="K1710" t="s">
        <v>2057</v>
      </c>
      <c r="L1710" t="s">
        <v>2058</v>
      </c>
      <c r="M1710">
        <v>406</v>
      </c>
      <c r="N1710">
        <v>47.06</v>
      </c>
      <c r="O1710">
        <v>12860.56</v>
      </c>
      <c r="P1710">
        <v>0</v>
      </c>
      <c r="Q1710">
        <v>12860.56</v>
      </c>
      <c r="R1710">
        <v>2057.69</v>
      </c>
      <c r="S1710">
        <v>514.41999999999996</v>
      </c>
      <c r="T1710">
        <v>14403.83</v>
      </c>
      <c r="V1710" t="s">
        <v>9409</v>
      </c>
      <c r="W1710" t="s">
        <v>423</v>
      </c>
    </row>
    <row r="1711" spans="1:23" hidden="1" x14ac:dyDescent="0.2">
      <c r="A1711">
        <v>2012</v>
      </c>
      <c r="B1711" t="s">
        <v>304</v>
      </c>
      <c r="C1711" s="733">
        <v>40942.492465277777</v>
      </c>
      <c r="D17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11" t="s">
        <v>485</v>
      </c>
      <c r="F1711" t="s">
        <v>2054</v>
      </c>
      <c r="G1711" t="s">
        <v>2262</v>
      </c>
      <c r="H1711">
        <v>10298</v>
      </c>
      <c r="I1711" t="s">
        <v>423</v>
      </c>
      <c r="J1711" t="s">
        <v>2072</v>
      </c>
      <c r="K1711" t="s">
        <v>2057</v>
      </c>
      <c r="L1711" t="s">
        <v>2058</v>
      </c>
      <c r="M1711">
        <v>406</v>
      </c>
      <c r="N1711">
        <v>46.89</v>
      </c>
      <c r="O1711">
        <v>12814.1</v>
      </c>
      <c r="P1711">
        <v>0</v>
      </c>
      <c r="Q1711">
        <v>12814.1</v>
      </c>
      <c r="R1711">
        <v>2050.2600000000002</v>
      </c>
      <c r="S1711">
        <v>512.55999999999995</v>
      </c>
      <c r="T1711">
        <v>14351.8</v>
      </c>
      <c r="U1711" t="s">
        <v>2075</v>
      </c>
      <c r="V1711" t="s">
        <v>9409</v>
      </c>
      <c r="W1711" t="s">
        <v>423</v>
      </c>
    </row>
    <row r="1712" spans="1:23" hidden="1" x14ac:dyDescent="0.2">
      <c r="A1712">
        <v>2012</v>
      </c>
      <c r="B1712" t="s">
        <v>304</v>
      </c>
      <c r="C1712" s="733">
        <v>40963.490937499999</v>
      </c>
      <c r="D17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12" t="s">
        <v>485</v>
      </c>
      <c r="F1712" t="s">
        <v>2054</v>
      </c>
      <c r="G1712" t="s">
        <v>8749</v>
      </c>
      <c r="H1712">
        <v>10535</v>
      </c>
      <c r="I1712" t="s">
        <v>423</v>
      </c>
      <c r="J1712" t="s">
        <v>2072</v>
      </c>
      <c r="K1712" t="s">
        <v>2057</v>
      </c>
      <c r="L1712" t="s">
        <v>2058</v>
      </c>
      <c r="M1712">
        <v>406</v>
      </c>
      <c r="N1712">
        <v>46.04</v>
      </c>
      <c r="O1712">
        <v>12581.81</v>
      </c>
      <c r="P1712">
        <v>0</v>
      </c>
      <c r="Q1712">
        <v>12581.81</v>
      </c>
      <c r="R1712">
        <v>1384</v>
      </c>
      <c r="S1712">
        <v>503.27</v>
      </c>
      <c r="T1712">
        <v>13462.54</v>
      </c>
      <c r="U1712" t="s">
        <v>8864</v>
      </c>
      <c r="V1712" t="s">
        <v>9409</v>
      </c>
      <c r="W1712" t="s">
        <v>423</v>
      </c>
    </row>
    <row r="1713" spans="1:23" hidden="1" x14ac:dyDescent="0.2">
      <c r="A1713">
        <v>2012</v>
      </c>
      <c r="B1713" t="s">
        <v>303</v>
      </c>
      <c r="C1713" s="733">
        <v>40915</v>
      </c>
      <c r="D17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13" t="s">
        <v>505</v>
      </c>
      <c r="F1713" t="s">
        <v>1915</v>
      </c>
      <c r="G1713" t="s">
        <v>3089</v>
      </c>
      <c r="H1713">
        <v>21756</v>
      </c>
      <c r="I1713" t="s">
        <v>423</v>
      </c>
      <c r="J1713" t="s">
        <v>1943</v>
      </c>
      <c r="K1713" t="s">
        <v>1918</v>
      </c>
      <c r="L1713" t="s">
        <v>1919</v>
      </c>
      <c r="M1713">
        <v>319</v>
      </c>
      <c r="N1713">
        <v>52.85</v>
      </c>
      <c r="O1713">
        <v>15497.73</v>
      </c>
      <c r="P1713">
        <v>0</v>
      </c>
      <c r="Q1713">
        <v>15497.73</v>
      </c>
      <c r="R1713">
        <v>2479.64</v>
      </c>
      <c r="S1713">
        <v>619.91</v>
      </c>
      <c r="T1713">
        <v>17357.46</v>
      </c>
      <c r="U1713" t="s">
        <v>1920</v>
      </c>
      <c r="V1713" t="s">
        <v>9409</v>
      </c>
      <c r="W1713" t="s">
        <v>423</v>
      </c>
    </row>
    <row r="1714" spans="1:23" hidden="1" x14ac:dyDescent="0.2">
      <c r="A1714">
        <v>2012</v>
      </c>
      <c r="B1714" t="s">
        <v>304</v>
      </c>
      <c r="C1714" s="733">
        <v>40947</v>
      </c>
      <c r="D17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14" t="s">
        <v>505</v>
      </c>
      <c r="F1714" t="s">
        <v>1915</v>
      </c>
      <c r="G1714" t="s">
        <v>6555</v>
      </c>
      <c r="H1714">
        <v>22531</v>
      </c>
      <c r="I1714" t="s">
        <v>423</v>
      </c>
      <c r="J1714" t="s">
        <v>1943</v>
      </c>
      <c r="K1714" t="s">
        <v>1918</v>
      </c>
      <c r="L1714" t="s">
        <v>1919</v>
      </c>
      <c r="M1714">
        <v>319</v>
      </c>
      <c r="N1714">
        <v>54.2</v>
      </c>
      <c r="O1714">
        <v>15893.61</v>
      </c>
      <c r="P1714">
        <v>0</v>
      </c>
      <c r="Q1714">
        <v>15893.61</v>
      </c>
      <c r="R1714">
        <v>2542.98</v>
      </c>
      <c r="S1714">
        <v>635.74</v>
      </c>
      <c r="T1714">
        <v>17800.849999999999</v>
      </c>
      <c r="U1714" t="s">
        <v>1924</v>
      </c>
      <c r="V1714" t="s">
        <v>9409</v>
      </c>
      <c r="W1714" t="s">
        <v>423</v>
      </c>
    </row>
    <row r="1715" spans="1:23" hidden="1" x14ac:dyDescent="0.2">
      <c r="A1715">
        <v>2012</v>
      </c>
      <c r="B1715" t="s">
        <v>303</v>
      </c>
      <c r="C1715" s="733">
        <v>40910</v>
      </c>
      <c r="D17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15" t="s">
        <v>505</v>
      </c>
      <c r="F1715" t="s">
        <v>1915</v>
      </c>
      <c r="G1715" t="s">
        <v>3092</v>
      </c>
      <c r="H1715">
        <v>21301</v>
      </c>
      <c r="I1715" t="s">
        <v>423</v>
      </c>
      <c r="J1715" t="s">
        <v>1943</v>
      </c>
      <c r="K1715" t="s">
        <v>1918</v>
      </c>
      <c r="L1715" t="s">
        <v>1919</v>
      </c>
      <c r="M1715">
        <v>319</v>
      </c>
      <c r="N1715">
        <v>54.13</v>
      </c>
      <c r="O1715">
        <v>6682.77</v>
      </c>
      <c r="P1715">
        <v>7524.0639149999997</v>
      </c>
      <c r="Q1715">
        <v>14206.833914999999</v>
      </c>
      <c r="R1715">
        <v>2273.0934259999999</v>
      </c>
      <c r="S1715">
        <v>568.27335700000003</v>
      </c>
      <c r="T1715">
        <v>15911.653984</v>
      </c>
      <c r="V1715" t="s">
        <v>9409</v>
      </c>
      <c r="W1715" t="s">
        <v>423</v>
      </c>
    </row>
    <row r="1716" spans="1:23" hidden="1" x14ac:dyDescent="0.2">
      <c r="A1716">
        <v>2012</v>
      </c>
      <c r="B1716" t="s">
        <v>303</v>
      </c>
      <c r="C1716" s="733">
        <v>40922</v>
      </c>
      <c r="D17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16" t="s">
        <v>485</v>
      </c>
      <c r="F1716" t="s">
        <v>2054</v>
      </c>
      <c r="G1716" t="s">
        <v>2254</v>
      </c>
      <c r="H1716">
        <v>10058</v>
      </c>
      <c r="I1716" t="s">
        <v>423</v>
      </c>
      <c r="J1716" t="s">
        <v>2072</v>
      </c>
      <c r="K1716" t="s">
        <v>2057</v>
      </c>
      <c r="L1716" t="s">
        <v>2058</v>
      </c>
      <c r="M1716">
        <v>406</v>
      </c>
      <c r="N1716">
        <v>50.72</v>
      </c>
      <c r="O1716">
        <v>13860.76</v>
      </c>
      <c r="P1716">
        <v>0</v>
      </c>
      <c r="Q1716">
        <v>13860.76</v>
      </c>
      <c r="R1716">
        <v>2217.7199999999998</v>
      </c>
      <c r="S1716">
        <v>554.42999999999995</v>
      </c>
      <c r="T1716">
        <v>15524.05</v>
      </c>
      <c r="U1716" t="s">
        <v>2059</v>
      </c>
      <c r="V1716" t="s">
        <v>9409</v>
      </c>
      <c r="W1716" t="s">
        <v>423</v>
      </c>
    </row>
    <row r="1717" spans="1:23" hidden="1" x14ac:dyDescent="0.2">
      <c r="A1717">
        <v>2012</v>
      </c>
      <c r="B1717" t="s">
        <v>303</v>
      </c>
      <c r="C1717" s="733">
        <v>40913</v>
      </c>
      <c r="D17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17" t="s">
        <v>478</v>
      </c>
      <c r="F1717" t="s">
        <v>2136</v>
      </c>
      <c r="G1717" t="s">
        <v>5485</v>
      </c>
      <c r="H1717">
        <v>34225</v>
      </c>
      <c r="I1717" t="s">
        <v>423</v>
      </c>
      <c r="J1717" t="s">
        <v>4270</v>
      </c>
      <c r="K1717" t="s">
        <v>425</v>
      </c>
      <c r="L1717" t="s">
        <v>2145</v>
      </c>
      <c r="M1717">
        <v>560</v>
      </c>
      <c r="N1717">
        <v>25.63</v>
      </c>
      <c r="O1717">
        <v>3447.75</v>
      </c>
      <c r="P1717">
        <v>3881.7872480000001</v>
      </c>
      <c r="Q1717">
        <v>7329.5372479999996</v>
      </c>
      <c r="R1717">
        <v>1172.72596</v>
      </c>
      <c r="S1717">
        <v>293.18149</v>
      </c>
      <c r="T1717">
        <v>8209.0817179999995</v>
      </c>
      <c r="U1717" t="s">
        <v>2350</v>
      </c>
      <c r="V1717" t="s">
        <v>9408</v>
      </c>
      <c r="W1717" t="s">
        <v>423</v>
      </c>
    </row>
    <row r="1718" spans="1:23" hidden="1" x14ac:dyDescent="0.2">
      <c r="A1718">
        <v>2012</v>
      </c>
      <c r="B1718" t="s">
        <v>303</v>
      </c>
      <c r="C1718" s="733">
        <v>40935</v>
      </c>
      <c r="D17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18" t="s">
        <v>485</v>
      </c>
      <c r="F1718" t="s">
        <v>2065</v>
      </c>
      <c r="G1718" t="s">
        <v>5486</v>
      </c>
      <c r="H1718">
        <v>40886</v>
      </c>
      <c r="I1718" t="s">
        <v>423</v>
      </c>
      <c r="J1718" t="s">
        <v>4626</v>
      </c>
      <c r="K1718" t="s">
        <v>2102</v>
      </c>
      <c r="L1718" t="s">
        <v>2115</v>
      </c>
      <c r="M1718">
        <v>1457</v>
      </c>
      <c r="N1718">
        <v>25.29</v>
      </c>
      <c r="O1718">
        <v>18712.580000000002</v>
      </c>
      <c r="P1718">
        <v>0</v>
      </c>
      <c r="Q1718">
        <v>18712.580000000002</v>
      </c>
      <c r="R1718">
        <v>2994.01</v>
      </c>
      <c r="S1718">
        <v>748.5</v>
      </c>
      <c r="T1718">
        <v>20958.09</v>
      </c>
      <c r="U1718" t="s">
        <v>2110</v>
      </c>
      <c r="V1718" t="s">
        <v>9408</v>
      </c>
      <c r="W1718" t="s">
        <v>423</v>
      </c>
    </row>
    <row r="1719" spans="1:23" hidden="1" x14ac:dyDescent="0.2">
      <c r="A1719">
        <v>2012</v>
      </c>
      <c r="B1719" t="s">
        <v>305</v>
      </c>
      <c r="C1719" s="733">
        <v>40970</v>
      </c>
      <c r="D1719" s="733" t="str">
        <f>CHOOSE(MONTH(Tabla_sqldatos_bonampakdb_Bon_v_ingresos2012[[#This Row],[fecha_guia]]),"Enero","Febrero","Marzo","Abril","Mayo","Junio","Julio","Agosto","Septiembre","Octubre","Noviembre","Diciembre")</f>
        <v>Marzo</v>
      </c>
      <c r="E1719" t="s">
        <v>485</v>
      </c>
      <c r="F1719" t="s">
        <v>2065</v>
      </c>
      <c r="G1719" t="s">
        <v>9576</v>
      </c>
      <c r="H1719">
        <v>42817</v>
      </c>
      <c r="I1719" t="s">
        <v>423</v>
      </c>
      <c r="J1719" t="s">
        <v>4626</v>
      </c>
      <c r="K1719" t="s">
        <v>2102</v>
      </c>
      <c r="L1719" t="s">
        <v>2115</v>
      </c>
      <c r="M1719">
        <v>1457</v>
      </c>
      <c r="N1719">
        <v>26.23</v>
      </c>
      <c r="O1719">
        <v>19408.099999999999</v>
      </c>
      <c r="P1719">
        <v>0</v>
      </c>
      <c r="Q1719">
        <v>19408.099999999999</v>
      </c>
      <c r="R1719">
        <v>3105.3</v>
      </c>
      <c r="S1719">
        <v>776.32</v>
      </c>
      <c r="T1719">
        <v>21737.08</v>
      </c>
      <c r="V1719" t="s">
        <v>9408</v>
      </c>
      <c r="W1719" t="s">
        <v>423</v>
      </c>
    </row>
    <row r="1720" spans="1:23" hidden="1" x14ac:dyDescent="0.2">
      <c r="A1720">
        <v>2012</v>
      </c>
      <c r="B1720" t="s">
        <v>304</v>
      </c>
      <c r="C1720" s="733">
        <v>40940</v>
      </c>
      <c r="D17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20" t="s">
        <v>485</v>
      </c>
      <c r="F1720" t="s">
        <v>2065</v>
      </c>
      <c r="G1720" t="s">
        <v>4052</v>
      </c>
      <c r="H1720">
        <v>39959</v>
      </c>
      <c r="I1720" t="s">
        <v>423</v>
      </c>
      <c r="J1720" t="s">
        <v>3054</v>
      </c>
      <c r="K1720" t="s">
        <v>2183</v>
      </c>
      <c r="L1720" t="s">
        <v>2184</v>
      </c>
      <c r="M1720">
        <v>43</v>
      </c>
      <c r="N1720">
        <v>15.02</v>
      </c>
      <c r="O1720">
        <v>1695.31</v>
      </c>
      <c r="P1720">
        <v>0</v>
      </c>
      <c r="Q1720">
        <v>1695.31</v>
      </c>
      <c r="R1720">
        <v>271.25</v>
      </c>
      <c r="S1720">
        <v>67.81</v>
      </c>
      <c r="T1720">
        <v>1898.75</v>
      </c>
      <c r="U1720" t="s">
        <v>2187</v>
      </c>
      <c r="V1720" t="s">
        <v>9408</v>
      </c>
      <c r="W1720" t="s">
        <v>423</v>
      </c>
    </row>
    <row r="1721" spans="1:23" hidden="1" x14ac:dyDescent="0.2">
      <c r="A1721">
        <v>2012</v>
      </c>
      <c r="B1721" t="s">
        <v>303</v>
      </c>
      <c r="C1721" s="733">
        <v>40939</v>
      </c>
      <c r="D17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21" t="s">
        <v>505</v>
      </c>
      <c r="F1721" t="s">
        <v>1915</v>
      </c>
      <c r="G1721" t="s">
        <v>1953</v>
      </c>
      <c r="H1721">
        <v>21744</v>
      </c>
      <c r="I1721" t="s">
        <v>423</v>
      </c>
      <c r="J1721" t="s">
        <v>1954</v>
      </c>
      <c r="K1721" t="s">
        <v>1918</v>
      </c>
      <c r="L1721" t="s">
        <v>1919</v>
      </c>
      <c r="M1721">
        <v>303</v>
      </c>
      <c r="N1721">
        <v>53.92</v>
      </c>
      <c r="O1721">
        <v>6267.74</v>
      </c>
      <c r="P1721">
        <v>7056.7857889999996</v>
      </c>
      <c r="Q1721">
        <v>13324.525788999999</v>
      </c>
      <c r="R1721">
        <v>2131.9241259999999</v>
      </c>
      <c r="S1721">
        <v>532.98103200000003</v>
      </c>
      <c r="T1721">
        <v>14923.468883</v>
      </c>
      <c r="U1721" t="s">
        <v>1936</v>
      </c>
      <c r="V1721" t="s">
        <v>9409</v>
      </c>
      <c r="W1721" t="s">
        <v>423</v>
      </c>
    </row>
    <row r="1722" spans="1:23" hidden="1" x14ac:dyDescent="0.2">
      <c r="A1722">
        <v>2012</v>
      </c>
      <c r="B1722" t="s">
        <v>303</v>
      </c>
      <c r="C1722" s="733">
        <v>40932</v>
      </c>
      <c r="D17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22" t="s">
        <v>485</v>
      </c>
      <c r="F1722" t="s">
        <v>2065</v>
      </c>
      <c r="G1722" t="s">
        <v>4521</v>
      </c>
      <c r="H1722">
        <v>40777</v>
      </c>
      <c r="I1722" t="s">
        <v>423</v>
      </c>
      <c r="J1722" t="s">
        <v>3054</v>
      </c>
      <c r="K1722" t="s">
        <v>2183</v>
      </c>
      <c r="L1722" t="s">
        <v>2184</v>
      </c>
      <c r="M1722">
        <v>43</v>
      </c>
      <c r="N1722">
        <v>15.75</v>
      </c>
      <c r="O1722">
        <v>1777.7</v>
      </c>
      <c r="P1722">
        <v>0</v>
      </c>
      <c r="Q1722">
        <v>1777.7</v>
      </c>
      <c r="R1722">
        <v>284.43</v>
      </c>
      <c r="S1722">
        <v>71.11</v>
      </c>
      <c r="T1722">
        <v>1991.02</v>
      </c>
      <c r="U1722" t="s">
        <v>2187</v>
      </c>
      <c r="V1722" t="s">
        <v>9408</v>
      </c>
      <c r="W1722" t="s">
        <v>423</v>
      </c>
    </row>
    <row r="1723" spans="1:23" hidden="1" x14ac:dyDescent="0.2">
      <c r="A1723">
        <v>2012</v>
      </c>
      <c r="B1723" t="s">
        <v>303</v>
      </c>
      <c r="C1723" s="733">
        <v>40932</v>
      </c>
      <c r="D17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23" t="s">
        <v>485</v>
      </c>
      <c r="F1723" t="s">
        <v>2054</v>
      </c>
      <c r="G1723" t="s">
        <v>4005</v>
      </c>
      <c r="H1723">
        <v>39839</v>
      </c>
      <c r="I1723" t="s">
        <v>423</v>
      </c>
      <c r="J1723" t="s">
        <v>2050</v>
      </c>
      <c r="K1723" t="s">
        <v>2051</v>
      </c>
      <c r="L1723" t="s">
        <v>2052</v>
      </c>
      <c r="M1723">
        <v>90</v>
      </c>
      <c r="N1723">
        <v>54.65</v>
      </c>
      <c r="O1723">
        <v>7667.94</v>
      </c>
      <c r="P1723">
        <v>0</v>
      </c>
      <c r="Q1723">
        <v>7667.94</v>
      </c>
      <c r="R1723">
        <v>1226.8699999999999</v>
      </c>
      <c r="S1723">
        <v>306.72000000000003</v>
      </c>
      <c r="T1723">
        <v>8588.09</v>
      </c>
      <c r="U1723" t="s">
        <v>2053</v>
      </c>
      <c r="V1723" t="s">
        <v>9409</v>
      </c>
      <c r="W1723" t="s">
        <v>423</v>
      </c>
    </row>
    <row r="1724" spans="1:23" x14ac:dyDescent="0.2">
      <c r="A1724">
        <v>2012</v>
      </c>
      <c r="B1724" t="s">
        <v>304</v>
      </c>
      <c r="C1724" s="733">
        <v>40967</v>
      </c>
      <c r="D17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24" t="s">
        <v>485</v>
      </c>
      <c r="F1724" t="s">
        <v>2065</v>
      </c>
      <c r="G1724" t="s">
        <v>9324</v>
      </c>
      <c r="H1724">
        <v>42721</v>
      </c>
      <c r="I1724" t="s">
        <v>423</v>
      </c>
      <c r="J1724" t="s">
        <v>2050</v>
      </c>
      <c r="K1724" t="s">
        <v>2051</v>
      </c>
      <c r="L1724" t="s">
        <v>2052</v>
      </c>
      <c r="M1724">
        <v>90</v>
      </c>
      <c r="N1724">
        <v>52.6</v>
      </c>
      <c r="O1724">
        <v>7380.31</v>
      </c>
      <c r="P1724">
        <v>0</v>
      </c>
      <c r="Q1724">
        <v>7380.31</v>
      </c>
      <c r="R1724">
        <v>1180.8499999999999</v>
      </c>
      <c r="S1724">
        <v>295.20999999999998</v>
      </c>
      <c r="T1724">
        <v>8265.9500000000007</v>
      </c>
      <c r="V1724" t="s">
        <v>9409</v>
      </c>
      <c r="W1724" t="s">
        <v>423</v>
      </c>
    </row>
    <row r="1725" spans="1:23" hidden="1" x14ac:dyDescent="0.2">
      <c r="A1725">
        <v>2012</v>
      </c>
      <c r="B1725" t="s">
        <v>303</v>
      </c>
      <c r="C1725" s="733">
        <v>40919</v>
      </c>
      <c r="D17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25" t="s">
        <v>485</v>
      </c>
      <c r="F1725" t="s">
        <v>2054</v>
      </c>
      <c r="G1725" t="s">
        <v>4006</v>
      </c>
      <c r="H1725">
        <v>40148</v>
      </c>
      <c r="I1725" t="s">
        <v>423</v>
      </c>
      <c r="J1725" t="s">
        <v>2050</v>
      </c>
      <c r="K1725" t="s">
        <v>2051</v>
      </c>
      <c r="L1725" t="s">
        <v>2052</v>
      </c>
      <c r="M1725">
        <v>90</v>
      </c>
      <c r="N1725">
        <v>24.7</v>
      </c>
      <c r="O1725">
        <v>3465.66</v>
      </c>
      <c r="P1725">
        <v>0</v>
      </c>
      <c r="Q1725">
        <v>3465.66</v>
      </c>
      <c r="R1725">
        <v>554.51</v>
      </c>
      <c r="S1725">
        <v>138.63</v>
      </c>
      <c r="T1725">
        <v>3881.54</v>
      </c>
      <c r="U1725" t="s">
        <v>2062</v>
      </c>
      <c r="V1725" t="s">
        <v>9408</v>
      </c>
      <c r="W1725" t="s">
        <v>423</v>
      </c>
    </row>
    <row r="1726" spans="1:23" hidden="1" x14ac:dyDescent="0.2">
      <c r="A1726">
        <v>2012</v>
      </c>
      <c r="B1726" t="s">
        <v>304</v>
      </c>
      <c r="C1726" s="733">
        <v>40941</v>
      </c>
      <c r="D17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26" t="s">
        <v>485</v>
      </c>
      <c r="F1726" t="s">
        <v>2048</v>
      </c>
      <c r="G1726" t="s">
        <v>3996</v>
      </c>
      <c r="H1726">
        <v>41317</v>
      </c>
      <c r="I1726" t="s">
        <v>423</v>
      </c>
      <c r="J1726" t="s">
        <v>2050</v>
      </c>
      <c r="K1726" t="s">
        <v>2051</v>
      </c>
      <c r="L1726" t="s">
        <v>2052</v>
      </c>
      <c r="M1726">
        <v>90</v>
      </c>
      <c r="N1726">
        <v>24.45</v>
      </c>
      <c r="O1726">
        <v>3430.58</v>
      </c>
      <c r="P1726">
        <v>0</v>
      </c>
      <c r="Q1726">
        <v>3430.58</v>
      </c>
      <c r="R1726">
        <v>548.89</v>
      </c>
      <c r="S1726">
        <v>137.22</v>
      </c>
      <c r="T1726">
        <v>3842.25</v>
      </c>
      <c r="U1726" t="s">
        <v>2067</v>
      </c>
      <c r="V1726" t="s">
        <v>9408</v>
      </c>
      <c r="W1726" t="s">
        <v>423</v>
      </c>
    </row>
    <row r="1727" spans="1:23" x14ac:dyDescent="0.2">
      <c r="A1727">
        <v>2012</v>
      </c>
      <c r="B1727" t="s">
        <v>304</v>
      </c>
      <c r="C1727" s="733">
        <v>40967</v>
      </c>
      <c r="D17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27" t="s">
        <v>485</v>
      </c>
      <c r="F1727" t="s">
        <v>2054</v>
      </c>
      <c r="G1727" t="s">
        <v>9325</v>
      </c>
      <c r="H1727">
        <v>42601</v>
      </c>
      <c r="I1727" t="s">
        <v>423</v>
      </c>
      <c r="J1727" t="s">
        <v>2050</v>
      </c>
      <c r="K1727" t="s">
        <v>2051</v>
      </c>
      <c r="L1727" t="s">
        <v>2052</v>
      </c>
      <c r="M1727">
        <v>90</v>
      </c>
      <c r="N1727">
        <v>48.25</v>
      </c>
      <c r="O1727">
        <v>6769.96</v>
      </c>
      <c r="P1727">
        <v>0</v>
      </c>
      <c r="Q1727">
        <v>6769.96</v>
      </c>
      <c r="R1727">
        <v>1083.19</v>
      </c>
      <c r="S1727">
        <v>270.8</v>
      </c>
      <c r="T1727">
        <v>7582.35</v>
      </c>
      <c r="U1727" t="s">
        <v>8780</v>
      </c>
      <c r="V1727" t="s">
        <v>9409</v>
      </c>
      <c r="W1727" t="s">
        <v>423</v>
      </c>
    </row>
    <row r="1728" spans="1:23" x14ac:dyDescent="0.2">
      <c r="A1728">
        <v>2012</v>
      </c>
      <c r="B1728" t="s">
        <v>304</v>
      </c>
      <c r="C1728" s="733">
        <v>40967</v>
      </c>
      <c r="D17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28" t="s">
        <v>485</v>
      </c>
      <c r="F1728" t="s">
        <v>2054</v>
      </c>
      <c r="G1728" t="s">
        <v>9340</v>
      </c>
      <c r="H1728">
        <v>42718</v>
      </c>
      <c r="I1728" t="s">
        <v>423</v>
      </c>
      <c r="J1728" t="s">
        <v>2050</v>
      </c>
      <c r="K1728" t="s">
        <v>2051</v>
      </c>
      <c r="L1728" t="s">
        <v>2052</v>
      </c>
      <c r="M1728">
        <v>90</v>
      </c>
      <c r="N1728">
        <v>48.45</v>
      </c>
      <c r="O1728">
        <v>6798.02</v>
      </c>
      <c r="P1728">
        <v>0</v>
      </c>
      <c r="Q1728">
        <v>6798.02</v>
      </c>
      <c r="R1728">
        <v>1087.68</v>
      </c>
      <c r="S1728">
        <v>271.92</v>
      </c>
      <c r="T1728">
        <v>7613.78</v>
      </c>
      <c r="V1728" t="s">
        <v>9409</v>
      </c>
      <c r="W1728" t="s">
        <v>423</v>
      </c>
    </row>
    <row r="1729" spans="1:23" hidden="1" x14ac:dyDescent="0.2">
      <c r="A1729">
        <v>2012</v>
      </c>
      <c r="B1729" t="s">
        <v>304</v>
      </c>
      <c r="C1729" s="733">
        <v>40952</v>
      </c>
      <c r="D17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29" t="s">
        <v>485</v>
      </c>
      <c r="F1729" t="s">
        <v>2065</v>
      </c>
      <c r="G1729" t="s">
        <v>3991</v>
      </c>
      <c r="H1729">
        <v>41733</v>
      </c>
      <c r="I1729" t="s">
        <v>423</v>
      </c>
      <c r="J1729" t="s">
        <v>2050</v>
      </c>
      <c r="K1729" t="s">
        <v>2051</v>
      </c>
      <c r="L1729" t="s">
        <v>2052</v>
      </c>
      <c r="M1729">
        <v>90</v>
      </c>
      <c r="N1729">
        <v>53.85</v>
      </c>
      <c r="O1729">
        <v>7555.69</v>
      </c>
      <c r="P1729">
        <v>0</v>
      </c>
      <c r="Q1729">
        <v>7555.69</v>
      </c>
      <c r="R1729">
        <v>1208.9100000000001</v>
      </c>
      <c r="S1729">
        <v>302.23</v>
      </c>
      <c r="T1729">
        <v>8462.3700000000008</v>
      </c>
      <c r="U1729" t="s">
        <v>8257</v>
      </c>
      <c r="V1729" t="s">
        <v>9409</v>
      </c>
      <c r="W1729" t="s">
        <v>423</v>
      </c>
    </row>
    <row r="1730" spans="1:23" hidden="1" x14ac:dyDescent="0.2">
      <c r="A1730">
        <v>2012</v>
      </c>
      <c r="B1730" t="s">
        <v>303</v>
      </c>
      <c r="C1730" s="733">
        <v>40919</v>
      </c>
      <c r="D17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30" t="s">
        <v>485</v>
      </c>
      <c r="F1730" t="s">
        <v>2048</v>
      </c>
      <c r="G1730" t="s">
        <v>4043</v>
      </c>
      <c r="H1730">
        <v>40083</v>
      </c>
      <c r="I1730" t="s">
        <v>423</v>
      </c>
      <c r="J1730" t="s">
        <v>2050</v>
      </c>
      <c r="K1730" t="s">
        <v>2051</v>
      </c>
      <c r="L1730" t="s">
        <v>2052</v>
      </c>
      <c r="M1730">
        <v>90</v>
      </c>
      <c r="N1730">
        <v>25.25</v>
      </c>
      <c r="O1730">
        <v>3542.83</v>
      </c>
      <c r="P1730">
        <v>0</v>
      </c>
      <c r="Q1730">
        <v>3542.83</v>
      </c>
      <c r="R1730">
        <v>566.85</v>
      </c>
      <c r="S1730">
        <v>141.71</v>
      </c>
      <c r="T1730">
        <v>3967.97</v>
      </c>
      <c r="U1730" t="s">
        <v>2062</v>
      </c>
      <c r="V1730" t="s">
        <v>9408</v>
      </c>
      <c r="W1730" t="s">
        <v>423</v>
      </c>
    </row>
    <row r="1731" spans="1:23" hidden="1" x14ac:dyDescent="0.2">
      <c r="A1731">
        <v>2012</v>
      </c>
      <c r="B1731" t="s">
        <v>303</v>
      </c>
      <c r="C1731" s="733">
        <v>40911</v>
      </c>
      <c r="D17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31" t="s">
        <v>485</v>
      </c>
      <c r="F1731" t="s">
        <v>2048</v>
      </c>
      <c r="G1731" t="s">
        <v>4000</v>
      </c>
      <c r="H1731">
        <v>39722</v>
      </c>
      <c r="I1731" t="s">
        <v>423</v>
      </c>
      <c r="J1731" t="s">
        <v>2050</v>
      </c>
      <c r="K1731" t="s">
        <v>2051</v>
      </c>
      <c r="L1731" t="s">
        <v>2052</v>
      </c>
      <c r="M1731">
        <v>90</v>
      </c>
      <c r="N1731">
        <v>28.6</v>
      </c>
      <c r="O1731">
        <v>1689.4</v>
      </c>
      <c r="P1731">
        <v>1902.0785659999999</v>
      </c>
      <c r="Q1731">
        <v>3591.4785659999998</v>
      </c>
      <c r="R1731">
        <v>574.636571</v>
      </c>
      <c r="S1731">
        <v>143.659143</v>
      </c>
      <c r="T1731">
        <v>4022.4559939999999</v>
      </c>
      <c r="U1731" t="s">
        <v>2089</v>
      </c>
      <c r="V1731" t="s">
        <v>9408</v>
      </c>
      <c r="W1731" t="s">
        <v>423</v>
      </c>
    </row>
    <row r="1732" spans="1:23" hidden="1" x14ac:dyDescent="0.2">
      <c r="A1732">
        <v>2012</v>
      </c>
      <c r="B1732" t="s">
        <v>304</v>
      </c>
      <c r="C1732" s="733">
        <v>40955.494675925926</v>
      </c>
      <c r="D17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32" t="s">
        <v>485</v>
      </c>
      <c r="F1732" t="s">
        <v>2054</v>
      </c>
      <c r="G1732" t="s">
        <v>7616</v>
      </c>
      <c r="H1732">
        <v>10455</v>
      </c>
      <c r="I1732" t="s">
        <v>423</v>
      </c>
      <c r="J1732" t="s">
        <v>2056</v>
      </c>
      <c r="K1732" t="s">
        <v>2057</v>
      </c>
      <c r="L1732" t="s">
        <v>2058</v>
      </c>
      <c r="M1732">
        <v>19</v>
      </c>
      <c r="N1732">
        <v>47.52</v>
      </c>
      <c r="O1732">
        <v>5363.58</v>
      </c>
      <c r="P1732">
        <v>0</v>
      </c>
      <c r="Q1732">
        <v>5363.58</v>
      </c>
      <c r="R1732">
        <v>589.99</v>
      </c>
      <c r="S1732">
        <v>214.54</v>
      </c>
      <c r="T1732">
        <v>5739.03</v>
      </c>
      <c r="U1732" t="s">
        <v>8864</v>
      </c>
      <c r="V1732" t="s">
        <v>9409</v>
      </c>
      <c r="W1732" t="s">
        <v>423</v>
      </c>
    </row>
    <row r="1733" spans="1:23" hidden="1" x14ac:dyDescent="0.2">
      <c r="A1733">
        <v>2012</v>
      </c>
      <c r="B1733" t="s">
        <v>303</v>
      </c>
      <c r="C1733" s="733">
        <v>40919</v>
      </c>
      <c r="D17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33" t="s">
        <v>485</v>
      </c>
      <c r="F1733" t="s">
        <v>2054</v>
      </c>
      <c r="G1733" t="s">
        <v>3988</v>
      </c>
      <c r="H1733">
        <v>9988</v>
      </c>
      <c r="I1733" t="s">
        <v>423</v>
      </c>
      <c r="J1733" t="s">
        <v>2056</v>
      </c>
      <c r="K1733" t="s">
        <v>2057</v>
      </c>
      <c r="L1733" t="s">
        <v>2058</v>
      </c>
      <c r="M1733">
        <v>19</v>
      </c>
      <c r="N1733">
        <v>47.85</v>
      </c>
      <c r="O1733">
        <v>5400.83</v>
      </c>
      <c r="P1733">
        <v>0</v>
      </c>
      <c r="Q1733">
        <v>5400.83</v>
      </c>
      <c r="R1733">
        <v>864.13</v>
      </c>
      <c r="S1733">
        <v>216.03</v>
      </c>
      <c r="T1733">
        <v>6048.93</v>
      </c>
      <c r="U1733" t="s">
        <v>2070</v>
      </c>
      <c r="V1733" t="s">
        <v>9409</v>
      </c>
      <c r="W1733" t="s">
        <v>423</v>
      </c>
    </row>
    <row r="1734" spans="1:23" hidden="1" x14ac:dyDescent="0.2">
      <c r="A1734">
        <v>2012</v>
      </c>
      <c r="B1734" t="s">
        <v>304</v>
      </c>
      <c r="C1734" s="733">
        <v>40954</v>
      </c>
      <c r="D17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34" t="s">
        <v>485</v>
      </c>
      <c r="F1734" t="s">
        <v>2048</v>
      </c>
      <c r="G1734" t="s">
        <v>7951</v>
      </c>
      <c r="H1734">
        <v>42004</v>
      </c>
      <c r="I1734" t="s">
        <v>423</v>
      </c>
      <c r="J1734" t="s">
        <v>2050</v>
      </c>
      <c r="K1734" t="s">
        <v>2051</v>
      </c>
      <c r="L1734" t="s">
        <v>2052</v>
      </c>
      <c r="M1734">
        <v>90</v>
      </c>
      <c r="N1734">
        <v>55</v>
      </c>
      <c r="O1734">
        <v>7717.05</v>
      </c>
      <c r="P1734">
        <v>0</v>
      </c>
      <c r="Q1734">
        <v>7717.05</v>
      </c>
      <c r="R1734">
        <v>1234.73</v>
      </c>
      <c r="S1734">
        <v>308.68</v>
      </c>
      <c r="T1734">
        <v>8643.1</v>
      </c>
      <c r="U1734" t="s">
        <v>8780</v>
      </c>
      <c r="V1734" t="s">
        <v>9409</v>
      </c>
      <c r="W1734" t="s">
        <v>423</v>
      </c>
    </row>
    <row r="1735" spans="1:23" x14ac:dyDescent="0.2">
      <c r="A1735">
        <v>2012</v>
      </c>
      <c r="B1735" t="s">
        <v>304</v>
      </c>
      <c r="C1735" s="733">
        <v>40967</v>
      </c>
      <c r="D17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35" t="s">
        <v>485</v>
      </c>
      <c r="F1735" t="s">
        <v>2054</v>
      </c>
      <c r="G1735" t="s">
        <v>9341</v>
      </c>
      <c r="H1735">
        <v>10584</v>
      </c>
      <c r="I1735" t="s">
        <v>423</v>
      </c>
      <c r="J1735" t="s">
        <v>2056</v>
      </c>
      <c r="K1735" t="s">
        <v>2057</v>
      </c>
      <c r="L1735" t="s">
        <v>2058</v>
      </c>
      <c r="M1735">
        <v>19</v>
      </c>
      <c r="N1735">
        <v>33.21</v>
      </c>
      <c r="O1735">
        <v>3748.41</v>
      </c>
      <c r="P1735">
        <v>0</v>
      </c>
      <c r="Q1735">
        <v>3748.41</v>
      </c>
      <c r="R1735">
        <v>412.33</v>
      </c>
      <c r="S1735">
        <v>149.94</v>
      </c>
      <c r="T1735">
        <v>4010.8</v>
      </c>
      <c r="V1735" t="s">
        <v>9408</v>
      </c>
      <c r="W1735" t="s">
        <v>423</v>
      </c>
    </row>
    <row r="1736" spans="1:23" hidden="1" x14ac:dyDescent="0.2">
      <c r="A1736">
        <v>2012</v>
      </c>
      <c r="B1736" t="s">
        <v>303</v>
      </c>
      <c r="C1736" s="733">
        <v>40929</v>
      </c>
      <c r="D17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36" t="s">
        <v>485</v>
      </c>
      <c r="F1736" t="s">
        <v>2054</v>
      </c>
      <c r="G1736" t="s">
        <v>3993</v>
      </c>
      <c r="H1736">
        <v>10161</v>
      </c>
      <c r="I1736" t="s">
        <v>423</v>
      </c>
      <c r="J1736" t="s">
        <v>2056</v>
      </c>
      <c r="K1736" t="s">
        <v>2057</v>
      </c>
      <c r="L1736" t="s">
        <v>2058</v>
      </c>
      <c r="M1736">
        <v>19</v>
      </c>
      <c r="N1736">
        <v>48.33</v>
      </c>
      <c r="O1736">
        <v>5455.01</v>
      </c>
      <c r="P1736">
        <v>0</v>
      </c>
      <c r="Q1736">
        <v>5455.01</v>
      </c>
      <c r="R1736">
        <v>872.8</v>
      </c>
      <c r="S1736">
        <v>218.2</v>
      </c>
      <c r="T1736">
        <v>6109.61</v>
      </c>
      <c r="U1736" t="s">
        <v>2075</v>
      </c>
      <c r="V1736" t="s">
        <v>9409</v>
      </c>
      <c r="W1736" t="s">
        <v>423</v>
      </c>
    </row>
    <row r="1737" spans="1:23" hidden="1" x14ac:dyDescent="0.2">
      <c r="A1737">
        <v>2012</v>
      </c>
      <c r="B1737" t="s">
        <v>304</v>
      </c>
      <c r="C1737" s="733">
        <v>40952.471168981479</v>
      </c>
      <c r="D17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37" t="s">
        <v>485</v>
      </c>
      <c r="F1737" t="s">
        <v>2054</v>
      </c>
      <c r="G1737" t="s">
        <v>4527</v>
      </c>
      <c r="H1737">
        <v>10404</v>
      </c>
      <c r="I1737" t="s">
        <v>423</v>
      </c>
      <c r="J1737" t="s">
        <v>2056</v>
      </c>
      <c r="K1737" t="s">
        <v>2057</v>
      </c>
      <c r="L1737" t="s">
        <v>2058</v>
      </c>
      <c r="M1737">
        <v>19</v>
      </c>
      <c r="N1737">
        <v>24.71</v>
      </c>
      <c r="O1737">
        <v>2789.02</v>
      </c>
      <c r="P1737">
        <v>0</v>
      </c>
      <c r="Q1737">
        <v>2789.02</v>
      </c>
      <c r="R1737">
        <v>306.79000000000002</v>
      </c>
      <c r="S1737">
        <v>111.56</v>
      </c>
      <c r="T1737">
        <v>2984.25</v>
      </c>
      <c r="U1737" t="s">
        <v>8047</v>
      </c>
      <c r="V1737" t="s">
        <v>9408</v>
      </c>
      <c r="W1737" t="s">
        <v>423</v>
      </c>
    </row>
    <row r="1738" spans="1:23" hidden="1" x14ac:dyDescent="0.2">
      <c r="A1738">
        <v>2012</v>
      </c>
      <c r="B1738" t="s">
        <v>304</v>
      </c>
      <c r="C1738" s="733">
        <v>40954</v>
      </c>
      <c r="D17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38" t="s">
        <v>485</v>
      </c>
      <c r="F1738" t="s">
        <v>2048</v>
      </c>
      <c r="G1738" t="s">
        <v>7971</v>
      </c>
      <c r="H1738">
        <v>42001</v>
      </c>
      <c r="I1738" t="s">
        <v>423</v>
      </c>
      <c r="J1738" t="s">
        <v>2171</v>
      </c>
      <c r="K1738" t="s">
        <v>2051</v>
      </c>
      <c r="L1738" t="s">
        <v>2052</v>
      </c>
      <c r="M1738">
        <v>57</v>
      </c>
      <c r="N1738">
        <v>28.8</v>
      </c>
      <c r="O1738">
        <v>4040.93</v>
      </c>
      <c r="P1738">
        <v>0</v>
      </c>
      <c r="Q1738">
        <v>4040.93</v>
      </c>
      <c r="R1738">
        <v>646.54999999999995</v>
      </c>
      <c r="S1738">
        <v>161.63999999999999</v>
      </c>
      <c r="T1738">
        <v>4525.84</v>
      </c>
      <c r="U1738" t="s">
        <v>8780</v>
      </c>
      <c r="V1738" t="s">
        <v>9408</v>
      </c>
      <c r="W1738" t="s">
        <v>423</v>
      </c>
    </row>
    <row r="1739" spans="1:23" hidden="1" x14ac:dyDescent="0.2">
      <c r="A1739">
        <v>2012</v>
      </c>
      <c r="B1739" t="s">
        <v>303</v>
      </c>
      <c r="C1739" s="733">
        <v>40932</v>
      </c>
      <c r="D17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39" t="s">
        <v>485</v>
      </c>
      <c r="F1739" t="s">
        <v>2048</v>
      </c>
      <c r="G1739" t="s">
        <v>4526</v>
      </c>
      <c r="H1739">
        <v>39830</v>
      </c>
      <c r="I1739" t="s">
        <v>423</v>
      </c>
      <c r="J1739" t="s">
        <v>2171</v>
      </c>
      <c r="K1739" t="s">
        <v>2051</v>
      </c>
      <c r="L1739" t="s">
        <v>2052</v>
      </c>
      <c r="M1739">
        <v>57</v>
      </c>
      <c r="N1739">
        <v>28.6</v>
      </c>
      <c r="O1739">
        <v>4012.87</v>
      </c>
      <c r="P1739">
        <v>0</v>
      </c>
      <c r="Q1739">
        <v>4012.87</v>
      </c>
      <c r="R1739">
        <v>642.05999999999995</v>
      </c>
      <c r="S1739">
        <v>160.51</v>
      </c>
      <c r="T1739">
        <v>4494.42</v>
      </c>
      <c r="U1739" t="s">
        <v>2053</v>
      </c>
      <c r="V1739" t="s">
        <v>9408</v>
      </c>
      <c r="W1739" t="s">
        <v>423</v>
      </c>
    </row>
    <row r="1740" spans="1:23" hidden="1" x14ac:dyDescent="0.2">
      <c r="A1740">
        <v>2012</v>
      </c>
      <c r="B1740" t="s">
        <v>303</v>
      </c>
      <c r="C1740" s="733">
        <v>40924</v>
      </c>
      <c r="D17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40" t="s">
        <v>485</v>
      </c>
      <c r="F1740" t="s">
        <v>2048</v>
      </c>
      <c r="G1740" t="s">
        <v>4737</v>
      </c>
      <c r="H1740">
        <v>40394</v>
      </c>
      <c r="I1740" t="s">
        <v>423</v>
      </c>
      <c r="J1740" t="s">
        <v>2050</v>
      </c>
      <c r="K1740" t="s">
        <v>2051</v>
      </c>
      <c r="L1740" t="s">
        <v>2052</v>
      </c>
      <c r="M1740">
        <v>90</v>
      </c>
      <c r="N1740">
        <v>27.55</v>
      </c>
      <c r="O1740">
        <v>3865.54</v>
      </c>
      <c r="P1740">
        <v>0</v>
      </c>
      <c r="Q1740">
        <v>3865.54</v>
      </c>
      <c r="R1740">
        <v>618.49</v>
      </c>
      <c r="S1740">
        <v>154.62</v>
      </c>
      <c r="T1740">
        <v>4329.41</v>
      </c>
      <c r="U1740" t="s">
        <v>2062</v>
      </c>
      <c r="V1740" t="s">
        <v>9408</v>
      </c>
      <c r="W1740" t="s">
        <v>423</v>
      </c>
    </row>
    <row r="1741" spans="1:23" hidden="1" x14ac:dyDescent="0.2">
      <c r="A1741">
        <v>2012</v>
      </c>
      <c r="B1741" t="s">
        <v>304</v>
      </c>
      <c r="C1741" s="733">
        <v>40941</v>
      </c>
      <c r="D17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41" t="s">
        <v>485</v>
      </c>
      <c r="F1741" t="s">
        <v>2048</v>
      </c>
      <c r="G1741" t="s">
        <v>4009</v>
      </c>
      <c r="H1741">
        <v>41314</v>
      </c>
      <c r="I1741" t="s">
        <v>423</v>
      </c>
      <c r="J1741" t="s">
        <v>2050</v>
      </c>
      <c r="K1741" t="s">
        <v>2051</v>
      </c>
      <c r="L1741" t="s">
        <v>2052</v>
      </c>
      <c r="M1741">
        <v>90</v>
      </c>
      <c r="N1741">
        <v>48.35</v>
      </c>
      <c r="O1741">
        <v>6783.99</v>
      </c>
      <c r="P1741">
        <v>0</v>
      </c>
      <c r="Q1741">
        <v>6783.99</v>
      </c>
      <c r="R1741">
        <v>1085.44</v>
      </c>
      <c r="S1741">
        <v>271.36</v>
      </c>
      <c r="T1741">
        <v>7598.07</v>
      </c>
      <c r="U1741" t="s">
        <v>2067</v>
      </c>
      <c r="V1741" t="s">
        <v>9409</v>
      </c>
      <c r="W1741" t="s">
        <v>423</v>
      </c>
    </row>
    <row r="1742" spans="1:23" hidden="1" x14ac:dyDescent="0.2">
      <c r="A1742">
        <v>2012</v>
      </c>
      <c r="B1742" t="s">
        <v>303</v>
      </c>
      <c r="C1742" s="733">
        <v>40911</v>
      </c>
      <c r="D17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42" t="s">
        <v>485</v>
      </c>
      <c r="F1742" t="s">
        <v>2048</v>
      </c>
      <c r="G1742" t="s">
        <v>4001</v>
      </c>
      <c r="H1742">
        <v>39719</v>
      </c>
      <c r="I1742" t="s">
        <v>423</v>
      </c>
      <c r="J1742" t="s">
        <v>2050</v>
      </c>
      <c r="K1742" t="s">
        <v>2051</v>
      </c>
      <c r="L1742" t="s">
        <v>2052</v>
      </c>
      <c r="M1742">
        <v>90</v>
      </c>
      <c r="N1742">
        <v>27.45</v>
      </c>
      <c r="O1742">
        <v>1621.47</v>
      </c>
      <c r="P1742">
        <v>1825.5968580000001</v>
      </c>
      <c r="Q1742">
        <v>3447.0668580000001</v>
      </c>
      <c r="R1742">
        <v>551.53069700000003</v>
      </c>
      <c r="S1742">
        <v>137.88267400000001</v>
      </c>
      <c r="T1742">
        <v>3860.7148809999999</v>
      </c>
      <c r="U1742" t="s">
        <v>2089</v>
      </c>
      <c r="V1742" t="s">
        <v>9408</v>
      </c>
      <c r="W1742" t="s">
        <v>423</v>
      </c>
    </row>
    <row r="1743" spans="1:23" hidden="1" x14ac:dyDescent="0.2">
      <c r="A1743">
        <v>2012</v>
      </c>
      <c r="B1743" t="s">
        <v>303</v>
      </c>
      <c r="C1743" s="733">
        <v>40938</v>
      </c>
      <c r="D17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43" t="s">
        <v>485</v>
      </c>
      <c r="F1743" t="s">
        <v>2048</v>
      </c>
      <c r="G1743" t="s">
        <v>2750</v>
      </c>
      <c r="H1743">
        <v>41120</v>
      </c>
      <c r="I1743" t="s">
        <v>423</v>
      </c>
      <c r="J1743" t="s">
        <v>2171</v>
      </c>
      <c r="K1743" t="s">
        <v>2051</v>
      </c>
      <c r="L1743" t="s">
        <v>2052</v>
      </c>
      <c r="M1743">
        <v>57</v>
      </c>
      <c r="N1743">
        <v>49.45</v>
      </c>
      <c r="O1743">
        <v>6938.33</v>
      </c>
      <c r="P1743">
        <v>0</v>
      </c>
      <c r="Q1743">
        <v>6938.33</v>
      </c>
      <c r="R1743">
        <v>1110.1300000000001</v>
      </c>
      <c r="S1743">
        <v>277.52999999999997</v>
      </c>
      <c r="T1743">
        <v>7770.93</v>
      </c>
      <c r="U1743" t="s">
        <v>2064</v>
      </c>
      <c r="V1743" t="s">
        <v>9409</v>
      </c>
      <c r="W1743" t="s">
        <v>423</v>
      </c>
    </row>
    <row r="1744" spans="1:23" hidden="1" x14ac:dyDescent="0.2">
      <c r="A1744">
        <v>2012</v>
      </c>
      <c r="B1744" t="s">
        <v>303</v>
      </c>
      <c r="C1744" s="733">
        <v>40924.507754629631</v>
      </c>
      <c r="D17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44" t="s">
        <v>485</v>
      </c>
      <c r="F1744" t="s">
        <v>2054</v>
      </c>
      <c r="G1744" t="s">
        <v>6511</v>
      </c>
      <c r="H1744">
        <v>10074</v>
      </c>
      <c r="I1744" t="s">
        <v>423</v>
      </c>
      <c r="J1744" t="s">
        <v>4545</v>
      </c>
      <c r="K1744" t="s">
        <v>2057</v>
      </c>
      <c r="L1744" t="s">
        <v>2058</v>
      </c>
      <c r="M1744">
        <v>144</v>
      </c>
      <c r="N1744">
        <v>23.13</v>
      </c>
      <c r="O1744">
        <v>3698.26</v>
      </c>
      <c r="P1744">
        <v>0</v>
      </c>
      <c r="Q1744">
        <v>3698.26</v>
      </c>
      <c r="R1744">
        <v>591.72</v>
      </c>
      <c r="S1744">
        <v>147.93</v>
      </c>
      <c r="T1744">
        <v>4142.05</v>
      </c>
      <c r="U1744" t="s">
        <v>2059</v>
      </c>
      <c r="V1744" t="s">
        <v>9408</v>
      </c>
      <c r="W1744" t="s">
        <v>423</v>
      </c>
    </row>
    <row r="1745" spans="1:23" hidden="1" x14ac:dyDescent="0.2">
      <c r="A1745">
        <v>2012</v>
      </c>
      <c r="B1745" t="s">
        <v>304</v>
      </c>
      <c r="C1745" s="733">
        <v>40964</v>
      </c>
      <c r="D17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45" t="s">
        <v>485</v>
      </c>
      <c r="F1745" t="s">
        <v>2054</v>
      </c>
      <c r="G1745" t="s">
        <v>8727</v>
      </c>
      <c r="H1745">
        <v>10552</v>
      </c>
      <c r="I1745" t="s">
        <v>423</v>
      </c>
      <c r="J1745" t="s">
        <v>4545</v>
      </c>
      <c r="K1745" t="s">
        <v>2057</v>
      </c>
      <c r="L1745" t="s">
        <v>2058</v>
      </c>
      <c r="M1745">
        <v>144</v>
      </c>
      <c r="N1745">
        <v>23.18</v>
      </c>
      <c r="O1745">
        <v>3706.25</v>
      </c>
      <c r="P1745">
        <v>0</v>
      </c>
      <c r="Q1745">
        <v>3706.25</v>
      </c>
      <c r="R1745">
        <v>407.69</v>
      </c>
      <c r="S1745">
        <v>148.25</v>
      </c>
      <c r="T1745">
        <v>3965.69</v>
      </c>
      <c r="U1745" t="s">
        <v>8864</v>
      </c>
      <c r="V1745" t="s">
        <v>9408</v>
      </c>
      <c r="W1745" t="s">
        <v>423</v>
      </c>
    </row>
    <row r="1746" spans="1:23" hidden="1" x14ac:dyDescent="0.2">
      <c r="A1746">
        <v>2012</v>
      </c>
      <c r="B1746" t="s">
        <v>304</v>
      </c>
      <c r="C1746" s="733">
        <v>40952</v>
      </c>
      <c r="D17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46" t="s">
        <v>485</v>
      </c>
      <c r="F1746" t="s">
        <v>2065</v>
      </c>
      <c r="G1746" t="s">
        <v>2734</v>
      </c>
      <c r="H1746">
        <v>41841</v>
      </c>
      <c r="I1746" t="s">
        <v>423</v>
      </c>
      <c r="J1746" t="s">
        <v>2050</v>
      </c>
      <c r="K1746" t="s">
        <v>2051</v>
      </c>
      <c r="L1746" t="s">
        <v>2052</v>
      </c>
      <c r="M1746">
        <v>90</v>
      </c>
      <c r="N1746">
        <v>29.55</v>
      </c>
      <c r="O1746">
        <v>4146.16</v>
      </c>
      <c r="P1746">
        <v>0</v>
      </c>
      <c r="Q1746">
        <v>4146.16</v>
      </c>
      <c r="R1746">
        <v>663.39</v>
      </c>
      <c r="S1746">
        <v>165.85</v>
      </c>
      <c r="T1746">
        <v>4643.7</v>
      </c>
      <c r="U1746" t="s">
        <v>7568</v>
      </c>
      <c r="V1746" t="s">
        <v>9408</v>
      </c>
      <c r="W1746" t="s">
        <v>423</v>
      </c>
    </row>
    <row r="1747" spans="1:23" hidden="1" x14ac:dyDescent="0.2">
      <c r="A1747">
        <v>2012</v>
      </c>
      <c r="B1747" t="s">
        <v>303</v>
      </c>
      <c r="C1747" s="733">
        <v>40933</v>
      </c>
      <c r="D17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47" t="s">
        <v>485</v>
      </c>
      <c r="F1747" t="s">
        <v>2065</v>
      </c>
      <c r="G1747" t="s">
        <v>5641</v>
      </c>
      <c r="H1747">
        <v>40831</v>
      </c>
      <c r="I1747" t="s">
        <v>423</v>
      </c>
      <c r="J1747" t="s">
        <v>2186</v>
      </c>
      <c r="K1747" t="s">
        <v>2183</v>
      </c>
      <c r="L1747" t="s">
        <v>2184</v>
      </c>
      <c r="M1747">
        <v>19</v>
      </c>
      <c r="N1747">
        <v>15.72</v>
      </c>
      <c r="O1747">
        <v>1774.32</v>
      </c>
      <c r="P1747">
        <v>0</v>
      </c>
      <c r="Q1747">
        <v>1774.32</v>
      </c>
      <c r="R1747">
        <v>283.89</v>
      </c>
      <c r="S1747">
        <v>70.97</v>
      </c>
      <c r="T1747">
        <v>1987.24</v>
      </c>
      <c r="U1747" t="s">
        <v>2187</v>
      </c>
      <c r="V1747" t="s">
        <v>9408</v>
      </c>
      <c r="W1747" t="s">
        <v>423</v>
      </c>
    </row>
    <row r="1748" spans="1:23" hidden="1" x14ac:dyDescent="0.2">
      <c r="A1748">
        <v>2012</v>
      </c>
      <c r="B1748" t="s">
        <v>304</v>
      </c>
      <c r="C1748" s="733">
        <v>40954.449583333335</v>
      </c>
      <c r="D17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48" t="s">
        <v>485</v>
      </c>
      <c r="F1748" t="s">
        <v>2065</v>
      </c>
      <c r="G1748" t="s">
        <v>7468</v>
      </c>
      <c r="H1748">
        <v>41980</v>
      </c>
      <c r="I1748" t="s">
        <v>423</v>
      </c>
      <c r="J1748" t="s">
        <v>2186</v>
      </c>
      <c r="K1748" t="s">
        <v>2183</v>
      </c>
      <c r="L1748" t="s">
        <v>2184</v>
      </c>
      <c r="M1748">
        <v>19</v>
      </c>
      <c r="N1748">
        <v>14.88</v>
      </c>
      <c r="O1748">
        <v>1679.51</v>
      </c>
      <c r="P1748">
        <v>0</v>
      </c>
      <c r="Q1748">
        <v>1679.51</v>
      </c>
      <c r="R1748">
        <v>268.72000000000003</v>
      </c>
      <c r="S1748">
        <v>67.180000000000007</v>
      </c>
      <c r="T1748">
        <v>1881.05</v>
      </c>
      <c r="U1748" t="s">
        <v>8048</v>
      </c>
      <c r="V1748" t="s">
        <v>9408</v>
      </c>
      <c r="W1748" t="s">
        <v>423</v>
      </c>
    </row>
    <row r="1749" spans="1:23" hidden="1" x14ac:dyDescent="0.2">
      <c r="A1749">
        <v>2012</v>
      </c>
      <c r="B1749" t="s">
        <v>303</v>
      </c>
      <c r="C1749" s="733">
        <v>40920</v>
      </c>
      <c r="D17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49" t="s">
        <v>478</v>
      </c>
      <c r="F1749" t="s">
        <v>2136</v>
      </c>
      <c r="G1749" t="s">
        <v>6213</v>
      </c>
      <c r="H1749">
        <v>34430</v>
      </c>
      <c r="I1749" t="s">
        <v>423</v>
      </c>
      <c r="J1749" t="s">
        <v>2629</v>
      </c>
      <c r="K1749" t="s">
        <v>2625</v>
      </c>
      <c r="L1749" t="s">
        <v>2626</v>
      </c>
      <c r="M1749">
        <v>33</v>
      </c>
      <c r="N1749">
        <v>23.63</v>
      </c>
      <c r="O1749">
        <v>2756.2</v>
      </c>
      <c r="P1749">
        <v>0</v>
      </c>
      <c r="Q1749">
        <v>2756.2</v>
      </c>
      <c r="R1749">
        <v>440.99</v>
      </c>
      <c r="S1749">
        <v>110.25</v>
      </c>
      <c r="T1749">
        <v>3086.94</v>
      </c>
      <c r="U1749" t="s">
        <v>2627</v>
      </c>
      <c r="V1749" t="s">
        <v>9408</v>
      </c>
      <c r="W1749" t="s">
        <v>423</v>
      </c>
    </row>
    <row r="1750" spans="1:23" hidden="1" x14ac:dyDescent="0.2">
      <c r="A1750">
        <v>2012</v>
      </c>
      <c r="B1750" t="s">
        <v>305</v>
      </c>
      <c r="C1750" s="733">
        <v>40970.943749999999</v>
      </c>
      <c r="D1750" s="733" t="str">
        <f>CHOOSE(MONTH(Tabla_sqldatos_bonampakdb_Bon_v_ingresos2012[[#This Row],[fecha_guia]]),"Enero","Febrero","Marzo","Abril","Mayo","Junio","Julio","Agosto","Septiembre","Octubre","Noviembre","Diciembre")</f>
        <v>Marzo</v>
      </c>
      <c r="E1750" t="s">
        <v>478</v>
      </c>
      <c r="F1750" t="s">
        <v>2622</v>
      </c>
      <c r="G1750" t="s">
        <v>9682</v>
      </c>
      <c r="H1750">
        <v>36273</v>
      </c>
      <c r="I1750" t="s">
        <v>423</v>
      </c>
      <c r="J1750" t="s">
        <v>2629</v>
      </c>
      <c r="K1750" t="s">
        <v>2625</v>
      </c>
      <c r="L1750" t="s">
        <v>2626</v>
      </c>
      <c r="M1750">
        <v>33</v>
      </c>
      <c r="N1750">
        <v>20.5</v>
      </c>
      <c r="O1750">
        <v>2391.12</v>
      </c>
      <c r="P1750">
        <v>0</v>
      </c>
      <c r="Q1750">
        <v>2391.12</v>
      </c>
      <c r="R1750">
        <v>382.58</v>
      </c>
      <c r="S1750">
        <v>95.64</v>
      </c>
      <c r="T1750">
        <v>2678.06</v>
      </c>
      <c r="V1750" t="s">
        <v>9408</v>
      </c>
      <c r="W1750" t="s">
        <v>423</v>
      </c>
    </row>
    <row r="1751" spans="1:23" hidden="1" x14ac:dyDescent="0.2">
      <c r="A1751">
        <v>2012</v>
      </c>
      <c r="B1751" t="s">
        <v>305</v>
      </c>
      <c r="C1751" s="733">
        <v>40970.946180555555</v>
      </c>
      <c r="D1751" s="733" t="str">
        <f>CHOOSE(MONTH(Tabla_sqldatos_bonampakdb_Bon_v_ingresos2012[[#This Row],[fecha_guia]]),"Enero","Febrero","Marzo","Abril","Mayo","Junio","Julio","Agosto","Septiembre","Octubre","Noviembre","Diciembre")</f>
        <v>Marzo</v>
      </c>
      <c r="E1751" t="s">
        <v>478</v>
      </c>
      <c r="F1751" t="s">
        <v>2622</v>
      </c>
      <c r="G1751" t="s">
        <v>9683</v>
      </c>
      <c r="H1751">
        <v>36279</v>
      </c>
      <c r="I1751" t="s">
        <v>423</v>
      </c>
      <c r="J1751" t="s">
        <v>2629</v>
      </c>
      <c r="K1751" t="s">
        <v>2625</v>
      </c>
      <c r="L1751" t="s">
        <v>2626</v>
      </c>
      <c r="M1751">
        <v>33</v>
      </c>
      <c r="N1751">
        <v>21.96</v>
      </c>
      <c r="O1751">
        <v>2561.41</v>
      </c>
      <c r="P1751">
        <v>0</v>
      </c>
      <c r="Q1751">
        <v>2561.41</v>
      </c>
      <c r="R1751">
        <v>409.83</v>
      </c>
      <c r="S1751">
        <v>102.46</v>
      </c>
      <c r="T1751">
        <v>2868.78</v>
      </c>
      <c r="V1751" t="s">
        <v>9408</v>
      </c>
      <c r="W1751" t="s">
        <v>423</v>
      </c>
    </row>
    <row r="1752" spans="1:23" hidden="1" x14ac:dyDescent="0.2">
      <c r="A1752">
        <v>2012</v>
      </c>
      <c r="B1752" t="s">
        <v>304</v>
      </c>
      <c r="C1752" s="733">
        <v>40954</v>
      </c>
      <c r="D17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52" t="s">
        <v>478</v>
      </c>
      <c r="F1752" t="s">
        <v>2622</v>
      </c>
      <c r="G1752" t="s">
        <v>7735</v>
      </c>
      <c r="H1752">
        <v>35639</v>
      </c>
      <c r="I1752" t="s">
        <v>423</v>
      </c>
      <c r="J1752" t="s">
        <v>2629</v>
      </c>
      <c r="K1752" t="s">
        <v>2625</v>
      </c>
      <c r="L1752" t="s">
        <v>2626</v>
      </c>
      <c r="M1752">
        <v>33</v>
      </c>
      <c r="N1752">
        <v>24.4</v>
      </c>
      <c r="O1752">
        <v>2846.02</v>
      </c>
      <c r="P1752">
        <v>0</v>
      </c>
      <c r="Q1752">
        <v>2846.02</v>
      </c>
      <c r="R1752">
        <v>455.36</v>
      </c>
      <c r="S1752">
        <v>113.84</v>
      </c>
      <c r="T1752">
        <v>3187.54</v>
      </c>
      <c r="U1752" t="s">
        <v>8267</v>
      </c>
      <c r="V1752" t="s">
        <v>9408</v>
      </c>
      <c r="W1752" t="s">
        <v>423</v>
      </c>
    </row>
    <row r="1753" spans="1:23" hidden="1" x14ac:dyDescent="0.2">
      <c r="A1753">
        <v>2012</v>
      </c>
      <c r="B1753" t="s">
        <v>305</v>
      </c>
      <c r="C1753" s="733">
        <v>40970.944733796299</v>
      </c>
      <c r="D1753" s="733" t="str">
        <f>CHOOSE(MONTH(Tabla_sqldatos_bonampakdb_Bon_v_ingresos2012[[#This Row],[fecha_guia]]),"Enero","Febrero","Marzo","Abril","Mayo","Junio","Julio","Agosto","Septiembre","Octubre","Noviembre","Diciembre")</f>
        <v>Marzo</v>
      </c>
      <c r="E1753" t="s">
        <v>478</v>
      </c>
      <c r="F1753" t="s">
        <v>2622</v>
      </c>
      <c r="G1753" t="s">
        <v>9684</v>
      </c>
      <c r="H1753">
        <v>36276</v>
      </c>
      <c r="I1753" t="s">
        <v>423</v>
      </c>
      <c r="J1753" t="s">
        <v>2629</v>
      </c>
      <c r="K1753" t="s">
        <v>2625</v>
      </c>
      <c r="L1753" t="s">
        <v>2626</v>
      </c>
      <c r="M1753">
        <v>33</v>
      </c>
      <c r="N1753">
        <v>22.21</v>
      </c>
      <c r="O1753">
        <v>2590.5700000000002</v>
      </c>
      <c r="P1753">
        <v>0</v>
      </c>
      <c r="Q1753">
        <v>2590.5700000000002</v>
      </c>
      <c r="R1753">
        <v>414.49</v>
      </c>
      <c r="S1753">
        <v>103.62</v>
      </c>
      <c r="T1753">
        <v>2901.44</v>
      </c>
      <c r="V1753" t="s">
        <v>9408</v>
      </c>
      <c r="W1753" t="s">
        <v>423</v>
      </c>
    </row>
    <row r="1754" spans="1:23" hidden="1" x14ac:dyDescent="0.2">
      <c r="A1754">
        <v>2012</v>
      </c>
      <c r="B1754" t="s">
        <v>303</v>
      </c>
      <c r="C1754" s="733">
        <v>40926</v>
      </c>
      <c r="D17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54" t="s">
        <v>478</v>
      </c>
      <c r="F1754" t="s">
        <v>2622</v>
      </c>
      <c r="G1754" t="s">
        <v>6167</v>
      </c>
      <c r="H1754">
        <v>34594</v>
      </c>
      <c r="I1754" t="s">
        <v>423</v>
      </c>
      <c r="J1754" t="s">
        <v>2629</v>
      </c>
      <c r="K1754" t="s">
        <v>2625</v>
      </c>
      <c r="L1754" t="s">
        <v>2626</v>
      </c>
      <c r="M1754">
        <v>33</v>
      </c>
      <c r="N1754">
        <v>24.67</v>
      </c>
      <c r="O1754">
        <v>2877.51</v>
      </c>
      <c r="P1754">
        <v>0</v>
      </c>
      <c r="Q1754">
        <v>2877.51</v>
      </c>
      <c r="R1754">
        <v>460.4</v>
      </c>
      <c r="S1754">
        <v>115.1</v>
      </c>
      <c r="T1754">
        <v>3222.81</v>
      </c>
      <c r="U1754" t="s">
        <v>2627</v>
      </c>
      <c r="V1754" t="s">
        <v>9408</v>
      </c>
      <c r="W1754" t="s">
        <v>423</v>
      </c>
    </row>
    <row r="1755" spans="1:23" hidden="1" x14ac:dyDescent="0.2">
      <c r="A1755">
        <v>2012</v>
      </c>
      <c r="B1755" t="s">
        <v>304</v>
      </c>
      <c r="C1755" s="733">
        <v>40960.426828703705</v>
      </c>
      <c r="D17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55" t="s">
        <v>478</v>
      </c>
      <c r="F1755" t="s">
        <v>2622</v>
      </c>
      <c r="G1755" t="s">
        <v>8291</v>
      </c>
      <c r="H1755">
        <v>35864</v>
      </c>
      <c r="I1755" t="s">
        <v>423</v>
      </c>
      <c r="J1755" t="s">
        <v>2629</v>
      </c>
      <c r="K1755" t="s">
        <v>2625</v>
      </c>
      <c r="L1755" t="s">
        <v>2626</v>
      </c>
      <c r="M1755">
        <v>33</v>
      </c>
      <c r="N1755">
        <v>22.85</v>
      </c>
      <c r="O1755">
        <v>2665.22</v>
      </c>
      <c r="P1755">
        <v>0</v>
      </c>
      <c r="Q1755">
        <v>2665.22</v>
      </c>
      <c r="R1755">
        <v>426.44</v>
      </c>
      <c r="S1755">
        <v>106.61</v>
      </c>
      <c r="T1755">
        <v>2985.05</v>
      </c>
      <c r="U1755" t="s">
        <v>8267</v>
      </c>
      <c r="V1755" t="s">
        <v>9408</v>
      </c>
      <c r="W1755" t="s">
        <v>423</v>
      </c>
    </row>
    <row r="1756" spans="1:23" hidden="1" x14ac:dyDescent="0.2">
      <c r="A1756">
        <v>2012</v>
      </c>
      <c r="B1756" t="s">
        <v>304</v>
      </c>
      <c r="C1756" s="733">
        <v>40960</v>
      </c>
      <c r="D17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56" t="s">
        <v>485</v>
      </c>
      <c r="F1756" t="s">
        <v>2099</v>
      </c>
      <c r="G1756" t="s">
        <v>8075</v>
      </c>
      <c r="H1756">
        <v>42279</v>
      </c>
      <c r="I1756" t="s">
        <v>423</v>
      </c>
      <c r="J1756" t="s">
        <v>2141</v>
      </c>
      <c r="K1756" t="s">
        <v>2102</v>
      </c>
      <c r="L1756" t="s">
        <v>2103</v>
      </c>
      <c r="M1756">
        <v>114</v>
      </c>
      <c r="N1756">
        <v>23.95</v>
      </c>
      <c r="O1756">
        <v>3848.29</v>
      </c>
      <c r="P1756">
        <v>0</v>
      </c>
      <c r="Q1756">
        <v>3848.29</v>
      </c>
      <c r="R1756">
        <v>615.73</v>
      </c>
      <c r="S1756">
        <v>153.93</v>
      </c>
      <c r="T1756">
        <v>4310.09</v>
      </c>
      <c r="U1756" t="s">
        <v>8883</v>
      </c>
      <c r="V1756" t="s">
        <v>9408</v>
      </c>
      <c r="W1756" t="s">
        <v>423</v>
      </c>
    </row>
    <row r="1757" spans="1:23" hidden="1" x14ac:dyDescent="0.2">
      <c r="A1757">
        <v>2012</v>
      </c>
      <c r="B1757" t="s">
        <v>304</v>
      </c>
      <c r="C1757" s="733">
        <v>40942.513368055559</v>
      </c>
      <c r="D17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57" t="s">
        <v>485</v>
      </c>
      <c r="F1757" t="s">
        <v>2099</v>
      </c>
      <c r="G1757" t="s">
        <v>3766</v>
      </c>
      <c r="H1757">
        <v>41389</v>
      </c>
      <c r="I1757" t="s">
        <v>423</v>
      </c>
      <c r="J1757" t="s">
        <v>2141</v>
      </c>
      <c r="K1757" t="s">
        <v>2102</v>
      </c>
      <c r="L1757" t="s">
        <v>2103</v>
      </c>
      <c r="M1757">
        <v>114</v>
      </c>
      <c r="N1757">
        <v>23.55</v>
      </c>
      <c r="O1757">
        <v>3784.01</v>
      </c>
      <c r="P1757">
        <v>0</v>
      </c>
      <c r="Q1757">
        <v>3784.01</v>
      </c>
      <c r="R1757">
        <v>605.44000000000005</v>
      </c>
      <c r="S1757">
        <v>151.36000000000001</v>
      </c>
      <c r="T1757">
        <v>4238.09</v>
      </c>
      <c r="U1757" t="s">
        <v>2110</v>
      </c>
      <c r="V1757" t="s">
        <v>9408</v>
      </c>
      <c r="W1757" t="s">
        <v>423</v>
      </c>
    </row>
    <row r="1758" spans="1:23" hidden="1" x14ac:dyDescent="0.2">
      <c r="A1758">
        <v>2012</v>
      </c>
      <c r="B1758" t="s">
        <v>305</v>
      </c>
      <c r="C1758" s="733">
        <v>40970</v>
      </c>
      <c r="D1758" s="733" t="str">
        <f>CHOOSE(MONTH(Tabla_sqldatos_bonampakdb_Bon_v_ingresos2012[[#This Row],[fecha_guia]]),"Enero","Febrero","Marzo","Abril","Mayo","Junio","Julio","Agosto","Septiembre","Octubre","Noviembre","Diciembre")</f>
        <v>Marzo</v>
      </c>
      <c r="E1758" t="s">
        <v>485</v>
      </c>
      <c r="F1758" t="s">
        <v>2099</v>
      </c>
      <c r="G1758" t="s">
        <v>9685</v>
      </c>
      <c r="H1758">
        <v>42916</v>
      </c>
      <c r="I1758" t="s">
        <v>423</v>
      </c>
      <c r="J1758" t="s">
        <v>2141</v>
      </c>
      <c r="K1758" t="s">
        <v>2102</v>
      </c>
      <c r="L1758" t="s">
        <v>2103</v>
      </c>
      <c r="M1758">
        <v>114</v>
      </c>
      <c r="N1758">
        <v>24.12</v>
      </c>
      <c r="O1758">
        <v>3875.6</v>
      </c>
      <c r="P1758">
        <v>0</v>
      </c>
      <c r="Q1758">
        <v>3875.6</v>
      </c>
      <c r="R1758">
        <v>620.1</v>
      </c>
      <c r="S1758">
        <v>155.02000000000001</v>
      </c>
      <c r="T1758">
        <v>4340.68</v>
      </c>
      <c r="V1758" t="s">
        <v>9408</v>
      </c>
      <c r="W1758" t="s">
        <v>423</v>
      </c>
    </row>
    <row r="1759" spans="1:23" hidden="1" x14ac:dyDescent="0.2">
      <c r="A1759">
        <v>2012</v>
      </c>
      <c r="B1759" t="s">
        <v>305</v>
      </c>
      <c r="C1759" s="733">
        <v>40970</v>
      </c>
      <c r="D1759" s="733" t="str">
        <f>CHOOSE(MONTH(Tabla_sqldatos_bonampakdb_Bon_v_ingresos2012[[#This Row],[fecha_guia]]),"Enero","Febrero","Marzo","Abril","Mayo","Junio","Julio","Agosto","Septiembre","Octubre","Noviembre","Diciembre")</f>
        <v>Marzo</v>
      </c>
      <c r="E1759" t="s">
        <v>485</v>
      </c>
      <c r="F1759" t="s">
        <v>2099</v>
      </c>
      <c r="G1759" t="s">
        <v>9686</v>
      </c>
      <c r="H1759">
        <v>42919</v>
      </c>
      <c r="I1759" t="s">
        <v>423</v>
      </c>
      <c r="J1759" t="s">
        <v>2141</v>
      </c>
      <c r="K1759" t="s">
        <v>2102</v>
      </c>
      <c r="L1759" t="s">
        <v>2103</v>
      </c>
      <c r="M1759">
        <v>114</v>
      </c>
      <c r="N1759">
        <v>23.22</v>
      </c>
      <c r="O1759">
        <v>3730.99</v>
      </c>
      <c r="P1759">
        <v>0</v>
      </c>
      <c r="Q1759">
        <v>3730.99</v>
      </c>
      <c r="R1759">
        <v>596.96</v>
      </c>
      <c r="S1759">
        <v>149.24</v>
      </c>
      <c r="T1759">
        <v>4178.71</v>
      </c>
      <c r="V1759" t="s">
        <v>9408</v>
      </c>
      <c r="W1759" t="s">
        <v>423</v>
      </c>
    </row>
    <row r="1760" spans="1:23" hidden="1" x14ac:dyDescent="0.2">
      <c r="A1760">
        <v>2012</v>
      </c>
      <c r="B1760" t="s">
        <v>303</v>
      </c>
      <c r="C1760" s="733">
        <v>40934.594074074077</v>
      </c>
      <c r="D17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60" t="s">
        <v>485</v>
      </c>
      <c r="F1760" t="s">
        <v>2099</v>
      </c>
      <c r="G1760" t="s">
        <v>3765</v>
      </c>
      <c r="H1760">
        <v>40936</v>
      </c>
      <c r="I1760" t="s">
        <v>423</v>
      </c>
      <c r="J1760" t="s">
        <v>2141</v>
      </c>
      <c r="K1760" t="s">
        <v>2102</v>
      </c>
      <c r="L1760" t="s">
        <v>2103</v>
      </c>
      <c r="M1760">
        <v>114</v>
      </c>
      <c r="N1760">
        <v>26.56</v>
      </c>
      <c r="O1760">
        <v>4267.66</v>
      </c>
      <c r="P1760">
        <v>0</v>
      </c>
      <c r="Q1760">
        <v>4267.66</v>
      </c>
      <c r="R1760">
        <v>682.83</v>
      </c>
      <c r="S1760">
        <v>170.71</v>
      </c>
      <c r="T1760">
        <v>4779.78</v>
      </c>
      <c r="U1760" t="s">
        <v>2108</v>
      </c>
      <c r="V1760" t="s">
        <v>9408</v>
      </c>
      <c r="W1760" t="s">
        <v>423</v>
      </c>
    </row>
    <row r="1761" spans="1:23" hidden="1" x14ac:dyDescent="0.2">
      <c r="A1761">
        <v>2012</v>
      </c>
      <c r="B1761" t="s">
        <v>304</v>
      </c>
      <c r="C1761" s="733">
        <v>40948</v>
      </c>
      <c r="D17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61" t="s">
        <v>478</v>
      </c>
      <c r="F1761" t="s">
        <v>2136</v>
      </c>
      <c r="G1761" t="s">
        <v>7180</v>
      </c>
      <c r="H1761">
        <v>35490</v>
      </c>
      <c r="I1761" t="s">
        <v>423</v>
      </c>
      <c r="J1761" t="s">
        <v>4791</v>
      </c>
      <c r="K1761" t="s">
        <v>425</v>
      </c>
      <c r="L1761" t="s">
        <v>2145</v>
      </c>
      <c r="M1761">
        <v>139</v>
      </c>
      <c r="N1761">
        <v>24.93</v>
      </c>
      <c r="O1761">
        <v>4163.8100000000004</v>
      </c>
      <c r="P1761">
        <v>0</v>
      </c>
      <c r="Q1761">
        <v>4163.8100000000004</v>
      </c>
      <c r="R1761">
        <v>666.21</v>
      </c>
      <c r="S1761">
        <v>166.55</v>
      </c>
      <c r="T1761">
        <v>4663.47</v>
      </c>
      <c r="U1761" t="s">
        <v>3115</v>
      </c>
      <c r="V1761" t="s">
        <v>9408</v>
      </c>
      <c r="W1761" t="s">
        <v>423</v>
      </c>
    </row>
    <row r="1762" spans="1:23" hidden="1" x14ac:dyDescent="0.2">
      <c r="A1762">
        <v>2012</v>
      </c>
      <c r="B1762" t="s">
        <v>304</v>
      </c>
      <c r="C1762" s="733">
        <v>40961</v>
      </c>
      <c r="D17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62" t="s">
        <v>478</v>
      </c>
      <c r="F1762" t="s">
        <v>2136</v>
      </c>
      <c r="G1762" t="s">
        <v>8382</v>
      </c>
      <c r="H1762">
        <v>35581</v>
      </c>
      <c r="I1762" t="s">
        <v>423</v>
      </c>
      <c r="J1762" t="s">
        <v>2144</v>
      </c>
      <c r="K1762" t="s">
        <v>425</v>
      </c>
      <c r="L1762" t="s">
        <v>2145</v>
      </c>
      <c r="M1762">
        <v>1354</v>
      </c>
      <c r="N1762">
        <v>39.39</v>
      </c>
      <c r="O1762">
        <v>35718.46</v>
      </c>
      <c r="P1762">
        <v>0</v>
      </c>
      <c r="Q1762">
        <v>35718.46</v>
      </c>
      <c r="R1762">
        <v>5714.95</v>
      </c>
      <c r="S1762">
        <v>1428.74</v>
      </c>
      <c r="T1762">
        <v>40004.67</v>
      </c>
      <c r="U1762" t="s">
        <v>9430</v>
      </c>
      <c r="V1762" t="s">
        <v>9409</v>
      </c>
      <c r="W1762" t="s">
        <v>423</v>
      </c>
    </row>
    <row r="1763" spans="1:23" hidden="1" x14ac:dyDescent="0.2">
      <c r="A1763">
        <v>2012</v>
      </c>
      <c r="B1763" t="s">
        <v>304</v>
      </c>
      <c r="C1763" s="733">
        <v>40966</v>
      </c>
      <c r="D17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63" t="s">
        <v>478</v>
      </c>
      <c r="F1763" t="s">
        <v>2136</v>
      </c>
      <c r="G1763" t="s">
        <v>8993</v>
      </c>
      <c r="H1763">
        <v>35930</v>
      </c>
      <c r="I1763" t="s">
        <v>423</v>
      </c>
      <c r="J1763" t="s">
        <v>2144</v>
      </c>
      <c r="K1763" t="s">
        <v>425</v>
      </c>
      <c r="L1763" t="s">
        <v>2145</v>
      </c>
      <c r="M1763">
        <v>1354</v>
      </c>
      <c r="N1763">
        <v>42.73</v>
      </c>
      <c r="O1763">
        <v>38747.14</v>
      </c>
      <c r="P1763">
        <v>0</v>
      </c>
      <c r="Q1763">
        <v>38747.14</v>
      </c>
      <c r="R1763">
        <v>6199.54</v>
      </c>
      <c r="S1763">
        <v>1549.89</v>
      </c>
      <c r="T1763">
        <v>43396.79</v>
      </c>
      <c r="U1763" t="s">
        <v>9430</v>
      </c>
      <c r="V1763" t="s">
        <v>9409</v>
      </c>
      <c r="W1763" t="s">
        <v>423</v>
      </c>
    </row>
    <row r="1764" spans="1:23" hidden="1" x14ac:dyDescent="0.2">
      <c r="A1764">
        <v>2012</v>
      </c>
      <c r="B1764" t="s">
        <v>304</v>
      </c>
      <c r="C1764" s="733">
        <v>40952.967106481483</v>
      </c>
      <c r="D17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64" t="s">
        <v>478</v>
      </c>
      <c r="F1764" t="s">
        <v>2622</v>
      </c>
      <c r="G1764" t="s">
        <v>6211</v>
      </c>
      <c r="H1764">
        <v>35576</v>
      </c>
      <c r="I1764" t="s">
        <v>423</v>
      </c>
      <c r="J1764" t="s">
        <v>2629</v>
      </c>
      <c r="K1764" t="s">
        <v>2625</v>
      </c>
      <c r="L1764" t="s">
        <v>2626</v>
      </c>
      <c r="M1764">
        <v>33</v>
      </c>
      <c r="N1764">
        <v>22.81</v>
      </c>
      <c r="O1764">
        <v>2660.56</v>
      </c>
      <c r="P1764">
        <v>0</v>
      </c>
      <c r="Q1764">
        <v>2660.56</v>
      </c>
      <c r="R1764">
        <v>425.69</v>
      </c>
      <c r="S1764">
        <v>106.42</v>
      </c>
      <c r="T1764">
        <v>2979.83</v>
      </c>
      <c r="U1764" t="s">
        <v>7548</v>
      </c>
      <c r="V1764" t="s">
        <v>9408</v>
      </c>
      <c r="W1764" t="s">
        <v>423</v>
      </c>
    </row>
    <row r="1765" spans="1:23" hidden="1" x14ac:dyDescent="0.2">
      <c r="A1765">
        <v>2012</v>
      </c>
      <c r="B1765" t="s">
        <v>304</v>
      </c>
      <c r="C1765" s="733">
        <v>40967.416238425925</v>
      </c>
      <c r="D17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65" t="s">
        <v>478</v>
      </c>
      <c r="F1765" t="s">
        <v>2136</v>
      </c>
      <c r="G1765" t="s">
        <v>8967</v>
      </c>
      <c r="H1765">
        <v>36134</v>
      </c>
      <c r="I1765" t="s">
        <v>423</v>
      </c>
      <c r="J1765" t="s">
        <v>2629</v>
      </c>
      <c r="K1765" t="s">
        <v>2625</v>
      </c>
      <c r="L1765" t="s">
        <v>2626</v>
      </c>
      <c r="M1765">
        <v>33</v>
      </c>
      <c r="N1765">
        <v>27.97</v>
      </c>
      <c r="O1765">
        <v>3262.42</v>
      </c>
      <c r="P1765">
        <v>0</v>
      </c>
      <c r="Q1765">
        <v>3262.42</v>
      </c>
      <c r="R1765">
        <v>521.99</v>
      </c>
      <c r="S1765">
        <v>130.5</v>
      </c>
      <c r="T1765">
        <v>3653.91</v>
      </c>
      <c r="U1765" t="s">
        <v>9428</v>
      </c>
      <c r="V1765" t="s">
        <v>9408</v>
      </c>
      <c r="W1765" t="s">
        <v>423</v>
      </c>
    </row>
    <row r="1766" spans="1:23" hidden="1" x14ac:dyDescent="0.2">
      <c r="A1766">
        <v>2012</v>
      </c>
      <c r="B1766" t="s">
        <v>304</v>
      </c>
      <c r="C1766" s="733">
        <v>40940</v>
      </c>
      <c r="D17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66" t="s">
        <v>485</v>
      </c>
      <c r="F1766" t="s">
        <v>2065</v>
      </c>
      <c r="G1766" t="s">
        <v>5640</v>
      </c>
      <c r="H1766">
        <v>40434</v>
      </c>
      <c r="I1766" t="s">
        <v>423</v>
      </c>
      <c r="J1766" t="s">
        <v>2186</v>
      </c>
      <c r="K1766" t="s">
        <v>2183</v>
      </c>
      <c r="L1766" t="s">
        <v>2184</v>
      </c>
      <c r="M1766">
        <v>19</v>
      </c>
      <c r="N1766">
        <v>16.600000000000001</v>
      </c>
      <c r="O1766">
        <v>1873.64</v>
      </c>
      <c r="P1766">
        <v>0</v>
      </c>
      <c r="Q1766">
        <v>1873.64</v>
      </c>
      <c r="R1766">
        <v>299.77999999999997</v>
      </c>
      <c r="S1766">
        <v>74.95</v>
      </c>
      <c r="T1766">
        <v>2098.4699999999998</v>
      </c>
      <c r="U1766" t="s">
        <v>2187</v>
      </c>
      <c r="V1766" t="s">
        <v>9408</v>
      </c>
      <c r="W1766" t="s">
        <v>423</v>
      </c>
    </row>
    <row r="1767" spans="1:23" hidden="1" x14ac:dyDescent="0.2">
      <c r="A1767">
        <v>2012</v>
      </c>
      <c r="B1767" t="s">
        <v>304</v>
      </c>
      <c r="C1767" s="733">
        <v>40953.455393518518</v>
      </c>
      <c r="D17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67" t="s">
        <v>485</v>
      </c>
      <c r="F1767" t="s">
        <v>2065</v>
      </c>
      <c r="G1767" t="s">
        <v>6492</v>
      </c>
      <c r="H1767">
        <v>41920</v>
      </c>
      <c r="I1767" t="s">
        <v>423</v>
      </c>
      <c r="J1767" t="s">
        <v>2186</v>
      </c>
      <c r="K1767" t="s">
        <v>2183</v>
      </c>
      <c r="L1767" t="s">
        <v>2184</v>
      </c>
      <c r="M1767">
        <v>19</v>
      </c>
      <c r="N1767">
        <v>15.66</v>
      </c>
      <c r="O1767">
        <v>1767.54</v>
      </c>
      <c r="P1767">
        <v>0</v>
      </c>
      <c r="Q1767">
        <v>1767.54</v>
      </c>
      <c r="R1767">
        <v>282.81</v>
      </c>
      <c r="S1767">
        <v>70.7</v>
      </c>
      <c r="T1767">
        <v>1979.65</v>
      </c>
      <c r="U1767" t="s">
        <v>8048</v>
      </c>
      <c r="V1767" t="s">
        <v>9408</v>
      </c>
      <c r="W1767" t="s">
        <v>423</v>
      </c>
    </row>
    <row r="1768" spans="1:23" hidden="1" x14ac:dyDescent="0.2">
      <c r="A1768">
        <v>2012</v>
      </c>
      <c r="B1768" t="s">
        <v>304</v>
      </c>
      <c r="C1768" s="733">
        <v>40940</v>
      </c>
      <c r="D17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68" t="s">
        <v>485</v>
      </c>
      <c r="F1768" t="s">
        <v>2065</v>
      </c>
      <c r="G1768" t="s">
        <v>6493</v>
      </c>
      <c r="H1768">
        <v>40049</v>
      </c>
      <c r="I1768" t="s">
        <v>423</v>
      </c>
      <c r="J1768" t="s">
        <v>2186</v>
      </c>
      <c r="K1768" t="s">
        <v>2183</v>
      </c>
      <c r="L1768" t="s">
        <v>2184</v>
      </c>
      <c r="M1768">
        <v>19</v>
      </c>
      <c r="N1768">
        <v>16.13</v>
      </c>
      <c r="O1768">
        <v>1820.59</v>
      </c>
      <c r="P1768">
        <v>0</v>
      </c>
      <c r="Q1768">
        <v>1820.59</v>
      </c>
      <c r="R1768">
        <v>291.29000000000002</v>
      </c>
      <c r="S1768">
        <v>72.819999999999993</v>
      </c>
      <c r="T1768">
        <v>2039.06</v>
      </c>
      <c r="U1768" t="s">
        <v>2187</v>
      </c>
      <c r="V1768" t="s">
        <v>9408</v>
      </c>
      <c r="W1768" t="s">
        <v>423</v>
      </c>
    </row>
    <row r="1769" spans="1:23" hidden="1" x14ac:dyDescent="0.2">
      <c r="A1769">
        <v>2012</v>
      </c>
      <c r="B1769" t="s">
        <v>304</v>
      </c>
      <c r="C1769" s="733">
        <v>40962</v>
      </c>
      <c r="D17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69" t="s">
        <v>485</v>
      </c>
      <c r="F1769" t="s">
        <v>2065</v>
      </c>
      <c r="G1769" t="s">
        <v>8494</v>
      </c>
      <c r="H1769">
        <v>42459</v>
      </c>
      <c r="I1769" t="s">
        <v>423</v>
      </c>
      <c r="J1769" t="s">
        <v>2186</v>
      </c>
      <c r="K1769" t="s">
        <v>2183</v>
      </c>
      <c r="L1769" t="s">
        <v>2184</v>
      </c>
      <c r="M1769">
        <v>19</v>
      </c>
      <c r="N1769">
        <v>15.09</v>
      </c>
      <c r="O1769">
        <v>1703.21</v>
      </c>
      <c r="P1769">
        <v>0</v>
      </c>
      <c r="Q1769">
        <v>1703.21</v>
      </c>
      <c r="R1769">
        <v>272.51</v>
      </c>
      <c r="S1769">
        <v>68.13</v>
      </c>
      <c r="T1769">
        <v>1907.59</v>
      </c>
      <c r="U1769" t="s">
        <v>9411</v>
      </c>
      <c r="V1769" t="s">
        <v>9408</v>
      </c>
      <c r="W1769" t="s">
        <v>423</v>
      </c>
    </row>
    <row r="1770" spans="1:23" hidden="1" x14ac:dyDescent="0.2">
      <c r="A1770">
        <v>2012</v>
      </c>
      <c r="B1770" t="s">
        <v>304</v>
      </c>
      <c r="C1770" s="733">
        <v>40941</v>
      </c>
      <c r="D17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70" t="s">
        <v>485</v>
      </c>
      <c r="F1770" t="s">
        <v>2048</v>
      </c>
      <c r="G1770" t="s">
        <v>3989</v>
      </c>
      <c r="H1770">
        <v>41311</v>
      </c>
      <c r="I1770" t="s">
        <v>423</v>
      </c>
      <c r="J1770" t="s">
        <v>2050</v>
      </c>
      <c r="K1770" t="s">
        <v>2051</v>
      </c>
      <c r="L1770" t="s">
        <v>2052</v>
      </c>
      <c r="M1770">
        <v>90</v>
      </c>
      <c r="N1770">
        <v>24.7</v>
      </c>
      <c r="O1770">
        <v>3465.66</v>
      </c>
      <c r="P1770">
        <v>0</v>
      </c>
      <c r="Q1770">
        <v>3465.66</v>
      </c>
      <c r="R1770">
        <v>554.51</v>
      </c>
      <c r="S1770">
        <v>138.63</v>
      </c>
      <c r="T1770">
        <v>3881.54</v>
      </c>
      <c r="U1770" t="s">
        <v>2067</v>
      </c>
      <c r="V1770" t="s">
        <v>9408</v>
      </c>
      <c r="W1770" t="s">
        <v>423</v>
      </c>
    </row>
    <row r="1771" spans="1:23" hidden="1" x14ac:dyDescent="0.2">
      <c r="A1771">
        <v>2012</v>
      </c>
      <c r="B1771" t="s">
        <v>304</v>
      </c>
      <c r="C1771" s="733">
        <v>40952</v>
      </c>
      <c r="D17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71" t="s">
        <v>485</v>
      </c>
      <c r="F1771" t="s">
        <v>2065</v>
      </c>
      <c r="G1771" t="s">
        <v>4002</v>
      </c>
      <c r="H1771">
        <v>41727</v>
      </c>
      <c r="I1771" t="s">
        <v>423</v>
      </c>
      <c r="J1771" t="s">
        <v>2050</v>
      </c>
      <c r="K1771" t="s">
        <v>2051</v>
      </c>
      <c r="L1771" t="s">
        <v>2052</v>
      </c>
      <c r="M1771">
        <v>90</v>
      </c>
      <c r="N1771">
        <v>53</v>
      </c>
      <c r="O1771">
        <v>7436.43</v>
      </c>
      <c r="P1771">
        <v>0</v>
      </c>
      <c r="Q1771">
        <v>7436.43</v>
      </c>
      <c r="R1771">
        <v>1189.83</v>
      </c>
      <c r="S1771">
        <v>297.45999999999998</v>
      </c>
      <c r="T1771">
        <v>8328.7999999999993</v>
      </c>
      <c r="U1771" t="s">
        <v>7568</v>
      </c>
      <c r="V1771" t="s">
        <v>9409</v>
      </c>
      <c r="W1771" t="s">
        <v>423</v>
      </c>
    </row>
    <row r="1772" spans="1:23" hidden="1" x14ac:dyDescent="0.2">
      <c r="A1772">
        <v>2012</v>
      </c>
      <c r="B1772" t="s">
        <v>305</v>
      </c>
      <c r="C1772" s="733">
        <v>40970</v>
      </c>
      <c r="D1772" s="733" t="str">
        <f>CHOOSE(MONTH(Tabla_sqldatos_bonampakdb_Bon_v_ingresos2012[[#This Row],[fecha_guia]]),"Enero","Febrero","Marzo","Abril","Mayo","Junio","Julio","Agosto","Septiembre","Octubre","Noviembre","Diciembre")</f>
        <v>Marzo</v>
      </c>
      <c r="E1772" t="s">
        <v>485</v>
      </c>
      <c r="F1772" t="s">
        <v>2054</v>
      </c>
      <c r="G1772" t="s">
        <v>9687</v>
      </c>
      <c r="H1772">
        <v>43015</v>
      </c>
      <c r="I1772" t="s">
        <v>423</v>
      </c>
      <c r="J1772" t="s">
        <v>2050</v>
      </c>
      <c r="K1772" t="s">
        <v>2051</v>
      </c>
      <c r="L1772" t="s">
        <v>2052</v>
      </c>
      <c r="M1772">
        <v>90</v>
      </c>
      <c r="N1772">
        <v>23.95</v>
      </c>
      <c r="O1772">
        <v>3360.42</v>
      </c>
      <c r="P1772">
        <v>0</v>
      </c>
      <c r="Q1772">
        <v>3360.42</v>
      </c>
      <c r="R1772">
        <v>537.66999999999996</v>
      </c>
      <c r="S1772">
        <v>134.41999999999999</v>
      </c>
      <c r="T1772">
        <v>3763.67</v>
      </c>
      <c r="V1772" t="s">
        <v>9408</v>
      </c>
      <c r="W1772" t="s">
        <v>423</v>
      </c>
    </row>
    <row r="1773" spans="1:23" hidden="1" x14ac:dyDescent="0.2">
      <c r="A1773">
        <v>2012</v>
      </c>
      <c r="B1773" t="s">
        <v>303</v>
      </c>
      <c r="C1773" s="733">
        <v>40939</v>
      </c>
      <c r="D17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73" t="s">
        <v>485</v>
      </c>
      <c r="F1773" t="s">
        <v>2054</v>
      </c>
      <c r="G1773" t="s">
        <v>4044</v>
      </c>
      <c r="H1773">
        <v>10036</v>
      </c>
      <c r="I1773" t="s">
        <v>423</v>
      </c>
      <c r="J1773" t="s">
        <v>4045</v>
      </c>
      <c r="K1773" t="s">
        <v>2057</v>
      </c>
      <c r="L1773" t="s">
        <v>2058</v>
      </c>
      <c r="M1773">
        <v>0</v>
      </c>
      <c r="N1773">
        <v>23.21</v>
      </c>
      <c r="O1773">
        <v>2619.71</v>
      </c>
      <c r="P1773">
        <v>0</v>
      </c>
      <c r="Q1773">
        <v>2619.71</v>
      </c>
      <c r="R1773">
        <v>419.15</v>
      </c>
      <c r="S1773">
        <v>104.79</v>
      </c>
      <c r="T1773">
        <v>2934.07</v>
      </c>
      <c r="U1773" t="s">
        <v>2073</v>
      </c>
      <c r="V1773" t="s">
        <v>9408</v>
      </c>
      <c r="W1773" t="s">
        <v>423</v>
      </c>
    </row>
    <row r="1774" spans="1:23" hidden="1" x14ac:dyDescent="0.2">
      <c r="A1774">
        <v>2012</v>
      </c>
      <c r="B1774" t="s">
        <v>304</v>
      </c>
      <c r="C1774" s="733">
        <v>40952</v>
      </c>
      <c r="D17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74" t="s">
        <v>485</v>
      </c>
      <c r="F1774" t="s">
        <v>2065</v>
      </c>
      <c r="G1774" t="s">
        <v>3994</v>
      </c>
      <c r="H1774">
        <v>41730</v>
      </c>
      <c r="I1774" t="s">
        <v>423</v>
      </c>
      <c r="J1774" t="s">
        <v>2050</v>
      </c>
      <c r="K1774" t="s">
        <v>2051</v>
      </c>
      <c r="L1774" t="s">
        <v>2052</v>
      </c>
      <c r="M1774">
        <v>90</v>
      </c>
      <c r="N1774">
        <v>29.45</v>
      </c>
      <c r="O1774">
        <v>4132.13</v>
      </c>
      <c r="P1774">
        <v>0</v>
      </c>
      <c r="Q1774">
        <v>4132.13</v>
      </c>
      <c r="R1774">
        <v>661.14</v>
      </c>
      <c r="S1774">
        <v>165.29</v>
      </c>
      <c r="T1774">
        <v>4627.9799999999996</v>
      </c>
      <c r="V1774" t="s">
        <v>9408</v>
      </c>
      <c r="W1774" t="s">
        <v>423</v>
      </c>
    </row>
    <row r="1775" spans="1:23" hidden="1" x14ac:dyDescent="0.2">
      <c r="A1775">
        <v>2012</v>
      </c>
      <c r="B1775" t="s">
        <v>304</v>
      </c>
      <c r="C1775" s="733">
        <v>40946</v>
      </c>
      <c r="D17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75" t="s">
        <v>485</v>
      </c>
      <c r="F1775" t="s">
        <v>2065</v>
      </c>
      <c r="G1775" t="s">
        <v>3990</v>
      </c>
      <c r="H1775">
        <v>41483</v>
      </c>
      <c r="I1775" t="s">
        <v>423</v>
      </c>
      <c r="J1775" t="s">
        <v>2050</v>
      </c>
      <c r="K1775" t="s">
        <v>2051</v>
      </c>
      <c r="L1775" t="s">
        <v>2052</v>
      </c>
      <c r="M1775">
        <v>90</v>
      </c>
      <c r="N1775">
        <v>28.05</v>
      </c>
      <c r="O1775">
        <v>3935.7</v>
      </c>
      <c r="P1775">
        <v>0</v>
      </c>
      <c r="Q1775">
        <v>3935.7</v>
      </c>
      <c r="R1775">
        <v>629.71</v>
      </c>
      <c r="S1775">
        <v>157.43</v>
      </c>
      <c r="T1775">
        <v>4407.9799999999996</v>
      </c>
      <c r="U1775" t="s">
        <v>7568</v>
      </c>
      <c r="V1775" t="s">
        <v>9408</v>
      </c>
      <c r="W1775" t="s">
        <v>423</v>
      </c>
    </row>
    <row r="1776" spans="1:23" hidden="1" x14ac:dyDescent="0.2">
      <c r="A1776">
        <v>2012</v>
      </c>
      <c r="B1776" t="s">
        <v>304</v>
      </c>
      <c r="C1776" s="733">
        <v>40962</v>
      </c>
      <c r="D17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76" t="s">
        <v>485</v>
      </c>
      <c r="F1776" t="s">
        <v>2054</v>
      </c>
      <c r="G1776" t="s">
        <v>8690</v>
      </c>
      <c r="H1776">
        <v>10517</v>
      </c>
      <c r="I1776" t="s">
        <v>423</v>
      </c>
      <c r="J1776" t="s">
        <v>2056</v>
      </c>
      <c r="K1776" t="s">
        <v>2057</v>
      </c>
      <c r="L1776" t="s">
        <v>2058</v>
      </c>
      <c r="M1776">
        <v>19</v>
      </c>
      <c r="N1776">
        <v>46.45</v>
      </c>
      <c r="O1776">
        <v>5242.8100000000004</v>
      </c>
      <c r="P1776">
        <v>0</v>
      </c>
      <c r="Q1776">
        <v>5242.8100000000004</v>
      </c>
      <c r="R1776">
        <v>576.71</v>
      </c>
      <c r="S1776">
        <v>209.71</v>
      </c>
      <c r="T1776">
        <v>5609.81</v>
      </c>
      <c r="U1776" t="s">
        <v>8864</v>
      </c>
      <c r="V1776" t="s">
        <v>9409</v>
      </c>
      <c r="W1776" t="s">
        <v>423</v>
      </c>
    </row>
    <row r="1777" spans="1:23" hidden="1" x14ac:dyDescent="0.2">
      <c r="A1777">
        <v>2012</v>
      </c>
      <c r="B1777" t="s">
        <v>305</v>
      </c>
      <c r="C1777" s="733">
        <v>40971.626608796294</v>
      </c>
      <c r="D1777" s="733" t="str">
        <f>CHOOSE(MONTH(Tabla_sqldatos_bonampakdb_Bon_v_ingresos2012[[#This Row],[fecha_guia]]),"Enero","Febrero","Marzo","Abril","Mayo","Junio","Julio","Agosto","Septiembre","Octubre","Noviembre","Diciembre")</f>
        <v>Marzo</v>
      </c>
      <c r="E1777" t="s">
        <v>485</v>
      </c>
      <c r="F1777" t="s">
        <v>2054</v>
      </c>
      <c r="G1777" t="s">
        <v>9688</v>
      </c>
      <c r="H1777">
        <v>10639</v>
      </c>
      <c r="I1777" t="s">
        <v>423</v>
      </c>
      <c r="J1777" t="s">
        <v>2056</v>
      </c>
      <c r="K1777" t="s">
        <v>2057</v>
      </c>
      <c r="L1777" t="s">
        <v>2058</v>
      </c>
      <c r="M1777">
        <v>19</v>
      </c>
      <c r="N1777">
        <v>31.33</v>
      </c>
      <c r="O1777">
        <v>3536.22</v>
      </c>
      <c r="P1777">
        <v>0</v>
      </c>
      <c r="Q1777">
        <v>3536.22</v>
      </c>
      <c r="R1777">
        <v>388.98</v>
      </c>
      <c r="S1777">
        <v>141.44999999999999</v>
      </c>
      <c r="T1777">
        <v>3783.75</v>
      </c>
      <c r="V1777" t="s">
        <v>9408</v>
      </c>
      <c r="W1777" t="s">
        <v>423</v>
      </c>
    </row>
    <row r="1778" spans="1:23" hidden="1" x14ac:dyDescent="0.2">
      <c r="A1778">
        <v>2012</v>
      </c>
      <c r="B1778" t="s">
        <v>303</v>
      </c>
      <c r="C1778" s="733">
        <v>40927.7421875</v>
      </c>
      <c r="D17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78" t="s">
        <v>478</v>
      </c>
      <c r="F1778" t="s">
        <v>2622</v>
      </c>
      <c r="G1778" t="s">
        <v>2892</v>
      </c>
      <c r="H1778">
        <v>34744</v>
      </c>
      <c r="I1778" t="s">
        <v>423</v>
      </c>
      <c r="J1778" t="s">
        <v>2624</v>
      </c>
      <c r="K1778" t="s">
        <v>2625</v>
      </c>
      <c r="L1778" t="s">
        <v>2626</v>
      </c>
      <c r="M1778">
        <v>10</v>
      </c>
      <c r="N1778">
        <v>22.83</v>
      </c>
      <c r="O1778">
        <v>2576.37</v>
      </c>
      <c r="P1778">
        <v>0</v>
      </c>
      <c r="Q1778">
        <v>2576.37</v>
      </c>
      <c r="R1778">
        <v>412.22</v>
      </c>
      <c r="S1778">
        <v>103.05</v>
      </c>
      <c r="T1778">
        <v>2885.54</v>
      </c>
      <c r="U1778" t="s">
        <v>2627</v>
      </c>
      <c r="V1778" t="s">
        <v>9408</v>
      </c>
      <c r="W1778" t="s">
        <v>423</v>
      </c>
    </row>
    <row r="1779" spans="1:23" hidden="1" x14ac:dyDescent="0.2">
      <c r="A1779">
        <v>2012</v>
      </c>
      <c r="B1779" t="s">
        <v>303</v>
      </c>
      <c r="C1779" s="733">
        <v>40910</v>
      </c>
      <c r="D17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79" t="s">
        <v>478</v>
      </c>
      <c r="F1779" t="s">
        <v>2622</v>
      </c>
      <c r="G1779" t="s">
        <v>2882</v>
      </c>
      <c r="H1779">
        <v>34172</v>
      </c>
      <c r="I1779" t="s">
        <v>423</v>
      </c>
      <c r="J1779" t="s">
        <v>2624</v>
      </c>
      <c r="K1779" t="s">
        <v>2625</v>
      </c>
      <c r="L1779" t="s">
        <v>2626</v>
      </c>
      <c r="M1779">
        <v>10</v>
      </c>
      <c r="N1779">
        <v>24.48</v>
      </c>
      <c r="O1779">
        <v>1163.29</v>
      </c>
      <c r="P1779">
        <v>1309.515553</v>
      </c>
      <c r="Q1779">
        <v>2472.8055530000001</v>
      </c>
      <c r="R1779">
        <v>395.648888</v>
      </c>
      <c r="S1779">
        <v>98.912222</v>
      </c>
      <c r="T1779">
        <v>2769.5422189999999</v>
      </c>
      <c r="U1779" t="s">
        <v>2660</v>
      </c>
      <c r="V1779" t="s">
        <v>9408</v>
      </c>
      <c r="W1779" t="s">
        <v>423</v>
      </c>
    </row>
    <row r="1780" spans="1:23" hidden="1" x14ac:dyDescent="0.2">
      <c r="A1780">
        <v>2012</v>
      </c>
      <c r="B1780" t="s">
        <v>304</v>
      </c>
      <c r="C1780" s="733">
        <v>40946.623368055552</v>
      </c>
      <c r="D17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80" t="s">
        <v>478</v>
      </c>
      <c r="F1780" t="s">
        <v>2622</v>
      </c>
      <c r="G1780" t="s">
        <v>2893</v>
      </c>
      <c r="H1780">
        <v>35397</v>
      </c>
      <c r="I1780" t="s">
        <v>423</v>
      </c>
      <c r="J1780" t="s">
        <v>2624</v>
      </c>
      <c r="K1780" t="s">
        <v>2625</v>
      </c>
      <c r="L1780" t="s">
        <v>2626</v>
      </c>
      <c r="M1780">
        <v>10</v>
      </c>
      <c r="N1780">
        <v>18.05</v>
      </c>
      <c r="O1780">
        <v>2036.94</v>
      </c>
      <c r="P1780">
        <v>0</v>
      </c>
      <c r="Q1780">
        <v>2036.94</v>
      </c>
      <c r="R1780">
        <v>325.91000000000003</v>
      </c>
      <c r="S1780">
        <v>81.48</v>
      </c>
      <c r="T1780">
        <v>2281.37</v>
      </c>
      <c r="U1780" t="s">
        <v>2630</v>
      </c>
      <c r="V1780" t="s">
        <v>9408</v>
      </c>
      <c r="W1780" t="s">
        <v>423</v>
      </c>
    </row>
    <row r="1781" spans="1:23" hidden="1" x14ac:dyDescent="0.2">
      <c r="A1781">
        <v>2012</v>
      </c>
      <c r="B1781" t="s">
        <v>303</v>
      </c>
      <c r="C1781" s="733">
        <v>40910</v>
      </c>
      <c r="D17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81" t="s">
        <v>478</v>
      </c>
      <c r="F1781" t="s">
        <v>2622</v>
      </c>
      <c r="G1781" t="s">
        <v>2907</v>
      </c>
      <c r="H1781">
        <v>34165</v>
      </c>
      <c r="I1781" t="s">
        <v>423</v>
      </c>
      <c r="J1781" t="s">
        <v>2624</v>
      </c>
      <c r="K1781" t="s">
        <v>2625</v>
      </c>
      <c r="L1781" t="s">
        <v>2626</v>
      </c>
      <c r="M1781">
        <v>10</v>
      </c>
      <c r="N1781">
        <v>24.29</v>
      </c>
      <c r="O1781">
        <v>1154.26</v>
      </c>
      <c r="P1781">
        <v>1299.3504820000001</v>
      </c>
      <c r="Q1781">
        <v>2453.610482</v>
      </c>
      <c r="R1781">
        <v>392.57767699999999</v>
      </c>
      <c r="S1781">
        <v>98.144418999999999</v>
      </c>
      <c r="T1781">
        <v>2748.0437400000001</v>
      </c>
      <c r="U1781" t="s">
        <v>2665</v>
      </c>
      <c r="V1781" t="s">
        <v>9408</v>
      </c>
      <c r="W1781" t="s">
        <v>423</v>
      </c>
    </row>
    <row r="1782" spans="1:23" hidden="1" x14ac:dyDescent="0.2">
      <c r="A1782">
        <v>2012</v>
      </c>
      <c r="B1782" t="s">
        <v>304</v>
      </c>
      <c r="C1782" s="733">
        <v>40946.625868055555</v>
      </c>
      <c r="D17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82" t="s">
        <v>478</v>
      </c>
      <c r="F1782" t="s">
        <v>2622</v>
      </c>
      <c r="G1782" t="s">
        <v>2894</v>
      </c>
      <c r="H1782">
        <v>35400</v>
      </c>
      <c r="I1782" t="s">
        <v>423</v>
      </c>
      <c r="J1782" t="s">
        <v>2624</v>
      </c>
      <c r="K1782" t="s">
        <v>2625</v>
      </c>
      <c r="L1782" t="s">
        <v>2626</v>
      </c>
      <c r="M1782">
        <v>10</v>
      </c>
      <c r="N1782">
        <v>21.74</v>
      </c>
      <c r="O1782">
        <v>2453.36</v>
      </c>
      <c r="P1782">
        <v>0</v>
      </c>
      <c r="Q1782">
        <v>2453.36</v>
      </c>
      <c r="R1782">
        <v>392.54</v>
      </c>
      <c r="S1782">
        <v>98.13</v>
      </c>
      <c r="T1782">
        <v>2747.77</v>
      </c>
      <c r="U1782" t="s">
        <v>2652</v>
      </c>
      <c r="V1782" t="s">
        <v>9408</v>
      </c>
      <c r="W1782" t="s">
        <v>423</v>
      </c>
    </row>
    <row r="1783" spans="1:23" hidden="1" x14ac:dyDescent="0.2">
      <c r="A1783">
        <v>2012</v>
      </c>
      <c r="B1783" t="s">
        <v>303</v>
      </c>
      <c r="C1783" s="733">
        <v>40927</v>
      </c>
      <c r="D17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83" t="s">
        <v>478</v>
      </c>
      <c r="F1783" t="s">
        <v>2622</v>
      </c>
      <c r="G1783" t="s">
        <v>2879</v>
      </c>
      <c r="H1783">
        <v>34623</v>
      </c>
      <c r="I1783" t="s">
        <v>423</v>
      </c>
      <c r="J1783" t="s">
        <v>2624</v>
      </c>
      <c r="K1783" t="s">
        <v>2625</v>
      </c>
      <c r="L1783" t="s">
        <v>2626</v>
      </c>
      <c r="M1783">
        <v>10</v>
      </c>
      <c r="N1783">
        <v>24.53</v>
      </c>
      <c r="O1783">
        <v>2768.21</v>
      </c>
      <c r="P1783">
        <v>0</v>
      </c>
      <c r="Q1783">
        <v>2768.21</v>
      </c>
      <c r="R1783">
        <v>442.91</v>
      </c>
      <c r="S1783">
        <v>110.73</v>
      </c>
      <c r="T1783">
        <v>3100.39</v>
      </c>
      <c r="U1783" t="s">
        <v>2635</v>
      </c>
      <c r="V1783" t="s">
        <v>9408</v>
      </c>
      <c r="W1783" t="s">
        <v>423</v>
      </c>
    </row>
    <row r="1784" spans="1:23" hidden="1" x14ac:dyDescent="0.2">
      <c r="A1784">
        <v>2012</v>
      </c>
      <c r="B1784" t="s">
        <v>303</v>
      </c>
      <c r="C1784" s="733">
        <v>40927</v>
      </c>
      <c r="D17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84" t="s">
        <v>478</v>
      </c>
      <c r="F1784" t="s">
        <v>2622</v>
      </c>
      <c r="G1784" t="s">
        <v>2880</v>
      </c>
      <c r="H1784">
        <v>34626</v>
      </c>
      <c r="I1784" t="s">
        <v>423</v>
      </c>
      <c r="J1784" t="s">
        <v>2624</v>
      </c>
      <c r="K1784" t="s">
        <v>2625</v>
      </c>
      <c r="L1784" t="s">
        <v>2626</v>
      </c>
      <c r="M1784">
        <v>10</v>
      </c>
      <c r="N1784">
        <v>26.3</v>
      </c>
      <c r="O1784">
        <v>2967.96</v>
      </c>
      <c r="P1784">
        <v>0</v>
      </c>
      <c r="Q1784">
        <v>2967.96</v>
      </c>
      <c r="R1784">
        <v>474.87</v>
      </c>
      <c r="S1784">
        <v>118.72</v>
      </c>
      <c r="T1784">
        <v>3324.11</v>
      </c>
      <c r="U1784" t="s">
        <v>2635</v>
      </c>
      <c r="V1784" t="s">
        <v>9408</v>
      </c>
      <c r="W1784" t="s">
        <v>423</v>
      </c>
    </row>
    <row r="1785" spans="1:23" hidden="1" x14ac:dyDescent="0.2">
      <c r="A1785">
        <v>2012</v>
      </c>
      <c r="B1785" t="s">
        <v>304</v>
      </c>
      <c r="C1785" s="733">
        <v>40954</v>
      </c>
      <c r="D17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85" t="s">
        <v>478</v>
      </c>
      <c r="F1785" t="s">
        <v>2136</v>
      </c>
      <c r="G1785" t="s">
        <v>7617</v>
      </c>
      <c r="H1785">
        <v>35608</v>
      </c>
      <c r="I1785" t="s">
        <v>423</v>
      </c>
      <c r="J1785" t="s">
        <v>2624</v>
      </c>
      <c r="K1785" t="s">
        <v>2625</v>
      </c>
      <c r="L1785" t="s">
        <v>2626</v>
      </c>
      <c r="M1785">
        <v>10</v>
      </c>
      <c r="N1785">
        <v>23.37</v>
      </c>
      <c r="O1785">
        <v>2637.3</v>
      </c>
      <c r="P1785">
        <v>0</v>
      </c>
      <c r="Q1785">
        <v>2637.3</v>
      </c>
      <c r="R1785">
        <v>421.97</v>
      </c>
      <c r="S1785">
        <v>105.49</v>
      </c>
      <c r="T1785">
        <v>2953.78</v>
      </c>
      <c r="V1785" t="s">
        <v>9408</v>
      </c>
      <c r="W1785" t="s">
        <v>423</v>
      </c>
    </row>
    <row r="1786" spans="1:23" hidden="1" x14ac:dyDescent="0.2">
      <c r="A1786">
        <v>2012</v>
      </c>
      <c r="B1786" t="s">
        <v>303</v>
      </c>
      <c r="C1786" s="733">
        <v>40926.735960648148</v>
      </c>
      <c r="D17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86" t="s">
        <v>478</v>
      </c>
      <c r="F1786" t="s">
        <v>2136</v>
      </c>
      <c r="G1786" t="s">
        <v>2885</v>
      </c>
      <c r="H1786">
        <v>34685</v>
      </c>
      <c r="I1786" t="s">
        <v>423</v>
      </c>
      <c r="J1786" t="s">
        <v>2624</v>
      </c>
      <c r="K1786" t="s">
        <v>2625</v>
      </c>
      <c r="L1786" t="s">
        <v>2626</v>
      </c>
      <c r="M1786">
        <v>10</v>
      </c>
      <c r="N1786">
        <v>22.9</v>
      </c>
      <c r="O1786">
        <v>2584.2600000000002</v>
      </c>
      <c r="P1786">
        <v>0</v>
      </c>
      <c r="Q1786">
        <v>2584.2600000000002</v>
      </c>
      <c r="R1786">
        <v>413.48</v>
      </c>
      <c r="S1786">
        <v>103.37</v>
      </c>
      <c r="T1786">
        <v>2894.37</v>
      </c>
      <c r="U1786" t="s">
        <v>2627</v>
      </c>
      <c r="V1786" t="s">
        <v>9408</v>
      </c>
      <c r="W1786" t="s">
        <v>423</v>
      </c>
    </row>
    <row r="1787" spans="1:23" hidden="1" x14ac:dyDescent="0.2">
      <c r="A1787">
        <v>2012</v>
      </c>
      <c r="B1787" t="s">
        <v>303</v>
      </c>
      <c r="C1787" s="733">
        <v>40914.854479166665</v>
      </c>
      <c r="D17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87" t="s">
        <v>478</v>
      </c>
      <c r="F1787" t="s">
        <v>2622</v>
      </c>
      <c r="G1787" t="s">
        <v>3718</v>
      </c>
      <c r="H1787">
        <v>34284</v>
      </c>
      <c r="I1787" t="s">
        <v>423</v>
      </c>
      <c r="J1787" t="s">
        <v>2624</v>
      </c>
      <c r="K1787" t="s">
        <v>2625</v>
      </c>
      <c r="L1787" t="s">
        <v>2626</v>
      </c>
      <c r="M1787">
        <v>10</v>
      </c>
      <c r="N1787">
        <v>24.58</v>
      </c>
      <c r="O1787">
        <v>2773.85</v>
      </c>
      <c r="P1787">
        <v>0</v>
      </c>
      <c r="Q1787">
        <v>2773.85</v>
      </c>
      <c r="R1787">
        <v>443.82</v>
      </c>
      <c r="S1787">
        <v>110.95</v>
      </c>
      <c r="T1787">
        <v>3106.72</v>
      </c>
      <c r="U1787" t="s">
        <v>2627</v>
      </c>
      <c r="V1787" t="s">
        <v>9408</v>
      </c>
      <c r="W1787" t="s">
        <v>423</v>
      </c>
    </row>
    <row r="1788" spans="1:23" hidden="1" x14ac:dyDescent="0.2">
      <c r="A1788">
        <v>2012</v>
      </c>
      <c r="B1788" t="s">
        <v>303</v>
      </c>
      <c r="C1788" s="733">
        <v>40933</v>
      </c>
      <c r="D17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88" t="s">
        <v>478</v>
      </c>
      <c r="F1788" t="s">
        <v>2622</v>
      </c>
      <c r="G1788" t="s">
        <v>2884</v>
      </c>
      <c r="H1788">
        <v>34848</v>
      </c>
      <c r="I1788" t="s">
        <v>423</v>
      </c>
      <c r="J1788" t="s">
        <v>2624</v>
      </c>
      <c r="K1788" t="s">
        <v>2625</v>
      </c>
      <c r="L1788" t="s">
        <v>2626</v>
      </c>
      <c r="M1788">
        <v>10</v>
      </c>
      <c r="N1788">
        <v>23.34</v>
      </c>
      <c r="O1788">
        <v>2633.92</v>
      </c>
      <c r="P1788">
        <v>0</v>
      </c>
      <c r="Q1788">
        <v>2633.92</v>
      </c>
      <c r="R1788">
        <v>421.43</v>
      </c>
      <c r="S1788">
        <v>105.36</v>
      </c>
      <c r="T1788">
        <v>2949.99</v>
      </c>
      <c r="U1788" t="s">
        <v>2633</v>
      </c>
      <c r="V1788" t="s">
        <v>9408</v>
      </c>
      <c r="W1788" t="s">
        <v>423</v>
      </c>
    </row>
    <row r="1789" spans="1:23" hidden="1" x14ac:dyDescent="0.2">
      <c r="A1789">
        <v>2012</v>
      </c>
      <c r="B1789" t="s">
        <v>303</v>
      </c>
      <c r="C1789" s="733">
        <v>40939.535208333335</v>
      </c>
      <c r="D17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89" t="s">
        <v>478</v>
      </c>
      <c r="F1789" t="s">
        <v>2622</v>
      </c>
      <c r="G1789" t="s">
        <v>2890</v>
      </c>
      <c r="H1789">
        <v>35146</v>
      </c>
      <c r="I1789" t="s">
        <v>423</v>
      </c>
      <c r="J1789" t="s">
        <v>2624</v>
      </c>
      <c r="K1789" t="s">
        <v>2625</v>
      </c>
      <c r="L1789" t="s">
        <v>2626</v>
      </c>
      <c r="M1789">
        <v>10</v>
      </c>
      <c r="N1789">
        <v>24.57</v>
      </c>
      <c r="O1789">
        <v>2772.72</v>
      </c>
      <c r="P1789">
        <v>0</v>
      </c>
      <c r="Q1789">
        <v>2772.72</v>
      </c>
      <c r="R1789">
        <v>443.64</v>
      </c>
      <c r="S1789">
        <v>110.91</v>
      </c>
      <c r="T1789">
        <v>3105.45</v>
      </c>
      <c r="U1789" t="s">
        <v>2648</v>
      </c>
      <c r="V1789" t="s">
        <v>9408</v>
      </c>
      <c r="W1789" t="s">
        <v>423</v>
      </c>
    </row>
    <row r="1790" spans="1:23" hidden="1" x14ac:dyDescent="0.2">
      <c r="A1790">
        <v>2012</v>
      </c>
      <c r="B1790" t="s">
        <v>303</v>
      </c>
      <c r="C1790" s="733">
        <v>40927</v>
      </c>
      <c r="D17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90" t="s">
        <v>478</v>
      </c>
      <c r="F1790" t="s">
        <v>2136</v>
      </c>
      <c r="G1790" t="s">
        <v>2906</v>
      </c>
      <c r="H1790">
        <v>34618</v>
      </c>
      <c r="I1790" t="s">
        <v>423</v>
      </c>
      <c r="J1790" t="s">
        <v>2668</v>
      </c>
      <c r="K1790" t="s">
        <v>2625</v>
      </c>
      <c r="L1790" t="s">
        <v>2626</v>
      </c>
      <c r="M1790">
        <v>76</v>
      </c>
      <c r="N1790">
        <v>23.17</v>
      </c>
      <c r="O1790">
        <v>2614.73</v>
      </c>
      <c r="P1790">
        <v>0</v>
      </c>
      <c r="Q1790">
        <v>2614.73</v>
      </c>
      <c r="R1790">
        <v>418.36</v>
      </c>
      <c r="S1790">
        <v>104.59</v>
      </c>
      <c r="T1790">
        <v>2928.5</v>
      </c>
      <c r="U1790" t="s">
        <v>2635</v>
      </c>
      <c r="V1790" t="s">
        <v>9408</v>
      </c>
      <c r="W1790" t="s">
        <v>423</v>
      </c>
    </row>
    <row r="1791" spans="1:23" hidden="1" x14ac:dyDescent="0.2">
      <c r="A1791">
        <v>2012</v>
      </c>
      <c r="B1791" t="s">
        <v>304</v>
      </c>
      <c r="C1791" s="733">
        <v>40967.445798611108</v>
      </c>
      <c r="D17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91" t="s">
        <v>478</v>
      </c>
      <c r="F1791" t="s">
        <v>2622</v>
      </c>
      <c r="G1791" t="s">
        <v>9260</v>
      </c>
      <c r="H1791">
        <v>36128</v>
      </c>
      <c r="I1791" t="s">
        <v>423</v>
      </c>
      <c r="J1791" t="s">
        <v>2668</v>
      </c>
      <c r="K1791" t="s">
        <v>2625</v>
      </c>
      <c r="L1791" t="s">
        <v>2626</v>
      </c>
      <c r="M1791">
        <v>76</v>
      </c>
      <c r="N1791">
        <v>23.18</v>
      </c>
      <c r="O1791">
        <v>2615.86</v>
      </c>
      <c r="P1791">
        <v>0</v>
      </c>
      <c r="Q1791">
        <v>2615.86</v>
      </c>
      <c r="R1791">
        <v>418.54</v>
      </c>
      <c r="S1791">
        <v>104.63</v>
      </c>
      <c r="T1791">
        <v>2929.77</v>
      </c>
      <c r="U1791" t="s">
        <v>9428</v>
      </c>
      <c r="V1791" t="s">
        <v>9408</v>
      </c>
      <c r="W1791" t="s">
        <v>423</v>
      </c>
    </row>
    <row r="1792" spans="1:23" hidden="1" x14ac:dyDescent="0.2">
      <c r="A1792">
        <v>2012</v>
      </c>
      <c r="B1792" t="s">
        <v>304</v>
      </c>
      <c r="C1792" s="733">
        <v>40947</v>
      </c>
      <c r="D17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92" t="s">
        <v>478</v>
      </c>
      <c r="F1792" t="s">
        <v>2142</v>
      </c>
      <c r="G1792" t="s">
        <v>2886</v>
      </c>
      <c r="H1792">
        <v>35311</v>
      </c>
      <c r="I1792" t="s">
        <v>423</v>
      </c>
      <c r="J1792" t="s">
        <v>2639</v>
      </c>
      <c r="K1792" t="s">
        <v>2640</v>
      </c>
      <c r="L1792" t="s">
        <v>2641</v>
      </c>
      <c r="M1792">
        <v>274</v>
      </c>
      <c r="N1792">
        <v>52.21</v>
      </c>
      <c r="O1792">
        <v>6711.07</v>
      </c>
      <c r="P1792">
        <v>0</v>
      </c>
      <c r="Q1792">
        <v>6711.07</v>
      </c>
      <c r="R1792">
        <v>1073.77</v>
      </c>
      <c r="S1792">
        <v>268.44</v>
      </c>
      <c r="T1792">
        <v>7516.4</v>
      </c>
      <c r="U1792" t="s">
        <v>2887</v>
      </c>
      <c r="V1792" t="s">
        <v>9409</v>
      </c>
      <c r="W1792" t="s">
        <v>423</v>
      </c>
    </row>
    <row r="1793" spans="1:23" hidden="1" x14ac:dyDescent="0.2">
      <c r="A1793">
        <v>2012</v>
      </c>
      <c r="B1793" t="s">
        <v>304</v>
      </c>
      <c r="C1793" s="733">
        <v>40967</v>
      </c>
      <c r="D17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93" t="s">
        <v>478</v>
      </c>
      <c r="F1793" t="s">
        <v>2142</v>
      </c>
      <c r="G1793" t="s">
        <v>9259</v>
      </c>
      <c r="H1793">
        <v>35995</v>
      </c>
      <c r="I1793" t="s">
        <v>423</v>
      </c>
      <c r="J1793" t="s">
        <v>2639</v>
      </c>
      <c r="K1793" t="s">
        <v>2640</v>
      </c>
      <c r="L1793" t="s">
        <v>2641</v>
      </c>
      <c r="M1793">
        <v>274</v>
      </c>
      <c r="N1793">
        <v>47.46</v>
      </c>
      <c r="O1793">
        <v>6100.51</v>
      </c>
      <c r="P1793">
        <v>0</v>
      </c>
      <c r="Q1793">
        <v>6100.51</v>
      </c>
      <c r="R1793">
        <v>976.08</v>
      </c>
      <c r="S1793">
        <v>244.02</v>
      </c>
      <c r="T1793">
        <v>6832.57</v>
      </c>
      <c r="U1793" t="s">
        <v>9475</v>
      </c>
      <c r="V1793" t="s">
        <v>9409</v>
      </c>
      <c r="W1793" t="s">
        <v>423</v>
      </c>
    </row>
    <row r="1794" spans="1:23" hidden="1" x14ac:dyDescent="0.2">
      <c r="A1794">
        <v>2012</v>
      </c>
      <c r="B1794" t="s">
        <v>305</v>
      </c>
      <c r="C1794" s="733">
        <v>40970.447511574072</v>
      </c>
      <c r="D1794" s="733" t="str">
        <f>CHOOSE(MONTH(Tabla_sqldatos_bonampakdb_Bon_v_ingresos2012[[#This Row],[fecha_guia]]),"Enero","Febrero","Marzo","Abril","Mayo","Junio","Julio","Agosto","Septiembre","Octubre","Noviembre","Diciembre")</f>
        <v>Marzo</v>
      </c>
      <c r="E1794" t="s">
        <v>478</v>
      </c>
      <c r="F1794" t="s">
        <v>2136</v>
      </c>
      <c r="G1794" t="s">
        <v>9689</v>
      </c>
      <c r="H1794">
        <v>36245</v>
      </c>
      <c r="I1794" t="s">
        <v>423</v>
      </c>
      <c r="J1794" t="s">
        <v>2639</v>
      </c>
      <c r="K1794" t="s">
        <v>2640</v>
      </c>
      <c r="L1794" t="s">
        <v>2641</v>
      </c>
      <c r="M1794">
        <v>274</v>
      </c>
      <c r="N1794">
        <v>34.630000000000003</v>
      </c>
      <c r="O1794">
        <v>4451.34</v>
      </c>
      <c r="P1794">
        <v>0</v>
      </c>
      <c r="Q1794">
        <v>4451.34</v>
      </c>
      <c r="R1794">
        <v>712.21</v>
      </c>
      <c r="S1794">
        <v>178.05</v>
      </c>
      <c r="T1794">
        <v>4985.5</v>
      </c>
      <c r="V1794" t="s">
        <v>9408</v>
      </c>
      <c r="W1794" t="s">
        <v>423</v>
      </c>
    </row>
    <row r="1795" spans="1:23" hidden="1" x14ac:dyDescent="0.2">
      <c r="A1795">
        <v>2012</v>
      </c>
      <c r="B1795" t="s">
        <v>303</v>
      </c>
      <c r="C1795" s="733">
        <v>40918</v>
      </c>
      <c r="D17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95" t="s">
        <v>478</v>
      </c>
      <c r="F1795" t="s">
        <v>2142</v>
      </c>
      <c r="G1795" t="s">
        <v>4501</v>
      </c>
      <c r="H1795">
        <v>33361</v>
      </c>
      <c r="I1795" t="s">
        <v>423</v>
      </c>
      <c r="J1795" t="s">
        <v>2639</v>
      </c>
      <c r="K1795" t="s">
        <v>2640</v>
      </c>
      <c r="L1795" t="s">
        <v>2641</v>
      </c>
      <c r="M1795">
        <v>274</v>
      </c>
      <c r="N1795">
        <v>50.52</v>
      </c>
      <c r="O1795">
        <v>2734.14</v>
      </c>
      <c r="P1795">
        <v>3423.34</v>
      </c>
      <c r="Q1795">
        <v>6157.48</v>
      </c>
      <c r="R1795">
        <v>985.19</v>
      </c>
      <c r="S1795">
        <v>246.3</v>
      </c>
      <c r="T1795">
        <v>6896.37</v>
      </c>
      <c r="U1795" t="s">
        <v>4102</v>
      </c>
      <c r="V1795" t="s">
        <v>9409</v>
      </c>
      <c r="W1795" t="s">
        <v>423</v>
      </c>
    </row>
    <row r="1796" spans="1:23" hidden="1" x14ac:dyDescent="0.2">
      <c r="A1796">
        <v>2012</v>
      </c>
      <c r="B1796" t="s">
        <v>303</v>
      </c>
      <c r="C1796" s="733">
        <v>40926.742511574077</v>
      </c>
      <c r="D17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96" t="s">
        <v>478</v>
      </c>
      <c r="F1796" t="s">
        <v>2622</v>
      </c>
      <c r="G1796" t="s">
        <v>3717</v>
      </c>
      <c r="H1796">
        <v>34690</v>
      </c>
      <c r="I1796" t="s">
        <v>423</v>
      </c>
      <c r="J1796" t="s">
        <v>2624</v>
      </c>
      <c r="K1796" t="s">
        <v>2625</v>
      </c>
      <c r="L1796" t="s">
        <v>2626</v>
      </c>
      <c r="M1796">
        <v>10</v>
      </c>
      <c r="N1796">
        <v>24.69</v>
      </c>
      <c r="O1796">
        <v>2786.27</v>
      </c>
      <c r="P1796">
        <v>0</v>
      </c>
      <c r="Q1796">
        <v>2786.27</v>
      </c>
      <c r="R1796">
        <v>445.8</v>
      </c>
      <c r="S1796">
        <v>111.45</v>
      </c>
      <c r="T1796">
        <v>3120.62</v>
      </c>
      <c r="U1796" t="s">
        <v>2627</v>
      </c>
      <c r="V1796" t="s">
        <v>9408</v>
      </c>
      <c r="W1796" t="s">
        <v>423</v>
      </c>
    </row>
    <row r="1797" spans="1:23" hidden="1" x14ac:dyDescent="0.2">
      <c r="A1797">
        <v>2012</v>
      </c>
      <c r="B1797" t="s">
        <v>304</v>
      </c>
      <c r="C1797" s="733">
        <v>40955.63685185185</v>
      </c>
      <c r="D17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797" t="s">
        <v>505</v>
      </c>
      <c r="F1797" t="s">
        <v>2065</v>
      </c>
      <c r="G1797" t="s">
        <v>7637</v>
      </c>
      <c r="H1797">
        <v>22802</v>
      </c>
      <c r="I1797" t="s">
        <v>424</v>
      </c>
      <c r="J1797" t="s">
        <v>1954</v>
      </c>
      <c r="K1797" t="s">
        <v>1918</v>
      </c>
      <c r="L1797" t="s">
        <v>1919</v>
      </c>
      <c r="M1797">
        <v>303</v>
      </c>
      <c r="N1797">
        <v>30</v>
      </c>
      <c r="O1797">
        <v>2314.83</v>
      </c>
      <c r="P1797">
        <v>1330.309653</v>
      </c>
      <c r="Q1797">
        <v>3645.1396530000002</v>
      </c>
      <c r="R1797">
        <v>583.22234400000002</v>
      </c>
      <c r="S1797">
        <v>145.80558600000001</v>
      </c>
      <c r="T1797">
        <v>4082.556411</v>
      </c>
      <c r="U1797" t="s">
        <v>7529</v>
      </c>
      <c r="V1797" t="s">
        <v>9408</v>
      </c>
      <c r="W1797" t="s">
        <v>424</v>
      </c>
    </row>
    <row r="1798" spans="1:23" hidden="1" x14ac:dyDescent="0.2">
      <c r="A1798">
        <v>2012</v>
      </c>
      <c r="B1798" t="s">
        <v>303</v>
      </c>
      <c r="C1798" s="733">
        <v>40931</v>
      </c>
      <c r="D17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98" t="s">
        <v>485</v>
      </c>
      <c r="F1798" t="s">
        <v>2136</v>
      </c>
      <c r="G1798" t="s">
        <v>6704</v>
      </c>
      <c r="H1798">
        <v>40674</v>
      </c>
      <c r="I1798" t="s">
        <v>423</v>
      </c>
      <c r="J1798" t="s">
        <v>4626</v>
      </c>
      <c r="K1798" t="s">
        <v>2102</v>
      </c>
      <c r="L1798" t="s">
        <v>2115</v>
      </c>
      <c r="M1798">
        <v>1457</v>
      </c>
      <c r="N1798">
        <v>26.22</v>
      </c>
      <c r="O1798">
        <v>19400.7</v>
      </c>
      <c r="P1798">
        <v>0</v>
      </c>
      <c r="Q1798">
        <v>19400.7</v>
      </c>
      <c r="R1798">
        <v>3104.11</v>
      </c>
      <c r="S1798">
        <v>776.03</v>
      </c>
      <c r="T1798">
        <v>21728.78</v>
      </c>
      <c r="U1798" t="s">
        <v>2108</v>
      </c>
      <c r="V1798" t="s">
        <v>9408</v>
      </c>
      <c r="W1798" t="s">
        <v>423</v>
      </c>
    </row>
    <row r="1799" spans="1:23" hidden="1" x14ac:dyDescent="0.2">
      <c r="A1799">
        <v>2012</v>
      </c>
      <c r="B1799" t="s">
        <v>303</v>
      </c>
      <c r="C1799" s="733">
        <v>40932</v>
      </c>
      <c r="D17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799" t="s">
        <v>485</v>
      </c>
      <c r="F1799" t="s">
        <v>2065</v>
      </c>
      <c r="G1799" t="s">
        <v>5701</v>
      </c>
      <c r="H1799">
        <v>40784</v>
      </c>
      <c r="I1799" t="s">
        <v>423</v>
      </c>
      <c r="J1799" t="s">
        <v>3054</v>
      </c>
      <c r="K1799" t="s">
        <v>2183</v>
      </c>
      <c r="L1799" t="s">
        <v>2184</v>
      </c>
      <c r="M1799">
        <v>43</v>
      </c>
      <c r="N1799">
        <v>15.94</v>
      </c>
      <c r="O1799">
        <v>1799.15</v>
      </c>
      <c r="P1799">
        <v>0</v>
      </c>
      <c r="Q1799">
        <v>1799.15</v>
      </c>
      <c r="R1799">
        <v>287.86</v>
      </c>
      <c r="S1799">
        <v>71.97</v>
      </c>
      <c r="T1799">
        <v>2015.04</v>
      </c>
      <c r="U1799" t="s">
        <v>2187</v>
      </c>
      <c r="V1799" t="s">
        <v>9408</v>
      </c>
      <c r="W1799" t="s">
        <v>423</v>
      </c>
    </row>
    <row r="1800" spans="1:23" hidden="1" x14ac:dyDescent="0.2">
      <c r="A1800">
        <v>2012</v>
      </c>
      <c r="B1800" t="s">
        <v>304</v>
      </c>
      <c r="C1800" s="733">
        <v>40963</v>
      </c>
      <c r="D18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00" t="s">
        <v>485</v>
      </c>
      <c r="F1800" t="s">
        <v>2065</v>
      </c>
      <c r="G1800" t="s">
        <v>8670</v>
      </c>
      <c r="H1800">
        <v>42548</v>
      </c>
      <c r="I1800" t="s">
        <v>423</v>
      </c>
      <c r="J1800" t="s">
        <v>3054</v>
      </c>
      <c r="K1800" t="s">
        <v>2183</v>
      </c>
      <c r="L1800" t="s">
        <v>2184</v>
      </c>
      <c r="M1800">
        <v>43</v>
      </c>
      <c r="N1800">
        <v>16.28</v>
      </c>
      <c r="O1800">
        <v>1837.52</v>
      </c>
      <c r="P1800">
        <v>0</v>
      </c>
      <c r="Q1800">
        <v>1837.52</v>
      </c>
      <c r="R1800">
        <v>294</v>
      </c>
      <c r="S1800">
        <v>73.5</v>
      </c>
      <c r="T1800">
        <v>2058.02</v>
      </c>
      <c r="U1800" t="s">
        <v>9411</v>
      </c>
      <c r="V1800" t="s">
        <v>9408</v>
      </c>
      <c r="W1800" t="s">
        <v>423</v>
      </c>
    </row>
    <row r="1801" spans="1:23" hidden="1" x14ac:dyDescent="0.2">
      <c r="A1801">
        <v>2012</v>
      </c>
      <c r="B1801" t="s">
        <v>304</v>
      </c>
      <c r="C1801" s="733">
        <v>40955.446886574071</v>
      </c>
      <c r="D18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01" t="s">
        <v>485</v>
      </c>
      <c r="F1801" t="s">
        <v>2065</v>
      </c>
      <c r="G1801" t="s">
        <v>7782</v>
      </c>
      <c r="H1801">
        <v>42069</v>
      </c>
      <c r="I1801" t="s">
        <v>423</v>
      </c>
      <c r="J1801" t="s">
        <v>3054</v>
      </c>
      <c r="K1801" t="s">
        <v>2183</v>
      </c>
      <c r="L1801" t="s">
        <v>2184</v>
      </c>
      <c r="M1801">
        <v>43</v>
      </c>
      <c r="N1801">
        <v>16.260000000000002</v>
      </c>
      <c r="O1801">
        <v>1835.27</v>
      </c>
      <c r="P1801">
        <v>0</v>
      </c>
      <c r="Q1801">
        <v>1835.27</v>
      </c>
      <c r="R1801">
        <v>293.64</v>
      </c>
      <c r="S1801">
        <v>73.41</v>
      </c>
      <c r="T1801">
        <v>2055.5</v>
      </c>
      <c r="U1801" t="s">
        <v>8048</v>
      </c>
      <c r="V1801" t="s">
        <v>9408</v>
      </c>
      <c r="W1801" t="s">
        <v>423</v>
      </c>
    </row>
    <row r="1802" spans="1:23" hidden="1" x14ac:dyDescent="0.2">
      <c r="A1802">
        <v>2012</v>
      </c>
      <c r="B1802" t="s">
        <v>304</v>
      </c>
      <c r="C1802" s="733">
        <v>40946</v>
      </c>
      <c r="D18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02" t="s">
        <v>505</v>
      </c>
      <c r="F1802" t="s">
        <v>1915</v>
      </c>
      <c r="G1802" t="s">
        <v>6473</v>
      </c>
      <c r="H1802">
        <v>22506</v>
      </c>
      <c r="I1802" t="s">
        <v>424</v>
      </c>
      <c r="J1802" t="s">
        <v>1917</v>
      </c>
      <c r="K1802" t="s">
        <v>1918</v>
      </c>
      <c r="L1802" t="s">
        <v>1919</v>
      </c>
      <c r="M1802">
        <v>267</v>
      </c>
      <c r="N1802">
        <v>30</v>
      </c>
      <c r="O1802">
        <v>2929.97</v>
      </c>
      <c r="P1802">
        <v>1683.8244589999999</v>
      </c>
      <c r="Q1802">
        <v>4613.7944589999997</v>
      </c>
      <c r="R1802">
        <v>738.20711300000005</v>
      </c>
      <c r="S1802">
        <v>184.55177800000001</v>
      </c>
      <c r="T1802">
        <v>5167.4497940000001</v>
      </c>
      <c r="U1802" t="s">
        <v>1924</v>
      </c>
      <c r="V1802" t="s">
        <v>9408</v>
      </c>
      <c r="W1802" t="s">
        <v>424</v>
      </c>
    </row>
    <row r="1803" spans="1:23" hidden="1" x14ac:dyDescent="0.2">
      <c r="A1803">
        <v>2012</v>
      </c>
      <c r="B1803" t="s">
        <v>303</v>
      </c>
      <c r="C1803" s="733">
        <v>40918</v>
      </c>
      <c r="D18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03" t="s">
        <v>478</v>
      </c>
      <c r="F1803" t="s">
        <v>2622</v>
      </c>
      <c r="G1803" t="s">
        <v>5107</v>
      </c>
      <c r="H1803">
        <v>34352</v>
      </c>
      <c r="I1803" t="s">
        <v>423</v>
      </c>
      <c r="J1803" t="s">
        <v>2624</v>
      </c>
      <c r="K1803" t="s">
        <v>2625</v>
      </c>
      <c r="L1803" t="s">
        <v>2626</v>
      </c>
      <c r="M1803">
        <v>10</v>
      </c>
      <c r="N1803">
        <v>23.68</v>
      </c>
      <c r="O1803">
        <v>2672.29</v>
      </c>
      <c r="P1803">
        <v>0</v>
      </c>
      <c r="Q1803">
        <v>2672.29</v>
      </c>
      <c r="R1803">
        <v>427.57</v>
      </c>
      <c r="S1803">
        <v>106.89</v>
      </c>
      <c r="T1803">
        <v>2992.97</v>
      </c>
      <c r="U1803" t="s">
        <v>2635</v>
      </c>
      <c r="V1803" t="s">
        <v>9408</v>
      </c>
      <c r="W1803" t="s">
        <v>423</v>
      </c>
    </row>
    <row r="1804" spans="1:23" hidden="1" x14ac:dyDescent="0.2">
      <c r="A1804">
        <v>2012</v>
      </c>
      <c r="B1804" t="s">
        <v>304</v>
      </c>
      <c r="C1804" s="733">
        <v>40954</v>
      </c>
      <c r="D18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04" t="s">
        <v>478</v>
      </c>
      <c r="F1804" t="s">
        <v>2622</v>
      </c>
      <c r="G1804" t="s">
        <v>7564</v>
      </c>
      <c r="H1804">
        <v>35644</v>
      </c>
      <c r="I1804" t="s">
        <v>423</v>
      </c>
      <c r="J1804" t="s">
        <v>2624</v>
      </c>
      <c r="K1804" t="s">
        <v>2625</v>
      </c>
      <c r="L1804" t="s">
        <v>2626</v>
      </c>
      <c r="M1804">
        <v>10</v>
      </c>
      <c r="N1804">
        <v>24.97</v>
      </c>
      <c r="O1804">
        <v>2817.86</v>
      </c>
      <c r="P1804">
        <v>0</v>
      </c>
      <c r="Q1804">
        <v>2817.86</v>
      </c>
      <c r="R1804">
        <v>450.86</v>
      </c>
      <c r="S1804">
        <v>112.71</v>
      </c>
      <c r="T1804">
        <v>3156.01</v>
      </c>
      <c r="U1804" t="s">
        <v>7548</v>
      </c>
      <c r="V1804" t="s">
        <v>9408</v>
      </c>
      <c r="W1804" t="s">
        <v>423</v>
      </c>
    </row>
    <row r="1805" spans="1:23" hidden="1" x14ac:dyDescent="0.2">
      <c r="A1805">
        <v>2012</v>
      </c>
      <c r="B1805" t="s">
        <v>304</v>
      </c>
      <c r="C1805" s="733">
        <v>40963.458055555559</v>
      </c>
      <c r="D18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05" t="s">
        <v>478</v>
      </c>
      <c r="F1805" t="s">
        <v>2622</v>
      </c>
      <c r="G1805" t="s">
        <v>8951</v>
      </c>
      <c r="H1805">
        <v>35999</v>
      </c>
      <c r="I1805" t="s">
        <v>423</v>
      </c>
      <c r="J1805" t="s">
        <v>2624</v>
      </c>
      <c r="K1805" t="s">
        <v>2625</v>
      </c>
      <c r="L1805" t="s">
        <v>2626</v>
      </c>
      <c r="M1805">
        <v>10</v>
      </c>
      <c r="N1805">
        <v>20.94</v>
      </c>
      <c r="O1805">
        <v>2363.08</v>
      </c>
      <c r="P1805">
        <v>0</v>
      </c>
      <c r="Q1805">
        <v>2363.08</v>
      </c>
      <c r="R1805">
        <v>378.09</v>
      </c>
      <c r="S1805">
        <v>94.52</v>
      </c>
      <c r="T1805">
        <v>2646.65</v>
      </c>
      <c r="U1805" t="s">
        <v>9428</v>
      </c>
      <c r="V1805" t="s">
        <v>9408</v>
      </c>
      <c r="W1805" t="s">
        <v>423</v>
      </c>
    </row>
    <row r="1806" spans="1:23" hidden="1" x14ac:dyDescent="0.2">
      <c r="A1806">
        <v>2012</v>
      </c>
      <c r="B1806" t="s">
        <v>304</v>
      </c>
      <c r="C1806" s="733">
        <v>40963.459733796299</v>
      </c>
      <c r="D18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06" t="s">
        <v>478</v>
      </c>
      <c r="F1806" t="s">
        <v>2622</v>
      </c>
      <c r="G1806" t="s">
        <v>8952</v>
      </c>
      <c r="H1806">
        <v>36002</v>
      </c>
      <c r="I1806" t="s">
        <v>423</v>
      </c>
      <c r="J1806" t="s">
        <v>2624</v>
      </c>
      <c r="K1806" t="s">
        <v>2625</v>
      </c>
      <c r="L1806" t="s">
        <v>2626</v>
      </c>
      <c r="M1806">
        <v>10</v>
      </c>
      <c r="N1806">
        <v>21.93</v>
      </c>
      <c r="O1806">
        <v>2474.8000000000002</v>
      </c>
      <c r="P1806">
        <v>0</v>
      </c>
      <c r="Q1806">
        <v>2474.8000000000002</v>
      </c>
      <c r="R1806">
        <v>395.97</v>
      </c>
      <c r="S1806">
        <v>98.99</v>
      </c>
      <c r="T1806">
        <v>2771.78</v>
      </c>
      <c r="U1806" t="s">
        <v>9428</v>
      </c>
      <c r="V1806" t="s">
        <v>9408</v>
      </c>
      <c r="W1806" t="s">
        <v>423</v>
      </c>
    </row>
    <row r="1807" spans="1:23" hidden="1" x14ac:dyDescent="0.2">
      <c r="A1807">
        <v>2012</v>
      </c>
      <c r="B1807" t="s">
        <v>303</v>
      </c>
      <c r="C1807" s="733">
        <v>40910</v>
      </c>
      <c r="D18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07" t="s">
        <v>478</v>
      </c>
      <c r="F1807" t="s">
        <v>2622</v>
      </c>
      <c r="G1807" t="s">
        <v>5461</v>
      </c>
      <c r="H1807">
        <v>34190</v>
      </c>
      <c r="I1807" t="s">
        <v>423</v>
      </c>
      <c r="J1807" t="s">
        <v>2624</v>
      </c>
      <c r="K1807" t="s">
        <v>2625</v>
      </c>
      <c r="L1807" t="s">
        <v>2626</v>
      </c>
      <c r="M1807">
        <v>10</v>
      </c>
      <c r="N1807">
        <v>26.89</v>
      </c>
      <c r="O1807">
        <v>1277.81</v>
      </c>
      <c r="P1807">
        <v>1438.430717</v>
      </c>
      <c r="Q1807">
        <v>2716.2407170000001</v>
      </c>
      <c r="R1807">
        <v>434.59851500000002</v>
      </c>
      <c r="S1807">
        <v>108.649629</v>
      </c>
      <c r="T1807">
        <v>3042.1896029999998</v>
      </c>
      <c r="U1807" t="s">
        <v>2660</v>
      </c>
      <c r="V1807" t="s">
        <v>9408</v>
      </c>
      <c r="W1807" t="s">
        <v>423</v>
      </c>
    </row>
    <row r="1808" spans="1:23" hidden="1" x14ac:dyDescent="0.2">
      <c r="A1808">
        <v>2012</v>
      </c>
      <c r="B1808" t="s">
        <v>304</v>
      </c>
      <c r="C1808" s="733">
        <v>40949</v>
      </c>
      <c r="D18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08" t="s">
        <v>478</v>
      </c>
      <c r="F1808" t="s">
        <v>2622</v>
      </c>
      <c r="G1808" t="s">
        <v>5103</v>
      </c>
      <c r="H1808">
        <v>35531</v>
      </c>
      <c r="I1808" t="s">
        <v>423</v>
      </c>
      <c r="J1808" t="s">
        <v>2624</v>
      </c>
      <c r="K1808" t="s">
        <v>2625</v>
      </c>
      <c r="L1808" t="s">
        <v>2626</v>
      </c>
      <c r="M1808">
        <v>10</v>
      </c>
      <c r="N1808">
        <v>36.340000000000003</v>
      </c>
      <c r="O1808">
        <v>4100.97</v>
      </c>
      <c r="P1808">
        <v>0</v>
      </c>
      <c r="Q1808">
        <v>4100.97</v>
      </c>
      <c r="R1808">
        <v>656.16</v>
      </c>
      <c r="S1808">
        <v>164.04</v>
      </c>
      <c r="T1808">
        <v>4593.09</v>
      </c>
      <c r="U1808" t="s">
        <v>7548</v>
      </c>
      <c r="V1808" t="s">
        <v>9408</v>
      </c>
      <c r="W1808" t="s">
        <v>423</v>
      </c>
    </row>
    <row r="1809" spans="1:23" hidden="1" x14ac:dyDescent="0.2">
      <c r="A1809">
        <v>2012</v>
      </c>
      <c r="B1809" t="s">
        <v>304</v>
      </c>
      <c r="C1809" s="733">
        <v>40949</v>
      </c>
      <c r="D18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09" t="s">
        <v>478</v>
      </c>
      <c r="F1809" t="s">
        <v>2622</v>
      </c>
      <c r="G1809" t="s">
        <v>5104</v>
      </c>
      <c r="H1809">
        <v>35534</v>
      </c>
      <c r="I1809" t="s">
        <v>423</v>
      </c>
      <c r="J1809" t="s">
        <v>2624</v>
      </c>
      <c r="K1809" t="s">
        <v>2625</v>
      </c>
      <c r="L1809" t="s">
        <v>2626</v>
      </c>
      <c r="M1809">
        <v>10</v>
      </c>
      <c r="N1809">
        <v>26.05</v>
      </c>
      <c r="O1809">
        <v>2939.74</v>
      </c>
      <c r="P1809">
        <v>0</v>
      </c>
      <c r="Q1809">
        <v>2939.74</v>
      </c>
      <c r="R1809">
        <v>470.36</v>
      </c>
      <c r="S1809">
        <v>117.59</v>
      </c>
      <c r="T1809">
        <v>3292.51</v>
      </c>
      <c r="U1809" t="s">
        <v>7548</v>
      </c>
      <c r="V1809" t="s">
        <v>9408</v>
      </c>
      <c r="W1809" t="s">
        <v>423</v>
      </c>
    </row>
    <row r="1810" spans="1:23" hidden="1" x14ac:dyDescent="0.2">
      <c r="A1810">
        <v>2012</v>
      </c>
      <c r="B1810" t="s">
        <v>303</v>
      </c>
      <c r="C1810" s="733">
        <v>40926</v>
      </c>
      <c r="D18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10" t="s">
        <v>478</v>
      </c>
      <c r="F1810" t="s">
        <v>2136</v>
      </c>
      <c r="G1810" t="s">
        <v>5108</v>
      </c>
      <c r="H1810">
        <v>34587</v>
      </c>
      <c r="I1810" t="s">
        <v>423</v>
      </c>
      <c r="J1810" t="s">
        <v>2624</v>
      </c>
      <c r="K1810" t="s">
        <v>2625</v>
      </c>
      <c r="L1810" t="s">
        <v>2626</v>
      </c>
      <c r="M1810">
        <v>10</v>
      </c>
      <c r="N1810">
        <v>23.21</v>
      </c>
      <c r="O1810">
        <v>2619.25</v>
      </c>
      <c r="P1810">
        <v>0</v>
      </c>
      <c r="Q1810">
        <v>2619.25</v>
      </c>
      <c r="R1810">
        <v>419.08</v>
      </c>
      <c r="S1810">
        <v>104.77</v>
      </c>
      <c r="T1810">
        <v>2933.56</v>
      </c>
      <c r="U1810" t="s">
        <v>2635</v>
      </c>
      <c r="V1810" t="s">
        <v>9408</v>
      </c>
      <c r="W1810" t="s">
        <v>423</v>
      </c>
    </row>
    <row r="1811" spans="1:23" hidden="1" x14ac:dyDescent="0.2">
      <c r="A1811">
        <v>2012</v>
      </c>
      <c r="B1811" t="s">
        <v>304</v>
      </c>
      <c r="C1811" s="733">
        <v>40963.408043981479</v>
      </c>
      <c r="D18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11" t="s">
        <v>478</v>
      </c>
      <c r="F1811" t="s">
        <v>2622</v>
      </c>
      <c r="G1811" t="s">
        <v>8949</v>
      </c>
      <c r="H1811">
        <v>35986</v>
      </c>
      <c r="I1811" t="s">
        <v>423</v>
      </c>
      <c r="J1811" t="s">
        <v>2624</v>
      </c>
      <c r="K1811" t="s">
        <v>2625</v>
      </c>
      <c r="L1811" t="s">
        <v>2626</v>
      </c>
      <c r="M1811">
        <v>10</v>
      </c>
      <c r="N1811">
        <v>21.49</v>
      </c>
      <c r="O1811">
        <v>2425.15</v>
      </c>
      <c r="P1811">
        <v>0</v>
      </c>
      <c r="Q1811">
        <v>2425.15</v>
      </c>
      <c r="R1811">
        <v>388.02</v>
      </c>
      <c r="S1811">
        <v>97.01</v>
      </c>
      <c r="T1811">
        <v>2716.16</v>
      </c>
      <c r="U1811" t="s">
        <v>9428</v>
      </c>
      <c r="V1811" t="s">
        <v>9408</v>
      </c>
      <c r="W1811" t="s">
        <v>423</v>
      </c>
    </row>
    <row r="1812" spans="1:23" hidden="1" x14ac:dyDescent="0.2">
      <c r="A1812">
        <v>2012</v>
      </c>
      <c r="B1812" t="s">
        <v>304</v>
      </c>
      <c r="C1812" s="733">
        <v>40960.423657407409</v>
      </c>
      <c r="D18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12" t="s">
        <v>478</v>
      </c>
      <c r="F1812" t="s">
        <v>2622</v>
      </c>
      <c r="G1812" t="s">
        <v>8305</v>
      </c>
      <c r="H1812">
        <v>35855</v>
      </c>
      <c r="I1812" t="s">
        <v>423</v>
      </c>
      <c r="J1812" t="s">
        <v>2624</v>
      </c>
      <c r="K1812" t="s">
        <v>2625</v>
      </c>
      <c r="L1812" t="s">
        <v>2626</v>
      </c>
      <c r="M1812">
        <v>10</v>
      </c>
      <c r="N1812">
        <v>24.41</v>
      </c>
      <c r="O1812">
        <v>2754.67</v>
      </c>
      <c r="P1812">
        <v>0</v>
      </c>
      <c r="Q1812">
        <v>2754.67</v>
      </c>
      <c r="R1812">
        <v>440.75</v>
      </c>
      <c r="S1812">
        <v>110.19</v>
      </c>
      <c r="T1812">
        <v>3085.23</v>
      </c>
      <c r="U1812" t="s">
        <v>8267</v>
      </c>
      <c r="V1812" t="s">
        <v>9408</v>
      </c>
      <c r="W1812" t="s">
        <v>423</v>
      </c>
    </row>
    <row r="1813" spans="1:23" hidden="1" x14ac:dyDescent="0.2">
      <c r="A1813">
        <v>2012</v>
      </c>
      <c r="B1813" t="s">
        <v>305</v>
      </c>
      <c r="C1813" s="733">
        <v>40970</v>
      </c>
      <c r="D1813" s="733" t="str">
        <f>CHOOSE(MONTH(Tabla_sqldatos_bonampakdb_Bon_v_ingresos2012[[#This Row],[fecha_guia]]),"Enero","Febrero","Marzo","Abril","Mayo","Junio","Julio","Agosto","Septiembre","Octubre","Noviembre","Diciembre")</f>
        <v>Marzo</v>
      </c>
      <c r="E1813" t="s">
        <v>485</v>
      </c>
      <c r="F1813" t="s">
        <v>2048</v>
      </c>
      <c r="G1813" t="s">
        <v>9690</v>
      </c>
      <c r="H1813">
        <v>42948</v>
      </c>
      <c r="I1813" t="s">
        <v>423</v>
      </c>
      <c r="J1813" t="s">
        <v>4093</v>
      </c>
      <c r="K1813" t="s">
        <v>2051</v>
      </c>
      <c r="L1813" t="s">
        <v>2052</v>
      </c>
      <c r="M1813">
        <v>647</v>
      </c>
      <c r="N1813">
        <v>50.05</v>
      </c>
      <c r="O1813">
        <v>18935.419999999998</v>
      </c>
      <c r="P1813">
        <v>0</v>
      </c>
      <c r="Q1813">
        <v>18935.419999999998</v>
      </c>
      <c r="R1813">
        <v>3029.67</v>
      </c>
      <c r="S1813">
        <v>757.42</v>
      </c>
      <c r="T1813">
        <v>21207.67</v>
      </c>
      <c r="V1813" t="s">
        <v>9409</v>
      </c>
      <c r="W1813" t="s">
        <v>423</v>
      </c>
    </row>
    <row r="1814" spans="1:23" hidden="1" x14ac:dyDescent="0.2">
      <c r="A1814">
        <v>2012</v>
      </c>
      <c r="B1814" t="s">
        <v>303</v>
      </c>
      <c r="C1814" s="733">
        <v>40939</v>
      </c>
      <c r="D18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14" t="s">
        <v>478</v>
      </c>
      <c r="F1814" t="s">
        <v>2142</v>
      </c>
      <c r="G1814" t="s">
        <v>5109</v>
      </c>
      <c r="H1814">
        <v>35007</v>
      </c>
      <c r="I1814" t="s">
        <v>423</v>
      </c>
      <c r="J1814" t="s">
        <v>2639</v>
      </c>
      <c r="K1814" t="s">
        <v>2640</v>
      </c>
      <c r="L1814" t="s">
        <v>2641</v>
      </c>
      <c r="M1814">
        <v>274</v>
      </c>
      <c r="N1814">
        <v>53.91</v>
      </c>
      <c r="O1814">
        <v>6929.59</v>
      </c>
      <c r="P1814">
        <v>0</v>
      </c>
      <c r="Q1814">
        <v>6929.59</v>
      </c>
      <c r="R1814">
        <v>1108.73</v>
      </c>
      <c r="S1814">
        <v>277.18</v>
      </c>
      <c r="T1814">
        <v>7761.14</v>
      </c>
      <c r="U1814" t="s">
        <v>2990</v>
      </c>
      <c r="V1814" t="s">
        <v>9409</v>
      </c>
      <c r="W1814" t="s">
        <v>423</v>
      </c>
    </row>
    <row r="1815" spans="1:23" hidden="1" x14ac:dyDescent="0.2">
      <c r="A1815">
        <v>2012</v>
      </c>
      <c r="B1815" t="s">
        <v>304</v>
      </c>
      <c r="C1815" s="733">
        <v>40967</v>
      </c>
      <c r="D18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15" t="s">
        <v>478</v>
      </c>
      <c r="F1815" t="s">
        <v>2142</v>
      </c>
      <c r="G1815" t="s">
        <v>8953</v>
      </c>
      <c r="H1815">
        <v>35922</v>
      </c>
      <c r="I1815" t="s">
        <v>423</v>
      </c>
      <c r="J1815" t="s">
        <v>2639</v>
      </c>
      <c r="K1815" t="s">
        <v>2640</v>
      </c>
      <c r="L1815" t="s">
        <v>2641</v>
      </c>
      <c r="M1815">
        <v>274</v>
      </c>
      <c r="N1815">
        <v>54.11</v>
      </c>
      <c r="O1815">
        <v>6955.3</v>
      </c>
      <c r="P1815">
        <v>0</v>
      </c>
      <c r="Q1815">
        <v>6955.3</v>
      </c>
      <c r="R1815">
        <v>1112.8499999999999</v>
      </c>
      <c r="S1815">
        <v>278.20999999999998</v>
      </c>
      <c r="T1815">
        <v>7789.94</v>
      </c>
      <c r="U1815" t="s">
        <v>9475</v>
      </c>
      <c r="V1815" t="s">
        <v>9409</v>
      </c>
      <c r="W1815" t="s">
        <v>423</v>
      </c>
    </row>
    <row r="1816" spans="1:23" hidden="1" x14ac:dyDescent="0.2">
      <c r="A1816">
        <v>2012</v>
      </c>
      <c r="B1816" t="s">
        <v>304</v>
      </c>
      <c r="C1816" s="733">
        <v>40960.424641203703</v>
      </c>
      <c r="D18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16" t="s">
        <v>478</v>
      </c>
      <c r="F1816" t="s">
        <v>2622</v>
      </c>
      <c r="G1816" t="s">
        <v>8304</v>
      </c>
      <c r="H1816">
        <v>35859</v>
      </c>
      <c r="I1816" t="s">
        <v>423</v>
      </c>
      <c r="J1816" t="s">
        <v>2624</v>
      </c>
      <c r="K1816" t="s">
        <v>2625</v>
      </c>
      <c r="L1816" t="s">
        <v>2626</v>
      </c>
      <c r="M1816">
        <v>10</v>
      </c>
      <c r="N1816">
        <v>25.58</v>
      </c>
      <c r="O1816">
        <v>2886.7</v>
      </c>
      <c r="P1816">
        <v>0</v>
      </c>
      <c r="Q1816">
        <v>2886.7</v>
      </c>
      <c r="R1816">
        <v>461.87</v>
      </c>
      <c r="S1816">
        <v>115.47</v>
      </c>
      <c r="T1816">
        <v>3233.1</v>
      </c>
      <c r="U1816" t="s">
        <v>8267</v>
      </c>
      <c r="V1816" t="s">
        <v>9408</v>
      </c>
      <c r="W1816" t="s">
        <v>423</v>
      </c>
    </row>
    <row r="1817" spans="1:23" hidden="1" x14ac:dyDescent="0.2">
      <c r="A1817">
        <v>2012</v>
      </c>
      <c r="B1817" t="s">
        <v>304</v>
      </c>
      <c r="C1817" s="733">
        <v>40963</v>
      </c>
      <c r="D18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17" t="s">
        <v>478</v>
      </c>
      <c r="F1817" t="s">
        <v>2622</v>
      </c>
      <c r="G1817" t="s">
        <v>8950</v>
      </c>
      <c r="H1817">
        <v>35901</v>
      </c>
      <c r="I1817" t="s">
        <v>423</v>
      </c>
      <c r="J1817" t="s">
        <v>2624</v>
      </c>
      <c r="K1817" t="s">
        <v>2625</v>
      </c>
      <c r="L1817" t="s">
        <v>2626</v>
      </c>
      <c r="M1817">
        <v>10</v>
      </c>
      <c r="N1817">
        <v>22.59</v>
      </c>
      <c r="O1817">
        <v>2549.2800000000002</v>
      </c>
      <c r="P1817">
        <v>0</v>
      </c>
      <c r="Q1817">
        <v>2549.2800000000002</v>
      </c>
      <c r="R1817">
        <v>407.89</v>
      </c>
      <c r="S1817">
        <v>101.97</v>
      </c>
      <c r="T1817">
        <v>2855.2</v>
      </c>
      <c r="U1817" t="s">
        <v>9428</v>
      </c>
      <c r="V1817" t="s">
        <v>9408</v>
      </c>
      <c r="W1817" t="s">
        <v>423</v>
      </c>
    </row>
    <row r="1818" spans="1:23" hidden="1" x14ac:dyDescent="0.2">
      <c r="A1818">
        <v>2012</v>
      </c>
      <c r="B1818" t="s">
        <v>303</v>
      </c>
      <c r="C1818" s="733">
        <v>40939</v>
      </c>
      <c r="D18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18" t="s">
        <v>478</v>
      </c>
      <c r="F1818" t="s">
        <v>2622</v>
      </c>
      <c r="G1818" t="s">
        <v>5444</v>
      </c>
      <c r="H1818">
        <v>35116</v>
      </c>
      <c r="I1818" t="s">
        <v>423</v>
      </c>
      <c r="J1818" t="s">
        <v>2624</v>
      </c>
      <c r="K1818" t="s">
        <v>2625</v>
      </c>
      <c r="L1818" t="s">
        <v>2626</v>
      </c>
      <c r="M1818">
        <v>10</v>
      </c>
      <c r="N1818">
        <v>24.36</v>
      </c>
      <c r="O1818">
        <v>2749.03</v>
      </c>
      <c r="P1818">
        <v>0</v>
      </c>
      <c r="Q1818">
        <v>2749.03</v>
      </c>
      <c r="R1818">
        <v>439.84</v>
      </c>
      <c r="S1818">
        <v>109.96</v>
      </c>
      <c r="T1818">
        <v>3078.91</v>
      </c>
      <c r="U1818" t="s">
        <v>7548</v>
      </c>
      <c r="V1818" t="s">
        <v>9408</v>
      </c>
      <c r="W1818" t="s">
        <v>423</v>
      </c>
    </row>
    <row r="1819" spans="1:23" hidden="1" x14ac:dyDescent="0.2">
      <c r="A1819">
        <v>2012</v>
      </c>
      <c r="B1819" t="s">
        <v>304</v>
      </c>
      <c r="C1819" s="733">
        <v>40960.422523148147</v>
      </c>
      <c r="D18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19" t="s">
        <v>478</v>
      </c>
      <c r="F1819" t="s">
        <v>2622</v>
      </c>
      <c r="G1819" t="s">
        <v>8303</v>
      </c>
      <c r="H1819">
        <v>35850</v>
      </c>
      <c r="I1819" t="s">
        <v>423</v>
      </c>
      <c r="J1819" t="s">
        <v>2624</v>
      </c>
      <c r="K1819" t="s">
        <v>2625</v>
      </c>
      <c r="L1819" t="s">
        <v>2626</v>
      </c>
      <c r="M1819">
        <v>10</v>
      </c>
      <c r="N1819">
        <v>22.29</v>
      </c>
      <c r="O1819">
        <v>2515.4299999999998</v>
      </c>
      <c r="P1819">
        <v>0</v>
      </c>
      <c r="Q1819">
        <v>2515.4299999999998</v>
      </c>
      <c r="R1819">
        <v>402.47</v>
      </c>
      <c r="S1819">
        <v>100.62</v>
      </c>
      <c r="T1819">
        <v>2817.28</v>
      </c>
      <c r="U1819" t="s">
        <v>8267</v>
      </c>
      <c r="V1819" t="s">
        <v>9408</v>
      </c>
      <c r="W1819" t="s">
        <v>423</v>
      </c>
    </row>
    <row r="1820" spans="1:23" hidden="1" x14ac:dyDescent="0.2">
      <c r="A1820">
        <v>2012</v>
      </c>
      <c r="B1820" t="s">
        <v>304</v>
      </c>
      <c r="C1820" s="733">
        <v>40961</v>
      </c>
      <c r="D18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20" t="s">
        <v>478</v>
      </c>
      <c r="F1820" t="s">
        <v>2142</v>
      </c>
      <c r="G1820" t="s">
        <v>8306</v>
      </c>
      <c r="H1820">
        <v>35751</v>
      </c>
      <c r="I1820" t="s">
        <v>423</v>
      </c>
      <c r="J1820" t="s">
        <v>2639</v>
      </c>
      <c r="K1820" t="s">
        <v>2640</v>
      </c>
      <c r="L1820" t="s">
        <v>2641</v>
      </c>
      <c r="M1820">
        <v>274</v>
      </c>
      <c r="N1820">
        <v>45.04</v>
      </c>
      <c r="O1820">
        <v>5789.44</v>
      </c>
      <c r="P1820">
        <v>0</v>
      </c>
      <c r="Q1820">
        <v>5789.44</v>
      </c>
      <c r="R1820">
        <v>926.31</v>
      </c>
      <c r="S1820">
        <v>231.58</v>
      </c>
      <c r="T1820">
        <v>6484.17</v>
      </c>
      <c r="U1820" t="s">
        <v>8307</v>
      </c>
      <c r="V1820" t="s">
        <v>9409</v>
      </c>
      <c r="W1820" t="s">
        <v>423</v>
      </c>
    </row>
    <row r="1821" spans="1:23" hidden="1" x14ac:dyDescent="0.2">
      <c r="A1821">
        <v>2012</v>
      </c>
      <c r="B1821" t="s">
        <v>304</v>
      </c>
      <c r="C1821" s="733">
        <v>40954</v>
      </c>
      <c r="D18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21" t="s">
        <v>478</v>
      </c>
      <c r="F1821" t="s">
        <v>2142</v>
      </c>
      <c r="G1821" t="s">
        <v>5111</v>
      </c>
      <c r="H1821">
        <v>35364</v>
      </c>
      <c r="I1821" t="s">
        <v>423</v>
      </c>
      <c r="J1821" t="s">
        <v>2639</v>
      </c>
      <c r="K1821" t="s">
        <v>2640</v>
      </c>
      <c r="L1821" t="s">
        <v>1919</v>
      </c>
      <c r="M1821">
        <v>274</v>
      </c>
      <c r="N1821">
        <v>52.65</v>
      </c>
      <c r="O1821">
        <v>6767.63</v>
      </c>
      <c r="P1821">
        <v>0</v>
      </c>
      <c r="Q1821">
        <v>6767.63</v>
      </c>
      <c r="R1821">
        <v>1082.82</v>
      </c>
      <c r="S1821">
        <v>270.70999999999998</v>
      </c>
      <c r="T1821">
        <v>7579.74</v>
      </c>
      <c r="U1821" t="s">
        <v>7598</v>
      </c>
      <c r="V1821" t="s">
        <v>9409</v>
      </c>
      <c r="W1821" t="s">
        <v>423</v>
      </c>
    </row>
    <row r="1822" spans="1:23" hidden="1" x14ac:dyDescent="0.2">
      <c r="A1822">
        <v>2012</v>
      </c>
      <c r="B1822" t="s">
        <v>304</v>
      </c>
      <c r="C1822" s="733">
        <v>40941</v>
      </c>
      <c r="D18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22" t="s">
        <v>478</v>
      </c>
      <c r="F1822" t="s">
        <v>2142</v>
      </c>
      <c r="G1822" t="s">
        <v>5110</v>
      </c>
      <c r="H1822">
        <v>35235</v>
      </c>
      <c r="I1822" t="s">
        <v>423</v>
      </c>
      <c r="J1822" t="s">
        <v>2639</v>
      </c>
      <c r="K1822" t="s">
        <v>2640</v>
      </c>
      <c r="L1822" t="s">
        <v>2641</v>
      </c>
      <c r="M1822">
        <v>274</v>
      </c>
      <c r="N1822">
        <v>47.87</v>
      </c>
      <c r="O1822">
        <v>6153.21</v>
      </c>
      <c r="P1822">
        <v>0</v>
      </c>
      <c r="Q1822">
        <v>6153.21</v>
      </c>
      <c r="R1822">
        <v>984.51</v>
      </c>
      <c r="S1822">
        <v>246.13</v>
      </c>
      <c r="T1822">
        <v>6891.59</v>
      </c>
      <c r="U1822" t="s">
        <v>2990</v>
      </c>
      <c r="V1822" t="s">
        <v>9409</v>
      </c>
      <c r="W1822" t="s">
        <v>423</v>
      </c>
    </row>
    <row r="1823" spans="1:23" hidden="1" x14ac:dyDescent="0.2">
      <c r="A1823">
        <v>2012</v>
      </c>
      <c r="B1823" t="s">
        <v>303</v>
      </c>
      <c r="C1823" s="733">
        <v>40939</v>
      </c>
      <c r="D18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23" t="s">
        <v>478</v>
      </c>
      <c r="F1823" t="s">
        <v>2142</v>
      </c>
      <c r="G1823" t="s">
        <v>5112</v>
      </c>
      <c r="H1823">
        <v>34936</v>
      </c>
      <c r="I1823" t="s">
        <v>423</v>
      </c>
      <c r="J1823" t="s">
        <v>2639</v>
      </c>
      <c r="K1823" t="s">
        <v>2640</v>
      </c>
      <c r="L1823" t="s">
        <v>2641</v>
      </c>
      <c r="M1823">
        <v>274</v>
      </c>
      <c r="N1823">
        <v>50.29</v>
      </c>
      <c r="O1823">
        <v>6464.28</v>
      </c>
      <c r="P1823">
        <v>0</v>
      </c>
      <c r="Q1823">
        <v>6464.28</v>
      </c>
      <c r="R1823">
        <v>1034.28</v>
      </c>
      <c r="S1823">
        <v>258.57</v>
      </c>
      <c r="T1823">
        <v>7239.99</v>
      </c>
      <c r="U1823" t="s">
        <v>2990</v>
      </c>
      <c r="V1823" t="s">
        <v>9409</v>
      </c>
      <c r="W1823" t="s">
        <v>423</v>
      </c>
    </row>
    <row r="1824" spans="1:23" hidden="1" x14ac:dyDescent="0.2">
      <c r="A1824">
        <v>2012</v>
      </c>
      <c r="B1824" t="s">
        <v>303</v>
      </c>
      <c r="C1824" s="733">
        <v>40924</v>
      </c>
      <c r="D18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24" t="s">
        <v>485</v>
      </c>
      <c r="F1824" t="s">
        <v>2065</v>
      </c>
      <c r="G1824" t="s">
        <v>6608</v>
      </c>
      <c r="H1824">
        <v>40242</v>
      </c>
      <c r="I1824" t="s">
        <v>423</v>
      </c>
      <c r="J1824" t="s">
        <v>2139</v>
      </c>
      <c r="K1824" t="s">
        <v>2102</v>
      </c>
      <c r="L1824" t="s">
        <v>2115</v>
      </c>
      <c r="M1824">
        <v>543</v>
      </c>
      <c r="N1824">
        <v>51.24</v>
      </c>
      <c r="O1824">
        <v>17229.45</v>
      </c>
      <c r="P1824">
        <v>0</v>
      </c>
      <c r="Q1824">
        <v>17229.45</v>
      </c>
      <c r="R1824">
        <v>2756.71</v>
      </c>
      <c r="S1824">
        <v>689.18</v>
      </c>
      <c r="T1824">
        <v>19296.98</v>
      </c>
      <c r="U1824" t="s">
        <v>2106</v>
      </c>
      <c r="V1824" t="s">
        <v>9409</v>
      </c>
      <c r="W1824" t="s">
        <v>423</v>
      </c>
    </row>
    <row r="1825" spans="1:23" hidden="1" x14ac:dyDescent="0.2">
      <c r="A1825">
        <v>2012</v>
      </c>
      <c r="B1825" t="s">
        <v>304</v>
      </c>
      <c r="C1825" s="733">
        <v>40960.509942129633</v>
      </c>
      <c r="D18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25" t="s">
        <v>485</v>
      </c>
      <c r="F1825" t="s">
        <v>2065</v>
      </c>
      <c r="G1825" t="s">
        <v>8339</v>
      </c>
      <c r="H1825">
        <v>42359</v>
      </c>
      <c r="I1825" t="s">
        <v>423</v>
      </c>
      <c r="J1825" t="s">
        <v>2196</v>
      </c>
      <c r="K1825" t="s">
        <v>2183</v>
      </c>
      <c r="L1825" t="s">
        <v>2184</v>
      </c>
      <c r="M1825">
        <v>10</v>
      </c>
      <c r="N1825">
        <v>51.29</v>
      </c>
      <c r="O1825">
        <v>5789.1</v>
      </c>
      <c r="P1825">
        <v>0</v>
      </c>
      <c r="Q1825">
        <v>5789.1</v>
      </c>
      <c r="R1825">
        <v>926.26</v>
      </c>
      <c r="S1825">
        <v>231.56</v>
      </c>
      <c r="T1825">
        <v>6483.8</v>
      </c>
      <c r="U1825" t="s">
        <v>9411</v>
      </c>
      <c r="V1825" t="s">
        <v>9409</v>
      </c>
      <c r="W1825" t="s">
        <v>423</v>
      </c>
    </row>
    <row r="1826" spans="1:23" hidden="1" x14ac:dyDescent="0.2">
      <c r="A1826">
        <v>2012</v>
      </c>
      <c r="B1826" t="s">
        <v>303</v>
      </c>
      <c r="C1826" s="733">
        <v>40927</v>
      </c>
      <c r="D18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26" t="s">
        <v>485</v>
      </c>
      <c r="F1826" t="s">
        <v>2065</v>
      </c>
      <c r="G1826" t="s">
        <v>2347</v>
      </c>
      <c r="H1826">
        <v>40515</v>
      </c>
      <c r="I1826" t="s">
        <v>423</v>
      </c>
      <c r="J1826" t="s">
        <v>2139</v>
      </c>
      <c r="K1826" t="s">
        <v>2102</v>
      </c>
      <c r="L1826" t="s">
        <v>2115</v>
      </c>
      <c r="M1826">
        <v>543</v>
      </c>
      <c r="N1826">
        <v>24.78</v>
      </c>
      <c r="O1826">
        <v>8332.2800000000007</v>
      </c>
      <c r="P1826">
        <v>0</v>
      </c>
      <c r="Q1826">
        <v>8332.2800000000007</v>
      </c>
      <c r="R1826">
        <v>1333.16</v>
      </c>
      <c r="S1826">
        <v>333.29</v>
      </c>
      <c r="T1826">
        <v>9332.15</v>
      </c>
      <c r="U1826" t="s">
        <v>2108</v>
      </c>
      <c r="V1826" t="s">
        <v>9408</v>
      </c>
      <c r="W1826" t="s">
        <v>423</v>
      </c>
    </row>
    <row r="1827" spans="1:23" hidden="1" x14ac:dyDescent="0.2">
      <c r="A1827">
        <v>2012</v>
      </c>
      <c r="B1827" t="s">
        <v>303</v>
      </c>
      <c r="C1827" s="733">
        <v>40938</v>
      </c>
      <c r="D18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27" t="s">
        <v>485</v>
      </c>
      <c r="F1827" t="s">
        <v>2065</v>
      </c>
      <c r="G1827" t="s">
        <v>2356</v>
      </c>
      <c r="H1827">
        <v>40953</v>
      </c>
      <c r="I1827" t="s">
        <v>423</v>
      </c>
      <c r="J1827" t="s">
        <v>2139</v>
      </c>
      <c r="K1827" t="s">
        <v>2102</v>
      </c>
      <c r="L1827" t="s">
        <v>2115</v>
      </c>
      <c r="M1827">
        <v>543</v>
      </c>
      <c r="N1827">
        <v>51.22</v>
      </c>
      <c r="O1827">
        <v>17222.72</v>
      </c>
      <c r="P1827">
        <v>0</v>
      </c>
      <c r="Q1827">
        <v>17222.72</v>
      </c>
      <c r="R1827">
        <v>2755.64</v>
      </c>
      <c r="S1827">
        <v>688.91</v>
      </c>
      <c r="T1827">
        <v>19289.45</v>
      </c>
      <c r="U1827" t="s">
        <v>2110</v>
      </c>
      <c r="V1827" t="s">
        <v>9409</v>
      </c>
      <c r="W1827" t="s">
        <v>423</v>
      </c>
    </row>
    <row r="1828" spans="1:23" hidden="1" x14ac:dyDescent="0.2">
      <c r="A1828">
        <v>2012</v>
      </c>
      <c r="B1828" t="s">
        <v>304</v>
      </c>
      <c r="C1828" s="733">
        <v>40949.789652777778</v>
      </c>
      <c r="D18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28" t="s">
        <v>478</v>
      </c>
      <c r="F1828" t="s">
        <v>2136</v>
      </c>
      <c r="G1828" t="s">
        <v>7064</v>
      </c>
      <c r="H1828">
        <v>35508</v>
      </c>
      <c r="I1828" t="s">
        <v>423</v>
      </c>
      <c r="J1828" t="s">
        <v>4285</v>
      </c>
      <c r="K1828" t="s">
        <v>425</v>
      </c>
      <c r="L1828" t="s">
        <v>2145</v>
      </c>
      <c r="M1828">
        <v>110</v>
      </c>
      <c r="N1828">
        <v>25.37</v>
      </c>
      <c r="O1828">
        <v>4128.97</v>
      </c>
      <c r="P1828">
        <v>0</v>
      </c>
      <c r="Q1828">
        <v>4128.97</v>
      </c>
      <c r="R1828">
        <v>660.63</v>
      </c>
      <c r="S1828">
        <v>165.16</v>
      </c>
      <c r="T1828">
        <v>4624.4399999999996</v>
      </c>
      <c r="U1828" t="s">
        <v>7523</v>
      </c>
      <c r="V1828" t="s">
        <v>9408</v>
      </c>
      <c r="W1828" t="s">
        <v>423</v>
      </c>
    </row>
    <row r="1829" spans="1:23" hidden="1" x14ac:dyDescent="0.2">
      <c r="A1829">
        <v>2012</v>
      </c>
      <c r="B1829" t="s">
        <v>304</v>
      </c>
      <c r="C1829" s="733">
        <v>40940</v>
      </c>
      <c r="D18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29" t="s">
        <v>485</v>
      </c>
      <c r="F1829" t="s">
        <v>2065</v>
      </c>
      <c r="G1829" t="s">
        <v>3139</v>
      </c>
      <c r="H1829">
        <v>41183</v>
      </c>
      <c r="I1829" t="s">
        <v>423</v>
      </c>
      <c r="J1829" t="s">
        <v>2196</v>
      </c>
      <c r="K1829" t="s">
        <v>2183</v>
      </c>
      <c r="L1829" t="s">
        <v>2184</v>
      </c>
      <c r="M1829">
        <v>10</v>
      </c>
      <c r="N1829">
        <v>14.95</v>
      </c>
      <c r="O1829">
        <v>1687.41</v>
      </c>
      <c r="P1829">
        <v>0</v>
      </c>
      <c r="Q1829">
        <v>1687.41</v>
      </c>
      <c r="R1829">
        <v>269.99</v>
      </c>
      <c r="S1829">
        <v>67.5</v>
      </c>
      <c r="T1829">
        <v>1889.9</v>
      </c>
      <c r="U1829" t="s">
        <v>2192</v>
      </c>
      <c r="V1829" t="s">
        <v>9408</v>
      </c>
      <c r="W1829" t="s">
        <v>423</v>
      </c>
    </row>
    <row r="1830" spans="1:23" hidden="1" x14ac:dyDescent="0.2">
      <c r="A1830">
        <v>2012</v>
      </c>
      <c r="B1830" t="s">
        <v>303</v>
      </c>
      <c r="C1830" s="733">
        <v>40927</v>
      </c>
      <c r="D18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30" t="s">
        <v>485</v>
      </c>
      <c r="F1830" t="s">
        <v>2065</v>
      </c>
      <c r="G1830" t="s">
        <v>3143</v>
      </c>
      <c r="H1830">
        <v>40546</v>
      </c>
      <c r="I1830" t="s">
        <v>423</v>
      </c>
      <c r="J1830" t="s">
        <v>2196</v>
      </c>
      <c r="K1830" t="s">
        <v>2183</v>
      </c>
      <c r="L1830" t="s">
        <v>2184</v>
      </c>
      <c r="M1830">
        <v>10</v>
      </c>
      <c r="N1830">
        <v>49.26</v>
      </c>
      <c r="O1830">
        <v>5559.98</v>
      </c>
      <c r="P1830">
        <v>0</v>
      </c>
      <c r="Q1830">
        <v>5559.98</v>
      </c>
      <c r="R1830">
        <v>889.6</v>
      </c>
      <c r="S1830">
        <v>222.4</v>
      </c>
      <c r="T1830">
        <v>6227.18</v>
      </c>
      <c r="U1830" t="s">
        <v>2187</v>
      </c>
      <c r="V1830" t="s">
        <v>9409</v>
      </c>
      <c r="W1830" t="s">
        <v>423</v>
      </c>
    </row>
    <row r="1831" spans="1:23" hidden="1" x14ac:dyDescent="0.2">
      <c r="A1831">
        <v>2012</v>
      </c>
      <c r="B1831" t="s">
        <v>304</v>
      </c>
      <c r="C1831" s="733">
        <v>40953.60670138889</v>
      </c>
      <c r="D18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31" t="s">
        <v>485</v>
      </c>
      <c r="F1831" t="s">
        <v>2065</v>
      </c>
      <c r="G1831" t="s">
        <v>6622</v>
      </c>
      <c r="H1831">
        <v>41930</v>
      </c>
      <c r="I1831" t="s">
        <v>423</v>
      </c>
      <c r="J1831" t="s">
        <v>3202</v>
      </c>
      <c r="K1831" t="s">
        <v>2183</v>
      </c>
      <c r="L1831" t="s">
        <v>2184</v>
      </c>
      <c r="M1831">
        <v>80</v>
      </c>
      <c r="N1831">
        <v>16.079999999999998</v>
      </c>
      <c r="O1831">
        <v>1814.95</v>
      </c>
      <c r="P1831">
        <v>0</v>
      </c>
      <c r="Q1831">
        <v>1814.95</v>
      </c>
      <c r="R1831">
        <v>290.39</v>
      </c>
      <c r="S1831">
        <v>72.599999999999994</v>
      </c>
      <c r="T1831">
        <v>2032.74</v>
      </c>
      <c r="U1831" t="s">
        <v>8048</v>
      </c>
      <c r="V1831" t="s">
        <v>9408</v>
      </c>
      <c r="W1831" t="s">
        <v>423</v>
      </c>
    </row>
    <row r="1832" spans="1:23" hidden="1" x14ac:dyDescent="0.2">
      <c r="A1832">
        <v>2012</v>
      </c>
      <c r="B1832" t="s">
        <v>304</v>
      </c>
      <c r="C1832" s="733">
        <v>40967</v>
      </c>
      <c r="D18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32" t="s">
        <v>478</v>
      </c>
      <c r="F1832" t="s">
        <v>2622</v>
      </c>
      <c r="G1832" t="s">
        <v>8937</v>
      </c>
      <c r="H1832">
        <v>35889</v>
      </c>
      <c r="I1832" t="s">
        <v>423</v>
      </c>
      <c r="J1832" t="s">
        <v>3480</v>
      </c>
      <c r="K1832" t="s">
        <v>2625</v>
      </c>
      <c r="L1832" t="s">
        <v>3482</v>
      </c>
      <c r="M1832">
        <v>75</v>
      </c>
      <c r="N1832">
        <v>24.51</v>
      </c>
      <c r="O1832">
        <v>1385.31</v>
      </c>
      <c r="P1832">
        <v>0</v>
      </c>
      <c r="Q1832">
        <v>1385.31</v>
      </c>
      <c r="R1832">
        <v>221.65</v>
      </c>
      <c r="S1832">
        <v>55.41</v>
      </c>
      <c r="T1832">
        <v>1551.55</v>
      </c>
      <c r="V1832" t="s">
        <v>9408</v>
      </c>
      <c r="W1832" t="s">
        <v>423</v>
      </c>
    </row>
    <row r="1833" spans="1:23" hidden="1" x14ac:dyDescent="0.2">
      <c r="A1833">
        <v>2012</v>
      </c>
      <c r="B1833" t="s">
        <v>304</v>
      </c>
      <c r="C1833" s="733">
        <v>40966</v>
      </c>
      <c r="D18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33" t="s">
        <v>505</v>
      </c>
      <c r="F1833" t="s">
        <v>1915</v>
      </c>
      <c r="G1833" t="s">
        <v>8873</v>
      </c>
      <c r="H1833">
        <v>23024</v>
      </c>
      <c r="I1833" t="s">
        <v>423</v>
      </c>
      <c r="J1833" t="s">
        <v>4155</v>
      </c>
      <c r="K1833" t="s">
        <v>1918</v>
      </c>
      <c r="L1833" t="s">
        <v>1919</v>
      </c>
      <c r="M1833">
        <v>650</v>
      </c>
      <c r="N1833">
        <v>51.74</v>
      </c>
      <c r="O1833">
        <v>22250.79</v>
      </c>
      <c r="P1833">
        <v>0</v>
      </c>
      <c r="Q1833">
        <v>22250.79</v>
      </c>
      <c r="R1833">
        <v>3560.13</v>
      </c>
      <c r="S1833">
        <v>890.03</v>
      </c>
      <c r="T1833">
        <v>24920.89</v>
      </c>
      <c r="U1833" t="s">
        <v>9415</v>
      </c>
      <c r="V1833" t="s">
        <v>9409</v>
      </c>
      <c r="W1833" t="s">
        <v>423</v>
      </c>
    </row>
    <row r="1834" spans="1:23" hidden="1" x14ac:dyDescent="0.2">
      <c r="A1834">
        <v>2012</v>
      </c>
      <c r="B1834" t="s">
        <v>304</v>
      </c>
      <c r="C1834" s="733">
        <v>40955</v>
      </c>
      <c r="D18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34" t="s">
        <v>485</v>
      </c>
      <c r="F1834" t="s">
        <v>2065</v>
      </c>
      <c r="G1834" t="s">
        <v>7566</v>
      </c>
      <c r="H1834">
        <v>41468</v>
      </c>
      <c r="I1834" t="s">
        <v>423</v>
      </c>
      <c r="J1834" t="s">
        <v>2182</v>
      </c>
      <c r="K1834" t="s">
        <v>2183</v>
      </c>
      <c r="L1834" t="s">
        <v>2184</v>
      </c>
      <c r="M1834">
        <v>62</v>
      </c>
      <c r="N1834">
        <v>48.08</v>
      </c>
      <c r="O1834">
        <v>7122.57</v>
      </c>
      <c r="P1834">
        <v>0</v>
      </c>
      <c r="Q1834">
        <v>7122.57</v>
      </c>
      <c r="R1834">
        <v>1139.6099999999999</v>
      </c>
      <c r="S1834">
        <v>284.89999999999998</v>
      </c>
      <c r="T1834">
        <v>7977.28</v>
      </c>
      <c r="U1834" t="s">
        <v>8048</v>
      </c>
      <c r="V1834" t="s">
        <v>9409</v>
      </c>
      <c r="W1834" t="s">
        <v>423</v>
      </c>
    </row>
    <row r="1835" spans="1:23" hidden="1" x14ac:dyDescent="0.2">
      <c r="A1835">
        <v>2012</v>
      </c>
      <c r="B1835" t="s">
        <v>303</v>
      </c>
      <c r="C1835" s="733">
        <v>40927</v>
      </c>
      <c r="D18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35" t="s">
        <v>485</v>
      </c>
      <c r="F1835" t="s">
        <v>2065</v>
      </c>
      <c r="G1835" t="s">
        <v>3418</v>
      </c>
      <c r="H1835">
        <v>40474</v>
      </c>
      <c r="I1835" t="s">
        <v>423</v>
      </c>
      <c r="J1835" t="s">
        <v>3419</v>
      </c>
      <c r="K1835" t="s">
        <v>2183</v>
      </c>
      <c r="L1835" t="s">
        <v>2184</v>
      </c>
      <c r="M1835">
        <v>80</v>
      </c>
      <c r="N1835">
        <v>25.73</v>
      </c>
      <c r="O1835">
        <v>2904.15</v>
      </c>
      <c r="P1835">
        <v>0</v>
      </c>
      <c r="Q1835">
        <v>2904.15</v>
      </c>
      <c r="R1835">
        <v>464.66</v>
      </c>
      <c r="S1835">
        <v>116.17</v>
      </c>
      <c r="T1835">
        <v>3252.64</v>
      </c>
      <c r="U1835" t="s">
        <v>7554</v>
      </c>
      <c r="V1835" t="s">
        <v>9408</v>
      </c>
      <c r="W1835" t="s">
        <v>423</v>
      </c>
    </row>
    <row r="1836" spans="1:23" hidden="1" x14ac:dyDescent="0.2">
      <c r="A1836">
        <v>2012</v>
      </c>
      <c r="B1836" t="s">
        <v>304</v>
      </c>
      <c r="C1836" s="733">
        <v>40941</v>
      </c>
      <c r="D18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36" t="s">
        <v>485</v>
      </c>
      <c r="F1836" t="s">
        <v>2065</v>
      </c>
      <c r="G1836" t="s">
        <v>2361</v>
      </c>
      <c r="H1836">
        <v>40286</v>
      </c>
      <c r="I1836" t="s">
        <v>423</v>
      </c>
      <c r="J1836" t="s">
        <v>2114</v>
      </c>
      <c r="K1836" t="s">
        <v>2102</v>
      </c>
      <c r="L1836" t="s">
        <v>2115</v>
      </c>
      <c r="M1836">
        <v>500</v>
      </c>
      <c r="N1836">
        <v>53.31</v>
      </c>
      <c r="O1836">
        <v>17925.490000000002</v>
      </c>
      <c r="P1836">
        <v>0</v>
      </c>
      <c r="Q1836">
        <v>17925.490000000002</v>
      </c>
      <c r="R1836">
        <v>2868.08</v>
      </c>
      <c r="S1836">
        <v>717.02</v>
      </c>
      <c r="T1836">
        <v>20076.55</v>
      </c>
      <c r="V1836" t="s">
        <v>9409</v>
      </c>
      <c r="W1836" t="s">
        <v>423</v>
      </c>
    </row>
    <row r="1837" spans="1:23" hidden="1" x14ac:dyDescent="0.2">
      <c r="A1837">
        <v>2012</v>
      </c>
      <c r="B1837" t="s">
        <v>304</v>
      </c>
      <c r="C1837" s="733">
        <v>40941</v>
      </c>
      <c r="D18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37" t="s">
        <v>485</v>
      </c>
      <c r="F1837" t="s">
        <v>2065</v>
      </c>
      <c r="G1837" t="s">
        <v>2360</v>
      </c>
      <c r="H1837">
        <v>39856</v>
      </c>
      <c r="I1837" t="s">
        <v>423</v>
      </c>
      <c r="J1837" t="s">
        <v>2114</v>
      </c>
      <c r="K1837" t="s">
        <v>2102</v>
      </c>
      <c r="L1837" t="s">
        <v>2115</v>
      </c>
      <c r="M1837">
        <v>500</v>
      </c>
      <c r="N1837">
        <v>52.51</v>
      </c>
      <c r="O1837">
        <v>17656.490000000002</v>
      </c>
      <c r="P1837">
        <v>0</v>
      </c>
      <c r="Q1837">
        <v>17656.490000000002</v>
      </c>
      <c r="R1837">
        <v>2825.04</v>
      </c>
      <c r="S1837">
        <v>706.26</v>
      </c>
      <c r="T1837">
        <v>19775.27</v>
      </c>
      <c r="U1837" t="s">
        <v>2110</v>
      </c>
      <c r="V1837" t="s">
        <v>9409</v>
      </c>
      <c r="W1837" t="s">
        <v>423</v>
      </c>
    </row>
    <row r="1838" spans="1:23" hidden="1" x14ac:dyDescent="0.2">
      <c r="A1838">
        <v>2012</v>
      </c>
      <c r="B1838" t="s">
        <v>303</v>
      </c>
      <c r="C1838" s="733">
        <v>40934</v>
      </c>
      <c r="D18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38" t="s">
        <v>485</v>
      </c>
      <c r="F1838" t="s">
        <v>2065</v>
      </c>
      <c r="G1838" t="s">
        <v>2343</v>
      </c>
      <c r="H1838">
        <v>40903</v>
      </c>
      <c r="I1838" t="s">
        <v>423</v>
      </c>
      <c r="J1838" t="s">
        <v>2114</v>
      </c>
      <c r="K1838" t="s">
        <v>2102</v>
      </c>
      <c r="L1838" t="s">
        <v>2115</v>
      </c>
      <c r="M1838">
        <v>500</v>
      </c>
      <c r="N1838">
        <v>53.71</v>
      </c>
      <c r="O1838">
        <v>18059.990000000002</v>
      </c>
      <c r="P1838">
        <v>0</v>
      </c>
      <c r="Q1838">
        <v>18059.990000000002</v>
      </c>
      <c r="R1838">
        <v>2889.6</v>
      </c>
      <c r="S1838">
        <v>722.4</v>
      </c>
      <c r="T1838">
        <v>20227.189999999999</v>
      </c>
      <c r="U1838" t="s">
        <v>2110</v>
      </c>
      <c r="V1838" t="s">
        <v>9409</v>
      </c>
      <c r="W1838" t="s">
        <v>423</v>
      </c>
    </row>
    <row r="1839" spans="1:23" hidden="1" x14ac:dyDescent="0.2">
      <c r="A1839">
        <v>2012</v>
      </c>
      <c r="B1839" t="s">
        <v>303</v>
      </c>
      <c r="C1839" s="733">
        <v>40935</v>
      </c>
      <c r="D18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39" t="s">
        <v>485</v>
      </c>
      <c r="F1839" t="s">
        <v>2065</v>
      </c>
      <c r="G1839" t="s">
        <v>2342</v>
      </c>
      <c r="H1839">
        <v>40884</v>
      </c>
      <c r="I1839" t="s">
        <v>423</v>
      </c>
      <c r="J1839" t="s">
        <v>2114</v>
      </c>
      <c r="K1839" t="s">
        <v>2102</v>
      </c>
      <c r="L1839" t="s">
        <v>2115</v>
      </c>
      <c r="M1839">
        <v>500</v>
      </c>
      <c r="N1839">
        <v>52.85</v>
      </c>
      <c r="O1839">
        <v>17770.810000000001</v>
      </c>
      <c r="P1839">
        <v>0</v>
      </c>
      <c r="Q1839">
        <v>17770.810000000001</v>
      </c>
      <c r="R1839">
        <v>2843.33</v>
      </c>
      <c r="S1839">
        <v>710.83</v>
      </c>
      <c r="T1839">
        <v>19903.310000000001</v>
      </c>
      <c r="U1839" t="s">
        <v>2110</v>
      </c>
      <c r="V1839" t="s">
        <v>9409</v>
      </c>
      <c r="W1839" t="s">
        <v>423</v>
      </c>
    </row>
    <row r="1840" spans="1:23" hidden="1" x14ac:dyDescent="0.2">
      <c r="A1840">
        <v>2012</v>
      </c>
      <c r="B1840" t="s">
        <v>304</v>
      </c>
      <c r="C1840" s="733">
        <v>40948</v>
      </c>
      <c r="D18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40" t="s">
        <v>485</v>
      </c>
      <c r="F1840" t="s">
        <v>2065</v>
      </c>
      <c r="G1840" t="s">
        <v>3141</v>
      </c>
      <c r="H1840">
        <v>41414</v>
      </c>
      <c r="I1840" t="s">
        <v>423</v>
      </c>
      <c r="J1840" t="s">
        <v>2182</v>
      </c>
      <c r="K1840" t="s">
        <v>2183</v>
      </c>
      <c r="L1840" t="s">
        <v>2184</v>
      </c>
      <c r="M1840">
        <v>62</v>
      </c>
      <c r="N1840">
        <v>24.95</v>
      </c>
      <c r="O1840">
        <v>3696.09</v>
      </c>
      <c r="P1840">
        <v>0</v>
      </c>
      <c r="Q1840">
        <v>3696.09</v>
      </c>
      <c r="R1840">
        <v>591.37</v>
      </c>
      <c r="S1840">
        <v>147.84</v>
      </c>
      <c r="T1840">
        <v>4139.62</v>
      </c>
      <c r="U1840" t="s">
        <v>2192</v>
      </c>
      <c r="V1840" t="s">
        <v>9408</v>
      </c>
      <c r="W1840" t="s">
        <v>423</v>
      </c>
    </row>
    <row r="1841" spans="1:23" hidden="1" x14ac:dyDescent="0.2">
      <c r="A1841">
        <v>2012</v>
      </c>
      <c r="B1841" t="s">
        <v>304</v>
      </c>
      <c r="C1841" s="733">
        <v>40952</v>
      </c>
      <c r="D18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41" t="s">
        <v>485</v>
      </c>
      <c r="F1841" t="s">
        <v>2065</v>
      </c>
      <c r="G1841" t="s">
        <v>3123</v>
      </c>
      <c r="H1841">
        <v>41706</v>
      </c>
      <c r="I1841" t="s">
        <v>423</v>
      </c>
      <c r="J1841" t="s">
        <v>2182</v>
      </c>
      <c r="K1841" t="s">
        <v>2183</v>
      </c>
      <c r="L1841" t="s">
        <v>2184</v>
      </c>
      <c r="M1841">
        <v>62</v>
      </c>
      <c r="N1841">
        <v>16.350000000000001</v>
      </c>
      <c r="O1841">
        <v>2422.09</v>
      </c>
      <c r="P1841">
        <v>0</v>
      </c>
      <c r="Q1841">
        <v>2422.09</v>
      </c>
      <c r="R1841">
        <v>387.53</v>
      </c>
      <c r="S1841">
        <v>96.88</v>
      </c>
      <c r="T1841">
        <v>2712.74</v>
      </c>
      <c r="U1841" t="s">
        <v>8048</v>
      </c>
      <c r="V1841" t="s">
        <v>9408</v>
      </c>
      <c r="W1841" t="s">
        <v>423</v>
      </c>
    </row>
    <row r="1842" spans="1:23" hidden="1" x14ac:dyDescent="0.2">
      <c r="A1842">
        <v>2012</v>
      </c>
      <c r="B1842" t="s">
        <v>304</v>
      </c>
      <c r="C1842" s="733">
        <v>40966</v>
      </c>
      <c r="D18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42" t="s">
        <v>485</v>
      </c>
      <c r="F1842" t="s">
        <v>2065</v>
      </c>
      <c r="G1842" t="s">
        <v>8786</v>
      </c>
      <c r="H1842">
        <v>42688</v>
      </c>
      <c r="I1842" t="s">
        <v>423</v>
      </c>
      <c r="J1842" t="s">
        <v>2182</v>
      </c>
      <c r="K1842" t="s">
        <v>2183</v>
      </c>
      <c r="L1842" t="s">
        <v>2184</v>
      </c>
      <c r="M1842">
        <v>62</v>
      </c>
      <c r="N1842">
        <v>15.69</v>
      </c>
      <c r="O1842">
        <v>2324.3200000000002</v>
      </c>
      <c r="P1842">
        <v>0</v>
      </c>
      <c r="Q1842">
        <v>2324.3200000000002</v>
      </c>
      <c r="R1842">
        <v>371.89</v>
      </c>
      <c r="S1842">
        <v>92.97</v>
      </c>
      <c r="T1842">
        <v>2603.2399999999998</v>
      </c>
      <c r="V1842" t="s">
        <v>9408</v>
      </c>
      <c r="W1842" t="s">
        <v>423</v>
      </c>
    </row>
    <row r="1843" spans="1:23" hidden="1" x14ac:dyDescent="0.2">
      <c r="A1843">
        <v>2012</v>
      </c>
      <c r="B1843" t="s">
        <v>305</v>
      </c>
      <c r="C1843" s="733">
        <v>40969</v>
      </c>
      <c r="D1843" s="733" t="str">
        <f>CHOOSE(MONTH(Tabla_sqldatos_bonampakdb_Bon_v_ingresos2012[[#This Row],[fecha_guia]]),"Enero","Febrero","Marzo","Abril","Mayo","Junio","Julio","Agosto","Septiembre","Octubre","Noviembre","Diciembre")</f>
        <v>Marzo</v>
      </c>
      <c r="E1843" t="s">
        <v>505</v>
      </c>
      <c r="F1843" t="s">
        <v>1915</v>
      </c>
      <c r="G1843" t="s">
        <v>9425</v>
      </c>
      <c r="H1843">
        <v>22853</v>
      </c>
      <c r="I1843" t="s">
        <v>423</v>
      </c>
      <c r="J1843" t="s">
        <v>3207</v>
      </c>
      <c r="K1843" t="s">
        <v>1918</v>
      </c>
      <c r="L1843" t="s">
        <v>1919</v>
      </c>
      <c r="M1843">
        <v>334</v>
      </c>
      <c r="N1843">
        <v>25.16</v>
      </c>
      <c r="O1843">
        <v>6947.68</v>
      </c>
      <c r="P1843">
        <v>0</v>
      </c>
      <c r="Q1843">
        <v>6947.68</v>
      </c>
      <c r="R1843">
        <v>1111.6300000000001</v>
      </c>
      <c r="S1843">
        <v>277.91000000000003</v>
      </c>
      <c r="T1843">
        <v>7781.4</v>
      </c>
      <c r="V1843" t="s">
        <v>9408</v>
      </c>
      <c r="W1843" t="s">
        <v>423</v>
      </c>
    </row>
    <row r="1844" spans="1:23" hidden="1" x14ac:dyDescent="0.2">
      <c r="A1844">
        <v>2012</v>
      </c>
      <c r="B1844" t="s">
        <v>304</v>
      </c>
      <c r="C1844" s="733">
        <v>40952</v>
      </c>
      <c r="D18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44" t="s">
        <v>505</v>
      </c>
      <c r="F1844" t="s">
        <v>1915</v>
      </c>
      <c r="G1844" t="s">
        <v>6009</v>
      </c>
      <c r="H1844">
        <v>22682</v>
      </c>
      <c r="I1844" t="s">
        <v>423</v>
      </c>
      <c r="J1844" t="s">
        <v>3207</v>
      </c>
      <c r="K1844" t="s">
        <v>1918</v>
      </c>
      <c r="L1844" t="s">
        <v>1919</v>
      </c>
      <c r="M1844">
        <v>334</v>
      </c>
      <c r="N1844">
        <v>49.84</v>
      </c>
      <c r="O1844">
        <v>13762.82</v>
      </c>
      <c r="P1844">
        <v>0</v>
      </c>
      <c r="Q1844">
        <v>13762.82</v>
      </c>
      <c r="R1844">
        <v>2202.0500000000002</v>
      </c>
      <c r="S1844">
        <v>550.51</v>
      </c>
      <c r="T1844">
        <v>15414.36</v>
      </c>
      <c r="U1844" t="s">
        <v>7522</v>
      </c>
      <c r="V1844" t="s">
        <v>9409</v>
      </c>
      <c r="W1844" t="s">
        <v>423</v>
      </c>
    </row>
    <row r="1845" spans="1:23" hidden="1" x14ac:dyDescent="0.2">
      <c r="A1845">
        <v>2012</v>
      </c>
      <c r="B1845" t="s">
        <v>303</v>
      </c>
      <c r="C1845" s="733">
        <v>40928</v>
      </c>
      <c r="D18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45" t="s">
        <v>485</v>
      </c>
      <c r="F1845" t="s">
        <v>2065</v>
      </c>
      <c r="G1845" t="s">
        <v>3137</v>
      </c>
      <c r="H1845">
        <v>39887</v>
      </c>
      <c r="I1845" t="s">
        <v>423</v>
      </c>
      <c r="J1845" t="s">
        <v>2182</v>
      </c>
      <c r="K1845" t="s">
        <v>2183</v>
      </c>
      <c r="L1845" t="s">
        <v>2184</v>
      </c>
      <c r="M1845">
        <v>62</v>
      </c>
      <c r="N1845">
        <v>15.15</v>
      </c>
      <c r="O1845">
        <v>2244.3200000000002</v>
      </c>
      <c r="P1845">
        <v>0</v>
      </c>
      <c r="Q1845">
        <v>2244.3200000000002</v>
      </c>
      <c r="R1845">
        <v>359.09</v>
      </c>
      <c r="S1845">
        <v>89.77</v>
      </c>
      <c r="T1845">
        <v>2513.64</v>
      </c>
      <c r="U1845" t="s">
        <v>7554</v>
      </c>
      <c r="V1845" t="s">
        <v>9408</v>
      </c>
      <c r="W1845" t="s">
        <v>423</v>
      </c>
    </row>
    <row r="1846" spans="1:23" x14ac:dyDescent="0.2">
      <c r="A1846">
        <v>2012</v>
      </c>
      <c r="B1846" t="s">
        <v>304</v>
      </c>
      <c r="C1846" s="733">
        <v>40967</v>
      </c>
      <c r="D18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46" t="s">
        <v>485</v>
      </c>
      <c r="F1846" t="s">
        <v>2065</v>
      </c>
      <c r="G1846" t="s">
        <v>8784</v>
      </c>
      <c r="H1846">
        <v>42573</v>
      </c>
      <c r="I1846" t="s">
        <v>423</v>
      </c>
      <c r="J1846" t="s">
        <v>3204</v>
      </c>
      <c r="K1846" t="s">
        <v>2183</v>
      </c>
      <c r="L1846" t="s">
        <v>2184</v>
      </c>
      <c r="M1846">
        <v>80</v>
      </c>
      <c r="N1846">
        <v>15.74</v>
      </c>
      <c r="O1846">
        <v>2331.7199999999998</v>
      </c>
      <c r="P1846">
        <v>0</v>
      </c>
      <c r="Q1846">
        <v>2331.7199999999998</v>
      </c>
      <c r="R1846">
        <v>373.08</v>
      </c>
      <c r="S1846">
        <v>93.27</v>
      </c>
      <c r="T1846">
        <v>2611.5300000000002</v>
      </c>
      <c r="V1846" t="s">
        <v>9408</v>
      </c>
      <c r="W1846" t="s">
        <v>423</v>
      </c>
    </row>
    <row r="1847" spans="1:23" hidden="1" x14ac:dyDescent="0.2">
      <c r="A1847">
        <v>2012</v>
      </c>
      <c r="B1847" t="s">
        <v>303</v>
      </c>
      <c r="C1847" s="733">
        <v>40933</v>
      </c>
      <c r="D18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47" t="s">
        <v>485</v>
      </c>
      <c r="F1847" t="s">
        <v>2065</v>
      </c>
      <c r="G1847" t="s">
        <v>3417</v>
      </c>
      <c r="H1847">
        <v>40820</v>
      </c>
      <c r="I1847" t="s">
        <v>423</v>
      </c>
      <c r="J1847" t="s">
        <v>3204</v>
      </c>
      <c r="K1847" t="s">
        <v>2183</v>
      </c>
      <c r="L1847" t="s">
        <v>2184</v>
      </c>
      <c r="M1847">
        <v>80</v>
      </c>
      <c r="N1847">
        <v>23.88</v>
      </c>
      <c r="O1847">
        <v>2695.34</v>
      </c>
      <c r="P1847">
        <v>0</v>
      </c>
      <c r="Q1847">
        <v>2695.34</v>
      </c>
      <c r="R1847">
        <v>431.25</v>
      </c>
      <c r="S1847">
        <v>107.81</v>
      </c>
      <c r="T1847">
        <v>3018.78</v>
      </c>
      <c r="U1847" t="s">
        <v>2187</v>
      </c>
      <c r="V1847" t="s">
        <v>9408</v>
      </c>
      <c r="W1847" t="s">
        <v>423</v>
      </c>
    </row>
    <row r="1848" spans="1:23" hidden="1" x14ac:dyDescent="0.2">
      <c r="A1848">
        <v>2012</v>
      </c>
      <c r="B1848" t="s">
        <v>303</v>
      </c>
      <c r="C1848" s="733">
        <v>40934</v>
      </c>
      <c r="D18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48" t="s">
        <v>485</v>
      </c>
      <c r="F1848" t="s">
        <v>2065</v>
      </c>
      <c r="G1848" t="s">
        <v>3414</v>
      </c>
      <c r="H1848">
        <v>40904</v>
      </c>
      <c r="I1848" t="s">
        <v>423</v>
      </c>
      <c r="J1848" t="s">
        <v>3147</v>
      </c>
      <c r="K1848" t="s">
        <v>2183</v>
      </c>
      <c r="L1848" t="s">
        <v>2184</v>
      </c>
      <c r="M1848">
        <v>528</v>
      </c>
      <c r="N1848">
        <v>28.57</v>
      </c>
      <c r="O1848">
        <v>8845.27</v>
      </c>
      <c r="P1848">
        <v>0</v>
      </c>
      <c r="Q1848">
        <v>8845.27</v>
      </c>
      <c r="R1848">
        <v>1415.24</v>
      </c>
      <c r="S1848">
        <v>353.81</v>
      </c>
      <c r="T1848">
        <v>9906.7000000000007</v>
      </c>
      <c r="U1848" t="s">
        <v>2187</v>
      </c>
      <c r="V1848" t="s">
        <v>9408</v>
      </c>
      <c r="W1848" t="s">
        <v>423</v>
      </c>
    </row>
    <row r="1849" spans="1:23" hidden="1" x14ac:dyDescent="0.2">
      <c r="A1849">
        <v>2012</v>
      </c>
      <c r="B1849" t="s">
        <v>304</v>
      </c>
      <c r="C1849" s="733">
        <v>40954</v>
      </c>
      <c r="D18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49" t="s">
        <v>485</v>
      </c>
      <c r="F1849" t="s">
        <v>2065</v>
      </c>
      <c r="G1849" t="s">
        <v>3146</v>
      </c>
      <c r="H1849">
        <v>41740</v>
      </c>
      <c r="I1849" t="s">
        <v>423</v>
      </c>
      <c r="J1849" t="s">
        <v>3147</v>
      </c>
      <c r="K1849" t="s">
        <v>2183</v>
      </c>
      <c r="L1849" t="s">
        <v>2184</v>
      </c>
      <c r="M1849">
        <v>528</v>
      </c>
      <c r="N1849">
        <v>52.85</v>
      </c>
      <c r="O1849">
        <v>16362.36</v>
      </c>
      <c r="P1849">
        <v>0</v>
      </c>
      <c r="Q1849">
        <v>16362.36</v>
      </c>
      <c r="R1849">
        <v>2617.98</v>
      </c>
      <c r="S1849">
        <v>654.49</v>
      </c>
      <c r="T1849">
        <v>18325.849999999999</v>
      </c>
      <c r="U1849" t="s">
        <v>8048</v>
      </c>
      <c r="V1849" t="s">
        <v>9409</v>
      </c>
      <c r="W1849" t="s">
        <v>423</v>
      </c>
    </row>
    <row r="1850" spans="1:23" hidden="1" x14ac:dyDescent="0.2">
      <c r="A1850">
        <v>2012</v>
      </c>
      <c r="B1850" t="s">
        <v>303</v>
      </c>
      <c r="C1850" s="733">
        <v>40921</v>
      </c>
      <c r="D18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50" t="s">
        <v>485</v>
      </c>
      <c r="F1850" t="s">
        <v>2065</v>
      </c>
      <c r="G1850" t="s">
        <v>6626</v>
      </c>
      <c r="H1850">
        <v>40240</v>
      </c>
      <c r="I1850" t="s">
        <v>423</v>
      </c>
      <c r="J1850" t="s">
        <v>3204</v>
      </c>
      <c r="K1850" t="s">
        <v>2183</v>
      </c>
      <c r="L1850" t="s">
        <v>2184</v>
      </c>
      <c r="M1850">
        <v>80</v>
      </c>
      <c r="N1850">
        <v>47.49</v>
      </c>
      <c r="O1850">
        <v>5360.2</v>
      </c>
      <c r="P1850">
        <v>0</v>
      </c>
      <c r="Q1850">
        <v>5360.2</v>
      </c>
      <c r="R1850">
        <v>857.63</v>
      </c>
      <c r="S1850">
        <v>214.41</v>
      </c>
      <c r="T1850">
        <v>6003.42</v>
      </c>
      <c r="U1850" t="s">
        <v>7520</v>
      </c>
      <c r="V1850" t="s">
        <v>9409</v>
      </c>
      <c r="W1850" t="s">
        <v>423</v>
      </c>
    </row>
    <row r="1851" spans="1:23" hidden="1" x14ac:dyDescent="0.2">
      <c r="A1851">
        <v>2012</v>
      </c>
      <c r="B1851" t="s">
        <v>305</v>
      </c>
      <c r="C1851" s="733">
        <v>40970</v>
      </c>
      <c r="D1851" s="733" t="str">
        <f>CHOOSE(MONTH(Tabla_sqldatos_bonampakdb_Bon_v_ingresos2012[[#This Row],[fecha_guia]]),"Enero","Febrero","Marzo","Abril","Mayo","Junio","Julio","Agosto","Septiembre","Octubre","Noviembre","Diciembre")</f>
        <v>Marzo</v>
      </c>
      <c r="E1851" t="s">
        <v>485</v>
      </c>
      <c r="F1851" t="s">
        <v>2065</v>
      </c>
      <c r="G1851" t="s">
        <v>9621</v>
      </c>
      <c r="H1851">
        <v>42809</v>
      </c>
      <c r="I1851" t="s">
        <v>423</v>
      </c>
      <c r="J1851" t="s">
        <v>2189</v>
      </c>
      <c r="K1851" t="s">
        <v>2183</v>
      </c>
      <c r="L1851" t="s">
        <v>2184</v>
      </c>
      <c r="M1851">
        <v>720</v>
      </c>
      <c r="N1851">
        <v>24.77</v>
      </c>
      <c r="O1851">
        <v>10995.16</v>
      </c>
      <c r="P1851">
        <v>0</v>
      </c>
      <c r="Q1851">
        <v>10995.16</v>
      </c>
      <c r="R1851">
        <v>1759.22</v>
      </c>
      <c r="S1851">
        <v>439.81</v>
      </c>
      <c r="T1851">
        <v>12314.57</v>
      </c>
      <c r="V1851" t="s">
        <v>9408</v>
      </c>
      <c r="W1851" t="s">
        <v>423</v>
      </c>
    </row>
    <row r="1852" spans="1:23" hidden="1" x14ac:dyDescent="0.2">
      <c r="A1852">
        <v>2012</v>
      </c>
      <c r="B1852" t="s">
        <v>304</v>
      </c>
      <c r="C1852" s="733">
        <v>40952</v>
      </c>
      <c r="D18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52" t="s">
        <v>478</v>
      </c>
      <c r="F1852" t="s">
        <v>2136</v>
      </c>
      <c r="G1852" t="s">
        <v>5417</v>
      </c>
      <c r="H1852">
        <v>35477</v>
      </c>
      <c r="I1852" t="s">
        <v>423</v>
      </c>
      <c r="J1852" t="s">
        <v>4282</v>
      </c>
      <c r="K1852" t="s">
        <v>425</v>
      </c>
      <c r="L1852" t="s">
        <v>2145</v>
      </c>
      <c r="M1852">
        <v>1405</v>
      </c>
      <c r="N1852">
        <v>44.12</v>
      </c>
      <c r="O1852">
        <v>44535.61</v>
      </c>
      <c r="P1852">
        <v>0</v>
      </c>
      <c r="Q1852">
        <v>44535.61</v>
      </c>
      <c r="R1852">
        <v>7125.7</v>
      </c>
      <c r="S1852">
        <v>1781.42</v>
      </c>
      <c r="T1852">
        <v>49879.89</v>
      </c>
      <c r="U1852" t="s">
        <v>7523</v>
      </c>
      <c r="V1852" t="s">
        <v>9409</v>
      </c>
      <c r="W1852" t="s">
        <v>423</v>
      </c>
    </row>
    <row r="1853" spans="1:23" hidden="1" x14ac:dyDescent="0.2">
      <c r="A1853">
        <v>2012</v>
      </c>
      <c r="B1853" t="s">
        <v>303</v>
      </c>
      <c r="C1853" s="733">
        <v>40939</v>
      </c>
      <c r="D18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53" t="s">
        <v>478</v>
      </c>
      <c r="F1853" t="s">
        <v>2136</v>
      </c>
      <c r="G1853" t="s">
        <v>5611</v>
      </c>
      <c r="H1853">
        <v>35059</v>
      </c>
      <c r="I1853" t="s">
        <v>423</v>
      </c>
      <c r="J1853" t="s">
        <v>4791</v>
      </c>
      <c r="K1853" t="s">
        <v>425</v>
      </c>
      <c r="L1853" t="s">
        <v>2145</v>
      </c>
      <c r="M1853">
        <v>139</v>
      </c>
      <c r="N1853">
        <v>25.44</v>
      </c>
      <c r="O1853">
        <v>4248.99</v>
      </c>
      <c r="P1853">
        <v>0</v>
      </c>
      <c r="Q1853">
        <v>4248.99</v>
      </c>
      <c r="R1853">
        <v>679.84</v>
      </c>
      <c r="S1853">
        <v>169.96</v>
      </c>
      <c r="T1853">
        <v>4758.87</v>
      </c>
      <c r="U1853" t="s">
        <v>9455</v>
      </c>
      <c r="V1853" t="s">
        <v>9408</v>
      </c>
      <c r="W1853" t="s">
        <v>423</v>
      </c>
    </row>
    <row r="1854" spans="1:23" hidden="1" x14ac:dyDescent="0.2">
      <c r="A1854">
        <v>2012</v>
      </c>
      <c r="B1854" t="s">
        <v>304</v>
      </c>
      <c r="C1854" s="733">
        <v>40967</v>
      </c>
      <c r="D18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54" t="s">
        <v>478</v>
      </c>
      <c r="F1854" t="s">
        <v>2136</v>
      </c>
      <c r="G1854" t="s">
        <v>9087</v>
      </c>
      <c r="H1854">
        <v>36052</v>
      </c>
      <c r="I1854" t="s">
        <v>423</v>
      </c>
      <c r="J1854" t="s">
        <v>4791</v>
      </c>
      <c r="K1854" t="s">
        <v>425</v>
      </c>
      <c r="L1854" t="s">
        <v>2145</v>
      </c>
      <c r="M1854">
        <v>139</v>
      </c>
      <c r="N1854">
        <v>21.99</v>
      </c>
      <c r="O1854">
        <v>3672.77</v>
      </c>
      <c r="P1854">
        <v>0</v>
      </c>
      <c r="Q1854">
        <v>3672.77</v>
      </c>
      <c r="R1854">
        <v>587.64</v>
      </c>
      <c r="S1854">
        <v>146.91</v>
      </c>
      <c r="T1854">
        <v>4113.5</v>
      </c>
      <c r="U1854" t="s">
        <v>9430</v>
      </c>
      <c r="V1854" t="s">
        <v>9408</v>
      </c>
      <c r="W1854" t="s">
        <v>423</v>
      </c>
    </row>
    <row r="1855" spans="1:23" hidden="1" x14ac:dyDescent="0.2">
      <c r="A1855">
        <v>2012</v>
      </c>
      <c r="B1855" t="s">
        <v>303</v>
      </c>
      <c r="C1855" s="733">
        <v>40926</v>
      </c>
      <c r="D18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55" t="s">
        <v>485</v>
      </c>
      <c r="F1855" t="s">
        <v>2065</v>
      </c>
      <c r="G1855" t="s">
        <v>5613</v>
      </c>
      <c r="H1855">
        <v>40448</v>
      </c>
      <c r="I1855" t="s">
        <v>423</v>
      </c>
      <c r="J1855" t="s">
        <v>2141</v>
      </c>
      <c r="K1855" t="s">
        <v>2102</v>
      </c>
      <c r="L1855" t="s">
        <v>2115</v>
      </c>
      <c r="M1855">
        <v>113</v>
      </c>
      <c r="N1855">
        <v>27.84</v>
      </c>
      <c r="O1855">
        <v>4473.33</v>
      </c>
      <c r="P1855">
        <v>0</v>
      </c>
      <c r="Q1855">
        <v>4473.33</v>
      </c>
      <c r="R1855">
        <v>715.73</v>
      </c>
      <c r="S1855">
        <v>178.93</v>
      </c>
      <c r="T1855">
        <v>5010.13</v>
      </c>
      <c r="U1855" t="s">
        <v>2108</v>
      </c>
      <c r="V1855" t="s">
        <v>9408</v>
      </c>
      <c r="W1855" t="s">
        <v>423</v>
      </c>
    </row>
    <row r="1856" spans="1:23" hidden="1" x14ac:dyDescent="0.2">
      <c r="A1856">
        <v>2012</v>
      </c>
      <c r="B1856" t="s">
        <v>303</v>
      </c>
      <c r="C1856" s="733">
        <v>40933</v>
      </c>
      <c r="D18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56" t="s">
        <v>485</v>
      </c>
      <c r="F1856" t="s">
        <v>2065</v>
      </c>
      <c r="G1856" t="s">
        <v>4942</v>
      </c>
      <c r="H1856">
        <v>40680</v>
      </c>
      <c r="I1856" t="s">
        <v>423</v>
      </c>
      <c r="J1856" t="s">
        <v>2189</v>
      </c>
      <c r="K1856" t="s">
        <v>2183</v>
      </c>
      <c r="L1856" t="s">
        <v>2184</v>
      </c>
      <c r="M1856">
        <v>720</v>
      </c>
      <c r="N1856">
        <v>26.44</v>
      </c>
      <c r="O1856">
        <v>11736.45</v>
      </c>
      <c r="P1856">
        <v>0</v>
      </c>
      <c r="Q1856">
        <v>11736.45</v>
      </c>
      <c r="R1856">
        <v>1877.83</v>
      </c>
      <c r="S1856">
        <v>469.46</v>
      </c>
      <c r="T1856">
        <v>13144.82</v>
      </c>
      <c r="U1856" t="s">
        <v>2192</v>
      </c>
      <c r="V1856" t="s">
        <v>9408</v>
      </c>
      <c r="W1856" t="s">
        <v>423</v>
      </c>
    </row>
    <row r="1857" spans="1:23" hidden="1" x14ac:dyDescent="0.2">
      <c r="A1857">
        <v>2012</v>
      </c>
      <c r="B1857" t="s">
        <v>303</v>
      </c>
      <c r="C1857" s="733">
        <v>40932</v>
      </c>
      <c r="D18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57" t="s">
        <v>485</v>
      </c>
      <c r="F1857" t="s">
        <v>2065</v>
      </c>
      <c r="G1857" t="s">
        <v>5794</v>
      </c>
      <c r="H1857">
        <v>40775</v>
      </c>
      <c r="I1857" t="s">
        <v>423</v>
      </c>
      <c r="J1857" t="s">
        <v>4626</v>
      </c>
      <c r="K1857" t="s">
        <v>2102</v>
      </c>
      <c r="L1857" t="s">
        <v>2184</v>
      </c>
      <c r="M1857">
        <v>1457</v>
      </c>
      <c r="N1857">
        <v>24.55</v>
      </c>
      <c r="O1857">
        <v>18165.04</v>
      </c>
      <c r="P1857">
        <v>0</v>
      </c>
      <c r="Q1857">
        <v>18165.04</v>
      </c>
      <c r="R1857">
        <v>2906.41</v>
      </c>
      <c r="S1857">
        <v>726.6</v>
      </c>
      <c r="T1857">
        <v>20344.849999999999</v>
      </c>
      <c r="U1857" t="s">
        <v>2108</v>
      </c>
      <c r="V1857" t="s">
        <v>9409</v>
      </c>
      <c r="W1857" t="s">
        <v>423</v>
      </c>
    </row>
    <row r="1858" spans="1:23" hidden="1" x14ac:dyDescent="0.2">
      <c r="A1858">
        <v>2012</v>
      </c>
      <c r="B1858" t="s">
        <v>304</v>
      </c>
      <c r="C1858" s="733">
        <v>40954</v>
      </c>
      <c r="D18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58" t="s">
        <v>485</v>
      </c>
      <c r="F1858" t="s">
        <v>2065</v>
      </c>
      <c r="G1858" t="s">
        <v>7491</v>
      </c>
      <c r="H1858">
        <v>41900</v>
      </c>
      <c r="I1858" t="s">
        <v>423</v>
      </c>
      <c r="J1858" t="s">
        <v>4626</v>
      </c>
      <c r="K1858" t="s">
        <v>2102</v>
      </c>
      <c r="L1858" t="s">
        <v>2115</v>
      </c>
      <c r="M1858">
        <v>1457</v>
      </c>
      <c r="N1858">
        <v>26.23</v>
      </c>
      <c r="O1858">
        <v>19408.099999999999</v>
      </c>
      <c r="P1858">
        <v>0</v>
      </c>
      <c r="Q1858">
        <v>19408.099999999999</v>
      </c>
      <c r="R1858">
        <v>3105.3</v>
      </c>
      <c r="S1858">
        <v>776.32</v>
      </c>
      <c r="T1858">
        <v>21737.08</v>
      </c>
      <c r="V1858" t="s">
        <v>9408</v>
      </c>
      <c r="W1858" t="s">
        <v>423</v>
      </c>
    </row>
    <row r="1859" spans="1:23" hidden="1" x14ac:dyDescent="0.2">
      <c r="A1859">
        <v>2012</v>
      </c>
      <c r="B1859" t="s">
        <v>304</v>
      </c>
      <c r="C1859" s="733">
        <v>40954.590416666666</v>
      </c>
      <c r="D18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59" t="s">
        <v>485</v>
      </c>
      <c r="F1859" t="s">
        <v>2048</v>
      </c>
      <c r="G1859" t="s">
        <v>7649</v>
      </c>
      <c r="H1859">
        <v>42003</v>
      </c>
      <c r="I1859" t="s">
        <v>423</v>
      </c>
      <c r="J1859" t="s">
        <v>4073</v>
      </c>
      <c r="K1859" t="s">
        <v>2051</v>
      </c>
      <c r="L1859" t="s">
        <v>2052</v>
      </c>
      <c r="M1859">
        <v>610</v>
      </c>
      <c r="N1859">
        <v>51.4</v>
      </c>
      <c r="O1859">
        <v>18220.79</v>
      </c>
      <c r="P1859">
        <v>0</v>
      </c>
      <c r="Q1859">
        <v>18220.79</v>
      </c>
      <c r="R1859">
        <v>2915.33</v>
      </c>
      <c r="S1859">
        <v>728.83</v>
      </c>
      <c r="T1859">
        <v>20407.29</v>
      </c>
      <c r="U1859" t="s">
        <v>8780</v>
      </c>
      <c r="V1859" t="s">
        <v>9409</v>
      </c>
      <c r="W1859" t="s">
        <v>423</v>
      </c>
    </row>
    <row r="1860" spans="1:23" hidden="1" x14ac:dyDescent="0.2">
      <c r="A1860">
        <v>2012</v>
      </c>
      <c r="B1860" t="s">
        <v>303</v>
      </c>
      <c r="C1860" s="733">
        <v>40910.466898148145</v>
      </c>
      <c r="D18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60" t="s">
        <v>485</v>
      </c>
      <c r="F1860" t="s">
        <v>2065</v>
      </c>
      <c r="G1860" t="s">
        <v>4946</v>
      </c>
      <c r="H1860">
        <v>39668</v>
      </c>
      <c r="I1860" t="s">
        <v>423</v>
      </c>
      <c r="J1860" t="s">
        <v>3054</v>
      </c>
      <c r="K1860" t="s">
        <v>2183</v>
      </c>
      <c r="L1860" t="s">
        <v>2184</v>
      </c>
      <c r="M1860">
        <v>43</v>
      </c>
      <c r="N1860">
        <v>15.58</v>
      </c>
      <c r="O1860">
        <v>740.36</v>
      </c>
      <c r="P1860">
        <v>833.56392000000005</v>
      </c>
      <c r="Q1860">
        <v>1573.92392</v>
      </c>
      <c r="R1860">
        <v>251.82782700000001</v>
      </c>
      <c r="S1860">
        <v>62.956957000000003</v>
      </c>
      <c r="T1860">
        <v>1762.7947899999999</v>
      </c>
      <c r="U1860" t="s">
        <v>3038</v>
      </c>
      <c r="V1860" t="s">
        <v>9408</v>
      </c>
      <c r="W1860" t="s">
        <v>423</v>
      </c>
    </row>
    <row r="1861" spans="1:23" hidden="1" x14ac:dyDescent="0.2">
      <c r="A1861">
        <v>2012</v>
      </c>
      <c r="B1861" t="s">
        <v>304</v>
      </c>
      <c r="C1861" s="733">
        <v>40952</v>
      </c>
      <c r="D18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61" t="s">
        <v>478</v>
      </c>
      <c r="F1861" t="s">
        <v>2136</v>
      </c>
      <c r="G1861" t="s">
        <v>5792</v>
      </c>
      <c r="H1861">
        <v>35523</v>
      </c>
      <c r="I1861" t="s">
        <v>423</v>
      </c>
      <c r="J1861" t="s">
        <v>4270</v>
      </c>
      <c r="K1861" t="s">
        <v>425</v>
      </c>
      <c r="L1861" t="s">
        <v>2145</v>
      </c>
      <c r="M1861">
        <v>560</v>
      </c>
      <c r="N1861">
        <v>51.63</v>
      </c>
      <c r="O1861">
        <v>16495.78</v>
      </c>
      <c r="P1861">
        <v>0</v>
      </c>
      <c r="Q1861">
        <v>16495.78</v>
      </c>
      <c r="R1861">
        <v>2639.33</v>
      </c>
      <c r="S1861">
        <v>659.83</v>
      </c>
      <c r="T1861">
        <v>18475.28</v>
      </c>
      <c r="U1861" t="s">
        <v>7553</v>
      </c>
      <c r="V1861" t="s">
        <v>9409</v>
      </c>
      <c r="W1861" t="s">
        <v>423</v>
      </c>
    </row>
    <row r="1862" spans="1:23" hidden="1" x14ac:dyDescent="0.2">
      <c r="A1862">
        <v>2012</v>
      </c>
      <c r="B1862" t="s">
        <v>303</v>
      </c>
      <c r="C1862" s="733">
        <v>40917</v>
      </c>
      <c r="D18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62" t="s">
        <v>478</v>
      </c>
      <c r="F1862" t="s">
        <v>2622</v>
      </c>
      <c r="G1862" t="s">
        <v>5790</v>
      </c>
      <c r="H1862">
        <v>34261</v>
      </c>
      <c r="I1862" t="s">
        <v>423</v>
      </c>
      <c r="J1862" t="s">
        <v>4632</v>
      </c>
      <c r="K1862" t="s">
        <v>425</v>
      </c>
      <c r="L1862" t="s">
        <v>2145</v>
      </c>
      <c r="M1862">
        <v>1395</v>
      </c>
      <c r="N1862">
        <v>53.06</v>
      </c>
      <c r="O1862">
        <v>48114.28</v>
      </c>
      <c r="P1862">
        <v>0</v>
      </c>
      <c r="Q1862">
        <v>48114.28</v>
      </c>
      <c r="R1862">
        <v>7698.28</v>
      </c>
      <c r="S1862">
        <v>1924.57</v>
      </c>
      <c r="T1862">
        <v>53887.99</v>
      </c>
      <c r="U1862" t="s">
        <v>2350</v>
      </c>
      <c r="V1862" t="s">
        <v>9409</v>
      </c>
      <c r="W1862" t="s">
        <v>423</v>
      </c>
    </row>
    <row r="1863" spans="1:23" hidden="1" x14ac:dyDescent="0.2">
      <c r="A1863">
        <v>2012</v>
      </c>
      <c r="B1863" t="s">
        <v>303</v>
      </c>
      <c r="C1863" s="733">
        <v>40938</v>
      </c>
      <c r="D18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63" t="s">
        <v>485</v>
      </c>
      <c r="F1863" t="s">
        <v>2065</v>
      </c>
      <c r="G1863" t="s">
        <v>5786</v>
      </c>
      <c r="H1863">
        <v>40946</v>
      </c>
      <c r="I1863" t="s">
        <v>423</v>
      </c>
      <c r="J1863" t="s">
        <v>4626</v>
      </c>
      <c r="K1863" t="s">
        <v>2102</v>
      </c>
      <c r="L1863" t="s">
        <v>2115</v>
      </c>
      <c r="M1863">
        <v>1457</v>
      </c>
      <c r="N1863">
        <v>50.78</v>
      </c>
      <c r="O1863">
        <v>37573.14</v>
      </c>
      <c r="P1863">
        <v>0</v>
      </c>
      <c r="Q1863">
        <v>37573.14</v>
      </c>
      <c r="R1863">
        <v>6011.7</v>
      </c>
      <c r="S1863">
        <v>1502.93</v>
      </c>
      <c r="T1863">
        <v>42081.91</v>
      </c>
      <c r="U1863" t="s">
        <v>2110</v>
      </c>
      <c r="V1863" t="s">
        <v>9409</v>
      </c>
      <c r="W1863" t="s">
        <v>423</v>
      </c>
    </row>
    <row r="1864" spans="1:23" hidden="1" x14ac:dyDescent="0.2">
      <c r="A1864">
        <v>2012</v>
      </c>
      <c r="B1864" t="s">
        <v>304</v>
      </c>
      <c r="C1864" s="733">
        <v>40954</v>
      </c>
      <c r="D18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64" t="s">
        <v>485</v>
      </c>
      <c r="F1864" t="s">
        <v>2065</v>
      </c>
      <c r="G1864" t="s">
        <v>7798</v>
      </c>
      <c r="H1864">
        <v>42006</v>
      </c>
      <c r="I1864" t="s">
        <v>423</v>
      </c>
      <c r="J1864" t="s">
        <v>4073</v>
      </c>
      <c r="K1864" t="s">
        <v>2051</v>
      </c>
      <c r="L1864" t="s">
        <v>2052</v>
      </c>
      <c r="M1864">
        <v>610</v>
      </c>
      <c r="N1864">
        <v>53.2</v>
      </c>
      <c r="O1864">
        <v>18858.87</v>
      </c>
      <c r="P1864">
        <v>0</v>
      </c>
      <c r="Q1864">
        <v>18858.87</v>
      </c>
      <c r="R1864">
        <v>3017.42</v>
      </c>
      <c r="S1864">
        <v>754.35</v>
      </c>
      <c r="T1864">
        <v>21121.94</v>
      </c>
      <c r="U1864" t="s">
        <v>8780</v>
      </c>
      <c r="V1864" t="s">
        <v>9409</v>
      </c>
      <c r="W1864" t="s">
        <v>423</v>
      </c>
    </row>
    <row r="1865" spans="1:23" hidden="1" x14ac:dyDescent="0.2">
      <c r="A1865">
        <v>2012</v>
      </c>
      <c r="B1865" t="s">
        <v>305</v>
      </c>
      <c r="C1865" s="733">
        <v>40970</v>
      </c>
      <c r="D1865" s="733" t="str">
        <f>CHOOSE(MONTH(Tabla_sqldatos_bonampakdb_Bon_v_ingresos2012[[#This Row],[fecha_guia]]),"Enero","Febrero","Marzo","Abril","Mayo","Junio","Julio","Agosto","Septiembre","Octubre","Noviembre","Diciembre")</f>
        <v>Marzo</v>
      </c>
      <c r="E1865" t="s">
        <v>485</v>
      </c>
      <c r="F1865" t="s">
        <v>2065</v>
      </c>
      <c r="G1865" t="s">
        <v>9691</v>
      </c>
      <c r="H1865">
        <v>42949</v>
      </c>
      <c r="I1865" t="s">
        <v>423</v>
      </c>
      <c r="J1865" t="s">
        <v>4073</v>
      </c>
      <c r="K1865" t="s">
        <v>2051</v>
      </c>
      <c r="L1865" t="s">
        <v>2052</v>
      </c>
      <c r="M1865">
        <v>610</v>
      </c>
      <c r="N1865">
        <v>49.35</v>
      </c>
      <c r="O1865">
        <v>17494.080000000002</v>
      </c>
      <c r="P1865">
        <v>0</v>
      </c>
      <c r="Q1865">
        <v>17494.080000000002</v>
      </c>
      <c r="R1865">
        <v>2799.05</v>
      </c>
      <c r="S1865">
        <v>699.76</v>
      </c>
      <c r="T1865">
        <v>19593.37</v>
      </c>
      <c r="V1865" t="s">
        <v>9409</v>
      </c>
      <c r="W1865" t="s">
        <v>423</v>
      </c>
    </row>
    <row r="1866" spans="1:23" hidden="1" x14ac:dyDescent="0.2">
      <c r="A1866">
        <v>2012</v>
      </c>
      <c r="B1866" t="s">
        <v>304</v>
      </c>
      <c r="C1866" s="733">
        <v>40941</v>
      </c>
      <c r="D18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66" t="s">
        <v>478</v>
      </c>
      <c r="F1866" t="s">
        <v>2136</v>
      </c>
      <c r="G1866" t="s">
        <v>5791</v>
      </c>
      <c r="H1866">
        <v>35182</v>
      </c>
      <c r="I1866" t="s">
        <v>423</v>
      </c>
      <c r="J1866" t="s">
        <v>4270</v>
      </c>
      <c r="K1866" t="s">
        <v>425</v>
      </c>
      <c r="L1866" t="s">
        <v>2145</v>
      </c>
      <c r="M1866">
        <v>560</v>
      </c>
      <c r="N1866">
        <v>23.76</v>
      </c>
      <c r="O1866">
        <v>7591.32</v>
      </c>
      <c r="P1866">
        <v>0</v>
      </c>
      <c r="Q1866">
        <v>7591.32</v>
      </c>
      <c r="R1866">
        <v>1214.6099999999999</v>
      </c>
      <c r="S1866">
        <v>303.64999999999998</v>
      </c>
      <c r="T1866">
        <v>8502.2800000000007</v>
      </c>
      <c r="U1866" t="s">
        <v>2580</v>
      </c>
      <c r="V1866" t="s">
        <v>9408</v>
      </c>
      <c r="W1866" t="s">
        <v>423</v>
      </c>
    </row>
    <row r="1867" spans="1:23" hidden="1" x14ac:dyDescent="0.2">
      <c r="A1867">
        <v>2012</v>
      </c>
      <c r="B1867" t="s">
        <v>303</v>
      </c>
      <c r="C1867" s="733">
        <v>40924</v>
      </c>
      <c r="D18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67" t="s">
        <v>505</v>
      </c>
      <c r="F1867" t="s">
        <v>1915</v>
      </c>
      <c r="G1867" t="s">
        <v>2612</v>
      </c>
      <c r="H1867">
        <v>21984</v>
      </c>
      <c r="I1867" t="s">
        <v>423</v>
      </c>
      <c r="J1867" t="s">
        <v>1954</v>
      </c>
      <c r="K1867" t="s">
        <v>1918</v>
      </c>
      <c r="L1867" t="s">
        <v>1919</v>
      </c>
      <c r="M1867">
        <v>303</v>
      </c>
      <c r="N1867">
        <v>57.13</v>
      </c>
      <c r="O1867">
        <v>15773.59</v>
      </c>
      <c r="P1867">
        <v>0</v>
      </c>
      <c r="Q1867">
        <v>15773.59</v>
      </c>
      <c r="R1867">
        <v>2523.77</v>
      </c>
      <c r="S1867">
        <v>630.94000000000005</v>
      </c>
      <c r="T1867">
        <v>17666.419999999998</v>
      </c>
      <c r="U1867" t="s">
        <v>8778</v>
      </c>
      <c r="V1867" t="s">
        <v>9409</v>
      </c>
      <c r="W1867" t="s">
        <v>423</v>
      </c>
    </row>
    <row r="1868" spans="1:23" hidden="1" x14ac:dyDescent="0.2">
      <c r="A1868">
        <v>2012</v>
      </c>
      <c r="B1868" t="s">
        <v>304</v>
      </c>
      <c r="C1868" s="733">
        <v>40948</v>
      </c>
      <c r="D18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68" t="s">
        <v>505</v>
      </c>
      <c r="F1868" t="s">
        <v>1915</v>
      </c>
      <c r="G1868" t="s">
        <v>5607</v>
      </c>
      <c r="H1868">
        <v>22570</v>
      </c>
      <c r="I1868" t="s">
        <v>424</v>
      </c>
      <c r="J1868" t="s">
        <v>4760</v>
      </c>
      <c r="K1868" t="s">
        <v>1918</v>
      </c>
      <c r="L1868" t="s">
        <v>1919</v>
      </c>
      <c r="M1868">
        <v>444</v>
      </c>
      <c r="N1868">
        <v>30</v>
      </c>
      <c r="O1868">
        <v>4044.26</v>
      </c>
      <c r="P1868">
        <v>2324.1957790000001</v>
      </c>
      <c r="Q1868">
        <v>6368.4557789999999</v>
      </c>
      <c r="R1868">
        <v>1018.9529250000001</v>
      </c>
      <c r="S1868">
        <v>254.73823100000001</v>
      </c>
      <c r="T1868">
        <v>7132.6704730000001</v>
      </c>
      <c r="U1868" t="s">
        <v>1924</v>
      </c>
      <c r="V1868" t="s">
        <v>9408</v>
      </c>
      <c r="W1868" t="s">
        <v>424</v>
      </c>
    </row>
    <row r="1869" spans="1:23" hidden="1" x14ac:dyDescent="0.2">
      <c r="A1869">
        <v>2012</v>
      </c>
      <c r="B1869" t="s">
        <v>303</v>
      </c>
      <c r="C1869" s="733">
        <v>40918</v>
      </c>
      <c r="D18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69" t="s">
        <v>505</v>
      </c>
      <c r="F1869" t="s">
        <v>1915</v>
      </c>
      <c r="G1869" t="s">
        <v>5608</v>
      </c>
      <c r="H1869">
        <v>21856</v>
      </c>
      <c r="I1869" t="s">
        <v>423</v>
      </c>
      <c r="J1869" t="s">
        <v>1954</v>
      </c>
      <c r="K1869" t="s">
        <v>1918</v>
      </c>
      <c r="L1869" t="s">
        <v>1919</v>
      </c>
      <c r="M1869">
        <v>303</v>
      </c>
      <c r="N1869">
        <v>52.12</v>
      </c>
      <c r="O1869">
        <v>14390.33</v>
      </c>
      <c r="P1869">
        <v>0</v>
      </c>
      <c r="Q1869">
        <v>14390.33</v>
      </c>
      <c r="R1869">
        <v>2302.4499999999998</v>
      </c>
      <c r="S1869">
        <v>575.61</v>
      </c>
      <c r="T1869">
        <v>16117.17</v>
      </c>
      <c r="U1869" t="s">
        <v>1931</v>
      </c>
      <c r="V1869" t="s">
        <v>9409</v>
      </c>
      <c r="W1869" t="s">
        <v>423</v>
      </c>
    </row>
    <row r="1870" spans="1:23" hidden="1" x14ac:dyDescent="0.2">
      <c r="A1870">
        <v>2012</v>
      </c>
      <c r="B1870" t="s">
        <v>304</v>
      </c>
      <c r="C1870" s="733">
        <v>40942</v>
      </c>
      <c r="D18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70" t="s">
        <v>505</v>
      </c>
      <c r="F1870" t="s">
        <v>2065</v>
      </c>
      <c r="G1870" t="s">
        <v>2613</v>
      </c>
      <c r="H1870">
        <v>22444</v>
      </c>
      <c r="I1870" t="s">
        <v>424</v>
      </c>
      <c r="J1870" t="s">
        <v>1954</v>
      </c>
      <c r="K1870" t="s">
        <v>1918</v>
      </c>
      <c r="L1870" t="s">
        <v>1919</v>
      </c>
      <c r="M1870">
        <v>303</v>
      </c>
      <c r="N1870">
        <v>30</v>
      </c>
      <c r="O1870">
        <v>2314.83</v>
      </c>
      <c r="P1870">
        <v>1330.309653</v>
      </c>
      <c r="Q1870">
        <v>3645.1396530000002</v>
      </c>
      <c r="R1870">
        <v>583.22234400000002</v>
      </c>
      <c r="S1870">
        <v>145.80558600000001</v>
      </c>
      <c r="T1870">
        <v>4082.556411</v>
      </c>
      <c r="V1870" t="s">
        <v>9408</v>
      </c>
      <c r="W1870" t="s">
        <v>424</v>
      </c>
    </row>
    <row r="1871" spans="1:23" hidden="1" x14ac:dyDescent="0.2">
      <c r="A1871">
        <v>2012</v>
      </c>
      <c r="B1871" t="s">
        <v>305</v>
      </c>
      <c r="C1871" s="733">
        <v>40971</v>
      </c>
      <c r="D1871" s="733" t="str">
        <f>CHOOSE(MONTH(Tabla_sqldatos_bonampakdb_Bon_v_ingresos2012[[#This Row],[fecha_guia]]),"Enero","Febrero","Marzo","Abril","Mayo","Junio","Julio","Agosto","Septiembre","Octubre","Noviembre","Diciembre")</f>
        <v>Marzo</v>
      </c>
      <c r="E1871" t="s">
        <v>505</v>
      </c>
      <c r="F1871" t="s">
        <v>1915</v>
      </c>
      <c r="G1871" t="s">
        <v>9692</v>
      </c>
      <c r="H1871">
        <v>23160</v>
      </c>
      <c r="I1871" t="s">
        <v>424</v>
      </c>
      <c r="J1871" t="s">
        <v>1954</v>
      </c>
      <c r="K1871" t="s">
        <v>1918</v>
      </c>
      <c r="L1871" t="s">
        <v>1919</v>
      </c>
      <c r="M1871">
        <v>303</v>
      </c>
      <c r="N1871">
        <v>30</v>
      </c>
      <c r="O1871">
        <v>5862.3</v>
      </c>
      <c r="P1871">
        <v>0</v>
      </c>
      <c r="Q1871">
        <v>5862.3</v>
      </c>
      <c r="R1871">
        <v>937.97</v>
      </c>
      <c r="S1871">
        <v>234.49</v>
      </c>
      <c r="T1871">
        <v>6565.78</v>
      </c>
      <c r="V1871" t="s">
        <v>9408</v>
      </c>
      <c r="W1871" t="s">
        <v>424</v>
      </c>
    </row>
    <row r="1872" spans="1:23" hidden="1" x14ac:dyDescent="0.2">
      <c r="A1872">
        <v>2012</v>
      </c>
      <c r="B1872" t="s">
        <v>304</v>
      </c>
      <c r="C1872" s="733">
        <v>40961</v>
      </c>
      <c r="D18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72" t="s">
        <v>505</v>
      </c>
      <c r="F1872" t="s">
        <v>1915</v>
      </c>
      <c r="G1872" t="s">
        <v>8253</v>
      </c>
      <c r="H1872">
        <v>22927</v>
      </c>
      <c r="I1872" t="s">
        <v>423</v>
      </c>
      <c r="J1872" t="s">
        <v>1917</v>
      </c>
      <c r="K1872" t="s">
        <v>1918</v>
      </c>
      <c r="L1872" t="s">
        <v>1919</v>
      </c>
      <c r="M1872">
        <v>267</v>
      </c>
      <c r="N1872">
        <v>49.99</v>
      </c>
      <c r="O1872">
        <v>11239.75</v>
      </c>
      <c r="P1872">
        <v>0</v>
      </c>
      <c r="Q1872">
        <v>11239.75</v>
      </c>
      <c r="R1872">
        <v>1798.36</v>
      </c>
      <c r="S1872">
        <v>449.59</v>
      </c>
      <c r="T1872">
        <v>12588.52</v>
      </c>
      <c r="U1872" t="s">
        <v>8491</v>
      </c>
      <c r="V1872" t="s">
        <v>9409</v>
      </c>
      <c r="W1872" t="s">
        <v>423</v>
      </c>
    </row>
    <row r="1873" spans="1:23" hidden="1" x14ac:dyDescent="0.2">
      <c r="A1873">
        <v>2012</v>
      </c>
      <c r="B1873" t="s">
        <v>304</v>
      </c>
      <c r="C1873" s="733">
        <v>40952</v>
      </c>
      <c r="D18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73" t="s">
        <v>478</v>
      </c>
      <c r="F1873" t="s">
        <v>2136</v>
      </c>
      <c r="G1873" t="s">
        <v>5793</v>
      </c>
      <c r="H1873">
        <v>35525</v>
      </c>
      <c r="I1873" t="s">
        <v>423</v>
      </c>
      <c r="J1873" t="s">
        <v>4270</v>
      </c>
      <c r="K1873" t="s">
        <v>425</v>
      </c>
      <c r="L1873" t="s">
        <v>2145</v>
      </c>
      <c r="M1873">
        <v>560</v>
      </c>
      <c r="N1873">
        <v>22.08</v>
      </c>
      <c r="O1873">
        <v>7054.56</v>
      </c>
      <c r="P1873">
        <v>0</v>
      </c>
      <c r="Q1873">
        <v>7054.56</v>
      </c>
      <c r="R1873">
        <v>1128.73</v>
      </c>
      <c r="S1873">
        <v>282.18</v>
      </c>
      <c r="T1873">
        <v>7901.11</v>
      </c>
      <c r="U1873" t="s">
        <v>7523</v>
      </c>
      <c r="V1873" t="s">
        <v>9408</v>
      </c>
      <c r="W1873" t="s">
        <v>423</v>
      </c>
    </row>
    <row r="1874" spans="1:23" hidden="1" x14ac:dyDescent="0.2">
      <c r="A1874">
        <v>2012</v>
      </c>
      <c r="B1874" t="s">
        <v>303</v>
      </c>
      <c r="C1874" s="733">
        <v>40928.42396990741</v>
      </c>
      <c r="D18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74" t="s">
        <v>485</v>
      </c>
      <c r="F1874" t="s">
        <v>2065</v>
      </c>
      <c r="G1874" t="s">
        <v>5796</v>
      </c>
      <c r="H1874">
        <v>40518</v>
      </c>
      <c r="I1874" t="s">
        <v>423</v>
      </c>
      <c r="J1874" t="s">
        <v>4626</v>
      </c>
      <c r="K1874" t="s">
        <v>2102</v>
      </c>
      <c r="L1874" t="s">
        <v>2115</v>
      </c>
      <c r="M1874">
        <v>1457</v>
      </c>
      <c r="N1874">
        <v>26.69</v>
      </c>
      <c r="O1874">
        <v>19748.46</v>
      </c>
      <c r="P1874">
        <v>0</v>
      </c>
      <c r="Q1874">
        <v>19748.46</v>
      </c>
      <c r="R1874">
        <v>3159.75</v>
      </c>
      <c r="S1874">
        <v>789.94</v>
      </c>
      <c r="T1874">
        <v>22118.27</v>
      </c>
      <c r="U1874" t="s">
        <v>2108</v>
      </c>
      <c r="V1874" t="s">
        <v>9409</v>
      </c>
      <c r="W1874" t="s">
        <v>423</v>
      </c>
    </row>
    <row r="1875" spans="1:23" hidden="1" x14ac:dyDescent="0.2">
      <c r="A1875">
        <v>2012</v>
      </c>
      <c r="B1875" t="s">
        <v>303</v>
      </c>
      <c r="C1875" s="733">
        <v>40910.460960648146</v>
      </c>
      <c r="D18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75" t="s">
        <v>485</v>
      </c>
      <c r="F1875" t="s">
        <v>2065</v>
      </c>
      <c r="G1875" t="s">
        <v>5795</v>
      </c>
      <c r="H1875">
        <v>39644</v>
      </c>
      <c r="I1875" t="s">
        <v>423</v>
      </c>
      <c r="J1875" t="s">
        <v>4626</v>
      </c>
      <c r="K1875" t="s">
        <v>2102</v>
      </c>
      <c r="L1875" t="s">
        <v>2115</v>
      </c>
      <c r="M1875">
        <v>1457</v>
      </c>
      <c r="N1875">
        <v>24.41</v>
      </c>
      <c r="O1875">
        <v>7604.2</v>
      </c>
      <c r="P1875">
        <v>8561.4927380000008</v>
      </c>
      <c r="Q1875">
        <v>16165.692738</v>
      </c>
      <c r="R1875">
        <v>2586.5108380000001</v>
      </c>
      <c r="S1875">
        <v>646.62770999999998</v>
      </c>
      <c r="T1875">
        <v>18105.575865999999</v>
      </c>
      <c r="U1875" t="s">
        <v>2104</v>
      </c>
      <c r="V1875" t="s">
        <v>9409</v>
      </c>
      <c r="W1875" t="s">
        <v>423</v>
      </c>
    </row>
    <row r="1876" spans="1:23" hidden="1" x14ac:dyDescent="0.2">
      <c r="A1876">
        <v>2012</v>
      </c>
      <c r="B1876" t="s">
        <v>304</v>
      </c>
      <c r="C1876" s="733">
        <v>40955</v>
      </c>
      <c r="D18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76" t="s">
        <v>478</v>
      </c>
      <c r="F1876" t="s">
        <v>2136</v>
      </c>
      <c r="G1876" t="s">
        <v>7648</v>
      </c>
      <c r="H1876">
        <v>35520</v>
      </c>
      <c r="I1876" t="s">
        <v>423</v>
      </c>
      <c r="J1876" t="s">
        <v>4632</v>
      </c>
      <c r="K1876" t="s">
        <v>425</v>
      </c>
      <c r="L1876" t="s">
        <v>2145</v>
      </c>
      <c r="M1876">
        <v>1395</v>
      </c>
      <c r="N1876">
        <v>41.01</v>
      </c>
      <c r="O1876">
        <v>37187.46</v>
      </c>
      <c r="P1876">
        <v>0</v>
      </c>
      <c r="Q1876">
        <v>37187.46</v>
      </c>
      <c r="R1876">
        <v>5949.99</v>
      </c>
      <c r="S1876">
        <v>1487.5</v>
      </c>
      <c r="T1876">
        <v>41649.949999999997</v>
      </c>
      <c r="U1876" t="s">
        <v>7523</v>
      </c>
      <c r="V1876" t="s">
        <v>9409</v>
      </c>
      <c r="W1876" t="s">
        <v>423</v>
      </c>
    </row>
    <row r="1877" spans="1:23" hidden="1" x14ac:dyDescent="0.2">
      <c r="A1877">
        <v>2012</v>
      </c>
      <c r="B1877" t="s">
        <v>304</v>
      </c>
      <c r="C1877" s="733">
        <v>40947</v>
      </c>
      <c r="D18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77" t="s">
        <v>485</v>
      </c>
      <c r="F1877" t="s">
        <v>2065</v>
      </c>
      <c r="G1877" t="s">
        <v>4947</v>
      </c>
      <c r="H1877">
        <v>41531</v>
      </c>
      <c r="I1877" t="s">
        <v>423</v>
      </c>
      <c r="J1877" t="s">
        <v>3054</v>
      </c>
      <c r="K1877" t="s">
        <v>2183</v>
      </c>
      <c r="L1877" t="s">
        <v>2184</v>
      </c>
      <c r="M1877">
        <v>43</v>
      </c>
      <c r="N1877">
        <v>15.49</v>
      </c>
      <c r="O1877">
        <v>1748.36</v>
      </c>
      <c r="P1877">
        <v>0</v>
      </c>
      <c r="Q1877">
        <v>1748.36</v>
      </c>
      <c r="R1877">
        <v>279.74</v>
      </c>
      <c r="S1877">
        <v>69.930000000000007</v>
      </c>
      <c r="T1877">
        <v>1958.17</v>
      </c>
      <c r="U1877" t="s">
        <v>2192</v>
      </c>
      <c r="V1877" t="s">
        <v>9408</v>
      </c>
      <c r="W1877" t="s">
        <v>423</v>
      </c>
    </row>
    <row r="1878" spans="1:23" hidden="1" x14ac:dyDescent="0.2">
      <c r="A1878">
        <v>2012</v>
      </c>
      <c r="B1878" t="s">
        <v>304</v>
      </c>
      <c r="C1878" s="733">
        <v>40960.457268518519</v>
      </c>
      <c r="D18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78" t="s">
        <v>478</v>
      </c>
      <c r="F1878" t="s">
        <v>2622</v>
      </c>
      <c r="G1878" t="s">
        <v>8372</v>
      </c>
      <c r="H1878">
        <v>35843</v>
      </c>
      <c r="I1878" t="s">
        <v>423</v>
      </c>
      <c r="J1878" t="s">
        <v>2624</v>
      </c>
      <c r="K1878" t="s">
        <v>2625</v>
      </c>
      <c r="L1878" t="s">
        <v>2626</v>
      </c>
      <c r="M1878">
        <v>10</v>
      </c>
      <c r="N1878">
        <v>24.04</v>
      </c>
      <c r="O1878">
        <v>2712.91</v>
      </c>
      <c r="P1878">
        <v>0</v>
      </c>
      <c r="Q1878">
        <v>2712.91</v>
      </c>
      <c r="R1878">
        <v>434.07</v>
      </c>
      <c r="S1878">
        <v>108.52</v>
      </c>
      <c r="T1878">
        <v>3038.46</v>
      </c>
      <c r="U1878" t="s">
        <v>8267</v>
      </c>
      <c r="V1878" t="s">
        <v>9408</v>
      </c>
      <c r="W1878" t="s">
        <v>423</v>
      </c>
    </row>
    <row r="1879" spans="1:23" hidden="1" x14ac:dyDescent="0.2">
      <c r="A1879">
        <v>2012</v>
      </c>
      <c r="B1879" t="s">
        <v>304</v>
      </c>
      <c r="C1879" s="733">
        <v>40946.630231481482</v>
      </c>
      <c r="D18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79" t="s">
        <v>478</v>
      </c>
      <c r="F1879" t="s">
        <v>2622</v>
      </c>
      <c r="G1879" t="s">
        <v>2883</v>
      </c>
      <c r="H1879">
        <v>35360</v>
      </c>
      <c r="I1879" t="s">
        <v>423</v>
      </c>
      <c r="J1879" t="s">
        <v>2624</v>
      </c>
      <c r="K1879" t="s">
        <v>2625</v>
      </c>
      <c r="L1879" t="s">
        <v>2626</v>
      </c>
      <c r="M1879">
        <v>10</v>
      </c>
      <c r="N1879">
        <v>23.52</v>
      </c>
      <c r="O1879">
        <v>2654.23</v>
      </c>
      <c r="P1879">
        <v>0</v>
      </c>
      <c r="Q1879">
        <v>2654.23</v>
      </c>
      <c r="R1879">
        <v>424.68</v>
      </c>
      <c r="S1879">
        <v>106.17</v>
      </c>
      <c r="T1879">
        <v>2972.74</v>
      </c>
      <c r="U1879" t="s">
        <v>2652</v>
      </c>
      <c r="V1879" t="s">
        <v>9408</v>
      </c>
      <c r="W1879" t="s">
        <v>423</v>
      </c>
    </row>
    <row r="1880" spans="1:23" hidden="1" x14ac:dyDescent="0.2">
      <c r="A1880">
        <v>2012</v>
      </c>
      <c r="B1880" t="s">
        <v>303</v>
      </c>
      <c r="C1880" s="733">
        <v>40939.537268518521</v>
      </c>
      <c r="D18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80" t="s">
        <v>478</v>
      </c>
      <c r="F1880" t="s">
        <v>2622</v>
      </c>
      <c r="G1880" t="s">
        <v>2891</v>
      </c>
      <c r="H1880">
        <v>35166</v>
      </c>
      <c r="I1880" t="s">
        <v>423</v>
      </c>
      <c r="J1880" t="s">
        <v>2624</v>
      </c>
      <c r="K1880" t="s">
        <v>2625</v>
      </c>
      <c r="L1880" t="s">
        <v>2626</v>
      </c>
      <c r="M1880">
        <v>10</v>
      </c>
      <c r="N1880">
        <v>24.59</v>
      </c>
      <c r="O1880">
        <v>2774.98</v>
      </c>
      <c r="P1880">
        <v>0</v>
      </c>
      <c r="Q1880">
        <v>2774.98</v>
      </c>
      <c r="R1880">
        <v>444</v>
      </c>
      <c r="S1880">
        <v>111</v>
      </c>
      <c r="T1880">
        <v>3107.98</v>
      </c>
      <c r="U1880" t="s">
        <v>2648</v>
      </c>
      <c r="V1880" t="s">
        <v>9408</v>
      </c>
      <c r="W1880" t="s">
        <v>423</v>
      </c>
    </row>
    <row r="1881" spans="1:23" hidden="1" x14ac:dyDescent="0.2">
      <c r="A1881">
        <v>2012</v>
      </c>
      <c r="B1881" t="s">
        <v>304</v>
      </c>
      <c r="C1881" s="733">
        <v>40961</v>
      </c>
      <c r="D18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81" t="s">
        <v>478</v>
      </c>
      <c r="F1881" t="s">
        <v>2142</v>
      </c>
      <c r="G1881" t="s">
        <v>8350</v>
      </c>
      <c r="H1881">
        <v>35673</v>
      </c>
      <c r="I1881" t="s">
        <v>423</v>
      </c>
      <c r="J1881" t="s">
        <v>2639</v>
      </c>
      <c r="K1881" t="s">
        <v>2640</v>
      </c>
      <c r="L1881" t="s">
        <v>2641</v>
      </c>
      <c r="M1881">
        <v>274</v>
      </c>
      <c r="N1881">
        <v>48.72</v>
      </c>
      <c r="O1881">
        <v>6262.47</v>
      </c>
      <c r="P1881">
        <v>0</v>
      </c>
      <c r="Q1881">
        <v>6262.47</v>
      </c>
      <c r="R1881">
        <v>1002</v>
      </c>
      <c r="S1881">
        <v>250.5</v>
      </c>
      <c r="T1881">
        <v>7013.97</v>
      </c>
      <c r="U1881" t="s">
        <v>8307</v>
      </c>
      <c r="V1881" t="s">
        <v>9409</v>
      </c>
      <c r="W1881" t="s">
        <v>423</v>
      </c>
    </row>
    <row r="1882" spans="1:23" hidden="1" x14ac:dyDescent="0.2">
      <c r="A1882">
        <v>2012</v>
      </c>
      <c r="B1882" t="s">
        <v>303</v>
      </c>
      <c r="C1882" s="733">
        <v>40918</v>
      </c>
      <c r="D18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82" t="s">
        <v>478</v>
      </c>
      <c r="F1882" t="s">
        <v>2142</v>
      </c>
      <c r="G1882" t="s">
        <v>4500</v>
      </c>
      <c r="H1882">
        <v>34334</v>
      </c>
      <c r="I1882" t="s">
        <v>423</v>
      </c>
      <c r="J1882" t="s">
        <v>2639</v>
      </c>
      <c r="K1882" t="s">
        <v>2640</v>
      </c>
      <c r="L1882" t="s">
        <v>2641</v>
      </c>
      <c r="M1882">
        <v>274</v>
      </c>
      <c r="N1882">
        <v>51.93</v>
      </c>
      <c r="O1882">
        <v>6675.08</v>
      </c>
      <c r="P1882">
        <v>0</v>
      </c>
      <c r="Q1882">
        <v>6675.08</v>
      </c>
      <c r="R1882">
        <v>1068.01</v>
      </c>
      <c r="S1882">
        <v>267</v>
      </c>
      <c r="T1882">
        <v>7476.09</v>
      </c>
      <c r="U1882" t="s">
        <v>2992</v>
      </c>
      <c r="V1882" t="s">
        <v>9409</v>
      </c>
      <c r="W1882" t="s">
        <v>423</v>
      </c>
    </row>
    <row r="1883" spans="1:23" hidden="1" x14ac:dyDescent="0.2">
      <c r="A1883">
        <v>2012</v>
      </c>
      <c r="B1883" t="s">
        <v>303</v>
      </c>
      <c r="C1883" s="733">
        <v>40936.440925925926</v>
      </c>
      <c r="D18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83" t="s">
        <v>478</v>
      </c>
      <c r="F1883" t="s">
        <v>2136</v>
      </c>
      <c r="G1883" t="s">
        <v>2905</v>
      </c>
      <c r="H1883">
        <v>35030</v>
      </c>
      <c r="I1883" t="s">
        <v>423</v>
      </c>
      <c r="J1883" t="s">
        <v>2668</v>
      </c>
      <c r="K1883" t="s">
        <v>2625</v>
      </c>
      <c r="L1883" t="s">
        <v>2626</v>
      </c>
      <c r="M1883">
        <v>76</v>
      </c>
      <c r="N1883">
        <v>23.32</v>
      </c>
      <c r="O1883">
        <v>2631.66</v>
      </c>
      <c r="P1883">
        <v>0</v>
      </c>
      <c r="Q1883">
        <v>2631.66</v>
      </c>
      <c r="R1883">
        <v>421.07</v>
      </c>
      <c r="S1883">
        <v>105.27</v>
      </c>
      <c r="T1883">
        <v>2947.46</v>
      </c>
      <c r="U1883" t="s">
        <v>2648</v>
      </c>
      <c r="V1883" t="s">
        <v>9408</v>
      </c>
      <c r="W1883" t="s">
        <v>423</v>
      </c>
    </row>
    <row r="1884" spans="1:23" hidden="1" x14ac:dyDescent="0.2">
      <c r="A1884">
        <v>2012</v>
      </c>
      <c r="B1884" t="s">
        <v>303</v>
      </c>
      <c r="C1884" s="733">
        <v>40933</v>
      </c>
      <c r="D18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84" t="s">
        <v>478</v>
      </c>
      <c r="F1884" t="s">
        <v>2622</v>
      </c>
      <c r="G1884" t="s">
        <v>2904</v>
      </c>
      <c r="H1884">
        <v>34802</v>
      </c>
      <c r="I1884" t="s">
        <v>423</v>
      </c>
      <c r="J1884" t="s">
        <v>2668</v>
      </c>
      <c r="K1884" t="s">
        <v>2625</v>
      </c>
      <c r="L1884" t="s">
        <v>2626</v>
      </c>
      <c r="M1884">
        <v>76</v>
      </c>
      <c r="N1884">
        <v>33.97</v>
      </c>
      <c r="O1884">
        <v>3833.51</v>
      </c>
      <c r="P1884">
        <v>0</v>
      </c>
      <c r="Q1884">
        <v>3833.51</v>
      </c>
      <c r="R1884">
        <v>613.36</v>
      </c>
      <c r="S1884">
        <v>153.34</v>
      </c>
      <c r="T1884">
        <v>4293.53</v>
      </c>
      <c r="U1884" t="s">
        <v>2633</v>
      </c>
      <c r="V1884" t="s">
        <v>9408</v>
      </c>
      <c r="W1884" t="s">
        <v>423</v>
      </c>
    </row>
    <row r="1885" spans="1:23" hidden="1" x14ac:dyDescent="0.2">
      <c r="A1885">
        <v>2012</v>
      </c>
      <c r="B1885" t="s">
        <v>304</v>
      </c>
      <c r="C1885" s="733">
        <v>40967.454293981478</v>
      </c>
      <c r="D18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85" t="s">
        <v>478</v>
      </c>
      <c r="F1885" t="s">
        <v>2622</v>
      </c>
      <c r="G1885" t="s">
        <v>9261</v>
      </c>
      <c r="H1885">
        <v>36102</v>
      </c>
      <c r="I1885" t="s">
        <v>423</v>
      </c>
      <c r="J1885" t="s">
        <v>2668</v>
      </c>
      <c r="K1885" t="s">
        <v>2625</v>
      </c>
      <c r="L1885" t="s">
        <v>2626</v>
      </c>
      <c r="M1885">
        <v>76</v>
      </c>
      <c r="N1885">
        <v>25.05</v>
      </c>
      <c r="O1885">
        <v>2826.89</v>
      </c>
      <c r="P1885">
        <v>0</v>
      </c>
      <c r="Q1885">
        <v>2826.89</v>
      </c>
      <c r="R1885">
        <v>452.3</v>
      </c>
      <c r="S1885">
        <v>113.08</v>
      </c>
      <c r="T1885">
        <v>3166.11</v>
      </c>
      <c r="U1885" t="s">
        <v>9428</v>
      </c>
      <c r="V1885" t="s">
        <v>9408</v>
      </c>
      <c r="W1885" t="s">
        <v>423</v>
      </c>
    </row>
    <row r="1886" spans="1:23" hidden="1" x14ac:dyDescent="0.2">
      <c r="A1886">
        <v>2012</v>
      </c>
      <c r="B1886" t="s">
        <v>304</v>
      </c>
      <c r="C1886" s="733">
        <v>40954</v>
      </c>
      <c r="D18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86" t="s">
        <v>478</v>
      </c>
      <c r="F1886" t="s">
        <v>2622</v>
      </c>
      <c r="G1886" t="s">
        <v>7670</v>
      </c>
      <c r="H1886">
        <v>35605</v>
      </c>
      <c r="I1886" t="s">
        <v>423</v>
      </c>
      <c r="J1886" t="s">
        <v>2668</v>
      </c>
      <c r="K1886" t="s">
        <v>2625</v>
      </c>
      <c r="L1886" t="s">
        <v>2626</v>
      </c>
      <c r="M1886">
        <v>76</v>
      </c>
      <c r="N1886">
        <v>25.99</v>
      </c>
      <c r="O1886">
        <v>2932.97</v>
      </c>
      <c r="P1886">
        <v>0</v>
      </c>
      <c r="Q1886">
        <v>2932.97</v>
      </c>
      <c r="R1886">
        <v>469.28</v>
      </c>
      <c r="S1886">
        <v>117.32</v>
      </c>
      <c r="T1886">
        <v>3284.93</v>
      </c>
      <c r="U1886" t="s">
        <v>7548</v>
      </c>
      <c r="V1886" t="s">
        <v>9408</v>
      </c>
      <c r="W1886" t="s">
        <v>423</v>
      </c>
    </row>
    <row r="1887" spans="1:23" hidden="1" x14ac:dyDescent="0.2">
      <c r="A1887">
        <v>2012</v>
      </c>
      <c r="B1887" t="s">
        <v>305</v>
      </c>
      <c r="C1887" s="733">
        <v>40970</v>
      </c>
      <c r="D1887" s="733" t="str">
        <f>CHOOSE(MONTH(Tabla_sqldatos_bonampakdb_Bon_v_ingresos2012[[#This Row],[fecha_guia]]),"Enero","Febrero","Marzo","Abril","Mayo","Junio","Julio","Agosto","Septiembre","Octubre","Noviembre","Diciembre")</f>
        <v>Marzo</v>
      </c>
      <c r="E1887" t="s">
        <v>485</v>
      </c>
      <c r="F1887" t="s">
        <v>2084</v>
      </c>
      <c r="G1887" t="s">
        <v>9693</v>
      </c>
      <c r="H1887">
        <v>42950</v>
      </c>
      <c r="I1887" t="s">
        <v>423</v>
      </c>
      <c r="J1887" t="s">
        <v>9492</v>
      </c>
      <c r="K1887" t="s">
        <v>2051</v>
      </c>
      <c r="L1887" t="s">
        <v>2052</v>
      </c>
      <c r="M1887">
        <v>885</v>
      </c>
      <c r="N1887">
        <v>24.45</v>
      </c>
      <c r="O1887">
        <v>14266.58</v>
      </c>
      <c r="P1887">
        <v>0</v>
      </c>
      <c r="Q1887">
        <v>14266.58</v>
      </c>
      <c r="R1887">
        <v>2282.65</v>
      </c>
      <c r="S1887">
        <v>570.66</v>
      </c>
      <c r="T1887">
        <v>15978.57</v>
      </c>
      <c r="V1887" t="s">
        <v>9408</v>
      </c>
      <c r="W1887" t="s">
        <v>423</v>
      </c>
    </row>
    <row r="1888" spans="1:23" hidden="1" x14ac:dyDescent="0.2">
      <c r="A1888">
        <v>2012</v>
      </c>
      <c r="B1888" t="s">
        <v>305</v>
      </c>
      <c r="C1888" s="733">
        <v>40971.624467592592</v>
      </c>
      <c r="D1888" s="733" t="str">
        <f>CHOOSE(MONTH(Tabla_sqldatos_bonampakdb_Bon_v_ingresos2012[[#This Row],[fecha_guia]]),"Enero","Febrero","Marzo","Abril","Mayo","Junio","Julio","Agosto","Septiembre","Octubre","Noviembre","Diciembre")</f>
        <v>Marzo</v>
      </c>
      <c r="E1888" t="s">
        <v>485</v>
      </c>
      <c r="F1888" t="s">
        <v>2054</v>
      </c>
      <c r="G1888" t="s">
        <v>9694</v>
      </c>
      <c r="H1888">
        <v>10637</v>
      </c>
      <c r="I1888" t="s">
        <v>423</v>
      </c>
      <c r="J1888" t="s">
        <v>2072</v>
      </c>
      <c r="K1888" t="s">
        <v>2057</v>
      </c>
      <c r="L1888" t="s">
        <v>2058</v>
      </c>
      <c r="M1888">
        <v>406</v>
      </c>
      <c r="N1888">
        <v>46.18</v>
      </c>
      <c r="O1888">
        <v>12620.07</v>
      </c>
      <c r="P1888">
        <v>0</v>
      </c>
      <c r="Q1888">
        <v>12620.07</v>
      </c>
      <c r="R1888">
        <v>1388.21</v>
      </c>
      <c r="S1888">
        <v>504.8</v>
      </c>
      <c r="T1888">
        <v>13503.48</v>
      </c>
      <c r="V1888" t="s">
        <v>9409</v>
      </c>
      <c r="W1888" t="s">
        <v>423</v>
      </c>
    </row>
    <row r="1889" spans="1:23" hidden="1" x14ac:dyDescent="0.2">
      <c r="A1889">
        <v>2012</v>
      </c>
      <c r="B1889" t="s">
        <v>304</v>
      </c>
      <c r="C1889" s="733">
        <v>40962</v>
      </c>
      <c r="D18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89" t="s">
        <v>485</v>
      </c>
      <c r="F1889" t="s">
        <v>2054</v>
      </c>
      <c r="G1889" t="s">
        <v>8580</v>
      </c>
      <c r="H1889">
        <v>10521</v>
      </c>
      <c r="I1889" t="s">
        <v>423</v>
      </c>
      <c r="J1889" t="s">
        <v>2072</v>
      </c>
      <c r="K1889" t="s">
        <v>2057</v>
      </c>
      <c r="L1889" t="s">
        <v>2058</v>
      </c>
      <c r="M1889">
        <v>406</v>
      </c>
      <c r="N1889">
        <v>45.75</v>
      </c>
      <c r="O1889">
        <v>12502.56</v>
      </c>
      <c r="P1889">
        <v>0</v>
      </c>
      <c r="Q1889">
        <v>12502.56</v>
      </c>
      <c r="R1889">
        <v>1375.28</v>
      </c>
      <c r="S1889">
        <v>500.1</v>
      </c>
      <c r="T1889">
        <v>13377.74</v>
      </c>
      <c r="U1889" t="s">
        <v>8864</v>
      </c>
      <c r="V1889" t="s">
        <v>9409</v>
      </c>
      <c r="W1889" t="s">
        <v>423</v>
      </c>
    </row>
    <row r="1890" spans="1:23" hidden="1" x14ac:dyDescent="0.2">
      <c r="A1890">
        <v>2012</v>
      </c>
      <c r="B1890" t="s">
        <v>303</v>
      </c>
      <c r="C1890" s="733">
        <v>40919</v>
      </c>
      <c r="D18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90" t="s">
        <v>485</v>
      </c>
      <c r="F1890" t="s">
        <v>2054</v>
      </c>
      <c r="G1890" t="s">
        <v>3992</v>
      </c>
      <c r="H1890">
        <v>10007</v>
      </c>
      <c r="I1890" t="s">
        <v>423</v>
      </c>
      <c r="J1890" t="s">
        <v>2072</v>
      </c>
      <c r="K1890" t="s">
        <v>2057</v>
      </c>
      <c r="L1890" t="s">
        <v>2058</v>
      </c>
      <c r="M1890">
        <v>406</v>
      </c>
      <c r="N1890">
        <v>47.12</v>
      </c>
      <c r="O1890">
        <v>12876.95</v>
      </c>
      <c r="P1890">
        <v>0</v>
      </c>
      <c r="Q1890">
        <v>12876.95</v>
      </c>
      <c r="R1890">
        <v>2060.31</v>
      </c>
      <c r="S1890">
        <v>515.08000000000004</v>
      </c>
      <c r="T1890">
        <v>14422.18</v>
      </c>
      <c r="U1890" t="s">
        <v>2070</v>
      </c>
      <c r="V1890" t="s">
        <v>9409</v>
      </c>
      <c r="W1890" t="s">
        <v>423</v>
      </c>
    </row>
    <row r="1891" spans="1:23" hidden="1" x14ac:dyDescent="0.2">
      <c r="A1891">
        <v>2012</v>
      </c>
      <c r="B1891" t="s">
        <v>304</v>
      </c>
      <c r="C1891" s="733">
        <v>40940.577974537038</v>
      </c>
      <c r="D18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91" t="s">
        <v>485</v>
      </c>
      <c r="F1891" t="s">
        <v>2054</v>
      </c>
      <c r="G1891" t="s">
        <v>4038</v>
      </c>
      <c r="H1891">
        <v>10279</v>
      </c>
      <c r="I1891" t="s">
        <v>423</v>
      </c>
      <c r="J1891" t="s">
        <v>2072</v>
      </c>
      <c r="K1891" t="s">
        <v>2057</v>
      </c>
      <c r="L1891" t="s">
        <v>2058</v>
      </c>
      <c r="M1891">
        <v>406</v>
      </c>
      <c r="N1891">
        <v>43.75</v>
      </c>
      <c r="O1891">
        <v>11956</v>
      </c>
      <c r="P1891">
        <v>0</v>
      </c>
      <c r="Q1891">
        <v>11956</v>
      </c>
      <c r="R1891">
        <v>1912.96</v>
      </c>
      <c r="S1891">
        <v>478.24</v>
      </c>
      <c r="T1891">
        <v>13390.72</v>
      </c>
      <c r="U1891" t="s">
        <v>2075</v>
      </c>
      <c r="V1891" t="s">
        <v>9409</v>
      </c>
      <c r="W1891" t="s">
        <v>423</v>
      </c>
    </row>
    <row r="1892" spans="1:23" hidden="1" x14ac:dyDescent="0.2">
      <c r="A1892">
        <v>2012</v>
      </c>
      <c r="B1892" t="s">
        <v>303</v>
      </c>
      <c r="C1892" s="733">
        <v>40935</v>
      </c>
      <c r="D18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92" t="s">
        <v>485</v>
      </c>
      <c r="F1892" t="s">
        <v>2054</v>
      </c>
      <c r="G1892" t="s">
        <v>4039</v>
      </c>
      <c r="H1892">
        <v>10225</v>
      </c>
      <c r="I1892" t="s">
        <v>423</v>
      </c>
      <c r="J1892" t="s">
        <v>2072</v>
      </c>
      <c r="K1892" t="s">
        <v>2057</v>
      </c>
      <c r="L1892" t="s">
        <v>2058</v>
      </c>
      <c r="M1892">
        <v>406</v>
      </c>
      <c r="N1892">
        <v>30.03</v>
      </c>
      <c r="O1892">
        <v>8206.6</v>
      </c>
      <c r="P1892">
        <v>0</v>
      </c>
      <c r="Q1892">
        <v>8206.6</v>
      </c>
      <c r="R1892">
        <v>1313.06</v>
      </c>
      <c r="S1892">
        <v>328.26</v>
      </c>
      <c r="T1892">
        <v>9191.4</v>
      </c>
      <c r="U1892" t="s">
        <v>2073</v>
      </c>
      <c r="V1892" t="s">
        <v>9408</v>
      </c>
      <c r="W1892" t="s">
        <v>423</v>
      </c>
    </row>
    <row r="1893" spans="1:23" hidden="1" x14ac:dyDescent="0.2">
      <c r="A1893">
        <v>2012</v>
      </c>
      <c r="B1893" t="s">
        <v>303</v>
      </c>
      <c r="C1893" s="733">
        <v>40929</v>
      </c>
      <c r="D18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93" t="s">
        <v>485</v>
      </c>
      <c r="F1893" t="s">
        <v>2054</v>
      </c>
      <c r="G1893" t="s">
        <v>4003</v>
      </c>
      <c r="H1893">
        <v>10159</v>
      </c>
      <c r="I1893" t="s">
        <v>423</v>
      </c>
      <c r="J1893" t="s">
        <v>2072</v>
      </c>
      <c r="K1893" t="s">
        <v>2057</v>
      </c>
      <c r="L1893" t="s">
        <v>2058</v>
      </c>
      <c r="M1893">
        <v>406</v>
      </c>
      <c r="N1893">
        <v>25.11</v>
      </c>
      <c r="O1893">
        <v>6862.06</v>
      </c>
      <c r="P1893">
        <v>0</v>
      </c>
      <c r="Q1893">
        <v>6862.06</v>
      </c>
      <c r="R1893">
        <v>1097.93</v>
      </c>
      <c r="S1893">
        <v>274.48</v>
      </c>
      <c r="T1893">
        <v>7685.51</v>
      </c>
      <c r="U1893" t="s">
        <v>2077</v>
      </c>
      <c r="V1893" t="s">
        <v>9408</v>
      </c>
      <c r="W1893" t="s">
        <v>423</v>
      </c>
    </row>
    <row r="1894" spans="1:23" hidden="1" x14ac:dyDescent="0.2">
      <c r="A1894">
        <v>2012</v>
      </c>
      <c r="B1894" t="s">
        <v>304</v>
      </c>
      <c r="C1894" s="733">
        <v>40959</v>
      </c>
      <c r="D18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94" t="s">
        <v>485</v>
      </c>
      <c r="F1894" t="s">
        <v>2054</v>
      </c>
      <c r="G1894" t="s">
        <v>8183</v>
      </c>
      <c r="H1894">
        <v>10397</v>
      </c>
      <c r="I1894" t="s">
        <v>423</v>
      </c>
      <c r="J1894" t="s">
        <v>2072</v>
      </c>
      <c r="K1894" t="s">
        <v>2057</v>
      </c>
      <c r="L1894" t="s">
        <v>2058</v>
      </c>
      <c r="M1894">
        <v>406</v>
      </c>
      <c r="N1894">
        <v>19.61</v>
      </c>
      <c r="O1894">
        <v>6628.57</v>
      </c>
      <c r="P1894">
        <v>0</v>
      </c>
      <c r="Q1894">
        <v>6628.57</v>
      </c>
      <c r="R1894">
        <v>729.14</v>
      </c>
      <c r="S1894">
        <v>265.14</v>
      </c>
      <c r="T1894">
        <v>7092.57</v>
      </c>
      <c r="U1894" t="s">
        <v>8047</v>
      </c>
      <c r="V1894" t="s">
        <v>9408</v>
      </c>
      <c r="W1894" t="s">
        <v>423</v>
      </c>
    </row>
    <row r="1895" spans="1:23" hidden="1" x14ac:dyDescent="0.2">
      <c r="A1895">
        <v>2012</v>
      </c>
      <c r="B1895" t="s">
        <v>303</v>
      </c>
      <c r="C1895" s="733">
        <v>40931</v>
      </c>
      <c r="D18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95" t="s">
        <v>505</v>
      </c>
      <c r="F1895" t="s">
        <v>1915</v>
      </c>
      <c r="G1895" t="s">
        <v>4746</v>
      </c>
      <c r="H1895">
        <v>22164</v>
      </c>
      <c r="I1895" t="s">
        <v>423</v>
      </c>
      <c r="J1895" t="s">
        <v>1943</v>
      </c>
      <c r="K1895" t="s">
        <v>1918</v>
      </c>
      <c r="L1895" t="s">
        <v>1919</v>
      </c>
      <c r="M1895">
        <v>319</v>
      </c>
      <c r="N1895">
        <v>54.49</v>
      </c>
      <c r="O1895">
        <v>15978.65</v>
      </c>
      <c r="P1895">
        <v>0</v>
      </c>
      <c r="Q1895">
        <v>15978.65</v>
      </c>
      <c r="R1895">
        <v>2556.58</v>
      </c>
      <c r="S1895">
        <v>639.15</v>
      </c>
      <c r="T1895">
        <v>17896.080000000002</v>
      </c>
      <c r="V1895" t="s">
        <v>9409</v>
      </c>
      <c r="W1895" t="s">
        <v>423</v>
      </c>
    </row>
    <row r="1896" spans="1:23" hidden="1" x14ac:dyDescent="0.2">
      <c r="A1896">
        <v>2012</v>
      </c>
      <c r="B1896" t="s">
        <v>305</v>
      </c>
      <c r="C1896" s="733">
        <v>40971.617245370369</v>
      </c>
      <c r="D1896" s="733" t="str">
        <f>CHOOSE(MONTH(Tabla_sqldatos_bonampakdb_Bon_v_ingresos2012[[#This Row],[fecha_guia]]),"Enero","Febrero","Marzo","Abril","Mayo","Junio","Julio","Agosto","Septiembre","Octubre","Noviembre","Diciembre")</f>
        <v>Marzo</v>
      </c>
      <c r="E1896" t="s">
        <v>485</v>
      </c>
      <c r="F1896" t="s">
        <v>2054</v>
      </c>
      <c r="G1896" t="s">
        <v>9695</v>
      </c>
      <c r="H1896">
        <v>10644</v>
      </c>
      <c r="I1896" t="s">
        <v>423</v>
      </c>
      <c r="J1896" t="s">
        <v>2072</v>
      </c>
      <c r="K1896" t="s">
        <v>2057</v>
      </c>
      <c r="L1896" t="s">
        <v>2058</v>
      </c>
      <c r="M1896">
        <v>406</v>
      </c>
      <c r="N1896">
        <v>29.91</v>
      </c>
      <c r="O1896">
        <v>8173.8</v>
      </c>
      <c r="P1896">
        <v>0</v>
      </c>
      <c r="Q1896">
        <v>8173.8</v>
      </c>
      <c r="R1896">
        <v>899.12</v>
      </c>
      <c r="S1896">
        <v>326.95</v>
      </c>
      <c r="T1896">
        <v>8745.9699999999993</v>
      </c>
      <c r="V1896" t="s">
        <v>9408</v>
      </c>
      <c r="W1896" t="s">
        <v>423</v>
      </c>
    </row>
    <row r="1897" spans="1:23" hidden="1" x14ac:dyDescent="0.2">
      <c r="A1897">
        <v>2012</v>
      </c>
      <c r="B1897" t="s">
        <v>304</v>
      </c>
      <c r="C1897" s="733">
        <v>40952</v>
      </c>
      <c r="D18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897" t="s">
        <v>485</v>
      </c>
      <c r="F1897" t="s">
        <v>2054</v>
      </c>
      <c r="G1897" t="s">
        <v>3997</v>
      </c>
      <c r="H1897">
        <v>10406</v>
      </c>
      <c r="I1897" t="s">
        <v>423</v>
      </c>
      <c r="J1897" t="s">
        <v>2072</v>
      </c>
      <c r="K1897" t="s">
        <v>2057</v>
      </c>
      <c r="L1897" t="s">
        <v>2058</v>
      </c>
      <c r="M1897">
        <v>406</v>
      </c>
      <c r="N1897">
        <v>47.14</v>
      </c>
      <c r="O1897">
        <v>12882.42</v>
      </c>
      <c r="P1897">
        <v>0</v>
      </c>
      <c r="Q1897">
        <v>12882.42</v>
      </c>
      <c r="R1897">
        <v>1417.07</v>
      </c>
      <c r="S1897">
        <v>515.29999999999995</v>
      </c>
      <c r="T1897">
        <v>13784.19</v>
      </c>
      <c r="U1897" t="s">
        <v>8047</v>
      </c>
      <c r="V1897" t="s">
        <v>9409</v>
      </c>
      <c r="W1897" t="s">
        <v>423</v>
      </c>
    </row>
    <row r="1898" spans="1:23" hidden="1" x14ac:dyDescent="0.2">
      <c r="A1898">
        <v>2012</v>
      </c>
      <c r="B1898" t="s">
        <v>305</v>
      </c>
      <c r="C1898" s="733">
        <v>40970</v>
      </c>
      <c r="D1898" s="733" t="str">
        <f>CHOOSE(MONTH(Tabla_sqldatos_bonampakdb_Bon_v_ingresos2012[[#This Row],[fecha_guia]]),"Enero","Febrero","Marzo","Abril","Mayo","Junio","Julio","Agosto","Septiembre","Octubre","Noviembre","Diciembre")</f>
        <v>Marzo</v>
      </c>
      <c r="E1898" t="s">
        <v>485</v>
      </c>
      <c r="F1898" t="s">
        <v>2048</v>
      </c>
      <c r="G1898" t="s">
        <v>9696</v>
      </c>
      <c r="H1898">
        <v>42947</v>
      </c>
      <c r="I1898" t="s">
        <v>423</v>
      </c>
      <c r="J1898" t="s">
        <v>4091</v>
      </c>
      <c r="K1898" t="s">
        <v>2051</v>
      </c>
      <c r="L1898" t="s">
        <v>2052</v>
      </c>
      <c r="M1898">
        <v>1092</v>
      </c>
      <c r="N1898">
        <v>50</v>
      </c>
      <c r="O1898">
        <v>29175</v>
      </c>
      <c r="P1898">
        <v>0</v>
      </c>
      <c r="Q1898">
        <v>29175</v>
      </c>
      <c r="R1898">
        <v>4668</v>
      </c>
      <c r="S1898">
        <v>1167</v>
      </c>
      <c r="T1898">
        <v>32676</v>
      </c>
      <c r="V1898" t="s">
        <v>9409</v>
      </c>
      <c r="W1898" t="s">
        <v>423</v>
      </c>
    </row>
    <row r="1899" spans="1:23" hidden="1" x14ac:dyDescent="0.2">
      <c r="A1899">
        <v>2012</v>
      </c>
      <c r="B1899" t="s">
        <v>303</v>
      </c>
      <c r="C1899" s="733">
        <v>40933</v>
      </c>
      <c r="D18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899" t="s">
        <v>485</v>
      </c>
      <c r="F1899" t="s">
        <v>2048</v>
      </c>
      <c r="G1899" t="s">
        <v>4736</v>
      </c>
      <c r="H1899">
        <v>40854</v>
      </c>
      <c r="I1899" t="s">
        <v>423</v>
      </c>
      <c r="J1899" t="s">
        <v>4091</v>
      </c>
      <c r="K1899" t="s">
        <v>2051</v>
      </c>
      <c r="L1899" t="s">
        <v>2052</v>
      </c>
      <c r="M1899">
        <v>1092</v>
      </c>
      <c r="N1899">
        <v>28.6</v>
      </c>
      <c r="O1899">
        <v>16688.099999999999</v>
      </c>
      <c r="P1899">
        <v>0</v>
      </c>
      <c r="Q1899">
        <v>16688.099999999999</v>
      </c>
      <c r="R1899">
        <v>2670.1</v>
      </c>
      <c r="S1899">
        <v>667.52</v>
      </c>
      <c r="T1899">
        <v>18690.68</v>
      </c>
      <c r="U1899" t="s">
        <v>2053</v>
      </c>
      <c r="V1899" t="s">
        <v>9409</v>
      </c>
      <c r="W1899" t="s">
        <v>423</v>
      </c>
    </row>
    <row r="1900" spans="1:23" hidden="1" x14ac:dyDescent="0.2">
      <c r="A1900">
        <v>2012</v>
      </c>
      <c r="B1900" t="s">
        <v>304</v>
      </c>
      <c r="C1900" s="733">
        <v>40941</v>
      </c>
      <c r="D19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00" t="s">
        <v>485</v>
      </c>
      <c r="F1900" t="s">
        <v>2048</v>
      </c>
      <c r="G1900" t="s">
        <v>4741</v>
      </c>
      <c r="H1900">
        <v>41320</v>
      </c>
      <c r="I1900" t="s">
        <v>423</v>
      </c>
      <c r="J1900" t="s">
        <v>4091</v>
      </c>
      <c r="K1900" t="s">
        <v>2051</v>
      </c>
      <c r="L1900" t="s">
        <v>2052</v>
      </c>
      <c r="M1900">
        <v>1092</v>
      </c>
      <c r="N1900">
        <v>29.7</v>
      </c>
      <c r="O1900">
        <v>17329.95</v>
      </c>
      <c r="P1900">
        <v>0</v>
      </c>
      <c r="Q1900">
        <v>17329.95</v>
      </c>
      <c r="R1900">
        <v>2772.79</v>
      </c>
      <c r="S1900">
        <v>693.2</v>
      </c>
      <c r="T1900">
        <v>19409.54</v>
      </c>
      <c r="U1900" t="s">
        <v>8257</v>
      </c>
      <c r="V1900" t="s">
        <v>9409</v>
      </c>
      <c r="W1900" t="s">
        <v>423</v>
      </c>
    </row>
    <row r="1901" spans="1:23" hidden="1" x14ac:dyDescent="0.2">
      <c r="A1901">
        <v>2012</v>
      </c>
      <c r="B1901" t="s">
        <v>304</v>
      </c>
      <c r="C1901" s="733">
        <v>40941</v>
      </c>
      <c r="D19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01" t="s">
        <v>485</v>
      </c>
      <c r="F1901" t="s">
        <v>2054</v>
      </c>
      <c r="G1901" t="s">
        <v>3999</v>
      </c>
      <c r="H1901">
        <v>10285</v>
      </c>
      <c r="I1901" t="s">
        <v>423</v>
      </c>
      <c r="J1901" t="s">
        <v>2072</v>
      </c>
      <c r="K1901" t="s">
        <v>2057</v>
      </c>
      <c r="L1901" t="s">
        <v>2058</v>
      </c>
      <c r="M1901">
        <v>406</v>
      </c>
      <c r="N1901">
        <v>45.65</v>
      </c>
      <c r="O1901">
        <v>12475.23</v>
      </c>
      <c r="P1901">
        <v>0</v>
      </c>
      <c r="Q1901">
        <v>12475.23</v>
      </c>
      <c r="R1901">
        <v>1996.04</v>
      </c>
      <c r="S1901">
        <v>499.01</v>
      </c>
      <c r="T1901">
        <v>13972.26</v>
      </c>
      <c r="U1901" t="s">
        <v>2075</v>
      </c>
      <c r="V1901" t="s">
        <v>9409</v>
      </c>
      <c r="W1901" t="s">
        <v>423</v>
      </c>
    </row>
    <row r="1902" spans="1:23" hidden="1" x14ac:dyDescent="0.2">
      <c r="A1902">
        <v>2012</v>
      </c>
      <c r="B1902" t="s">
        <v>303</v>
      </c>
      <c r="C1902" s="733">
        <v>40936</v>
      </c>
      <c r="D19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02" t="s">
        <v>485</v>
      </c>
      <c r="F1902" t="s">
        <v>2054</v>
      </c>
      <c r="G1902" t="s">
        <v>3998</v>
      </c>
      <c r="H1902">
        <v>10248</v>
      </c>
      <c r="I1902" t="s">
        <v>423</v>
      </c>
      <c r="J1902" t="s">
        <v>2072</v>
      </c>
      <c r="K1902" t="s">
        <v>2057</v>
      </c>
      <c r="L1902" t="s">
        <v>2058</v>
      </c>
      <c r="M1902">
        <v>406</v>
      </c>
      <c r="N1902">
        <v>45.55</v>
      </c>
      <c r="O1902">
        <v>12447.9</v>
      </c>
      <c r="P1902">
        <v>0</v>
      </c>
      <c r="Q1902">
        <v>12447.9</v>
      </c>
      <c r="R1902">
        <v>1991.66</v>
      </c>
      <c r="S1902">
        <v>497.92</v>
      </c>
      <c r="T1902">
        <v>13941.64</v>
      </c>
      <c r="U1902" t="s">
        <v>2075</v>
      </c>
      <c r="V1902" t="s">
        <v>9409</v>
      </c>
      <c r="W1902" t="s">
        <v>423</v>
      </c>
    </row>
    <row r="1903" spans="1:23" hidden="1" x14ac:dyDescent="0.2">
      <c r="A1903">
        <v>2012</v>
      </c>
      <c r="B1903" t="s">
        <v>304</v>
      </c>
      <c r="C1903" s="733">
        <v>40960</v>
      </c>
      <c r="D19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03" t="s">
        <v>505</v>
      </c>
      <c r="F1903" t="s">
        <v>1915</v>
      </c>
      <c r="G1903" t="s">
        <v>8333</v>
      </c>
      <c r="H1903">
        <v>22870</v>
      </c>
      <c r="I1903" t="s">
        <v>423</v>
      </c>
      <c r="J1903" t="s">
        <v>1943</v>
      </c>
      <c r="K1903" t="s">
        <v>1918</v>
      </c>
      <c r="L1903" t="s">
        <v>1919</v>
      </c>
      <c r="M1903">
        <v>319</v>
      </c>
      <c r="N1903">
        <v>54.16</v>
      </c>
      <c r="O1903">
        <v>15881.88</v>
      </c>
      <c r="P1903">
        <v>0</v>
      </c>
      <c r="Q1903">
        <v>15881.88</v>
      </c>
      <c r="R1903">
        <v>2541.1</v>
      </c>
      <c r="S1903">
        <v>635.28</v>
      </c>
      <c r="T1903">
        <v>17787.7</v>
      </c>
      <c r="U1903" t="s">
        <v>8491</v>
      </c>
      <c r="V1903" t="s">
        <v>9409</v>
      </c>
      <c r="W1903" t="s">
        <v>423</v>
      </c>
    </row>
    <row r="1904" spans="1:23" hidden="1" x14ac:dyDescent="0.2">
      <c r="A1904">
        <v>2012</v>
      </c>
      <c r="B1904" t="s">
        <v>304</v>
      </c>
      <c r="C1904" s="733">
        <v>40956</v>
      </c>
      <c r="D19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04" t="s">
        <v>485</v>
      </c>
      <c r="F1904" t="s">
        <v>2054</v>
      </c>
      <c r="G1904" t="s">
        <v>7835</v>
      </c>
      <c r="H1904">
        <v>10459</v>
      </c>
      <c r="I1904" t="s">
        <v>423</v>
      </c>
      <c r="J1904" t="s">
        <v>2072</v>
      </c>
      <c r="K1904" t="s">
        <v>2057</v>
      </c>
      <c r="L1904" t="s">
        <v>2058</v>
      </c>
      <c r="M1904">
        <v>406</v>
      </c>
      <c r="N1904">
        <v>23.6</v>
      </c>
      <c r="O1904">
        <v>6449.41</v>
      </c>
      <c r="P1904">
        <v>0</v>
      </c>
      <c r="Q1904">
        <v>6449.41</v>
      </c>
      <c r="R1904">
        <v>709.43</v>
      </c>
      <c r="S1904">
        <v>257.98</v>
      </c>
      <c r="T1904">
        <v>6900.86</v>
      </c>
      <c r="U1904" t="s">
        <v>8864</v>
      </c>
      <c r="V1904" t="s">
        <v>9409</v>
      </c>
      <c r="W1904" t="s">
        <v>423</v>
      </c>
    </row>
    <row r="1905" spans="1:23" hidden="1" x14ac:dyDescent="0.2">
      <c r="A1905">
        <v>2012</v>
      </c>
      <c r="B1905" t="s">
        <v>304</v>
      </c>
      <c r="C1905" s="733">
        <v>40966</v>
      </c>
      <c r="D19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05" t="s">
        <v>505</v>
      </c>
      <c r="F1905" t="s">
        <v>1915</v>
      </c>
      <c r="G1905" t="s">
        <v>8798</v>
      </c>
      <c r="H1905">
        <v>23046</v>
      </c>
      <c r="I1905" t="s">
        <v>424</v>
      </c>
      <c r="J1905" t="s">
        <v>1917</v>
      </c>
      <c r="K1905" t="s">
        <v>1918</v>
      </c>
      <c r="L1905" t="s">
        <v>1919</v>
      </c>
      <c r="M1905">
        <v>267</v>
      </c>
      <c r="N1905">
        <v>30</v>
      </c>
      <c r="O1905">
        <v>4613.7</v>
      </c>
      <c r="P1905">
        <v>0</v>
      </c>
      <c r="Q1905">
        <v>4613.7</v>
      </c>
      <c r="R1905">
        <v>738.19</v>
      </c>
      <c r="S1905">
        <v>184.55</v>
      </c>
      <c r="T1905">
        <v>5167.34</v>
      </c>
      <c r="U1905" t="s">
        <v>9415</v>
      </c>
      <c r="V1905" t="s">
        <v>9408</v>
      </c>
      <c r="W1905" t="s">
        <v>424</v>
      </c>
    </row>
    <row r="1906" spans="1:23" hidden="1" x14ac:dyDescent="0.2">
      <c r="A1906">
        <v>2012</v>
      </c>
      <c r="B1906" t="s">
        <v>305</v>
      </c>
      <c r="C1906" s="733">
        <v>40973</v>
      </c>
      <c r="D1906" s="733" t="str">
        <f>CHOOSE(MONTH(Tabla_sqldatos_bonampakdb_Bon_v_ingresos2012[[#This Row],[fecha_guia]]),"Enero","Febrero","Marzo","Abril","Mayo","Junio","Julio","Agosto","Septiembre","Octubre","Noviembre","Diciembre")</f>
        <v>Marzo</v>
      </c>
      <c r="E1906" t="s">
        <v>505</v>
      </c>
      <c r="F1906" t="s">
        <v>1915</v>
      </c>
      <c r="G1906" t="s">
        <v>9697</v>
      </c>
      <c r="H1906">
        <v>23157</v>
      </c>
      <c r="I1906" t="s">
        <v>1979</v>
      </c>
      <c r="J1906" t="s">
        <v>1917</v>
      </c>
      <c r="K1906" t="s">
        <v>1918</v>
      </c>
      <c r="L1906" t="s">
        <v>1919</v>
      </c>
      <c r="M1906">
        <v>267</v>
      </c>
      <c r="N1906">
        <v>50.22</v>
      </c>
      <c r="O1906">
        <v>11291.46</v>
      </c>
      <c r="P1906">
        <v>0</v>
      </c>
      <c r="Q1906">
        <v>11291.46</v>
      </c>
      <c r="R1906">
        <v>1806.63</v>
      </c>
      <c r="S1906">
        <v>451.66</v>
      </c>
      <c r="T1906">
        <v>12646.43</v>
      </c>
      <c r="V1906" t="s">
        <v>9409</v>
      </c>
      <c r="W1906" t="s">
        <v>1979</v>
      </c>
    </row>
    <row r="1907" spans="1:23" hidden="1" x14ac:dyDescent="0.2">
      <c r="A1907">
        <v>2012</v>
      </c>
      <c r="B1907" t="s">
        <v>303</v>
      </c>
      <c r="C1907" s="733">
        <v>40915</v>
      </c>
      <c r="D19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07" t="s">
        <v>505</v>
      </c>
      <c r="F1907" t="s">
        <v>1915</v>
      </c>
      <c r="G1907" t="s">
        <v>2591</v>
      </c>
      <c r="H1907">
        <v>21746</v>
      </c>
      <c r="I1907" t="s">
        <v>424</v>
      </c>
      <c r="J1907" t="s">
        <v>1917</v>
      </c>
      <c r="K1907" t="s">
        <v>1918</v>
      </c>
      <c r="L1907" t="s">
        <v>1919</v>
      </c>
      <c r="M1907">
        <v>267</v>
      </c>
      <c r="N1907">
        <v>30</v>
      </c>
      <c r="O1907">
        <v>2929.97</v>
      </c>
      <c r="P1907">
        <v>1683.8244589999999</v>
      </c>
      <c r="Q1907">
        <v>4613.7944589999997</v>
      </c>
      <c r="R1907">
        <v>738.20711300000005</v>
      </c>
      <c r="S1907">
        <v>184.55177800000001</v>
      </c>
      <c r="T1907">
        <v>5167.4497940000001</v>
      </c>
      <c r="U1907" t="s">
        <v>1920</v>
      </c>
      <c r="V1907" t="s">
        <v>9408</v>
      </c>
      <c r="W1907" t="s">
        <v>424</v>
      </c>
    </row>
    <row r="1908" spans="1:23" hidden="1" x14ac:dyDescent="0.2">
      <c r="A1908">
        <v>2012</v>
      </c>
      <c r="B1908" t="s">
        <v>303</v>
      </c>
      <c r="C1908" s="733">
        <v>40921</v>
      </c>
      <c r="D19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08" t="s">
        <v>505</v>
      </c>
      <c r="F1908" t="s">
        <v>1915</v>
      </c>
      <c r="G1908" t="s">
        <v>2592</v>
      </c>
      <c r="H1908">
        <v>21923</v>
      </c>
      <c r="I1908" t="s">
        <v>424</v>
      </c>
      <c r="J1908" t="s">
        <v>1917</v>
      </c>
      <c r="K1908" t="s">
        <v>1918</v>
      </c>
      <c r="L1908" t="s">
        <v>1919</v>
      </c>
      <c r="M1908">
        <v>267</v>
      </c>
      <c r="N1908">
        <v>30</v>
      </c>
      <c r="O1908">
        <v>2929.97</v>
      </c>
      <c r="P1908">
        <v>1683.8244589999999</v>
      </c>
      <c r="Q1908">
        <v>4613.7944589999997</v>
      </c>
      <c r="R1908">
        <v>738.20711300000005</v>
      </c>
      <c r="S1908">
        <v>184.55177800000001</v>
      </c>
      <c r="T1908">
        <v>5167.4497940000001</v>
      </c>
      <c r="U1908" t="s">
        <v>1931</v>
      </c>
      <c r="V1908" t="s">
        <v>9408</v>
      </c>
      <c r="W1908" t="s">
        <v>424</v>
      </c>
    </row>
    <row r="1909" spans="1:23" hidden="1" x14ac:dyDescent="0.2">
      <c r="A1909">
        <v>2012</v>
      </c>
      <c r="B1909" t="s">
        <v>304</v>
      </c>
      <c r="C1909" s="733">
        <v>40942</v>
      </c>
      <c r="D19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09" t="s">
        <v>505</v>
      </c>
      <c r="F1909" t="s">
        <v>2065</v>
      </c>
      <c r="G1909" t="s">
        <v>2611</v>
      </c>
      <c r="H1909">
        <v>22447</v>
      </c>
      <c r="I1909" t="s">
        <v>424</v>
      </c>
      <c r="J1909" t="s">
        <v>1954</v>
      </c>
      <c r="K1909" t="s">
        <v>1918</v>
      </c>
      <c r="L1909" t="s">
        <v>1919</v>
      </c>
      <c r="M1909">
        <v>303</v>
      </c>
      <c r="N1909">
        <v>30</v>
      </c>
      <c r="O1909">
        <v>2314.83</v>
      </c>
      <c r="P1909">
        <v>1330.309653</v>
      </c>
      <c r="Q1909">
        <v>3645.1396530000002</v>
      </c>
      <c r="R1909">
        <v>583.22234400000002</v>
      </c>
      <c r="S1909">
        <v>145.80558600000001</v>
      </c>
      <c r="T1909">
        <v>4082.556411</v>
      </c>
      <c r="U1909" t="s">
        <v>7529</v>
      </c>
      <c r="V1909" t="s">
        <v>9408</v>
      </c>
      <c r="W1909" t="s">
        <v>424</v>
      </c>
    </row>
    <row r="1910" spans="1:23" hidden="1" x14ac:dyDescent="0.2">
      <c r="A1910">
        <v>2012</v>
      </c>
      <c r="B1910" t="s">
        <v>303</v>
      </c>
      <c r="C1910" s="733">
        <v>40915</v>
      </c>
      <c r="D19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10" t="s">
        <v>505</v>
      </c>
      <c r="F1910" t="s">
        <v>1915</v>
      </c>
      <c r="G1910" t="s">
        <v>2609</v>
      </c>
      <c r="H1910">
        <v>21802</v>
      </c>
      <c r="I1910" t="s">
        <v>423</v>
      </c>
      <c r="J1910" t="s">
        <v>1954</v>
      </c>
      <c r="K1910" t="s">
        <v>1918</v>
      </c>
      <c r="L1910" t="s">
        <v>1919</v>
      </c>
      <c r="M1910">
        <v>303</v>
      </c>
      <c r="N1910">
        <v>25.94</v>
      </c>
      <c r="O1910">
        <v>3015.31</v>
      </c>
      <c r="P1910">
        <v>3394.9073760000001</v>
      </c>
      <c r="Q1910">
        <v>6410.2173759999996</v>
      </c>
      <c r="R1910">
        <v>1025.6347800000001</v>
      </c>
      <c r="S1910">
        <v>256.40869500000002</v>
      </c>
      <c r="T1910">
        <v>7179.4434609999998</v>
      </c>
      <c r="U1910" t="s">
        <v>1931</v>
      </c>
      <c r="V1910" t="s">
        <v>9408</v>
      </c>
      <c r="W1910" t="s">
        <v>423</v>
      </c>
    </row>
    <row r="1911" spans="1:23" hidden="1" x14ac:dyDescent="0.2">
      <c r="A1911">
        <v>2012</v>
      </c>
      <c r="B1911" t="s">
        <v>304</v>
      </c>
      <c r="C1911" s="733">
        <v>40963</v>
      </c>
      <c r="D19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11" t="s">
        <v>485</v>
      </c>
      <c r="F1911" t="s">
        <v>2065</v>
      </c>
      <c r="G1911" t="s">
        <v>8663</v>
      </c>
      <c r="H1911">
        <v>42539</v>
      </c>
      <c r="I1911" t="s">
        <v>423</v>
      </c>
      <c r="J1911" t="s">
        <v>3054</v>
      </c>
      <c r="K1911" t="s">
        <v>2183</v>
      </c>
      <c r="L1911" t="s">
        <v>2184</v>
      </c>
      <c r="M1911">
        <v>43</v>
      </c>
      <c r="N1911">
        <v>14.99</v>
      </c>
      <c r="O1911">
        <v>1691.92</v>
      </c>
      <c r="P1911">
        <v>0</v>
      </c>
      <c r="Q1911">
        <v>1691.92</v>
      </c>
      <c r="R1911">
        <v>270.70999999999998</v>
      </c>
      <c r="S1911">
        <v>67.680000000000007</v>
      </c>
      <c r="T1911">
        <v>1894.95</v>
      </c>
      <c r="U1911" t="s">
        <v>9411</v>
      </c>
      <c r="V1911" t="s">
        <v>9408</v>
      </c>
      <c r="W1911" t="s">
        <v>423</v>
      </c>
    </row>
    <row r="1912" spans="1:23" hidden="1" x14ac:dyDescent="0.2">
      <c r="A1912">
        <v>2012</v>
      </c>
      <c r="B1912" t="s">
        <v>304</v>
      </c>
      <c r="C1912" s="733">
        <v>40955</v>
      </c>
      <c r="D19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12" t="s">
        <v>478</v>
      </c>
      <c r="F1912" t="s">
        <v>3358</v>
      </c>
      <c r="G1912" t="s">
        <v>7960</v>
      </c>
      <c r="H1912">
        <v>35471</v>
      </c>
      <c r="I1912" t="s">
        <v>423</v>
      </c>
      <c r="J1912" t="s">
        <v>5024</v>
      </c>
      <c r="K1912" t="s">
        <v>4397</v>
      </c>
      <c r="L1912" t="s">
        <v>4398</v>
      </c>
      <c r="M1912">
        <v>770</v>
      </c>
      <c r="N1912">
        <v>20.54</v>
      </c>
      <c r="O1912">
        <v>6782.31</v>
      </c>
      <c r="P1912">
        <v>0</v>
      </c>
      <c r="Q1912">
        <v>6782.31</v>
      </c>
      <c r="R1912">
        <v>1085.17</v>
      </c>
      <c r="S1912">
        <v>271.29000000000002</v>
      </c>
      <c r="T1912">
        <v>7596.19</v>
      </c>
      <c r="U1912" t="s">
        <v>7540</v>
      </c>
      <c r="V1912" t="s">
        <v>9408</v>
      </c>
      <c r="W1912" t="s">
        <v>423</v>
      </c>
    </row>
    <row r="1913" spans="1:23" hidden="1" x14ac:dyDescent="0.2">
      <c r="A1913">
        <v>2012</v>
      </c>
      <c r="B1913" t="s">
        <v>305</v>
      </c>
      <c r="C1913" s="733">
        <v>40969.504004629627</v>
      </c>
      <c r="D1913" s="733" t="str">
        <f>CHOOSE(MONTH(Tabla_sqldatos_bonampakdb_Bon_v_ingresos2012[[#This Row],[fecha_guia]]),"Enero","Febrero","Marzo","Abril","Mayo","Junio","Julio","Agosto","Septiembre","Octubre","Noviembre","Diciembre")</f>
        <v>Marzo</v>
      </c>
      <c r="E1913" t="s">
        <v>485</v>
      </c>
      <c r="F1913" t="s">
        <v>2054</v>
      </c>
      <c r="G1913" t="s">
        <v>9453</v>
      </c>
      <c r="H1913">
        <v>10618</v>
      </c>
      <c r="I1913" t="s">
        <v>423</v>
      </c>
      <c r="J1913" t="s">
        <v>2072</v>
      </c>
      <c r="K1913" t="s">
        <v>2057</v>
      </c>
      <c r="L1913" t="s">
        <v>2058</v>
      </c>
      <c r="M1913">
        <v>406</v>
      </c>
      <c r="N1913">
        <v>22.7</v>
      </c>
      <c r="O1913">
        <v>6203.46</v>
      </c>
      <c r="P1913">
        <v>0</v>
      </c>
      <c r="Q1913">
        <v>6203.46</v>
      </c>
      <c r="R1913">
        <v>682.38</v>
      </c>
      <c r="S1913">
        <v>248.14</v>
      </c>
      <c r="T1913">
        <v>6637.7</v>
      </c>
      <c r="V1913" t="s">
        <v>9409</v>
      </c>
      <c r="W1913" t="s">
        <v>423</v>
      </c>
    </row>
    <row r="1914" spans="1:23" hidden="1" x14ac:dyDescent="0.2">
      <c r="A1914">
        <v>2012</v>
      </c>
      <c r="B1914" t="s">
        <v>304</v>
      </c>
      <c r="C1914" s="733">
        <v>40942.715671296297</v>
      </c>
      <c r="D19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14" t="s">
        <v>485</v>
      </c>
      <c r="F1914" t="s">
        <v>2054</v>
      </c>
      <c r="G1914" t="s">
        <v>3610</v>
      </c>
      <c r="H1914">
        <v>10303</v>
      </c>
      <c r="I1914" t="s">
        <v>423</v>
      </c>
      <c r="J1914" t="s">
        <v>2072</v>
      </c>
      <c r="K1914" t="s">
        <v>2057</v>
      </c>
      <c r="L1914" t="s">
        <v>2058</v>
      </c>
      <c r="M1914">
        <v>406</v>
      </c>
      <c r="N1914">
        <v>29.83</v>
      </c>
      <c r="O1914">
        <v>8151.94</v>
      </c>
      <c r="P1914">
        <v>0</v>
      </c>
      <c r="Q1914">
        <v>8151.94</v>
      </c>
      <c r="R1914">
        <v>1304.31</v>
      </c>
      <c r="S1914">
        <v>326.08</v>
      </c>
      <c r="T1914">
        <v>9130.17</v>
      </c>
      <c r="U1914" t="s">
        <v>2075</v>
      </c>
      <c r="V1914" t="s">
        <v>9408</v>
      </c>
      <c r="W1914" t="s">
        <v>423</v>
      </c>
    </row>
    <row r="1915" spans="1:23" hidden="1" x14ac:dyDescent="0.2">
      <c r="A1915">
        <v>2012</v>
      </c>
      <c r="B1915" t="s">
        <v>304</v>
      </c>
      <c r="C1915" s="733">
        <v>40943</v>
      </c>
      <c r="D19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15" t="s">
        <v>485</v>
      </c>
      <c r="F1915" t="s">
        <v>2054</v>
      </c>
      <c r="G1915" t="s">
        <v>3621</v>
      </c>
      <c r="H1915">
        <v>10312</v>
      </c>
      <c r="I1915" t="s">
        <v>423</v>
      </c>
      <c r="J1915" t="s">
        <v>2072</v>
      </c>
      <c r="K1915" t="s">
        <v>2057</v>
      </c>
      <c r="L1915" t="s">
        <v>2058</v>
      </c>
      <c r="M1915">
        <v>406</v>
      </c>
      <c r="N1915">
        <v>46.98</v>
      </c>
      <c r="O1915">
        <v>12838.69</v>
      </c>
      <c r="P1915">
        <v>0</v>
      </c>
      <c r="Q1915">
        <v>12838.69</v>
      </c>
      <c r="R1915">
        <v>2054.19</v>
      </c>
      <c r="S1915">
        <v>513.54999999999995</v>
      </c>
      <c r="T1915">
        <v>14379.33</v>
      </c>
      <c r="U1915" t="s">
        <v>2075</v>
      </c>
      <c r="V1915" t="s">
        <v>9409</v>
      </c>
      <c r="W1915" t="s">
        <v>423</v>
      </c>
    </row>
    <row r="1916" spans="1:23" hidden="1" x14ac:dyDescent="0.2">
      <c r="A1916">
        <v>2012</v>
      </c>
      <c r="B1916" t="s">
        <v>303</v>
      </c>
      <c r="C1916" s="733">
        <v>40938.557650462964</v>
      </c>
      <c r="D19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16" t="s">
        <v>485</v>
      </c>
      <c r="F1916" t="s">
        <v>2054</v>
      </c>
      <c r="G1916" t="s">
        <v>3622</v>
      </c>
      <c r="H1916">
        <v>10256</v>
      </c>
      <c r="I1916" t="s">
        <v>423</v>
      </c>
      <c r="J1916" t="s">
        <v>2072</v>
      </c>
      <c r="K1916" t="s">
        <v>2057</v>
      </c>
      <c r="L1916" t="s">
        <v>2058</v>
      </c>
      <c r="M1916">
        <v>406</v>
      </c>
      <c r="N1916">
        <v>47.36</v>
      </c>
      <c r="O1916">
        <v>12942.54</v>
      </c>
      <c r="P1916">
        <v>0</v>
      </c>
      <c r="Q1916">
        <v>12942.54</v>
      </c>
      <c r="R1916">
        <v>2070.81</v>
      </c>
      <c r="S1916">
        <v>517.70000000000005</v>
      </c>
      <c r="T1916">
        <v>14495.65</v>
      </c>
      <c r="U1916" t="s">
        <v>2075</v>
      </c>
      <c r="V1916" t="s">
        <v>9409</v>
      </c>
      <c r="W1916" t="s">
        <v>423</v>
      </c>
    </row>
    <row r="1917" spans="1:23" hidden="1" x14ac:dyDescent="0.2">
      <c r="A1917">
        <v>2012</v>
      </c>
      <c r="B1917" t="s">
        <v>303</v>
      </c>
      <c r="C1917" s="733">
        <v>40939</v>
      </c>
      <c r="D19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17" t="s">
        <v>485</v>
      </c>
      <c r="F1917" t="s">
        <v>2054</v>
      </c>
      <c r="G1917" t="s">
        <v>3626</v>
      </c>
      <c r="H1917">
        <v>10002</v>
      </c>
      <c r="I1917" t="s">
        <v>423</v>
      </c>
      <c r="J1917" t="s">
        <v>2072</v>
      </c>
      <c r="K1917" t="s">
        <v>2057</v>
      </c>
      <c r="L1917" t="s">
        <v>2058</v>
      </c>
      <c r="M1917">
        <v>406</v>
      </c>
      <c r="N1917">
        <v>48.06</v>
      </c>
      <c r="O1917">
        <v>13133.84</v>
      </c>
      <c r="P1917">
        <v>0</v>
      </c>
      <c r="Q1917">
        <v>13133.84</v>
      </c>
      <c r="R1917">
        <v>2101.41</v>
      </c>
      <c r="S1917">
        <v>525.35</v>
      </c>
      <c r="T1917">
        <v>14709.9</v>
      </c>
      <c r="U1917" t="s">
        <v>2073</v>
      </c>
      <c r="V1917" t="s">
        <v>9409</v>
      </c>
      <c r="W1917" t="s">
        <v>423</v>
      </c>
    </row>
    <row r="1918" spans="1:23" hidden="1" x14ac:dyDescent="0.2">
      <c r="A1918">
        <v>2012</v>
      </c>
      <c r="B1918" t="s">
        <v>304</v>
      </c>
      <c r="C1918" s="733">
        <v>40942.722581018519</v>
      </c>
      <c r="D19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18" t="s">
        <v>485</v>
      </c>
      <c r="F1918" t="s">
        <v>2054</v>
      </c>
      <c r="G1918" t="s">
        <v>4960</v>
      </c>
      <c r="H1918">
        <v>10300</v>
      </c>
      <c r="I1918" t="s">
        <v>423</v>
      </c>
      <c r="J1918" t="s">
        <v>2072</v>
      </c>
      <c r="K1918" t="s">
        <v>2057</v>
      </c>
      <c r="L1918" t="s">
        <v>2058</v>
      </c>
      <c r="M1918">
        <v>406</v>
      </c>
      <c r="N1918">
        <v>31.01</v>
      </c>
      <c r="O1918">
        <v>8474.41</v>
      </c>
      <c r="P1918">
        <v>0</v>
      </c>
      <c r="Q1918">
        <v>8474.41</v>
      </c>
      <c r="R1918">
        <v>1355.91</v>
      </c>
      <c r="S1918">
        <v>338.98</v>
      </c>
      <c r="T1918">
        <v>9491.34</v>
      </c>
      <c r="U1918" t="s">
        <v>2075</v>
      </c>
      <c r="V1918" t="s">
        <v>9408</v>
      </c>
      <c r="W1918" t="s">
        <v>423</v>
      </c>
    </row>
    <row r="1919" spans="1:23" hidden="1" x14ac:dyDescent="0.2">
      <c r="A1919">
        <v>2012</v>
      </c>
      <c r="B1919" t="s">
        <v>304</v>
      </c>
      <c r="C1919" s="733">
        <v>40948.602430555555</v>
      </c>
      <c r="D19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19" t="s">
        <v>485</v>
      </c>
      <c r="F1919" t="s">
        <v>2054</v>
      </c>
      <c r="G1919" t="s">
        <v>3926</v>
      </c>
      <c r="H1919">
        <v>10355</v>
      </c>
      <c r="I1919" t="s">
        <v>423</v>
      </c>
      <c r="J1919" t="s">
        <v>2072</v>
      </c>
      <c r="K1919" t="s">
        <v>2057</v>
      </c>
      <c r="L1919" t="s">
        <v>2058</v>
      </c>
      <c r="M1919">
        <v>406</v>
      </c>
      <c r="N1919">
        <v>46.69</v>
      </c>
      <c r="O1919">
        <v>12759.44</v>
      </c>
      <c r="P1919">
        <v>0</v>
      </c>
      <c r="Q1919">
        <v>12759.44</v>
      </c>
      <c r="R1919">
        <v>1403.54</v>
      </c>
      <c r="S1919">
        <v>510.38</v>
      </c>
      <c r="T1919">
        <v>13652.6</v>
      </c>
      <c r="U1919" t="s">
        <v>2082</v>
      </c>
      <c r="V1919" t="s">
        <v>9409</v>
      </c>
      <c r="W1919" t="s">
        <v>423</v>
      </c>
    </row>
    <row r="1920" spans="1:23" hidden="1" x14ac:dyDescent="0.2">
      <c r="A1920">
        <v>2012</v>
      </c>
      <c r="B1920" t="s">
        <v>304</v>
      </c>
      <c r="C1920" s="733">
        <v>40954</v>
      </c>
      <c r="D19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20" t="s">
        <v>505</v>
      </c>
      <c r="F1920" t="s">
        <v>1915</v>
      </c>
      <c r="G1920" t="s">
        <v>7489</v>
      </c>
      <c r="H1920">
        <v>22693</v>
      </c>
      <c r="I1920" t="s">
        <v>423</v>
      </c>
      <c r="J1920" t="s">
        <v>1943</v>
      </c>
      <c r="K1920" t="s">
        <v>1918</v>
      </c>
      <c r="L1920" t="s">
        <v>1919</v>
      </c>
      <c r="M1920">
        <v>319</v>
      </c>
      <c r="N1920">
        <v>53.92</v>
      </c>
      <c r="O1920">
        <v>15811.5</v>
      </c>
      <c r="P1920">
        <v>0</v>
      </c>
      <c r="Q1920">
        <v>15811.5</v>
      </c>
      <c r="R1920">
        <v>2529.84</v>
      </c>
      <c r="S1920">
        <v>632.46</v>
      </c>
      <c r="T1920">
        <v>17708.88</v>
      </c>
      <c r="U1920" t="s">
        <v>7529</v>
      </c>
      <c r="V1920" t="s">
        <v>9409</v>
      </c>
      <c r="W1920" t="s">
        <v>423</v>
      </c>
    </row>
    <row r="1921" spans="1:23" hidden="1" x14ac:dyDescent="0.2">
      <c r="A1921">
        <v>2012</v>
      </c>
      <c r="B1921" t="s">
        <v>303</v>
      </c>
      <c r="C1921" s="733">
        <v>40927</v>
      </c>
      <c r="D19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21" t="s">
        <v>505</v>
      </c>
      <c r="F1921" t="s">
        <v>1915</v>
      </c>
      <c r="G1921" t="s">
        <v>5595</v>
      </c>
      <c r="H1921">
        <v>22101</v>
      </c>
      <c r="I1921" t="s">
        <v>423</v>
      </c>
      <c r="J1921" t="s">
        <v>1943</v>
      </c>
      <c r="K1921" t="s">
        <v>1918</v>
      </c>
      <c r="L1921" t="s">
        <v>1919</v>
      </c>
      <c r="M1921">
        <v>319</v>
      </c>
      <c r="N1921">
        <v>28.13</v>
      </c>
      <c r="O1921">
        <v>8248.84</v>
      </c>
      <c r="P1921">
        <v>0</v>
      </c>
      <c r="Q1921">
        <v>8248.84</v>
      </c>
      <c r="R1921">
        <v>1319.81</v>
      </c>
      <c r="S1921">
        <v>329.95</v>
      </c>
      <c r="T1921">
        <v>9238.7000000000007</v>
      </c>
      <c r="U1921" t="s">
        <v>1936</v>
      </c>
      <c r="V1921" t="s">
        <v>9408</v>
      </c>
      <c r="W1921" t="s">
        <v>423</v>
      </c>
    </row>
    <row r="1922" spans="1:23" hidden="1" x14ac:dyDescent="0.2">
      <c r="A1922">
        <v>2012</v>
      </c>
      <c r="B1922" t="s">
        <v>304</v>
      </c>
      <c r="C1922" s="733">
        <v>40953.563900462963</v>
      </c>
      <c r="D19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22" t="s">
        <v>485</v>
      </c>
      <c r="F1922" t="s">
        <v>2054</v>
      </c>
      <c r="G1922" t="s">
        <v>4950</v>
      </c>
      <c r="H1922">
        <v>10430</v>
      </c>
      <c r="I1922" t="s">
        <v>423</v>
      </c>
      <c r="J1922" t="s">
        <v>2072</v>
      </c>
      <c r="K1922" t="s">
        <v>2057</v>
      </c>
      <c r="L1922" t="s">
        <v>2058</v>
      </c>
      <c r="M1922">
        <v>406</v>
      </c>
      <c r="N1922">
        <v>24.24</v>
      </c>
      <c r="O1922">
        <v>6624.31</v>
      </c>
      <c r="P1922">
        <v>0</v>
      </c>
      <c r="Q1922">
        <v>6624.31</v>
      </c>
      <c r="R1922">
        <v>728.67</v>
      </c>
      <c r="S1922">
        <v>264.97000000000003</v>
      </c>
      <c r="T1922">
        <v>7088.01</v>
      </c>
      <c r="U1922" t="s">
        <v>8047</v>
      </c>
      <c r="V1922" t="s">
        <v>9408</v>
      </c>
      <c r="W1922" t="s">
        <v>423</v>
      </c>
    </row>
    <row r="1923" spans="1:23" hidden="1" x14ac:dyDescent="0.2">
      <c r="A1923">
        <v>2012</v>
      </c>
      <c r="B1923" t="s">
        <v>303</v>
      </c>
      <c r="C1923" s="733">
        <v>40939</v>
      </c>
      <c r="D19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23" t="s">
        <v>485</v>
      </c>
      <c r="F1923" t="s">
        <v>2054</v>
      </c>
      <c r="G1923" t="s">
        <v>4948</v>
      </c>
      <c r="H1923">
        <v>9951</v>
      </c>
      <c r="I1923" t="s">
        <v>423</v>
      </c>
      <c r="J1923" t="s">
        <v>2072</v>
      </c>
      <c r="K1923" t="s">
        <v>2057</v>
      </c>
      <c r="L1923" t="s">
        <v>2058</v>
      </c>
      <c r="M1923">
        <v>406</v>
      </c>
      <c r="N1923">
        <v>31.01</v>
      </c>
      <c r="O1923">
        <v>8474.41</v>
      </c>
      <c r="P1923">
        <v>0</v>
      </c>
      <c r="Q1923">
        <v>8474.41</v>
      </c>
      <c r="R1923">
        <v>1355.91</v>
      </c>
      <c r="S1923">
        <v>338.98</v>
      </c>
      <c r="T1923">
        <v>9491.34</v>
      </c>
      <c r="U1923" t="s">
        <v>2073</v>
      </c>
      <c r="V1923" t="s">
        <v>9408</v>
      </c>
      <c r="W1923" t="s">
        <v>423</v>
      </c>
    </row>
    <row r="1924" spans="1:23" hidden="1" x14ac:dyDescent="0.2">
      <c r="A1924">
        <v>2012</v>
      </c>
      <c r="B1924" t="s">
        <v>303</v>
      </c>
      <c r="C1924" s="733">
        <v>40933.487974537034</v>
      </c>
      <c r="D19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24" t="s">
        <v>485</v>
      </c>
      <c r="F1924" t="s">
        <v>2054</v>
      </c>
      <c r="G1924" t="s">
        <v>4949</v>
      </c>
      <c r="H1924">
        <v>10198</v>
      </c>
      <c r="I1924" t="s">
        <v>423</v>
      </c>
      <c r="J1924" t="s">
        <v>2072</v>
      </c>
      <c r="K1924" t="s">
        <v>2057</v>
      </c>
      <c r="L1924" t="s">
        <v>2058</v>
      </c>
      <c r="M1924">
        <v>406</v>
      </c>
      <c r="N1924">
        <v>44.73</v>
      </c>
      <c r="O1924">
        <v>12223.81</v>
      </c>
      <c r="P1924">
        <v>0</v>
      </c>
      <c r="Q1924">
        <v>12223.81</v>
      </c>
      <c r="R1924">
        <v>1955.81</v>
      </c>
      <c r="S1924">
        <v>488.95</v>
      </c>
      <c r="T1924">
        <v>13690.67</v>
      </c>
      <c r="U1924" t="s">
        <v>2073</v>
      </c>
      <c r="V1924" t="s">
        <v>9409</v>
      </c>
      <c r="W1924" t="s">
        <v>423</v>
      </c>
    </row>
    <row r="1925" spans="1:23" hidden="1" x14ac:dyDescent="0.2">
      <c r="A1925">
        <v>2012</v>
      </c>
      <c r="B1925" t="s">
        <v>304</v>
      </c>
      <c r="C1925" s="733">
        <v>40964</v>
      </c>
      <c r="D19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25" t="s">
        <v>485</v>
      </c>
      <c r="F1925" t="s">
        <v>2054</v>
      </c>
      <c r="G1925" t="s">
        <v>8720</v>
      </c>
      <c r="H1925">
        <v>10540</v>
      </c>
      <c r="I1925" t="s">
        <v>423</v>
      </c>
      <c r="J1925" t="s">
        <v>2072</v>
      </c>
      <c r="K1925" t="s">
        <v>2057</v>
      </c>
      <c r="L1925" t="s">
        <v>2058</v>
      </c>
      <c r="M1925">
        <v>406</v>
      </c>
      <c r="N1925">
        <v>21.98</v>
      </c>
      <c r="O1925">
        <v>6006.69</v>
      </c>
      <c r="P1925">
        <v>0</v>
      </c>
      <c r="Q1925">
        <v>6006.69</v>
      </c>
      <c r="R1925">
        <v>660.74</v>
      </c>
      <c r="S1925">
        <v>240.27</v>
      </c>
      <c r="T1925">
        <v>6427.16</v>
      </c>
      <c r="U1925" t="s">
        <v>8864</v>
      </c>
      <c r="V1925" t="s">
        <v>9409</v>
      </c>
      <c r="W1925" t="s">
        <v>423</v>
      </c>
    </row>
    <row r="1926" spans="1:23" hidden="1" x14ac:dyDescent="0.2">
      <c r="A1926">
        <v>2012</v>
      </c>
      <c r="B1926" t="s">
        <v>304</v>
      </c>
      <c r="C1926" s="733">
        <v>40954.459687499999</v>
      </c>
      <c r="D19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26" t="s">
        <v>485</v>
      </c>
      <c r="F1926" t="s">
        <v>2054</v>
      </c>
      <c r="G1926" t="s">
        <v>7865</v>
      </c>
      <c r="H1926">
        <v>10439</v>
      </c>
      <c r="I1926" t="s">
        <v>423</v>
      </c>
      <c r="J1926" t="s">
        <v>2072</v>
      </c>
      <c r="K1926" t="s">
        <v>2057</v>
      </c>
      <c r="L1926" t="s">
        <v>2058</v>
      </c>
      <c r="M1926">
        <v>406</v>
      </c>
      <c r="N1926">
        <v>47.05</v>
      </c>
      <c r="O1926">
        <v>12857.82</v>
      </c>
      <c r="P1926">
        <v>0</v>
      </c>
      <c r="Q1926">
        <v>12857.82</v>
      </c>
      <c r="R1926">
        <v>1414.36</v>
      </c>
      <c r="S1926">
        <v>514.30999999999995</v>
      </c>
      <c r="T1926">
        <v>13757.87</v>
      </c>
      <c r="U1926" t="s">
        <v>8047</v>
      </c>
      <c r="V1926" t="s">
        <v>9409</v>
      </c>
      <c r="W1926" t="s">
        <v>423</v>
      </c>
    </row>
    <row r="1927" spans="1:23" hidden="1" x14ac:dyDescent="0.2">
      <c r="A1927">
        <v>2012</v>
      </c>
      <c r="B1927" t="s">
        <v>304</v>
      </c>
      <c r="C1927" s="733">
        <v>40961</v>
      </c>
      <c r="D19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27" t="s">
        <v>485</v>
      </c>
      <c r="F1927" t="s">
        <v>2054</v>
      </c>
      <c r="G1927" t="s">
        <v>8278</v>
      </c>
      <c r="H1927">
        <v>10505</v>
      </c>
      <c r="I1927" t="s">
        <v>423</v>
      </c>
      <c r="J1927" t="s">
        <v>2072</v>
      </c>
      <c r="K1927" t="s">
        <v>2057</v>
      </c>
      <c r="L1927" t="s">
        <v>2058</v>
      </c>
      <c r="M1927">
        <v>406</v>
      </c>
      <c r="N1927">
        <v>46.39</v>
      </c>
      <c r="O1927">
        <v>12677.46</v>
      </c>
      <c r="P1927">
        <v>0</v>
      </c>
      <c r="Q1927">
        <v>12677.46</v>
      </c>
      <c r="R1927">
        <v>1394.52</v>
      </c>
      <c r="S1927">
        <v>507.1</v>
      </c>
      <c r="T1927">
        <v>13564.88</v>
      </c>
      <c r="U1927" t="s">
        <v>8864</v>
      </c>
      <c r="V1927" t="s">
        <v>9409</v>
      </c>
      <c r="W1927" t="s">
        <v>423</v>
      </c>
    </row>
    <row r="1928" spans="1:23" hidden="1" x14ac:dyDescent="0.2">
      <c r="A1928">
        <v>2012</v>
      </c>
      <c r="B1928" t="s">
        <v>303</v>
      </c>
      <c r="C1928" s="733">
        <v>40921</v>
      </c>
      <c r="D19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28" t="s">
        <v>485</v>
      </c>
      <c r="F1928" t="s">
        <v>2054</v>
      </c>
      <c r="G1928" t="s">
        <v>3620</v>
      </c>
      <c r="H1928">
        <v>10015</v>
      </c>
      <c r="I1928" t="s">
        <v>423</v>
      </c>
      <c r="J1928" t="s">
        <v>2072</v>
      </c>
      <c r="K1928" t="s">
        <v>2057</v>
      </c>
      <c r="L1928" t="s">
        <v>2058</v>
      </c>
      <c r="M1928">
        <v>406</v>
      </c>
      <c r="N1928">
        <v>46.09</v>
      </c>
      <c r="O1928">
        <v>12595.48</v>
      </c>
      <c r="P1928">
        <v>0</v>
      </c>
      <c r="Q1928">
        <v>12595.48</v>
      </c>
      <c r="R1928">
        <v>2015.28</v>
      </c>
      <c r="S1928">
        <v>503.82</v>
      </c>
      <c r="T1928">
        <v>14106.94</v>
      </c>
      <c r="U1928" t="s">
        <v>2059</v>
      </c>
      <c r="V1928" t="s">
        <v>9409</v>
      </c>
      <c r="W1928" t="s">
        <v>423</v>
      </c>
    </row>
    <row r="1929" spans="1:23" hidden="1" x14ac:dyDescent="0.2">
      <c r="A1929">
        <v>2012</v>
      </c>
      <c r="B1929" t="s">
        <v>303</v>
      </c>
      <c r="C1929" s="733">
        <v>40919</v>
      </c>
      <c r="D19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29" t="s">
        <v>485</v>
      </c>
      <c r="F1929" t="s">
        <v>2054</v>
      </c>
      <c r="G1929" t="s">
        <v>3609</v>
      </c>
      <c r="H1929">
        <v>10012</v>
      </c>
      <c r="I1929" t="s">
        <v>423</v>
      </c>
      <c r="J1929" t="s">
        <v>2072</v>
      </c>
      <c r="K1929" t="s">
        <v>2057</v>
      </c>
      <c r="L1929" t="s">
        <v>2058</v>
      </c>
      <c r="M1929">
        <v>406</v>
      </c>
      <c r="N1929">
        <v>47.11</v>
      </c>
      <c r="O1929">
        <v>12874.22</v>
      </c>
      <c r="P1929">
        <v>0</v>
      </c>
      <c r="Q1929">
        <v>12874.22</v>
      </c>
      <c r="R1929">
        <v>2059.88</v>
      </c>
      <c r="S1929">
        <v>514.97</v>
      </c>
      <c r="T1929">
        <v>14419.13</v>
      </c>
      <c r="U1929" t="s">
        <v>2070</v>
      </c>
      <c r="V1929" t="s">
        <v>9409</v>
      </c>
      <c r="W1929" t="s">
        <v>423</v>
      </c>
    </row>
    <row r="1930" spans="1:23" hidden="1" x14ac:dyDescent="0.2">
      <c r="A1930">
        <v>2012</v>
      </c>
      <c r="B1930" t="s">
        <v>303</v>
      </c>
      <c r="C1930" s="733">
        <v>40919</v>
      </c>
      <c r="D19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30" t="s">
        <v>485</v>
      </c>
      <c r="F1930" t="s">
        <v>2054</v>
      </c>
      <c r="G1930" t="s">
        <v>3608</v>
      </c>
      <c r="H1930">
        <v>10004</v>
      </c>
      <c r="I1930" t="s">
        <v>423</v>
      </c>
      <c r="J1930" t="s">
        <v>2072</v>
      </c>
      <c r="K1930" t="s">
        <v>2057</v>
      </c>
      <c r="L1930" t="s">
        <v>2058</v>
      </c>
      <c r="M1930">
        <v>406</v>
      </c>
      <c r="N1930">
        <v>24.03</v>
      </c>
      <c r="O1930">
        <v>6566.92</v>
      </c>
      <c r="P1930">
        <v>0</v>
      </c>
      <c r="Q1930">
        <v>6566.92</v>
      </c>
      <c r="R1930">
        <v>1050.71</v>
      </c>
      <c r="S1930">
        <v>262.68</v>
      </c>
      <c r="T1930">
        <v>7354.95</v>
      </c>
      <c r="U1930" t="s">
        <v>2070</v>
      </c>
      <c r="V1930" t="s">
        <v>9409</v>
      </c>
      <c r="W1930" t="s">
        <v>423</v>
      </c>
    </row>
    <row r="1931" spans="1:23" x14ac:dyDescent="0.2">
      <c r="A1931">
        <v>2012</v>
      </c>
      <c r="B1931" t="s">
        <v>304</v>
      </c>
      <c r="C1931" s="733">
        <v>40967</v>
      </c>
      <c r="D19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31" t="s">
        <v>485</v>
      </c>
      <c r="F1931" t="s">
        <v>2065</v>
      </c>
      <c r="G1931" t="s">
        <v>9037</v>
      </c>
      <c r="H1931">
        <v>42346</v>
      </c>
      <c r="I1931" t="s">
        <v>423</v>
      </c>
      <c r="J1931" t="s">
        <v>4091</v>
      </c>
      <c r="K1931" t="s">
        <v>2051</v>
      </c>
      <c r="L1931" t="s">
        <v>2052</v>
      </c>
      <c r="M1931">
        <v>1092</v>
      </c>
      <c r="N1931">
        <v>50.95</v>
      </c>
      <c r="O1931">
        <v>29729.32</v>
      </c>
      <c r="P1931">
        <v>0</v>
      </c>
      <c r="Q1931">
        <v>29729.32</v>
      </c>
      <c r="R1931">
        <v>4756.6899999999996</v>
      </c>
      <c r="S1931">
        <v>1189.17</v>
      </c>
      <c r="T1931">
        <v>33296.839999999997</v>
      </c>
      <c r="U1931" t="s">
        <v>8780</v>
      </c>
      <c r="V1931" t="s">
        <v>9409</v>
      </c>
      <c r="W1931" t="s">
        <v>423</v>
      </c>
    </row>
    <row r="1932" spans="1:23" hidden="1" x14ac:dyDescent="0.2">
      <c r="A1932">
        <v>2012</v>
      </c>
      <c r="B1932" t="s">
        <v>304</v>
      </c>
      <c r="C1932" s="733">
        <v>40956</v>
      </c>
      <c r="D19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32" t="s">
        <v>485</v>
      </c>
      <c r="F1932" t="s">
        <v>2048</v>
      </c>
      <c r="G1932" t="s">
        <v>8008</v>
      </c>
      <c r="H1932">
        <v>42158</v>
      </c>
      <c r="I1932" t="s">
        <v>423</v>
      </c>
      <c r="J1932" t="s">
        <v>2171</v>
      </c>
      <c r="K1932" t="s">
        <v>2051</v>
      </c>
      <c r="L1932" t="s">
        <v>2052</v>
      </c>
      <c r="M1932">
        <v>57</v>
      </c>
      <c r="N1932">
        <v>29.8</v>
      </c>
      <c r="O1932">
        <v>4181.24</v>
      </c>
      <c r="P1932">
        <v>0</v>
      </c>
      <c r="Q1932">
        <v>4181.24</v>
      </c>
      <c r="R1932">
        <v>669</v>
      </c>
      <c r="S1932">
        <v>167.25</v>
      </c>
      <c r="T1932">
        <v>4682.99</v>
      </c>
      <c r="U1932" t="s">
        <v>8257</v>
      </c>
      <c r="V1932" t="s">
        <v>9408</v>
      </c>
      <c r="W1932" t="s">
        <v>423</v>
      </c>
    </row>
    <row r="1933" spans="1:23" hidden="1" x14ac:dyDescent="0.2">
      <c r="A1933">
        <v>2012</v>
      </c>
      <c r="B1933" t="s">
        <v>303</v>
      </c>
      <c r="C1933" s="733">
        <v>40939</v>
      </c>
      <c r="D19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33" t="s">
        <v>485</v>
      </c>
      <c r="F1933" t="s">
        <v>2054</v>
      </c>
      <c r="G1933" t="s">
        <v>5678</v>
      </c>
      <c r="H1933">
        <v>10032</v>
      </c>
      <c r="I1933" t="s">
        <v>423</v>
      </c>
      <c r="J1933" t="s">
        <v>4045</v>
      </c>
      <c r="K1933" t="s">
        <v>2057</v>
      </c>
      <c r="L1933" t="s">
        <v>2058</v>
      </c>
      <c r="M1933">
        <v>0</v>
      </c>
      <c r="N1933">
        <v>23.22</v>
      </c>
      <c r="O1933">
        <v>2620.84</v>
      </c>
      <c r="P1933">
        <v>0</v>
      </c>
      <c r="Q1933">
        <v>2620.84</v>
      </c>
      <c r="R1933">
        <v>419.33</v>
      </c>
      <c r="S1933">
        <v>104.83</v>
      </c>
      <c r="T1933">
        <v>2935.34</v>
      </c>
      <c r="U1933" t="s">
        <v>2073</v>
      </c>
      <c r="V1933" t="s">
        <v>9408</v>
      </c>
      <c r="W1933" t="s">
        <v>423</v>
      </c>
    </row>
    <row r="1934" spans="1:23" hidden="1" x14ac:dyDescent="0.2">
      <c r="A1934">
        <v>2012</v>
      </c>
      <c r="B1934" t="s">
        <v>303</v>
      </c>
      <c r="C1934" s="733">
        <v>40939</v>
      </c>
      <c r="D19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34" t="s">
        <v>485</v>
      </c>
      <c r="F1934" t="s">
        <v>2054</v>
      </c>
      <c r="G1934" t="s">
        <v>6119</v>
      </c>
      <c r="H1934">
        <v>10041</v>
      </c>
      <c r="I1934" t="s">
        <v>423</v>
      </c>
      <c r="J1934" t="s">
        <v>4045</v>
      </c>
      <c r="K1934" t="s">
        <v>2057</v>
      </c>
      <c r="L1934" t="s">
        <v>2058</v>
      </c>
      <c r="M1934">
        <v>0</v>
      </c>
      <c r="N1934">
        <v>23.32</v>
      </c>
      <c r="O1934">
        <v>2632.13</v>
      </c>
      <c r="P1934">
        <v>0</v>
      </c>
      <c r="Q1934">
        <v>2632.13</v>
      </c>
      <c r="R1934">
        <v>421.14</v>
      </c>
      <c r="S1934">
        <v>105.29</v>
      </c>
      <c r="T1934">
        <v>2947.98</v>
      </c>
      <c r="U1934" t="s">
        <v>2073</v>
      </c>
      <c r="V1934" t="s">
        <v>9408</v>
      </c>
      <c r="W1934" t="s">
        <v>423</v>
      </c>
    </row>
    <row r="1935" spans="1:23" hidden="1" x14ac:dyDescent="0.2">
      <c r="A1935">
        <v>2012</v>
      </c>
      <c r="B1935" t="s">
        <v>303</v>
      </c>
      <c r="C1935" s="733">
        <v>40932</v>
      </c>
      <c r="D19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35" t="s">
        <v>485</v>
      </c>
      <c r="F1935" t="s">
        <v>2065</v>
      </c>
      <c r="G1935" t="s">
        <v>2546</v>
      </c>
      <c r="H1935">
        <v>39990</v>
      </c>
      <c r="I1935" t="s">
        <v>423</v>
      </c>
      <c r="J1935" t="s">
        <v>2050</v>
      </c>
      <c r="K1935" t="s">
        <v>2051</v>
      </c>
      <c r="L1935" t="s">
        <v>2052</v>
      </c>
      <c r="M1935">
        <v>90</v>
      </c>
      <c r="N1935">
        <v>27.45</v>
      </c>
      <c r="O1935">
        <v>3851.51</v>
      </c>
      <c r="P1935">
        <v>0</v>
      </c>
      <c r="Q1935">
        <v>3851.51</v>
      </c>
      <c r="R1935">
        <v>616.24</v>
      </c>
      <c r="S1935">
        <v>154.06</v>
      </c>
      <c r="T1935">
        <v>4313.6899999999996</v>
      </c>
      <c r="U1935" t="s">
        <v>2053</v>
      </c>
      <c r="V1935" t="s">
        <v>9408</v>
      </c>
      <c r="W1935" t="s">
        <v>423</v>
      </c>
    </row>
    <row r="1936" spans="1:23" hidden="1" x14ac:dyDescent="0.2">
      <c r="A1936">
        <v>2012</v>
      </c>
      <c r="B1936" t="s">
        <v>303</v>
      </c>
      <c r="C1936" s="733">
        <v>40933</v>
      </c>
      <c r="D19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36" t="s">
        <v>485</v>
      </c>
      <c r="F1936" t="s">
        <v>2048</v>
      </c>
      <c r="G1936" t="s">
        <v>2547</v>
      </c>
      <c r="H1936">
        <v>40878</v>
      </c>
      <c r="I1936" t="s">
        <v>423</v>
      </c>
      <c r="J1936" t="s">
        <v>2050</v>
      </c>
      <c r="K1936" t="s">
        <v>2051</v>
      </c>
      <c r="L1936" t="s">
        <v>2052</v>
      </c>
      <c r="M1936">
        <v>90</v>
      </c>
      <c r="N1936">
        <v>51.7</v>
      </c>
      <c r="O1936">
        <v>7254.03</v>
      </c>
      <c r="P1936">
        <v>0</v>
      </c>
      <c r="Q1936">
        <v>7254.03</v>
      </c>
      <c r="R1936">
        <v>1160.6400000000001</v>
      </c>
      <c r="S1936">
        <v>290.16000000000003</v>
      </c>
      <c r="T1936">
        <v>8124.51</v>
      </c>
      <c r="U1936" t="s">
        <v>2053</v>
      </c>
      <c r="V1936" t="s">
        <v>9409</v>
      </c>
      <c r="W1936" t="s">
        <v>423</v>
      </c>
    </row>
    <row r="1937" spans="1:23" hidden="1" x14ac:dyDescent="0.2">
      <c r="A1937">
        <v>2012</v>
      </c>
      <c r="B1937" t="s">
        <v>304</v>
      </c>
      <c r="C1937" s="733">
        <v>40943.663576388892</v>
      </c>
      <c r="D19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37" t="s">
        <v>485</v>
      </c>
      <c r="F1937" t="s">
        <v>2054</v>
      </c>
      <c r="G1937" t="s">
        <v>2550</v>
      </c>
      <c r="H1937">
        <v>10325</v>
      </c>
      <c r="I1937" t="s">
        <v>423</v>
      </c>
      <c r="J1937" t="s">
        <v>2056</v>
      </c>
      <c r="K1937" t="s">
        <v>2057</v>
      </c>
      <c r="L1937" t="s">
        <v>2058</v>
      </c>
      <c r="M1937">
        <v>19</v>
      </c>
      <c r="N1937">
        <v>47.29</v>
      </c>
      <c r="O1937">
        <v>5337.62</v>
      </c>
      <c r="P1937">
        <v>0</v>
      </c>
      <c r="Q1937">
        <v>5337.62</v>
      </c>
      <c r="R1937">
        <v>854.02</v>
      </c>
      <c r="S1937">
        <v>213.5</v>
      </c>
      <c r="T1937">
        <v>5978.14</v>
      </c>
      <c r="U1937" t="s">
        <v>2075</v>
      </c>
      <c r="V1937" t="s">
        <v>9409</v>
      </c>
      <c r="W1937" t="s">
        <v>423</v>
      </c>
    </row>
    <row r="1938" spans="1:23" hidden="1" x14ac:dyDescent="0.2">
      <c r="A1938">
        <v>2012</v>
      </c>
      <c r="B1938" t="s">
        <v>303</v>
      </c>
      <c r="C1938" s="733">
        <v>40935</v>
      </c>
      <c r="D19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38" t="s">
        <v>478</v>
      </c>
      <c r="F1938" t="s">
        <v>2136</v>
      </c>
      <c r="G1938" t="s">
        <v>7014</v>
      </c>
      <c r="H1938">
        <v>34914</v>
      </c>
      <c r="I1938" t="s">
        <v>423</v>
      </c>
      <c r="J1938" t="s">
        <v>4632</v>
      </c>
      <c r="K1938" t="s">
        <v>425</v>
      </c>
      <c r="L1938" t="s">
        <v>2145</v>
      </c>
      <c r="M1938">
        <v>1395</v>
      </c>
      <c r="N1938">
        <v>49.33</v>
      </c>
      <c r="O1938">
        <v>44731.95</v>
      </c>
      <c r="P1938">
        <v>0</v>
      </c>
      <c r="Q1938">
        <v>44731.95</v>
      </c>
      <c r="R1938">
        <v>7157.11</v>
      </c>
      <c r="S1938">
        <v>1789.28</v>
      </c>
      <c r="T1938">
        <v>50099.78</v>
      </c>
      <c r="U1938" t="s">
        <v>2914</v>
      </c>
      <c r="V1938" t="s">
        <v>9409</v>
      </c>
      <c r="W1938" t="s">
        <v>423</v>
      </c>
    </row>
    <row r="1939" spans="1:23" hidden="1" x14ac:dyDescent="0.2">
      <c r="A1939">
        <v>2012</v>
      </c>
      <c r="B1939" t="s">
        <v>303</v>
      </c>
      <c r="C1939" s="733">
        <v>40918</v>
      </c>
      <c r="D19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39" t="s">
        <v>485</v>
      </c>
      <c r="F1939" t="s">
        <v>2065</v>
      </c>
      <c r="G1939" t="s">
        <v>7007</v>
      </c>
      <c r="H1939">
        <v>39859</v>
      </c>
      <c r="I1939" t="s">
        <v>423</v>
      </c>
      <c r="J1939" t="s">
        <v>4626</v>
      </c>
      <c r="K1939" t="s">
        <v>2102</v>
      </c>
      <c r="L1939" t="s">
        <v>2115</v>
      </c>
      <c r="M1939">
        <v>1457</v>
      </c>
      <c r="N1939">
        <v>52.03</v>
      </c>
      <c r="O1939">
        <v>38498.04</v>
      </c>
      <c r="P1939">
        <v>0</v>
      </c>
      <c r="Q1939">
        <v>38498.04</v>
      </c>
      <c r="R1939">
        <v>6159.69</v>
      </c>
      <c r="S1939">
        <v>1539.92</v>
      </c>
      <c r="T1939">
        <v>43117.81</v>
      </c>
      <c r="U1939" t="s">
        <v>2106</v>
      </c>
      <c r="V1939" t="s">
        <v>9409</v>
      </c>
      <c r="W1939" t="s">
        <v>423</v>
      </c>
    </row>
    <row r="1940" spans="1:23" hidden="1" x14ac:dyDescent="0.2">
      <c r="A1940">
        <v>2012</v>
      </c>
      <c r="B1940" t="s">
        <v>304</v>
      </c>
      <c r="C1940" s="733">
        <v>40952</v>
      </c>
      <c r="D19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40" t="s">
        <v>485</v>
      </c>
      <c r="F1940" t="s">
        <v>2065</v>
      </c>
      <c r="G1940" t="s">
        <v>6139</v>
      </c>
      <c r="H1940">
        <v>41842</v>
      </c>
      <c r="I1940" t="s">
        <v>423</v>
      </c>
      <c r="J1940" t="s">
        <v>4770</v>
      </c>
      <c r="K1940" t="s">
        <v>2051</v>
      </c>
      <c r="L1940" t="s">
        <v>2052</v>
      </c>
      <c r="M1940">
        <v>599</v>
      </c>
      <c r="N1940">
        <v>24.6</v>
      </c>
      <c r="O1940">
        <v>8580.48</v>
      </c>
      <c r="P1940">
        <v>0</v>
      </c>
      <c r="Q1940">
        <v>8580.48</v>
      </c>
      <c r="R1940">
        <v>1372.88</v>
      </c>
      <c r="S1940">
        <v>343.22</v>
      </c>
      <c r="T1940">
        <v>9610.14</v>
      </c>
      <c r="U1940" t="s">
        <v>7568</v>
      </c>
      <c r="V1940" t="s">
        <v>9408</v>
      </c>
      <c r="W1940" t="s">
        <v>423</v>
      </c>
    </row>
    <row r="1941" spans="1:23" hidden="1" x14ac:dyDescent="0.2">
      <c r="A1941">
        <v>2012</v>
      </c>
      <c r="B1941" t="s">
        <v>304</v>
      </c>
      <c r="C1941" s="733">
        <v>40946</v>
      </c>
      <c r="D19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41" t="s">
        <v>478</v>
      </c>
      <c r="F1941" t="s">
        <v>2136</v>
      </c>
      <c r="G1941" t="s">
        <v>7016</v>
      </c>
      <c r="H1941">
        <v>35314</v>
      </c>
      <c r="I1941" t="s">
        <v>423</v>
      </c>
      <c r="J1941" t="s">
        <v>4270</v>
      </c>
      <c r="K1941" t="s">
        <v>425</v>
      </c>
      <c r="L1941" t="s">
        <v>2145</v>
      </c>
      <c r="M1941">
        <v>560</v>
      </c>
      <c r="N1941">
        <v>26.12</v>
      </c>
      <c r="O1941">
        <v>8345.34</v>
      </c>
      <c r="P1941">
        <v>0</v>
      </c>
      <c r="Q1941">
        <v>8345.34</v>
      </c>
      <c r="R1941">
        <v>1335.25</v>
      </c>
      <c r="S1941">
        <v>333.81</v>
      </c>
      <c r="T1941">
        <v>9346.7800000000007</v>
      </c>
      <c r="U1941" t="s">
        <v>3115</v>
      </c>
      <c r="V1941" t="s">
        <v>9408</v>
      </c>
      <c r="W1941" t="s">
        <v>423</v>
      </c>
    </row>
    <row r="1942" spans="1:23" hidden="1" x14ac:dyDescent="0.2">
      <c r="A1942">
        <v>2012</v>
      </c>
      <c r="B1942" t="s">
        <v>304</v>
      </c>
      <c r="C1942" s="733">
        <v>40947</v>
      </c>
      <c r="D19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42" t="s">
        <v>478</v>
      </c>
      <c r="F1942" t="s">
        <v>2136</v>
      </c>
      <c r="G1942" t="s">
        <v>7015</v>
      </c>
      <c r="H1942">
        <v>35312</v>
      </c>
      <c r="I1942" t="s">
        <v>423</v>
      </c>
      <c r="J1942" t="s">
        <v>4632</v>
      </c>
      <c r="K1942" t="s">
        <v>425</v>
      </c>
      <c r="L1942" t="s">
        <v>2145</v>
      </c>
      <c r="M1942">
        <v>1395</v>
      </c>
      <c r="N1942">
        <v>53.06</v>
      </c>
      <c r="O1942">
        <v>48114.28</v>
      </c>
      <c r="P1942">
        <v>0</v>
      </c>
      <c r="Q1942">
        <v>48114.28</v>
      </c>
      <c r="R1942">
        <v>7698.28</v>
      </c>
      <c r="S1942">
        <v>1924.57</v>
      </c>
      <c r="T1942">
        <v>53887.99</v>
      </c>
      <c r="U1942" t="s">
        <v>3115</v>
      </c>
      <c r="V1942" t="s">
        <v>9409</v>
      </c>
      <c r="W1942" t="s">
        <v>423</v>
      </c>
    </row>
    <row r="1943" spans="1:23" hidden="1" x14ac:dyDescent="0.2">
      <c r="A1943">
        <v>2012</v>
      </c>
      <c r="B1943" t="s">
        <v>303</v>
      </c>
      <c r="C1943" s="733">
        <v>40920</v>
      </c>
      <c r="D19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43" t="s">
        <v>478</v>
      </c>
      <c r="F1943" t="s">
        <v>2136</v>
      </c>
      <c r="G1943" t="s">
        <v>7013</v>
      </c>
      <c r="H1943">
        <v>34333</v>
      </c>
      <c r="I1943" t="s">
        <v>423</v>
      </c>
      <c r="J1943" t="s">
        <v>4632</v>
      </c>
      <c r="K1943" t="s">
        <v>425</v>
      </c>
      <c r="L1943" t="s">
        <v>2145</v>
      </c>
      <c r="M1943">
        <v>1395</v>
      </c>
      <c r="N1943">
        <v>48.68</v>
      </c>
      <c r="O1943">
        <v>44142.54</v>
      </c>
      <c r="P1943">
        <v>0</v>
      </c>
      <c r="Q1943">
        <v>44142.54</v>
      </c>
      <c r="R1943">
        <v>7062.81</v>
      </c>
      <c r="S1943">
        <v>1765.7</v>
      </c>
      <c r="T1943">
        <v>49439.65</v>
      </c>
      <c r="U1943" t="s">
        <v>2350</v>
      </c>
      <c r="V1943" t="s">
        <v>9409</v>
      </c>
      <c r="W1943" t="s">
        <v>423</v>
      </c>
    </row>
    <row r="1944" spans="1:23" hidden="1" x14ac:dyDescent="0.2">
      <c r="A1944">
        <v>2012</v>
      </c>
      <c r="B1944" t="s">
        <v>304</v>
      </c>
      <c r="C1944" s="733">
        <v>40964</v>
      </c>
      <c r="D19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44" t="s">
        <v>505</v>
      </c>
      <c r="F1944" t="s">
        <v>1915</v>
      </c>
      <c r="G1944" t="s">
        <v>8742</v>
      </c>
      <c r="H1944">
        <v>23001</v>
      </c>
      <c r="I1944" t="s">
        <v>424</v>
      </c>
      <c r="J1944" t="s">
        <v>1917</v>
      </c>
      <c r="K1944" t="s">
        <v>1918</v>
      </c>
      <c r="L1944" t="s">
        <v>1919</v>
      </c>
      <c r="M1944">
        <v>267</v>
      </c>
      <c r="N1944">
        <v>54</v>
      </c>
      <c r="O1944">
        <v>8304.66</v>
      </c>
      <c r="P1944">
        <v>0</v>
      </c>
      <c r="Q1944">
        <v>8304.66</v>
      </c>
      <c r="R1944">
        <v>1328.75</v>
      </c>
      <c r="S1944">
        <v>332.19</v>
      </c>
      <c r="T1944">
        <v>9301.2199999999993</v>
      </c>
      <c r="U1944" t="s">
        <v>8778</v>
      </c>
      <c r="V1944" t="s">
        <v>9409</v>
      </c>
      <c r="W1944" t="s">
        <v>424</v>
      </c>
    </row>
    <row r="1945" spans="1:23" hidden="1" x14ac:dyDescent="0.2">
      <c r="A1945">
        <v>2012</v>
      </c>
      <c r="B1945" t="s">
        <v>303</v>
      </c>
      <c r="C1945" s="733">
        <v>40915</v>
      </c>
      <c r="D19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45" t="s">
        <v>505</v>
      </c>
      <c r="F1945" t="s">
        <v>1915</v>
      </c>
      <c r="G1945" t="s">
        <v>7001</v>
      </c>
      <c r="H1945">
        <v>21766</v>
      </c>
      <c r="I1945" t="s">
        <v>423</v>
      </c>
      <c r="J1945" t="s">
        <v>1954</v>
      </c>
      <c r="K1945" t="s">
        <v>1918</v>
      </c>
      <c r="L1945" t="s">
        <v>1919</v>
      </c>
      <c r="M1945">
        <v>303</v>
      </c>
      <c r="N1945">
        <v>24.9</v>
      </c>
      <c r="O1945">
        <v>6874.89</v>
      </c>
      <c r="P1945">
        <v>0</v>
      </c>
      <c r="Q1945">
        <v>6874.89</v>
      </c>
      <c r="R1945">
        <v>1099.98</v>
      </c>
      <c r="S1945">
        <v>275</v>
      </c>
      <c r="T1945">
        <v>7699.87</v>
      </c>
      <c r="U1945" t="s">
        <v>1920</v>
      </c>
      <c r="V1945" t="s">
        <v>9409</v>
      </c>
      <c r="W1945" t="s">
        <v>423</v>
      </c>
    </row>
    <row r="1946" spans="1:23" hidden="1" x14ac:dyDescent="0.2">
      <c r="A1946">
        <v>2012</v>
      </c>
      <c r="B1946" t="s">
        <v>303</v>
      </c>
      <c r="C1946" s="733">
        <v>40924</v>
      </c>
      <c r="D19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46" t="s">
        <v>485</v>
      </c>
      <c r="F1946" t="s">
        <v>2065</v>
      </c>
      <c r="G1946" t="s">
        <v>5665</v>
      </c>
      <c r="H1946">
        <v>40301</v>
      </c>
      <c r="I1946" t="s">
        <v>423</v>
      </c>
      <c r="J1946" t="s">
        <v>4520</v>
      </c>
      <c r="K1946" t="s">
        <v>2183</v>
      </c>
      <c r="L1946" t="s">
        <v>2115</v>
      </c>
      <c r="M1946">
        <v>346</v>
      </c>
      <c r="N1946">
        <v>26.93</v>
      </c>
      <c r="O1946">
        <v>5783.49</v>
      </c>
      <c r="P1946">
        <v>0</v>
      </c>
      <c r="Q1946">
        <v>5783.49</v>
      </c>
      <c r="R1946">
        <v>925.36</v>
      </c>
      <c r="S1946">
        <v>231.34</v>
      </c>
      <c r="T1946">
        <v>6477.51</v>
      </c>
      <c r="U1946" t="s">
        <v>7587</v>
      </c>
      <c r="V1946" t="s">
        <v>9408</v>
      </c>
      <c r="W1946" t="s">
        <v>423</v>
      </c>
    </row>
    <row r="1947" spans="1:23" hidden="1" x14ac:dyDescent="0.2">
      <c r="A1947">
        <v>2012</v>
      </c>
      <c r="B1947" t="s">
        <v>305</v>
      </c>
      <c r="C1947" s="733">
        <v>40969</v>
      </c>
      <c r="D1947" s="733" t="str">
        <f>CHOOSE(MONTH(Tabla_sqldatos_bonampakdb_Bon_v_ingresos2012[[#This Row],[fecha_guia]]),"Enero","Febrero","Marzo","Abril","Mayo","Junio","Julio","Agosto","Septiembre","Octubre","Noviembre","Diciembre")</f>
        <v>Marzo</v>
      </c>
      <c r="E1947" t="s">
        <v>505</v>
      </c>
      <c r="F1947" t="s">
        <v>1915</v>
      </c>
      <c r="G1947" t="s">
        <v>9560</v>
      </c>
      <c r="H1947">
        <v>23123</v>
      </c>
      <c r="I1947" t="s">
        <v>424</v>
      </c>
      <c r="J1947" t="s">
        <v>1954</v>
      </c>
      <c r="K1947" t="s">
        <v>1918</v>
      </c>
      <c r="L1947" t="s">
        <v>1919</v>
      </c>
      <c r="M1947">
        <v>303</v>
      </c>
      <c r="N1947">
        <v>54</v>
      </c>
      <c r="O1947">
        <v>10552.14</v>
      </c>
      <c r="P1947">
        <v>0</v>
      </c>
      <c r="Q1947">
        <v>10552.14</v>
      </c>
      <c r="R1947">
        <v>1688.34</v>
      </c>
      <c r="S1947">
        <v>422.09</v>
      </c>
      <c r="T1947">
        <v>11818.39</v>
      </c>
      <c r="V1947" t="s">
        <v>9409</v>
      </c>
      <c r="W1947" t="s">
        <v>424</v>
      </c>
    </row>
    <row r="1948" spans="1:23" hidden="1" x14ac:dyDescent="0.2">
      <c r="A1948">
        <v>2012</v>
      </c>
      <c r="B1948" t="s">
        <v>303</v>
      </c>
      <c r="C1948" s="733">
        <v>40918</v>
      </c>
      <c r="D19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48" t="s">
        <v>505</v>
      </c>
      <c r="F1948" t="s">
        <v>1915</v>
      </c>
      <c r="G1948" t="s">
        <v>7002</v>
      </c>
      <c r="H1948">
        <v>21888</v>
      </c>
      <c r="I1948" t="s">
        <v>423</v>
      </c>
      <c r="J1948" t="s">
        <v>1954</v>
      </c>
      <c r="K1948" t="s">
        <v>1918</v>
      </c>
      <c r="L1948" t="s">
        <v>1919</v>
      </c>
      <c r="M1948">
        <v>303</v>
      </c>
      <c r="N1948">
        <v>53.89</v>
      </c>
      <c r="O1948">
        <v>14879.03</v>
      </c>
      <c r="P1948">
        <v>0</v>
      </c>
      <c r="Q1948">
        <v>14879.03</v>
      </c>
      <c r="R1948">
        <v>2380.64</v>
      </c>
      <c r="S1948">
        <v>595.16</v>
      </c>
      <c r="T1948">
        <v>16664.509999999998</v>
      </c>
      <c r="U1948" t="s">
        <v>1931</v>
      </c>
      <c r="V1948" t="s">
        <v>9409</v>
      </c>
      <c r="W1948" t="s">
        <v>423</v>
      </c>
    </row>
    <row r="1949" spans="1:23" hidden="1" x14ac:dyDescent="0.2">
      <c r="A1949">
        <v>2012</v>
      </c>
      <c r="B1949" t="s">
        <v>305</v>
      </c>
      <c r="C1949" s="733">
        <v>40971</v>
      </c>
      <c r="D1949" s="733" t="str">
        <f>CHOOSE(MONTH(Tabla_sqldatos_bonampakdb_Bon_v_ingresos2012[[#This Row],[fecha_guia]]),"Enero","Febrero","Marzo","Abril","Mayo","Junio","Julio","Agosto","Septiembre","Octubre","Noviembre","Diciembre")</f>
        <v>Marzo</v>
      </c>
      <c r="E1949" t="s">
        <v>505</v>
      </c>
      <c r="F1949" t="s">
        <v>1915</v>
      </c>
      <c r="G1949" t="s">
        <v>9698</v>
      </c>
      <c r="H1949">
        <v>23180</v>
      </c>
      <c r="I1949" t="s">
        <v>424</v>
      </c>
      <c r="J1949" t="s">
        <v>1954</v>
      </c>
      <c r="K1949" t="s">
        <v>1918</v>
      </c>
      <c r="L1949" t="s">
        <v>1919</v>
      </c>
      <c r="M1949">
        <v>303</v>
      </c>
      <c r="N1949">
        <v>30</v>
      </c>
      <c r="O1949">
        <v>5862.3</v>
      </c>
      <c r="P1949">
        <v>0</v>
      </c>
      <c r="Q1949">
        <v>5862.3</v>
      </c>
      <c r="R1949">
        <v>937.97</v>
      </c>
      <c r="S1949">
        <v>234.49</v>
      </c>
      <c r="T1949">
        <v>6565.78</v>
      </c>
      <c r="V1949" t="s">
        <v>9408</v>
      </c>
      <c r="W1949" t="s">
        <v>424</v>
      </c>
    </row>
    <row r="1950" spans="1:23" hidden="1" x14ac:dyDescent="0.2">
      <c r="A1950">
        <v>2012</v>
      </c>
      <c r="B1950" t="s">
        <v>303</v>
      </c>
      <c r="C1950" s="733">
        <v>40910</v>
      </c>
      <c r="D19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50" t="s">
        <v>485</v>
      </c>
      <c r="F1950" t="s">
        <v>2065</v>
      </c>
      <c r="G1950" t="s">
        <v>7017</v>
      </c>
      <c r="H1950">
        <v>39644</v>
      </c>
      <c r="I1950" t="s">
        <v>423</v>
      </c>
      <c r="J1950" t="s">
        <v>4626</v>
      </c>
      <c r="K1950" t="s">
        <v>2102</v>
      </c>
      <c r="L1950" t="s">
        <v>2115</v>
      </c>
      <c r="M1950">
        <v>1457</v>
      </c>
      <c r="N1950">
        <v>25.62</v>
      </c>
      <c r="O1950">
        <v>7981.14</v>
      </c>
      <c r="P1950">
        <v>8985.8857150000003</v>
      </c>
      <c r="Q1950">
        <v>16967.025715</v>
      </c>
      <c r="R1950">
        <v>2714.7241140000001</v>
      </c>
      <c r="S1950">
        <v>678.68102899999997</v>
      </c>
      <c r="T1950">
        <v>19003.068800000001</v>
      </c>
      <c r="U1950" t="s">
        <v>2104</v>
      </c>
      <c r="V1950" t="s">
        <v>9409</v>
      </c>
      <c r="W1950" t="s">
        <v>423</v>
      </c>
    </row>
    <row r="1951" spans="1:23" hidden="1" x14ac:dyDescent="0.2">
      <c r="A1951">
        <v>2012</v>
      </c>
      <c r="B1951" t="s">
        <v>304</v>
      </c>
      <c r="C1951" s="733">
        <v>40949</v>
      </c>
      <c r="D19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51" t="s">
        <v>485</v>
      </c>
      <c r="F1951" t="s">
        <v>2136</v>
      </c>
      <c r="G1951" t="s">
        <v>7018</v>
      </c>
      <c r="H1951">
        <v>41593</v>
      </c>
      <c r="I1951" t="s">
        <v>423</v>
      </c>
      <c r="J1951" t="s">
        <v>4626</v>
      </c>
      <c r="K1951" t="s">
        <v>2102</v>
      </c>
      <c r="L1951" t="s">
        <v>2115</v>
      </c>
      <c r="M1951">
        <v>1457</v>
      </c>
      <c r="N1951">
        <v>25.41</v>
      </c>
      <c r="O1951">
        <v>18801.37</v>
      </c>
      <c r="P1951">
        <v>0</v>
      </c>
      <c r="Q1951">
        <v>18801.37</v>
      </c>
      <c r="R1951">
        <v>3008.22</v>
      </c>
      <c r="S1951">
        <v>752.05</v>
      </c>
      <c r="T1951">
        <v>21057.54</v>
      </c>
      <c r="U1951" t="s">
        <v>8051</v>
      </c>
      <c r="V1951" t="s">
        <v>9408</v>
      </c>
      <c r="W1951" t="s">
        <v>423</v>
      </c>
    </row>
    <row r="1952" spans="1:23" hidden="1" x14ac:dyDescent="0.2">
      <c r="A1952">
        <v>2012</v>
      </c>
      <c r="B1952" t="s">
        <v>304</v>
      </c>
      <c r="C1952" s="733">
        <v>40962</v>
      </c>
      <c r="D19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52" t="s">
        <v>478</v>
      </c>
      <c r="F1952" t="s">
        <v>2142</v>
      </c>
      <c r="G1952" t="s">
        <v>8653</v>
      </c>
      <c r="H1952">
        <v>35902</v>
      </c>
      <c r="I1952" t="s">
        <v>423</v>
      </c>
      <c r="J1952" t="s">
        <v>4632</v>
      </c>
      <c r="K1952" t="s">
        <v>425</v>
      </c>
      <c r="L1952" t="s">
        <v>2145</v>
      </c>
      <c r="M1952">
        <v>1395</v>
      </c>
      <c r="N1952">
        <v>41.09</v>
      </c>
      <c r="O1952">
        <v>37260</v>
      </c>
      <c r="P1952">
        <v>0</v>
      </c>
      <c r="Q1952">
        <v>37260</v>
      </c>
      <c r="R1952">
        <v>5961.6</v>
      </c>
      <c r="S1952">
        <v>1490.4</v>
      </c>
      <c r="T1952">
        <v>41731.199999999997</v>
      </c>
      <c r="U1952" t="s">
        <v>9430</v>
      </c>
      <c r="V1952" t="s">
        <v>9409</v>
      </c>
      <c r="W1952" t="s">
        <v>423</v>
      </c>
    </row>
    <row r="1953" spans="1:23" hidden="1" x14ac:dyDescent="0.2">
      <c r="A1953">
        <v>2012</v>
      </c>
      <c r="B1953" t="s">
        <v>303</v>
      </c>
      <c r="C1953" s="733">
        <v>40925</v>
      </c>
      <c r="D19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53" t="s">
        <v>485</v>
      </c>
      <c r="F1953" t="s">
        <v>2065</v>
      </c>
      <c r="G1953" t="s">
        <v>5669</v>
      </c>
      <c r="H1953">
        <v>40433</v>
      </c>
      <c r="I1953" t="s">
        <v>423</v>
      </c>
      <c r="J1953" t="s">
        <v>3054</v>
      </c>
      <c r="K1953" t="s">
        <v>2183</v>
      </c>
      <c r="L1953" t="s">
        <v>2184</v>
      </c>
      <c r="M1953">
        <v>43</v>
      </c>
      <c r="N1953">
        <v>16.420000000000002</v>
      </c>
      <c r="O1953">
        <v>1853.33</v>
      </c>
      <c r="P1953">
        <v>0</v>
      </c>
      <c r="Q1953">
        <v>1853.33</v>
      </c>
      <c r="R1953">
        <v>296.52999999999997</v>
      </c>
      <c r="S1953">
        <v>74.13</v>
      </c>
      <c r="T1953">
        <v>2075.73</v>
      </c>
      <c r="U1953" t="s">
        <v>7554</v>
      </c>
      <c r="V1953" t="s">
        <v>9408</v>
      </c>
      <c r="W1953" t="s">
        <v>423</v>
      </c>
    </row>
    <row r="1954" spans="1:23" hidden="1" x14ac:dyDescent="0.2">
      <c r="A1954">
        <v>2012</v>
      </c>
      <c r="B1954" t="s">
        <v>304</v>
      </c>
      <c r="C1954" s="733">
        <v>40942</v>
      </c>
      <c r="D19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54" t="s">
        <v>485</v>
      </c>
      <c r="F1954" t="s">
        <v>2065</v>
      </c>
      <c r="G1954" t="s">
        <v>5668</v>
      </c>
      <c r="H1954">
        <v>41384</v>
      </c>
      <c r="I1954" t="s">
        <v>423</v>
      </c>
      <c r="J1954" t="s">
        <v>3054</v>
      </c>
      <c r="K1954" t="s">
        <v>2183</v>
      </c>
      <c r="L1954" t="s">
        <v>2184</v>
      </c>
      <c r="M1954">
        <v>43</v>
      </c>
      <c r="N1954">
        <v>15.1</v>
      </c>
      <c r="O1954">
        <v>1704.34</v>
      </c>
      <c r="P1954">
        <v>0</v>
      </c>
      <c r="Q1954">
        <v>1704.34</v>
      </c>
      <c r="R1954">
        <v>272.69</v>
      </c>
      <c r="S1954">
        <v>68.17</v>
      </c>
      <c r="T1954">
        <v>1908.86</v>
      </c>
      <c r="U1954" t="s">
        <v>2192</v>
      </c>
      <c r="V1954" t="s">
        <v>9408</v>
      </c>
      <c r="W1954" t="s">
        <v>423</v>
      </c>
    </row>
    <row r="1955" spans="1:23" hidden="1" x14ac:dyDescent="0.2">
      <c r="A1955">
        <v>2012</v>
      </c>
      <c r="B1955" t="s">
        <v>304</v>
      </c>
      <c r="C1955" s="733">
        <v>40962</v>
      </c>
      <c r="D19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55" t="s">
        <v>485</v>
      </c>
      <c r="F1955" t="s">
        <v>2065</v>
      </c>
      <c r="G1955" t="s">
        <v>8652</v>
      </c>
      <c r="H1955">
        <v>42458</v>
      </c>
      <c r="I1955" t="s">
        <v>423</v>
      </c>
      <c r="J1955" t="s">
        <v>3054</v>
      </c>
      <c r="K1955" t="s">
        <v>2183</v>
      </c>
      <c r="L1955" t="s">
        <v>2184</v>
      </c>
      <c r="M1955">
        <v>43</v>
      </c>
      <c r="N1955">
        <v>14.81</v>
      </c>
      <c r="O1955">
        <v>1671.6</v>
      </c>
      <c r="P1955">
        <v>0</v>
      </c>
      <c r="Q1955">
        <v>1671.6</v>
      </c>
      <c r="R1955">
        <v>267.45999999999998</v>
      </c>
      <c r="S1955">
        <v>66.86</v>
      </c>
      <c r="T1955">
        <v>1872.2</v>
      </c>
      <c r="U1955" t="s">
        <v>9411</v>
      </c>
      <c r="V1955" t="s">
        <v>9408</v>
      </c>
      <c r="W1955" t="s">
        <v>423</v>
      </c>
    </row>
    <row r="1956" spans="1:23" hidden="1" x14ac:dyDescent="0.2">
      <c r="A1956">
        <v>2012</v>
      </c>
      <c r="B1956" t="s">
        <v>304</v>
      </c>
      <c r="C1956" s="733">
        <v>40952</v>
      </c>
      <c r="D19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56" t="s">
        <v>485</v>
      </c>
      <c r="F1956" t="s">
        <v>2065</v>
      </c>
      <c r="G1956" t="s">
        <v>3190</v>
      </c>
      <c r="H1956">
        <v>41703</v>
      </c>
      <c r="I1956" t="s">
        <v>423</v>
      </c>
      <c r="J1956" t="s">
        <v>3054</v>
      </c>
      <c r="K1956" t="s">
        <v>2183</v>
      </c>
      <c r="L1956" t="s">
        <v>2184</v>
      </c>
      <c r="M1956">
        <v>43</v>
      </c>
      <c r="N1956">
        <v>14.97</v>
      </c>
      <c r="O1956">
        <v>1689.66</v>
      </c>
      <c r="P1956">
        <v>0</v>
      </c>
      <c r="Q1956">
        <v>1689.66</v>
      </c>
      <c r="R1956">
        <v>270.35000000000002</v>
      </c>
      <c r="S1956">
        <v>67.59</v>
      </c>
      <c r="T1956">
        <v>1892.42</v>
      </c>
      <c r="U1956" t="s">
        <v>8048</v>
      </c>
      <c r="V1956" t="s">
        <v>9408</v>
      </c>
      <c r="W1956" t="s">
        <v>423</v>
      </c>
    </row>
    <row r="1957" spans="1:23" hidden="1" x14ac:dyDescent="0.2">
      <c r="A1957">
        <v>2012</v>
      </c>
      <c r="B1957" t="s">
        <v>304</v>
      </c>
      <c r="C1957" s="733">
        <v>40953</v>
      </c>
      <c r="D19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57" t="s">
        <v>505</v>
      </c>
      <c r="F1957" t="s">
        <v>1915</v>
      </c>
      <c r="G1957" t="s">
        <v>2019</v>
      </c>
      <c r="H1957">
        <v>22708</v>
      </c>
      <c r="I1957" t="s">
        <v>424</v>
      </c>
      <c r="J1957" t="s">
        <v>1917</v>
      </c>
      <c r="K1957" t="s">
        <v>1918</v>
      </c>
      <c r="L1957" t="s">
        <v>1919</v>
      </c>
      <c r="M1957">
        <v>267</v>
      </c>
      <c r="N1957">
        <v>30</v>
      </c>
      <c r="O1957">
        <v>2929.97</v>
      </c>
      <c r="P1957">
        <v>1683.8244589999999</v>
      </c>
      <c r="Q1957">
        <v>4613.7944589999997</v>
      </c>
      <c r="R1957">
        <v>738.20711300000005</v>
      </c>
      <c r="S1957">
        <v>184.55177800000001</v>
      </c>
      <c r="T1957">
        <v>5167.4497940000001</v>
      </c>
      <c r="U1957" t="s">
        <v>7522</v>
      </c>
      <c r="V1957" t="s">
        <v>9408</v>
      </c>
      <c r="W1957" t="s">
        <v>424</v>
      </c>
    </row>
    <row r="1958" spans="1:23" hidden="1" x14ac:dyDescent="0.2">
      <c r="A1958">
        <v>2012</v>
      </c>
      <c r="B1958" t="s">
        <v>304</v>
      </c>
      <c r="C1958" s="733">
        <v>40942</v>
      </c>
      <c r="D19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58" t="s">
        <v>505</v>
      </c>
      <c r="F1958" t="s">
        <v>1915</v>
      </c>
      <c r="G1958" t="s">
        <v>2033</v>
      </c>
      <c r="H1958">
        <v>22484</v>
      </c>
      <c r="I1958" t="s">
        <v>424</v>
      </c>
      <c r="J1958" t="s">
        <v>1917</v>
      </c>
      <c r="K1958" t="s">
        <v>1918</v>
      </c>
      <c r="L1958" t="s">
        <v>1919</v>
      </c>
      <c r="M1958">
        <v>267</v>
      </c>
      <c r="N1958">
        <v>30</v>
      </c>
      <c r="O1958">
        <v>2929.97</v>
      </c>
      <c r="P1958">
        <v>1683.8244589999999</v>
      </c>
      <c r="Q1958">
        <v>4613.7944589999997</v>
      </c>
      <c r="R1958">
        <v>738.20711300000005</v>
      </c>
      <c r="S1958">
        <v>184.55177800000001</v>
      </c>
      <c r="T1958">
        <v>5167.4497940000001</v>
      </c>
      <c r="U1958" t="s">
        <v>1924</v>
      </c>
      <c r="V1958" t="s">
        <v>9408</v>
      </c>
      <c r="W1958" t="s">
        <v>424</v>
      </c>
    </row>
    <row r="1959" spans="1:23" hidden="1" x14ac:dyDescent="0.2">
      <c r="A1959">
        <v>2012</v>
      </c>
      <c r="B1959" t="s">
        <v>304</v>
      </c>
      <c r="C1959" s="733">
        <v>40952</v>
      </c>
      <c r="D19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59" t="s">
        <v>505</v>
      </c>
      <c r="F1959" t="s">
        <v>1915</v>
      </c>
      <c r="G1959" t="s">
        <v>2046</v>
      </c>
      <c r="H1959">
        <v>22656</v>
      </c>
      <c r="I1959" t="s">
        <v>424</v>
      </c>
      <c r="J1959" t="s">
        <v>1954</v>
      </c>
      <c r="K1959" t="s">
        <v>1918</v>
      </c>
      <c r="L1959" t="s">
        <v>1919</v>
      </c>
      <c r="M1959">
        <v>303</v>
      </c>
      <c r="N1959">
        <v>30</v>
      </c>
      <c r="O1959">
        <v>2314.83</v>
      </c>
      <c r="P1959">
        <v>1330.309653</v>
      </c>
      <c r="Q1959">
        <v>3645.1396530000002</v>
      </c>
      <c r="R1959">
        <v>583.22234400000002</v>
      </c>
      <c r="S1959">
        <v>145.80558600000001</v>
      </c>
      <c r="T1959">
        <v>4082.556411</v>
      </c>
      <c r="U1959" t="s">
        <v>7522</v>
      </c>
      <c r="V1959" t="s">
        <v>9408</v>
      </c>
      <c r="W1959" t="s">
        <v>424</v>
      </c>
    </row>
    <row r="1960" spans="1:23" hidden="1" x14ac:dyDescent="0.2">
      <c r="A1960">
        <v>2012</v>
      </c>
      <c r="B1960" t="s">
        <v>304</v>
      </c>
      <c r="C1960" s="733">
        <v>40960</v>
      </c>
      <c r="D19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60" t="s">
        <v>505</v>
      </c>
      <c r="F1960" t="s">
        <v>1915</v>
      </c>
      <c r="G1960" t="s">
        <v>8150</v>
      </c>
      <c r="H1960">
        <v>22890</v>
      </c>
      <c r="I1960" t="s">
        <v>424</v>
      </c>
      <c r="J1960" t="s">
        <v>1917</v>
      </c>
      <c r="K1960" t="s">
        <v>1918</v>
      </c>
      <c r="L1960" t="s">
        <v>1919</v>
      </c>
      <c r="M1960">
        <v>267</v>
      </c>
      <c r="N1960">
        <v>30</v>
      </c>
      <c r="O1960">
        <v>4613.7</v>
      </c>
      <c r="P1960">
        <v>0</v>
      </c>
      <c r="Q1960">
        <v>4613.7</v>
      </c>
      <c r="R1960">
        <v>738.19</v>
      </c>
      <c r="S1960">
        <v>184.55</v>
      </c>
      <c r="T1960">
        <v>5167.34</v>
      </c>
      <c r="U1960" t="s">
        <v>8491</v>
      </c>
      <c r="V1960" t="s">
        <v>9408</v>
      </c>
      <c r="W1960" t="s">
        <v>424</v>
      </c>
    </row>
    <row r="1961" spans="1:23" hidden="1" x14ac:dyDescent="0.2">
      <c r="A1961">
        <v>2012</v>
      </c>
      <c r="B1961" t="s">
        <v>303</v>
      </c>
      <c r="C1961" s="733">
        <v>40938</v>
      </c>
      <c r="D19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61" t="s">
        <v>485</v>
      </c>
      <c r="F1961" t="s">
        <v>2048</v>
      </c>
      <c r="G1961" t="s">
        <v>5679</v>
      </c>
      <c r="H1961">
        <v>41122</v>
      </c>
      <c r="I1961" t="s">
        <v>423</v>
      </c>
      <c r="J1961" t="s">
        <v>4073</v>
      </c>
      <c r="K1961" t="s">
        <v>2051</v>
      </c>
      <c r="L1961" t="s">
        <v>2052</v>
      </c>
      <c r="M1961">
        <v>610</v>
      </c>
      <c r="N1961">
        <v>52.25</v>
      </c>
      <c r="O1961">
        <v>18522.099999999999</v>
      </c>
      <c r="P1961">
        <v>0</v>
      </c>
      <c r="Q1961">
        <v>18522.099999999999</v>
      </c>
      <c r="R1961">
        <v>2963.54</v>
      </c>
      <c r="S1961">
        <v>740.88</v>
      </c>
      <c r="T1961">
        <v>20744.759999999998</v>
      </c>
      <c r="U1961" t="s">
        <v>2067</v>
      </c>
      <c r="V1961" t="s">
        <v>9409</v>
      </c>
      <c r="W1961" t="s">
        <v>423</v>
      </c>
    </row>
    <row r="1962" spans="1:23" hidden="1" x14ac:dyDescent="0.2">
      <c r="A1962">
        <v>2012</v>
      </c>
      <c r="B1962" t="s">
        <v>304</v>
      </c>
      <c r="C1962" s="733">
        <v>40947</v>
      </c>
      <c r="D19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62" t="s">
        <v>478</v>
      </c>
      <c r="F1962" t="s">
        <v>3358</v>
      </c>
      <c r="G1962" t="s">
        <v>5023</v>
      </c>
      <c r="H1962">
        <v>35200</v>
      </c>
      <c r="I1962" t="s">
        <v>423</v>
      </c>
      <c r="J1962" t="s">
        <v>5024</v>
      </c>
      <c r="K1962" t="s">
        <v>4397</v>
      </c>
      <c r="L1962" t="s">
        <v>4398</v>
      </c>
      <c r="M1962">
        <v>770</v>
      </c>
      <c r="N1962">
        <v>21.72</v>
      </c>
      <c r="O1962">
        <v>7171.94</v>
      </c>
      <c r="P1962">
        <v>0</v>
      </c>
      <c r="Q1962">
        <v>7171.94</v>
      </c>
      <c r="R1962">
        <v>1147.51</v>
      </c>
      <c r="S1962">
        <v>286.88</v>
      </c>
      <c r="T1962">
        <v>8032.57</v>
      </c>
      <c r="U1962" t="s">
        <v>4503</v>
      </c>
      <c r="V1962" t="s">
        <v>9408</v>
      </c>
      <c r="W1962" t="s">
        <v>423</v>
      </c>
    </row>
    <row r="1963" spans="1:23" hidden="1" x14ac:dyDescent="0.2">
      <c r="A1963">
        <v>2012</v>
      </c>
      <c r="B1963" t="s">
        <v>303</v>
      </c>
      <c r="C1963" s="733">
        <v>40935.559571759259</v>
      </c>
      <c r="D19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63" t="s">
        <v>505</v>
      </c>
      <c r="F1963" t="s">
        <v>1915</v>
      </c>
      <c r="G1963" t="s">
        <v>2022</v>
      </c>
      <c r="H1963">
        <v>22300</v>
      </c>
      <c r="I1963" t="s">
        <v>424</v>
      </c>
      <c r="J1963" t="s">
        <v>1917</v>
      </c>
      <c r="K1963" t="s">
        <v>1918</v>
      </c>
      <c r="L1963" t="s">
        <v>1919</v>
      </c>
      <c r="M1963">
        <v>267</v>
      </c>
      <c r="N1963">
        <v>30</v>
      </c>
      <c r="O1963">
        <v>2929.97</v>
      </c>
      <c r="P1963">
        <v>1683.8244589999999</v>
      </c>
      <c r="Q1963">
        <v>4613.7944589999997</v>
      </c>
      <c r="R1963">
        <v>738.20711300000005</v>
      </c>
      <c r="S1963">
        <v>184.55177800000001</v>
      </c>
      <c r="T1963">
        <v>5167.4497940000001</v>
      </c>
      <c r="U1963" t="s">
        <v>1928</v>
      </c>
      <c r="V1963" t="s">
        <v>9408</v>
      </c>
      <c r="W1963" t="s">
        <v>424</v>
      </c>
    </row>
    <row r="1964" spans="1:23" hidden="1" x14ac:dyDescent="0.2">
      <c r="A1964">
        <v>2012</v>
      </c>
      <c r="B1964" t="s">
        <v>303</v>
      </c>
      <c r="C1964" s="733">
        <v>40913</v>
      </c>
      <c r="D19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64" t="s">
        <v>505</v>
      </c>
      <c r="F1964" t="s">
        <v>1915</v>
      </c>
      <c r="G1964" t="s">
        <v>2021</v>
      </c>
      <c r="H1964">
        <v>21702</v>
      </c>
      <c r="I1964" t="s">
        <v>424</v>
      </c>
      <c r="J1964" t="s">
        <v>1917</v>
      </c>
      <c r="K1964" t="s">
        <v>1918</v>
      </c>
      <c r="L1964" t="s">
        <v>1919</v>
      </c>
      <c r="M1964">
        <v>267</v>
      </c>
      <c r="N1964">
        <v>30</v>
      </c>
      <c r="O1964">
        <v>2929.97</v>
      </c>
      <c r="P1964">
        <v>1683.8244589999999</v>
      </c>
      <c r="Q1964">
        <v>4613.7944589999997</v>
      </c>
      <c r="R1964">
        <v>738.20711300000005</v>
      </c>
      <c r="S1964">
        <v>184.55177800000001</v>
      </c>
      <c r="T1964">
        <v>5167.4497940000001</v>
      </c>
      <c r="U1964" t="s">
        <v>1920</v>
      </c>
      <c r="V1964" t="s">
        <v>9408</v>
      </c>
      <c r="W1964" t="s">
        <v>424</v>
      </c>
    </row>
    <row r="1965" spans="1:23" hidden="1" x14ac:dyDescent="0.2">
      <c r="A1965">
        <v>2012</v>
      </c>
      <c r="B1965" t="s">
        <v>304</v>
      </c>
      <c r="C1965" s="733">
        <v>40947</v>
      </c>
      <c r="D19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65" t="s">
        <v>505</v>
      </c>
      <c r="F1965" t="s">
        <v>1915</v>
      </c>
      <c r="G1965" t="s">
        <v>2024</v>
      </c>
      <c r="H1965">
        <v>22538</v>
      </c>
      <c r="I1965" t="s">
        <v>424</v>
      </c>
      <c r="J1965" t="s">
        <v>1917</v>
      </c>
      <c r="K1965" t="s">
        <v>1918</v>
      </c>
      <c r="L1965" t="s">
        <v>1919</v>
      </c>
      <c r="M1965">
        <v>267</v>
      </c>
      <c r="N1965">
        <v>30</v>
      </c>
      <c r="O1965">
        <v>2929.97</v>
      </c>
      <c r="P1965">
        <v>1683.8244589999999</v>
      </c>
      <c r="Q1965">
        <v>4613.7944589999997</v>
      </c>
      <c r="R1965">
        <v>738.20711300000005</v>
      </c>
      <c r="S1965">
        <v>184.55177800000001</v>
      </c>
      <c r="T1965">
        <v>5167.4497940000001</v>
      </c>
      <c r="U1965" t="s">
        <v>1924</v>
      </c>
      <c r="V1965" t="s">
        <v>9408</v>
      </c>
      <c r="W1965" t="s">
        <v>424</v>
      </c>
    </row>
    <row r="1966" spans="1:23" hidden="1" x14ac:dyDescent="0.2">
      <c r="A1966">
        <v>2012</v>
      </c>
      <c r="B1966" t="s">
        <v>304</v>
      </c>
      <c r="C1966" s="733">
        <v>40940</v>
      </c>
      <c r="D19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66" t="s">
        <v>485</v>
      </c>
      <c r="F1966" t="s">
        <v>2065</v>
      </c>
      <c r="G1966" t="s">
        <v>3191</v>
      </c>
      <c r="H1966">
        <v>39868</v>
      </c>
      <c r="I1966" t="s">
        <v>423</v>
      </c>
      <c r="J1966" t="s">
        <v>2189</v>
      </c>
      <c r="K1966" t="s">
        <v>2183</v>
      </c>
      <c r="L1966" t="s">
        <v>2184</v>
      </c>
      <c r="M1966">
        <v>720</v>
      </c>
      <c r="N1966">
        <v>24.46</v>
      </c>
      <c r="O1966">
        <v>10857.55</v>
      </c>
      <c r="P1966">
        <v>0</v>
      </c>
      <c r="Q1966">
        <v>10857.55</v>
      </c>
      <c r="R1966">
        <v>1737.21</v>
      </c>
      <c r="S1966">
        <v>434.3</v>
      </c>
      <c r="T1966">
        <v>12160.46</v>
      </c>
      <c r="U1966" t="s">
        <v>2187</v>
      </c>
      <c r="V1966" t="s">
        <v>9408</v>
      </c>
      <c r="W1966" t="s">
        <v>423</v>
      </c>
    </row>
    <row r="1967" spans="1:23" hidden="1" x14ac:dyDescent="0.2">
      <c r="A1967">
        <v>2012</v>
      </c>
      <c r="B1967" t="s">
        <v>303</v>
      </c>
      <c r="C1967" s="733">
        <v>40911</v>
      </c>
      <c r="D19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67" t="s">
        <v>485</v>
      </c>
      <c r="F1967" t="s">
        <v>2065</v>
      </c>
      <c r="G1967" t="s">
        <v>5654</v>
      </c>
      <c r="H1967">
        <v>39655</v>
      </c>
      <c r="I1967" t="s">
        <v>423</v>
      </c>
      <c r="J1967" t="s">
        <v>2189</v>
      </c>
      <c r="K1967" t="s">
        <v>2183</v>
      </c>
      <c r="L1967" t="s">
        <v>2184</v>
      </c>
      <c r="M1967">
        <v>720</v>
      </c>
      <c r="N1967">
        <v>26.47</v>
      </c>
      <c r="O1967">
        <v>4946.9799999999996</v>
      </c>
      <c r="P1967">
        <v>5569.7553120000002</v>
      </c>
      <c r="Q1967">
        <v>10516.735312000001</v>
      </c>
      <c r="R1967">
        <v>1682.6776500000001</v>
      </c>
      <c r="S1967">
        <v>420.66941200000002</v>
      </c>
      <c r="T1967">
        <v>11778.743549999999</v>
      </c>
      <c r="U1967" t="s">
        <v>3038</v>
      </c>
      <c r="V1967" t="s">
        <v>9408</v>
      </c>
      <c r="W1967" t="s">
        <v>423</v>
      </c>
    </row>
    <row r="1968" spans="1:23" hidden="1" x14ac:dyDescent="0.2">
      <c r="A1968">
        <v>2012</v>
      </c>
      <c r="B1968" t="s">
        <v>304</v>
      </c>
      <c r="C1968" s="733">
        <v>40960</v>
      </c>
      <c r="D19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68" t="s">
        <v>485</v>
      </c>
      <c r="F1968" t="s">
        <v>2065</v>
      </c>
      <c r="G1968" t="s">
        <v>8074</v>
      </c>
      <c r="H1968">
        <v>42213</v>
      </c>
      <c r="I1968" t="s">
        <v>423</v>
      </c>
      <c r="J1968" t="s">
        <v>2189</v>
      </c>
      <c r="K1968" t="s">
        <v>2183</v>
      </c>
      <c r="L1968" t="s">
        <v>2184</v>
      </c>
      <c r="M1968">
        <v>720</v>
      </c>
      <c r="N1968">
        <v>25.13</v>
      </c>
      <c r="O1968">
        <v>11154.96</v>
      </c>
      <c r="P1968">
        <v>0</v>
      </c>
      <c r="Q1968">
        <v>11154.96</v>
      </c>
      <c r="R1968">
        <v>1784.79</v>
      </c>
      <c r="S1968">
        <v>446.2</v>
      </c>
      <c r="T1968">
        <v>12493.55</v>
      </c>
      <c r="V1968" t="s">
        <v>9408</v>
      </c>
      <c r="W1968" t="s">
        <v>423</v>
      </c>
    </row>
    <row r="1969" spans="1:23" hidden="1" x14ac:dyDescent="0.2">
      <c r="A1969">
        <v>2012</v>
      </c>
      <c r="B1969" t="s">
        <v>303</v>
      </c>
      <c r="C1969" s="733">
        <v>40925</v>
      </c>
      <c r="D19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69" t="s">
        <v>485</v>
      </c>
      <c r="F1969" t="s">
        <v>2065</v>
      </c>
      <c r="G1969" t="s">
        <v>3192</v>
      </c>
      <c r="H1969">
        <v>40302</v>
      </c>
      <c r="I1969" t="s">
        <v>423</v>
      </c>
      <c r="J1969" t="s">
        <v>2189</v>
      </c>
      <c r="K1969" t="s">
        <v>2183</v>
      </c>
      <c r="L1969" t="s">
        <v>2184</v>
      </c>
      <c r="M1969">
        <v>720</v>
      </c>
      <c r="N1969">
        <v>27.48</v>
      </c>
      <c r="O1969">
        <v>12198.1</v>
      </c>
      <c r="P1969">
        <v>0</v>
      </c>
      <c r="Q1969">
        <v>12198.1</v>
      </c>
      <c r="R1969">
        <v>1951.7</v>
      </c>
      <c r="S1969">
        <v>487.92</v>
      </c>
      <c r="T1969">
        <v>13661.88</v>
      </c>
      <c r="U1969" t="s">
        <v>2187</v>
      </c>
      <c r="V1969" t="s">
        <v>9408</v>
      </c>
      <c r="W1969" t="s">
        <v>423</v>
      </c>
    </row>
    <row r="1970" spans="1:23" hidden="1" x14ac:dyDescent="0.2">
      <c r="A1970">
        <v>2012</v>
      </c>
      <c r="B1970" t="s">
        <v>304</v>
      </c>
      <c r="C1970" s="733">
        <v>40953</v>
      </c>
      <c r="D19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70" t="s">
        <v>485</v>
      </c>
      <c r="F1970" t="s">
        <v>2065</v>
      </c>
      <c r="G1970" t="s">
        <v>5662</v>
      </c>
      <c r="H1970">
        <v>41756</v>
      </c>
      <c r="I1970" t="s">
        <v>423</v>
      </c>
      <c r="J1970" t="s">
        <v>2189</v>
      </c>
      <c r="K1970" t="s">
        <v>2183</v>
      </c>
      <c r="L1970" t="s">
        <v>2184</v>
      </c>
      <c r="M1970">
        <v>720</v>
      </c>
      <c r="N1970">
        <v>27.74</v>
      </c>
      <c r="O1970">
        <v>12313.51</v>
      </c>
      <c r="P1970">
        <v>0</v>
      </c>
      <c r="Q1970">
        <v>12313.51</v>
      </c>
      <c r="R1970">
        <v>1970.16</v>
      </c>
      <c r="S1970">
        <v>492.54</v>
      </c>
      <c r="T1970">
        <v>13791.13</v>
      </c>
      <c r="U1970" t="s">
        <v>8048</v>
      </c>
      <c r="V1970" t="s">
        <v>9408</v>
      </c>
      <c r="W1970" t="s">
        <v>423</v>
      </c>
    </row>
    <row r="1971" spans="1:23" x14ac:dyDescent="0.2">
      <c r="A1971">
        <v>2012</v>
      </c>
      <c r="B1971" t="s">
        <v>304</v>
      </c>
      <c r="C1971" s="733">
        <v>40968</v>
      </c>
      <c r="D19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71" t="s">
        <v>485</v>
      </c>
      <c r="F1971" t="s">
        <v>2136</v>
      </c>
      <c r="G1971" t="s">
        <v>9218</v>
      </c>
      <c r="H1971">
        <v>42767</v>
      </c>
      <c r="I1971" t="s">
        <v>423</v>
      </c>
      <c r="J1971" t="s">
        <v>2189</v>
      </c>
      <c r="K1971" t="s">
        <v>2183</v>
      </c>
      <c r="L1971" t="s">
        <v>2184</v>
      </c>
      <c r="M1971">
        <v>720</v>
      </c>
      <c r="N1971">
        <v>25.84</v>
      </c>
      <c r="O1971">
        <v>11470.12</v>
      </c>
      <c r="P1971">
        <v>0</v>
      </c>
      <c r="Q1971">
        <v>11470.12</v>
      </c>
      <c r="R1971">
        <v>1835.22</v>
      </c>
      <c r="S1971">
        <v>458.8</v>
      </c>
      <c r="T1971">
        <v>12846.54</v>
      </c>
      <c r="V1971" t="s">
        <v>9408</v>
      </c>
      <c r="W1971" t="s">
        <v>423</v>
      </c>
    </row>
    <row r="1972" spans="1:23" x14ac:dyDescent="0.2">
      <c r="A1972">
        <v>2012</v>
      </c>
      <c r="B1972" t="s">
        <v>304</v>
      </c>
      <c r="C1972" s="733">
        <v>40968</v>
      </c>
      <c r="D19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72" t="s">
        <v>485</v>
      </c>
      <c r="F1972" t="s">
        <v>2065</v>
      </c>
      <c r="G1972" t="s">
        <v>9219</v>
      </c>
      <c r="H1972">
        <v>42768</v>
      </c>
      <c r="I1972" t="s">
        <v>423</v>
      </c>
      <c r="J1972" t="s">
        <v>2189</v>
      </c>
      <c r="K1972" t="s">
        <v>2183</v>
      </c>
      <c r="L1972" t="s">
        <v>2184</v>
      </c>
      <c r="M1972">
        <v>720</v>
      </c>
      <c r="N1972">
        <v>24.46</v>
      </c>
      <c r="O1972">
        <v>10857.55</v>
      </c>
      <c r="P1972">
        <v>0</v>
      </c>
      <c r="Q1972">
        <v>10857.55</v>
      </c>
      <c r="R1972">
        <v>1737.21</v>
      </c>
      <c r="S1972">
        <v>434.3</v>
      </c>
      <c r="T1972">
        <v>12160.46</v>
      </c>
      <c r="V1972" t="s">
        <v>9408</v>
      </c>
      <c r="W1972" t="s">
        <v>423</v>
      </c>
    </row>
    <row r="1973" spans="1:23" hidden="1" x14ac:dyDescent="0.2">
      <c r="A1973">
        <v>2012</v>
      </c>
      <c r="B1973" t="s">
        <v>304</v>
      </c>
      <c r="C1973" s="733">
        <v>40966</v>
      </c>
      <c r="D19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73" t="s">
        <v>478</v>
      </c>
      <c r="F1973" t="s">
        <v>2136</v>
      </c>
      <c r="G1973" t="s">
        <v>8875</v>
      </c>
      <c r="H1973">
        <v>35663</v>
      </c>
      <c r="I1973" t="s">
        <v>423</v>
      </c>
      <c r="J1973" t="s">
        <v>4282</v>
      </c>
      <c r="K1973" t="s">
        <v>425</v>
      </c>
      <c r="L1973" t="s">
        <v>2145</v>
      </c>
      <c r="M1973">
        <v>1405</v>
      </c>
      <c r="N1973">
        <v>38.47</v>
      </c>
      <c r="O1973">
        <v>34884.21</v>
      </c>
      <c r="P1973">
        <v>0</v>
      </c>
      <c r="Q1973">
        <v>34884.21</v>
      </c>
      <c r="R1973">
        <v>5581.47</v>
      </c>
      <c r="S1973">
        <v>1395.37</v>
      </c>
      <c r="T1973">
        <v>39070.31</v>
      </c>
      <c r="U1973" t="s">
        <v>9430</v>
      </c>
      <c r="V1973" t="s">
        <v>9409</v>
      </c>
      <c r="W1973" t="s">
        <v>423</v>
      </c>
    </row>
    <row r="1974" spans="1:23" hidden="1" x14ac:dyDescent="0.2">
      <c r="A1974">
        <v>2012</v>
      </c>
      <c r="B1974" t="s">
        <v>303</v>
      </c>
      <c r="C1974" s="733">
        <v>40915</v>
      </c>
      <c r="D19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74" t="s">
        <v>478</v>
      </c>
      <c r="F1974" t="s">
        <v>2136</v>
      </c>
      <c r="G1974" t="s">
        <v>6842</v>
      </c>
      <c r="H1974">
        <v>34227</v>
      </c>
      <c r="I1974" t="s">
        <v>423</v>
      </c>
      <c r="J1974" t="s">
        <v>4791</v>
      </c>
      <c r="K1974" t="s">
        <v>425</v>
      </c>
      <c r="L1974" t="s">
        <v>2145</v>
      </c>
      <c r="M1974">
        <v>139</v>
      </c>
      <c r="N1974">
        <v>22.12</v>
      </c>
      <c r="O1974">
        <v>3694.48</v>
      </c>
      <c r="P1974">
        <v>0</v>
      </c>
      <c r="Q1974">
        <v>3694.48</v>
      </c>
      <c r="R1974">
        <v>591.12</v>
      </c>
      <c r="S1974">
        <v>147.78</v>
      </c>
      <c r="T1974">
        <v>4137.82</v>
      </c>
      <c r="U1974" t="s">
        <v>2350</v>
      </c>
      <c r="V1974" t="s">
        <v>9408</v>
      </c>
      <c r="W1974" t="s">
        <v>423</v>
      </c>
    </row>
    <row r="1975" spans="1:23" hidden="1" x14ac:dyDescent="0.2">
      <c r="A1975">
        <v>2012</v>
      </c>
      <c r="B1975" t="s">
        <v>303</v>
      </c>
      <c r="C1975" s="733">
        <v>40936</v>
      </c>
      <c r="D19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75" t="s">
        <v>478</v>
      </c>
      <c r="F1975" t="s">
        <v>2136</v>
      </c>
      <c r="G1975" t="s">
        <v>6841</v>
      </c>
      <c r="H1975">
        <v>35010</v>
      </c>
      <c r="I1975" t="s">
        <v>423</v>
      </c>
      <c r="J1975" t="s">
        <v>4791</v>
      </c>
      <c r="K1975" t="s">
        <v>425</v>
      </c>
      <c r="L1975" t="s">
        <v>2145</v>
      </c>
      <c r="M1975">
        <v>139</v>
      </c>
      <c r="N1975">
        <v>25.79</v>
      </c>
      <c r="O1975">
        <v>4307.45</v>
      </c>
      <c r="P1975">
        <v>0</v>
      </c>
      <c r="Q1975">
        <v>4307.45</v>
      </c>
      <c r="R1975">
        <v>689.19</v>
      </c>
      <c r="S1975">
        <v>172.3</v>
      </c>
      <c r="T1975">
        <v>4824.34</v>
      </c>
      <c r="U1975" t="s">
        <v>2914</v>
      </c>
      <c r="V1975" t="s">
        <v>9408</v>
      </c>
      <c r="W1975" t="s">
        <v>423</v>
      </c>
    </row>
    <row r="1976" spans="1:23" hidden="1" x14ac:dyDescent="0.2">
      <c r="A1976">
        <v>2012</v>
      </c>
      <c r="B1976" t="s">
        <v>304</v>
      </c>
      <c r="C1976" s="733">
        <v>40959</v>
      </c>
      <c r="D19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76" t="s">
        <v>485</v>
      </c>
      <c r="F1976" t="s">
        <v>2065</v>
      </c>
      <c r="G1976" t="s">
        <v>7902</v>
      </c>
      <c r="H1976">
        <v>42104</v>
      </c>
      <c r="I1976" t="s">
        <v>423</v>
      </c>
      <c r="J1976" t="s">
        <v>2189</v>
      </c>
      <c r="K1976" t="s">
        <v>2183</v>
      </c>
      <c r="L1976" t="s">
        <v>2184</v>
      </c>
      <c r="M1976">
        <v>720</v>
      </c>
      <c r="N1976">
        <v>23.73</v>
      </c>
      <c r="O1976">
        <v>10533.51</v>
      </c>
      <c r="P1976">
        <v>0</v>
      </c>
      <c r="Q1976">
        <v>10533.51</v>
      </c>
      <c r="R1976">
        <v>1685.36</v>
      </c>
      <c r="S1976">
        <v>421.34</v>
      </c>
      <c r="T1976">
        <v>11797.53</v>
      </c>
      <c r="U1976" t="s">
        <v>9411</v>
      </c>
      <c r="V1976" t="s">
        <v>9408</v>
      </c>
      <c r="W1976" t="s">
        <v>423</v>
      </c>
    </row>
    <row r="1977" spans="1:23" hidden="1" x14ac:dyDescent="0.2">
      <c r="A1977">
        <v>2012</v>
      </c>
      <c r="B1977" t="s">
        <v>303</v>
      </c>
      <c r="C1977" s="733">
        <v>40912</v>
      </c>
      <c r="D19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77" t="s">
        <v>485</v>
      </c>
      <c r="F1977" t="s">
        <v>2065</v>
      </c>
      <c r="G1977" t="s">
        <v>5655</v>
      </c>
      <c r="H1977">
        <v>39703</v>
      </c>
      <c r="I1977" t="s">
        <v>423</v>
      </c>
      <c r="J1977" t="s">
        <v>3054</v>
      </c>
      <c r="K1977" t="s">
        <v>2183</v>
      </c>
      <c r="L1977" t="s">
        <v>2184</v>
      </c>
      <c r="M1977">
        <v>43</v>
      </c>
      <c r="N1977">
        <v>15.03</v>
      </c>
      <c r="O1977">
        <v>714.23</v>
      </c>
      <c r="P1977">
        <v>804.14441499999998</v>
      </c>
      <c r="Q1977">
        <v>1518.374415</v>
      </c>
      <c r="R1977">
        <v>242.93990600000001</v>
      </c>
      <c r="S1977">
        <v>60.734977000000001</v>
      </c>
      <c r="T1977">
        <v>1700.579344</v>
      </c>
      <c r="V1977" t="s">
        <v>9408</v>
      </c>
      <c r="W1977" t="s">
        <v>423</v>
      </c>
    </row>
    <row r="1978" spans="1:23" hidden="1" x14ac:dyDescent="0.2">
      <c r="A1978">
        <v>2012</v>
      </c>
      <c r="B1978" t="s">
        <v>304</v>
      </c>
      <c r="C1978" s="733">
        <v>40940</v>
      </c>
      <c r="D19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78" t="s">
        <v>485</v>
      </c>
      <c r="F1978" t="s">
        <v>2065</v>
      </c>
      <c r="G1978" t="s">
        <v>5652</v>
      </c>
      <c r="H1978">
        <v>40472</v>
      </c>
      <c r="I1978" t="s">
        <v>423</v>
      </c>
      <c r="J1978" t="s">
        <v>2189</v>
      </c>
      <c r="K1978" t="s">
        <v>2183</v>
      </c>
      <c r="L1978" t="s">
        <v>2184</v>
      </c>
      <c r="M1978">
        <v>720</v>
      </c>
      <c r="N1978">
        <v>28.38</v>
      </c>
      <c r="O1978">
        <v>12597.6</v>
      </c>
      <c r="P1978">
        <v>0</v>
      </c>
      <c r="Q1978">
        <v>12597.6</v>
      </c>
      <c r="R1978">
        <v>2015.62</v>
      </c>
      <c r="S1978">
        <v>503.9</v>
      </c>
      <c r="T1978">
        <v>14109.32</v>
      </c>
      <c r="U1978" t="s">
        <v>2187</v>
      </c>
      <c r="V1978" t="s">
        <v>9408</v>
      </c>
      <c r="W1978" t="s">
        <v>423</v>
      </c>
    </row>
    <row r="1979" spans="1:23" hidden="1" x14ac:dyDescent="0.2">
      <c r="A1979">
        <v>2012</v>
      </c>
      <c r="B1979" t="s">
        <v>304</v>
      </c>
      <c r="C1979" s="733">
        <v>40948</v>
      </c>
      <c r="D19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79" t="s">
        <v>485</v>
      </c>
      <c r="F1979" t="s">
        <v>2065</v>
      </c>
      <c r="G1979" t="s">
        <v>3184</v>
      </c>
      <c r="H1979">
        <v>41609</v>
      </c>
      <c r="I1979" t="s">
        <v>423</v>
      </c>
      <c r="J1979" t="s">
        <v>2186</v>
      </c>
      <c r="K1979" t="s">
        <v>2183</v>
      </c>
      <c r="L1979" t="s">
        <v>2184</v>
      </c>
      <c r="M1979">
        <v>19</v>
      </c>
      <c r="N1979">
        <v>16.329999999999998</v>
      </c>
      <c r="O1979">
        <v>1843.17</v>
      </c>
      <c r="P1979">
        <v>0</v>
      </c>
      <c r="Q1979">
        <v>1843.17</v>
      </c>
      <c r="R1979">
        <v>294.91000000000003</v>
      </c>
      <c r="S1979">
        <v>73.73</v>
      </c>
      <c r="T1979">
        <v>2064.35</v>
      </c>
      <c r="U1979" t="s">
        <v>2192</v>
      </c>
      <c r="V1979" t="s">
        <v>9408</v>
      </c>
      <c r="W1979" t="s">
        <v>423</v>
      </c>
    </row>
    <row r="1980" spans="1:23" hidden="1" x14ac:dyDescent="0.2">
      <c r="A1980">
        <v>2012</v>
      </c>
      <c r="B1980" t="s">
        <v>304</v>
      </c>
      <c r="C1980" s="733">
        <v>40952</v>
      </c>
      <c r="D19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80" t="s">
        <v>485</v>
      </c>
      <c r="F1980" t="s">
        <v>2065</v>
      </c>
      <c r="G1980" t="s">
        <v>3193</v>
      </c>
      <c r="H1980">
        <v>41705</v>
      </c>
      <c r="I1980" t="s">
        <v>423</v>
      </c>
      <c r="J1980" t="s">
        <v>2186</v>
      </c>
      <c r="K1980" t="s">
        <v>2183</v>
      </c>
      <c r="L1980" t="s">
        <v>2184</v>
      </c>
      <c r="M1980">
        <v>19</v>
      </c>
      <c r="N1980">
        <v>15.58</v>
      </c>
      <c r="O1980">
        <v>1758.51</v>
      </c>
      <c r="P1980">
        <v>0</v>
      </c>
      <c r="Q1980">
        <v>1758.51</v>
      </c>
      <c r="R1980">
        <v>281.36</v>
      </c>
      <c r="S1980">
        <v>70.34</v>
      </c>
      <c r="T1980">
        <v>1969.53</v>
      </c>
      <c r="U1980" t="s">
        <v>8048</v>
      </c>
      <c r="V1980" t="s">
        <v>9408</v>
      </c>
      <c r="W1980" t="s">
        <v>423</v>
      </c>
    </row>
    <row r="1981" spans="1:23" hidden="1" x14ac:dyDescent="0.2">
      <c r="A1981">
        <v>2012</v>
      </c>
      <c r="B1981" t="s">
        <v>304</v>
      </c>
      <c r="C1981" s="733">
        <v>40961</v>
      </c>
      <c r="D19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81" t="s">
        <v>485</v>
      </c>
      <c r="F1981" t="s">
        <v>2065</v>
      </c>
      <c r="G1981" t="s">
        <v>8319</v>
      </c>
      <c r="H1981">
        <v>42379</v>
      </c>
      <c r="I1981" t="s">
        <v>423</v>
      </c>
      <c r="J1981" t="s">
        <v>2186</v>
      </c>
      <c r="K1981" t="s">
        <v>2183</v>
      </c>
      <c r="L1981" t="s">
        <v>2184</v>
      </c>
      <c r="M1981">
        <v>19</v>
      </c>
      <c r="N1981">
        <v>15.93</v>
      </c>
      <c r="O1981">
        <v>1798.02</v>
      </c>
      <c r="P1981">
        <v>0</v>
      </c>
      <c r="Q1981">
        <v>1798.02</v>
      </c>
      <c r="R1981">
        <v>287.68</v>
      </c>
      <c r="S1981">
        <v>71.92</v>
      </c>
      <c r="T1981">
        <v>2013.78</v>
      </c>
      <c r="U1981" t="s">
        <v>9411</v>
      </c>
      <c r="V1981" t="s">
        <v>9408</v>
      </c>
      <c r="W1981" t="s">
        <v>423</v>
      </c>
    </row>
    <row r="1982" spans="1:23" hidden="1" x14ac:dyDescent="0.2">
      <c r="A1982">
        <v>2012</v>
      </c>
      <c r="B1982" t="s">
        <v>304</v>
      </c>
      <c r="C1982" s="733">
        <v>40942</v>
      </c>
      <c r="D19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82" t="s">
        <v>485</v>
      </c>
      <c r="F1982" t="s">
        <v>2065</v>
      </c>
      <c r="G1982" t="s">
        <v>3183</v>
      </c>
      <c r="H1982">
        <v>40011</v>
      </c>
      <c r="I1982" t="s">
        <v>423</v>
      </c>
      <c r="J1982" t="s">
        <v>2186</v>
      </c>
      <c r="K1982" t="s">
        <v>2183</v>
      </c>
      <c r="L1982" t="s">
        <v>2184</v>
      </c>
      <c r="M1982">
        <v>19</v>
      </c>
      <c r="N1982">
        <v>15.99</v>
      </c>
      <c r="O1982">
        <v>1804.79</v>
      </c>
      <c r="P1982">
        <v>0</v>
      </c>
      <c r="Q1982">
        <v>1804.79</v>
      </c>
      <c r="R1982">
        <v>288.77</v>
      </c>
      <c r="S1982">
        <v>72.19</v>
      </c>
      <c r="T1982">
        <v>2021.37</v>
      </c>
      <c r="U1982" t="s">
        <v>2192</v>
      </c>
      <c r="V1982" t="s">
        <v>9408</v>
      </c>
      <c r="W1982" t="s">
        <v>423</v>
      </c>
    </row>
    <row r="1983" spans="1:23" hidden="1" x14ac:dyDescent="0.2">
      <c r="A1983">
        <v>2012</v>
      </c>
      <c r="B1983" t="s">
        <v>303</v>
      </c>
      <c r="C1983" s="733">
        <v>40936</v>
      </c>
      <c r="D19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83" t="s">
        <v>478</v>
      </c>
      <c r="F1983" t="s">
        <v>3787</v>
      </c>
      <c r="G1983" t="s">
        <v>4999</v>
      </c>
      <c r="H1983">
        <v>34561</v>
      </c>
      <c r="I1983" t="s">
        <v>423</v>
      </c>
      <c r="J1983" t="s">
        <v>3789</v>
      </c>
      <c r="K1983" t="s">
        <v>3481</v>
      </c>
      <c r="L1983" t="s">
        <v>3482</v>
      </c>
      <c r="M1983">
        <v>27</v>
      </c>
      <c r="N1983">
        <v>22.245000000000001</v>
      </c>
      <c r="O1983">
        <v>2510.5700000000002</v>
      </c>
      <c r="P1983">
        <v>0</v>
      </c>
      <c r="Q1983">
        <v>2510.5700000000002</v>
      </c>
      <c r="R1983">
        <v>401.69</v>
      </c>
      <c r="S1983">
        <v>100.42</v>
      </c>
      <c r="T1983">
        <v>2811.84</v>
      </c>
      <c r="U1983" t="s">
        <v>3784</v>
      </c>
      <c r="V1983" t="s">
        <v>9408</v>
      </c>
      <c r="W1983" t="s">
        <v>423</v>
      </c>
    </row>
    <row r="1984" spans="1:23" hidden="1" x14ac:dyDescent="0.2">
      <c r="A1984">
        <v>2012</v>
      </c>
      <c r="B1984" t="s">
        <v>303</v>
      </c>
      <c r="C1984" s="733">
        <v>40936</v>
      </c>
      <c r="D19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84" t="s">
        <v>478</v>
      </c>
      <c r="F1984" t="s">
        <v>3787</v>
      </c>
      <c r="G1984" t="s">
        <v>4998</v>
      </c>
      <c r="H1984">
        <v>34555</v>
      </c>
      <c r="I1984" t="s">
        <v>423</v>
      </c>
      <c r="J1984" t="s">
        <v>3789</v>
      </c>
      <c r="K1984" t="s">
        <v>3481</v>
      </c>
      <c r="L1984" t="s">
        <v>3482</v>
      </c>
      <c r="M1984">
        <v>27</v>
      </c>
      <c r="N1984">
        <v>28.395</v>
      </c>
      <c r="O1984">
        <v>3204.66</v>
      </c>
      <c r="P1984">
        <v>0</v>
      </c>
      <c r="Q1984">
        <v>3204.66</v>
      </c>
      <c r="R1984">
        <v>512.75</v>
      </c>
      <c r="S1984">
        <v>128.19</v>
      </c>
      <c r="T1984">
        <v>3589.22</v>
      </c>
      <c r="U1984" t="s">
        <v>3784</v>
      </c>
      <c r="V1984" t="s">
        <v>9408</v>
      </c>
      <c r="W1984" t="s">
        <v>423</v>
      </c>
    </row>
    <row r="1985" spans="1:23" hidden="1" x14ac:dyDescent="0.2">
      <c r="A1985">
        <v>2012</v>
      </c>
      <c r="B1985" t="s">
        <v>304</v>
      </c>
      <c r="C1985" s="733">
        <v>40952.577152777776</v>
      </c>
      <c r="D19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85" t="s">
        <v>478</v>
      </c>
      <c r="F1985" t="s">
        <v>3787</v>
      </c>
      <c r="G1985" t="s">
        <v>4997</v>
      </c>
      <c r="H1985">
        <v>35545</v>
      </c>
      <c r="I1985" t="s">
        <v>423</v>
      </c>
      <c r="J1985" t="s">
        <v>3789</v>
      </c>
      <c r="K1985" t="s">
        <v>3481</v>
      </c>
      <c r="L1985" t="s">
        <v>3482</v>
      </c>
      <c r="M1985">
        <v>27</v>
      </c>
      <c r="N1985">
        <v>28.69</v>
      </c>
      <c r="O1985">
        <v>3238.24</v>
      </c>
      <c r="P1985">
        <v>0</v>
      </c>
      <c r="Q1985">
        <v>3238.24</v>
      </c>
      <c r="R1985">
        <v>518.12</v>
      </c>
      <c r="S1985">
        <v>129.53</v>
      </c>
      <c r="T1985">
        <v>3626.83</v>
      </c>
      <c r="U1985" t="s">
        <v>3483</v>
      </c>
      <c r="V1985" t="s">
        <v>9408</v>
      </c>
      <c r="W1985" t="s">
        <v>423</v>
      </c>
    </row>
    <row r="1986" spans="1:23" hidden="1" x14ac:dyDescent="0.2">
      <c r="A1986">
        <v>2012</v>
      </c>
      <c r="B1986" t="s">
        <v>304</v>
      </c>
      <c r="C1986" s="733">
        <v>40942</v>
      </c>
      <c r="D19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86" t="s">
        <v>478</v>
      </c>
      <c r="F1986" t="s">
        <v>2136</v>
      </c>
      <c r="G1986" t="s">
        <v>7212</v>
      </c>
      <c r="H1986">
        <v>35267</v>
      </c>
      <c r="I1986" t="s">
        <v>423</v>
      </c>
      <c r="J1986" t="s">
        <v>4270</v>
      </c>
      <c r="K1986" t="s">
        <v>425</v>
      </c>
      <c r="L1986" t="s">
        <v>2145</v>
      </c>
      <c r="M1986">
        <v>560</v>
      </c>
      <c r="N1986">
        <v>23.34</v>
      </c>
      <c r="O1986">
        <v>7457.13</v>
      </c>
      <c r="P1986">
        <v>0</v>
      </c>
      <c r="Q1986">
        <v>7457.13</v>
      </c>
      <c r="R1986">
        <v>1193.1400000000001</v>
      </c>
      <c r="S1986">
        <v>298.29000000000002</v>
      </c>
      <c r="T1986">
        <v>8351.98</v>
      </c>
      <c r="U1986" t="s">
        <v>3115</v>
      </c>
      <c r="V1986" t="s">
        <v>9408</v>
      </c>
      <c r="W1986" t="s">
        <v>423</v>
      </c>
    </row>
    <row r="1987" spans="1:23" hidden="1" x14ac:dyDescent="0.2">
      <c r="A1987">
        <v>2012</v>
      </c>
      <c r="B1987" t="s">
        <v>303</v>
      </c>
      <c r="C1987" s="733">
        <v>40928</v>
      </c>
      <c r="D19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87" t="s">
        <v>478</v>
      </c>
      <c r="F1987" t="s">
        <v>2136</v>
      </c>
      <c r="G1987" t="s">
        <v>7208</v>
      </c>
      <c r="H1987">
        <v>34748</v>
      </c>
      <c r="I1987" t="s">
        <v>423</v>
      </c>
      <c r="J1987" t="s">
        <v>3329</v>
      </c>
      <c r="K1987" t="s">
        <v>425</v>
      </c>
      <c r="L1987" t="s">
        <v>2145</v>
      </c>
      <c r="M1987">
        <v>596</v>
      </c>
      <c r="N1987">
        <v>24.56</v>
      </c>
      <c r="O1987">
        <v>7846.92</v>
      </c>
      <c r="P1987">
        <v>0</v>
      </c>
      <c r="Q1987">
        <v>7846.92</v>
      </c>
      <c r="R1987">
        <v>1255.51</v>
      </c>
      <c r="S1987">
        <v>313.88</v>
      </c>
      <c r="T1987">
        <v>8788.5499999999993</v>
      </c>
      <c r="U1987" t="s">
        <v>2355</v>
      </c>
      <c r="V1987" t="s">
        <v>9409</v>
      </c>
      <c r="W1987" t="s">
        <v>423</v>
      </c>
    </row>
    <row r="1988" spans="1:23" hidden="1" x14ac:dyDescent="0.2">
      <c r="A1988">
        <v>2012</v>
      </c>
      <c r="B1988" t="s">
        <v>305</v>
      </c>
      <c r="C1988" s="733">
        <v>40971</v>
      </c>
      <c r="D1988" s="733" t="str">
        <f>CHOOSE(MONTH(Tabla_sqldatos_bonampakdb_Bon_v_ingresos2012[[#This Row],[fecha_guia]]),"Enero","Febrero","Marzo","Abril","Mayo","Junio","Julio","Agosto","Septiembre","Octubre","Noviembre","Diciembre")</f>
        <v>Marzo</v>
      </c>
      <c r="E1988" t="s">
        <v>505</v>
      </c>
      <c r="F1988" t="s">
        <v>1915</v>
      </c>
      <c r="G1988" t="s">
        <v>9699</v>
      </c>
      <c r="H1988">
        <v>23166</v>
      </c>
      <c r="I1988" t="s">
        <v>424</v>
      </c>
      <c r="J1988" t="s">
        <v>1954</v>
      </c>
      <c r="K1988" t="s">
        <v>1918</v>
      </c>
      <c r="L1988" t="s">
        <v>1919</v>
      </c>
      <c r="M1988">
        <v>303</v>
      </c>
      <c r="N1988">
        <v>30</v>
      </c>
      <c r="O1988">
        <v>5862.3</v>
      </c>
      <c r="P1988">
        <v>0</v>
      </c>
      <c r="Q1988">
        <v>5862.3</v>
      </c>
      <c r="R1988">
        <v>937.97</v>
      </c>
      <c r="S1988">
        <v>234.49</v>
      </c>
      <c r="T1988">
        <v>6565.78</v>
      </c>
      <c r="V1988" t="s">
        <v>9408</v>
      </c>
      <c r="W1988" t="s">
        <v>424</v>
      </c>
    </row>
    <row r="1989" spans="1:23" hidden="1" x14ac:dyDescent="0.2">
      <c r="A1989">
        <v>2012</v>
      </c>
      <c r="B1989" t="s">
        <v>304</v>
      </c>
      <c r="C1989" s="733">
        <v>40940</v>
      </c>
      <c r="D19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89" t="s">
        <v>505</v>
      </c>
      <c r="F1989" t="s">
        <v>1915</v>
      </c>
      <c r="G1989" t="s">
        <v>6935</v>
      </c>
      <c r="H1989">
        <v>22403</v>
      </c>
      <c r="I1989" t="s">
        <v>423</v>
      </c>
      <c r="J1989" t="s">
        <v>4760</v>
      </c>
      <c r="K1989" t="s">
        <v>1918</v>
      </c>
      <c r="L1989" t="s">
        <v>1919</v>
      </c>
      <c r="M1989">
        <v>444</v>
      </c>
      <c r="N1989">
        <v>27.85</v>
      </c>
      <c r="O1989">
        <v>8642.9699999999993</v>
      </c>
      <c r="P1989">
        <v>0</v>
      </c>
      <c r="Q1989">
        <v>8642.9699999999993</v>
      </c>
      <c r="R1989">
        <v>1382.88</v>
      </c>
      <c r="S1989">
        <v>345.72</v>
      </c>
      <c r="T1989">
        <v>9680.1299999999992</v>
      </c>
      <c r="U1989" t="s">
        <v>1926</v>
      </c>
      <c r="V1989" t="s">
        <v>9408</v>
      </c>
      <c r="W1989" t="s">
        <v>423</v>
      </c>
    </row>
    <row r="1990" spans="1:23" hidden="1" x14ac:dyDescent="0.2">
      <c r="A1990">
        <v>2012</v>
      </c>
      <c r="B1990" t="s">
        <v>303</v>
      </c>
      <c r="C1990" s="733">
        <v>40924</v>
      </c>
      <c r="D19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90" t="s">
        <v>485</v>
      </c>
      <c r="F1990" t="s">
        <v>2065</v>
      </c>
      <c r="G1990" t="s">
        <v>5341</v>
      </c>
      <c r="H1990">
        <v>40329</v>
      </c>
      <c r="I1990" t="s">
        <v>423</v>
      </c>
      <c r="J1990" t="s">
        <v>4518</v>
      </c>
      <c r="K1990" t="s">
        <v>2183</v>
      </c>
      <c r="L1990" t="s">
        <v>2184</v>
      </c>
      <c r="M1990">
        <v>337</v>
      </c>
      <c r="N1990">
        <v>26.43</v>
      </c>
      <c r="O1990">
        <v>5862.7</v>
      </c>
      <c r="P1990">
        <v>0</v>
      </c>
      <c r="Q1990">
        <v>5862.7</v>
      </c>
      <c r="R1990">
        <v>938.03</v>
      </c>
      <c r="S1990">
        <v>234.51</v>
      </c>
      <c r="T1990">
        <v>6566.22</v>
      </c>
      <c r="U1990" t="s">
        <v>7554</v>
      </c>
      <c r="V1990" t="s">
        <v>9408</v>
      </c>
      <c r="W1990" t="s">
        <v>423</v>
      </c>
    </row>
    <row r="1991" spans="1:23" x14ac:dyDescent="0.2">
      <c r="A1991">
        <v>2012</v>
      </c>
      <c r="B1991" t="s">
        <v>304</v>
      </c>
      <c r="C1991" s="733">
        <v>40967</v>
      </c>
      <c r="D19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91" t="s">
        <v>485</v>
      </c>
      <c r="F1991" t="s">
        <v>2065</v>
      </c>
      <c r="G1991" t="s">
        <v>9036</v>
      </c>
      <c r="H1991">
        <v>42779</v>
      </c>
      <c r="I1991" t="s">
        <v>423</v>
      </c>
      <c r="J1991" t="s">
        <v>3054</v>
      </c>
      <c r="K1991" t="s">
        <v>2183</v>
      </c>
      <c r="L1991" t="s">
        <v>2184</v>
      </c>
      <c r="M1991">
        <v>43</v>
      </c>
      <c r="N1991">
        <v>15.34</v>
      </c>
      <c r="O1991">
        <v>1731.43</v>
      </c>
      <c r="P1991">
        <v>0</v>
      </c>
      <c r="Q1991">
        <v>1731.43</v>
      </c>
      <c r="R1991">
        <v>277.02999999999997</v>
      </c>
      <c r="S1991">
        <v>69.260000000000005</v>
      </c>
      <c r="T1991">
        <v>1939.2</v>
      </c>
      <c r="V1991" t="s">
        <v>9408</v>
      </c>
      <c r="W1991" t="s">
        <v>423</v>
      </c>
    </row>
    <row r="1992" spans="1:23" hidden="1" x14ac:dyDescent="0.2">
      <c r="A1992">
        <v>2012</v>
      </c>
      <c r="B1992" t="s">
        <v>303</v>
      </c>
      <c r="C1992" s="733">
        <v>40926</v>
      </c>
      <c r="D19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92" t="s">
        <v>485</v>
      </c>
      <c r="F1992" t="s">
        <v>2065</v>
      </c>
      <c r="G1992" t="s">
        <v>3520</v>
      </c>
      <c r="H1992">
        <v>40523</v>
      </c>
      <c r="I1992" t="s">
        <v>423</v>
      </c>
      <c r="J1992" t="s">
        <v>2050</v>
      </c>
      <c r="K1992" t="s">
        <v>2051</v>
      </c>
      <c r="L1992" t="s">
        <v>2052</v>
      </c>
      <c r="M1992">
        <v>90</v>
      </c>
      <c r="N1992">
        <v>57.55</v>
      </c>
      <c r="O1992">
        <v>8074.84</v>
      </c>
      <c r="P1992">
        <v>0</v>
      </c>
      <c r="Q1992">
        <v>8074.84</v>
      </c>
      <c r="R1992">
        <v>1291.97</v>
      </c>
      <c r="S1992">
        <v>322.99</v>
      </c>
      <c r="T1992">
        <v>9043.82</v>
      </c>
      <c r="U1992" t="s">
        <v>2062</v>
      </c>
      <c r="V1992" t="s">
        <v>9409</v>
      </c>
      <c r="W1992" t="s">
        <v>423</v>
      </c>
    </row>
    <row r="1993" spans="1:23" hidden="1" x14ac:dyDescent="0.2">
      <c r="A1993">
        <v>2012</v>
      </c>
      <c r="B1993" t="s">
        <v>303</v>
      </c>
      <c r="C1993" s="733">
        <v>40935</v>
      </c>
      <c r="D19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93" t="s">
        <v>485</v>
      </c>
      <c r="F1993" t="s">
        <v>2065</v>
      </c>
      <c r="G1993" t="s">
        <v>3523</v>
      </c>
      <c r="H1993">
        <v>40986</v>
      </c>
      <c r="I1993" t="s">
        <v>423</v>
      </c>
      <c r="J1993" t="s">
        <v>2050</v>
      </c>
      <c r="K1993" t="s">
        <v>2051</v>
      </c>
      <c r="L1993" t="s">
        <v>2052</v>
      </c>
      <c r="M1993">
        <v>90</v>
      </c>
      <c r="N1993">
        <v>56.8</v>
      </c>
      <c r="O1993">
        <v>7969.61</v>
      </c>
      <c r="P1993">
        <v>0</v>
      </c>
      <c r="Q1993">
        <v>7969.61</v>
      </c>
      <c r="R1993">
        <v>1275.1400000000001</v>
      </c>
      <c r="S1993">
        <v>318.77999999999997</v>
      </c>
      <c r="T1993">
        <v>8925.9699999999993</v>
      </c>
      <c r="U1993" t="s">
        <v>2053</v>
      </c>
      <c r="V1993" t="s">
        <v>9409</v>
      </c>
      <c r="W1993" t="s">
        <v>423</v>
      </c>
    </row>
    <row r="1994" spans="1:23" hidden="1" x14ac:dyDescent="0.2">
      <c r="A1994">
        <v>2012</v>
      </c>
      <c r="B1994" t="s">
        <v>303</v>
      </c>
      <c r="C1994" s="733">
        <v>40938</v>
      </c>
      <c r="D19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94" t="s">
        <v>485</v>
      </c>
      <c r="F1994" t="s">
        <v>2065</v>
      </c>
      <c r="G1994" t="s">
        <v>3524</v>
      </c>
      <c r="H1994">
        <v>41110</v>
      </c>
      <c r="I1994" t="s">
        <v>423</v>
      </c>
      <c r="J1994" t="s">
        <v>2050</v>
      </c>
      <c r="K1994" t="s">
        <v>2051</v>
      </c>
      <c r="L1994" t="s">
        <v>2052</v>
      </c>
      <c r="M1994">
        <v>90</v>
      </c>
      <c r="N1994">
        <v>26.55</v>
      </c>
      <c r="O1994">
        <v>3725.23</v>
      </c>
      <c r="P1994">
        <v>0</v>
      </c>
      <c r="Q1994">
        <v>3725.23</v>
      </c>
      <c r="R1994">
        <v>596.04</v>
      </c>
      <c r="S1994">
        <v>149.01</v>
      </c>
      <c r="T1994">
        <v>4172.26</v>
      </c>
      <c r="U1994" t="s">
        <v>2064</v>
      </c>
      <c r="V1994" t="s">
        <v>9408</v>
      </c>
      <c r="W1994" t="s">
        <v>423</v>
      </c>
    </row>
    <row r="1995" spans="1:23" hidden="1" x14ac:dyDescent="0.2">
      <c r="A1995">
        <v>2012</v>
      </c>
      <c r="B1995" t="s">
        <v>304</v>
      </c>
      <c r="C1995" s="733">
        <v>40952</v>
      </c>
      <c r="D19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95" t="s">
        <v>485</v>
      </c>
      <c r="F1995" t="s">
        <v>2065</v>
      </c>
      <c r="G1995" t="s">
        <v>3522</v>
      </c>
      <c r="H1995">
        <v>41832</v>
      </c>
      <c r="I1995" t="s">
        <v>423</v>
      </c>
      <c r="J1995" t="s">
        <v>2050</v>
      </c>
      <c r="K1995" t="s">
        <v>2051</v>
      </c>
      <c r="L1995" t="s">
        <v>2052</v>
      </c>
      <c r="M1995">
        <v>90</v>
      </c>
      <c r="N1995">
        <v>59.1</v>
      </c>
      <c r="O1995">
        <v>8292.32</v>
      </c>
      <c r="P1995">
        <v>0</v>
      </c>
      <c r="Q1995">
        <v>8292.32</v>
      </c>
      <c r="R1995">
        <v>1326.77</v>
      </c>
      <c r="S1995">
        <v>331.69</v>
      </c>
      <c r="T1995">
        <v>9287.4</v>
      </c>
      <c r="U1995" t="s">
        <v>7568</v>
      </c>
      <c r="V1995" t="s">
        <v>9409</v>
      </c>
      <c r="W1995" t="s">
        <v>423</v>
      </c>
    </row>
    <row r="1996" spans="1:23" hidden="1" x14ac:dyDescent="0.2">
      <c r="A1996">
        <v>2012</v>
      </c>
      <c r="B1996" t="s">
        <v>304</v>
      </c>
      <c r="C1996" s="733">
        <v>40946</v>
      </c>
      <c r="D19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96" t="s">
        <v>485</v>
      </c>
      <c r="F1996" t="s">
        <v>2065</v>
      </c>
      <c r="G1996" t="s">
        <v>3521</v>
      </c>
      <c r="H1996">
        <v>41507</v>
      </c>
      <c r="I1996" t="s">
        <v>423</v>
      </c>
      <c r="J1996" t="s">
        <v>2050</v>
      </c>
      <c r="K1996" t="s">
        <v>2051</v>
      </c>
      <c r="L1996" t="s">
        <v>2052</v>
      </c>
      <c r="M1996">
        <v>90</v>
      </c>
      <c r="N1996">
        <v>46.3</v>
      </c>
      <c r="O1996">
        <v>6496.35</v>
      </c>
      <c r="P1996">
        <v>0</v>
      </c>
      <c r="Q1996">
        <v>6496.35</v>
      </c>
      <c r="R1996">
        <v>1039.42</v>
      </c>
      <c r="S1996">
        <v>259.85000000000002</v>
      </c>
      <c r="T1996">
        <v>7275.92</v>
      </c>
      <c r="U1996" t="s">
        <v>8257</v>
      </c>
      <c r="V1996" t="s">
        <v>9409</v>
      </c>
      <c r="W1996" t="s">
        <v>423</v>
      </c>
    </row>
    <row r="1997" spans="1:23" hidden="1" x14ac:dyDescent="0.2">
      <c r="A1997">
        <v>2012</v>
      </c>
      <c r="B1997" t="s">
        <v>303</v>
      </c>
      <c r="C1997" s="733">
        <v>40931</v>
      </c>
      <c r="D19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97" t="s">
        <v>485</v>
      </c>
      <c r="F1997" t="s">
        <v>2048</v>
      </c>
      <c r="G1997" t="s">
        <v>5351</v>
      </c>
      <c r="H1997">
        <v>40749</v>
      </c>
      <c r="I1997" t="s">
        <v>423</v>
      </c>
      <c r="J1997" t="s">
        <v>2050</v>
      </c>
      <c r="K1997" t="s">
        <v>2051</v>
      </c>
      <c r="L1997" t="s">
        <v>2052</v>
      </c>
      <c r="M1997">
        <v>90</v>
      </c>
      <c r="N1997">
        <v>54.45</v>
      </c>
      <c r="O1997">
        <v>7639.88</v>
      </c>
      <c r="P1997">
        <v>0</v>
      </c>
      <c r="Q1997">
        <v>7639.88</v>
      </c>
      <c r="R1997">
        <v>1222.3800000000001</v>
      </c>
      <c r="S1997">
        <v>305.60000000000002</v>
      </c>
      <c r="T1997">
        <v>8556.66</v>
      </c>
      <c r="U1997" t="s">
        <v>2053</v>
      </c>
      <c r="V1997" t="s">
        <v>9409</v>
      </c>
      <c r="W1997" t="s">
        <v>423</v>
      </c>
    </row>
    <row r="1998" spans="1:23" hidden="1" x14ac:dyDescent="0.2">
      <c r="A1998">
        <v>2012</v>
      </c>
      <c r="B1998" t="s">
        <v>304</v>
      </c>
      <c r="C1998" s="733">
        <v>40956.609340277777</v>
      </c>
      <c r="D19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1998" t="s">
        <v>485</v>
      </c>
      <c r="F1998" t="s">
        <v>2065</v>
      </c>
      <c r="G1998" t="s">
        <v>7868</v>
      </c>
      <c r="H1998">
        <v>42140</v>
      </c>
      <c r="I1998" t="s">
        <v>423</v>
      </c>
      <c r="J1998" t="s">
        <v>2050</v>
      </c>
      <c r="K1998" t="s">
        <v>2051</v>
      </c>
      <c r="L1998" t="s">
        <v>2052</v>
      </c>
      <c r="M1998">
        <v>90</v>
      </c>
      <c r="N1998">
        <v>25.35</v>
      </c>
      <c r="O1998">
        <v>3556.86</v>
      </c>
      <c r="P1998">
        <v>0</v>
      </c>
      <c r="Q1998">
        <v>3556.86</v>
      </c>
      <c r="R1998">
        <v>569.1</v>
      </c>
      <c r="S1998">
        <v>142.27000000000001</v>
      </c>
      <c r="T1998">
        <v>3983.69</v>
      </c>
      <c r="U1998" t="s">
        <v>8257</v>
      </c>
      <c r="V1998" t="s">
        <v>9408</v>
      </c>
      <c r="W1998" t="s">
        <v>423</v>
      </c>
    </row>
    <row r="1999" spans="1:23" hidden="1" x14ac:dyDescent="0.2">
      <c r="A1999">
        <v>2012</v>
      </c>
      <c r="B1999" t="s">
        <v>303</v>
      </c>
      <c r="C1999" s="733">
        <v>40926</v>
      </c>
      <c r="D19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1999" t="s">
        <v>485</v>
      </c>
      <c r="F1999" t="s">
        <v>2048</v>
      </c>
      <c r="G1999" t="s">
        <v>3536</v>
      </c>
      <c r="H1999">
        <v>40511</v>
      </c>
      <c r="I1999" t="s">
        <v>423</v>
      </c>
      <c r="J1999" t="s">
        <v>2050</v>
      </c>
      <c r="K1999" t="s">
        <v>2051</v>
      </c>
      <c r="L1999" t="s">
        <v>2052</v>
      </c>
      <c r="M1999">
        <v>90</v>
      </c>
      <c r="N1999">
        <v>27.7</v>
      </c>
      <c r="O1999">
        <v>3886.59</v>
      </c>
      <c r="P1999">
        <v>0</v>
      </c>
      <c r="Q1999">
        <v>3886.59</v>
      </c>
      <c r="R1999">
        <v>621.85</v>
      </c>
      <c r="S1999">
        <v>155.46</v>
      </c>
      <c r="T1999">
        <v>4352.9799999999996</v>
      </c>
      <c r="U1999" t="s">
        <v>2062</v>
      </c>
      <c r="V1999" t="s">
        <v>9408</v>
      </c>
      <c r="W1999" t="s">
        <v>423</v>
      </c>
    </row>
    <row r="2000" spans="1:23" hidden="1" x14ac:dyDescent="0.2">
      <c r="A2000">
        <v>2012</v>
      </c>
      <c r="B2000" t="s">
        <v>303</v>
      </c>
      <c r="C2000" s="733">
        <v>40920.553553240738</v>
      </c>
      <c r="D20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00" t="s">
        <v>485</v>
      </c>
      <c r="F2000" t="s">
        <v>2054</v>
      </c>
      <c r="G2000" t="s">
        <v>3866</v>
      </c>
      <c r="H2000">
        <v>10045</v>
      </c>
      <c r="I2000" t="s">
        <v>423</v>
      </c>
      <c r="J2000" t="s">
        <v>2056</v>
      </c>
      <c r="K2000" t="s">
        <v>2057</v>
      </c>
      <c r="L2000" t="s">
        <v>2058</v>
      </c>
      <c r="M2000">
        <v>19</v>
      </c>
      <c r="N2000">
        <v>22.01</v>
      </c>
      <c r="O2000">
        <v>2484.27</v>
      </c>
      <c r="P2000">
        <v>0</v>
      </c>
      <c r="Q2000">
        <v>2484.27</v>
      </c>
      <c r="R2000">
        <v>397.48</v>
      </c>
      <c r="S2000">
        <v>99.37</v>
      </c>
      <c r="T2000">
        <v>2782.38</v>
      </c>
      <c r="U2000" t="s">
        <v>2059</v>
      </c>
      <c r="V2000" t="s">
        <v>9408</v>
      </c>
      <c r="W2000" t="s">
        <v>423</v>
      </c>
    </row>
    <row r="2001" spans="1:23" hidden="1" x14ac:dyDescent="0.2">
      <c r="A2001">
        <v>2012</v>
      </c>
      <c r="B2001" t="s">
        <v>304</v>
      </c>
      <c r="C2001" s="733">
        <v>40962</v>
      </c>
      <c r="D20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01" t="s">
        <v>485</v>
      </c>
      <c r="F2001" t="s">
        <v>2054</v>
      </c>
      <c r="G2001" t="s">
        <v>8682</v>
      </c>
      <c r="H2001">
        <v>10514</v>
      </c>
      <c r="I2001" t="s">
        <v>423</v>
      </c>
      <c r="J2001" t="s">
        <v>2056</v>
      </c>
      <c r="K2001" t="s">
        <v>2057</v>
      </c>
      <c r="L2001" t="s">
        <v>2058</v>
      </c>
      <c r="M2001">
        <v>19</v>
      </c>
      <c r="N2001">
        <v>22.82</v>
      </c>
      <c r="O2001">
        <v>2575.69</v>
      </c>
      <c r="P2001">
        <v>0</v>
      </c>
      <c r="Q2001">
        <v>2575.69</v>
      </c>
      <c r="R2001">
        <v>283.33</v>
      </c>
      <c r="S2001">
        <v>103.03</v>
      </c>
      <c r="T2001">
        <v>2755.99</v>
      </c>
      <c r="U2001" t="s">
        <v>8864</v>
      </c>
      <c r="V2001" t="s">
        <v>9408</v>
      </c>
      <c r="W2001" t="s">
        <v>423</v>
      </c>
    </row>
    <row r="2002" spans="1:23" hidden="1" x14ac:dyDescent="0.2">
      <c r="A2002">
        <v>2012</v>
      </c>
      <c r="B2002" t="s">
        <v>305</v>
      </c>
      <c r="C2002" s="733">
        <v>40971.631863425922</v>
      </c>
      <c r="D2002" s="733" t="str">
        <f>CHOOSE(MONTH(Tabla_sqldatos_bonampakdb_Bon_v_ingresos2012[[#This Row],[fecha_guia]]),"Enero","Febrero","Marzo","Abril","Mayo","Junio","Julio","Agosto","Septiembre","Octubre","Noviembre","Diciembre")</f>
        <v>Marzo</v>
      </c>
      <c r="E2002" t="s">
        <v>485</v>
      </c>
      <c r="F2002" t="s">
        <v>2054</v>
      </c>
      <c r="G2002" t="s">
        <v>9700</v>
      </c>
      <c r="H2002">
        <v>10642</v>
      </c>
      <c r="I2002" t="s">
        <v>423</v>
      </c>
      <c r="J2002" t="s">
        <v>2056</v>
      </c>
      <c r="K2002" t="s">
        <v>2057</v>
      </c>
      <c r="L2002" t="s">
        <v>2058</v>
      </c>
      <c r="M2002">
        <v>19</v>
      </c>
      <c r="N2002">
        <v>46.58</v>
      </c>
      <c r="O2002">
        <v>5257.48</v>
      </c>
      <c r="P2002">
        <v>0</v>
      </c>
      <c r="Q2002">
        <v>5257.48</v>
      </c>
      <c r="R2002">
        <v>578.32000000000005</v>
      </c>
      <c r="S2002">
        <v>210.3</v>
      </c>
      <c r="T2002">
        <v>5625.5</v>
      </c>
      <c r="V2002" t="s">
        <v>9409</v>
      </c>
      <c r="W2002" t="s">
        <v>423</v>
      </c>
    </row>
    <row r="2003" spans="1:23" hidden="1" x14ac:dyDescent="0.2">
      <c r="A2003">
        <v>2012</v>
      </c>
      <c r="B2003" t="s">
        <v>303</v>
      </c>
      <c r="C2003" s="733">
        <v>40933</v>
      </c>
      <c r="D20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03" t="s">
        <v>485</v>
      </c>
      <c r="F2003" t="s">
        <v>2048</v>
      </c>
      <c r="G2003" t="s">
        <v>3518</v>
      </c>
      <c r="H2003">
        <v>40869</v>
      </c>
      <c r="I2003" t="s">
        <v>423</v>
      </c>
      <c r="J2003" t="s">
        <v>2050</v>
      </c>
      <c r="K2003" t="s">
        <v>2051</v>
      </c>
      <c r="L2003" t="s">
        <v>2052</v>
      </c>
      <c r="M2003">
        <v>90</v>
      </c>
      <c r="N2003">
        <v>52.55</v>
      </c>
      <c r="O2003">
        <v>7373.29</v>
      </c>
      <c r="P2003">
        <v>0</v>
      </c>
      <c r="Q2003">
        <v>7373.29</v>
      </c>
      <c r="R2003">
        <v>1179.73</v>
      </c>
      <c r="S2003">
        <v>294.93</v>
      </c>
      <c r="T2003">
        <v>8258.09</v>
      </c>
      <c r="U2003" t="s">
        <v>2053</v>
      </c>
      <c r="V2003" t="s">
        <v>9409</v>
      </c>
      <c r="W2003" t="s">
        <v>423</v>
      </c>
    </row>
    <row r="2004" spans="1:23" hidden="1" x14ac:dyDescent="0.2">
      <c r="A2004">
        <v>2012</v>
      </c>
      <c r="B2004" t="s">
        <v>304</v>
      </c>
      <c r="C2004" s="733">
        <v>40952</v>
      </c>
      <c r="D20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04" t="s">
        <v>485</v>
      </c>
      <c r="F2004" t="s">
        <v>2048</v>
      </c>
      <c r="G2004" t="s">
        <v>3516</v>
      </c>
      <c r="H2004">
        <v>41835</v>
      </c>
      <c r="I2004" t="s">
        <v>423</v>
      </c>
      <c r="J2004" t="s">
        <v>2050</v>
      </c>
      <c r="K2004" t="s">
        <v>2051</v>
      </c>
      <c r="L2004" t="s">
        <v>2052</v>
      </c>
      <c r="M2004">
        <v>90</v>
      </c>
      <c r="N2004">
        <v>53.75</v>
      </c>
      <c r="O2004">
        <v>7541.66</v>
      </c>
      <c r="P2004">
        <v>0</v>
      </c>
      <c r="Q2004">
        <v>7541.66</v>
      </c>
      <c r="R2004">
        <v>1206.67</v>
      </c>
      <c r="S2004">
        <v>301.67</v>
      </c>
      <c r="T2004">
        <v>8446.66</v>
      </c>
      <c r="U2004" t="s">
        <v>8257</v>
      </c>
      <c r="V2004" t="s">
        <v>9409</v>
      </c>
      <c r="W2004" t="s">
        <v>423</v>
      </c>
    </row>
    <row r="2005" spans="1:23" hidden="1" x14ac:dyDescent="0.2">
      <c r="A2005">
        <v>2012</v>
      </c>
      <c r="B2005" t="s">
        <v>303</v>
      </c>
      <c r="C2005" s="733">
        <v>40931</v>
      </c>
      <c r="D20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05" t="s">
        <v>485</v>
      </c>
      <c r="F2005" t="s">
        <v>2048</v>
      </c>
      <c r="G2005" t="s">
        <v>3517</v>
      </c>
      <c r="H2005">
        <v>40740</v>
      </c>
      <c r="I2005" t="s">
        <v>423</v>
      </c>
      <c r="J2005" t="s">
        <v>2050</v>
      </c>
      <c r="K2005" t="s">
        <v>2051</v>
      </c>
      <c r="L2005" t="s">
        <v>2052</v>
      </c>
      <c r="M2005">
        <v>90</v>
      </c>
      <c r="N2005">
        <v>28.05</v>
      </c>
      <c r="O2005">
        <v>3935.7</v>
      </c>
      <c r="P2005">
        <v>0</v>
      </c>
      <c r="Q2005">
        <v>3935.7</v>
      </c>
      <c r="R2005">
        <v>629.71</v>
      </c>
      <c r="S2005">
        <v>157.43</v>
      </c>
      <c r="T2005">
        <v>4407.9799999999996</v>
      </c>
      <c r="U2005" t="s">
        <v>2053</v>
      </c>
      <c r="V2005" t="s">
        <v>9408</v>
      </c>
      <c r="W2005" t="s">
        <v>423</v>
      </c>
    </row>
    <row r="2006" spans="1:23" hidden="1" x14ac:dyDescent="0.2">
      <c r="A2006">
        <v>2012</v>
      </c>
      <c r="B2006" t="s">
        <v>303</v>
      </c>
      <c r="C2006" s="733">
        <v>40929</v>
      </c>
      <c r="D20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06" t="s">
        <v>485</v>
      </c>
      <c r="F2006" t="s">
        <v>2054</v>
      </c>
      <c r="G2006" t="s">
        <v>5350</v>
      </c>
      <c r="H2006">
        <v>10147</v>
      </c>
      <c r="I2006" t="s">
        <v>423</v>
      </c>
      <c r="J2006" t="s">
        <v>2056</v>
      </c>
      <c r="K2006" t="s">
        <v>2057</v>
      </c>
      <c r="L2006" t="s">
        <v>2058</v>
      </c>
      <c r="M2006">
        <v>19</v>
      </c>
      <c r="N2006">
        <v>47.3</v>
      </c>
      <c r="O2006">
        <v>5338.75</v>
      </c>
      <c r="P2006">
        <v>0</v>
      </c>
      <c r="Q2006">
        <v>5338.75</v>
      </c>
      <c r="R2006">
        <v>854.2</v>
      </c>
      <c r="S2006">
        <v>213.55</v>
      </c>
      <c r="T2006">
        <v>5979.4</v>
      </c>
      <c r="U2006" t="s">
        <v>2077</v>
      </c>
      <c r="V2006" t="s">
        <v>9409</v>
      </c>
      <c r="W2006" t="s">
        <v>423</v>
      </c>
    </row>
    <row r="2007" spans="1:23" x14ac:dyDescent="0.2">
      <c r="A2007">
        <v>2012</v>
      </c>
      <c r="B2007" t="s">
        <v>304</v>
      </c>
      <c r="C2007" s="733">
        <v>40967</v>
      </c>
      <c r="D20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07" t="s">
        <v>485</v>
      </c>
      <c r="F2007" t="s">
        <v>2054</v>
      </c>
      <c r="G2007" t="s">
        <v>9046</v>
      </c>
      <c r="H2007">
        <v>10582</v>
      </c>
      <c r="I2007" t="s">
        <v>423</v>
      </c>
      <c r="J2007" t="s">
        <v>2056</v>
      </c>
      <c r="K2007" t="s">
        <v>2057</v>
      </c>
      <c r="L2007" t="s">
        <v>2058</v>
      </c>
      <c r="M2007">
        <v>19</v>
      </c>
      <c r="N2007">
        <v>23.89</v>
      </c>
      <c r="O2007">
        <v>2696.46</v>
      </c>
      <c r="P2007">
        <v>0</v>
      </c>
      <c r="Q2007">
        <v>2696.46</v>
      </c>
      <c r="R2007">
        <v>296.61</v>
      </c>
      <c r="S2007">
        <v>107.86</v>
      </c>
      <c r="T2007">
        <v>2885.21</v>
      </c>
      <c r="V2007" t="s">
        <v>9408</v>
      </c>
      <c r="W2007" t="s">
        <v>423</v>
      </c>
    </row>
    <row r="2008" spans="1:23" hidden="1" x14ac:dyDescent="0.2">
      <c r="A2008">
        <v>2012</v>
      </c>
      <c r="B2008" t="s">
        <v>304</v>
      </c>
      <c r="C2008" s="733">
        <v>40952.472928240742</v>
      </c>
      <c r="D20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08" t="s">
        <v>485</v>
      </c>
      <c r="F2008" t="s">
        <v>2054</v>
      </c>
      <c r="G2008" t="s">
        <v>6067</v>
      </c>
      <c r="H2008">
        <v>10402</v>
      </c>
      <c r="I2008" t="s">
        <v>423</v>
      </c>
      <c r="J2008" t="s">
        <v>2056</v>
      </c>
      <c r="K2008" t="s">
        <v>2057</v>
      </c>
      <c r="L2008" t="s">
        <v>2058</v>
      </c>
      <c r="M2008">
        <v>19</v>
      </c>
      <c r="N2008">
        <v>24.12</v>
      </c>
      <c r="O2008">
        <v>2722.42</v>
      </c>
      <c r="P2008">
        <v>0</v>
      </c>
      <c r="Q2008">
        <v>2722.42</v>
      </c>
      <c r="R2008">
        <v>299.47000000000003</v>
      </c>
      <c r="S2008">
        <v>108.9</v>
      </c>
      <c r="T2008">
        <v>2912.99</v>
      </c>
      <c r="U2008" t="s">
        <v>8047</v>
      </c>
      <c r="V2008" t="s">
        <v>9408</v>
      </c>
      <c r="W2008" t="s">
        <v>423</v>
      </c>
    </row>
    <row r="2009" spans="1:23" hidden="1" x14ac:dyDescent="0.2">
      <c r="A2009">
        <v>2012</v>
      </c>
      <c r="B2009" t="s">
        <v>304</v>
      </c>
      <c r="C2009" s="733">
        <v>40956</v>
      </c>
      <c r="D20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09" t="s">
        <v>485</v>
      </c>
      <c r="F2009" t="s">
        <v>2054</v>
      </c>
      <c r="G2009" t="s">
        <v>7623</v>
      </c>
      <c r="H2009">
        <v>10472</v>
      </c>
      <c r="I2009" t="s">
        <v>423</v>
      </c>
      <c r="J2009" t="s">
        <v>2056</v>
      </c>
      <c r="K2009" t="s">
        <v>2057</v>
      </c>
      <c r="L2009" t="s">
        <v>2058</v>
      </c>
      <c r="M2009">
        <v>19</v>
      </c>
      <c r="N2009">
        <v>22.72</v>
      </c>
      <c r="O2009">
        <v>2564.41</v>
      </c>
      <c r="P2009">
        <v>0</v>
      </c>
      <c r="Q2009">
        <v>2564.41</v>
      </c>
      <c r="R2009">
        <v>282.08</v>
      </c>
      <c r="S2009">
        <v>102.58</v>
      </c>
      <c r="T2009">
        <v>2743.91</v>
      </c>
      <c r="U2009" t="s">
        <v>8864</v>
      </c>
      <c r="V2009" t="s">
        <v>9408</v>
      </c>
      <c r="W2009" t="s">
        <v>423</v>
      </c>
    </row>
    <row r="2010" spans="1:23" hidden="1" x14ac:dyDescent="0.2">
      <c r="A2010">
        <v>2012</v>
      </c>
      <c r="B2010" t="s">
        <v>304</v>
      </c>
      <c r="C2010" s="733">
        <v>40953</v>
      </c>
      <c r="D20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10" t="s">
        <v>485</v>
      </c>
      <c r="F2010" t="s">
        <v>2048</v>
      </c>
      <c r="G2010" t="s">
        <v>6066</v>
      </c>
      <c r="H2010">
        <v>41856</v>
      </c>
      <c r="I2010" t="s">
        <v>423</v>
      </c>
      <c r="J2010" t="s">
        <v>2050</v>
      </c>
      <c r="K2010" t="s">
        <v>2051</v>
      </c>
      <c r="L2010" t="s">
        <v>2052</v>
      </c>
      <c r="M2010">
        <v>90</v>
      </c>
      <c r="N2010">
        <v>50.35</v>
      </c>
      <c r="O2010">
        <v>7064.61</v>
      </c>
      <c r="P2010">
        <v>0</v>
      </c>
      <c r="Q2010">
        <v>7064.61</v>
      </c>
      <c r="R2010">
        <v>1130.3399999999999</v>
      </c>
      <c r="S2010">
        <v>282.58</v>
      </c>
      <c r="T2010">
        <v>7912.37</v>
      </c>
      <c r="U2010" t="s">
        <v>7568</v>
      </c>
      <c r="V2010" t="s">
        <v>9409</v>
      </c>
      <c r="W2010" t="s">
        <v>423</v>
      </c>
    </row>
    <row r="2011" spans="1:23" hidden="1" x14ac:dyDescent="0.2">
      <c r="A2011">
        <v>2012</v>
      </c>
      <c r="B2011" t="s">
        <v>303</v>
      </c>
      <c r="C2011" s="733">
        <v>40933</v>
      </c>
      <c r="D20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11" t="s">
        <v>485</v>
      </c>
      <c r="F2011" t="s">
        <v>2065</v>
      </c>
      <c r="G2011" t="s">
        <v>3537</v>
      </c>
      <c r="H2011">
        <v>40872</v>
      </c>
      <c r="I2011" t="s">
        <v>423</v>
      </c>
      <c r="J2011" t="s">
        <v>2171</v>
      </c>
      <c r="K2011" t="s">
        <v>2051</v>
      </c>
      <c r="L2011" t="s">
        <v>2052</v>
      </c>
      <c r="M2011">
        <v>57</v>
      </c>
      <c r="N2011">
        <v>28.2</v>
      </c>
      <c r="O2011">
        <v>3956.74</v>
      </c>
      <c r="P2011">
        <v>0</v>
      </c>
      <c r="Q2011">
        <v>3956.74</v>
      </c>
      <c r="R2011">
        <v>633.08000000000004</v>
      </c>
      <c r="S2011">
        <v>158.27000000000001</v>
      </c>
      <c r="T2011">
        <v>4431.55</v>
      </c>
      <c r="U2011" t="s">
        <v>2064</v>
      </c>
      <c r="V2011" t="s">
        <v>9408</v>
      </c>
      <c r="W2011" t="s">
        <v>423</v>
      </c>
    </row>
    <row r="2012" spans="1:23" hidden="1" x14ac:dyDescent="0.2">
      <c r="A2012">
        <v>2012</v>
      </c>
      <c r="B2012" t="s">
        <v>303</v>
      </c>
      <c r="C2012" s="733">
        <v>40938</v>
      </c>
      <c r="D20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12" t="s">
        <v>485</v>
      </c>
      <c r="F2012" t="s">
        <v>2048</v>
      </c>
      <c r="G2012" t="s">
        <v>6062</v>
      </c>
      <c r="H2012">
        <v>40978</v>
      </c>
      <c r="I2012" t="s">
        <v>423</v>
      </c>
      <c r="J2012" t="s">
        <v>2050</v>
      </c>
      <c r="K2012" t="s">
        <v>2051</v>
      </c>
      <c r="L2012" t="s">
        <v>2052</v>
      </c>
      <c r="M2012">
        <v>90</v>
      </c>
      <c r="N2012">
        <v>54.15</v>
      </c>
      <c r="O2012">
        <v>7597.79</v>
      </c>
      <c r="P2012">
        <v>0</v>
      </c>
      <c r="Q2012">
        <v>7597.79</v>
      </c>
      <c r="R2012">
        <v>1215.6500000000001</v>
      </c>
      <c r="S2012">
        <v>303.91000000000003</v>
      </c>
      <c r="T2012">
        <v>8509.5300000000007</v>
      </c>
      <c r="U2012" t="s">
        <v>2064</v>
      </c>
      <c r="V2012" t="s">
        <v>9409</v>
      </c>
      <c r="W2012" t="s">
        <v>423</v>
      </c>
    </row>
    <row r="2013" spans="1:23" hidden="1" x14ac:dyDescent="0.2">
      <c r="A2013">
        <v>2012</v>
      </c>
      <c r="B2013" t="s">
        <v>304</v>
      </c>
      <c r="C2013" s="733">
        <v>40960</v>
      </c>
      <c r="D20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13" t="s">
        <v>478</v>
      </c>
      <c r="F2013" t="s">
        <v>2136</v>
      </c>
      <c r="G2013" t="s">
        <v>8385</v>
      </c>
      <c r="H2013">
        <v>35815</v>
      </c>
      <c r="I2013" t="s">
        <v>423</v>
      </c>
      <c r="J2013" t="s">
        <v>3789</v>
      </c>
      <c r="K2013" t="s">
        <v>3481</v>
      </c>
      <c r="L2013" t="s">
        <v>3482</v>
      </c>
      <c r="M2013">
        <v>27</v>
      </c>
      <c r="N2013">
        <v>23.984999999999999</v>
      </c>
      <c r="O2013">
        <v>2707.19</v>
      </c>
      <c r="P2013">
        <v>0</v>
      </c>
      <c r="Q2013">
        <v>2707.19</v>
      </c>
      <c r="R2013">
        <v>433.15</v>
      </c>
      <c r="S2013">
        <v>108.29</v>
      </c>
      <c r="T2013">
        <v>3032.05</v>
      </c>
      <c r="U2013" t="s">
        <v>8277</v>
      </c>
      <c r="V2013" t="s">
        <v>9408</v>
      </c>
      <c r="W2013" t="s">
        <v>423</v>
      </c>
    </row>
    <row r="2014" spans="1:23" hidden="1" x14ac:dyDescent="0.2">
      <c r="A2014">
        <v>2012</v>
      </c>
      <c r="B2014" t="s">
        <v>304</v>
      </c>
      <c r="C2014" s="733">
        <v>40960.454930555556</v>
      </c>
      <c r="D20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14" t="s">
        <v>478</v>
      </c>
      <c r="F2014" t="s">
        <v>2622</v>
      </c>
      <c r="G2014" t="s">
        <v>8318</v>
      </c>
      <c r="H2014">
        <v>35838</v>
      </c>
      <c r="I2014" t="s">
        <v>423</v>
      </c>
      <c r="J2014" t="s">
        <v>2629</v>
      </c>
      <c r="K2014" t="s">
        <v>2625</v>
      </c>
      <c r="L2014" t="s">
        <v>2626</v>
      </c>
      <c r="M2014">
        <v>33</v>
      </c>
      <c r="N2014">
        <v>27.53</v>
      </c>
      <c r="O2014">
        <v>3211.1</v>
      </c>
      <c r="P2014">
        <v>0</v>
      </c>
      <c r="Q2014">
        <v>3211.1</v>
      </c>
      <c r="R2014">
        <v>513.78</v>
      </c>
      <c r="S2014">
        <v>128.44</v>
      </c>
      <c r="T2014">
        <v>3596.44</v>
      </c>
      <c r="U2014" t="s">
        <v>8267</v>
      </c>
      <c r="V2014" t="s">
        <v>9408</v>
      </c>
      <c r="W2014" t="s">
        <v>423</v>
      </c>
    </row>
    <row r="2015" spans="1:23" hidden="1" x14ac:dyDescent="0.2">
      <c r="A2015">
        <v>2012</v>
      </c>
      <c r="B2015" t="s">
        <v>303</v>
      </c>
      <c r="C2015" s="733">
        <v>40938.920497685183</v>
      </c>
      <c r="D20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15" t="s">
        <v>478</v>
      </c>
      <c r="F2015" t="s">
        <v>2622</v>
      </c>
      <c r="G2015" t="s">
        <v>2658</v>
      </c>
      <c r="H2015">
        <v>35073</v>
      </c>
      <c r="I2015" t="s">
        <v>423</v>
      </c>
      <c r="J2015" t="s">
        <v>2629</v>
      </c>
      <c r="K2015" t="s">
        <v>2625</v>
      </c>
      <c r="L2015" t="s">
        <v>2626</v>
      </c>
      <c r="M2015">
        <v>33</v>
      </c>
      <c r="N2015">
        <v>24.6</v>
      </c>
      <c r="O2015">
        <v>2869.34</v>
      </c>
      <c r="P2015">
        <v>0</v>
      </c>
      <c r="Q2015">
        <v>2869.34</v>
      </c>
      <c r="R2015">
        <v>459.1</v>
      </c>
      <c r="S2015">
        <v>114.77</v>
      </c>
      <c r="T2015">
        <v>3213.67</v>
      </c>
      <c r="U2015" t="s">
        <v>2652</v>
      </c>
      <c r="V2015" t="s">
        <v>9408</v>
      </c>
      <c r="W2015" t="s">
        <v>423</v>
      </c>
    </row>
    <row r="2016" spans="1:23" hidden="1" x14ac:dyDescent="0.2">
      <c r="A2016">
        <v>2012</v>
      </c>
      <c r="B2016" t="s">
        <v>304</v>
      </c>
      <c r="C2016" s="733">
        <v>40954</v>
      </c>
      <c r="D20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16" t="s">
        <v>478</v>
      </c>
      <c r="F2016" t="s">
        <v>2622</v>
      </c>
      <c r="G2016" t="s">
        <v>7993</v>
      </c>
      <c r="H2016">
        <v>35604</v>
      </c>
      <c r="I2016" t="s">
        <v>423</v>
      </c>
      <c r="J2016" t="s">
        <v>2629</v>
      </c>
      <c r="K2016" t="s">
        <v>2625</v>
      </c>
      <c r="L2016" t="s">
        <v>2626</v>
      </c>
      <c r="M2016">
        <v>33</v>
      </c>
      <c r="N2016">
        <v>25.89</v>
      </c>
      <c r="O2016">
        <v>3019.81</v>
      </c>
      <c r="P2016">
        <v>0</v>
      </c>
      <c r="Q2016">
        <v>3019.81</v>
      </c>
      <c r="R2016">
        <v>483.17</v>
      </c>
      <c r="S2016">
        <v>120.79</v>
      </c>
      <c r="T2016">
        <v>3382.19</v>
      </c>
      <c r="U2016" t="s">
        <v>7548</v>
      </c>
      <c r="V2016" t="s">
        <v>9408</v>
      </c>
      <c r="W2016" t="s">
        <v>423</v>
      </c>
    </row>
    <row r="2017" spans="1:23" hidden="1" x14ac:dyDescent="0.2">
      <c r="A2017">
        <v>2012</v>
      </c>
      <c r="B2017" t="s">
        <v>304</v>
      </c>
      <c r="C2017" s="733">
        <v>40960</v>
      </c>
      <c r="D20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17" t="s">
        <v>485</v>
      </c>
      <c r="F2017" t="s">
        <v>2065</v>
      </c>
      <c r="G2017" t="s">
        <v>8089</v>
      </c>
      <c r="H2017">
        <v>42212</v>
      </c>
      <c r="I2017" t="s">
        <v>423</v>
      </c>
      <c r="J2017" t="s">
        <v>2189</v>
      </c>
      <c r="K2017" t="s">
        <v>2183</v>
      </c>
      <c r="L2017" t="s">
        <v>2184</v>
      </c>
      <c r="M2017">
        <v>720</v>
      </c>
      <c r="N2017">
        <v>26.03</v>
      </c>
      <c r="O2017">
        <v>11554.46</v>
      </c>
      <c r="P2017">
        <v>0</v>
      </c>
      <c r="Q2017">
        <v>11554.46</v>
      </c>
      <c r="R2017">
        <v>1848.71</v>
      </c>
      <c r="S2017">
        <v>462.18</v>
      </c>
      <c r="T2017">
        <v>12940.99</v>
      </c>
      <c r="U2017" t="s">
        <v>9411</v>
      </c>
      <c r="V2017" t="s">
        <v>9408</v>
      </c>
      <c r="W2017" t="s">
        <v>423</v>
      </c>
    </row>
    <row r="2018" spans="1:23" hidden="1" x14ac:dyDescent="0.2">
      <c r="A2018">
        <v>2012</v>
      </c>
      <c r="B2018" t="s">
        <v>304</v>
      </c>
      <c r="C2018" s="733">
        <v>40956</v>
      </c>
      <c r="D20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18" t="s">
        <v>485</v>
      </c>
      <c r="F2018" t="s">
        <v>2048</v>
      </c>
      <c r="G2018" t="s">
        <v>8006</v>
      </c>
      <c r="H2018">
        <v>42162</v>
      </c>
      <c r="I2018" t="s">
        <v>423</v>
      </c>
      <c r="J2018" t="s">
        <v>2274</v>
      </c>
      <c r="K2018" t="s">
        <v>2051</v>
      </c>
      <c r="L2018" t="s">
        <v>2052</v>
      </c>
      <c r="M2018">
        <v>573</v>
      </c>
      <c r="N2018">
        <v>51.75</v>
      </c>
      <c r="O2018">
        <v>16792.88</v>
      </c>
      <c r="P2018">
        <v>0</v>
      </c>
      <c r="Q2018">
        <v>16792.88</v>
      </c>
      <c r="R2018">
        <v>2686.86</v>
      </c>
      <c r="S2018">
        <v>671.72</v>
      </c>
      <c r="T2018">
        <v>18808.02</v>
      </c>
      <c r="U2018" t="s">
        <v>8257</v>
      </c>
      <c r="V2018" t="s">
        <v>9409</v>
      </c>
      <c r="W2018" t="s">
        <v>423</v>
      </c>
    </row>
    <row r="2019" spans="1:23" hidden="1" x14ac:dyDescent="0.2">
      <c r="A2019">
        <v>2012</v>
      </c>
      <c r="B2019" t="s">
        <v>304</v>
      </c>
      <c r="C2019" s="733">
        <v>40941</v>
      </c>
      <c r="D20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19" t="s">
        <v>485</v>
      </c>
      <c r="F2019" t="s">
        <v>2048</v>
      </c>
      <c r="G2019" t="s">
        <v>6136</v>
      </c>
      <c r="H2019">
        <v>41298</v>
      </c>
      <c r="I2019" t="s">
        <v>423</v>
      </c>
      <c r="J2019" t="s">
        <v>2274</v>
      </c>
      <c r="K2019" t="s">
        <v>2051</v>
      </c>
      <c r="L2019" t="s">
        <v>2052</v>
      </c>
      <c r="M2019">
        <v>573</v>
      </c>
      <c r="N2019">
        <v>50.35</v>
      </c>
      <c r="O2019">
        <v>16338.58</v>
      </c>
      <c r="P2019">
        <v>0</v>
      </c>
      <c r="Q2019">
        <v>16338.58</v>
      </c>
      <c r="R2019">
        <v>2614.17</v>
      </c>
      <c r="S2019">
        <v>653.54</v>
      </c>
      <c r="T2019">
        <v>18299.21</v>
      </c>
      <c r="U2019" t="s">
        <v>2067</v>
      </c>
      <c r="V2019" t="s">
        <v>9409</v>
      </c>
      <c r="W2019" t="s">
        <v>423</v>
      </c>
    </row>
    <row r="2020" spans="1:23" hidden="1" x14ac:dyDescent="0.2">
      <c r="A2020">
        <v>2012</v>
      </c>
      <c r="B2020" t="s">
        <v>305</v>
      </c>
      <c r="C2020" s="733">
        <v>40970</v>
      </c>
      <c r="D2020" s="733" t="str">
        <f>CHOOSE(MONTH(Tabla_sqldatos_bonampakdb_Bon_v_ingresos2012[[#This Row],[fecha_guia]]),"Enero","Febrero","Marzo","Abril","Mayo","Junio","Julio","Agosto","Septiembre","Octubre","Noviembre","Diciembre")</f>
        <v>Marzo</v>
      </c>
      <c r="E2020" t="s">
        <v>478</v>
      </c>
      <c r="F2020" t="s">
        <v>2136</v>
      </c>
      <c r="G2020" t="s">
        <v>9701</v>
      </c>
      <c r="H2020">
        <v>36060</v>
      </c>
      <c r="I2020" t="s">
        <v>423</v>
      </c>
      <c r="J2020" t="s">
        <v>2144</v>
      </c>
      <c r="K2020" t="s">
        <v>425</v>
      </c>
      <c r="L2020" t="s">
        <v>2145</v>
      </c>
      <c r="M2020">
        <v>1354</v>
      </c>
      <c r="N2020">
        <v>41.15</v>
      </c>
      <c r="O2020">
        <v>37314.410000000003</v>
      </c>
      <c r="P2020">
        <v>0</v>
      </c>
      <c r="Q2020">
        <v>37314.410000000003</v>
      </c>
      <c r="R2020">
        <v>5970.31</v>
      </c>
      <c r="S2020">
        <v>1492.58</v>
      </c>
      <c r="T2020">
        <v>41792.14</v>
      </c>
      <c r="V2020" t="s">
        <v>9409</v>
      </c>
      <c r="W2020" t="s">
        <v>423</v>
      </c>
    </row>
    <row r="2021" spans="1:23" hidden="1" x14ac:dyDescent="0.2">
      <c r="A2021">
        <v>2012</v>
      </c>
      <c r="B2021" t="s">
        <v>304</v>
      </c>
      <c r="C2021" s="733">
        <v>40950.572905092595</v>
      </c>
      <c r="D20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21" t="s">
        <v>485</v>
      </c>
      <c r="F2021" t="s">
        <v>2054</v>
      </c>
      <c r="G2021" t="s">
        <v>2548</v>
      </c>
      <c r="H2021">
        <v>10395</v>
      </c>
      <c r="I2021" t="s">
        <v>423</v>
      </c>
      <c r="J2021" t="s">
        <v>2072</v>
      </c>
      <c r="K2021" t="s">
        <v>2057</v>
      </c>
      <c r="L2021" t="s">
        <v>2058</v>
      </c>
      <c r="M2021">
        <v>406</v>
      </c>
      <c r="N2021">
        <v>47.19</v>
      </c>
      <c r="O2021">
        <v>12896.08</v>
      </c>
      <c r="P2021">
        <v>0</v>
      </c>
      <c r="Q2021">
        <v>12896.08</v>
      </c>
      <c r="R2021">
        <v>1418.57</v>
      </c>
      <c r="S2021">
        <v>515.84</v>
      </c>
      <c r="T2021">
        <v>13798.81</v>
      </c>
      <c r="U2021" t="s">
        <v>8047</v>
      </c>
      <c r="V2021" t="s">
        <v>9409</v>
      </c>
      <c r="W2021" t="s">
        <v>423</v>
      </c>
    </row>
    <row r="2022" spans="1:23" hidden="1" x14ac:dyDescent="0.2">
      <c r="A2022">
        <v>2012</v>
      </c>
      <c r="B2022" t="s">
        <v>305</v>
      </c>
      <c r="C2022" s="733">
        <v>40971</v>
      </c>
      <c r="D2022" s="733" t="str">
        <f>CHOOSE(MONTH(Tabla_sqldatos_bonampakdb_Bon_v_ingresos2012[[#This Row],[fecha_guia]]),"Enero","Febrero","Marzo","Abril","Mayo","Junio","Julio","Agosto","Septiembre","Octubre","Noviembre","Diciembre")</f>
        <v>Marzo</v>
      </c>
      <c r="E2022" t="s">
        <v>485</v>
      </c>
      <c r="F2022" t="s">
        <v>2054</v>
      </c>
      <c r="G2022" t="s">
        <v>9702</v>
      </c>
      <c r="H2022">
        <v>10634</v>
      </c>
      <c r="I2022" t="s">
        <v>423</v>
      </c>
      <c r="J2022" t="s">
        <v>2072</v>
      </c>
      <c r="K2022" t="s">
        <v>2057</v>
      </c>
      <c r="L2022" t="s">
        <v>2058</v>
      </c>
      <c r="M2022">
        <v>406</v>
      </c>
      <c r="N2022">
        <v>23.2</v>
      </c>
      <c r="O2022">
        <v>6340.1</v>
      </c>
      <c r="P2022">
        <v>0</v>
      </c>
      <c r="Q2022">
        <v>6340.1</v>
      </c>
      <c r="R2022">
        <v>697.41</v>
      </c>
      <c r="S2022">
        <v>253.6</v>
      </c>
      <c r="T2022">
        <v>6783.91</v>
      </c>
      <c r="V2022" t="s">
        <v>9409</v>
      </c>
      <c r="W2022" t="s">
        <v>423</v>
      </c>
    </row>
    <row r="2023" spans="1:23" hidden="1" x14ac:dyDescent="0.2">
      <c r="A2023">
        <v>2012</v>
      </c>
      <c r="B2023" t="s">
        <v>304</v>
      </c>
      <c r="C2023" s="733">
        <v>40950.494814814818</v>
      </c>
      <c r="D20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23" t="s">
        <v>485</v>
      </c>
      <c r="F2023" t="s">
        <v>2054</v>
      </c>
      <c r="G2023" t="s">
        <v>2545</v>
      </c>
      <c r="H2023">
        <v>10386</v>
      </c>
      <c r="I2023" t="s">
        <v>423</v>
      </c>
      <c r="J2023" t="s">
        <v>2072</v>
      </c>
      <c r="K2023" t="s">
        <v>2057</v>
      </c>
      <c r="L2023" t="s">
        <v>2058</v>
      </c>
      <c r="M2023">
        <v>406</v>
      </c>
      <c r="N2023">
        <v>24.94</v>
      </c>
      <c r="O2023">
        <v>6815.6</v>
      </c>
      <c r="P2023">
        <v>0</v>
      </c>
      <c r="Q2023">
        <v>6815.6</v>
      </c>
      <c r="R2023">
        <v>749.72</v>
      </c>
      <c r="S2023">
        <v>272.62</v>
      </c>
      <c r="T2023">
        <v>7292.7</v>
      </c>
      <c r="U2023" t="s">
        <v>2082</v>
      </c>
      <c r="V2023" t="s">
        <v>9408</v>
      </c>
      <c r="W2023" t="s">
        <v>423</v>
      </c>
    </row>
    <row r="2024" spans="1:23" hidden="1" x14ac:dyDescent="0.2">
      <c r="A2024">
        <v>2012</v>
      </c>
      <c r="B2024" t="s">
        <v>303</v>
      </c>
      <c r="C2024" s="733">
        <v>40935</v>
      </c>
      <c r="D20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24" t="s">
        <v>485</v>
      </c>
      <c r="F2024" t="s">
        <v>2054</v>
      </c>
      <c r="G2024" t="s">
        <v>6123</v>
      </c>
      <c r="H2024">
        <v>10227</v>
      </c>
      <c r="I2024" t="s">
        <v>423</v>
      </c>
      <c r="J2024" t="s">
        <v>2072</v>
      </c>
      <c r="K2024" t="s">
        <v>2057</v>
      </c>
      <c r="L2024" t="s">
        <v>2058</v>
      </c>
      <c r="M2024">
        <v>406</v>
      </c>
      <c r="N2024">
        <v>29.75</v>
      </c>
      <c r="O2024">
        <v>8130.08</v>
      </c>
      <c r="P2024">
        <v>0</v>
      </c>
      <c r="Q2024">
        <v>8130.08</v>
      </c>
      <c r="R2024">
        <v>1300.81</v>
      </c>
      <c r="S2024">
        <v>325.2</v>
      </c>
      <c r="T2024">
        <v>9105.69</v>
      </c>
      <c r="U2024" t="s">
        <v>2073</v>
      </c>
      <c r="V2024" t="s">
        <v>9408</v>
      </c>
      <c r="W2024" t="s">
        <v>423</v>
      </c>
    </row>
    <row r="2025" spans="1:23" hidden="1" x14ac:dyDescent="0.2">
      <c r="A2025">
        <v>2012</v>
      </c>
      <c r="B2025" t="s">
        <v>304</v>
      </c>
      <c r="C2025" s="733">
        <v>40947</v>
      </c>
      <c r="D20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25" t="s">
        <v>485</v>
      </c>
      <c r="F2025" t="s">
        <v>2054</v>
      </c>
      <c r="G2025" t="s">
        <v>6124</v>
      </c>
      <c r="H2025">
        <v>10340</v>
      </c>
      <c r="I2025" t="s">
        <v>423</v>
      </c>
      <c r="J2025" t="s">
        <v>2072</v>
      </c>
      <c r="K2025" t="s">
        <v>2057</v>
      </c>
      <c r="L2025" t="s">
        <v>2058</v>
      </c>
      <c r="M2025">
        <v>406</v>
      </c>
      <c r="N2025">
        <v>24.73</v>
      </c>
      <c r="O2025">
        <v>6758.21</v>
      </c>
      <c r="P2025">
        <v>0</v>
      </c>
      <c r="Q2025">
        <v>6758.21</v>
      </c>
      <c r="R2025">
        <v>743.4</v>
      </c>
      <c r="S2025">
        <v>270.33</v>
      </c>
      <c r="T2025">
        <v>7231.28</v>
      </c>
      <c r="U2025" t="s">
        <v>2082</v>
      </c>
      <c r="V2025" t="s">
        <v>9408</v>
      </c>
      <c r="W2025" t="s">
        <v>423</v>
      </c>
    </row>
    <row r="2026" spans="1:23" hidden="1" x14ac:dyDescent="0.2">
      <c r="A2026">
        <v>2012</v>
      </c>
      <c r="B2026" t="s">
        <v>304</v>
      </c>
      <c r="C2026" s="733">
        <v>40941</v>
      </c>
      <c r="D20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26" t="s">
        <v>485</v>
      </c>
      <c r="F2026" t="s">
        <v>2054</v>
      </c>
      <c r="G2026" t="s">
        <v>2556</v>
      </c>
      <c r="H2026">
        <v>10289</v>
      </c>
      <c r="I2026" t="s">
        <v>423</v>
      </c>
      <c r="J2026" t="s">
        <v>2072</v>
      </c>
      <c r="K2026" t="s">
        <v>2057</v>
      </c>
      <c r="L2026" t="s">
        <v>2058</v>
      </c>
      <c r="M2026">
        <v>406</v>
      </c>
      <c r="N2026">
        <v>47.61</v>
      </c>
      <c r="O2026">
        <v>13010.86</v>
      </c>
      <c r="P2026">
        <v>0</v>
      </c>
      <c r="Q2026">
        <v>13010.86</v>
      </c>
      <c r="R2026">
        <v>2081.7399999999998</v>
      </c>
      <c r="S2026">
        <v>520.42999999999995</v>
      </c>
      <c r="T2026">
        <v>14572.17</v>
      </c>
      <c r="U2026" t="s">
        <v>2075</v>
      </c>
      <c r="V2026" t="s">
        <v>9409</v>
      </c>
      <c r="W2026" t="s">
        <v>423</v>
      </c>
    </row>
    <row r="2027" spans="1:23" hidden="1" x14ac:dyDescent="0.2">
      <c r="A2027">
        <v>2012</v>
      </c>
      <c r="B2027" t="s">
        <v>304</v>
      </c>
      <c r="C2027" s="733">
        <v>40961</v>
      </c>
      <c r="D20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27" t="s">
        <v>505</v>
      </c>
      <c r="F2027" t="s">
        <v>1915</v>
      </c>
      <c r="G2027" t="s">
        <v>8360</v>
      </c>
      <c r="H2027">
        <v>22886</v>
      </c>
      <c r="I2027" t="s">
        <v>423</v>
      </c>
      <c r="J2027" t="s">
        <v>1943</v>
      </c>
      <c r="K2027" t="s">
        <v>1918</v>
      </c>
      <c r="L2027" t="s">
        <v>1919</v>
      </c>
      <c r="M2027">
        <v>319</v>
      </c>
      <c r="N2027">
        <v>53.95</v>
      </c>
      <c r="O2027">
        <v>15820.3</v>
      </c>
      <c r="P2027">
        <v>0</v>
      </c>
      <c r="Q2027">
        <v>15820.3</v>
      </c>
      <c r="R2027">
        <v>2531.25</v>
      </c>
      <c r="S2027">
        <v>632.80999999999995</v>
      </c>
      <c r="T2027">
        <v>17718.740000000002</v>
      </c>
      <c r="U2027" t="s">
        <v>8491</v>
      </c>
      <c r="V2027" t="s">
        <v>9409</v>
      </c>
      <c r="W2027" t="s">
        <v>423</v>
      </c>
    </row>
    <row r="2028" spans="1:23" hidden="1" x14ac:dyDescent="0.2">
      <c r="A2028">
        <v>2012</v>
      </c>
      <c r="B2028" t="s">
        <v>304</v>
      </c>
      <c r="C2028" s="733">
        <v>40947</v>
      </c>
      <c r="D20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28" t="s">
        <v>485</v>
      </c>
      <c r="F2028" t="s">
        <v>2054</v>
      </c>
      <c r="G2028" t="s">
        <v>2553</v>
      </c>
      <c r="H2028">
        <v>10339</v>
      </c>
      <c r="I2028" t="s">
        <v>423</v>
      </c>
      <c r="J2028" t="s">
        <v>2072</v>
      </c>
      <c r="K2028" t="s">
        <v>2057</v>
      </c>
      <c r="L2028" t="s">
        <v>2058</v>
      </c>
      <c r="M2028">
        <v>406</v>
      </c>
      <c r="N2028">
        <v>46.75</v>
      </c>
      <c r="O2028">
        <v>12775.84</v>
      </c>
      <c r="P2028">
        <v>0</v>
      </c>
      <c r="Q2028">
        <v>12775.84</v>
      </c>
      <c r="R2028">
        <v>1405.34</v>
      </c>
      <c r="S2028">
        <v>511.03</v>
      </c>
      <c r="T2028">
        <v>13670.15</v>
      </c>
      <c r="U2028" t="s">
        <v>2082</v>
      </c>
      <c r="V2028" t="s">
        <v>9409</v>
      </c>
      <c r="W2028" t="s">
        <v>423</v>
      </c>
    </row>
    <row r="2029" spans="1:23" hidden="1" x14ac:dyDescent="0.2">
      <c r="A2029">
        <v>2012</v>
      </c>
      <c r="B2029" t="s">
        <v>305</v>
      </c>
      <c r="C2029" s="733">
        <v>40971.620821759258</v>
      </c>
      <c r="D2029" s="733" t="str">
        <f>CHOOSE(MONTH(Tabla_sqldatos_bonampakdb_Bon_v_ingresos2012[[#This Row],[fecha_guia]]),"Enero","Febrero","Marzo","Abril","Mayo","Junio","Julio","Agosto","Septiembre","Octubre","Noviembre","Diciembre")</f>
        <v>Marzo</v>
      </c>
      <c r="E2029" t="s">
        <v>485</v>
      </c>
      <c r="F2029" t="s">
        <v>2054</v>
      </c>
      <c r="G2029" t="s">
        <v>9703</v>
      </c>
      <c r="H2029">
        <v>10643</v>
      </c>
      <c r="I2029" t="s">
        <v>423</v>
      </c>
      <c r="J2029" t="s">
        <v>2072</v>
      </c>
      <c r="K2029" t="s">
        <v>2057</v>
      </c>
      <c r="L2029" t="s">
        <v>2058</v>
      </c>
      <c r="M2029">
        <v>406</v>
      </c>
      <c r="N2029">
        <v>48.04</v>
      </c>
      <c r="O2029">
        <v>13128.37</v>
      </c>
      <c r="P2029">
        <v>0</v>
      </c>
      <c r="Q2029">
        <v>13128.37</v>
      </c>
      <c r="R2029">
        <v>1444.12</v>
      </c>
      <c r="S2029">
        <v>525.13</v>
      </c>
      <c r="T2029">
        <v>14047.36</v>
      </c>
      <c r="V2029" t="s">
        <v>9409</v>
      </c>
      <c r="W2029" t="s">
        <v>423</v>
      </c>
    </row>
    <row r="2030" spans="1:23" hidden="1" x14ac:dyDescent="0.2">
      <c r="A2030">
        <v>2012</v>
      </c>
      <c r="B2030" t="s">
        <v>304</v>
      </c>
      <c r="C2030" s="733">
        <v>40962</v>
      </c>
      <c r="D20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30" t="s">
        <v>485</v>
      </c>
      <c r="F2030" t="s">
        <v>2054</v>
      </c>
      <c r="G2030" t="s">
        <v>8549</v>
      </c>
      <c r="H2030">
        <v>10527</v>
      </c>
      <c r="I2030" t="s">
        <v>423</v>
      </c>
      <c r="J2030" t="s">
        <v>2072</v>
      </c>
      <c r="K2030" t="s">
        <v>2057</v>
      </c>
      <c r="L2030" t="s">
        <v>2058</v>
      </c>
      <c r="M2030">
        <v>406</v>
      </c>
      <c r="N2030">
        <v>45.73</v>
      </c>
      <c r="O2030">
        <v>12497.09</v>
      </c>
      <c r="P2030">
        <v>0</v>
      </c>
      <c r="Q2030">
        <v>12497.09</v>
      </c>
      <c r="R2030">
        <v>1374.68</v>
      </c>
      <c r="S2030">
        <v>499.88</v>
      </c>
      <c r="T2030">
        <v>13371.89</v>
      </c>
      <c r="U2030" t="s">
        <v>8864</v>
      </c>
      <c r="V2030" t="s">
        <v>9409</v>
      </c>
      <c r="W2030" t="s">
        <v>423</v>
      </c>
    </row>
    <row r="2031" spans="1:23" hidden="1" x14ac:dyDescent="0.2">
      <c r="A2031">
        <v>2012</v>
      </c>
      <c r="B2031" t="s">
        <v>303</v>
      </c>
      <c r="C2031" s="733">
        <v>40924.813854166663</v>
      </c>
      <c r="D20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31" t="s">
        <v>485</v>
      </c>
      <c r="F2031" t="s">
        <v>2054</v>
      </c>
      <c r="G2031" t="s">
        <v>2544</v>
      </c>
      <c r="H2031">
        <v>10094</v>
      </c>
      <c r="I2031" t="s">
        <v>423</v>
      </c>
      <c r="J2031" t="s">
        <v>2072</v>
      </c>
      <c r="K2031" t="s">
        <v>2057</v>
      </c>
      <c r="L2031" t="s">
        <v>2058</v>
      </c>
      <c r="M2031">
        <v>406</v>
      </c>
      <c r="N2031">
        <v>24.46</v>
      </c>
      <c r="O2031">
        <v>6684.43</v>
      </c>
      <c r="P2031">
        <v>0</v>
      </c>
      <c r="Q2031">
        <v>6684.43</v>
      </c>
      <c r="R2031">
        <v>1069.51</v>
      </c>
      <c r="S2031">
        <v>267.38</v>
      </c>
      <c r="T2031">
        <v>7486.56</v>
      </c>
      <c r="U2031" t="s">
        <v>2059</v>
      </c>
      <c r="V2031" t="s">
        <v>9409</v>
      </c>
      <c r="W2031" t="s">
        <v>423</v>
      </c>
    </row>
    <row r="2032" spans="1:23" hidden="1" x14ac:dyDescent="0.2">
      <c r="A2032">
        <v>2012</v>
      </c>
      <c r="B2032" t="s">
        <v>303</v>
      </c>
      <c r="C2032" s="733">
        <v>40935</v>
      </c>
      <c r="D20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32" t="s">
        <v>485</v>
      </c>
      <c r="F2032" t="s">
        <v>2054</v>
      </c>
      <c r="G2032" t="s">
        <v>6131</v>
      </c>
      <c r="H2032">
        <v>40989</v>
      </c>
      <c r="I2032" t="s">
        <v>423</v>
      </c>
      <c r="J2032" t="s">
        <v>4091</v>
      </c>
      <c r="K2032" t="s">
        <v>2051</v>
      </c>
      <c r="L2032" t="s">
        <v>2052</v>
      </c>
      <c r="M2032">
        <v>1092</v>
      </c>
      <c r="N2032">
        <v>56.25</v>
      </c>
      <c r="O2032">
        <v>32821.879999999997</v>
      </c>
      <c r="P2032">
        <v>0</v>
      </c>
      <c r="Q2032">
        <v>32821.879999999997</v>
      </c>
      <c r="R2032">
        <v>5251.5</v>
      </c>
      <c r="S2032">
        <v>1312.88</v>
      </c>
      <c r="T2032">
        <v>36760.5</v>
      </c>
      <c r="U2032" t="s">
        <v>2053</v>
      </c>
      <c r="V2032" t="s">
        <v>9409</v>
      </c>
      <c r="W2032" t="s">
        <v>423</v>
      </c>
    </row>
    <row r="2033" spans="1:23" hidden="1" x14ac:dyDescent="0.2">
      <c r="A2033">
        <v>2012</v>
      </c>
      <c r="B2033" t="s">
        <v>303</v>
      </c>
      <c r="C2033" s="733">
        <v>40934.440659722219</v>
      </c>
      <c r="D20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33" t="s">
        <v>485</v>
      </c>
      <c r="F2033" t="s">
        <v>2054</v>
      </c>
      <c r="G2033" t="s">
        <v>2554</v>
      </c>
      <c r="H2033">
        <v>10215</v>
      </c>
      <c r="I2033" t="s">
        <v>423</v>
      </c>
      <c r="J2033" t="s">
        <v>2072</v>
      </c>
      <c r="K2033" t="s">
        <v>2057</v>
      </c>
      <c r="L2033" t="s">
        <v>2058</v>
      </c>
      <c r="M2033">
        <v>406</v>
      </c>
      <c r="N2033">
        <v>44.76</v>
      </c>
      <c r="O2033">
        <v>12232.01</v>
      </c>
      <c r="P2033">
        <v>0</v>
      </c>
      <c r="Q2033">
        <v>12232.01</v>
      </c>
      <c r="R2033">
        <v>1957.12</v>
      </c>
      <c r="S2033">
        <v>489.28</v>
      </c>
      <c r="T2033">
        <v>13699.85</v>
      </c>
      <c r="U2033" t="s">
        <v>2073</v>
      </c>
      <c r="V2033" t="s">
        <v>9409</v>
      </c>
      <c r="W2033" t="s">
        <v>423</v>
      </c>
    </row>
    <row r="2034" spans="1:23" hidden="1" x14ac:dyDescent="0.2">
      <c r="A2034">
        <v>2012</v>
      </c>
      <c r="B2034" t="s">
        <v>304</v>
      </c>
      <c r="C2034" s="733">
        <v>40964</v>
      </c>
      <c r="D20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34" t="s">
        <v>485</v>
      </c>
      <c r="F2034" t="s">
        <v>2054</v>
      </c>
      <c r="G2034" t="s">
        <v>8725</v>
      </c>
      <c r="H2034">
        <v>10461</v>
      </c>
      <c r="I2034" t="s">
        <v>423</v>
      </c>
      <c r="J2034" t="s">
        <v>2072</v>
      </c>
      <c r="K2034" t="s">
        <v>2057</v>
      </c>
      <c r="L2034" t="s">
        <v>2058</v>
      </c>
      <c r="M2034">
        <v>406</v>
      </c>
      <c r="N2034">
        <v>47.34</v>
      </c>
      <c r="O2034">
        <v>12937.08</v>
      </c>
      <c r="P2034">
        <v>0</v>
      </c>
      <c r="Q2034">
        <v>12937.08</v>
      </c>
      <c r="R2034">
        <v>1423.08</v>
      </c>
      <c r="S2034">
        <v>517.48</v>
      </c>
      <c r="T2034">
        <v>13842.68</v>
      </c>
      <c r="U2034" t="s">
        <v>8864</v>
      </c>
      <c r="V2034" t="s">
        <v>9409</v>
      </c>
      <c r="W2034" t="s">
        <v>423</v>
      </c>
    </row>
    <row r="2035" spans="1:23" hidden="1" x14ac:dyDescent="0.2">
      <c r="A2035">
        <v>2012</v>
      </c>
      <c r="B2035" t="s">
        <v>304</v>
      </c>
      <c r="C2035" s="733">
        <v>40962</v>
      </c>
      <c r="D20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35" t="s">
        <v>485</v>
      </c>
      <c r="F2035" t="s">
        <v>2054</v>
      </c>
      <c r="G2035" t="s">
        <v>8547</v>
      </c>
      <c r="H2035">
        <v>10529</v>
      </c>
      <c r="I2035" t="s">
        <v>423</v>
      </c>
      <c r="J2035" t="s">
        <v>2072</v>
      </c>
      <c r="K2035" t="s">
        <v>2057</v>
      </c>
      <c r="L2035" t="s">
        <v>2058</v>
      </c>
      <c r="M2035">
        <v>406</v>
      </c>
      <c r="N2035">
        <v>22.52</v>
      </c>
      <c r="O2035">
        <v>6154.27</v>
      </c>
      <c r="P2035">
        <v>0</v>
      </c>
      <c r="Q2035">
        <v>6154.27</v>
      </c>
      <c r="R2035">
        <v>676.97</v>
      </c>
      <c r="S2035">
        <v>246.17</v>
      </c>
      <c r="T2035">
        <v>6585.07</v>
      </c>
      <c r="U2035" t="s">
        <v>8864</v>
      </c>
      <c r="V2035" t="s">
        <v>9409</v>
      </c>
      <c r="W2035" t="s">
        <v>423</v>
      </c>
    </row>
    <row r="2036" spans="1:23" hidden="1" x14ac:dyDescent="0.2">
      <c r="A2036">
        <v>2012</v>
      </c>
      <c r="B2036" t="s">
        <v>304</v>
      </c>
      <c r="C2036" s="733">
        <v>40962</v>
      </c>
      <c r="D20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36" t="s">
        <v>485</v>
      </c>
      <c r="F2036" t="s">
        <v>2054</v>
      </c>
      <c r="G2036" t="s">
        <v>8548</v>
      </c>
      <c r="H2036">
        <v>10525</v>
      </c>
      <c r="I2036" t="s">
        <v>423</v>
      </c>
      <c r="J2036" t="s">
        <v>2072</v>
      </c>
      <c r="K2036" t="s">
        <v>2057</v>
      </c>
      <c r="L2036" t="s">
        <v>2058</v>
      </c>
      <c r="M2036">
        <v>406</v>
      </c>
      <c r="N2036">
        <v>46.21</v>
      </c>
      <c r="O2036">
        <v>12628.27</v>
      </c>
      <c r="P2036">
        <v>0</v>
      </c>
      <c r="Q2036">
        <v>12628.27</v>
      </c>
      <c r="R2036">
        <v>1389.11</v>
      </c>
      <c r="S2036">
        <v>505.13</v>
      </c>
      <c r="T2036">
        <v>13512.25</v>
      </c>
      <c r="U2036" t="s">
        <v>8864</v>
      </c>
      <c r="V2036" t="s">
        <v>9409</v>
      </c>
      <c r="W2036" t="s">
        <v>423</v>
      </c>
    </row>
    <row r="2037" spans="1:23" hidden="1" x14ac:dyDescent="0.2">
      <c r="A2037">
        <v>2012</v>
      </c>
      <c r="B2037" t="s">
        <v>303</v>
      </c>
      <c r="C2037" s="733">
        <v>40929</v>
      </c>
      <c r="D20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37" t="s">
        <v>485</v>
      </c>
      <c r="F2037" t="s">
        <v>2054</v>
      </c>
      <c r="G2037" t="s">
        <v>2549</v>
      </c>
      <c r="H2037">
        <v>10151</v>
      </c>
      <c r="I2037" t="s">
        <v>423</v>
      </c>
      <c r="J2037" t="s">
        <v>2072</v>
      </c>
      <c r="K2037" t="s">
        <v>2057</v>
      </c>
      <c r="L2037" t="s">
        <v>2058</v>
      </c>
      <c r="M2037">
        <v>406</v>
      </c>
      <c r="N2037">
        <v>50.92</v>
      </c>
      <c r="O2037">
        <v>13915.42</v>
      </c>
      <c r="P2037">
        <v>0</v>
      </c>
      <c r="Q2037">
        <v>13915.42</v>
      </c>
      <c r="R2037">
        <v>2226.4699999999998</v>
      </c>
      <c r="S2037">
        <v>556.62</v>
      </c>
      <c r="T2037">
        <v>15585.27</v>
      </c>
      <c r="U2037" t="s">
        <v>2077</v>
      </c>
      <c r="V2037" t="s">
        <v>9409</v>
      </c>
      <c r="W2037" t="s">
        <v>423</v>
      </c>
    </row>
    <row r="2038" spans="1:23" hidden="1" x14ac:dyDescent="0.2">
      <c r="A2038">
        <v>2012</v>
      </c>
      <c r="B2038" t="s">
        <v>304</v>
      </c>
      <c r="C2038" s="733">
        <v>40966.631018518521</v>
      </c>
      <c r="D20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38" t="s">
        <v>485</v>
      </c>
      <c r="F2038" t="s">
        <v>2054</v>
      </c>
      <c r="G2038" t="s">
        <v>9233</v>
      </c>
      <c r="H2038">
        <v>10580</v>
      </c>
      <c r="I2038" t="s">
        <v>423</v>
      </c>
      <c r="J2038" t="s">
        <v>2072</v>
      </c>
      <c r="K2038" t="s">
        <v>2057</v>
      </c>
      <c r="L2038" t="s">
        <v>2058</v>
      </c>
      <c r="M2038">
        <v>406</v>
      </c>
      <c r="N2038">
        <v>48.41</v>
      </c>
      <c r="O2038">
        <v>13229.48</v>
      </c>
      <c r="P2038">
        <v>0</v>
      </c>
      <c r="Q2038">
        <v>13229.48</v>
      </c>
      <c r="R2038">
        <v>1455.24</v>
      </c>
      <c r="S2038">
        <v>529.17999999999995</v>
      </c>
      <c r="T2038">
        <v>14155.54</v>
      </c>
      <c r="U2038" t="s">
        <v>8864</v>
      </c>
      <c r="V2038" t="s">
        <v>9409</v>
      </c>
      <c r="W2038" t="s">
        <v>423</v>
      </c>
    </row>
    <row r="2039" spans="1:23" hidden="1" x14ac:dyDescent="0.2">
      <c r="A2039">
        <v>2012</v>
      </c>
      <c r="B2039" t="s">
        <v>303</v>
      </c>
      <c r="C2039" s="733">
        <v>40925.538807870369</v>
      </c>
      <c r="D20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39" t="s">
        <v>485</v>
      </c>
      <c r="F2039" t="s">
        <v>2054</v>
      </c>
      <c r="G2039" t="s">
        <v>5675</v>
      </c>
      <c r="H2039">
        <v>10104</v>
      </c>
      <c r="I2039" t="s">
        <v>423</v>
      </c>
      <c r="J2039" t="s">
        <v>4045</v>
      </c>
      <c r="K2039" t="s">
        <v>2057</v>
      </c>
      <c r="L2039" t="s">
        <v>2058</v>
      </c>
      <c r="M2039">
        <v>0</v>
      </c>
      <c r="N2039">
        <v>23.16</v>
      </c>
      <c r="O2039">
        <v>6329.16</v>
      </c>
      <c r="P2039">
        <v>0</v>
      </c>
      <c r="Q2039">
        <v>6329.16</v>
      </c>
      <c r="R2039">
        <v>1012.67</v>
      </c>
      <c r="S2039">
        <v>253.17</v>
      </c>
      <c r="T2039">
        <v>7088.66</v>
      </c>
      <c r="U2039" t="s">
        <v>2077</v>
      </c>
      <c r="V2039" t="s">
        <v>9408</v>
      </c>
      <c r="W2039" t="s">
        <v>423</v>
      </c>
    </row>
    <row r="2040" spans="1:23" hidden="1" x14ac:dyDescent="0.2">
      <c r="A2040">
        <v>2012</v>
      </c>
      <c r="B2040" t="s">
        <v>303</v>
      </c>
      <c r="C2040" s="733">
        <v>40939</v>
      </c>
      <c r="D20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40" t="s">
        <v>478</v>
      </c>
      <c r="F2040" t="s">
        <v>2622</v>
      </c>
      <c r="G2040" t="s">
        <v>4033</v>
      </c>
      <c r="H2040">
        <v>35128</v>
      </c>
      <c r="I2040" t="s">
        <v>423</v>
      </c>
      <c r="J2040" t="s">
        <v>2624</v>
      </c>
      <c r="K2040" t="s">
        <v>2625</v>
      </c>
      <c r="L2040" t="s">
        <v>2626</v>
      </c>
      <c r="M2040">
        <v>10</v>
      </c>
      <c r="N2040">
        <v>24.36</v>
      </c>
      <c r="O2040">
        <v>2749.03</v>
      </c>
      <c r="P2040">
        <v>0</v>
      </c>
      <c r="Q2040">
        <v>2749.03</v>
      </c>
      <c r="R2040">
        <v>439.84</v>
      </c>
      <c r="S2040">
        <v>109.96</v>
      </c>
      <c r="T2040">
        <v>3078.91</v>
      </c>
      <c r="U2040" t="s">
        <v>2648</v>
      </c>
      <c r="V2040" t="s">
        <v>9408</v>
      </c>
      <c r="W2040" t="s">
        <v>423</v>
      </c>
    </row>
    <row r="2041" spans="1:23" hidden="1" x14ac:dyDescent="0.2">
      <c r="A2041">
        <v>2012</v>
      </c>
      <c r="B2041" t="s">
        <v>304</v>
      </c>
      <c r="C2041" s="733">
        <v>40960.433622685188</v>
      </c>
      <c r="D20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41" t="s">
        <v>478</v>
      </c>
      <c r="F2041" t="s">
        <v>2622</v>
      </c>
      <c r="G2041" t="s">
        <v>8373</v>
      </c>
      <c r="H2041">
        <v>35848</v>
      </c>
      <c r="I2041" t="s">
        <v>423</v>
      </c>
      <c r="J2041" t="s">
        <v>2624</v>
      </c>
      <c r="K2041" t="s">
        <v>2625</v>
      </c>
      <c r="L2041" t="s">
        <v>2626</v>
      </c>
      <c r="M2041">
        <v>10</v>
      </c>
      <c r="N2041">
        <v>22.58</v>
      </c>
      <c r="O2041">
        <v>2548.15</v>
      </c>
      <c r="P2041">
        <v>0</v>
      </c>
      <c r="Q2041">
        <v>2548.15</v>
      </c>
      <c r="R2041">
        <v>407.7</v>
      </c>
      <c r="S2041">
        <v>101.93</v>
      </c>
      <c r="T2041">
        <v>2853.92</v>
      </c>
      <c r="U2041" t="s">
        <v>8267</v>
      </c>
      <c r="V2041" t="s">
        <v>9408</v>
      </c>
      <c r="W2041" t="s">
        <v>423</v>
      </c>
    </row>
    <row r="2042" spans="1:23" hidden="1" x14ac:dyDescent="0.2">
      <c r="A2042">
        <v>2012</v>
      </c>
      <c r="B2042" t="s">
        <v>303</v>
      </c>
      <c r="C2042" s="733">
        <v>40926</v>
      </c>
      <c r="D20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42" t="s">
        <v>478</v>
      </c>
      <c r="F2042" t="s">
        <v>2142</v>
      </c>
      <c r="G2042" t="s">
        <v>4393</v>
      </c>
      <c r="H2042">
        <v>34480</v>
      </c>
      <c r="I2042" t="s">
        <v>423</v>
      </c>
      <c r="J2042" t="s">
        <v>2639</v>
      </c>
      <c r="K2042" t="s">
        <v>2640</v>
      </c>
      <c r="L2042" t="s">
        <v>2641</v>
      </c>
      <c r="M2042">
        <v>274</v>
      </c>
      <c r="N2042">
        <v>60.89</v>
      </c>
      <c r="O2042">
        <v>7826.8</v>
      </c>
      <c r="P2042">
        <v>0</v>
      </c>
      <c r="Q2042">
        <v>7826.8</v>
      </c>
      <c r="R2042">
        <v>1252.29</v>
      </c>
      <c r="S2042">
        <v>313.07</v>
      </c>
      <c r="T2042">
        <v>8766.02</v>
      </c>
      <c r="U2042" t="s">
        <v>2992</v>
      </c>
      <c r="V2042" t="s">
        <v>9409</v>
      </c>
      <c r="W2042" t="s">
        <v>423</v>
      </c>
    </row>
    <row r="2043" spans="1:23" hidden="1" x14ac:dyDescent="0.2">
      <c r="A2043">
        <v>2012</v>
      </c>
      <c r="B2043" t="s">
        <v>303</v>
      </c>
      <c r="C2043" s="733">
        <v>40918</v>
      </c>
      <c r="D20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43" t="s">
        <v>478</v>
      </c>
      <c r="F2043" t="s">
        <v>2622</v>
      </c>
      <c r="G2043" t="s">
        <v>4023</v>
      </c>
      <c r="H2043">
        <v>34358</v>
      </c>
      <c r="I2043" t="s">
        <v>423</v>
      </c>
      <c r="J2043" t="s">
        <v>2624</v>
      </c>
      <c r="K2043" t="s">
        <v>2625</v>
      </c>
      <c r="L2043" t="s">
        <v>2626</v>
      </c>
      <c r="M2043">
        <v>10</v>
      </c>
      <c r="N2043">
        <v>25.2</v>
      </c>
      <c r="O2043">
        <v>2843.82</v>
      </c>
      <c r="P2043">
        <v>0</v>
      </c>
      <c r="Q2043">
        <v>2843.82</v>
      </c>
      <c r="R2043">
        <v>455.01</v>
      </c>
      <c r="S2043">
        <v>113.75</v>
      </c>
      <c r="T2043">
        <v>3185.08</v>
      </c>
      <c r="U2043" t="s">
        <v>2635</v>
      </c>
      <c r="V2043" t="s">
        <v>9408</v>
      </c>
      <c r="W2043" t="s">
        <v>423</v>
      </c>
    </row>
    <row r="2044" spans="1:23" hidden="1" x14ac:dyDescent="0.2">
      <c r="A2044">
        <v>2012</v>
      </c>
      <c r="B2044" t="s">
        <v>303</v>
      </c>
      <c r="C2044" s="733">
        <v>40933</v>
      </c>
      <c r="D20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44" t="s">
        <v>478</v>
      </c>
      <c r="F2044" t="s">
        <v>2142</v>
      </c>
      <c r="G2044" t="s">
        <v>4031</v>
      </c>
      <c r="H2044">
        <v>34548</v>
      </c>
      <c r="I2044" t="s">
        <v>423</v>
      </c>
      <c r="J2044" t="s">
        <v>2639</v>
      </c>
      <c r="K2044" t="s">
        <v>2640</v>
      </c>
      <c r="L2044" t="s">
        <v>2641</v>
      </c>
      <c r="M2044">
        <v>274</v>
      </c>
      <c r="N2044">
        <v>56.25</v>
      </c>
      <c r="O2044">
        <v>7230.38</v>
      </c>
      <c r="P2044">
        <v>0</v>
      </c>
      <c r="Q2044">
        <v>7230.38</v>
      </c>
      <c r="R2044">
        <v>1156.8599999999999</v>
      </c>
      <c r="S2044">
        <v>289.22000000000003</v>
      </c>
      <c r="T2044">
        <v>8098.02</v>
      </c>
      <c r="U2044" t="s">
        <v>2642</v>
      </c>
      <c r="V2044" t="s">
        <v>9409</v>
      </c>
      <c r="W2044" t="s">
        <v>423</v>
      </c>
    </row>
    <row r="2045" spans="1:23" hidden="1" x14ac:dyDescent="0.2">
      <c r="A2045">
        <v>2012</v>
      </c>
      <c r="B2045" t="s">
        <v>304</v>
      </c>
      <c r="C2045" s="733">
        <v>40960.425694444442</v>
      </c>
      <c r="D20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45" t="s">
        <v>478</v>
      </c>
      <c r="F2045" t="s">
        <v>2622</v>
      </c>
      <c r="G2045" t="s">
        <v>8368</v>
      </c>
      <c r="H2045">
        <v>35863</v>
      </c>
      <c r="I2045" t="s">
        <v>423</v>
      </c>
      <c r="J2045" t="s">
        <v>2668</v>
      </c>
      <c r="K2045" t="s">
        <v>2625</v>
      </c>
      <c r="L2045" t="s">
        <v>2626</v>
      </c>
      <c r="M2045">
        <v>76</v>
      </c>
      <c r="N2045">
        <v>22.81</v>
      </c>
      <c r="O2045">
        <v>2574.11</v>
      </c>
      <c r="P2045">
        <v>0</v>
      </c>
      <c r="Q2045">
        <v>2574.11</v>
      </c>
      <c r="R2045">
        <v>411.86</v>
      </c>
      <c r="S2045">
        <v>102.96</v>
      </c>
      <c r="T2045">
        <v>2883.01</v>
      </c>
      <c r="U2045" t="s">
        <v>8267</v>
      </c>
      <c r="V2045" t="s">
        <v>9408</v>
      </c>
      <c r="W2045" t="s">
        <v>423</v>
      </c>
    </row>
    <row r="2046" spans="1:23" hidden="1" x14ac:dyDescent="0.2">
      <c r="A2046">
        <v>2012</v>
      </c>
      <c r="B2046" t="s">
        <v>304</v>
      </c>
      <c r="C2046" s="733">
        <v>40960</v>
      </c>
      <c r="D20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46" t="s">
        <v>485</v>
      </c>
      <c r="F2046" t="s">
        <v>2054</v>
      </c>
      <c r="G2046" t="s">
        <v>8152</v>
      </c>
      <c r="H2046">
        <v>42303</v>
      </c>
      <c r="I2046" t="s">
        <v>423</v>
      </c>
      <c r="J2046" t="s">
        <v>2050</v>
      </c>
      <c r="K2046" t="s">
        <v>2051</v>
      </c>
      <c r="L2046" t="s">
        <v>2052</v>
      </c>
      <c r="M2046">
        <v>90</v>
      </c>
      <c r="N2046">
        <v>56.75</v>
      </c>
      <c r="O2046">
        <v>7962.59</v>
      </c>
      <c r="P2046">
        <v>0</v>
      </c>
      <c r="Q2046">
        <v>7962.59</v>
      </c>
      <c r="R2046">
        <v>1274.01</v>
      </c>
      <c r="S2046">
        <v>318.5</v>
      </c>
      <c r="T2046">
        <v>8918.1</v>
      </c>
      <c r="U2046" t="s">
        <v>8780</v>
      </c>
      <c r="V2046" t="s">
        <v>9409</v>
      </c>
      <c r="W2046" t="s">
        <v>423</v>
      </c>
    </row>
    <row r="2047" spans="1:23" hidden="1" x14ac:dyDescent="0.2">
      <c r="A2047">
        <v>2012</v>
      </c>
      <c r="B2047" t="s">
        <v>303</v>
      </c>
      <c r="C2047" s="733">
        <v>40919</v>
      </c>
      <c r="D20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47" t="s">
        <v>485</v>
      </c>
      <c r="F2047" t="s">
        <v>2054</v>
      </c>
      <c r="G2047" t="s">
        <v>3560</v>
      </c>
      <c r="H2047">
        <v>40138</v>
      </c>
      <c r="I2047" t="s">
        <v>423</v>
      </c>
      <c r="J2047" t="s">
        <v>2050</v>
      </c>
      <c r="K2047" t="s">
        <v>2051</v>
      </c>
      <c r="L2047" t="s">
        <v>2052</v>
      </c>
      <c r="M2047">
        <v>90</v>
      </c>
      <c r="N2047">
        <v>52</v>
      </c>
      <c r="O2047">
        <v>7296.12</v>
      </c>
      <c r="P2047">
        <v>0</v>
      </c>
      <c r="Q2047">
        <v>7296.12</v>
      </c>
      <c r="R2047">
        <v>1167.3800000000001</v>
      </c>
      <c r="S2047">
        <v>291.83999999999997</v>
      </c>
      <c r="T2047">
        <v>8171.66</v>
      </c>
      <c r="U2047" t="s">
        <v>2062</v>
      </c>
      <c r="V2047" t="s">
        <v>9409</v>
      </c>
      <c r="W2047" t="s">
        <v>423</v>
      </c>
    </row>
    <row r="2048" spans="1:23" x14ac:dyDescent="0.2">
      <c r="A2048">
        <v>2012</v>
      </c>
      <c r="B2048" t="s">
        <v>304</v>
      </c>
      <c r="C2048" s="733">
        <v>40967</v>
      </c>
      <c r="D20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48" t="s">
        <v>485</v>
      </c>
      <c r="F2048" t="s">
        <v>2065</v>
      </c>
      <c r="G2048" t="s">
        <v>9221</v>
      </c>
      <c r="H2048">
        <v>42596</v>
      </c>
      <c r="I2048" t="s">
        <v>423</v>
      </c>
      <c r="J2048" t="s">
        <v>2050</v>
      </c>
      <c r="K2048" t="s">
        <v>2051</v>
      </c>
      <c r="L2048" t="s">
        <v>2052</v>
      </c>
      <c r="M2048">
        <v>90</v>
      </c>
      <c r="N2048">
        <v>52.05</v>
      </c>
      <c r="O2048">
        <v>7303.14</v>
      </c>
      <c r="P2048">
        <v>0</v>
      </c>
      <c r="Q2048">
        <v>7303.14</v>
      </c>
      <c r="R2048">
        <v>1168.5</v>
      </c>
      <c r="S2048">
        <v>292.13</v>
      </c>
      <c r="T2048">
        <v>8179.51</v>
      </c>
      <c r="U2048" t="s">
        <v>8780</v>
      </c>
      <c r="V2048" t="s">
        <v>9409</v>
      </c>
      <c r="W2048" t="s">
        <v>423</v>
      </c>
    </row>
    <row r="2049" spans="1:23" hidden="1" x14ac:dyDescent="0.2">
      <c r="A2049">
        <v>2012</v>
      </c>
      <c r="B2049" t="s">
        <v>303</v>
      </c>
      <c r="C2049" s="733">
        <v>40924</v>
      </c>
      <c r="D20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49" t="s">
        <v>485</v>
      </c>
      <c r="F2049" t="s">
        <v>2048</v>
      </c>
      <c r="G2049" t="s">
        <v>4543</v>
      </c>
      <c r="H2049">
        <v>40386</v>
      </c>
      <c r="I2049" t="s">
        <v>423</v>
      </c>
      <c r="J2049" t="s">
        <v>2050</v>
      </c>
      <c r="K2049" t="s">
        <v>2051</v>
      </c>
      <c r="L2049" t="s">
        <v>2052</v>
      </c>
      <c r="M2049">
        <v>90</v>
      </c>
      <c r="N2049">
        <v>28.2</v>
      </c>
      <c r="O2049">
        <v>3956.74</v>
      </c>
      <c r="P2049">
        <v>0</v>
      </c>
      <c r="Q2049">
        <v>3956.74</v>
      </c>
      <c r="R2049">
        <v>633.08000000000004</v>
      </c>
      <c r="S2049">
        <v>158.27000000000001</v>
      </c>
      <c r="T2049">
        <v>4431.55</v>
      </c>
      <c r="U2049" t="s">
        <v>2062</v>
      </c>
      <c r="V2049" t="s">
        <v>9408</v>
      </c>
      <c r="W2049" t="s">
        <v>423</v>
      </c>
    </row>
    <row r="2050" spans="1:23" hidden="1" x14ac:dyDescent="0.2">
      <c r="A2050">
        <v>2012</v>
      </c>
      <c r="B2050" t="s">
        <v>304</v>
      </c>
      <c r="C2050" s="733">
        <v>40953</v>
      </c>
      <c r="D20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50" t="s">
        <v>485</v>
      </c>
      <c r="F2050" t="s">
        <v>2065</v>
      </c>
      <c r="G2050" t="s">
        <v>4558</v>
      </c>
      <c r="H2050">
        <v>41885</v>
      </c>
      <c r="I2050" t="s">
        <v>423</v>
      </c>
      <c r="J2050" t="s">
        <v>2050</v>
      </c>
      <c r="K2050" t="s">
        <v>2051</v>
      </c>
      <c r="L2050" t="s">
        <v>2052</v>
      </c>
      <c r="M2050">
        <v>90</v>
      </c>
      <c r="N2050">
        <v>28.55</v>
      </c>
      <c r="O2050">
        <v>4005.85</v>
      </c>
      <c r="P2050">
        <v>0</v>
      </c>
      <c r="Q2050">
        <v>4005.85</v>
      </c>
      <c r="R2050">
        <v>640.94000000000005</v>
      </c>
      <c r="S2050">
        <v>160.22999999999999</v>
      </c>
      <c r="T2050">
        <v>4486.5600000000004</v>
      </c>
      <c r="V2050" t="s">
        <v>9408</v>
      </c>
      <c r="W2050" t="s">
        <v>423</v>
      </c>
    </row>
    <row r="2051" spans="1:23" hidden="1" x14ac:dyDescent="0.2">
      <c r="A2051">
        <v>2012</v>
      </c>
      <c r="B2051" t="s">
        <v>303</v>
      </c>
      <c r="C2051" s="733">
        <v>40932</v>
      </c>
      <c r="D20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51" t="s">
        <v>485</v>
      </c>
      <c r="F2051" t="s">
        <v>2048</v>
      </c>
      <c r="G2051" t="s">
        <v>3553</v>
      </c>
      <c r="H2051">
        <v>39825</v>
      </c>
      <c r="I2051" t="s">
        <v>423</v>
      </c>
      <c r="J2051" t="s">
        <v>2050</v>
      </c>
      <c r="K2051" t="s">
        <v>2051</v>
      </c>
      <c r="L2051" t="s">
        <v>2052</v>
      </c>
      <c r="M2051">
        <v>90</v>
      </c>
      <c r="N2051">
        <v>29</v>
      </c>
      <c r="O2051">
        <v>4068.99</v>
      </c>
      <c r="P2051">
        <v>0</v>
      </c>
      <c r="Q2051">
        <v>4068.99</v>
      </c>
      <c r="R2051">
        <v>651.04</v>
      </c>
      <c r="S2051">
        <v>162.76</v>
      </c>
      <c r="T2051">
        <v>4557.2700000000004</v>
      </c>
      <c r="U2051" t="s">
        <v>2053</v>
      </c>
      <c r="V2051" t="s">
        <v>9408</v>
      </c>
      <c r="W2051" t="s">
        <v>423</v>
      </c>
    </row>
    <row r="2052" spans="1:23" hidden="1" x14ac:dyDescent="0.2">
      <c r="A2052">
        <v>2012</v>
      </c>
      <c r="B2052" t="s">
        <v>304</v>
      </c>
      <c r="C2052" s="733">
        <v>40948</v>
      </c>
      <c r="D20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52" t="s">
        <v>485</v>
      </c>
      <c r="F2052" t="s">
        <v>2048</v>
      </c>
      <c r="G2052" t="s">
        <v>3545</v>
      </c>
      <c r="H2052">
        <v>41651</v>
      </c>
      <c r="I2052" t="s">
        <v>423</v>
      </c>
      <c r="J2052" t="s">
        <v>2050</v>
      </c>
      <c r="K2052" t="s">
        <v>2051</v>
      </c>
      <c r="L2052" t="s">
        <v>2052</v>
      </c>
      <c r="M2052">
        <v>90</v>
      </c>
      <c r="N2052">
        <v>50.05</v>
      </c>
      <c r="O2052">
        <v>7022.52</v>
      </c>
      <c r="P2052">
        <v>0</v>
      </c>
      <c r="Q2052">
        <v>7022.52</v>
      </c>
      <c r="R2052">
        <v>1123.5999999999999</v>
      </c>
      <c r="S2052">
        <v>280.89999999999998</v>
      </c>
      <c r="T2052">
        <v>7865.22</v>
      </c>
      <c r="U2052" t="s">
        <v>8257</v>
      </c>
      <c r="V2052" t="s">
        <v>9409</v>
      </c>
      <c r="W2052" t="s">
        <v>423</v>
      </c>
    </row>
    <row r="2053" spans="1:23" hidden="1" x14ac:dyDescent="0.2">
      <c r="A2053">
        <v>2012</v>
      </c>
      <c r="B2053" t="s">
        <v>304</v>
      </c>
      <c r="C2053" s="733">
        <v>40954.533576388887</v>
      </c>
      <c r="D20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53" t="s">
        <v>485</v>
      </c>
      <c r="F2053" t="s">
        <v>2054</v>
      </c>
      <c r="G2053" t="s">
        <v>7816</v>
      </c>
      <c r="H2053">
        <v>10440</v>
      </c>
      <c r="I2053" t="s">
        <v>423</v>
      </c>
      <c r="J2053" t="s">
        <v>2056</v>
      </c>
      <c r="K2053" t="s">
        <v>2057</v>
      </c>
      <c r="L2053" t="s">
        <v>2058</v>
      </c>
      <c r="M2053">
        <v>19</v>
      </c>
      <c r="N2053">
        <v>22.21</v>
      </c>
      <c r="O2053">
        <v>2506.84</v>
      </c>
      <c r="P2053">
        <v>0</v>
      </c>
      <c r="Q2053">
        <v>2506.84</v>
      </c>
      <c r="R2053">
        <v>275.75</v>
      </c>
      <c r="S2053">
        <v>100.27</v>
      </c>
      <c r="T2053">
        <v>2682.32</v>
      </c>
      <c r="U2053" t="s">
        <v>8047</v>
      </c>
      <c r="V2053" t="s">
        <v>9408</v>
      </c>
      <c r="W2053" t="s">
        <v>423</v>
      </c>
    </row>
    <row r="2054" spans="1:23" hidden="1" x14ac:dyDescent="0.2">
      <c r="A2054">
        <v>2012</v>
      </c>
      <c r="B2054" t="s">
        <v>304</v>
      </c>
      <c r="C2054" s="733">
        <v>40959.619837962964</v>
      </c>
      <c r="D20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54" t="s">
        <v>485</v>
      </c>
      <c r="F2054" t="s">
        <v>2054</v>
      </c>
      <c r="G2054" t="s">
        <v>8086</v>
      </c>
      <c r="H2054">
        <v>10496</v>
      </c>
      <c r="I2054" t="s">
        <v>423</v>
      </c>
      <c r="J2054" t="s">
        <v>2056</v>
      </c>
      <c r="K2054" t="s">
        <v>2057</v>
      </c>
      <c r="L2054" t="s">
        <v>2058</v>
      </c>
      <c r="M2054">
        <v>19</v>
      </c>
      <c r="N2054">
        <v>46.13</v>
      </c>
      <c r="O2054">
        <v>5206.6899999999996</v>
      </c>
      <c r="P2054">
        <v>0</v>
      </c>
      <c r="Q2054">
        <v>5206.6899999999996</v>
      </c>
      <c r="R2054">
        <v>572.74</v>
      </c>
      <c r="S2054">
        <v>208.27</v>
      </c>
      <c r="T2054">
        <v>5571.16</v>
      </c>
      <c r="U2054" t="s">
        <v>8864</v>
      </c>
      <c r="V2054" t="s">
        <v>9409</v>
      </c>
      <c r="W2054" t="s">
        <v>423</v>
      </c>
    </row>
    <row r="2055" spans="1:23" hidden="1" x14ac:dyDescent="0.2">
      <c r="A2055">
        <v>2012</v>
      </c>
      <c r="B2055" t="s">
        <v>305</v>
      </c>
      <c r="C2055" s="733">
        <v>40970.520902777775</v>
      </c>
      <c r="D2055" s="733" t="str">
        <f>CHOOSE(MONTH(Tabla_sqldatos_bonampakdb_Bon_v_ingresos2012[[#This Row],[fecha_guia]]),"Enero","Febrero","Marzo","Abril","Mayo","Junio","Julio","Agosto","Septiembre","Octubre","Noviembre","Diciembre")</f>
        <v>Marzo</v>
      </c>
      <c r="E2055" t="s">
        <v>485</v>
      </c>
      <c r="F2055" t="s">
        <v>2054</v>
      </c>
      <c r="G2055" t="s">
        <v>9704</v>
      </c>
      <c r="H2055">
        <v>10628</v>
      </c>
      <c r="I2055" t="s">
        <v>423</v>
      </c>
      <c r="J2055" t="s">
        <v>2056</v>
      </c>
      <c r="K2055" t="s">
        <v>2057</v>
      </c>
      <c r="L2055" t="s">
        <v>2058</v>
      </c>
      <c r="M2055">
        <v>19</v>
      </c>
      <c r="N2055">
        <v>46.13</v>
      </c>
      <c r="O2055">
        <v>5206.6899999999996</v>
      </c>
      <c r="P2055">
        <v>0</v>
      </c>
      <c r="Q2055">
        <v>5206.6899999999996</v>
      </c>
      <c r="R2055">
        <v>572.74</v>
      </c>
      <c r="S2055">
        <v>208.27</v>
      </c>
      <c r="T2055">
        <v>5571.16</v>
      </c>
      <c r="V2055" t="s">
        <v>9409</v>
      </c>
      <c r="W2055" t="s">
        <v>423</v>
      </c>
    </row>
    <row r="2056" spans="1:23" hidden="1" x14ac:dyDescent="0.2">
      <c r="A2056">
        <v>2012</v>
      </c>
      <c r="B2056" t="s">
        <v>304</v>
      </c>
      <c r="C2056" s="733">
        <v>40946</v>
      </c>
      <c r="D20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56" t="s">
        <v>485</v>
      </c>
      <c r="F2056" t="s">
        <v>2048</v>
      </c>
      <c r="G2056" t="s">
        <v>4551</v>
      </c>
      <c r="H2056">
        <v>41476</v>
      </c>
      <c r="I2056" t="s">
        <v>423</v>
      </c>
      <c r="J2056" t="s">
        <v>2171</v>
      </c>
      <c r="K2056" t="s">
        <v>2051</v>
      </c>
      <c r="L2056" t="s">
        <v>2052</v>
      </c>
      <c r="M2056">
        <v>57</v>
      </c>
      <c r="N2056">
        <v>26</v>
      </c>
      <c r="O2056">
        <v>3648.06</v>
      </c>
      <c r="P2056">
        <v>0</v>
      </c>
      <c r="Q2056">
        <v>3648.06</v>
      </c>
      <c r="R2056">
        <v>583.69000000000005</v>
      </c>
      <c r="S2056">
        <v>145.91999999999999</v>
      </c>
      <c r="T2056">
        <v>4085.83</v>
      </c>
      <c r="U2056" t="s">
        <v>2067</v>
      </c>
      <c r="V2056" t="s">
        <v>9408</v>
      </c>
      <c r="W2056" t="s">
        <v>423</v>
      </c>
    </row>
    <row r="2057" spans="1:23" hidden="1" x14ac:dyDescent="0.2">
      <c r="A2057">
        <v>2012</v>
      </c>
      <c r="B2057" t="s">
        <v>304</v>
      </c>
      <c r="C2057" s="733">
        <v>40955</v>
      </c>
      <c r="D20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57" t="s">
        <v>485</v>
      </c>
      <c r="F2057" t="s">
        <v>2065</v>
      </c>
      <c r="G2057" t="s">
        <v>4542</v>
      </c>
      <c r="H2057">
        <v>41717</v>
      </c>
      <c r="I2057" t="s">
        <v>423</v>
      </c>
      <c r="J2057" t="s">
        <v>2050</v>
      </c>
      <c r="K2057" t="s">
        <v>2051</v>
      </c>
      <c r="L2057" t="s">
        <v>2052</v>
      </c>
      <c r="M2057">
        <v>90</v>
      </c>
      <c r="N2057">
        <v>53.65</v>
      </c>
      <c r="O2057">
        <v>7527.63</v>
      </c>
      <c r="P2057">
        <v>0</v>
      </c>
      <c r="Q2057">
        <v>7527.63</v>
      </c>
      <c r="R2057">
        <v>1204.42</v>
      </c>
      <c r="S2057">
        <v>301.11</v>
      </c>
      <c r="T2057">
        <v>8430.94</v>
      </c>
      <c r="U2057" t="s">
        <v>8780</v>
      </c>
      <c r="V2057" t="s">
        <v>9409</v>
      </c>
      <c r="W2057" t="s">
        <v>423</v>
      </c>
    </row>
    <row r="2058" spans="1:23" hidden="1" x14ac:dyDescent="0.2">
      <c r="A2058">
        <v>2012</v>
      </c>
      <c r="B2058" t="s">
        <v>304</v>
      </c>
      <c r="C2058" s="733">
        <v>40960</v>
      </c>
      <c r="D20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58" t="s">
        <v>485</v>
      </c>
      <c r="F2058" t="s">
        <v>2065</v>
      </c>
      <c r="G2058" t="s">
        <v>8124</v>
      </c>
      <c r="H2058">
        <v>42300</v>
      </c>
      <c r="I2058" t="s">
        <v>423</v>
      </c>
      <c r="J2058" t="s">
        <v>2050</v>
      </c>
      <c r="K2058" t="s">
        <v>2051</v>
      </c>
      <c r="L2058" t="s">
        <v>2052</v>
      </c>
      <c r="M2058">
        <v>90</v>
      </c>
      <c r="N2058">
        <v>29.3</v>
      </c>
      <c r="O2058">
        <v>4111.08</v>
      </c>
      <c r="P2058">
        <v>0</v>
      </c>
      <c r="Q2058">
        <v>4111.08</v>
      </c>
      <c r="R2058">
        <v>657.77</v>
      </c>
      <c r="S2058">
        <v>164.44</v>
      </c>
      <c r="T2058">
        <v>4604.41</v>
      </c>
      <c r="U2058" t="s">
        <v>8780</v>
      </c>
      <c r="V2058" t="s">
        <v>9408</v>
      </c>
      <c r="W2058" t="s">
        <v>423</v>
      </c>
    </row>
    <row r="2059" spans="1:23" x14ac:dyDescent="0.2">
      <c r="A2059">
        <v>2012</v>
      </c>
      <c r="B2059" t="s">
        <v>304</v>
      </c>
      <c r="C2059" s="733">
        <v>40967</v>
      </c>
      <c r="D20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59" t="s">
        <v>485</v>
      </c>
      <c r="F2059" t="s">
        <v>2048</v>
      </c>
      <c r="G2059" t="s">
        <v>9224</v>
      </c>
      <c r="H2059">
        <v>42587</v>
      </c>
      <c r="I2059" t="s">
        <v>423</v>
      </c>
      <c r="J2059" t="s">
        <v>2050</v>
      </c>
      <c r="K2059" t="s">
        <v>2051</v>
      </c>
      <c r="L2059" t="s">
        <v>2052</v>
      </c>
      <c r="M2059">
        <v>90</v>
      </c>
      <c r="N2059">
        <v>25.2</v>
      </c>
      <c r="O2059">
        <v>3535.81</v>
      </c>
      <c r="P2059">
        <v>0</v>
      </c>
      <c r="Q2059">
        <v>3535.81</v>
      </c>
      <c r="R2059">
        <v>565.73</v>
      </c>
      <c r="S2059">
        <v>141.43</v>
      </c>
      <c r="T2059">
        <v>3960.11</v>
      </c>
      <c r="U2059" t="s">
        <v>8780</v>
      </c>
      <c r="V2059" t="s">
        <v>9408</v>
      </c>
      <c r="W2059" t="s">
        <v>423</v>
      </c>
    </row>
    <row r="2060" spans="1:23" hidden="1" x14ac:dyDescent="0.2">
      <c r="A2060">
        <v>2012</v>
      </c>
      <c r="B2060" t="s">
        <v>303</v>
      </c>
      <c r="C2060" s="733">
        <v>40924</v>
      </c>
      <c r="D20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60" t="s">
        <v>485</v>
      </c>
      <c r="F2060" t="s">
        <v>2048</v>
      </c>
      <c r="G2060" t="s">
        <v>3568</v>
      </c>
      <c r="H2060">
        <v>40383</v>
      </c>
      <c r="I2060" t="s">
        <v>423</v>
      </c>
      <c r="J2060" t="s">
        <v>2050</v>
      </c>
      <c r="K2060" t="s">
        <v>2051</v>
      </c>
      <c r="L2060" t="s">
        <v>2052</v>
      </c>
      <c r="M2060">
        <v>90</v>
      </c>
      <c r="N2060">
        <v>50.25</v>
      </c>
      <c r="O2060">
        <v>7050.58</v>
      </c>
      <c r="P2060">
        <v>0</v>
      </c>
      <c r="Q2060">
        <v>7050.58</v>
      </c>
      <c r="R2060">
        <v>1128.0899999999999</v>
      </c>
      <c r="S2060">
        <v>282.02</v>
      </c>
      <c r="T2060">
        <v>7896.65</v>
      </c>
      <c r="U2060" t="s">
        <v>2062</v>
      </c>
      <c r="V2060" t="s">
        <v>9409</v>
      </c>
      <c r="W2060" t="s">
        <v>423</v>
      </c>
    </row>
    <row r="2061" spans="1:23" x14ac:dyDescent="0.2">
      <c r="A2061">
        <v>2012</v>
      </c>
      <c r="B2061" t="s">
        <v>304</v>
      </c>
      <c r="C2061" s="733">
        <v>40967</v>
      </c>
      <c r="D20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61" t="s">
        <v>485</v>
      </c>
      <c r="F2061" t="s">
        <v>2048</v>
      </c>
      <c r="G2061" t="s">
        <v>9223</v>
      </c>
      <c r="H2061">
        <v>42593</v>
      </c>
      <c r="I2061" t="s">
        <v>423</v>
      </c>
      <c r="J2061" t="s">
        <v>2050</v>
      </c>
      <c r="K2061" t="s">
        <v>2051</v>
      </c>
      <c r="L2061" t="s">
        <v>2052</v>
      </c>
      <c r="M2061">
        <v>90</v>
      </c>
      <c r="N2061">
        <v>27.5</v>
      </c>
      <c r="O2061">
        <v>3858.52</v>
      </c>
      <c r="P2061">
        <v>0</v>
      </c>
      <c r="Q2061">
        <v>3858.52</v>
      </c>
      <c r="R2061">
        <v>617.36</v>
      </c>
      <c r="S2061">
        <v>154.34</v>
      </c>
      <c r="T2061">
        <v>4321.54</v>
      </c>
      <c r="V2061" t="s">
        <v>9408</v>
      </c>
      <c r="W2061" t="s">
        <v>423</v>
      </c>
    </row>
    <row r="2062" spans="1:23" hidden="1" x14ac:dyDescent="0.2">
      <c r="A2062">
        <v>2012</v>
      </c>
      <c r="B2062" t="s">
        <v>304</v>
      </c>
      <c r="C2062" s="733">
        <v>40966.480173611111</v>
      </c>
      <c r="D20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62" t="s">
        <v>485</v>
      </c>
      <c r="F2062" t="s">
        <v>2054</v>
      </c>
      <c r="G2062" t="s">
        <v>9222</v>
      </c>
      <c r="H2062">
        <v>10558</v>
      </c>
      <c r="I2062" t="s">
        <v>423</v>
      </c>
      <c r="J2062" t="s">
        <v>2056</v>
      </c>
      <c r="K2062" t="s">
        <v>2057</v>
      </c>
      <c r="L2062" t="s">
        <v>2058</v>
      </c>
      <c r="M2062">
        <v>19</v>
      </c>
      <c r="N2062">
        <v>23.54</v>
      </c>
      <c r="O2062">
        <v>2656.96</v>
      </c>
      <c r="P2062">
        <v>0</v>
      </c>
      <c r="Q2062">
        <v>2656.96</v>
      </c>
      <c r="R2062">
        <v>292.27</v>
      </c>
      <c r="S2062">
        <v>106.28</v>
      </c>
      <c r="T2062">
        <v>2842.95</v>
      </c>
      <c r="U2062" t="s">
        <v>8864</v>
      </c>
      <c r="V2062" t="s">
        <v>9408</v>
      </c>
      <c r="W2062" t="s">
        <v>423</v>
      </c>
    </row>
    <row r="2063" spans="1:23" hidden="1" x14ac:dyDescent="0.2">
      <c r="A2063">
        <v>2012</v>
      </c>
      <c r="B2063" t="s">
        <v>304</v>
      </c>
      <c r="C2063" s="733">
        <v>40961</v>
      </c>
      <c r="D20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63" t="s">
        <v>485</v>
      </c>
      <c r="F2063" t="s">
        <v>2054</v>
      </c>
      <c r="G2063" t="s">
        <v>8454</v>
      </c>
      <c r="H2063">
        <v>10506</v>
      </c>
      <c r="I2063" t="s">
        <v>423</v>
      </c>
      <c r="J2063" t="s">
        <v>2056</v>
      </c>
      <c r="K2063" t="s">
        <v>2057</v>
      </c>
      <c r="L2063" t="s">
        <v>2058</v>
      </c>
      <c r="M2063">
        <v>19</v>
      </c>
      <c r="N2063">
        <v>46.46</v>
      </c>
      <c r="O2063">
        <v>5243.94</v>
      </c>
      <c r="P2063">
        <v>0</v>
      </c>
      <c r="Q2063">
        <v>5243.94</v>
      </c>
      <c r="R2063">
        <v>576.83000000000004</v>
      </c>
      <c r="S2063">
        <v>209.76</v>
      </c>
      <c r="T2063">
        <v>5611.01</v>
      </c>
      <c r="U2063" t="s">
        <v>8864</v>
      </c>
      <c r="V2063" t="s">
        <v>9409</v>
      </c>
      <c r="W2063" t="s">
        <v>423</v>
      </c>
    </row>
    <row r="2064" spans="1:23" hidden="1" x14ac:dyDescent="0.2">
      <c r="A2064">
        <v>2012</v>
      </c>
      <c r="B2064" t="s">
        <v>303</v>
      </c>
      <c r="C2064" s="733">
        <v>40919</v>
      </c>
      <c r="D20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64" t="s">
        <v>485</v>
      </c>
      <c r="F2064" t="s">
        <v>2054</v>
      </c>
      <c r="G2064" t="s">
        <v>3567</v>
      </c>
      <c r="H2064">
        <v>10008</v>
      </c>
      <c r="I2064" t="s">
        <v>423</v>
      </c>
      <c r="J2064" t="s">
        <v>2056</v>
      </c>
      <c r="K2064" t="s">
        <v>2057</v>
      </c>
      <c r="L2064" t="s">
        <v>2058</v>
      </c>
      <c r="M2064">
        <v>19</v>
      </c>
      <c r="N2064">
        <v>23.11</v>
      </c>
      <c r="O2064">
        <v>2608.4299999999998</v>
      </c>
      <c r="P2064">
        <v>0</v>
      </c>
      <c r="Q2064">
        <v>2608.4299999999998</v>
      </c>
      <c r="R2064">
        <v>417.35</v>
      </c>
      <c r="S2064">
        <v>104.34</v>
      </c>
      <c r="T2064">
        <v>2921.44</v>
      </c>
      <c r="U2064" t="s">
        <v>2070</v>
      </c>
      <c r="V2064" t="s">
        <v>9408</v>
      </c>
      <c r="W2064" t="s">
        <v>423</v>
      </c>
    </row>
    <row r="2065" spans="1:23" hidden="1" x14ac:dyDescent="0.2">
      <c r="A2065">
        <v>2012</v>
      </c>
      <c r="B2065" t="s">
        <v>303</v>
      </c>
      <c r="C2065" s="733">
        <v>40927.718553240738</v>
      </c>
      <c r="D20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65" t="s">
        <v>485</v>
      </c>
      <c r="F2065" t="s">
        <v>2054</v>
      </c>
      <c r="G2065" t="s">
        <v>3547</v>
      </c>
      <c r="H2065">
        <v>10135</v>
      </c>
      <c r="I2065" t="s">
        <v>423</v>
      </c>
      <c r="J2065" t="s">
        <v>2056</v>
      </c>
      <c r="K2065" t="s">
        <v>2057</v>
      </c>
      <c r="L2065" t="s">
        <v>2058</v>
      </c>
      <c r="M2065">
        <v>19</v>
      </c>
      <c r="N2065">
        <v>24.3</v>
      </c>
      <c r="O2065">
        <v>2742.74</v>
      </c>
      <c r="P2065">
        <v>0</v>
      </c>
      <c r="Q2065">
        <v>2742.74</v>
      </c>
      <c r="R2065">
        <v>438.84</v>
      </c>
      <c r="S2065">
        <v>109.71</v>
      </c>
      <c r="T2065">
        <v>3071.87</v>
      </c>
      <c r="U2065" t="s">
        <v>2077</v>
      </c>
      <c r="V2065" t="s">
        <v>9408</v>
      </c>
      <c r="W2065" t="s">
        <v>423</v>
      </c>
    </row>
    <row r="2066" spans="1:23" hidden="1" x14ac:dyDescent="0.2">
      <c r="A2066">
        <v>2012</v>
      </c>
      <c r="B2066" t="s">
        <v>303</v>
      </c>
      <c r="C2066" s="733">
        <v>40924.728622685187</v>
      </c>
      <c r="D20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66" t="s">
        <v>485</v>
      </c>
      <c r="F2066" t="s">
        <v>2054</v>
      </c>
      <c r="G2066" t="s">
        <v>3566</v>
      </c>
      <c r="H2066">
        <v>10092</v>
      </c>
      <c r="I2066" t="s">
        <v>423</v>
      </c>
      <c r="J2066" t="s">
        <v>2056</v>
      </c>
      <c r="K2066" t="s">
        <v>2057</v>
      </c>
      <c r="L2066" t="s">
        <v>2058</v>
      </c>
      <c r="M2066">
        <v>19</v>
      </c>
      <c r="N2066">
        <v>30.29</v>
      </c>
      <c r="O2066">
        <v>3418.83</v>
      </c>
      <c r="P2066">
        <v>0</v>
      </c>
      <c r="Q2066">
        <v>3418.83</v>
      </c>
      <c r="R2066">
        <v>547.01</v>
      </c>
      <c r="S2066">
        <v>136.75</v>
      </c>
      <c r="T2066">
        <v>3829.09</v>
      </c>
      <c r="U2066" t="s">
        <v>2059</v>
      </c>
      <c r="V2066" t="s">
        <v>9408</v>
      </c>
      <c r="W2066" t="s">
        <v>423</v>
      </c>
    </row>
    <row r="2067" spans="1:23" hidden="1" x14ac:dyDescent="0.2">
      <c r="A2067">
        <v>2012</v>
      </c>
      <c r="B2067" t="s">
        <v>303</v>
      </c>
      <c r="C2067" s="733">
        <v>40919</v>
      </c>
      <c r="D20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67" t="s">
        <v>485</v>
      </c>
      <c r="F2067" t="s">
        <v>2054</v>
      </c>
      <c r="G2067" t="s">
        <v>3534</v>
      </c>
      <c r="H2067">
        <v>9953</v>
      </c>
      <c r="I2067" t="s">
        <v>423</v>
      </c>
      <c r="J2067" t="s">
        <v>2056</v>
      </c>
      <c r="K2067" t="s">
        <v>2057</v>
      </c>
      <c r="L2067" t="s">
        <v>2058</v>
      </c>
      <c r="M2067">
        <v>19</v>
      </c>
      <c r="N2067">
        <v>46.11</v>
      </c>
      <c r="O2067">
        <v>5204.4399999999996</v>
      </c>
      <c r="P2067">
        <v>0</v>
      </c>
      <c r="Q2067">
        <v>5204.4399999999996</v>
      </c>
      <c r="R2067">
        <v>832.71</v>
      </c>
      <c r="S2067">
        <v>208.18</v>
      </c>
      <c r="T2067">
        <v>5828.97</v>
      </c>
      <c r="U2067" t="s">
        <v>2070</v>
      </c>
      <c r="V2067" t="s">
        <v>9409</v>
      </c>
      <c r="W2067" t="s">
        <v>423</v>
      </c>
    </row>
    <row r="2068" spans="1:23" hidden="1" x14ac:dyDescent="0.2">
      <c r="A2068">
        <v>2012</v>
      </c>
      <c r="B2068" t="s">
        <v>304</v>
      </c>
      <c r="C2068" s="733">
        <v>40956</v>
      </c>
      <c r="D20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68" t="s">
        <v>485</v>
      </c>
      <c r="F2068" t="s">
        <v>2084</v>
      </c>
      <c r="G2068" t="s">
        <v>7906</v>
      </c>
      <c r="H2068">
        <v>42143</v>
      </c>
      <c r="I2068" t="s">
        <v>423</v>
      </c>
      <c r="J2068" t="s">
        <v>2050</v>
      </c>
      <c r="K2068" t="s">
        <v>2051</v>
      </c>
      <c r="L2068" t="s">
        <v>2052</v>
      </c>
      <c r="M2068">
        <v>90</v>
      </c>
      <c r="N2068">
        <v>25.2</v>
      </c>
      <c r="O2068">
        <v>3535.81</v>
      </c>
      <c r="P2068">
        <v>0</v>
      </c>
      <c r="Q2068">
        <v>3535.81</v>
      </c>
      <c r="R2068">
        <v>565.73</v>
      </c>
      <c r="S2068">
        <v>141.43</v>
      </c>
      <c r="T2068">
        <v>3960.11</v>
      </c>
      <c r="U2068" t="s">
        <v>8257</v>
      </c>
      <c r="V2068" t="s">
        <v>9408</v>
      </c>
      <c r="W2068" t="s">
        <v>423</v>
      </c>
    </row>
    <row r="2069" spans="1:23" hidden="1" x14ac:dyDescent="0.2">
      <c r="A2069">
        <v>2012</v>
      </c>
      <c r="B2069" t="s">
        <v>303</v>
      </c>
      <c r="C2069" s="733">
        <v>40938</v>
      </c>
      <c r="D20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69" t="s">
        <v>485</v>
      </c>
      <c r="F2069" t="s">
        <v>2048</v>
      </c>
      <c r="G2069" t="s">
        <v>3519</v>
      </c>
      <c r="H2069">
        <v>41116</v>
      </c>
      <c r="I2069" t="s">
        <v>423</v>
      </c>
      <c r="J2069" t="s">
        <v>2050</v>
      </c>
      <c r="K2069" t="s">
        <v>2051</v>
      </c>
      <c r="L2069" t="s">
        <v>2052</v>
      </c>
      <c r="M2069">
        <v>90</v>
      </c>
      <c r="N2069">
        <v>24.75</v>
      </c>
      <c r="O2069">
        <v>3472.67</v>
      </c>
      <c r="P2069">
        <v>0</v>
      </c>
      <c r="Q2069">
        <v>3472.67</v>
      </c>
      <c r="R2069">
        <v>555.63</v>
      </c>
      <c r="S2069">
        <v>138.91</v>
      </c>
      <c r="T2069">
        <v>3889.39</v>
      </c>
      <c r="U2069" t="s">
        <v>2064</v>
      </c>
      <c r="V2069" t="s">
        <v>9408</v>
      </c>
      <c r="W2069" t="s">
        <v>423</v>
      </c>
    </row>
    <row r="2070" spans="1:23" hidden="1" x14ac:dyDescent="0.2">
      <c r="A2070">
        <v>2012</v>
      </c>
      <c r="B2070" t="s">
        <v>304</v>
      </c>
      <c r="C2070" s="733">
        <v>40946</v>
      </c>
      <c r="D20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70" t="s">
        <v>485</v>
      </c>
      <c r="F2070" t="s">
        <v>2048</v>
      </c>
      <c r="G2070" t="s">
        <v>3529</v>
      </c>
      <c r="H2070">
        <v>41504</v>
      </c>
      <c r="I2070" t="s">
        <v>423</v>
      </c>
      <c r="J2070" t="s">
        <v>2050</v>
      </c>
      <c r="K2070" t="s">
        <v>2051</v>
      </c>
      <c r="L2070" t="s">
        <v>2052</v>
      </c>
      <c r="M2070">
        <v>90</v>
      </c>
      <c r="N2070">
        <v>52.35</v>
      </c>
      <c r="O2070">
        <v>7345.23</v>
      </c>
      <c r="P2070">
        <v>0</v>
      </c>
      <c r="Q2070">
        <v>7345.23</v>
      </c>
      <c r="R2070">
        <v>1175.24</v>
      </c>
      <c r="S2070">
        <v>293.81</v>
      </c>
      <c r="T2070">
        <v>8226.66</v>
      </c>
      <c r="U2070" t="s">
        <v>7568</v>
      </c>
      <c r="V2070" t="s">
        <v>9409</v>
      </c>
      <c r="W2070" t="s">
        <v>423</v>
      </c>
    </row>
    <row r="2071" spans="1:23" hidden="1" x14ac:dyDescent="0.2">
      <c r="A2071">
        <v>2012</v>
      </c>
      <c r="B2071" t="s">
        <v>303</v>
      </c>
      <c r="C2071" s="733">
        <v>40919</v>
      </c>
      <c r="D20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71" t="s">
        <v>485</v>
      </c>
      <c r="F2071" t="s">
        <v>2054</v>
      </c>
      <c r="G2071" t="s">
        <v>6065</v>
      </c>
      <c r="H2071">
        <v>10014</v>
      </c>
      <c r="I2071" t="s">
        <v>423</v>
      </c>
      <c r="J2071" t="s">
        <v>4045</v>
      </c>
      <c r="K2071" t="s">
        <v>2057</v>
      </c>
      <c r="L2071" t="s">
        <v>2058</v>
      </c>
      <c r="M2071">
        <v>0</v>
      </c>
      <c r="N2071">
        <v>23.83</v>
      </c>
      <c r="O2071">
        <v>2689.69</v>
      </c>
      <c r="P2071">
        <v>0</v>
      </c>
      <c r="Q2071">
        <v>2689.69</v>
      </c>
      <c r="R2071">
        <v>430.35</v>
      </c>
      <c r="S2071">
        <v>107.59</v>
      </c>
      <c r="T2071">
        <v>3012.45</v>
      </c>
      <c r="U2071" t="s">
        <v>2070</v>
      </c>
      <c r="V2071" t="s">
        <v>9408</v>
      </c>
      <c r="W2071" t="s">
        <v>423</v>
      </c>
    </row>
    <row r="2072" spans="1:23" hidden="1" x14ac:dyDescent="0.2">
      <c r="A2072">
        <v>2012</v>
      </c>
      <c r="B2072" t="s">
        <v>303</v>
      </c>
      <c r="C2072" s="733">
        <v>40920.455046296294</v>
      </c>
      <c r="D20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72" t="s">
        <v>485</v>
      </c>
      <c r="F2072" t="s">
        <v>2054</v>
      </c>
      <c r="G2072" t="s">
        <v>3532</v>
      </c>
      <c r="H2072">
        <v>10043</v>
      </c>
      <c r="I2072" t="s">
        <v>423</v>
      </c>
      <c r="J2072" t="s">
        <v>2056</v>
      </c>
      <c r="K2072" t="s">
        <v>2057</v>
      </c>
      <c r="L2072" t="s">
        <v>2058</v>
      </c>
      <c r="M2072">
        <v>19</v>
      </c>
      <c r="N2072">
        <v>48.52</v>
      </c>
      <c r="O2072">
        <v>5476.45</v>
      </c>
      <c r="P2072">
        <v>0</v>
      </c>
      <c r="Q2072">
        <v>5476.45</v>
      </c>
      <c r="R2072">
        <v>876.23</v>
      </c>
      <c r="S2072">
        <v>219.06</v>
      </c>
      <c r="T2072">
        <v>6133.62</v>
      </c>
      <c r="U2072" t="s">
        <v>2059</v>
      </c>
      <c r="V2072" t="s">
        <v>9409</v>
      </c>
      <c r="W2072" t="s">
        <v>423</v>
      </c>
    </row>
    <row r="2073" spans="1:23" hidden="1" x14ac:dyDescent="0.2">
      <c r="A2073">
        <v>2012</v>
      </c>
      <c r="B2073" t="s">
        <v>304</v>
      </c>
      <c r="C2073" s="733">
        <v>40941</v>
      </c>
      <c r="D20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73" t="s">
        <v>485</v>
      </c>
      <c r="F2073" t="s">
        <v>2048</v>
      </c>
      <c r="G2073" t="s">
        <v>3533</v>
      </c>
      <c r="H2073">
        <v>41335</v>
      </c>
      <c r="I2073" t="s">
        <v>423</v>
      </c>
      <c r="J2073" t="s">
        <v>2050</v>
      </c>
      <c r="K2073" t="s">
        <v>2051</v>
      </c>
      <c r="L2073" t="s">
        <v>2052</v>
      </c>
      <c r="M2073">
        <v>90</v>
      </c>
      <c r="N2073">
        <v>25.2</v>
      </c>
      <c r="O2073">
        <v>3535.81</v>
      </c>
      <c r="P2073">
        <v>0</v>
      </c>
      <c r="Q2073">
        <v>3535.81</v>
      </c>
      <c r="R2073">
        <v>565.73</v>
      </c>
      <c r="S2073">
        <v>141.43</v>
      </c>
      <c r="T2073">
        <v>3960.11</v>
      </c>
      <c r="U2073" t="s">
        <v>2067</v>
      </c>
      <c r="V2073" t="s">
        <v>9408</v>
      </c>
      <c r="W2073" t="s">
        <v>423</v>
      </c>
    </row>
    <row r="2074" spans="1:23" hidden="1" x14ac:dyDescent="0.2">
      <c r="A2074">
        <v>2012</v>
      </c>
      <c r="B2074" t="s">
        <v>303</v>
      </c>
      <c r="C2074" s="733">
        <v>40933</v>
      </c>
      <c r="D20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74" t="s">
        <v>478</v>
      </c>
      <c r="F2074" t="s">
        <v>2622</v>
      </c>
      <c r="G2074" t="s">
        <v>4474</v>
      </c>
      <c r="H2074">
        <v>34852</v>
      </c>
      <c r="I2074" t="s">
        <v>423</v>
      </c>
      <c r="J2074" t="s">
        <v>2629</v>
      </c>
      <c r="K2074" t="s">
        <v>2625</v>
      </c>
      <c r="L2074" t="s">
        <v>2626</v>
      </c>
      <c r="M2074">
        <v>33</v>
      </c>
      <c r="N2074">
        <v>22.23</v>
      </c>
      <c r="O2074">
        <v>2592.91</v>
      </c>
      <c r="P2074">
        <v>0</v>
      </c>
      <c r="Q2074">
        <v>2592.91</v>
      </c>
      <c r="R2074">
        <v>414.87</v>
      </c>
      <c r="S2074">
        <v>103.72</v>
      </c>
      <c r="T2074">
        <v>2904.06</v>
      </c>
      <c r="U2074" t="s">
        <v>2633</v>
      </c>
      <c r="V2074" t="s">
        <v>9408</v>
      </c>
      <c r="W2074" t="s">
        <v>423</v>
      </c>
    </row>
    <row r="2075" spans="1:23" hidden="1" x14ac:dyDescent="0.2">
      <c r="A2075">
        <v>2012</v>
      </c>
      <c r="B2075" t="s">
        <v>304</v>
      </c>
      <c r="C2075" s="733">
        <v>40968.748090277775</v>
      </c>
      <c r="D20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75" t="s">
        <v>478</v>
      </c>
      <c r="F2075" t="s">
        <v>2136</v>
      </c>
      <c r="G2075" t="s">
        <v>9617</v>
      </c>
      <c r="H2075">
        <v>36196</v>
      </c>
      <c r="I2075" t="s">
        <v>423</v>
      </c>
      <c r="J2075" t="s">
        <v>2629</v>
      </c>
      <c r="K2075" t="s">
        <v>2625</v>
      </c>
      <c r="L2075" t="s">
        <v>2626</v>
      </c>
      <c r="M2075">
        <v>33</v>
      </c>
      <c r="N2075">
        <v>20.93</v>
      </c>
      <c r="O2075">
        <v>2441.2800000000002</v>
      </c>
      <c r="P2075">
        <v>0</v>
      </c>
      <c r="Q2075">
        <v>2441.2800000000002</v>
      </c>
      <c r="R2075">
        <v>390.6</v>
      </c>
      <c r="S2075">
        <v>97.65</v>
      </c>
      <c r="T2075">
        <v>2734.23</v>
      </c>
      <c r="V2075" t="s">
        <v>9408</v>
      </c>
      <c r="W2075" t="s">
        <v>423</v>
      </c>
    </row>
    <row r="2076" spans="1:23" hidden="1" x14ac:dyDescent="0.2">
      <c r="A2076">
        <v>2012</v>
      </c>
      <c r="B2076" t="s">
        <v>304</v>
      </c>
      <c r="C2076" s="733">
        <v>40963</v>
      </c>
      <c r="D20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76" t="s">
        <v>478</v>
      </c>
      <c r="F2076" t="s">
        <v>2622</v>
      </c>
      <c r="G2076" t="s">
        <v>9040</v>
      </c>
      <c r="H2076">
        <v>35875</v>
      </c>
      <c r="I2076" t="s">
        <v>423</v>
      </c>
      <c r="J2076" t="s">
        <v>2629</v>
      </c>
      <c r="K2076" t="s">
        <v>2625</v>
      </c>
      <c r="L2076" t="s">
        <v>2626</v>
      </c>
      <c r="M2076">
        <v>33</v>
      </c>
      <c r="N2076">
        <v>23.59</v>
      </c>
      <c r="O2076">
        <v>2751.54</v>
      </c>
      <c r="P2076">
        <v>0</v>
      </c>
      <c r="Q2076">
        <v>2751.54</v>
      </c>
      <c r="R2076">
        <v>440.25</v>
      </c>
      <c r="S2076">
        <v>110.06</v>
      </c>
      <c r="T2076">
        <v>3081.73</v>
      </c>
      <c r="U2076" t="s">
        <v>9428</v>
      </c>
      <c r="V2076" t="s">
        <v>9408</v>
      </c>
      <c r="W2076" t="s">
        <v>423</v>
      </c>
    </row>
    <row r="2077" spans="1:23" hidden="1" x14ac:dyDescent="0.2">
      <c r="A2077">
        <v>2012</v>
      </c>
      <c r="B2077" t="s">
        <v>303</v>
      </c>
      <c r="C2077" s="733">
        <v>40914.855138888888</v>
      </c>
      <c r="D20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77" t="s">
        <v>478</v>
      </c>
      <c r="F2077" t="s">
        <v>2622</v>
      </c>
      <c r="G2077" t="s">
        <v>4475</v>
      </c>
      <c r="H2077">
        <v>34286</v>
      </c>
      <c r="I2077" t="s">
        <v>423</v>
      </c>
      <c r="J2077" t="s">
        <v>2629</v>
      </c>
      <c r="K2077" t="s">
        <v>2625</v>
      </c>
      <c r="L2077" t="s">
        <v>2626</v>
      </c>
      <c r="M2077">
        <v>33</v>
      </c>
      <c r="N2077">
        <v>21.81</v>
      </c>
      <c r="O2077">
        <v>2543.92</v>
      </c>
      <c r="P2077">
        <v>0</v>
      </c>
      <c r="Q2077">
        <v>2543.92</v>
      </c>
      <c r="R2077">
        <v>407.03</v>
      </c>
      <c r="S2077">
        <v>101.76</v>
      </c>
      <c r="T2077">
        <v>2849.19</v>
      </c>
      <c r="U2077" t="s">
        <v>2627</v>
      </c>
      <c r="V2077" t="s">
        <v>9408</v>
      </c>
      <c r="W2077" t="s">
        <v>423</v>
      </c>
    </row>
    <row r="2078" spans="1:23" hidden="1" x14ac:dyDescent="0.2">
      <c r="A2078">
        <v>2012</v>
      </c>
      <c r="B2078" t="s">
        <v>303</v>
      </c>
      <c r="C2078" s="733">
        <v>40914.856226851851</v>
      </c>
      <c r="D20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78" t="s">
        <v>478</v>
      </c>
      <c r="F2078" t="s">
        <v>2622</v>
      </c>
      <c r="G2078" t="s">
        <v>4476</v>
      </c>
      <c r="H2078">
        <v>34289</v>
      </c>
      <c r="I2078" t="s">
        <v>423</v>
      </c>
      <c r="J2078" t="s">
        <v>2629</v>
      </c>
      <c r="K2078" t="s">
        <v>2625</v>
      </c>
      <c r="L2078" t="s">
        <v>2626</v>
      </c>
      <c r="M2078">
        <v>33</v>
      </c>
      <c r="N2078">
        <v>24.18</v>
      </c>
      <c r="O2078">
        <v>2820.36</v>
      </c>
      <c r="P2078">
        <v>0</v>
      </c>
      <c r="Q2078">
        <v>2820.36</v>
      </c>
      <c r="R2078">
        <v>451.26</v>
      </c>
      <c r="S2078">
        <v>112.81</v>
      </c>
      <c r="T2078">
        <v>3158.81</v>
      </c>
      <c r="U2078" t="s">
        <v>2635</v>
      </c>
      <c r="V2078" t="s">
        <v>9408</v>
      </c>
      <c r="W2078" t="s">
        <v>423</v>
      </c>
    </row>
    <row r="2079" spans="1:23" hidden="1" x14ac:dyDescent="0.2">
      <c r="A2079">
        <v>2012</v>
      </c>
      <c r="B2079" t="s">
        <v>303</v>
      </c>
      <c r="C2079" s="733">
        <v>40910</v>
      </c>
      <c r="D20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79" t="s">
        <v>478</v>
      </c>
      <c r="F2079" t="s">
        <v>2622</v>
      </c>
      <c r="G2079" t="s">
        <v>3874</v>
      </c>
      <c r="H2079">
        <v>34174</v>
      </c>
      <c r="I2079" t="s">
        <v>423</v>
      </c>
      <c r="J2079" t="s">
        <v>2629</v>
      </c>
      <c r="K2079" t="s">
        <v>2625</v>
      </c>
      <c r="L2079" t="s">
        <v>2626</v>
      </c>
      <c r="M2079">
        <v>33</v>
      </c>
      <c r="N2079">
        <v>26.26</v>
      </c>
      <c r="O2079">
        <v>1468.46</v>
      </c>
      <c r="P2079">
        <v>1273.0813969999999</v>
      </c>
      <c r="Q2079">
        <v>2741.541397</v>
      </c>
      <c r="R2079">
        <v>438.64662399999997</v>
      </c>
      <c r="S2079">
        <v>109.66165599999999</v>
      </c>
      <c r="T2079">
        <v>3070.5263650000002</v>
      </c>
      <c r="U2079" t="s">
        <v>2660</v>
      </c>
      <c r="V2079" t="s">
        <v>9408</v>
      </c>
      <c r="W2079" t="s">
        <v>423</v>
      </c>
    </row>
    <row r="2080" spans="1:23" hidden="1" x14ac:dyDescent="0.2">
      <c r="A2080">
        <v>2012</v>
      </c>
      <c r="B2080" t="s">
        <v>304</v>
      </c>
      <c r="C2080" s="733">
        <v>40949</v>
      </c>
      <c r="D20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80" t="s">
        <v>478</v>
      </c>
      <c r="F2080" t="s">
        <v>2136</v>
      </c>
      <c r="G2080" t="s">
        <v>7102</v>
      </c>
      <c r="H2080">
        <v>35516</v>
      </c>
      <c r="I2080" t="s">
        <v>423</v>
      </c>
      <c r="J2080" t="s">
        <v>4791</v>
      </c>
      <c r="K2080" t="s">
        <v>425</v>
      </c>
      <c r="L2080" t="s">
        <v>2145</v>
      </c>
      <c r="M2080">
        <v>139</v>
      </c>
      <c r="N2080">
        <v>26.35</v>
      </c>
      <c r="O2080">
        <v>4400.9799999999996</v>
      </c>
      <c r="P2080">
        <v>0</v>
      </c>
      <c r="Q2080">
        <v>4400.9799999999996</v>
      </c>
      <c r="R2080">
        <v>704.16</v>
      </c>
      <c r="S2080">
        <v>176.04</v>
      </c>
      <c r="T2080">
        <v>4929.1000000000004</v>
      </c>
      <c r="U2080" t="s">
        <v>7523</v>
      </c>
      <c r="V2080" t="s">
        <v>9408</v>
      </c>
      <c r="W2080" t="s">
        <v>423</v>
      </c>
    </row>
    <row r="2081" spans="1:23" hidden="1" x14ac:dyDescent="0.2">
      <c r="A2081">
        <v>2012</v>
      </c>
      <c r="B2081" t="s">
        <v>304</v>
      </c>
      <c r="C2081" s="733">
        <v>40941</v>
      </c>
      <c r="D20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81" t="s">
        <v>485</v>
      </c>
      <c r="F2081" t="s">
        <v>2065</v>
      </c>
      <c r="G2081" t="s">
        <v>7082</v>
      </c>
      <c r="H2081">
        <v>41278</v>
      </c>
      <c r="I2081" t="s">
        <v>423</v>
      </c>
      <c r="J2081" t="s">
        <v>2141</v>
      </c>
      <c r="K2081" t="s">
        <v>2102</v>
      </c>
      <c r="L2081" t="s">
        <v>2103</v>
      </c>
      <c r="M2081">
        <v>114</v>
      </c>
      <c r="N2081">
        <v>30.49</v>
      </c>
      <c r="O2081">
        <v>4899.13</v>
      </c>
      <c r="P2081">
        <v>0</v>
      </c>
      <c r="Q2081">
        <v>4899.13</v>
      </c>
      <c r="R2081">
        <v>783.86</v>
      </c>
      <c r="S2081">
        <v>195.97</v>
      </c>
      <c r="T2081">
        <v>5487.02</v>
      </c>
      <c r="V2081" t="s">
        <v>9408</v>
      </c>
      <c r="W2081" t="s">
        <v>423</v>
      </c>
    </row>
    <row r="2082" spans="1:23" hidden="1" x14ac:dyDescent="0.2">
      <c r="A2082">
        <v>2012</v>
      </c>
      <c r="B2082" t="s">
        <v>303</v>
      </c>
      <c r="C2082" s="733">
        <v>40936</v>
      </c>
      <c r="D20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82" t="s">
        <v>478</v>
      </c>
      <c r="F2082" t="s">
        <v>2136</v>
      </c>
      <c r="G2082" t="s">
        <v>7088</v>
      </c>
      <c r="H2082">
        <v>34940</v>
      </c>
      <c r="I2082" t="s">
        <v>423</v>
      </c>
      <c r="J2082" t="s">
        <v>2144</v>
      </c>
      <c r="K2082" t="s">
        <v>425</v>
      </c>
      <c r="L2082" t="s">
        <v>2145</v>
      </c>
      <c r="M2082">
        <v>1354</v>
      </c>
      <c r="N2082">
        <v>47.11</v>
      </c>
      <c r="O2082">
        <v>42718.879999999997</v>
      </c>
      <c r="P2082">
        <v>0</v>
      </c>
      <c r="Q2082">
        <v>42718.879999999997</v>
      </c>
      <c r="R2082">
        <v>6835.02</v>
      </c>
      <c r="S2082">
        <v>1708.76</v>
      </c>
      <c r="T2082">
        <v>47845.14</v>
      </c>
      <c r="U2082" t="s">
        <v>2914</v>
      </c>
      <c r="V2082" t="s">
        <v>9409</v>
      </c>
      <c r="W2082" t="s">
        <v>423</v>
      </c>
    </row>
    <row r="2083" spans="1:23" hidden="1" x14ac:dyDescent="0.2">
      <c r="A2083">
        <v>2012</v>
      </c>
      <c r="B2083" t="s">
        <v>304</v>
      </c>
      <c r="C2083" s="733">
        <v>40954</v>
      </c>
      <c r="D20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83" t="s">
        <v>478</v>
      </c>
      <c r="F2083" t="s">
        <v>2136</v>
      </c>
      <c r="G2083" t="s">
        <v>7946</v>
      </c>
      <c r="H2083">
        <v>35610</v>
      </c>
      <c r="I2083" t="s">
        <v>423</v>
      </c>
      <c r="J2083" t="s">
        <v>2629</v>
      </c>
      <c r="K2083" t="s">
        <v>2625</v>
      </c>
      <c r="L2083" t="s">
        <v>2626</v>
      </c>
      <c r="M2083">
        <v>33</v>
      </c>
      <c r="N2083">
        <v>22.47</v>
      </c>
      <c r="O2083">
        <v>2620.9</v>
      </c>
      <c r="P2083">
        <v>0</v>
      </c>
      <c r="Q2083">
        <v>2620.9</v>
      </c>
      <c r="R2083">
        <v>419.34</v>
      </c>
      <c r="S2083">
        <v>104.84</v>
      </c>
      <c r="T2083">
        <v>2935.4</v>
      </c>
      <c r="U2083" t="s">
        <v>7548</v>
      </c>
      <c r="V2083" t="s">
        <v>9408</v>
      </c>
      <c r="W2083" t="s">
        <v>423</v>
      </c>
    </row>
    <row r="2084" spans="1:23" hidden="1" x14ac:dyDescent="0.2">
      <c r="A2084">
        <v>2012</v>
      </c>
      <c r="B2084" t="s">
        <v>304</v>
      </c>
      <c r="C2084" s="733">
        <v>40966</v>
      </c>
      <c r="D20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84" t="s">
        <v>485</v>
      </c>
      <c r="F2084" t="s">
        <v>2065</v>
      </c>
      <c r="G2084" t="s">
        <v>8805</v>
      </c>
      <c r="H2084">
        <v>42637</v>
      </c>
      <c r="I2084" t="s">
        <v>423</v>
      </c>
      <c r="J2084" t="s">
        <v>2189</v>
      </c>
      <c r="K2084" t="s">
        <v>2183</v>
      </c>
      <c r="L2084" t="s">
        <v>2184</v>
      </c>
      <c r="M2084">
        <v>720</v>
      </c>
      <c r="N2084">
        <v>25.48</v>
      </c>
      <c r="O2084">
        <v>11310.32</v>
      </c>
      <c r="P2084">
        <v>0</v>
      </c>
      <c r="Q2084">
        <v>11310.32</v>
      </c>
      <c r="R2084">
        <v>1809.65</v>
      </c>
      <c r="S2084">
        <v>452.41</v>
      </c>
      <c r="T2084">
        <v>12667.56</v>
      </c>
      <c r="V2084" t="s">
        <v>9408</v>
      </c>
      <c r="W2084" t="s">
        <v>423</v>
      </c>
    </row>
    <row r="2085" spans="1:23" x14ac:dyDescent="0.2">
      <c r="A2085">
        <v>2012</v>
      </c>
      <c r="B2085" t="s">
        <v>304</v>
      </c>
      <c r="C2085" s="733">
        <v>40968.481817129628</v>
      </c>
      <c r="D20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85" t="s">
        <v>485</v>
      </c>
      <c r="F2085" t="s">
        <v>2065</v>
      </c>
      <c r="G2085" t="s">
        <v>9610</v>
      </c>
      <c r="H2085">
        <v>42877</v>
      </c>
      <c r="I2085" t="s">
        <v>423</v>
      </c>
      <c r="J2085" t="s">
        <v>2186</v>
      </c>
      <c r="K2085" t="s">
        <v>2183</v>
      </c>
      <c r="L2085" t="s">
        <v>2184</v>
      </c>
      <c r="M2085">
        <v>19</v>
      </c>
      <c r="N2085">
        <v>16.239999999999998</v>
      </c>
      <c r="O2085">
        <v>1833.01</v>
      </c>
      <c r="P2085">
        <v>0</v>
      </c>
      <c r="Q2085">
        <v>1833.01</v>
      </c>
      <c r="R2085">
        <v>293.27999999999997</v>
      </c>
      <c r="S2085">
        <v>73.319999999999993</v>
      </c>
      <c r="T2085">
        <v>2052.9699999999998</v>
      </c>
      <c r="V2085" t="s">
        <v>9408</v>
      </c>
      <c r="W2085" t="s">
        <v>423</v>
      </c>
    </row>
    <row r="2086" spans="1:23" hidden="1" x14ac:dyDescent="0.2">
      <c r="A2086">
        <v>2012</v>
      </c>
      <c r="B2086" t="s">
        <v>303</v>
      </c>
      <c r="C2086" s="733">
        <v>40928</v>
      </c>
      <c r="D20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86" t="s">
        <v>485</v>
      </c>
      <c r="F2086" t="s">
        <v>2065</v>
      </c>
      <c r="G2086" t="s">
        <v>4481</v>
      </c>
      <c r="H2086">
        <v>40608</v>
      </c>
      <c r="I2086" t="s">
        <v>423</v>
      </c>
      <c r="J2086" t="s">
        <v>2186</v>
      </c>
      <c r="K2086" t="s">
        <v>2183</v>
      </c>
      <c r="L2086" t="s">
        <v>2184</v>
      </c>
      <c r="M2086">
        <v>19</v>
      </c>
      <c r="N2086">
        <v>15.98</v>
      </c>
      <c r="O2086">
        <v>1803.66</v>
      </c>
      <c r="P2086">
        <v>0</v>
      </c>
      <c r="Q2086">
        <v>1803.66</v>
      </c>
      <c r="R2086">
        <v>288.58999999999997</v>
      </c>
      <c r="S2086">
        <v>72.150000000000006</v>
      </c>
      <c r="T2086">
        <v>2020.1</v>
      </c>
      <c r="U2086" t="s">
        <v>7554</v>
      </c>
      <c r="V2086" t="s">
        <v>9408</v>
      </c>
      <c r="W2086" t="s">
        <v>423</v>
      </c>
    </row>
    <row r="2087" spans="1:23" hidden="1" x14ac:dyDescent="0.2">
      <c r="A2087">
        <v>2012</v>
      </c>
      <c r="B2087" t="s">
        <v>305</v>
      </c>
      <c r="C2087" s="733">
        <v>40970</v>
      </c>
      <c r="D2087" s="733" t="str">
        <f>CHOOSE(MONTH(Tabla_sqldatos_bonampakdb_Bon_v_ingresos2012[[#This Row],[fecha_guia]]),"Enero","Febrero","Marzo","Abril","Mayo","Junio","Julio","Agosto","Septiembre","Octubre","Noviembre","Diciembre")</f>
        <v>Marzo</v>
      </c>
      <c r="E2087" t="s">
        <v>485</v>
      </c>
      <c r="F2087" t="s">
        <v>2065</v>
      </c>
      <c r="G2087" t="s">
        <v>9618</v>
      </c>
      <c r="H2087">
        <v>42908</v>
      </c>
      <c r="I2087" t="s">
        <v>423</v>
      </c>
      <c r="J2087" t="s">
        <v>2186</v>
      </c>
      <c r="K2087" t="s">
        <v>2183</v>
      </c>
      <c r="L2087" t="s">
        <v>2184</v>
      </c>
      <c r="M2087">
        <v>19</v>
      </c>
      <c r="N2087">
        <v>15.05</v>
      </c>
      <c r="O2087">
        <v>1698.69</v>
      </c>
      <c r="P2087">
        <v>0</v>
      </c>
      <c r="Q2087">
        <v>1698.69</v>
      </c>
      <c r="R2087">
        <v>271.79000000000002</v>
      </c>
      <c r="S2087">
        <v>67.95</v>
      </c>
      <c r="T2087">
        <v>1902.53</v>
      </c>
      <c r="V2087" t="s">
        <v>9408</v>
      </c>
      <c r="W2087" t="s">
        <v>423</v>
      </c>
    </row>
    <row r="2088" spans="1:23" hidden="1" x14ac:dyDescent="0.2">
      <c r="A2088">
        <v>2012</v>
      </c>
      <c r="B2088" t="s">
        <v>304</v>
      </c>
      <c r="C2088" s="733">
        <v>40956</v>
      </c>
      <c r="D20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88" t="s">
        <v>485</v>
      </c>
      <c r="F2088" t="s">
        <v>2065</v>
      </c>
      <c r="G2088" t="s">
        <v>7588</v>
      </c>
      <c r="H2088">
        <v>42038</v>
      </c>
      <c r="I2088" t="s">
        <v>423</v>
      </c>
      <c r="J2088" t="s">
        <v>2189</v>
      </c>
      <c r="K2088" t="s">
        <v>2183</v>
      </c>
      <c r="L2088" t="s">
        <v>2184</v>
      </c>
      <c r="M2088">
        <v>720</v>
      </c>
      <c r="N2088">
        <v>25.05</v>
      </c>
      <c r="O2088">
        <v>11119.44</v>
      </c>
      <c r="P2088">
        <v>0</v>
      </c>
      <c r="Q2088">
        <v>11119.44</v>
      </c>
      <c r="R2088">
        <v>1779.11</v>
      </c>
      <c r="S2088">
        <v>444.78</v>
      </c>
      <c r="T2088">
        <v>12453.77</v>
      </c>
      <c r="U2088" t="s">
        <v>8048</v>
      </c>
      <c r="V2088" t="s">
        <v>9408</v>
      </c>
      <c r="W2088" t="s">
        <v>423</v>
      </c>
    </row>
    <row r="2089" spans="1:23" hidden="1" x14ac:dyDescent="0.2">
      <c r="A2089">
        <v>2012</v>
      </c>
      <c r="B2089" t="s">
        <v>304</v>
      </c>
      <c r="C2089" s="733">
        <v>40946.725289351853</v>
      </c>
      <c r="D20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89" t="s">
        <v>478</v>
      </c>
      <c r="F2089" t="s">
        <v>2622</v>
      </c>
      <c r="G2089" t="s">
        <v>3885</v>
      </c>
      <c r="H2089">
        <v>35370</v>
      </c>
      <c r="I2089" t="s">
        <v>423</v>
      </c>
      <c r="J2089" t="s">
        <v>2629</v>
      </c>
      <c r="K2089" t="s">
        <v>2625</v>
      </c>
      <c r="L2089" t="s">
        <v>2626</v>
      </c>
      <c r="M2089">
        <v>33</v>
      </c>
      <c r="N2089">
        <v>22.9</v>
      </c>
      <c r="O2089">
        <v>2671.06</v>
      </c>
      <c r="P2089">
        <v>0</v>
      </c>
      <c r="Q2089">
        <v>2671.06</v>
      </c>
      <c r="R2089">
        <v>427.37</v>
      </c>
      <c r="S2089">
        <v>106.84</v>
      </c>
      <c r="T2089">
        <v>2991.59</v>
      </c>
      <c r="U2089" t="s">
        <v>2652</v>
      </c>
      <c r="V2089" t="s">
        <v>9408</v>
      </c>
      <c r="W2089" t="s">
        <v>423</v>
      </c>
    </row>
    <row r="2090" spans="1:23" hidden="1" x14ac:dyDescent="0.2">
      <c r="A2090">
        <v>2012</v>
      </c>
      <c r="B2090" t="s">
        <v>304</v>
      </c>
      <c r="C2090" s="733">
        <v>40940</v>
      </c>
      <c r="D20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90" t="s">
        <v>485</v>
      </c>
      <c r="F2090" t="s">
        <v>2065</v>
      </c>
      <c r="G2090" t="s">
        <v>4490</v>
      </c>
      <c r="H2090">
        <v>39683</v>
      </c>
      <c r="I2090" t="s">
        <v>423</v>
      </c>
      <c r="J2090" t="s">
        <v>2189</v>
      </c>
      <c r="K2090" t="s">
        <v>2183</v>
      </c>
      <c r="L2090" t="s">
        <v>2184</v>
      </c>
      <c r="M2090">
        <v>720</v>
      </c>
      <c r="N2090">
        <v>26.24</v>
      </c>
      <c r="O2090">
        <v>11647.67</v>
      </c>
      <c r="P2090">
        <v>0</v>
      </c>
      <c r="Q2090">
        <v>11647.67</v>
      </c>
      <c r="R2090">
        <v>1863.63</v>
      </c>
      <c r="S2090">
        <v>465.91</v>
      </c>
      <c r="T2090">
        <v>13045.39</v>
      </c>
      <c r="U2090" t="s">
        <v>2187</v>
      </c>
      <c r="V2090" t="s">
        <v>9408</v>
      </c>
      <c r="W2090" t="s">
        <v>423</v>
      </c>
    </row>
    <row r="2091" spans="1:23" hidden="1" x14ac:dyDescent="0.2">
      <c r="A2091">
        <v>2012</v>
      </c>
      <c r="B2091" t="s">
        <v>304</v>
      </c>
      <c r="C2091" s="733">
        <v>40952</v>
      </c>
      <c r="D20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91" t="s">
        <v>485</v>
      </c>
      <c r="F2091" t="s">
        <v>2065</v>
      </c>
      <c r="G2091" t="s">
        <v>4489</v>
      </c>
      <c r="H2091">
        <v>41746</v>
      </c>
      <c r="I2091" t="s">
        <v>423</v>
      </c>
      <c r="J2091" t="s">
        <v>2189</v>
      </c>
      <c r="K2091" t="s">
        <v>2183</v>
      </c>
      <c r="L2091" t="s">
        <v>2184</v>
      </c>
      <c r="M2091">
        <v>720</v>
      </c>
      <c r="N2091">
        <v>24.31</v>
      </c>
      <c r="O2091">
        <v>10790.97</v>
      </c>
      <c r="P2091">
        <v>0</v>
      </c>
      <c r="Q2091">
        <v>10790.97</v>
      </c>
      <c r="R2091">
        <v>1726.55</v>
      </c>
      <c r="S2091">
        <v>431.64</v>
      </c>
      <c r="T2091">
        <v>12085.88</v>
      </c>
      <c r="U2091" t="s">
        <v>8048</v>
      </c>
      <c r="V2091" t="s">
        <v>9408</v>
      </c>
      <c r="W2091" t="s">
        <v>423</v>
      </c>
    </row>
    <row r="2092" spans="1:23" hidden="1" x14ac:dyDescent="0.2">
      <c r="A2092">
        <v>2012</v>
      </c>
      <c r="B2092" t="s">
        <v>304</v>
      </c>
      <c r="C2092" s="733">
        <v>40940</v>
      </c>
      <c r="D20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92" t="s">
        <v>485</v>
      </c>
      <c r="F2092" t="s">
        <v>2065</v>
      </c>
      <c r="G2092" t="s">
        <v>4491</v>
      </c>
      <c r="H2092">
        <v>40710</v>
      </c>
      <c r="I2092" t="s">
        <v>423</v>
      </c>
      <c r="J2092" t="s">
        <v>2189</v>
      </c>
      <c r="K2092" t="s">
        <v>2183</v>
      </c>
      <c r="L2092" t="s">
        <v>2184</v>
      </c>
      <c r="M2092">
        <v>720</v>
      </c>
      <c r="N2092">
        <v>25.57</v>
      </c>
      <c r="O2092">
        <v>11350.27</v>
      </c>
      <c r="P2092">
        <v>0</v>
      </c>
      <c r="Q2092">
        <v>11350.27</v>
      </c>
      <c r="R2092">
        <v>1816.04</v>
      </c>
      <c r="S2092">
        <v>454.01</v>
      </c>
      <c r="T2092">
        <v>12712.3</v>
      </c>
      <c r="U2092" t="s">
        <v>2187</v>
      </c>
      <c r="V2092" t="s">
        <v>9408</v>
      </c>
      <c r="W2092" t="s">
        <v>423</v>
      </c>
    </row>
    <row r="2093" spans="1:23" hidden="1" x14ac:dyDescent="0.2">
      <c r="A2093">
        <v>2012</v>
      </c>
      <c r="B2093" t="s">
        <v>303</v>
      </c>
      <c r="C2093" s="733">
        <v>40925</v>
      </c>
      <c r="D20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93" t="s">
        <v>478</v>
      </c>
      <c r="F2093" t="s">
        <v>2136</v>
      </c>
      <c r="G2093" t="s">
        <v>7089</v>
      </c>
      <c r="H2093">
        <v>34463</v>
      </c>
      <c r="I2093" t="s">
        <v>423</v>
      </c>
      <c r="J2093" t="s">
        <v>4282</v>
      </c>
      <c r="K2093" t="s">
        <v>425</v>
      </c>
      <c r="L2093" t="s">
        <v>2145</v>
      </c>
      <c r="M2093">
        <v>1405</v>
      </c>
      <c r="N2093">
        <v>50.14</v>
      </c>
      <c r="O2093">
        <v>50612.32</v>
      </c>
      <c r="P2093">
        <v>0</v>
      </c>
      <c r="Q2093">
        <v>50612.32</v>
      </c>
      <c r="R2093">
        <v>8097.97</v>
      </c>
      <c r="S2093">
        <v>2024.49</v>
      </c>
      <c r="T2093">
        <v>56685.8</v>
      </c>
      <c r="U2093" t="s">
        <v>2146</v>
      </c>
      <c r="V2093" t="s">
        <v>9409</v>
      </c>
      <c r="W2093" t="s">
        <v>423</v>
      </c>
    </row>
    <row r="2094" spans="1:23" hidden="1" x14ac:dyDescent="0.2">
      <c r="A2094">
        <v>2012</v>
      </c>
      <c r="B2094" t="s">
        <v>303</v>
      </c>
      <c r="C2094" s="733">
        <v>40939</v>
      </c>
      <c r="D20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94" t="s">
        <v>485</v>
      </c>
      <c r="F2094" t="s">
        <v>2054</v>
      </c>
      <c r="G2094" t="s">
        <v>5674</v>
      </c>
      <c r="H2094">
        <v>10035</v>
      </c>
      <c r="I2094" t="s">
        <v>423</v>
      </c>
      <c r="J2094" t="s">
        <v>4045</v>
      </c>
      <c r="K2094" t="s">
        <v>2057</v>
      </c>
      <c r="L2094" t="s">
        <v>2058</v>
      </c>
      <c r="M2094">
        <v>0</v>
      </c>
      <c r="N2094">
        <v>24.96</v>
      </c>
      <c r="O2094">
        <v>6821.07</v>
      </c>
      <c r="P2094">
        <v>0</v>
      </c>
      <c r="Q2094">
        <v>6821.07</v>
      </c>
      <c r="R2094">
        <v>1091.3699999999999</v>
      </c>
      <c r="S2094">
        <v>272.83999999999997</v>
      </c>
      <c r="T2094">
        <v>7639.6</v>
      </c>
      <c r="U2094" t="s">
        <v>2073</v>
      </c>
      <c r="V2094" t="s">
        <v>9408</v>
      </c>
      <c r="W2094" t="s">
        <v>423</v>
      </c>
    </row>
    <row r="2095" spans="1:23" hidden="1" x14ac:dyDescent="0.2">
      <c r="A2095">
        <v>2012</v>
      </c>
      <c r="B2095" t="s">
        <v>305</v>
      </c>
      <c r="C2095" s="733">
        <v>40970</v>
      </c>
      <c r="D2095" s="733" t="str">
        <f>CHOOSE(MONTH(Tabla_sqldatos_bonampakdb_Bon_v_ingresos2012[[#This Row],[fecha_guia]]),"Enero","Febrero","Marzo","Abril","Mayo","Junio","Julio","Agosto","Septiembre","Octubre","Noviembre","Diciembre")</f>
        <v>Marzo</v>
      </c>
      <c r="E2095" t="s">
        <v>485</v>
      </c>
      <c r="F2095" t="s">
        <v>2065</v>
      </c>
      <c r="G2095" t="s">
        <v>9598</v>
      </c>
      <c r="H2095">
        <v>42962</v>
      </c>
      <c r="I2095" t="s">
        <v>423</v>
      </c>
      <c r="J2095" t="s">
        <v>3972</v>
      </c>
      <c r="K2095" t="s">
        <v>2183</v>
      </c>
      <c r="L2095" t="s">
        <v>2184</v>
      </c>
      <c r="M2095">
        <v>184</v>
      </c>
      <c r="N2095">
        <v>48.41</v>
      </c>
      <c r="O2095">
        <v>8613.11</v>
      </c>
      <c r="P2095">
        <v>0</v>
      </c>
      <c r="Q2095">
        <v>8613.11</v>
      </c>
      <c r="R2095">
        <v>1378.1</v>
      </c>
      <c r="S2095">
        <v>344.52</v>
      </c>
      <c r="T2095">
        <v>9646.69</v>
      </c>
      <c r="V2095" t="s">
        <v>9409</v>
      </c>
      <c r="W2095" t="s">
        <v>423</v>
      </c>
    </row>
    <row r="2096" spans="1:23" hidden="1" x14ac:dyDescent="0.2">
      <c r="A2096">
        <v>2012</v>
      </c>
      <c r="B2096" t="s">
        <v>303</v>
      </c>
      <c r="C2096" s="733">
        <v>40931</v>
      </c>
      <c r="D20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096" t="s">
        <v>485</v>
      </c>
      <c r="F2096" t="s">
        <v>2065</v>
      </c>
      <c r="G2096" t="s">
        <v>5659</v>
      </c>
      <c r="H2096">
        <v>40709</v>
      </c>
      <c r="I2096" t="s">
        <v>423</v>
      </c>
      <c r="J2096" t="s">
        <v>3972</v>
      </c>
      <c r="K2096" t="s">
        <v>2183</v>
      </c>
      <c r="L2096" t="s">
        <v>2184</v>
      </c>
      <c r="M2096">
        <v>184</v>
      </c>
      <c r="N2096">
        <v>24.13</v>
      </c>
      <c r="O2096">
        <v>4293.21</v>
      </c>
      <c r="P2096">
        <v>0</v>
      </c>
      <c r="Q2096">
        <v>4293.21</v>
      </c>
      <c r="R2096">
        <v>686.91</v>
      </c>
      <c r="S2096">
        <v>171.73</v>
      </c>
      <c r="T2096">
        <v>4808.3900000000003</v>
      </c>
      <c r="U2096" t="s">
        <v>2187</v>
      </c>
      <c r="V2096" t="s">
        <v>9408</v>
      </c>
      <c r="W2096" t="s">
        <v>423</v>
      </c>
    </row>
    <row r="2097" spans="1:23" hidden="1" x14ac:dyDescent="0.2">
      <c r="A2097">
        <v>2012</v>
      </c>
      <c r="B2097" t="s">
        <v>304</v>
      </c>
      <c r="C2097" s="733">
        <v>40941</v>
      </c>
      <c r="D20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97" t="s">
        <v>505</v>
      </c>
      <c r="F2097" t="s">
        <v>1915</v>
      </c>
      <c r="G2097" t="s">
        <v>2047</v>
      </c>
      <c r="H2097">
        <v>22413</v>
      </c>
      <c r="I2097" t="s">
        <v>423</v>
      </c>
      <c r="J2097" t="s">
        <v>1943</v>
      </c>
      <c r="K2097" t="s">
        <v>1918</v>
      </c>
      <c r="L2097" t="s">
        <v>1919</v>
      </c>
      <c r="M2097">
        <v>319</v>
      </c>
      <c r="N2097">
        <v>53.16</v>
      </c>
      <c r="O2097">
        <v>15588.64</v>
      </c>
      <c r="P2097">
        <v>0</v>
      </c>
      <c r="Q2097">
        <v>15588.64</v>
      </c>
      <c r="R2097">
        <v>2494.1799999999998</v>
      </c>
      <c r="S2097">
        <v>623.54999999999995</v>
      </c>
      <c r="T2097">
        <v>17459.27</v>
      </c>
      <c r="U2097" t="s">
        <v>1926</v>
      </c>
      <c r="V2097" t="s">
        <v>9409</v>
      </c>
      <c r="W2097" t="s">
        <v>423</v>
      </c>
    </row>
    <row r="2098" spans="1:23" hidden="1" x14ac:dyDescent="0.2">
      <c r="A2098">
        <v>2012</v>
      </c>
      <c r="B2098" t="s">
        <v>304</v>
      </c>
      <c r="C2098" s="733">
        <v>40964</v>
      </c>
      <c r="D20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98" t="s">
        <v>505</v>
      </c>
      <c r="F2098" t="s">
        <v>1915</v>
      </c>
      <c r="G2098" t="s">
        <v>8726</v>
      </c>
      <c r="H2098">
        <v>23007</v>
      </c>
      <c r="I2098" t="s">
        <v>423</v>
      </c>
      <c r="J2098" t="s">
        <v>1943</v>
      </c>
      <c r="K2098" t="s">
        <v>1918</v>
      </c>
      <c r="L2098" t="s">
        <v>1919</v>
      </c>
      <c r="M2098">
        <v>319</v>
      </c>
      <c r="N2098">
        <v>54.47</v>
      </c>
      <c r="O2098">
        <v>15972.78</v>
      </c>
      <c r="P2098">
        <v>0</v>
      </c>
      <c r="Q2098">
        <v>15972.78</v>
      </c>
      <c r="R2098">
        <v>2555.65</v>
      </c>
      <c r="S2098">
        <v>638.91</v>
      </c>
      <c r="T2098">
        <v>17889.52</v>
      </c>
      <c r="U2098" t="s">
        <v>9415</v>
      </c>
      <c r="V2098" t="s">
        <v>9409</v>
      </c>
      <c r="W2098" t="s">
        <v>423</v>
      </c>
    </row>
    <row r="2099" spans="1:23" hidden="1" x14ac:dyDescent="0.2">
      <c r="A2099">
        <v>2012</v>
      </c>
      <c r="B2099" t="s">
        <v>304</v>
      </c>
      <c r="C2099" s="733">
        <v>40942.612314814818</v>
      </c>
      <c r="D20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099" t="s">
        <v>505</v>
      </c>
      <c r="F2099" t="s">
        <v>1915</v>
      </c>
      <c r="G2099" t="s">
        <v>2039</v>
      </c>
      <c r="H2099">
        <v>22477</v>
      </c>
      <c r="I2099" t="s">
        <v>423</v>
      </c>
      <c r="J2099" t="s">
        <v>1943</v>
      </c>
      <c r="K2099" t="s">
        <v>1918</v>
      </c>
      <c r="L2099" t="s">
        <v>1919</v>
      </c>
      <c r="M2099">
        <v>319</v>
      </c>
      <c r="N2099">
        <v>54.19</v>
      </c>
      <c r="O2099">
        <v>15890.68</v>
      </c>
      <c r="P2099">
        <v>0</v>
      </c>
      <c r="Q2099">
        <v>15890.68</v>
      </c>
      <c r="R2099">
        <v>2542.5100000000002</v>
      </c>
      <c r="S2099">
        <v>635.63</v>
      </c>
      <c r="T2099">
        <v>17797.560000000001</v>
      </c>
      <c r="U2099" t="s">
        <v>1924</v>
      </c>
      <c r="V2099" t="s">
        <v>9409</v>
      </c>
      <c r="W2099" t="s">
        <v>423</v>
      </c>
    </row>
    <row r="2100" spans="1:23" hidden="1" x14ac:dyDescent="0.2">
      <c r="A2100">
        <v>2012</v>
      </c>
      <c r="B2100" t="s">
        <v>304</v>
      </c>
      <c r="C2100" s="733">
        <v>40962</v>
      </c>
      <c r="D21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00" t="s">
        <v>505</v>
      </c>
      <c r="F2100" t="s">
        <v>1915</v>
      </c>
      <c r="G2100" t="s">
        <v>8556</v>
      </c>
      <c r="H2100">
        <v>22949</v>
      </c>
      <c r="I2100" t="s">
        <v>423</v>
      </c>
      <c r="J2100" t="s">
        <v>1943</v>
      </c>
      <c r="K2100" t="s">
        <v>1918</v>
      </c>
      <c r="L2100" t="s">
        <v>1919</v>
      </c>
      <c r="M2100">
        <v>319</v>
      </c>
      <c r="N2100">
        <v>53.78</v>
      </c>
      <c r="O2100">
        <v>15770.45</v>
      </c>
      <c r="P2100">
        <v>0</v>
      </c>
      <c r="Q2100">
        <v>15770.45</v>
      </c>
      <c r="R2100">
        <v>2523.27</v>
      </c>
      <c r="S2100">
        <v>630.82000000000005</v>
      </c>
      <c r="T2100">
        <v>17662.900000000001</v>
      </c>
      <c r="U2100" t="s">
        <v>8778</v>
      </c>
      <c r="V2100" t="s">
        <v>9409</v>
      </c>
      <c r="W2100" t="s">
        <v>423</v>
      </c>
    </row>
    <row r="2101" spans="1:23" hidden="1" x14ac:dyDescent="0.2">
      <c r="A2101">
        <v>2012</v>
      </c>
      <c r="B2101" t="s">
        <v>303</v>
      </c>
      <c r="C2101" s="733">
        <v>40912</v>
      </c>
      <c r="D21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01" t="s">
        <v>478</v>
      </c>
      <c r="F2101" t="s">
        <v>2136</v>
      </c>
      <c r="G2101" t="s">
        <v>6839</v>
      </c>
      <c r="H2101">
        <v>34113</v>
      </c>
      <c r="I2101" t="s">
        <v>423</v>
      </c>
      <c r="J2101" t="s">
        <v>5735</v>
      </c>
      <c r="K2101" t="s">
        <v>425</v>
      </c>
      <c r="L2101" t="s">
        <v>2145</v>
      </c>
      <c r="M2101">
        <v>193</v>
      </c>
      <c r="N2101">
        <v>28.51</v>
      </c>
      <c r="O2101">
        <v>2133.12</v>
      </c>
      <c r="P2101">
        <v>2401.6584769999999</v>
      </c>
      <c r="Q2101">
        <v>4534.7784769999998</v>
      </c>
      <c r="R2101">
        <v>725.56455600000004</v>
      </c>
      <c r="S2101">
        <v>181.39113900000001</v>
      </c>
      <c r="T2101">
        <v>5078.9518939999998</v>
      </c>
      <c r="U2101" t="s">
        <v>5788</v>
      </c>
      <c r="V2101" t="s">
        <v>9408</v>
      </c>
      <c r="W2101" t="s">
        <v>423</v>
      </c>
    </row>
    <row r="2102" spans="1:23" hidden="1" x14ac:dyDescent="0.2">
      <c r="A2102">
        <v>2012</v>
      </c>
      <c r="B2102" t="s">
        <v>303</v>
      </c>
      <c r="C2102" s="733">
        <v>40915</v>
      </c>
      <c r="D21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02" t="s">
        <v>505</v>
      </c>
      <c r="F2102" t="s">
        <v>1915</v>
      </c>
      <c r="G2102" t="s">
        <v>6141</v>
      </c>
      <c r="H2102">
        <v>21763</v>
      </c>
      <c r="I2102" t="s">
        <v>423</v>
      </c>
      <c r="J2102" t="s">
        <v>1943</v>
      </c>
      <c r="K2102" t="s">
        <v>1918</v>
      </c>
      <c r="L2102" t="s">
        <v>1919</v>
      </c>
      <c r="M2102">
        <v>319</v>
      </c>
      <c r="N2102">
        <v>56.95</v>
      </c>
      <c r="O2102">
        <v>16700.02</v>
      </c>
      <c r="P2102">
        <v>0</v>
      </c>
      <c r="Q2102">
        <v>16700.02</v>
      </c>
      <c r="R2102">
        <v>2672</v>
      </c>
      <c r="S2102">
        <v>668</v>
      </c>
      <c r="T2102">
        <v>18704.02</v>
      </c>
      <c r="U2102" t="s">
        <v>1920</v>
      </c>
      <c r="V2102" t="s">
        <v>9409</v>
      </c>
      <c r="W2102" t="s">
        <v>423</v>
      </c>
    </row>
    <row r="2103" spans="1:23" hidden="1" x14ac:dyDescent="0.2">
      <c r="A2103">
        <v>2012</v>
      </c>
      <c r="B2103" t="s">
        <v>303</v>
      </c>
      <c r="C2103" s="733">
        <v>40920</v>
      </c>
      <c r="D21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03" t="s">
        <v>485</v>
      </c>
      <c r="F2103" t="s">
        <v>2065</v>
      </c>
      <c r="G2103" t="s">
        <v>2794</v>
      </c>
      <c r="H2103">
        <v>40098</v>
      </c>
      <c r="I2103" t="s">
        <v>423</v>
      </c>
      <c r="J2103" t="s">
        <v>2126</v>
      </c>
      <c r="K2103" t="s">
        <v>2102</v>
      </c>
      <c r="L2103" t="s">
        <v>2115</v>
      </c>
      <c r="M2103">
        <v>930</v>
      </c>
      <c r="N2103">
        <v>26.03</v>
      </c>
      <c r="O2103">
        <v>15281.69</v>
      </c>
      <c r="P2103">
        <v>0</v>
      </c>
      <c r="Q2103">
        <v>15281.69</v>
      </c>
      <c r="R2103">
        <v>2445.0700000000002</v>
      </c>
      <c r="S2103">
        <v>611.27</v>
      </c>
      <c r="T2103">
        <v>17115.490000000002</v>
      </c>
      <c r="U2103" t="s">
        <v>2106</v>
      </c>
      <c r="V2103" t="s">
        <v>9408</v>
      </c>
      <c r="W2103" t="s">
        <v>423</v>
      </c>
    </row>
    <row r="2104" spans="1:23" hidden="1" x14ac:dyDescent="0.2">
      <c r="A2104">
        <v>2012</v>
      </c>
      <c r="B2104" t="s">
        <v>304</v>
      </c>
      <c r="C2104" s="733">
        <v>40940</v>
      </c>
      <c r="D21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04" t="s">
        <v>485</v>
      </c>
      <c r="F2104" t="s">
        <v>2065</v>
      </c>
      <c r="G2104" t="s">
        <v>6733</v>
      </c>
      <c r="H2104">
        <v>41058</v>
      </c>
      <c r="I2104" t="s">
        <v>423</v>
      </c>
      <c r="J2104" t="s">
        <v>2126</v>
      </c>
      <c r="K2104" t="s">
        <v>2102</v>
      </c>
      <c r="L2104" t="s">
        <v>2115</v>
      </c>
      <c r="M2104">
        <v>930</v>
      </c>
      <c r="N2104">
        <v>50.7</v>
      </c>
      <c r="O2104">
        <v>29764.959999999999</v>
      </c>
      <c r="P2104">
        <v>0</v>
      </c>
      <c r="Q2104">
        <v>29764.959999999999</v>
      </c>
      <c r="R2104">
        <v>4762.3900000000003</v>
      </c>
      <c r="S2104">
        <v>1190.5999999999999</v>
      </c>
      <c r="T2104">
        <v>33336.75</v>
      </c>
      <c r="U2104" t="s">
        <v>2110</v>
      </c>
      <c r="V2104" t="s">
        <v>9409</v>
      </c>
      <c r="W2104" t="s">
        <v>423</v>
      </c>
    </row>
    <row r="2105" spans="1:23" hidden="1" x14ac:dyDescent="0.2">
      <c r="A2105">
        <v>2012</v>
      </c>
      <c r="B2105" t="s">
        <v>304</v>
      </c>
      <c r="C2105" s="733">
        <v>40960</v>
      </c>
      <c r="D21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05" t="s">
        <v>478</v>
      </c>
      <c r="F2105" t="s">
        <v>2136</v>
      </c>
      <c r="G2105" t="s">
        <v>8341</v>
      </c>
      <c r="H2105">
        <v>35818</v>
      </c>
      <c r="I2105" t="s">
        <v>423</v>
      </c>
      <c r="J2105" t="s">
        <v>3480</v>
      </c>
      <c r="K2105" t="s">
        <v>3481</v>
      </c>
      <c r="L2105" t="s">
        <v>3482</v>
      </c>
      <c r="M2105">
        <v>75</v>
      </c>
      <c r="N2105">
        <v>23.57</v>
      </c>
      <c r="O2105">
        <v>2660.35</v>
      </c>
      <c r="P2105">
        <v>0</v>
      </c>
      <c r="Q2105">
        <v>2660.35</v>
      </c>
      <c r="R2105">
        <v>425.66</v>
      </c>
      <c r="S2105">
        <v>106.41</v>
      </c>
      <c r="T2105">
        <v>2979.6</v>
      </c>
      <c r="U2105" t="s">
        <v>8277</v>
      </c>
      <c r="V2105" t="s">
        <v>9408</v>
      </c>
      <c r="W2105" t="s">
        <v>423</v>
      </c>
    </row>
    <row r="2106" spans="1:23" hidden="1" x14ac:dyDescent="0.2">
      <c r="A2106">
        <v>2012</v>
      </c>
      <c r="B2106" t="s">
        <v>304</v>
      </c>
      <c r="C2106" s="733">
        <v>40960</v>
      </c>
      <c r="D21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06" t="s">
        <v>478</v>
      </c>
      <c r="F2106" t="s">
        <v>2136</v>
      </c>
      <c r="G2106" t="s">
        <v>8342</v>
      </c>
      <c r="H2106">
        <v>35821</v>
      </c>
      <c r="I2106" t="s">
        <v>423</v>
      </c>
      <c r="J2106" t="s">
        <v>3480</v>
      </c>
      <c r="K2106" t="s">
        <v>3481</v>
      </c>
      <c r="L2106" t="s">
        <v>3482</v>
      </c>
      <c r="M2106">
        <v>75</v>
      </c>
      <c r="N2106">
        <v>27.375</v>
      </c>
      <c r="O2106">
        <v>3089.82</v>
      </c>
      <c r="P2106">
        <v>0</v>
      </c>
      <c r="Q2106">
        <v>3089.82</v>
      </c>
      <c r="R2106">
        <v>494.37</v>
      </c>
      <c r="S2106">
        <v>123.59</v>
      </c>
      <c r="T2106">
        <v>3460.6</v>
      </c>
      <c r="U2106" t="s">
        <v>8277</v>
      </c>
      <c r="V2106" t="s">
        <v>9408</v>
      </c>
      <c r="W2106" t="s">
        <v>423</v>
      </c>
    </row>
    <row r="2107" spans="1:23" hidden="1" x14ac:dyDescent="0.2">
      <c r="A2107">
        <v>2012</v>
      </c>
      <c r="B2107" t="s">
        <v>303</v>
      </c>
      <c r="C2107" s="733">
        <v>40936</v>
      </c>
      <c r="D21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07" t="s">
        <v>478</v>
      </c>
      <c r="F2107" t="s">
        <v>3787</v>
      </c>
      <c r="G2107" t="s">
        <v>5000</v>
      </c>
      <c r="H2107">
        <v>34558</v>
      </c>
      <c r="I2107" t="s">
        <v>423</v>
      </c>
      <c r="J2107" t="s">
        <v>3480</v>
      </c>
      <c r="K2107" t="s">
        <v>3481</v>
      </c>
      <c r="L2107" t="s">
        <v>3482</v>
      </c>
      <c r="M2107">
        <v>75</v>
      </c>
      <c r="N2107">
        <v>28.734999999999999</v>
      </c>
      <c r="O2107">
        <v>3243.32</v>
      </c>
      <c r="P2107">
        <v>0</v>
      </c>
      <c r="Q2107">
        <v>3243.32</v>
      </c>
      <c r="R2107">
        <v>518.92999999999995</v>
      </c>
      <c r="S2107">
        <v>129.72999999999999</v>
      </c>
      <c r="T2107">
        <v>3632.52</v>
      </c>
      <c r="U2107" t="s">
        <v>3784</v>
      </c>
      <c r="V2107" t="s">
        <v>9408</v>
      </c>
      <c r="W2107" t="s">
        <v>423</v>
      </c>
    </row>
    <row r="2108" spans="1:23" hidden="1" x14ac:dyDescent="0.2">
      <c r="A2108">
        <v>2012</v>
      </c>
      <c r="B2108" t="s">
        <v>303</v>
      </c>
      <c r="C2108" s="733">
        <v>40921</v>
      </c>
      <c r="D21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08" t="s">
        <v>478</v>
      </c>
      <c r="F2108" t="s">
        <v>2136</v>
      </c>
      <c r="G2108" t="s">
        <v>2792</v>
      </c>
      <c r="H2108">
        <v>34451</v>
      </c>
      <c r="I2108" t="s">
        <v>423</v>
      </c>
      <c r="J2108" t="s">
        <v>2793</v>
      </c>
      <c r="K2108" t="s">
        <v>425</v>
      </c>
      <c r="L2108" t="s">
        <v>2145</v>
      </c>
      <c r="M2108">
        <v>1147</v>
      </c>
      <c r="N2108">
        <v>34.86</v>
      </c>
      <c r="O2108">
        <v>16083.71</v>
      </c>
      <c r="P2108">
        <v>0</v>
      </c>
      <c r="Q2108">
        <v>16083.71</v>
      </c>
      <c r="R2108">
        <v>2573.39</v>
      </c>
      <c r="S2108">
        <v>643.35</v>
      </c>
      <c r="T2108">
        <v>18013.75</v>
      </c>
      <c r="U2108" t="s">
        <v>2350</v>
      </c>
      <c r="V2108" t="s">
        <v>9408</v>
      </c>
      <c r="W2108" t="s">
        <v>423</v>
      </c>
    </row>
    <row r="2109" spans="1:23" hidden="1" x14ac:dyDescent="0.2">
      <c r="A2109">
        <v>2012</v>
      </c>
      <c r="B2109" t="s">
        <v>304</v>
      </c>
      <c r="C2109" s="733">
        <v>40948</v>
      </c>
      <c r="D21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09" t="s">
        <v>485</v>
      </c>
      <c r="F2109" t="s">
        <v>3450</v>
      </c>
      <c r="G2109" t="s">
        <v>3461</v>
      </c>
      <c r="H2109">
        <v>41177</v>
      </c>
      <c r="I2109" t="s">
        <v>423</v>
      </c>
      <c r="J2109" t="s">
        <v>3462</v>
      </c>
      <c r="K2109" t="s">
        <v>3453</v>
      </c>
      <c r="L2109" t="s">
        <v>3454</v>
      </c>
      <c r="M2109">
        <v>425</v>
      </c>
      <c r="N2109">
        <v>28.25</v>
      </c>
      <c r="O2109">
        <v>7882.88</v>
      </c>
      <c r="P2109">
        <v>0</v>
      </c>
      <c r="Q2109">
        <v>7882.88</v>
      </c>
      <c r="R2109">
        <v>1261.26</v>
      </c>
      <c r="S2109">
        <v>315.32</v>
      </c>
      <c r="T2109">
        <v>8828.82</v>
      </c>
      <c r="U2109" t="s">
        <v>3455</v>
      </c>
      <c r="V2109" t="s">
        <v>9408</v>
      </c>
      <c r="W2109" t="s">
        <v>423</v>
      </c>
    </row>
    <row r="2110" spans="1:23" hidden="1" x14ac:dyDescent="0.2">
      <c r="A2110">
        <v>2012</v>
      </c>
      <c r="B2110" t="s">
        <v>304</v>
      </c>
      <c r="C2110" s="733">
        <v>40952</v>
      </c>
      <c r="D21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10" t="s">
        <v>485</v>
      </c>
      <c r="F2110" t="s">
        <v>2065</v>
      </c>
      <c r="G2110" t="s">
        <v>2795</v>
      </c>
      <c r="H2110">
        <v>41551</v>
      </c>
      <c r="I2110" t="s">
        <v>423</v>
      </c>
      <c r="J2110" t="s">
        <v>2126</v>
      </c>
      <c r="K2110" t="s">
        <v>2102</v>
      </c>
      <c r="L2110" t="s">
        <v>2115</v>
      </c>
      <c r="M2110">
        <v>930</v>
      </c>
      <c r="N2110">
        <v>25.25</v>
      </c>
      <c r="O2110">
        <v>14823.77</v>
      </c>
      <c r="P2110">
        <v>0</v>
      </c>
      <c r="Q2110">
        <v>14823.77</v>
      </c>
      <c r="R2110">
        <v>2371.8000000000002</v>
      </c>
      <c r="S2110">
        <v>592.95000000000005</v>
      </c>
      <c r="T2110">
        <v>16602.62</v>
      </c>
      <c r="U2110" t="s">
        <v>8051</v>
      </c>
      <c r="V2110" t="s">
        <v>9409</v>
      </c>
      <c r="W2110" t="s">
        <v>423</v>
      </c>
    </row>
    <row r="2111" spans="1:23" hidden="1" x14ac:dyDescent="0.2">
      <c r="A2111">
        <v>2012</v>
      </c>
      <c r="B2111" t="s">
        <v>303</v>
      </c>
      <c r="C2111" s="733">
        <v>40927</v>
      </c>
      <c r="D21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11" t="s">
        <v>478</v>
      </c>
      <c r="F2111" t="s">
        <v>2136</v>
      </c>
      <c r="G2111" t="s">
        <v>6731</v>
      </c>
      <c r="H2111">
        <v>34620</v>
      </c>
      <c r="I2111" t="s">
        <v>423</v>
      </c>
      <c r="J2111" t="s">
        <v>3326</v>
      </c>
      <c r="K2111" t="s">
        <v>425</v>
      </c>
      <c r="L2111" t="s">
        <v>2145</v>
      </c>
      <c r="M2111">
        <v>1218</v>
      </c>
      <c r="N2111">
        <v>21.41</v>
      </c>
      <c r="O2111">
        <v>11722.62</v>
      </c>
      <c r="P2111">
        <v>0</v>
      </c>
      <c r="Q2111">
        <v>11722.62</v>
      </c>
      <c r="R2111">
        <v>1875.62</v>
      </c>
      <c r="S2111">
        <v>468.9</v>
      </c>
      <c r="T2111">
        <v>13129.34</v>
      </c>
      <c r="U2111" t="s">
        <v>2927</v>
      </c>
      <c r="V2111" t="s">
        <v>9408</v>
      </c>
      <c r="W2111" t="s">
        <v>423</v>
      </c>
    </row>
    <row r="2112" spans="1:23" x14ac:dyDescent="0.2">
      <c r="A2112">
        <v>2012</v>
      </c>
      <c r="B2112" t="s">
        <v>304</v>
      </c>
      <c r="C2112" s="733">
        <v>40968</v>
      </c>
      <c r="D21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12" t="s">
        <v>485</v>
      </c>
      <c r="F2112" t="s">
        <v>3450</v>
      </c>
      <c r="G2112" t="s">
        <v>9603</v>
      </c>
      <c r="H2112">
        <v>42327</v>
      </c>
      <c r="I2112" t="s">
        <v>423</v>
      </c>
      <c r="J2112" t="s">
        <v>3462</v>
      </c>
      <c r="K2112" t="s">
        <v>3453</v>
      </c>
      <c r="L2112" t="s">
        <v>3454</v>
      </c>
      <c r="M2112">
        <v>425</v>
      </c>
      <c r="N2112">
        <v>55.31</v>
      </c>
      <c r="O2112">
        <v>15433.7</v>
      </c>
      <c r="P2112">
        <v>0</v>
      </c>
      <c r="Q2112">
        <v>15433.7</v>
      </c>
      <c r="R2112">
        <v>2469.39</v>
      </c>
      <c r="S2112">
        <v>617.35</v>
      </c>
      <c r="T2112">
        <v>17285.740000000002</v>
      </c>
      <c r="V2112" t="s">
        <v>9409</v>
      </c>
      <c r="W2112" t="s">
        <v>423</v>
      </c>
    </row>
    <row r="2113" spans="1:23" hidden="1" x14ac:dyDescent="0.2">
      <c r="A2113">
        <v>2012</v>
      </c>
      <c r="B2113" t="s">
        <v>303</v>
      </c>
      <c r="C2113" s="733">
        <v>40936</v>
      </c>
      <c r="D21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13" t="s">
        <v>478</v>
      </c>
      <c r="F2113" t="s">
        <v>2136</v>
      </c>
      <c r="G2113" t="s">
        <v>4995</v>
      </c>
      <c r="H2113">
        <v>34838</v>
      </c>
      <c r="I2113" t="s">
        <v>423</v>
      </c>
      <c r="J2113" t="s">
        <v>3480</v>
      </c>
      <c r="K2113" t="s">
        <v>3481</v>
      </c>
      <c r="L2113" t="s">
        <v>3482</v>
      </c>
      <c r="M2113">
        <v>75</v>
      </c>
      <c r="N2113">
        <v>31.29</v>
      </c>
      <c r="O2113">
        <v>3531.7</v>
      </c>
      <c r="P2113">
        <v>0</v>
      </c>
      <c r="Q2113">
        <v>3531.7</v>
      </c>
      <c r="R2113">
        <v>565.07000000000005</v>
      </c>
      <c r="S2113">
        <v>141.27000000000001</v>
      </c>
      <c r="T2113">
        <v>3955.5</v>
      </c>
      <c r="U2113" t="s">
        <v>3784</v>
      </c>
      <c r="V2113" t="s">
        <v>9408</v>
      </c>
      <c r="W2113" t="s">
        <v>423</v>
      </c>
    </row>
    <row r="2114" spans="1:23" hidden="1" x14ac:dyDescent="0.2">
      <c r="A2114">
        <v>2012</v>
      </c>
      <c r="B2114" t="s">
        <v>303</v>
      </c>
      <c r="C2114" s="733">
        <v>40936</v>
      </c>
      <c r="D21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14" t="s">
        <v>478</v>
      </c>
      <c r="F2114" t="s">
        <v>2136</v>
      </c>
      <c r="G2114" t="s">
        <v>4996</v>
      </c>
      <c r="H2114">
        <v>34841</v>
      </c>
      <c r="I2114" t="s">
        <v>423</v>
      </c>
      <c r="J2114" t="s">
        <v>3480</v>
      </c>
      <c r="K2114" t="s">
        <v>3481</v>
      </c>
      <c r="L2114" t="s">
        <v>3482</v>
      </c>
      <c r="M2114">
        <v>75</v>
      </c>
      <c r="N2114">
        <v>37.53</v>
      </c>
      <c r="O2114">
        <v>4236.01</v>
      </c>
      <c r="P2114">
        <v>0</v>
      </c>
      <c r="Q2114">
        <v>4236.01</v>
      </c>
      <c r="R2114">
        <v>677.76</v>
      </c>
      <c r="S2114">
        <v>169.44</v>
      </c>
      <c r="T2114">
        <v>4744.33</v>
      </c>
      <c r="U2114" t="s">
        <v>3784</v>
      </c>
      <c r="V2114" t="s">
        <v>9408</v>
      </c>
      <c r="W2114" t="s">
        <v>423</v>
      </c>
    </row>
    <row r="2115" spans="1:23" hidden="1" x14ac:dyDescent="0.2">
      <c r="A2115">
        <v>2012</v>
      </c>
      <c r="B2115" t="s">
        <v>304</v>
      </c>
      <c r="C2115" s="733">
        <v>40942</v>
      </c>
      <c r="D21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15" t="s">
        <v>478</v>
      </c>
      <c r="F2115" t="s">
        <v>2136</v>
      </c>
      <c r="G2115" t="s">
        <v>3479</v>
      </c>
      <c r="H2115">
        <v>35306</v>
      </c>
      <c r="I2115" t="s">
        <v>423</v>
      </c>
      <c r="J2115" t="s">
        <v>3480</v>
      </c>
      <c r="K2115" t="s">
        <v>3481</v>
      </c>
      <c r="L2115" t="s">
        <v>3482</v>
      </c>
      <c r="M2115">
        <v>75</v>
      </c>
      <c r="N2115">
        <v>33.950000000000003</v>
      </c>
      <c r="O2115">
        <v>3831.94</v>
      </c>
      <c r="P2115">
        <v>0</v>
      </c>
      <c r="Q2115">
        <v>3831.94</v>
      </c>
      <c r="R2115">
        <v>613.11</v>
      </c>
      <c r="S2115">
        <v>153.28</v>
      </c>
      <c r="T2115">
        <v>4291.7700000000004</v>
      </c>
      <c r="U2115" t="s">
        <v>3483</v>
      </c>
      <c r="V2115" t="s">
        <v>9408</v>
      </c>
      <c r="W2115" t="s">
        <v>423</v>
      </c>
    </row>
    <row r="2116" spans="1:23" hidden="1" x14ac:dyDescent="0.2">
      <c r="A2116">
        <v>2012</v>
      </c>
      <c r="B2116" t="s">
        <v>303</v>
      </c>
      <c r="C2116" s="733">
        <v>40911</v>
      </c>
      <c r="D21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16" t="s">
        <v>485</v>
      </c>
      <c r="F2116" t="s">
        <v>2065</v>
      </c>
      <c r="G2116" t="s">
        <v>5663</v>
      </c>
      <c r="H2116">
        <v>39091</v>
      </c>
      <c r="I2116" t="s">
        <v>423</v>
      </c>
      <c r="J2116" t="s">
        <v>3544</v>
      </c>
      <c r="K2116" t="s">
        <v>2183</v>
      </c>
      <c r="L2116" t="s">
        <v>2184</v>
      </c>
      <c r="M2116">
        <v>430</v>
      </c>
      <c r="N2116">
        <v>24.94</v>
      </c>
      <c r="O2116">
        <v>3321.76</v>
      </c>
      <c r="P2116">
        <v>3739.9363659999999</v>
      </c>
      <c r="Q2116">
        <v>7061.6963660000001</v>
      </c>
      <c r="R2116">
        <v>1129.8714190000001</v>
      </c>
      <c r="S2116">
        <v>282.46785499999999</v>
      </c>
      <c r="T2116">
        <v>7909.0999300000003</v>
      </c>
      <c r="V2116" t="s">
        <v>9409</v>
      </c>
      <c r="W2116" t="s">
        <v>423</v>
      </c>
    </row>
    <row r="2117" spans="1:23" hidden="1" x14ac:dyDescent="0.2">
      <c r="A2117">
        <v>2012</v>
      </c>
      <c r="B2117" t="s">
        <v>304</v>
      </c>
      <c r="C2117" s="733">
        <v>40952</v>
      </c>
      <c r="D21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17" t="s">
        <v>485</v>
      </c>
      <c r="F2117" t="s">
        <v>2065</v>
      </c>
      <c r="G2117" t="s">
        <v>5664</v>
      </c>
      <c r="H2117">
        <v>41741</v>
      </c>
      <c r="I2117" t="s">
        <v>423</v>
      </c>
      <c r="J2117" t="s">
        <v>3544</v>
      </c>
      <c r="K2117" t="s">
        <v>2183</v>
      </c>
      <c r="L2117" t="s">
        <v>2115</v>
      </c>
      <c r="M2117">
        <v>430</v>
      </c>
      <c r="N2117">
        <v>27.04</v>
      </c>
      <c r="O2117">
        <v>8553.83</v>
      </c>
      <c r="P2117">
        <v>0</v>
      </c>
      <c r="Q2117">
        <v>8553.83</v>
      </c>
      <c r="R2117">
        <v>1368.61</v>
      </c>
      <c r="S2117">
        <v>342.15</v>
      </c>
      <c r="T2117">
        <v>9580.2900000000009</v>
      </c>
      <c r="U2117" t="s">
        <v>8048</v>
      </c>
      <c r="V2117" t="s">
        <v>9408</v>
      </c>
      <c r="W2117" t="s">
        <v>423</v>
      </c>
    </row>
    <row r="2118" spans="1:23" hidden="1" x14ac:dyDescent="0.2">
      <c r="A2118">
        <v>2012</v>
      </c>
      <c r="B2118" t="s">
        <v>303</v>
      </c>
      <c r="C2118" s="733">
        <v>40921</v>
      </c>
      <c r="D21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18" t="s">
        <v>478</v>
      </c>
      <c r="F2118" t="s">
        <v>2136</v>
      </c>
      <c r="G2118" t="s">
        <v>6732</v>
      </c>
      <c r="H2118">
        <v>34450</v>
      </c>
      <c r="I2118" t="s">
        <v>423</v>
      </c>
      <c r="J2118" t="s">
        <v>3326</v>
      </c>
      <c r="K2118" t="s">
        <v>425</v>
      </c>
      <c r="L2118" t="s">
        <v>2145</v>
      </c>
      <c r="M2118">
        <v>1218</v>
      </c>
      <c r="N2118">
        <v>21.23</v>
      </c>
      <c r="O2118">
        <v>11624.06</v>
      </c>
      <c r="P2118">
        <v>0</v>
      </c>
      <c r="Q2118">
        <v>11624.06</v>
      </c>
      <c r="R2118">
        <v>1859.85</v>
      </c>
      <c r="S2118">
        <v>464.96</v>
      </c>
      <c r="T2118">
        <v>13018.95</v>
      </c>
      <c r="U2118" t="s">
        <v>2150</v>
      </c>
      <c r="V2118" t="s">
        <v>9408</v>
      </c>
      <c r="W2118" t="s">
        <v>423</v>
      </c>
    </row>
    <row r="2119" spans="1:23" hidden="1" x14ac:dyDescent="0.2">
      <c r="A2119">
        <v>2012</v>
      </c>
      <c r="B2119" t="s">
        <v>304</v>
      </c>
      <c r="C2119" s="733">
        <v>40955</v>
      </c>
      <c r="D21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19" t="s">
        <v>505</v>
      </c>
      <c r="F2119" t="s">
        <v>1915</v>
      </c>
      <c r="G2119" t="s">
        <v>7531</v>
      </c>
      <c r="H2119">
        <v>22781</v>
      </c>
      <c r="I2119" t="s">
        <v>424</v>
      </c>
      <c r="J2119" t="s">
        <v>7532</v>
      </c>
      <c r="K2119" t="s">
        <v>1918</v>
      </c>
      <c r="L2119" t="s">
        <v>1919</v>
      </c>
      <c r="M2119">
        <v>532</v>
      </c>
      <c r="N2119">
        <v>30</v>
      </c>
      <c r="O2119">
        <v>7973.1</v>
      </c>
      <c r="P2119">
        <v>0</v>
      </c>
      <c r="Q2119">
        <v>7973.1</v>
      </c>
      <c r="R2119">
        <v>1275.7</v>
      </c>
      <c r="S2119">
        <v>318.92</v>
      </c>
      <c r="T2119">
        <v>8929.8799999999992</v>
      </c>
      <c r="U2119" t="s">
        <v>7529</v>
      </c>
      <c r="V2119" t="s">
        <v>9408</v>
      </c>
      <c r="W2119" t="s">
        <v>424</v>
      </c>
    </row>
    <row r="2120" spans="1:23" hidden="1" x14ac:dyDescent="0.2">
      <c r="A2120">
        <v>2012</v>
      </c>
      <c r="B2120" t="s">
        <v>305</v>
      </c>
      <c r="C2120" s="733">
        <v>40970</v>
      </c>
      <c r="D2120" s="733" t="str">
        <f>CHOOSE(MONTH(Tabla_sqldatos_bonampakdb_Bon_v_ingresos2012[[#This Row],[fecha_guia]]),"Enero","Febrero","Marzo","Abril","Mayo","Junio","Julio","Agosto","Septiembre","Octubre","Noviembre","Diciembre")</f>
        <v>Marzo</v>
      </c>
      <c r="E2120" t="s">
        <v>485</v>
      </c>
      <c r="F2120" t="s">
        <v>2099</v>
      </c>
      <c r="G2120" t="s">
        <v>9705</v>
      </c>
      <c r="H2120">
        <v>42920</v>
      </c>
      <c r="I2120" t="s">
        <v>423</v>
      </c>
      <c r="J2120" t="s">
        <v>2101</v>
      </c>
      <c r="K2120" t="s">
        <v>2102</v>
      </c>
      <c r="L2120" t="s">
        <v>2103</v>
      </c>
      <c r="M2120">
        <v>119</v>
      </c>
      <c r="N2120">
        <v>25.17</v>
      </c>
      <c r="O2120">
        <v>4221.76</v>
      </c>
      <c r="P2120">
        <v>0</v>
      </c>
      <c r="Q2120">
        <v>4221.76</v>
      </c>
      <c r="R2120">
        <v>675.48</v>
      </c>
      <c r="S2120">
        <v>168.87</v>
      </c>
      <c r="T2120">
        <v>4728.37</v>
      </c>
      <c r="V2120" t="s">
        <v>9408</v>
      </c>
      <c r="W2120" t="s">
        <v>423</v>
      </c>
    </row>
    <row r="2121" spans="1:23" hidden="1" x14ac:dyDescent="0.2">
      <c r="A2121">
        <v>2012</v>
      </c>
      <c r="B2121" t="s">
        <v>304</v>
      </c>
      <c r="C2121" s="733">
        <v>40953</v>
      </c>
      <c r="D21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21" t="s">
        <v>485</v>
      </c>
      <c r="F2121" t="s">
        <v>2048</v>
      </c>
      <c r="G2121" t="s">
        <v>3677</v>
      </c>
      <c r="H2121">
        <v>41882</v>
      </c>
      <c r="I2121" t="s">
        <v>423</v>
      </c>
      <c r="J2121" t="s">
        <v>2050</v>
      </c>
      <c r="K2121" t="s">
        <v>2051</v>
      </c>
      <c r="L2121" t="s">
        <v>2052</v>
      </c>
      <c r="M2121">
        <v>90</v>
      </c>
      <c r="N2121">
        <v>29.3</v>
      </c>
      <c r="O2121">
        <v>4111.08</v>
      </c>
      <c r="P2121">
        <v>0</v>
      </c>
      <c r="Q2121">
        <v>4111.08</v>
      </c>
      <c r="R2121">
        <v>657.77</v>
      </c>
      <c r="S2121">
        <v>164.44</v>
      </c>
      <c r="T2121">
        <v>4604.41</v>
      </c>
      <c r="U2121" t="s">
        <v>8257</v>
      </c>
      <c r="V2121" t="s">
        <v>9408</v>
      </c>
      <c r="W2121" t="s">
        <v>423</v>
      </c>
    </row>
    <row r="2122" spans="1:23" hidden="1" x14ac:dyDescent="0.2">
      <c r="A2122">
        <v>2012</v>
      </c>
      <c r="B2122" t="s">
        <v>304</v>
      </c>
      <c r="C2122" s="733">
        <v>40961</v>
      </c>
      <c r="D21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22" t="s">
        <v>485</v>
      </c>
      <c r="F2122" t="s">
        <v>2065</v>
      </c>
      <c r="G2122" t="s">
        <v>8258</v>
      </c>
      <c r="H2122">
        <v>42296</v>
      </c>
      <c r="I2122" t="s">
        <v>423</v>
      </c>
      <c r="J2122" t="s">
        <v>2050</v>
      </c>
      <c r="K2122" t="s">
        <v>2051</v>
      </c>
      <c r="L2122" t="s">
        <v>2052</v>
      </c>
      <c r="M2122">
        <v>90</v>
      </c>
      <c r="N2122">
        <v>24.95</v>
      </c>
      <c r="O2122">
        <v>3500.73</v>
      </c>
      <c r="P2122">
        <v>0</v>
      </c>
      <c r="Q2122">
        <v>3500.73</v>
      </c>
      <c r="R2122">
        <v>560.12</v>
      </c>
      <c r="S2122">
        <v>140.03</v>
      </c>
      <c r="T2122">
        <v>3920.82</v>
      </c>
      <c r="U2122" t="s">
        <v>8780</v>
      </c>
      <c r="V2122" t="s">
        <v>9408</v>
      </c>
      <c r="W2122" t="s">
        <v>423</v>
      </c>
    </row>
    <row r="2123" spans="1:23" hidden="1" x14ac:dyDescent="0.2">
      <c r="A2123">
        <v>2012</v>
      </c>
      <c r="B2123" t="s">
        <v>303</v>
      </c>
      <c r="C2123" s="733">
        <v>40911</v>
      </c>
      <c r="D21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23" t="s">
        <v>485</v>
      </c>
      <c r="F2123" t="s">
        <v>2048</v>
      </c>
      <c r="G2123" t="s">
        <v>5150</v>
      </c>
      <c r="H2123">
        <v>39717</v>
      </c>
      <c r="I2123" t="s">
        <v>423</v>
      </c>
      <c r="J2123" t="s">
        <v>2050</v>
      </c>
      <c r="K2123" t="s">
        <v>2051</v>
      </c>
      <c r="L2123" t="s">
        <v>2052</v>
      </c>
      <c r="M2123">
        <v>90</v>
      </c>
      <c r="N2123">
        <v>31.3</v>
      </c>
      <c r="O2123">
        <v>1848.89</v>
      </c>
      <c r="P2123">
        <v>2081.6467619999999</v>
      </c>
      <c r="Q2123">
        <v>3930.5367620000002</v>
      </c>
      <c r="R2123">
        <v>628.88588200000004</v>
      </c>
      <c r="S2123">
        <v>157.22147000000001</v>
      </c>
      <c r="T2123">
        <v>4402.2011739999998</v>
      </c>
      <c r="U2123" t="s">
        <v>2089</v>
      </c>
      <c r="V2123" t="s">
        <v>9408</v>
      </c>
      <c r="W2123" t="s">
        <v>423</v>
      </c>
    </row>
    <row r="2124" spans="1:23" hidden="1" x14ac:dyDescent="0.2">
      <c r="A2124">
        <v>2012</v>
      </c>
      <c r="B2124" t="s">
        <v>303</v>
      </c>
      <c r="C2124" s="733">
        <v>40926.511886574073</v>
      </c>
      <c r="D21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24" t="s">
        <v>485</v>
      </c>
      <c r="F2124" t="s">
        <v>2054</v>
      </c>
      <c r="G2124" t="s">
        <v>3663</v>
      </c>
      <c r="H2124">
        <v>10112</v>
      </c>
      <c r="I2124" t="s">
        <v>423</v>
      </c>
      <c r="J2124" t="s">
        <v>2056</v>
      </c>
      <c r="K2124" t="s">
        <v>2057</v>
      </c>
      <c r="L2124" t="s">
        <v>2058</v>
      </c>
      <c r="M2124">
        <v>19</v>
      </c>
      <c r="N2124">
        <v>28.22</v>
      </c>
      <c r="O2124">
        <v>3185.19</v>
      </c>
      <c r="P2124">
        <v>0</v>
      </c>
      <c r="Q2124">
        <v>3185.19</v>
      </c>
      <c r="R2124">
        <v>509.63</v>
      </c>
      <c r="S2124">
        <v>127.41</v>
      </c>
      <c r="T2124">
        <v>3567.41</v>
      </c>
      <c r="U2124" t="s">
        <v>2077</v>
      </c>
      <c r="V2124" t="s">
        <v>9408</v>
      </c>
      <c r="W2124" t="s">
        <v>423</v>
      </c>
    </row>
    <row r="2125" spans="1:23" hidden="1" x14ac:dyDescent="0.2">
      <c r="A2125">
        <v>2012</v>
      </c>
      <c r="B2125" t="s">
        <v>303</v>
      </c>
      <c r="C2125" s="733">
        <v>40919</v>
      </c>
      <c r="D21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25" t="s">
        <v>485</v>
      </c>
      <c r="F2125" t="s">
        <v>2054</v>
      </c>
      <c r="G2125" t="s">
        <v>3680</v>
      </c>
      <c r="H2125">
        <v>9990</v>
      </c>
      <c r="I2125" t="s">
        <v>423</v>
      </c>
      <c r="J2125" t="s">
        <v>2056</v>
      </c>
      <c r="K2125" t="s">
        <v>2057</v>
      </c>
      <c r="L2125" t="s">
        <v>2058</v>
      </c>
      <c r="M2125">
        <v>19</v>
      </c>
      <c r="N2125">
        <v>23.65</v>
      </c>
      <c r="O2125">
        <v>2669.38</v>
      </c>
      <c r="P2125">
        <v>0</v>
      </c>
      <c r="Q2125">
        <v>2669.38</v>
      </c>
      <c r="R2125">
        <v>427.1</v>
      </c>
      <c r="S2125">
        <v>106.78</v>
      </c>
      <c r="T2125">
        <v>2989.7</v>
      </c>
      <c r="U2125" t="s">
        <v>2070</v>
      </c>
      <c r="V2125" t="s">
        <v>9409</v>
      </c>
      <c r="W2125" t="s">
        <v>423</v>
      </c>
    </row>
    <row r="2126" spans="1:23" hidden="1" x14ac:dyDescent="0.2">
      <c r="A2126">
        <v>2012</v>
      </c>
      <c r="B2126" t="s">
        <v>303</v>
      </c>
      <c r="C2126" s="733">
        <v>40928</v>
      </c>
      <c r="D21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26" t="s">
        <v>485</v>
      </c>
      <c r="F2126" t="s">
        <v>2065</v>
      </c>
      <c r="G2126" t="s">
        <v>3673</v>
      </c>
      <c r="H2126">
        <v>40667</v>
      </c>
      <c r="I2126" t="s">
        <v>423</v>
      </c>
      <c r="J2126" t="s">
        <v>2050</v>
      </c>
      <c r="K2126" t="s">
        <v>2051</v>
      </c>
      <c r="L2126" t="s">
        <v>2052</v>
      </c>
      <c r="M2126">
        <v>90</v>
      </c>
      <c r="N2126">
        <v>52.2</v>
      </c>
      <c r="O2126">
        <v>7324.18</v>
      </c>
      <c r="P2126">
        <v>0</v>
      </c>
      <c r="Q2126">
        <v>7324.18</v>
      </c>
      <c r="R2126">
        <v>1171.8699999999999</v>
      </c>
      <c r="S2126">
        <v>292.97000000000003</v>
      </c>
      <c r="T2126">
        <v>8203.08</v>
      </c>
      <c r="U2126" t="s">
        <v>2062</v>
      </c>
      <c r="V2126" t="s">
        <v>9409</v>
      </c>
      <c r="W2126" t="s">
        <v>423</v>
      </c>
    </row>
    <row r="2127" spans="1:23" hidden="1" x14ac:dyDescent="0.2">
      <c r="A2127">
        <v>2012</v>
      </c>
      <c r="B2127" t="s">
        <v>303</v>
      </c>
      <c r="C2127" s="733">
        <v>40932</v>
      </c>
      <c r="D21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27" t="s">
        <v>485</v>
      </c>
      <c r="F2127" t="s">
        <v>2048</v>
      </c>
      <c r="G2127" t="s">
        <v>3687</v>
      </c>
      <c r="H2127">
        <v>40071</v>
      </c>
      <c r="I2127" t="s">
        <v>423</v>
      </c>
      <c r="J2127" t="s">
        <v>2171</v>
      </c>
      <c r="K2127" t="s">
        <v>2051</v>
      </c>
      <c r="L2127" t="s">
        <v>2052</v>
      </c>
      <c r="M2127">
        <v>57</v>
      </c>
      <c r="N2127">
        <v>25.5</v>
      </c>
      <c r="O2127">
        <v>3577.9</v>
      </c>
      <c r="P2127">
        <v>0</v>
      </c>
      <c r="Q2127">
        <v>3577.9</v>
      </c>
      <c r="R2127">
        <v>572.46</v>
      </c>
      <c r="S2127">
        <v>143.12</v>
      </c>
      <c r="T2127">
        <v>4007.24</v>
      </c>
      <c r="V2127" t="s">
        <v>9408</v>
      </c>
      <c r="W2127" t="s">
        <v>423</v>
      </c>
    </row>
    <row r="2128" spans="1:23" hidden="1" x14ac:dyDescent="0.2">
      <c r="A2128">
        <v>2012</v>
      </c>
      <c r="B2128" t="s">
        <v>304</v>
      </c>
      <c r="C2128" s="733">
        <v>40963</v>
      </c>
      <c r="D21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28" t="s">
        <v>478</v>
      </c>
      <c r="F2128" t="s">
        <v>2622</v>
      </c>
      <c r="G2128" t="s">
        <v>9079</v>
      </c>
      <c r="H2128">
        <v>35877</v>
      </c>
      <c r="I2128" t="s">
        <v>423</v>
      </c>
      <c r="J2128" t="s">
        <v>2629</v>
      </c>
      <c r="K2128" t="s">
        <v>2625</v>
      </c>
      <c r="L2128" t="s">
        <v>2626</v>
      </c>
      <c r="M2128">
        <v>33</v>
      </c>
      <c r="N2128">
        <v>24.48</v>
      </c>
      <c r="O2128">
        <v>2855.35</v>
      </c>
      <c r="P2128">
        <v>0</v>
      </c>
      <c r="Q2128">
        <v>2855.35</v>
      </c>
      <c r="R2128">
        <v>456.86</v>
      </c>
      <c r="S2128">
        <v>114.21</v>
      </c>
      <c r="T2128">
        <v>3198</v>
      </c>
      <c r="U2128" t="s">
        <v>9428</v>
      </c>
      <c r="V2128" t="s">
        <v>9408</v>
      </c>
      <c r="W2128" t="s">
        <v>423</v>
      </c>
    </row>
    <row r="2129" spans="1:23" hidden="1" x14ac:dyDescent="0.2">
      <c r="A2129">
        <v>2012</v>
      </c>
      <c r="B2129" t="s">
        <v>303</v>
      </c>
      <c r="C2129" s="733">
        <v>40939.550567129627</v>
      </c>
      <c r="D21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29" t="s">
        <v>478</v>
      </c>
      <c r="F2129" t="s">
        <v>2622</v>
      </c>
      <c r="G2129" t="s">
        <v>4648</v>
      </c>
      <c r="H2129">
        <v>35154</v>
      </c>
      <c r="I2129" t="s">
        <v>423</v>
      </c>
      <c r="J2129" t="s">
        <v>2629</v>
      </c>
      <c r="K2129" t="s">
        <v>2625</v>
      </c>
      <c r="L2129" t="s">
        <v>2626</v>
      </c>
      <c r="M2129">
        <v>33</v>
      </c>
      <c r="N2129">
        <v>24.78</v>
      </c>
      <c r="O2129">
        <v>2890.34</v>
      </c>
      <c r="P2129">
        <v>0</v>
      </c>
      <c r="Q2129">
        <v>2890.34</v>
      </c>
      <c r="R2129">
        <v>462.45</v>
      </c>
      <c r="S2129">
        <v>115.61</v>
      </c>
      <c r="T2129">
        <v>3237.18</v>
      </c>
      <c r="U2129" t="s">
        <v>2648</v>
      </c>
      <c r="V2129" t="s">
        <v>9408</v>
      </c>
      <c r="W2129" t="s">
        <v>423</v>
      </c>
    </row>
    <row r="2130" spans="1:23" hidden="1" x14ac:dyDescent="0.2">
      <c r="A2130">
        <v>2012</v>
      </c>
      <c r="B2130" t="s">
        <v>303</v>
      </c>
      <c r="C2130" s="733">
        <v>40918</v>
      </c>
      <c r="D21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30" t="s">
        <v>478</v>
      </c>
      <c r="F2130" t="s">
        <v>2136</v>
      </c>
      <c r="G2130" t="s">
        <v>4436</v>
      </c>
      <c r="H2130">
        <v>34369</v>
      </c>
      <c r="I2130" t="s">
        <v>423</v>
      </c>
      <c r="J2130" t="s">
        <v>2629</v>
      </c>
      <c r="K2130" t="s">
        <v>2625</v>
      </c>
      <c r="L2130" t="s">
        <v>2626</v>
      </c>
      <c r="M2130">
        <v>33</v>
      </c>
      <c r="N2130">
        <v>24.99</v>
      </c>
      <c r="O2130">
        <v>2914.83</v>
      </c>
      <c r="P2130">
        <v>0</v>
      </c>
      <c r="Q2130">
        <v>2914.83</v>
      </c>
      <c r="R2130">
        <v>466.37</v>
      </c>
      <c r="S2130">
        <v>116.59</v>
      </c>
      <c r="T2130">
        <v>3264.61</v>
      </c>
      <c r="U2130" t="s">
        <v>2627</v>
      </c>
      <c r="V2130" t="s">
        <v>9408</v>
      </c>
      <c r="W2130" t="s">
        <v>423</v>
      </c>
    </row>
    <row r="2131" spans="1:23" hidden="1" x14ac:dyDescent="0.2">
      <c r="A2131">
        <v>2012</v>
      </c>
      <c r="B2131" t="s">
        <v>304</v>
      </c>
      <c r="C2131" s="733">
        <v>40940</v>
      </c>
      <c r="D21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31" t="s">
        <v>485</v>
      </c>
      <c r="F2131" t="s">
        <v>2065</v>
      </c>
      <c r="G2131" t="s">
        <v>3901</v>
      </c>
      <c r="H2131">
        <v>41186</v>
      </c>
      <c r="I2131" t="s">
        <v>423</v>
      </c>
      <c r="J2131" t="s">
        <v>2186</v>
      </c>
      <c r="K2131" t="s">
        <v>2183</v>
      </c>
      <c r="L2131" t="s">
        <v>2184</v>
      </c>
      <c r="M2131">
        <v>19</v>
      </c>
      <c r="N2131">
        <v>15.45</v>
      </c>
      <c r="O2131">
        <v>2288.7600000000002</v>
      </c>
      <c r="P2131">
        <v>0</v>
      </c>
      <c r="Q2131">
        <v>2288.7600000000002</v>
      </c>
      <c r="R2131">
        <v>366.2</v>
      </c>
      <c r="S2131">
        <v>91.55</v>
      </c>
      <c r="T2131">
        <v>2563.41</v>
      </c>
      <c r="U2131" t="s">
        <v>2192</v>
      </c>
      <c r="V2131" t="s">
        <v>9408</v>
      </c>
      <c r="W2131" t="s">
        <v>423</v>
      </c>
    </row>
    <row r="2132" spans="1:23" hidden="1" x14ac:dyDescent="0.2">
      <c r="A2132">
        <v>2012</v>
      </c>
      <c r="B2132" t="s">
        <v>304</v>
      </c>
      <c r="C2132" s="733">
        <v>40940</v>
      </c>
      <c r="D21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32" t="s">
        <v>485</v>
      </c>
      <c r="F2132" t="s">
        <v>2065</v>
      </c>
      <c r="G2132" t="s">
        <v>3910</v>
      </c>
      <c r="H2132">
        <v>41060</v>
      </c>
      <c r="I2132" t="s">
        <v>423</v>
      </c>
      <c r="J2132" t="s">
        <v>2189</v>
      </c>
      <c r="K2132" t="s">
        <v>2183</v>
      </c>
      <c r="L2132" t="s">
        <v>2184</v>
      </c>
      <c r="M2132">
        <v>720</v>
      </c>
      <c r="N2132">
        <v>25.44</v>
      </c>
      <c r="O2132">
        <v>11292.56</v>
      </c>
      <c r="P2132">
        <v>0</v>
      </c>
      <c r="Q2132">
        <v>11292.56</v>
      </c>
      <c r="R2132">
        <v>1806.81</v>
      </c>
      <c r="S2132">
        <v>451.7</v>
      </c>
      <c r="T2132">
        <v>12647.67</v>
      </c>
      <c r="U2132" t="s">
        <v>9411</v>
      </c>
      <c r="V2132" t="s">
        <v>9408</v>
      </c>
      <c r="W2132" t="s">
        <v>423</v>
      </c>
    </row>
    <row r="2133" spans="1:23" hidden="1" x14ac:dyDescent="0.2">
      <c r="A2133">
        <v>2012</v>
      </c>
      <c r="B2133" t="s">
        <v>303</v>
      </c>
      <c r="C2133" s="733">
        <v>40918</v>
      </c>
      <c r="D21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33" t="s">
        <v>478</v>
      </c>
      <c r="F2133" t="s">
        <v>2136</v>
      </c>
      <c r="G2133" t="s">
        <v>4439</v>
      </c>
      <c r="H2133">
        <v>34367</v>
      </c>
      <c r="I2133" t="s">
        <v>423</v>
      </c>
      <c r="J2133" t="s">
        <v>2629</v>
      </c>
      <c r="K2133" t="s">
        <v>2625</v>
      </c>
      <c r="L2133" t="s">
        <v>2626</v>
      </c>
      <c r="M2133">
        <v>33</v>
      </c>
      <c r="N2133">
        <v>22.66</v>
      </c>
      <c r="O2133">
        <v>2643.06</v>
      </c>
      <c r="P2133">
        <v>0</v>
      </c>
      <c r="Q2133">
        <v>2643.06</v>
      </c>
      <c r="R2133">
        <v>422.89</v>
      </c>
      <c r="S2133">
        <v>105.72</v>
      </c>
      <c r="T2133">
        <v>2960.23</v>
      </c>
      <c r="U2133" t="s">
        <v>2627</v>
      </c>
      <c r="V2133" t="s">
        <v>9408</v>
      </c>
      <c r="W2133" t="s">
        <v>423</v>
      </c>
    </row>
    <row r="2134" spans="1:23" hidden="1" x14ac:dyDescent="0.2">
      <c r="A2134">
        <v>2012</v>
      </c>
      <c r="B2134" t="s">
        <v>304</v>
      </c>
      <c r="C2134" s="733">
        <v>40940.758287037039</v>
      </c>
      <c r="D21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34" t="s">
        <v>478</v>
      </c>
      <c r="F2134" t="s">
        <v>2136</v>
      </c>
      <c r="G2134" t="s">
        <v>4438</v>
      </c>
      <c r="H2134">
        <v>35221</v>
      </c>
      <c r="I2134" t="s">
        <v>423</v>
      </c>
      <c r="J2134" t="s">
        <v>2629</v>
      </c>
      <c r="K2134" t="s">
        <v>2625</v>
      </c>
      <c r="L2134" t="s">
        <v>2626</v>
      </c>
      <c r="M2134">
        <v>33</v>
      </c>
      <c r="N2134">
        <v>20.92</v>
      </c>
      <c r="O2134">
        <v>2440.11</v>
      </c>
      <c r="P2134">
        <v>0</v>
      </c>
      <c r="Q2134">
        <v>2440.11</v>
      </c>
      <c r="R2134">
        <v>390.42</v>
      </c>
      <c r="S2134">
        <v>97.6</v>
      </c>
      <c r="T2134">
        <v>2732.93</v>
      </c>
      <c r="U2134" t="s">
        <v>2652</v>
      </c>
      <c r="V2134" t="s">
        <v>9408</v>
      </c>
      <c r="W2134" t="s">
        <v>423</v>
      </c>
    </row>
    <row r="2135" spans="1:23" hidden="1" x14ac:dyDescent="0.2">
      <c r="A2135">
        <v>2012</v>
      </c>
      <c r="B2135" t="s">
        <v>303</v>
      </c>
      <c r="C2135" s="733">
        <v>40927</v>
      </c>
      <c r="D21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35" t="s">
        <v>478</v>
      </c>
      <c r="F2135" t="s">
        <v>2622</v>
      </c>
      <c r="G2135" t="s">
        <v>4427</v>
      </c>
      <c r="H2135">
        <v>34636</v>
      </c>
      <c r="I2135" t="s">
        <v>423</v>
      </c>
      <c r="J2135" t="s">
        <v>2629</v>
      </c>
      <c r="K2135" t="s">
        <v>2625</v>
      </c>
      <c r="L2135" t="s">
        <v>2626</v>
      </c>
      <c r="M2135">
        <v>33</v>
      </c>
      <c r="N2135">
        <v>23.43</v>
      </c>
      <c r="O2135">
        <v>2732.88</v>
      </c>
      <c r="P2135">
        <v>0</v>
      </c>
      <c r="Q2135">
        <v>2732.88</v>
      </c>
      <c r="R2135">
        <v>437.26</v>
      </c>
      <c r="S2135">
        <v>109.32</v>
      </c>
      <c r="T2135">
        <v>3060.82</v>
      </c>
      <c r="U2135" t="s">
        <v>2635</v>
      </c>
      <c r="V2135" t="s">
        <v>9408</v>
      </c>
      <c r="W2135" t="s">
        <v>423</v>
      </c>
    </row>
    <row r="2136" spans="1:23" hidden="1" x14ac:dyDescent="0.2">
      <c r="A2136">
        <v>2012</v>
      </c>
      <c r="B2136" t="s">
        <v>303</v>
      </c>
      <c r="C2136" s="733">
        <v>40914.877592592595</v>
      </c>
      <c r="D21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36" t="s">
        <v>478</v>
      </c>
      <c r="F2136" t="s">
        <v>2622</v>
      </c>
      <c r="G2136" t="s">
        <v>4426</v>
      </c>
      <c r="H2136">
        <v>34296</v>
      </c>
      <c r="I2136" t="s">
        <v>423</v>
      </c>
      <c r="J2136" t="s">
        <v>2629</v>
      </c>
      <c r="K2136" t="s">
        <v>2625</v>
      </c>
      <c r="L2136" t="s">
        <v>2626</v>
      </c>
      <c r="M2136">
        <v>33</v>
      </c>
      <c r="N2136">
        <v>24.46</v>
      </c>
      <c r="O2136">
        <v>2853.01</v>
      </c>
      <c r="P2136">
        <v>0</v>
      </c>
      <c r="Q2136">
        <v>2853.01</v>
      </c>
      <c r="R2136">
        <v>456.48</v>
      </c>
      <c r="S2136">
        <v>114.12</v>
      </c>
      <c r="T2136">
        <v>3195.37</v>
      </c>
      <c r="U2136" t="s">
        <v>2627</v>
      </c>
      <c r="V2136" t="s">
        <v>9408</v>
      </c>
      <c r="W2136" t="s">
        <v>423</v>
      </c>
    </row>
    <row r="2137" spans="1:23" hidden="1" x14ac:dyDescent="0.2">
      <c r="A2137">
        <v>2012</v>
      </c>
      <c r="B2137" t="s">
        <v>303</v>
      </c>
      <c r="C2137" s="733">
        <v>40914.856504629628</v>
      </c>
      <c r="D21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37" t="s">
        <v>478</v>
      </c>
      <c r="F2137" t="s">
        <v>2622</v>
      </c>
      <c r="G2137" t="s">
        <v>4424</v>
      </c>
      <c r="H2137">
        <v>34290</v>
      </c>
      <c r="I2137" t="s">
        <v>423</v>
      </c>
      <c r="J2137" t="s">
        <v>2629</v>
      </c>
      <c r="K2137" t="s">
        <v>2625</v>
      </c>
      <c r="L2137" t="s">
        <v>2626</v>
      </c>
      <c r="M2137">
        <v>33</v>
      </c>
      <c r="N2137">
        <v>23</v>
      </c>
      <c r="O2137">
        <v>2682.72</v>
      </c>
      <c r="P2137">
        <v>0</v>
      </c>
      <c r="Q2137">
        <v>2682.72</v>
      </c>
      <c r="R2137">
        <v>429.24</v>
      </c>
      <c r="S2137">
        <v>107.31</v>
      </c>
      <c r="T2137">
        <v>3004.65</v>
      </c>
      <c r="U2137" t="s">
        <v>2635</v>
      </c>
      <c r="V2137" t="s">
        <v>9408</v>
      </c>
      <c r="W2137" t="s">
        <v>423</v>
      </c>
    </row>
    <row r="2138" spans="1:23" hidden="1" x14ac:dyDescent="0.2">
      <c r="A2138">
        <v>2012</v>
      </c>
      <c r="B2138" t="s">
        <v>303</v>
      </c>
      <c r="C2138" s="733">
        <v>40935</v>
      </c>
      <c r="D21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38" t="s">
        <v>485</v>
      </c>
      <c r="F2138" t="s">
        <v>2099</v>
      </c>
      <c r="G2138" t="s">
        <v>3012</v>
      </c>
      <c r="H2138">
        <v>41012</v>
      </c>
      <c r="I2138" t="s">
        <v>423</v>
      </c>
      <c r="J2138" t="s">
        <v>2141</v>
      </c>
      <c r="K2138" t="s">
        <v>2102</v>
      </c>
      <c r="L2138" t="s">
        <v>2103</v>
      </c>
      <c r="M2138">
        <v>114</v>
      </c>
      <c r="N2138">
        <v>24.52</v>
      </c>
      <c r="O2138">
        <v>3939.87</v>
      </c>
      <c r="P2138">
        <v>0</v>
      </c>
      <c r="Q2138">
        <v>3939.87</v>
      </c>
      <c r="R2138">
        <v>630.38</v>
      </c>
      <c r="S2138">
        <v>157.59</v>
      </c>
      <c r="T2138">
        <v>4412.66</v>
      </c>
      <c r="U2138" t="s">
        <v>2110</v>
      </c>
      <c r="V2138" t="s">
        <v>9408</v>
      </c>
      <c r="W2138" t="s">
        <v>423</v>
      </c>
    </row>
    <row r="2139" spans="1:23" hidden="1" x14ac:dyDescent="0.2">
      <c r="A2139">
        <v>2012</v>
      </c>
      <c r="B2139" t="s">
        <v>304</v>
      </c>
      <c r="C2139" s="733">
        <v>40959</v>
      </c>
      <c r="D21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39" t="s">
        <v>478</v>
      </c>
      <c r="F2139" t="s">
        <v>2136</v>
      </c>
      <c r="G2139" t="s">
        <v>8119</v>
      </c>
      <c r="H2139">
        <v>35621</v>
      </c>
      <c r="I2139" t="s">
        <v>423</v>
      </c>
      <c r="J2139" t="s">
        <v>3638</v>
      </c>
      <c r="K2139" t="s">
        <v>425</v>
      </c>
      <c r="L2139" t="s">
        <v>2145</v>
      </c>
      <c r="M2139">
        <v>1416</v>
      </c>
      <c r="N2139">
        <v>42.51</v>
      </c>
      <c r="O2139">
        <v>38547.64</v>
      </c>
      <c r="P2139">
        <v>0</v>
      </c>
      <c r="Q2139">
        <v>38547.64</v>
      </c>
      <c r="R2139">
        <v>6167.62</v>
      </c>
      <c r="S2139">
        <v>1541.91</v>
      </c>
      <c r="T2139">
        <v>43173.35</v>
      </c>
      <c r="U2139" t="s">
        <v>8252</v>
      </c>
      <c r="V2139" t="s">
        <v>9409</v>
      </c>
      <c r="W2139" t="s">
        <v>423</v>
      </c>
    </row>
    <row r="2140" spans="1:23" hidden="1" x14ac:dyDescent="0.2">
      <c r="A2140">
        <v>2012</v>
      </c>
      <c r="B2140" t="s">
        <v>304</v>
      </c>
      <c r="C2140" s="733">
        <v>40961.605509259258</v>
      </c>
      <c r="D21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40" t="s">
        <v>485</v>
      </c>
      <c r="F2140" t="s">
        <v>2099</v>
      </c>
      <c r="G2140" t="s">
        <v>8274</v>
      </c>
      <c r="H2140">
        <v>42406</v>
      </c>
      <c r="I2140" t="s">
        <v>423</v>
      </c>
      <c r="J2140" t="s">
        <v>2141</v>
      </c>
      <c r="K2140" t="s">
        <v>2102</v>
      </c>
      <c r="L2140" t="s">
        <v>2103</v>
      </c>
      <c r="M2140">
        <v>114</v>
      </c>
      <c r="N2140">
        <v>24.26</v>
      </c>
      <c r="O2140">
        <v>3898.1</v>
      </c>
      <c r="P2140">
        <v>0</v>
      </c>
      <c r="Q2140">
        <v>3898.1</v>
      </c>
      <c r="R2140">
        <v>623.70000000000005</v>
      </c>
      <c r="S2140">
        <v>155.91999999999999</v>
      </c>
      <c r="T2140">
        <v>4365.88</v>
      </c>
      <c r="U2140" t="s">
        <v>8883</v>
      </c>
      <c r="V2140" t="s">
        <v>9408</v>
      </c>
      <c r="W2140" t="s">
        <v>423</v>
      </c>
    </row>
    <row r="2141" spans="1:23" hidden="1" x14ac:dyDescent="0.2">
      <c r="A2141">
        <v>2012</v>
      </c>
      <c r="B2141" t="s">
        <v>304</v>
      </c>
      <c r="C2141" s="733">
        <v>40966</v>
      </c>
      <c r="D21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41" t="s">
        <v>485</v>
      </c>
      <c r="F2141" t="s">
        <v>2099</v>
      </c>
      <c r="G2141" t="s">
        <v>9080</v>
      </c>
      <c r="H2141">
        <v>42700</v>
      </c>
      <c r="I2141" t="s">
        <v>423</v>
      </c>
      <c r="J2141" t="s">
        <v>2141</v>
      </c>
      <c r="K2141" t="s">
        <v>2102</v>
      </c>
      <c r="L2141" t="s">
        <v>2103</v>
      </c>
      <c r="M2141">
        <v>114</v>
      </c>
      <c r="N2141">
        <v>24.73</v>
      </c>
      <c r="O2141">
        <v>3973.62</v>
      </c>
      <c r="P2141">
        <v>0</v>
      </c>
      <c r="Q2141">
        <v>3973.62</v>
      </c>
      <c r="R2141">
        <v>635.78</v>
      </c>
      <c r="S2141">
        <v>158.94</v>
      </c>
      <c r="T2141">
        <v>4450.46</v>
      </c>
      <c r="U2141" t="s">
        <v>8883</v>
      </c>
      <c r="V2141" t="s">
        <v>9408</v>
      </c>
      <c r="W2141" t="s">
        <v>423</v>
      </c>
    </row>
    <row r="2142" spans="1:23" hidden="1" x14ac:dyDescent="0.2">
      <c r="A2142">
        <v>2012</v>
      </c>
      <c r="B2142" t="s">
        <v>304</v>
      </c>
      <c r="C2142" s="733">
        <v>40949</v>
      </c>
      <c r="D21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42" t="s">
        <v>485</v>
      </c>
      <c r="F2142" t="s">
        <v>2065</v>
      </c>
      <c r="G2142" t="s">
        <v>5300</v>
      </c>
      <c r="H2142">
        <v>41695</v>
      </c>
      <c r="I2142" t="s">
        <v>423</v>
      </c>
      <c r="J2142" t="s">
        <v>2141</v>
      </c>
      <c r="K2142" t="s">
        <v>2102</v>
      </c>
      <c r="L2142" t="s">
        <v>2103</v>
      </c>
      <c r="M2142">
        <v>114</v>
      </c>
      <c r="N2142">
        <v>32.700000000000003</v>
      </c>
      <c r="O2142">
        <v>5254.24</v>
      </c>
      <c r="P2142">
        <v>0</v>
      </c>
      <c r="Q2142">
        <v>5254.24</v>
      </c>
      <c r="R2142">
        <v>840.68</v>
      </c>
      <c r="S2142">
        <v>210.17</v>
      </c>
      <c r="T2142">
        <v>5884.75</v>
      </c>
      <c r="U2142" t="s">
        <v>7462</v>
      </c>
      <c r="V2142" t="s">
        <v>9408</v>
      </c>
      <c r="W2142" t="s">
        <v>423</v>
      </c>
    </row>
    <row r="2143" spans="1:23" hidden="1" x14ac:dyDescent="0.2">
      <c r="A2143">
        <v>2012</v>
      </c>
      <c r="B2143" t="s">
        <v>304</v>
      </c>
      <c r="C2143" s="733">
        <v>40952</v>
      </c>
      <c r="D21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43" t="s">
        <v>478</v>
      </c>
      <c r="F2143" t="s">
        <v>2136</v>
      </c>
      <c r="G2143" t="s">
        <v>5297</v>
      </c>
      <c r="H2143">
        <v>35476</v>
      </c>
      <c r="I2143" t="s">
        <v>423</v>
      </c>
      <c r="J2143" t="s">
        <v>2144</v>
      </c>
      <c r="K2143" t="s">
        <v>425</v>
      </c>
      <c r="L2143" t="s">
        <v>2145</v>
      </c>
      <c r="M2143">
        <v>1354</v>
      </c>
      <c r="N2143">
        <v>42.07</v>
      </c>
      <c r="O2143">
        <v>38148.660000000003</v>
      </c>
      <c r="P2143">
        <v>0</v>
      </c>
      <c r="Q2143">
        <v>38148.660000000003</v>
      </c>
      <c r="R2143">
        <v>6103.78</v>
      </c>
      <c r="S2143">
        <v>1525.95</v>
      </c>
      <c r="T2143">
        <v>42726.49</v>
      </c>
      <c r="U2143" t="s">
        <v>7523</v>
      </c>
      <c r="V2143" t="s">
        <v>9409</v>
      </c>
      <c r="W2143" t="s">
        <v>423</v>
      </c>
    </row>
    <row r="2144" spans="1:23" hidden="1" x14ac:dyDescent="0.2">
      <c r="A2144">
        <v>2012</v>
      </c>
      <c r="B2144" t="s">
        <v>303</v>
      </c>
      <c r="C2144" s="733">
        <v>40920</v>
      </c>
      <c r="D21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44" t="s">
        <v>478</v>
      </c>
      <c r="F2144" t="s">
        <v>2136</v>
      </c>
      <c r="G2144" t="s">
        <v>5298</v>
      </c>
      <c r="H2144">
        <v>34378</v>
      </c>
      <c r="I2144" t="s">
        <v>423</v>
      </c>
      <c r="J2144" t="s">
        <v>2144</v>
      </c>
      <c r="K2144" t="s">
        <v>425</v>
      </c>
      <c r="L2144" t="s">
        <v>2145</v>
      </c>
      <c r="M2144">
        <v>1354</v>
      </c>
      <c r="N2144">
        <v>54.54</v>
      </c>
      <c r="O2144">
        <v>49456.33</v>
      </c>
      <c r="P2144">
        <v>0</v>
      </c>
      <c r="Q2144">
        <v>49456.33</v>
      </c>
      <c r="R2144">
        <v>7913.01</v>
      </c>
      <c r="S2144">
        <v>1978.25</v>
      </c>
      <c r="T2144">
        <v>55391.09</v>
      </c>
      <c r="U2144" t="s">
        <v>2350</v>
      </c>
      <c r="V2144" t="s">
        <v>9409</v>
      </c>
      <c r="W2144" t="s">
        <v>423</v>
      </c>
    </row>
    <row r="2145" spans="1:23" hidden="1" x14ac:dyDescent="0.2">
      <c r="A2145">
        <v>2012</v>
      </c>
      <c r="B2145" t="s">
        <v>303</v>
      </c>
      <c r="C2145" s="733">
        <v>40926</v>
      </c>
      <c r="D21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45" t="s">
        <v>478</v>
      </c>
      <c r="F2145" t="s">
        <v>2136</v>
      </c>
      <c r="G2145" t="s">
        <v>5312</v>
      </c>
      <c r="H2145">
        <v>34519</v>
      </c>
      <c r="I2145" t="s">
        <v>423</v>
      </c>
      <c r="J2145" t="s">
        <v>2144</v>
      </c>
      <c r="K2145" t="s">
        <v>425</v>
      </c>
      <c r="L2145" t="s">
        <v>2145</v>
      </c>
      <c r="M2145">
        <v>1354</v>
      </c>
      <c r="N2145">
        <v>47.76</v>
      </c>
      <c r="O2145">
        <v>43308.29</v>
      </c>
      <c r="P2145">
        <v>0</v>
      </c>
      <c r="Q2145">
        <v>43308.29</v>
      </c>
      <c r="R2145">
        <v>6929.33</v>
      </c>
      <c r="S2145">
        <v>1732.33</v>
      </c>
      <c r="T2145">
        <v>48505.29</v>
      </c>
      <c r="U2145" t="s">
        <v>2146</v>
      </c>
      <c r="V2145" t="s">
        <v>9409</v>
      </c>
      <c r="W2145" t="s">
        <v>423</v>
      </c>
    </row>
    <row r="2146" spans="1:23" hidden="1" x14ac:dyDescent="0.2">
      <c r="A2146">
        <v>2012</v>
      </c>
      <c r="B2146" t="s">
        <v>304</v>
      </c>
      <c r="C2146" s="733">
        <v>40966</v>
      </c>
      <c r="D21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46" t="s">
        <v>478</v>
      </c>
      <c r="F2146" t="s">
        <v>2136</v>
      </c>
      <c r="G2146" t="s">
        <v>9262</v>
      </c>
      <c r="H2146">
        <v>35965</v>
      </c>
      <c r="I2146" t="s">
        <v>423</v>
      </c>
      <c r="J2146" t="s">
        <v>2144</v>
      </c>
      <c r="K2146" t="s">
        <v>425</v>
      </c>
      <c r="L2146" t="s">
        <v>2145</v>
      </c>
      <c r="M2146">
        <v>1354</v>
      </c>
      <c r="N2146">
        <v>40.11</v>
      </c>
      <c r="O2146">
        <v>36371.35</v>
      </c>
      <c r="P2146">
        <v>0</v>
      </c>
      <c r="Q2146">
        <v>36371.35</v>
      </c>
      <c r="R2146">
        <v>5819.42</v>
      </c>
      <c r="S2146">
        <v>1454.85</v>
      </c>
      <c r="T2146">
        <v>40735.919999999998</v>
      </c>
      <c r="U2146" t="s">
        <v>9430</v>
      </c>
      <c r="V2146" t="s">
        <v>9409</v>
      </c>
      <c r="W2146" t="s">
        <v>423</v>
      </c>
    </row>
    <row r="2147" spans="1:23" hidden="1" x14ac:dyDescent="0.2">
      <c r="A2147">
        <v>2012</v>
      </c>
      <c r="B2147" t="s">
        <v>304</v>
      </c>
      <c r="C2147" s="733">
        <v>40956.434444444443</v>
      </c>
      <c r="D21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47" t="s">
        <v>485</v>
      </c>
      <c r="F2147" t="s">
        <v>2065</v>
      </c>
      <c r="G2147" t="s">
        <v>7518</v>
      </c>
      <c r="H2147">
        <v>42114</v>
      </c>
      <c r="I2147" t="s">
        <v>423</v>
      </c>
      <c r="J2147" t="s">
        <v>2186</v>
      </c>
      <c r="K2147" t="s">
        <v>2183</v>
      </c>
      <c r="L2147" t="s">
        <v>2184</v>
      </c>
      <c r="M2147">
        <v>19</v>
      </c>
      <c r="N2147">
        <v>16.2</v>
      </c>
      <c r="O2147">
        <v>1828.49</v>
      </c>
      <c r="P2147">
        <v>0</v>
      </c>
      <c r="Q2147">
        <v>1828.49</v>
      </c>
      <c r="R2147">
        <v>292.56</v>
      </c>
      <c r="S2147">
        <v>73.14</v>
      </c>
      <c r="T2147">
        <v>2047.91</v>
      </c>
      <c r="U2147" t="s">
        <v>8048</v>
      </c>
      <c r="V2147" t="s">
        <v>9408</v>
      </c>
      <c r="W2147" t="s">
        <v>423</v>
      </c>
    </row>
    <row r="2148" spans="1:23" hidden="1" x14ac:dyDescent="0.2">
      <c r="A2148">
        <v>2012</v>
      </c>
      <c r="B2148" t="s">
        <v>304</v>
      </c>
      <c r="C2148" s="733">
        <v>40952</v>
      </c>
      <c r="D21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48" t="s">
        <v>478</v>
      </c>
      <c r="F2148" t="s">
        <v>2136</v>
      </c>
      <c r="G2148" t="s">
        <v>7090</v>
      </c>
      <c r="H2148">
        <v>35436</v>
      </c>
      <c r="I2148" t="s">
        <v>423</v>
      </c>
      <c r="J2148" t="s">
        <v>4282</v>
      </c>
      <c r="K2148" t="s">
        <v>425</v>
      </c>
      <c r="L2148" t="s">
        <v>2145</v>
      </c>
      <c r="M2148">
        <v>1405</v>
      </c>
      <c r="N2148">
        <v>43.3</v>
      </c>
      <c r="O2148">
        <v>43707.89</v>
      </c>
      <c r="P2148">
        <v>0</v>
      </c>
      <c r="Q2148">
        <v>43707.89</v>
      </c>
      <c r="R2148">
        <v>6993.26</v>
      </c>
      <c r="S2148">
        <v>1748.32</v>
      </c>
      <c r="T2148">
        <v>48952.83</v>
      </c>
      <c r="U2148" t="s">
        <v>7523</v>
      </c>
      <c r="V2148" t="s">
        <v>9409</v>
      </c>
      <c r="W2148" t="s">
        <v>423</v>
      </c>
    </row>
    <row r="2149" spans="1:23" hidden="1" x14ac:dyDescent="0.2">
      <c r="A2149">
        <v>2012</v>
      </c>
      <c r="B2149" t="s">
        <v>304</v>
      </c>
      <c r="C2149" s="733">
        <v>40968</v>
      </c>
      <c r="D21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49" t="s">
        <v>478</v>
      </c>
      <c r="F2149" t="s">
        <v>2622</v>
      </c>
      <c r="G2149" t="s">
        <v>9616</v>
      </c>
      <c r="H2149">
        <v>35958</v>
      </c>
      <c r="I2149" t="s">
        <v>423</v>
      </c>
      <c r="J2149" t="s">
        <v>4282</v>
      </c>
      <c r="K2149" t="s">
        <v>425</v>
      </c>
      <c r="L2149" t="s">
        <v>2145</v>
      </c>
      <c r="M2149">
        <v>1405</v>
      </c>
      <c r="N2149">
        <v>43.57</v>
      </c>
      <c r="O2149">
        <v>43980.43</v>
      </c>
      <c r="P2149">
        <v>0</v>
      </c>
      <c r="Q2149">
        <v>43980.43</v>
      </c>
      <c r="R2149">
        <v>7036.87</v>
      </c>
      <c r="S2149">
        <v>1759.22</v>
      </c>
      <c r="T2149">
        <v>49258.080000000002</v>
      </c>
      <c r="U2149" t="s">
        <v>9430</v>
      </c>
      <c r="V2149" t="s">
        <v>9409</v>
      </c>
      <c r="W2149" t="s">
        <v>423</v>
      </c>
    </row>
    <row r="2150" spans="1:23" hidden="1" x14ac:dyDescent="0.2">
      <c r="A2150">
        <v>2012</v>
      </c>
      <c r="B2150" t="s">
        <v>304</v>
      </c>
      <c r="C2150" s="733">
        <v>40942</v>
      </c>
      <c r="D21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50" t="s">
        <v>478</v>
      </c>
      <c r="F2150" t="s">
        <v>2136</v>
      </c>
      <c r="G2150" t="s">
        <v>7103</v>
      </c>
      <c r="H2150">
        <v>35272</v>
      </c>
      <c r="I2150" t="s">
        <v>423</v>
      </c>
      <c r="J2150" t="s">
        <v>4285</v>
      </c>
      <c r="K2150" t="s">
        <v>425</v>
      </c>
      <c r="L2150" t="s">
        <v>2145</v>
      </c>
      <c r="M2150">
        <v>110</v>
      </c>
      <c r="N2150">
        <v>23.2</v>
      </c>
      <c r="O2150">
        <v>3874.86</v>
      </c>
      <c r="P2150">
        <v>0</v>
      </c>
      <c r="Q2150">
        <v>3874.86</v>
      </c>
      <c r="R2150">
        <v>619.98</v>
      </c>
      <c r="S2150">
        <v>154.99</v>
      </c>
      <c r="T2150">
        <v>4339.8500000000004</v>
      </c>
      <c r="U2150" t="s">
        <v>3115</v>
      </c>
      <c r="V2150" t="s">
        <v>9409</v>
      </c>
      <c r="W2150" t="s">
        <v>423</v>
      </c>
    </row>
    <row r="2151" spans="1:23" hidden="1" x14ac:dyDescent="0.2">
      <c r="A2151">
        <v>2012</v>
      </c>
      <c r="B2151" t="s">
        <v>304</v>
      </c>
      <c r="C2151" s="733">
        <v>40940</v>
      </c>
      <c r="D21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51" t="s">
        <v>485</v>
      </c>
      <c r="F2151" t="s">
        <v>2065</v>
      </c>
      <c r="G2151" t="s">
        <v>5337</v>
      </c>
      <c r="H2151">
        <v>39928</v>
      </c>
      <c r="I2151" t="s">
        <v>423</v>
      </c>
      <c r="J2151" t="s">
        <v>2189</v>
      </c>
      <c r="K2151" t="s">
        <v>2183</v>
      </c>
      <c r="L2151" t="s">
        <v>2184</v>
      </c>
      <c r="M2151">
        <v>720</v>
      </c>
      <c r="N2151">
        <v>25.91</v>
      </c>
      <c r="O2151">
        <v>11501.19</v>
      </c>
      <c r="P2151">
        <v>0</v>
      </c>
      <c r="Q2151">
        <v>11501.19</v>
      </c>
      <c r="R2151">
        <v>1840.19</v>
      </c>
      <c r="S2151">
        <v>460.05</v>
      </c>
      <c r="T2151">
        <v>12881.33</v>
      </c>
      <c r="U2151" t="s">
        <v>2187</v>
      </c>
      <c r="V2151" t="s">
        <v>9408</v>
      </c>
      <c r="W2151" t="s">
        <v>423</v>
      </c>
    </row>
    <row r="2152" spans="1:23" hidden="1" x14ac:dyDescent="0.2">
      <c r="A2152">
        <v>2012</v>
      </c>
      <c r="B2152" t="s">
        <v>303</v>
      </c>
      <c r="C2152" s="733">
        <v>40921</v>
      </c>
      <c r="D21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52" t="s">
        <v>485</v>
      </c>
      <c r="F2152" t="s">
        <v>2065</v>
      </c>
      <c r="G2152" t="s">
        <v>5335</v>
      </c>
      <c r="H2152">
        <v>40092</v>
      </c>
      <c r="I2152" t="s">
        <v>423</v>
      </c>
      <c r="J2152" t="s">
        <v>2189</v>
      </c>
      <c r="K2152" t="s">
        <v>2183</v>
      </c>
      <c r="L2152" t="s">
        <v>2184</v>
      </c>
      <c r="M2152">
        <v>720</v>
      </c>
      <c r="N2152">
        <v>27.07</v>
      </c>
      <c r="O2152">
        <v>10971.2</v>
      </c>
      <c r="P2152">
        <v>0</v>
      </c>
      <c r="Q2152">
        <v>10971.2</v>
      </c>
      <c r="R2152">
        <v>1755.39</v>
      </c>
      <c r="S2152">
        <v>438.85</v>
      </c>
      <c r="T2152">
        <v>12287.74</v>
      </c>
      <c r="U2152" t="s">
        <v>7587</v>
      </c>
      <c r="V2152" t="s">
        <v>9408</v>
      </c>
      <c r="W2152" t="s">
        <v>423</v>
      </c>
    </row>
    <row r="2153" spans="1:23" hidden="1" x14ac:dyDescent="0.2">
      <c r="A2153">
        <v>2012</v>
      </c>
      <c r="B2153" t="s">
        <v>303</v>
      </c>
      <c r="C2153" s="733">
        <v>40939</v>
      </c>
      <c r="D21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53" t="s">
        <v>485</v>
      </c>
      <c r="F2153" t="s">
        <v>2065</v>
      </c>
      <c r="G2153" t="s">
        <v>5334</v>
      </c>
      <c r="H2153">
        <v>40035</v>
      </c>
      <c r="I2153" t="s">
        <v>423</v>
      </c>
      <c r="J2153" t="s">
        <v>2189</v>
      </c>
      <c r="K2153" t="s">
        <v>2183</v>
      </c>
      <c r="L2153" t="s">
        <v>2184</v>
      </c>
      <c r="M2153">
        <v>720</v>
      </c>
      <c r="N2153">
        <v>26.42</v>
      </c>
      <c r="O2153">
        <v>11727.57</v>
      </c>
      <c r="P2153">
        <v>0</v>
      </c>
      <c r="Q2153">
        <v>11727.57</v>
      </c>
      <c r="R2153">
        <v>1876.41</v>
      </c>
      <c r="S2153">
        <v>469.1</v>
      </c>
      <c r="T2153">
        <v>13134.88</v>
      </c>
      <c r="V2153" t="s">
        <v>9408</v>
      </c>
      <c r="W2153" t="s">
        <v>423</v>
      </c>
    </row>
    <row r="2154" spans="1:23" hidden="1" x14ac:dyDescent="0.2">
      <c r="A2154">
        <v>2012</v>
      </c>
      <c r="B2154" t="s">
        <v>303</v>
      </c>
      <c r="C2154" s="733">
        <v>40932</v>
      </c>
      <c r="D21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54" t="s">
        <v>485</v>
      </c>
      <c r="F2154" t="s">
        <v>2065</v>
      </c>
      <c r="G2154" t="s">
        <v>5340</v>
      </c>
      <c r="H2154">
        <v>40706</v>
      </c>
      <c r="I2154" t="s">
        <v>423</v>
      </c>
      <c r="J2154" t="s">
        <v>2189</v>
      </c>
      <c r="K2154" t="s">
        <v>2183</v>
      </c>
      <c r="L2154" t="s">
        <v>2184</v>
      </c>
      <c r="M2154">
        <v>720</v>
      </c>
      <c r="N2154">
        <v>26.04</v>
      </c>
      <c r="O2154">
        <v>11558.9</v>
      </c>
      <c r="P2154">
        <v>0</v>
      </c>
      <c r="Q2154">
        <v>11558.9</v>
      </c>
      <c r="R2154">
        <v>1849.42</v>
      </c>
      <c r="S2154">
        <v>462.36</v>
      </c>
      <c r="T2154">
        <v>12945.96</v>
      </c>
      <c r="U2154" t="s">
        <v>2187</v>
      </c>
      <c r="V2154" t="s">
        <v>9408</v>
      </c>
      <c r="W2154" t="s">
        <v>423</v>
      </c>
    </row>
    <row r="2155" spans="1:23" hidden="1" x14ac:dyDescent="0.2">
      <c r="A2155">
        <v>2012</v>
      </c>
      <c r="B2155" t="s">
        <v>304</v>
      </c>
      <c r="C2155" s="733">
        <v>40946</v>
      </c>
      <c r="D21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55" t="s">
        <v>485</v>
      </c>
      <c r="F2155" t="s">
        <v>2065</v>
      </c>
      <c r="G2155" t="s">
        <v>5336</v>
      </c>
      <c r="H2155">
        <v>41454</v>
      </c>
      <c r="I2155" t="s">
        <v>423</v>
      </c>
      <c r="J2155" t="s">
        <v>2189</v>
      </c>
      <c r="K2155" t="s">
        <v>2183</v>
      </c>
      <c r="L2155" t="s">
        <v>2184</v>
      </c>
      <c r="M2155">
        <v>720</v>
      </c>
      <c r="N2155">
        <v>26.43</v>
      </c>
      <c r="O2155">
        <v>11732.01</v>
      </c>
      <c r="P2155">
        <v>0</v>
      </c>
      <c r="Q2155">
        <v>11732.01</v>
      </c>
      <c r="R2155">
        <v>1877.12</v>
      </c>
      <c r="S2155">
        <v>469.28</v>
      </c>
      <c r="T2155">
        <v>13139.85</v>
      </c>
      <c r="U2155" t="s">
        <v>2192</v>
      </c>
      <c r="V2155" t="s">
        <v>9408</v>
      </c>
      <c r="W2155" t="s">
        <v>423</v>
      </c>
    </row>
    <row r="2156" spans="1:23" hidden="1" x14ac:dyDescent="0.2">
      <c r="A2156">
        <v>2012</v>
      </c>
      <c r="B2156" t="s">
        <v>303</v>
      </c>
      <c r="C2156" s="733">
        <v>40925.559351851851</v>
      </c>
      <c r="D21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56" t="s">
        <v>485</v>
      </c>
      <c r="F2156" t="s">
        <v>2054</v>
      </c>
      <c r="G2156" t="s">
        <v>3528</v>
      </c>
      <c r="H2156">
        <v>10103</v>
      </c>
      <c r="I2156" t="s">
        <v>423</v>
      </c>
      <c r="J2156" t="s">
        <v>2072</v>
      </c>
      <c r="K2156" t="s">
        <v>2057</v>
      </c>
      <c r="L2156" t="s">
        <v>2058</v>
      </c>
      <c r="M2156">
        <v>406</v>
      </c>
      <c r="N2156">
        <v>46.8</v>
      </c>
      <c r="O2156">
        <v>12789.5</v>
      </c>
      <c r="P2156">
        <v>0</v>
      </c>
      <c r="Q2156">
        <v>12789.5</v>
      </c>
      <c r="R2156">
        <v>2046.32</v>
      </c>
      <c r="S2156">
        <v>511.58</v>
      </c>
      <c r="T2156">
        <v>14324.24</v>
      </c>
      <c r="U2156" t="s">
        <v>2077</v>
      </c>
      <c r="V2156" t="s">
        <v>9409</v>
      </c>
      <c r="W2156" t="s">
        <v>423</v>
      </c>
    </row>
    <row r="2157" spans="1:23" hidden="1" x14ac:dyDescent="0.2">
      <c r="A2157">
        <v>2012</v>
      </c>
      <c r="B2157" t="s">
        <v>304</v>
      </c>
      <c r="C2157" s="733">
        <v>40957.441689814812</v>
      </c>
      <c r="D21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57" t="s">
        <v>485</v>
      </c>
      <c r="F2157" t="s">
        <v>2054</v>
      </c>
      <c r="G2157" t="s">
        <v>7543</v>
      </c>
      <c r="H2157">
        <v>10464</v>
      </c>
      <c r="I2157" t="s">
        <v>423</v>
      </c>
      <c r="J2157" t="s">
        <v>2072</v>
      </c>
      <c r="K2157" t="s">
        <v>2057</v>
      </c>
      <c r="L2157" t="s">
        <v>2058</v>
      </c>
      <c r="M2157">
        <v>406</v>
      </c>
      <c r="N2157">
        <v>46.82</v>
      </c>
      <c r="O2157">
        <v>12794.97</v>
      </c>
      <c r="P2157">
        <v>0</v>
      </c>
      <c r="Q2157">
        <v>12794.97</v>
      </c>
      <c r="R2157">
        <v>1407.45</v>
      </c>
      <c r="S2157">
        <v>511.8</v>
      </c>
      <c r="T2157">
        <v>13690.62</v>
      </c>
      <c r="U2157" t="s">
        <v>8864</v>
      </c>
      <c r="V2157" t="s">
        <v>9409</v>
      </c>
      <c r="W2157" t="s">
        <v>423</v>
      </c>
    </row>
    <row r="2158" spans="1:23" hidden="1" x14ac:dyDescent="0.2">
      <c r="A2158">
        <v>2012</v>
      </c>
      <c r="B2158" t="s">
        <v>304</v>
      </c>
      <c r="C2158" s="733">
        <v>40947.426701388889</v>
      </c>
      <c r="D21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58" t="s">
        <v>485</v>
      </c>
      <c r="F2158" t="s">
        <v>2054</v>
      </c>
      <c r="G2158" t="s">
        <v>3527</v>
      </c>
      <c r="H2158">
        <v>10345</v>
      </c>
      <c r="I2158" t="s">
        <v>423</v>
      </c>
      <c r="J2158" t="s">
        <v>2072</v>
      </c>
      <c r="K2158" t="s">
        <v>2057</v>
      </c>
      <c r="L2158" t="s">
        <v>2058</v>
      </c>
      <c r="M2158">
        <v>406</v>
      </c>
      <c r="N2158">
        <v>46.57</v>
      </c>
      <c r="O2158">
        <v>12726.65</v>
      </c>
      <c r="P2158">
        <v>0</v>
      </c>
      <c r="Q2158">
        <v>12726.65</v>
      </c>
      <c r="R2158">
        <v>1399.93</v>
      </c>
      <c r="S2158">
        <v>509.07</v>
      </c>
      <c r="T2158">
        <v>13617.51</v>
      </c>
      <c r="U2158" t="s">
        <v>2082</v>
      </c>
      <c r="V2158" t="s">
        <v>9409</v>
      </c>
      <c r="W2158" t="s">
        <v>423</v>
      </c>
    </row>
    <row r="2159" spans="1:23" hidden="1" x14ac:dyDescent="0.2">
      <c r="A2159">
        <v>2012</v>
      </c>
      <c r="B2159" t="s">
        <v>303</v>
      </c>
      <c r="C2159" s="733">
        <v>40920.577199074076</v>
      </c>
      <c r="D21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59" t="s">
        <v>485</v>
      </c>
      <c r="F2159" t="s">
        <v>2054</v>
      </c>
      <c r="G2159" t="s">
        <v>3526</v>
      </c>
      <c r="H2159">
        <v>10049</v>
      </c>
      <c r="I2159" t="s">
        <v>423</v>
      </c>
      <c r="J2159" t="s">
        <v>2072</v>
      </c>
      <c r="K2159" t="s">
        <v>2057</v>
      </c>
      <c r="L2159" t="s">
        <v>2058</v>
      </c>
      <c r="M2159">
        <v>406</v>
      </c>
      <c r="N2159">
        <v>47.88</v>
      </c>
      <c r="O2159">
        <v>13084.65</v>
      </c>
      <c r="P2159">
        <v>0</v>
      </c>
      <c r="Q2159">
        <v>13084.65</v>
      </c>
      <c r="R2159">
        <v>2093.54</v>
      </c>
      <c r="S2159">
        <v>523.39</v>
      </c>
      <c r="T2159">
        <v>14654.8</v>
      </c>
      <c r="U2159" t="s">
        <v>2059</v>
      </c>
      <c r="V2159" t="s">
        <v>9409</v>
      </c>
      <c r="W2159" t="s">
        <v>423</v>
      </c>
    </row>
    <row r="2160" spans="1:23" hidden="1" x14ac:dyDescent="0.2">
      <c r="A2160">
        <v>2012</v>
      </c>
      <c r="B2160" t="s">
        <v>304</v>
      </c>
      <c r="C2160" s="733">
        <v>40941</v>
      </c>
      <c r="D21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60" t="s">
        <v>485</v>
      </c>
      <c r="F2160" t="s">
        <v>2054</v>
      </c>
      <c r="G2160" t="s">
        <v>6070</v>
      </c>
      <c r="H2160">
        <v>10287</v>
      </c>
      <c r="I2160" t="s">
        <v>423</v>
      </c>
      <c r="J2160" t="s">
        <v>2072</v>
      </c>
      <c r="K2160" t="s">
        <v>2057</v>
      </c>
      <c r="L2160" t="s">
        <v>2058</v>
      </c>
      <c r="M2160">
        <v>406</v>
      </c>
      <c r="N2160">
        <v>29.88</v>
      </c>
      <c r="O2160">
        <v>8165.61</v>
      </c>
      <c r="P2160">
        <v>0</v>
      </c>
      <c r="Q2160">
        <v>8165.61</v>
      </c>
      <c r="R2160">
        <v>1306.5</v>
      </c>
      <c r="S2160">
        <v>326.62</v>
      </c>
      <c r="T2160">
        <v>9145.49</v>
      </c>
      <c r="U2160" t="s">
        <v>2075</v>
      </c>
      <c r="V2160" t="s">
        <v>9408</v>
      </c>
      <c r="W2160" t="s">
        <v>423</v>
      </c>
    </row>
    <row r="2161" spans="1:23" hidden="1" x14ac:dyDescent="0.2">
      <c r="A2161">
        <v>2012</v>
      </c>
      <c r="B2161" t="s">
        <v>303</v>
      </c>
      <c r="C2161" s="733">
        <v>40931</v>
      </c>
      <c r="D21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61" t="s">
        <v>485</v>
      </c>
      <c r="F2161" t="s">
        <v>2054</v>
      </c>
      <c r="G2161" t="s">
        <v>3538</v>
      </c>
      <c r="H2161">
        <v>10169</v>
      </c>
      <c r="I2161" t="s">
        <v>423</v>
      </c>
      <c r="J2161" t="s">
        <v>2072</v>
      </c>
      <c r="K2161" t="s">
        <v>2057</v>
      </c>
      <c r="L2161" t="s">
        <v>2058</v>
      </c>
      <c r="M2161">
        <v>406</v>
      </c>
      <c r="N2161">
        <v>48.86</v>
      </c>
      <c r="O2161">
        <v>13352.46</v>
      </c>
      <c r="P2161">
        <v>0</v>
      </c>
      <c r="Q2161">
        <v>13352.46</v>
      </c>
      <c r="R2161">
        <v>2136.39</v>
      </c>
      <c r="S2161">
        <v>534.1</v>
      </c>
      <c r="T2161">
        <v>14954.75</v>
      </c>
      <c r="U2161" t="s">
        <v>2077</v>
      </c>
      <c r="V2161" t="s">
        <v>9409</v>
      </c>
      <c r="W2161" t="s">
        <v>423</v>
      </c>
    </row>
    <row r="2162" spans="1:23" hidden="1" x14ac:dyDescent="0.2">
      <c r="A2162">
        <v>2012</v>
      </c>
      <c r="B2162" t="s">
        <v>304</v>
      </c>
      <c r="C2162" s="733">
        <v>40957</v>
      </c>
      <c r="D21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62" t="s">
        <v>485</v>
      </c>
      <c r="F2162" t="s">
        <v>2054</v>
      </c>
      <c r="G2162" t="s">
        <v>7544</v>
      </c>
      <c r="H2162">
        <v>10470</v>
      </c>
      <c r="I2162" t="s">
        <v>423</v>
      </c>
      <c r="J2162" t="s">
        <v>2072</v>
      </c>
      <c r="K2162" t="s">
        <v>2057</v>
      </c>
      <c r="L2162" t="s">
        <v>2058</v>
      </c>
      <c r="M2162">
        <v>406</v>
      </c>
      <c r="N2162">
        <v>45.65</v>
      </c>
      <c r="O2162">
        <v>12475.23</v>
      </c>
      <c r="P2162">
        <v>0</v>
      </c>
      <c r="Q2162">
        <v>12475.23</v>
      </c>
      <c r="R2162">
        <v>1372.28</v>
      </c>
      <c r="S2162">
        <v>499.01</v>
      </c>
      <c r="T2162">
        <v>13348.5</v>
      </c>
      <c r="U2162" t="s">
        <v>8047</v>
      </c>
      <c r="V2162" t="s">
        <v>9409</v>
      </c>
      <c r="W2162" t="s">
        <v>423</v>
      </c>
    </row>
    <row r="2163" spans="1:23" hidden="1" x14ac:dyDescent="0.2">
      <c r="A2163">
        <v>2012</v>
      </c>
      <c r="B2163" t="s">
        <v>303</v>
      </c>
      <c r="C2163" s="733">
        <v>40938</v>
      </c>
      <c r="D21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63" t="s">
        <v>505</v>
      </c>
      <c r="F2163" t="s">
        <v>1915</v>
      </c>
      <c r="G2163" t="s">
        <v>2018</v>
      </c>
      <c r="H2163">
        <v>22352</v>
      </c>
      <c r="I2163" t="s">
        <v>423</v>
      </c>
      <c r="J2163" t="s">
        <v>1943</v>
      </c>
      <c r="K2163" t="s">
        <v>1918</v>
      </c>
      <c r="L2163" t="s">
        <v>1919</v>
      </c>
      <c r="M2163">
        <v>319</v>
      </c>
      <c r="N2163">
        <v>53.99</v>
      </c>
      <c r="O2163">
        <v>15832.03</v>
      </c>
      <c r="P2163">
        <v>0</v>
      </c>
      <c r="Q2163">
        <v>15832.03</v>
      </c>
      <c r="R2163">
        <v>2533.12</v>
      </c>
      <c r="S2163">
        <v>633.28</v>
      </c>
      <c r="T2163">
        <v>17731.87</v>
      </c>
      <c r="U2163" t="s">
        <v>1936</v>
      </c>
      <c r="V2163" t="s">
        <v>9409</v>
      </c>
      <c r="W2163" t="s">
        <v>423</v>
      </c>
    </row>
    <row r="2164" spans="1:23" hidden="1" x14ac:dyDescent="0.2">
      <c r="A2164">
        <v>2012</v>
      </c>
      <c r="B2164" t="s">
        <v>303</v>
      </c>
      <c r="C2164" s="733">
        <v>40919</v>
      </c>
      <c r="D21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64" t="s">
        <v>485</v>
      </c>
      <c r="F2164" t="s">
        <v>2054</v>
      </c>
      <c r="G2164" t="s">
        <v>3869</v>
      </c>
      <c r="H2164">
        <v>10005</v>
      </c>
      <c r="I2164" t="s">
        <v>423</v>
      </c>
      <c r="J2164" t="s">
        <v>2072</v>
      </c>
      <c r="K2164" t="s">
        <v>2057</v>
      </c>
      <c r="L2164" t="s">
        <v>2058</v>
      </c>
      <c r="M2164">
        <v>406</v>
      </c>
      <c r="N2164">
        <v>45.58</v>
      </c>
      <c r="O2164">
        <v>12456.1</v>
      </c>
      <c r="P2164">
        <v>0</v>
      </c>
      <c r="Q2164">
        <v>12456.1</v>
      </c>
      <c r="R2164">
        <v>1992.98</v>
      </c>
      <c r="S2164">
        <v>498.24</v>
      </c>
      <c r="T2164">
        <v>13950.84</v>
      </c>
      <c r="U2164" t="s">
        <v>2070</v>
      </c>
      <c r="V2164" t="s">
        <v>9409</v>
      </c>
      <c r="W2164" t="s">
        <v>423</v>
      </c>
    </row>
    <row r="2165" spans="1:23" hidden="1" x14ac:dyDescent="0.2">
      <c r="A2165">
        <v>2012</v>
      </c>
      <c r="B2165" t="s">
        <v>304</v>
      </c>
      <c r="C2165" s="733">
        <v>40941.520092592589</v>
      </c>
      <c r="D21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65" t="s">
        <v>485</v>
      </c>
      <c r="F2165" t="s">
        <v>2054</v>
      </c>
      <c r="G2165" t="s">
        <v>3868</v>
      </c>
      <c r="H2165">
        <v>10283</v>
      </c>
      <c r="I2165" t="s">
        <v>423</v>
      </c>
      <c r="J2165" t="s">
        <v>2072</v>
      </c>
      <c r="K2165" t="s">
        <v>2057</v>
      </c>
      <c r="L2165" t="s">
        <v>2058</v>
      </c>
      <c r="M2165">
        <v>406</v>
      </c>
      <c r="N2165">
        <v>47.31</v>
      </c>
      <c r="O2165">
        <v>12928.88</v>
      </c>
      <c r="P2165">
        <v>0</v>
      </c>
      <c r="Q2165">
        <v>12928.88</v>
      </c>
      <c r="R2165">
        <v>2068.62</v>
      </c>
      <c r="S2165">
        <v>517.16</v>
      </c>
      <c r="T2165">
        <v>14480.34</v>
      </c>
      <c r="U2165" t="s">
        <v>2075</v>
      </c>
      <c r="V2165" t="s">
        <v>9409</v>
      </c>
      <c r="W2165" t="s">
        <v>423</v>
      </c>
    </row>
    <row r="2166" spans="1:23" hidden="1" x14ac:dyDescent="0.2">
      <c r="A2166">
        <v>2012</v>
      </c>
      <c r="B2166" t="s">
        <v>303</v>
      </c>
      <c r="C2166" s="733">
        <v>40935</v>
      </c>
      <c r="D21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66" t="s">
        <v>485</v>
      </c>
      <c r="F2166" t="s">
        <v>2054</v>
      </c>
      <c r="G2166" t="s">
        <v>3525</v>
      </c>
      <c r="H2166">
        <v>10220</v>
      </c>
      <c r="I2166" t="s">
        <v>423</v>
      </c>
      <c r="J2166" t="s">
        <v>2072</v>
      </c>
      <c r="K2166" t="s">
        <v>2057</v>
      </c>
      <c r="L2166" t="s">
        <v>2058</v>
      </c>
      <c r="M2166">
        <v>406</v>
      </c>
      <c r="N2166">
        <v>45.81</v>
      </c>
      <c r="O2166">
        <v>12518.96</v>
      </c>
      <c r="P2166">
        <v>0</v>
      </c>
      <c r="Q2166">
        <v>12518.96</v>
      </c>
      <c r="R2166">
        <v>2003.03</v>
      </c>
      <c r="S2166">
        <v>500.76</v>
      </c>
      <c r="T2166">
        <v>14021.23</v>
      </c>
      <c r="U2166" t="s">
        <v>2073</v>
      </c>
      <c r="V2166" t="s">
        <v>9409</v>
      </c>
      <c r="W2166" t="s">
        <v>423</v>
      </c>
    </row>
    <row r="2167" spans="1:23" hidden="1" x14ac:dyDescent="0.2">
      <c r="A2167">
        <v>2012</v>
      </c>
      <c r="B2167" t="s">
        <v>304</v>
      </c>
      <c r="C2167" s="733">
        <v>40956</v>
      </c>
      <c r="D21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67" t="s">
        <v>485</v>
      </c>
      <c r="F2167" t="s">
        <v>2048</v>
      </c>
      <c r="G2167" t="s">
        <v>7905</v>
      </c>
      <c r="H2167">
        <v>42146</v>
      </c>
      <c r="I2167" t="s">
        <v>423</v>
      </c>
      <c r="J2167" t="s">
        <v>4091</v>
      </c>
      <c r="K2167" t="s">
        <v>2051</v>
      </c>
      <c r="L2167" t="s">
        <v>2052</v>
      </c>
      <c r="M2167">
        <v>1092</v>
      </c>
      <c r="N2167">
        <v>25</v>
      </c>
      <c r="O2167">
        <v>14587.5</v>
      </c>
      <c r="P2167">
        <v>0</v>
      </c>
      <c r="Q2167">
        <v>14587.5</v>
      </c>
      <c r="R2167">
        <v>2334</v>
      </c>
      <c r="S2167">
        <v>583.5</v>
      </c>
      <c r="T2167">
        <v>16338</v>
      </c>
      <c r="U2167" t="s">
        <v>8257</v>
      </c>
      <c r="V2167" t="s">
        <v>9408</v>
      </c>
      <c r="W2167" t="s">
        <v>423</v>
      </c>
    </row>
    <row r="2168" spans="1:23" x14ac:dyDescent="0.2">
      <c r="A2168">
        <v>2012</v>
      </c>
      <c r="B2168" t="s">
        <v>304</v>
      </c>
      <c r="C2168" s="733">
        <v>40967.416493055556</v>
      </c>
      <c r="D21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68" t="s">
        <v>485</v>
      </c>
      <c r="F2168" t="s">
        <v>2054</v>
      </c>
      <c r="G2168" t="s">
        <v>9332</v>
      </c>
      <c r="H2168">
        <v>10591</v>
      </c>
      <c r="I2168" t="s">
        <v>423</v>
      </c>
      <c r="J2168" t="s">
        <v>2072</v>
      </c>
      <c r="K2168" t="s">
        <v>2057</v>
      </c>
      <c r="L2168" t="s">
        <v>2058</v>
      </c>
      <c r="M2168">
        <v>406</v>
      </c>
      <c r="N2168">
        <v>23.05</v>
      </c>
      <c r="O2168">
        <v>6299.1</v>
      </c>
      <c r="P2168">
        <v>0</v>
      </c>
      <c r="Q2168">
        <v>6299.1</v>
      </c>
      <c r="R2168">
        <v>692.9</v>
      </c>
      <c r="S2168">
        <v>251.96</v>
      </c>
      <c r="T2168">
        <v>6740.04</v>
      </c>
      <c r="V2168" t="s">
        <v>9409</v>
      </c>
      <c r="W2168" t="s">
        <v>423</v>
      </c>
    </row>
    <row r="2169" spans="1:23" hidden="1" x14ac:dyDescent="0.2">
      <c r="A2169">
        <v>2012</v>
      </c>
      <c r="B2169" t="s">
        <v>304</v>
      </c>
      <c r="C2169" s="733">
        <v>40946</v>
      </c>
      <c r="D21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69" t="s">
        <v>485</v>
      </c>
      <c r="F2169" t="s">
        <v>2054</v>
      </c>
      <c r="G2169" t="s">
        <v>3535</v>
      </c>
      <c r="H2169">
        <v>9943</v>
      </c>
      <c r="I2169" t="s">
        <v>423</v>
      </c>
      <c r="J2169" t="s">
        <v>2072</v>
      </c>
      <c r="K2169" t="s">
        <v>2057</v>
      </c>
      <c r="L2169" t="s">
        <v>2058</v>
      </c>
      <c r="M2169">
        <v>406</v>
      </c>
      <c r="N2169">
        <v>45.94</v>
      </c>
      <c r="O2169">
        <v>12554.48</v>
      </c>
      <c r="P2169">
        <v>0</v>
      </c>
      <c r="Q2169">
        <v>12554.48</v>
      </c>
      <c r="R2169">
        <v>2008.72</v>
      </c>
      <c r="S2169">
        <v>502.18</v>
      </c>
      <c r="T2169">
        <v>14061.02</v>
      </c>
      <c r="U2169" t="s">
        <v>2075</v>
      </c>
      <c r="V2169" t="s">
        <v>9409</v>
      </c>
      <c r="W2169" t="s">
        <v>423</v>
      </c>
    </row>
    <row r="2170" spans="1:23" hidden="1" x14ac:dyDescent="0.2">
      <c r="A2170">
        <v>2012</v>
      </c>
      <c r="B2170" t="s">
        <v>304</v>
      </c>
      <c r="C2170" s="733">
        <v>40964</v>
      </c>
      <c r="D21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70" t="s">
        <v>505</v>
      </c>
      <c r="F2170" t="s">
        <v>1915</v>
      </c>
      <c r="G2170" t="s">
        <v>8724</v>
      </c>
      <c r="H2170">
        <v>22998</v>
      </c>
      <c r="I2170" t="s">
        <v>423</v>
      </c>
      <c r="J2170" t="s">
        <v>1943</v>
      </c>
      <c r="K2170" t="s">
        <v>1918</v>
      </c>
      <c r="L2170" t="s">
        <v>1919</v>
      </c>
      <c r="M2170">
        <v>319</v>
      </c>
      <c r="N2170">
        <v>53.8</v>
      </c>
      <c r="O2170">
        <v>15776.31</v>
      </c>
      <c r="P2170">
        <v>0</v>
      </c>
      <c r="Q2170">
        <v>15776.31</v>
      </c>
      <c r="R2170">
        <v>2524.21</v>
      </c>
      <c r="S2170">
        <v>631.04999999999995</v>
      </c>
      <c r="T2170">
        <v>17669.47</v>
      </c>
      <c r="U2170" t="s">
        <v>9415</v>
      </c>
      <c r="V2170" t="s">
        <v>9409</v>
      </c>
      <c r="W2170" t="s">
        <v>423</v>
      </c>
    </row>
    <row r="2171" spans="1:23" hidden="1" x14ac:dyDescent="0.2">
      <c r="A2171">
        <v>2012</v>
      </c>
      <c r="B2171" t="s">
        <v>304</v>
      </c>
      <c r="C2171" s="733">
        <v>40942</v>
      </c>
      <c r="D21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71" t="s">
        <v>505</v>
      </c>
      <c r="F2171" t="s">
        <v>1915</v>
      </c>
      <c r="G2171" t="s">
        <v>6084</v>
      </c>
      <c r="H2171">
        <v>22457</v>
      </c>
      <c r="I2171" t="s">
        <v>423</v>
      </c>
      <c r="J2171" t="s">
        <v>1943</v>
      </c>
      <c r="K2171" t="s">
        <v>1918</v>
      </c>
      <c r="L2171" t="s">
        <v>1919</v>
      </c>
      <c r="M2171">
        <v>319</v>
      </c>
      <c r="N2171">
        <v>54.4</v>
      </c>
      <c r="O2171">
        <v>15952.26</v>
      </c>
      <c r="P2171">
        <v>0</v>
      </c>
      <c r="Q2171">
        <v>15952.26</v>
      </c>
      <c r="R2171">
        <v>2552.36</v>
      </c>
      <c r="S2171">
        <v>638.09</v>
      </c>
      <c r="T2171">
        <v>17866.53</v>
      </c>
      <c r="V2171" t="s">
        <v>9409</v>
      </c>
      <c r="W2171" t="s">
        <v>423</v>
      </c>
    </row>
    <row r="2172" spans="1:23" hidden="1" x14ac:dyDescent="0.2">
      <c r="A2172">
        <v>2012</v>
      </c>
      <c r="B2172" t="s">
        <v>304</v>
      </c>
      <c r="C2172" s="733">
        <v>40963.42628472222</v>
      </c>
      <c r="D21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72" t="s">
        <v>485</v>
      </c>
      <c r="F2172" t="s">
        <v>2054</v>
      </c>
      <c r="G2172" t="s">
        <v>8723</v>
      </c>
      <c r="H2172">
        <v>10532</v>
      </c>
      <c r="I2172" t="s">
        <v>423</v>
      </c>
      <c r="J2172" t="s">
        <v>2072</v>
      </c>
      <c r="K2172" t="s">
        <v>2057</v>
      </c>
      <c r="L2172" t="s">
        <v>2058</v>
      </c>
      <c r="M2172">
        <v>406</v>
      </c>
      <c r="N2172">
        <v>45.69</v>
      </c>
      <c r="O2172">
        <v>12486.16</v>
      </c>
      <c r="P2172">
        <v>0</v>
      </c>
      <c r="Q2172">
        <v>12486.16</v>
      </c>
      <c r="R2172">
        <v>1373.48</v>
      </c>
      <c r="S2172">
        <v>499.45</v>
      </c>
      <c r="T2172">
        <v>13360.19</v>
      </c>
      <c r="U2172" t="s">
        <v>8864</v>
      </c>
      <c r="V2172" t="s">
        <v>9409</v>
      </c>
      <c r="W2172" t="s">
        <v>423</v>
      </c>
    </row>
    <row r="2173" spans="1:23" hidden="1" x14ac:dyDescent="0.2">
      <c r="A2173">
        <v>2012</v>
      </c>
      <c r="B2173" t="s">
        <v>303</v>
      </c>
      <c r="C2173" s="733">
        <v>40925.553310185183</v>
      </c>
      <c r="D21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73" t="s">
        <v>485</v>
      </c>
      <c r="F2173" t="s">
        <v>2054</v>
      </c>
      <c r="G2173" t="s">
        <v>3531</v>
      </c>
      <c r="H2173">
        <v>10106</v>
      </c>
      <c r="I2173" t="s">
        <v>423</v>
      </c>
      <c r="J2173" t="s">
        <v>2072</v>
      </c>
      <c r="K2173" t="s">
        <v>2057</v>
      </c>
      <c r="L2173" t="s">
        <v>2058</v>
      </c>
      <c r="M2173">
        <v>406</v>
      </c>
      <c r="N2173">
        <v>24.13</v>
      </c>
      <c r="O2173">
        <v>6594.25</v>
      </c>
      <c r="P2173">
        <v>0</v>
      </c>
      <c r="Q2173">
        <v>6594.25</v>
      </c>
      <c r="R2173">
        <v>1055.08</v>
      </c>
      <c r="S2173">
        <v>263.77</v>
      </c>
      <c r="T2173">
        <v>7385.56</v>
      </c>
      <c r="U2173" t="s">
        <v>2077</v>
      </c>
      <c r="V2173" t="s">
        <v>9409</v>
      </c>
      <c r="W2173" t="s">
        <v>423</v>
      </c>
    </row>
    <row r="2174" spans="1:23" hidden="1" x14ac:dyDescent="0.2">
      <c r="A2174">
        <v>2012</v>
      </c>
      <c r="B2174" t="s">
        <v>304</v>
      </c>
      <c r="C2174" s="733">
        <v>40947.51053240741</v>
      </c>
      <c r="D21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74" t="s">
        <v>485</v>
      </c>
      <c r="F2174" t="s">
        <v>2054</v>
      </c>
      <c r="G2174" t="s">
        <v>3530</v>
      </c>
      <c r="H2174">
        <v>10347</v>
      </c>
      <c r="I2174" t="s">
        <v>423</v>
      </c>
      <c r="J2174" t="s">
        <v>2072</v>
      </c>
      <c r="K2174" t="s">
        <v>2057</v>
      </c>
      <c r="L2174" t="s">
        <v>2058</v>
      </c>
      <c r="M2174">
        <v>406</v>
      </c>
      <c r="N2174">
        <v>47.83</v>
      </c>
      <c r="O2174">
        <v>13070.98</v>
      </c>
      <c r="P2174">
        <v>0</v>
      </c>
      <c r="Q2174">
        <v>13070.98</v>
      </c>
      <c r="R2174">
        <v>1437.81</v>
      </c>
      <c r="S2174">
        <v>522.84</v>
      </c>
      <c r="T2174">
        <v>13985.95</v>
      </c>
      <c r="U2174" t="s">
        <v>2082</v>
      </c>
      <c r="V2174" t="s">
        <v>9409</v>
      </c>
      <c r="W2174" t="s">
        <v>423</v>
      </c>
    </row>
    <row r="2175" spans="1:23" hidden="1" x14ac:dyDescent="0.2">
      <c r="A2175">
        <v>2012</v>
      </c>
      <c r="B2175" t="s">
        <v>304</v>
      </c>
      <c r="C2175" s="733">
        <v>40960</v>
      </c>
      <c r="D21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75" t="s">
        <v>485</v>
      </c>
      <c r="F2175" t="s">
        <v>2099</v>
      </c>
      <c r="G2175" t="s">
        <v>8132</v>
      </c>
      <c r="H2175">
        <v>42277</v>
      </c>
      <c r="I2175" t="s">
        <v>423</v>
      </c>
      <c r="J2175" t="s">
        <v>2101</v>
      </c>
      <c r="K2175" t="s">
        <v>2102</v>
      </c>
      <c r="L2175" t="s">
        <v>2103</v>
      </c>
      <c r="M2175">
        <v>119</v>
      </c>
      <c r="N2175">
        <v>20.7</v>
      </c>
      <c r="O2175">
        <v>3472.01</v>
      </c>
      <c r="P2175">
        <v>0</v>
      </c>
      <c r="Q2175">
        <v>3472.01</v>
      </c>
      <c r="R2175">
        <v>555.52</v>
      </c>
      <c r="S2175">
        <v>138.88</v>
      </c>
      <c r="T2175">
        <v>3888.65</v>
      </c>
      <c r="U2175" t="s">
        <v>8883</v>
      </c>
      <c r="V2175" t="s">
        <v>9408</v>
      </c>
      <c r="W2175" t="s">
        <v>423</v>
      </c>
    </row>
    <row r="2176" spans="1:23" hidden="1" x14ac:dyDescent="0.2">
      <c r="A2176">
        <v>2012</v>
      </c>
      <c r="B2176" t="s">
        <v>304</v>
      </c>
      <c r="C2176" s="733">
        <v>40960</v>
      </c>
      <c r="D21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76" t="s">
        <v>485</v>
      </c>
      <c r="F2176" t="s">
        <v>2099</v>
      </c>
      <c r="G2176" t="s">
        <v>8140</v>
      </c>
      <c r="H2176">
        <v>42280</v>
      </c>
      <c r="I2176" t="s">
        <v>423</v>
      </c>
      <c r="J2176" t="s">
        <v>2101</v>
      </c>
      <c r="K2176" t="s">
        <v>2102</v>
      </c>
      <c r="L2176" t="s">
        <v>2103</v>
      </c>
      <c r="M2176">
        <v>119</v>
      </c>
      <c r="N2176">
        <v>26.45</v>
      </c>
      <c r="O2176">
        <v>4436.46</v>
      </c>
      <c r="P2176">
        <v>0</v>
      </c>
      <c r="Q2176">
        <v>4436.46</v>
      </c>
      <c r="R2176">
        <v>709.83</v>
      </c>
      <c r="S2176">
        <v>177.46</v>
      </c>
      <c r="T2176">
        <v>4968.83</v>
      </c>
      <c r="U2176" t="s">
        <v>8883</v>
      </c>
      <c r="V2176" t="s">
        <v>9408</v>
      </c>
      <c r="W2176" t="s">
        <v>423</v>
      </c>
    </row>
    <row r="2177" spans="1:23" hidden="1" x14ac:dyDescent="0.2">
      <c r="A2177">
        <v>2012</v>
      </c>
      <c r="B2177" t="s">
        <v>303</v>
      </c>
      <c r="C2177" s="733">
        <v>40939</v>
      </c>
      <c r="D21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77" t="s">
        <v>485</v>
      </c>
      <c r="F2177" t="s">
        <v>2054</v>
      </c>
      <c r="G2177" t="s">
        <v>2557</v>
      </c>
      <c r="H2177">
        <v>9968</v>
      </c>
      <c r="I2177" t="s">
        <v>423</v>
      </c>
      <c r="J2177" t="s">
        <v>2098</v>
      </c>
      <c r="K2177" t="s">
        <v>2057</v>
      </c>
      <c r="L2177" t="s">
        <v>2058</v>
      </c>
      <c r="M2177">
        <v>565</v>
      </c>
      <c r="N2177">
        <v>47.79</v>
      </c>
      <c r="O2177">
        <v>16153.98</v>
      </c>
      <c r="P2177">
        <v>0</v>
      </c>
      <c r="Q2177">
        <v>16153.98</v>
      </c>
      <c r="R2177">
        <v>2584.64</v>
      </c>
      <c r="S2177">
        <v>646.16</v>
      </c>
      <c r="T2177">
        <v>18092.46</v>
      </c>
      <c r="U2177" t="s">
        <v>2073</v>
      </c>
      <c r="V2177" t="s">
        <v>9409</v>
      </c>
      <c r="W2177" t="s">
        <v>423</v>
      </c>
    </row>
    <row r="2178" spans="1:23" hidden="1" x14ac:dyDescent="0.2">
      <c r="A2178">
        <v>2012</v>
      </c>
      <c r="B2178" t="s">
        <v>303</v>
      </c>
      <c r="C2178" s="733">
        <v>40933.662118055552</v>
      </c>
      <c r="D21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78" t="s">
        <v>485</v>
      </c>
      <c r="F2178" t="s">
        <v>2054</v>
      </c>
      <c r="G2178" t="s">
        <v>5677</v>
      </c>
      <c r="H2178">
        <v>10203</v>
      </c>
      <c r="I2178" t="s">
        <v>423</v>
      </c>
      <c r="J2178" t="s">
        <v>2098</v>
      </c>
      <c r="K2178" t="s">
        <v>2057</v>
      </c>
      <c r="L2178" t="s">
        <v>2058</v>
      </c>
      <c r="M2178">
        <v>565</v>
      </c>
      <c r="N2178">
        <v>45.78</v>
      </c>
      <c r="O2178">
        <v>15474.56</v>
      </c>
      <c r="P2178">
        <v>0</v>
      </c>
      <c r="Q2178">
        <v>15474.56</v>
      </c>
      <c r="R2178">
        <v>2475.9299999999998</v>
      </c>
      <c r="S2178">
        <v>618.98</v>
      </c>
      <c r="T2178">
        <v>17331.509999999998</v>
      </c>
      <c r="U2178" t="s">
        <v>2073</v>
      </c>
      <c r="V2178" t="s">
        <v>9409</v>
      </c>
      <c r="W2178" t="s">
        <v>423</v>
      </c>
    </row>
    <row r="2179" spans="1:23" hidden="1" x14ac:dyDescent="0.2">
      <c r="A2179">
        <v>2012</v>
      </c>
      <c r="B2179" t="s">
        <v>303</v>
      </c>
      <c r="C2179" s="733">
        <v>40924</v>
      </c>
      <c r="D21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79" t="s">
        <v>485</v>
      </c>
      <c r="F2179" t="s">
        <v>2099</v>
      </c>
      <c r="G2179" t="s">
        <v>2785</v>
      </c>
      <c r="H2179">
        <v>40372</v>
      </c>
      <c r="I2179" t="s">
        <v>423</v>
      </c>
      <c r="J2179" t="s">
        <v>2101</v>
      </c>
      <c r="K2179" t="s">
        <v>2102</v>
      </c>
      <c r="L2179" t="s">
        <v>2103</v>
      </c>
      <c r="M2179">
        <v>119</v>
      </c>
      <c r="N2179">
        <v>51.35</v>
      </c>
      <c r="O2179">
        <v>8612.94</v>
      </c>
      <c r="P2179">
        <v>0</v>
      </c>
      <c r="Q2179">
        <v>8612.94</v>
      </c>
      <c r="R2179">
        <v>1378.07</v>
      </c>
      <c r="S2179">
        <v>344.52</v>
      </c>
      <c r="T2179">
        <v>9646.49</v>
      </c>
      <c r="U2179" t="s">
        <v>2106</v>
      </c>
      <c r="V2179" t="s">
        <v>9409</v>
      </c>
      <c r="W2179" t="s">
        <v>423</v>
      </c>
    </row>
    <row r="2180" spans="1:23" hidden="1" x14ac:dyDescent="0.2">
      <c r="A2180">
        <v>2012</v>
      </c>
      <c r="B2180" t="s">
        <v>303</v>
      </c>
      <c r="C2180" s="733">
        <v>40927</v>
      </c>
      <c r="D21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80" t="s">
        <v>485</v>
      </c>
      <c r="F2180" t="s">
        <v>2099</v>
      </c>
      <c r="G2180" t="s">
        <v>2786</v>
      </c>
      <c r="H2180">
        <v>40580</v>
      </c>
      <c r="I2180" t="s">
        <v>423</v>
      </c>
      <c r="J2180" t="s">
        <v>2101</v>
      </c>
      <c r="K2180" t="s">
        <v>2102</v>
      </c>
      <c r="L2180" t="s">
        <v>2103</v>
      </c>
      <c r="M2180">
        <v>119</v>
      </c>
      <c r="N2180">
        <v>50.48</v>
      </c>
      <c r="O2180">
        <v>8467.01</v>
      </c>
      <c r="P2180">
        <v>0</v>
      </c>
      <c r="Q2180">
        <v>8467.01</v>
      </c>
      <c r="R2180">
        <v>1354.72</v>
      </c>
      <c r="S2180">
        <v>338.68</v>
      </c>
      <c r="T2180">
        <v>9483.0499999999993</v>
      </c>
      <c r="U2180" t="s">
        <v>2108</v>
      </c>
      <c r="V2180" t="s">
        <v>9409</v>
      </c>
      <c r="W2180" t="s">
        <v>423</v>
      </c>
    </row>
    <row r="2181" spans="1:23" hidden="1" x14ac:dyDescent="0.2">
      <c r="A2181">
        <v>2012</v>
      </c>
      <c r="B2181" t="s">
        <v>303</v>
      </c>
      <c r="C2181" s="733">
        <v>40935</v>
      </c>
      <c r="D21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81" t="s">
        <v>485</v>
      </c>
      <c r="F2181" t="s">
        <v>2099</v>
      </c>
      <c r="G2181" t="s">
        <v>2787</v>
      </c>
      <c r="H2181">
        <v>40937</v>
      </c>
      <c r="I2181" t="s">
        <v>423</v>
      </c>
      <c r="J2181" t="s">
        <v>2101</v>
      </c>
      <c r="K2181" t="s">
        <v>2102</v>
      </c>
      <c r="L2181" t="s">
        <v>2103</v>
      </c>
      <c r="M2181">
        <v>119</v>
      </c>
      <c r="N2181">
        <v>39.119999999999997</v>
      </c>
      <c r="O2181">
        <v>6561.6</v>
      </c>
      <c r="P2181">
        <v>0</v>
      </c>
      <c r="Q2181">
        <v>6561.6</v>
      </c>
      <c r="R2181">
        <v>1049.8599999999999</v>
      </c>
      <c r="S2181">
        <v>262.45999999999998</v>
      </c>
      <c r="T2181">
        <v>7349</v>
      </c>
      <c r="U2181" t="s">
        <v>2108</v>
      </c>
      <c r="V2181" t="s">
        <v>9409</v>
      </c>
      <c r="W2181" t="s">
        <v>423</v>
      </c>
    </row>
    <row r="2182" spans="1:23" hidden="1" x14ac:dyDescent="0.2">
      <c r="A2182">
        <v>2012</v>
      </c>
      <c r="B2182" t="s">
        <v>303</v>
      </c>
      <c r="C2182" s="733">
        <v>40938</v>
      </c>
      <c r="D21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82" t="s">
        <v>485</v>
      </c>
      <c r="F2182" t="s">
        <v>2084</v>
      </c>
      <c r="G2182" t="s">
        <v>3476</v>
      </c>
      <c r="H2182">
        <v>40062</v>
      </c>
      <c r="I2182" t="s">
        <v>423</v>
      </c>
      <c r="J2182" t="s">
        <v>2836</v>
      </c>
      <c r="K2182" t="s">
        <v>2814</v>
      </c>
      <c r="L2182" t="s">
        <v>2815</v>
      </c>
      <c r="M2182">
        <v>70</v>
      </c>
      <c r="N2182">
        <v>23.536999999999999</v>
      </c>
      <c r="O2182">
        <v>2656.62</v>
      </c>
      <c r="P2182">
        <v>0</v>
      </c>
      <c r="Q2182">
        <v>2656.62</v>
      </c>
      <c r="R2182">
        <v>425.06</v>
      </c>
      <c r="S2182">
        <v>106.26</v>
      </c>
      <c r="T2182">
        <v>2975.42</v>
      </c>
      <c r="U2182" t="s">
        <v>2826</v>
      </c>
      <c r="V2182" t="s">
        <v>9408</v>
      </c>
      <c r="W2182" t="s">
        <v>423</v>
      </c>
    </row>
    <row r="2183" spans="1:23" hidden="1" x14ac:dyDescent="0.2">
      <c r="A2183">
        <v>2012</v>
      </c>
      <c r="B2183" t="s">
        <v>304</v>
      </c>
      <c r="C2183" s="733">
        <v>40959</v>
      </c>
      <c r="D21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83" t="s">
        <v>485</v>
      </c>
      <c r="F2183" t="s">
        <v>2054</v>
      </c>
      <c r="G2183" t="s">
        <v>8142</v>
      </c>
      <c r="H2183">
        <v>10218</v>
      </c>
      <c r="I2183" t="s">
        <v>423</v>
      </c>
      <c r="J2183" t="s">
        <v>2098</v>
      </c>
      <c r="K2183" t="s">
        <v>2057</v>
      </c>
      <c r="L2183" t="s">
        <v>2058</v>
      </c>
      <c r="M2183">
        <v>565</v>
      </c>
      <c r="N2183">
        <v>29.89</v>
      </c>
      <c r="O2183">
        <v>10103.42</v>
      </c>
      <c r="P2183">
        <v>0</v>
      </c>
      <c r="Q2183">
        <v>10103.42</v>
      </c>
      <c r="R2183">
        <v>1111.3800000000001</v>
      </c>
      <c r="S2183">
        <v>404.14</v>
      </c>
      <c r="T2183">
        <v>10810.66</v>
      </c>
      <c r="U2183" t="s">
        <v>8047</v>
      </c>
      <c r="V2183" t="s">
        <v>9408</v>
      </c>
      <c r="W2183" t="s">
        <v>423</v>
      </c>
    </row>
    <row r="2184" spans="1:23" hidden="1" x14ac:dyDescent="0.2">
      <c r="A2184">
        <v>2012</v>
      </c>
      <c r="B2184" t="s">
        <v>303</v>
      </c>
      <c r="C2184" s="733">
        <v>40919</v>
      </c>
      <c r="D21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84" t="s">
        <v>485</v>
      </c>
      <c r="F2184" t="s">
        <v>2054</v>
      </c>
      <c r="G2184" t="s">
        <v>5676</v>
      </c>
      <c r="H2184">
        <v>9977</v>
      </c>
      <c r="I2184" t="s">
        <v>423</v>
      </c>
      <c r="J2184" t="s">
        <v>2098</v>
      </c>
      <c r="K2184" t="s">
        <v>2057</v>
      </c>
      <c r="L2184" t="s">
        <v>2058</v>
      </c>
      <c r="M2184">
        <v>565</v>
      </c>
      <c r="N2184">
        <v>22.95</v>
      </c>
      <c r="O2184">
        <v>7757.56</v>
      </c>
      <c r="P2184">
        <v>0</v>
      </c>
      <c r="Q2184">
        <v>7757.56</v>
      </c>
      <c r="R2184">
        <v>1241.21</v>
      </c>
      <c r="S2184">
        <v>310.3</v>
      </c>
      <c r="T2184">
        <v>8688.4699999999993</v>
      </c>
      <c r="U2184" t="s">
        <v>2070</v>
      </c>
      <c r="V2184" t="s">
        <v>9409</v>
      </c>
      <c r="W2184" t="s">
        <v>423</v>
      </c>
    </row>
    <row r="2185" spans="1:23" hidden="1" x14ac:dyDescent="0.2">
      <c r="A2185">
        <v>2012</v>
      </c>
      <c r="B2185" t="s">
        <v>303</v>
      </c>
      <c r="C2185" s="733">
        <v>40919</v>
      </c>
      <c r="D21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85" t="s">
        <v>485</v>
      </c>
      <c r="F2185" t="s">
        <v>2054</v>
      </c>
      <c r="G2185" t="s">
        <v>6129</v>
      </c>
      <c r="H2185">
        <v>9980</v>
      </c>
      <c r="I2185" t="s">
        <v>423</v>
      </c>
      <c r="J2185" t="s">
        <v>4560</v>
      </c>
      <c r="K2185" t="s">
        <v>2057</v>
      </c>
      <c r="L2185" t="s">
        <v>2058</v>
      </c>
      <c r="M2185">
        <v>403</v>
      </c>
      <c r="N2185">
        <v>50.78</v>
      </c>
      <c r="O2185">
        <v>13877.16</v>
      </c>
      <c r="P2185">
        <v>0</v>
      </c>
      <c r="Q2185">
        <v>13877.16</v>
      </c>
      <c r="R2185">
        <v>2220.35</v>
      </c>
      <c r="S2185">
        <v>555.09</v>
      </c>
      <c r="T2185">
        <v>15542.42</v>
      </c>
      <c r="U2185" t="s">
        <v>2070</v>
      </c>
      <c r="V2185" t="s">
        <v>9409</v>
      </c>
      <c r="W2185" t="s">
        <v>423</v>
      </c>
    </row>
    <row r="2186" spans="1:23" hidden="1" x14ac:dyDescent="0.2">
      <c r="A2186">
        <v>2012</v>
      </c>
      <c r="B2186" t="s">
        <v>303</v>
      </c>
      <c r="C2186" s="733">
        <v>40931</v>
      </c>
      <c r="D21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86" t="s">
        <v>485</v>
      </c>
      <c r="F2186" t="s">
        <v>2054</v>
      </c>
      <c r="G2186" t="s">
        <v>6130</v>
      </c>
      <c r="H2186">
        <v>10156</v>
      </c>
      <c r="I2186" t="s">
        <v>423</v>
      </c>
      <c r="J2186" t="s">
        <v>4560</v>
      </c>
      <c r="K2186" t="s">
        <v>2057</v>
      </c>
      <c r="L2186" t="s">
        <v>2058</v>
      </c>
      <c r="M2186">
        <v>403</v>
      </c>
      <c r="N2186">
        <v>29.97</v>
      </c>
      <c r="O2186">
        <v>8190.2</v>
      </c>
      <c r="P2186">
        <v>0</v>
      </c>
      <c r="Q2186">
        <v>8190.2</v>
      </c>
      <c r="R2186">
        <v>1310.43</v>
      </c>
      <c r="S2186">
        <v>327.61</v>
      </c>
      <c r="T2186">
        <v>9173.02</v>
      </c>
      <c r="U2186" t="s">
        <v>2077</v>
      </c>
      <c r="V2186" t="s">
        <v>9408</v>
      </c>
      <c r="W2186" t="s">
        <v>423</v>
      </c>
    </row>
    <row r="2187" spans="1:23" hidden="1" x14ac:dyDescent="0.2">
      <c r="A2187">
        <v>2012</v>
      </c>
      <c r="B2187" t="s">
        <v>304</v>
      </c>
      <c r="C2187" s="733">
        <v>40962</v>
      </c>
      <c r="D21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87" t="s">
        <v>485</v>
      </c>
      <c r="F2187" t="s">
        <v>2054</v>
      </c>
      <c r="G2187" t="s">
        <v>8557</v>
      </c>
      <c r="H2187">
        <v>10516</v>
      </c>
      <c r="I2187" t="s">
        <v>423</v>
      </c>
      <c r="J2187" t="s">
        <v>2098</v>
      </c>
      <c r="K2187" t="s">
        <v>2057</v>
      </c>
      <c r="L2187" t="s">
        <v>2058</v>
      </c>
      <c r="M2187">
        <v>565</v>
      </c>
      <c r="N2187">
        <v>46.92</v>
      </c>
      <c r="O2187">
        <v>15859.9</v>
      </c>
      <c r="P2187">
        <v>0</v>
      </c>
      <c r="Q2187">
        <v>15859.9</v>
      </c>
      <c r="R2187">
        <v>1744.59</v>
      </c>
      <c r="S2187">
        <v>634.4</v>
      </c>
      <c r="T2187">
        <v>16970.09</v>
      </c>
      <c r="U2187" t="s">
        <v>8864</v>
      </c>
      <c r="V2187" t="s">
        <v>9409</v>
      </c>
      <c r="W2187" t="s">
        <v>423</v>
      </c>
    </row>
    <row r="2188" spans="1:23" hidden="1" x14ac:dyDescent="0.2">
      <c r="A2188">
        <v>2012</v>
      </c>
      <c r="B2188" t="s">
        <v>304</v>
      </c>
      <c r="C2188" s="733">
        <v>40946</v>
      </c>
      <c r="D21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88" t="s">
        <v>485</v>
      </c>
      <c r="F2188" t="s">
        <v>2054</v>
      </c>
      <c r="G2188" t="s">
        <v>6128</v>
      </c>
      <c r="H2188">
        <v>10038</v>
      </c>
      <c r="I2188" t="s">
        <v>423</v>
      </c>
      <c r="J2188" t="s">
        <v>4045</v>
      </c>
      <c r="K2188" t="s">
        <v>2057</v>
      </c>
      <c r="L2188" t="s">
        <v>2058</v>
      </c>
      <c r="M2188">
        <v>0</v>
      </c>
      <c r="N2188">
        <v>23.98</v>
      </c>
      <c r="O2188">
        <v>8105.72</v>
      </c>
      <c r="P2188">
        <v>0</v>
      </c>
      <c r="Q2188">
        <v>8105.72</v>
      </c>
      <c r="R2188">
        <v>1296.92</v>
      </c>
      <c r="S2188">
        <v>324.23</v>
      </c>
      <c r="T2188">
        <v>9078.41</v>
      </c>
      <c r="U2188" t="s">
        <v>2075</v>
      </c>
      <c r="V2188" t="s">
        <v>9408</v>
      </c>
      <c r="W2188" t="s">
        <v>423</v>
      </c>
    </row>
    <row r="2189" spans="1:23" hidden="1" x14ac:dyDescent="0.2">
      <c r="A2189">
        <v>2012</v>
      </c>
      <c r="B2189" t="s">
        <v>304</v>
      </c>
      <c r="C2189" s="733">
        <v>40942.513425925928</v>
      </c>
      <c r="D21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89" t="s">
        <v>485</v>
      </c>
      <c r="F2189" t="s">
        <v>2065</v>
      </c>
      <c r="G2189" t="s">
        <v>6838</v>
      </c>
      <c r="H2189">
        <v>41388</v>
      </c>
      <c r="I2189" t="s">
        <v>423</v>
      </c>
      <c r="J2189" t="s">
        <v>2101</v>
      </c>
      <c r="K2189" t="s">
        <v>2102</v>
      </c>
      <c r="L2189" t="s">
        <v>2103</v>
      </c>
      <c r="M2189">
        <v>119</v>
      </c>
      <c r="N2189">
        <v>25.71</v>
      </c>
      <c r="O2189">
        <v>4312.34</v>
      </c>
      <c r="P2189">
        <v>0</v>
      </c>
      <c r="Q2189">
        <v>4312.34</v>
      </c>
      <c r="R2189">
        <v>689.97</v>
      </c>
      <c r="S2189">
        <v>172.49</v>
      </c>
      <c r="T2189">
        <v>4829.82</v>
      </c>
      <c r="U2189" t="s">
        <v>7462</v>
      </c>
      <c r="V2189" t="s">
        <v>9409</v>
      </c>
      <c r="W2189" t="s">
        <v>423</v>
      </c>
    </row>
    <row r="2190" spans="1:23" x14ac:dyDescent="0.2">
      <c r="A2190">
        <v>2012</v>
      </c>
      <c r="B2190" t="s">
        <v>304</v>
      </c>
      <c r="C2190" s="733">
        <v>40967</v>
      </c>
      <c r="D21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90" t="s">
        <v>485</v>
      </c>
      <c r="F2190" t="s">
        <v>2084</v>
      </c>
      <c r="G2190" t="s">
        <v>9174</v>
      </c>
      <c r="H2190">
        <v>42085</v>
      </c>
      <c r="I2190" t="s">
        <v>423</v>
      </c>
      <c r="J2190" t="s">
        <v>2813</v>
      </c>
      <c r="K2190" t="s">
        <v>2814</v>
      </c>
      <c r="L2190" t="s">
        <v>2815</v>
      </c>
      <c r="M2190">
        <v>365</v>
      </c>
      <c r="N2190">
        <v>23.891999999999999</v>
      </c>
      <c r="O2190">
        <v>6431.25</v>
      </c>
      <c r="P2190">
        <v>0</v>
      </c>
      <c r="Q2190">
        <v>6431.25</v>
      </c>
      <c r="R2190">
        <v>707.44</v>
      </c>
      <c r="S2190">
        <v>257.25</v>
      </c>
      <c r="T2190">
        <v>6881.44</v>
      </c>
      <c r="U2190" t="s">
        <v>8877</v>
      </c>
      <c r="V2190" t="s">
        <v>9408</v>
      </c>
      <c r="W2190" t="s">
        <v>423</v>
      </c>
    </row>
    <row r="2191" spans="1:23" hidden="1" x14ac:dyDescent="0.2">
      <c r="A2191">
        <v>2012</v>
      </c>
      <c r="B2191" t="s">
        <v>303</v>
      </c>
      <c r="C2191" s="733">
        <v>40926</v>
      </c>
      <c r="D21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91" t="s">
        <v>485</v>
      </c>
      <c r="F2191" t="s">
        <v>2084</v>
      </c>
      <c r="G2191" t="s">
        <v>3465</v>
      </c>
      <c r="H2191">
        <v>40207</v>
      </c>
      <c r="I2191" t="s">
        <v>423</v>
      </c>
      <c r="J2191" t="s">
        <v>2813</v>
      </c>
      <c r="K2191" t="s">
        <v>2814</v>
      </c>
      <c r="L2191" t="s">
        <v>2815</v>
      </c>
      <c r="M2191">
        <v>365</v>
      </c>
      <c r="N2191">
        <v>23.856999999999999</v>
      </c>
      <c r="O2191">
        <v>6421.83</v>
      </c>
      <c r="P2191">
        <v>0</v>
      </c>
      <c r="Q2191">
        <v>6421.83</v>
      </c>
      <c r="R2191">
        <v>1027.49</v>
      </c>
      <c r="S2191">
        <v>256.87</v>
      </c>
      <c r="T2191">
        <v>7192.45</v>
      </c>
      <c r="U2191" t="s">
        <v>2824</v>
      </c>
      <c r="V2191" t="s">
        <v>9408</v>
      </c>
      <c r="W2191" t="s">
        <v>423</v>
      </c>
    </row>
    <row r="2192" spans="1:23" hidden="1" x14ac:dyDescent="0.2">
      <c r="A2192">
        <v>2012</v>
      </c>
      <c r="B2192" t="s">
        <v>303</v>
      </c>
      <c r="C2192" s="733">
        <v>40939</v>
      </c>
      <c r="D21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92" t="s">
        <v>485</v>
      </c>
      <c r="F2192" t="s">
        <v>2084</v>
      </c>
      <c r="G2192" t="s">
        <v>3464</v>
      </c>
      <c r="H2192">
        <v>39907</v>
      </c>
      <c r="I2192" t="s">
        <v>423</v>
      </c>
      <c r="J2192" t="s">
        <v>2813</v>
      </c>
      <c r="K2192" t="s">
        <v>2814</v>
      </c>
      <c r="L2192" t="s">
        <v>2815</v>
      </c>
      <c r="M2192">
        <v>365</v>
      </c>
      <c r="N2192">
        <v>23.978999999999999</v>
      </c>
      <c r="O2192">
        <v>6454.67</v>
      </c>
      <c r="P2192">
        <v>0</v>
      </c>
      <c r="Q2192">
        <v>6454.67</v>
      </c>
      <c r="R2192">
        <v>1032.75</v>
      </c>
      <c r="S2192">
        <v>258.19</v>
      </c>
      <c r="T2192">
        <v>7229.23</v>
      </c>
      <c r="U2192" t="s">
        <v>2826</v>
      </c>
      <c r="V2192" t="s">
        <v>9408</v>
      </c>
      <c r="W2192" t="s">
        <v>423</v>
      </c>
    </row>
    <row r="2193" spans="1:23" x14ac:dyDescent="0.2">
      <c r="A2193">
        <v>2012</v>
      </c>
      <c r="B2193" t="s">
        <v>304</v>
      </c>
      <c r="C2193" s="733">
        <v>40967</v>
      </c>
      <c r="D21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93" t="s">
        <v>485</v>
      </c>
      <c r="F2193" t="s">
        <v>2084</v>
      </c>
      <c r="G2193" t="s">
        <v>9178</v>
      </c>
      <c r="H2193">
        <v>41986</v>
      </c>
      <c r="I2193" t="s">
        <v>423</v>
      </c>
      <c r="J2193" t="s">
        <v>2813</v>
      </c>
      <c r="K2193" t="s">
        <v>2814</v>
      </c>
      <c r="L2193" t="s">
        <v>2815</v>
      </c>
      <c r="M2193">
        <v>365</v>
      </c>
      <c r="N2193">
        <v>25.024999999999999</v>
      </c>
      <c r="O2193">
        <v>6736.23</v>
      </c>
      <c r="P2193">
        <v>0</v>
      </c>
      <c r="Q2193">
        <v>6736.23</v>
      </c>
      <c r="R2193">
        <v>740.99</v>
      </c>
      <c r="S2193">
        <v>269.45</v>
      </c>
      <c r="T2193">
        <v>7207.77</v>
      </c>
      <c r="U2193" t="s">
        <v>8877</v>
      </c>
      <c r="V2193" t="s">
        <v>9408</v>
      </c>
      <c r="W2193" t="s">
        <v>423</v>
      </c>
    </row>
    <row r="2194" spans="1:23" hidden="1" x14ac:dyDescent="0.2">
      <c r="A2194">
        <v>2012</v>
      </c>
      <c r="B2194" t="s">
        <v>304</v>
      </c>
      <c r="C2194" s="733">
        <v>40960</v>
      </c>
      <c r="D21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94" t="s">
        <v>485</v>
      </c>
      <c r="F2194" t="s">
        <v>2084</v>
      </c>
      <c r="G2194" t="s">
        <v>8073</v>
      </c>
      <c r="H2194">
        <v>41989</v>
      </c>
      <c r="I2194" t="s">
        <v>423</v>
      </c>
      <c r="J2194" t="s">
        <v>2813</v>
      </c>
      <c r="K2194" t="s">
        <v>2814</v>
      </c>
      <c r="L2194" t="s">
        <v>2815</v>
      </c>
      <c r="M2194">
        <v>365</v>
      </c>
      <c r="N2194">
        <v>24.855</v>
      </c>
      <c r="O2194">
        <v>6690.47</v>
      </c>
      <c r="P2194">
        <v>0</v>
      </c>
      <c r="Q2194">
        <v>6690.47</v>
      </c>
      <c r="R2194">
        <v>735.95</v>
      </c>
      <c r="S2194">
        <v>267.62</v>
      </c>
      <c r="T2194">
        <v>7158.8</v>
      </c>
      <c r="U2194" t="s">
        <v>8877</v>
      </c>
      <c r="V2194" t="s">
        <v>9408</v>
      </c>
      <c r="W2194" t="s">
        <v>423</v>
      </c>
    </row>
    <row r="2195" spans="1:23" hidden="1" x14ac:dyDescent="0.2">
      <c r="A2195">
        <v>2012</v>
      </c>
      <c r="B2195" t="s">
        <v>304</v>
      </c>
      <c r="C2195" s="733">
        <v>40960</v>
      </c>
      <c r="D21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95" t="s">
        <v>485</v>
      </c>
      <c r="F2195" t="s">
        <v>2084</v>
      </c>
      <c r="G2195" t="s">
        <v>8151</v>
      </c>
      <c r="H2195">
        <v>41915</v>
      </c>
      <c r="I2195" t="s">
        <v>423</v>
      </c>
      <c r="J2195" t="s">
        <v>2813</v>
      </c>
      <c r="K2195" t="s">
        <v>2814</v>
      </c>
      <c r="L2195" t="s">
        <v>2815</v>
      </c>
      <c r="M2195">
        <v>365</v>
      </c>
      <c r="N2195">
        <v>23.571999999999999</v>
      </c>
      <c r="O2195">
        <v>6345.11</v>
      </c>
      <c r="P2195">
        <v>0</v>
      </c>
      <c r="Q2195">
        <v>6345.11</v>
      </c>
      <c r="R2195">
        <v>697.96</v>
      </c>
      <c r="S2195">
        <v>253.8</v>
      </c>
      <c r="T2195">
        <v>6789.27</v>
      </c>
      <c r="U2195" t="s">
        <v>8877</v>
      </c>
      <c r="V2195" t="s">
        <v>9408</v>
      </c>
      <c r="W2195" t="s">
        <v>423</v>
      </c>
    </row>
    <row r="2196" spans="1:23" hidden="1" x14ac:dyDescent="0.2">
      <c r="A2196">
        <v>2012</v>
      </c>
      <c r="B2196" t="s">
        <v>303</v>
      </c>
      <c r="C2196" s="733">
        <v>40938</v>
      </c>
      <c r="D21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96" t="s">
        <v>485</v>
      </c>
      <c r="F2196" t="s">
        <v>2084</v>
      </c>
      <c r="G2196" t="s">
        <v>3466</v>
      </c>
      <c r="H2196">
        <v>40059</v>
      </c>
      <c r="I2196" t="s">
        <v>423</v>
      </c>
      <c r="J2196" t="s">
        <v>2813</v>
      </c>
      <c r="K2196" t="s">
        <v>2814</v>
      </c>
      <c r="L2196" t="s">
        <v>2815</v>
      </c>
      <c r="M2196">
        <v>365</v>
      </c>
      <c r="N2196">
        <v>23.58</v>
      </c>
      <c r="O2196">
        <v>6347.26</v>
      </c>
      <c r="P2196">
        <v>0</v>
      </c>
      <c r="Q2196">
        <v>6347.26</v>
      </c>
      <c r="R2196">
        <v>1015.56</v>
      </c>
      <c r="S2196">
        <v>253.89</v>
      </c>
      <c r="T2196">
        <v>7108.93</v>
      </c>
      <c r="U2196" t="s">
        <v>2826</v>
      </c>
      <c r="V2196" t="s">
        <v>9408</v>
      </c>
      <c r="W2196" t="s">
        <v>423</v>
      </c>
    </row>
    <row r="2197" spans="1:23" x14ac:dyDescent="0.2">
      <c r="A2197">
        <v>2012</v>
      </c>
      <c r="B2197" t="s">
        <v>304</v>
      </c>
      <c r="C2197" s="733">
        <v>40967</v>
      </c>
      <c r="D21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97" t="s">
        <v>485</v>
      </c>
      <c r="F2197" t="s">
        <v>2084</v>
      </c>
      <c r="G2197" t="s">
        <v>9179</v>
      </c>
      <c r="H2197">
        <v>42422</v>
      </c>
      <c r="I2197" t="s">
        <v>423</v>
      </c>
      <c r="J2197" t="s">
        <v>2813</v>
      </c>
      <c r="K2197" t="s">
        <v>2814</v>
      </c>
      <c r="L2197" t="s">
        <v>2815</v>
      </c>
      <c r="M2197">
        <v>365</v>
      </c>
      <c r="N2197">
        <v>24.024000000000001</v>
      </c>
      <c r="O2197">
        <v>6466.78</v>
      </c>
      <c r="P2197">
        <v>0</v>
      </c>
      <c r="Q2197">
        <v>6466.78</v>
      </c>
      <c r="R2197">
        <v>711.35</v>
      </c>
      <c r="S2197">
        <v>258.67</v>
      </c>
      <c r="T2197">
        <v>6919.46</v>
      </c>
      <c r="U2197" t="s">
        <v>8877</v>
      </c>
      <c r="V2197" t="s">
        <v>9408</v>
      </c>
      <c r="W2197" t="s">
        <v>423</v>
      </c>
    </row>
    <row r="2198" spans="1:23" x14ac:dyDescent="0.2">
      <c r="A2198">
        <v>2012</v>
      </c>
      <c r="B2198" t="s">
        <v>304</v>
      </c>
      <c r="C2198" s="733">
        <v>40967</v>
      </c>
      <c r="D21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198" t="s">
        <v>485</v>
      </c>
      <c r="F2198" t="s">
        <v>2084</v>
      </c>
      <c r="G2198" t="s">
        <v>9175</v>
      </c>
      <c r="H2198">
        <v>42273</v>
      </c>
      <c r="I2198" t="s">
        <v>423</v>
      </c>
      <c r="J2198" t="s">
        <v>2813</v>
      </c>
      <c r="K2198" t="s">
        <v>2814</v>
      </c>
      <c r="L2198" t="s">
        <v>2815</v>
      </c>
      <c r="M2198">
        <v>365</v>
      </c>
      <c r="N2198">
        <v>24.010999999999999</v>
      </c>
      <c r="O2198">
        <v>6463.28</v>
      </c>
      <c r="P2198">
        <v>0</v>
      </c>
      <c r="Q2198">
        <v>6463.28</v>
      </c>
      <c r="R2198">
        <v>710.96</v>
      </c>
      <c r="S2198">
        <v>258.52999999999997</v>
      </c>
      <c r="T2198">
        <v>6915.71</v>
      </c>
      <c r="U2198" t="s">
        <v>8877</v>
      </c>
      <c r="V2198" t="s">
        <v>9408</v>
      </c>
      <c r="W2198" t="s">
        <v>423</v>
      </c>
    </row>
    <row r="2199" spans="1:23" hidden="1" x14ac:dyDescent="0.2">
      <c r="A2199">
        <v>2012</v>
      </c>
      <c r="B2199" t="s">
        <v>303</v>
      </c>
      <c r="C2199" s="733">
        <v>40932</v>
      </c>
      <c r="D21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199" t="s">
        <v>485</v>
      </c>
      <c r="F2199" t="s">
        <v>2084</v>
      </c>
      <c r="G2199" t="s">
        <v>3474</v>
      </c>
      <c r="H2199">
        <v>40452</v>
      </c>
      <c r="I2199" t="s">
        <v>423</v>
      </c>
      <c r="J2199" t="s">
        <v>2813</v>
      </c>
      <c r="K2199" t="s">
        <v>2814</v>
      </c>
      <c r="L2199" t="s">
        <v>2815</v>
      </c>
      <c r="M2199">
        <v>365</v>
      </c>
      <c r="N2199">
        <v>23.742999999999999</v>
      </c>
      <c r="O2199">
        <v>6391.14</v>
      </c>
      <c r="P2199">
        <v>0</v>
      </c>
      <c r="Q2199">
        <v>6391.14</v>
      </c>
      <c r="R2199">
        <v>1022.58</v>
      </c>
      <c r="S2199">
        <v>255.65</v>
      </c>
      <c r="T2199">
        <v>7158.07</v>
      </c>
      <c r="U2199" t="s">
        <v>2826</v>
      </c>
      <c r="V2199" t="s">
        <v>9408</v>
      </c>
      <c r="W2199" t="s">
        <v>423</v>
      </c>
    </row>
    <row r="2200" spans="1:23" hidden="1" x14ac:dyDescent="0.2">
      <c r="A2200">
        <v>2012</v>
      </c>
      <c r="B2200" t="s">
        <v>303</v>
      </c>
      <c r="C2200" s="733">
        <v>40920</v>
      </c>
      <c r="D22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00" t="s">
        <v>485</v>
      </c>
      <c r="F2200" t="s">
        <v>2084</v>
      </c>
      <c r="G2200" t="s">
        <v>3475</v>
      </c>
      <c r="H2200">
        <v>39933</v>
      </c>
      <c r="I2200" t="s">
        <v>423</v>
      </c>
      <c r="J2200" t="s">
        <v>2813</v>
      </c>
      <c r="K2200" t="s">
        <v>2814</v>
      </c>
      <c r="L2200" t="s">
        <v>2815</v>
      </c>
      <c r="M2200">
        <v>365</v>
      </c>
      <c r="N2200">
        <v>24.138000000000002</v>
      </c>
      <c r="O2200">
        <v>6497.47</v>
      </c>
      <c r="P2200">
        <v>0</v>
      </c>
      <c r="Q2200">
        <v>6497.47</v>
      </c>
      <c r="R2200">
        <v>1039.5899999999999</v>
      </c>
      <c r="S2200">
        <v>259.89999999999998</v>
      </c>
      <c r="T2200">
        <v>7277.16</v>
      </c>
      <c r="U2200" t="s">
        <v>2826</v>
      </c>
      <c r="V2200" t="s">
        <v>9408</v>
      </c>
      <c r="W2200" t="s">
        <v>423</v>
      </c>
    </row>
    <row r="2201" spans="1:23" hidden="1" x14ac:dyDescent="0.2">
      <c r="A2201">
        <v>2012</v>
      </c>
      <c r="B2201" t="s">
        <v>303</v>
      </c>
      <c r="C2201" s="733">
        <v>40928</v>
      </c>
      <c r="D22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01" t="s">
        <v>485</v>
      </c>
      <c r="F2201" t="s">
        <v>2048</v>
      </c>
      <c r="G2201" t="s">
        <v>5172</v>
      </c>
      <c r="H2201">
        <v>40666</v>
      </c>
      <c r="I2201" t="s">
        <v>423</v>
      </c>
      <c r="J2201" t="s">
        <v>4091</v>
      </c>
      <c r="K2201" t="s">
        <v>2051</v>
      </c>
      <c r="L2201" t="s">
        <v>2052</v>
      </c>
      <c r="M2201">
        <v>1092</v>
      </c>
      <c r="N2201">
        <v>28.55</v>
      </c>
      <c r="O2201">
        <v>16658.919999999998</v>
      </c>
      <c r="P2201">
        <v>0</v>
      </c>
      <c r="Q2201">
        <v>16658.919999999998</v>
      </c>
      <c r="R2201">
        <v>2665.43</v>
      </c>
      <c r="S2201">
        <v>666.36</v>
      </c>
      <c r="T2201">
        <v>18657.990000000002</v>
      </c>
      <c r="U2201" t="s">
        <v>2053</v>
      </c>
      <c r="V2201" t="s">
        <v>9409</v>
      </c>
      <c r="W2201" t="s">
        <v>423</v>
      </c>
    </row>
    <row r="2202" spans="1:23" hidden="1" x14ac:dyDescent="0.2">
      <c r="A2202">
        <v>2012</v>
      </c>
      <c r="B2202" t="s">
        <v>304</v>
      </c>
      <c r="C2202" s="733">
        <v>40953</v>
      </c>
      <c r="D22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02" t="s">
        <v>485</v>
      </c>
      <c r="F2202" t="s">
        <v>2065</v>
      </c>
      <c r="G2202" t="s">
        <v>5173</v>
      </c>
      <c r="H2202">
        <v>41884</v>
      </c>
      <c r="I2202" t="s">
        <v>423</v>
      </c>
      <c r="J2202" t="s">
        <v>4091</v>
      </c>
      <c r="K2202" t="s">
        <v>2051</v>
      </c>
      <c r="L2202" t="s">
        <v>2052</v>
      </c>
      <c r="M2202">
        <v>1092</v>
      </c>
      <c r="N2202">
        <v>23.7</v>
      </c>
      <c r="O2202">
        <v>13828.95</v>
      </c>
      <c r="P2202">
        <v>0</v>
      </c>
      <c r="Q2202">
        <v>13828.95</v>
      </c>
      <c r="R2202">
        <v>2212.63</v>
      </c>
      <c r="S2202">
        <v>553.16</v>
      </c>
      <c r="T2202">
        <v>15488.42</v>
      </c>
      <c r="U2202" t="s">
        <v>8257</v>
      </c>
      <c r="V2202" t="s">
        <v>9409</v>
      </c>
      <c r="W2202" t="s">
        <v>423</v>
      </c>
    </row>
    <row r="2203" spans="1:23" hidden="1" x14ac:dyDescent="0.2">
      <c r="A2203">
        <v>2012</v>
      </c>
      <c r="B2203" t="s">
        <v>303</v>
      </c>
      <c r="C2203" s="733">
        <v>40924.546226851853</v>
      </c>
      <c r="D22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03" t="s">
        <v>485</v>
      </c>
      <c r="F2203" t="s">
        <v>2054</v>
      </c>
      <c r="G2203" t="s">
        <v>3614</v>
      </c>
      <c r="H2203">
        <v>10076</v>
      </c>
      <c r="I2203" t="s">
        <v>423</v>
      </c>
      <c r="J2203" t="s">
        <v>2072</v>
      </c>
      <c r="K2203" t="s">
        <v>2057</v>
      </c>
      <c r="L2203" t="s">
        <v>2058</v>
      </c>
      <c r="M2203">
        <v>406</v>
      </c>
      <c r="N2203">
        <v>47.14</v>
      </c>
      <c r="O2203">
        <v>12882.42</v>
      </c>
      <c r="P2203">
        <v>0</v>
      </c>
      <c r="Q2203">
        <v>12882.42</v>
      </c>
      <c r="R2203">
        <v>2061.19</v>
      </c>
      <c r="S2203">
        <v>515.29999999999995</v>
      </c>
      <c r="T2203">
        <v>14428.31</v>
      </c>
      <c r="U2203" t="s">
        <v>2059</v>
      </c>
      <c r="V2203" t="s">
        <v>9409</v>
      </c>
      <c r="W2203" t="s">
        <v>423</v>
      </c>
    </row>
    <row r="2204" spans="1:23" hidden="1" x14ac:dyDescent="0.2">
      <c r="A2204">
        <v>2012</v>
      </c>
      <c r="B2204" t="s">
        <v>303</v>
      </c>
      <c r="C2204" s="733">
        <v>40931</v>
      </c>
      <c r="D22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04" t="s">
        <v>505</v>
      </c>
      <c r="F2204" t="s">
        <v>1915</v>
      </c>
      <c r="G2204" t="s">
        <v>2616</v>
      </c>
      <c r="H2204">
        <v>22163</v>
      </c>
      <c r="I2204" t="s">
        <v>423</v>
      </c>
      <c r="J2204" t="s">
        <v>1943</v>
      </c>
      <c r="K2204" t="s">
        <v>1918</v>
      </c>
      <c r="L2204" t="s">
        <v>1919</v>
      </c>
      <c r="M2204">
        <v>319</v>
      </c>
      <c r="N2204">
        <v>54.01</v>
      </c>
      <c r="O2204">
        <v>15837.89</v>
      </c>
      <c r="P2204">
        <v>0</v>
      </c>
      <c r="Q2204">
        <v>15837.89</v>
      </c>
      <c r="R2204">
        <v>2534.06</v>
      </c>
      <c r="S2204">
        <v>633.52</v>
      </c>
      <c r="T2204">
        <v>17738.43</v>
      </c>
      <c r="V2204" t="s">
        <v>9409</v>
      </c>
      <c r="W2204" t="s">
        <v>423</v>
      </c>
    </row>
    <row r="2205" spans="1:23" hidden="1" x14ac:dyDescent="0.2">
      <c r="A2205">
        <v>2012</v>
      </c>
      <c r="B2205" t="s">
        <v>304</v>
      </c>
      <c r="C2205" s="733">
        <v>40959.641828703701</v>
      </c>
      <c r="D22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05" t="s">
        <v>485</v>
      </c>
      <c r="F2205" t="s">
        <v>2054</v>
      </c>
      <c r="G2205" t="s">
        <v>8182</v>
      </c>
      <c r="H2205">
        <v>10493</v>
      </c>
      <c r="I2205" t="s">
        <v>423</v>
      </c>
      <c r="J2205" t="s">
        <v>2072</v>
      </c>
      <c r="K2205" t="s">
        <v>2057</v>
      </c>
      <c r="L2205" t="s">
        <v>2058</v>
      </c>
      <c r="M2205">
        <v>406</v>
      </c>
      <c r="N2205">
        <v>44.77</v>
      </c>
      <c r="O2205">
        <v>12234.75</v>
      </c>
      <c r="P2205">
        <v>0</v>
      </c>
      <c r="Q2205">
        <v>12234.75</v>
      </c>
      <c r="R2205">
        <v>1345.82</v>
      </c>
      <c r="S2205">
        <v>489.39</v>
      </c>
      <c r="T2205">
        <v>13091.18</v>
      </c>
      <c r="U2205" t="s">
        <v>8864</v>
      </c>
      <c r="V2205" t="s">
        <v>9409</v>
      </c>
      <c r="W2205" t="s">
        <v>423</v>
      </c>
    </row>
    <row r="2206" spans="1:23" hidden="1" x14ac:dyDescent="0.2">
      <c r="A2206">
        <v>2012</v>
      </c>
      <c r="B2206" t="s">
        <v>303</v>
      </c>
      <c r="C2206" s="733">
        <v>40919</v>
      </c>
      <c r="D22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06" t="s">
        <v>485</v>
      </c>
      <c r="F2206" t="s">
        <v>2054</v>
      </c>
      <c r="G2206" t="s">
        <v>3615</v>
      </c>
      <c r="H2206">
        <v>9960</v>
      </c>
      <c r="I2206" t="s">
        <v>423</v>
      </c>
      <c r="J2206" t="s">
        <v>2072</v>
      </c>
      <c r="K2206" t="s">
        <v>2057</v>
      </c>
      <c r="L2206" t="s">
        <v>2058</v>
      </c>
      <c r="M2206">
        <v>406</v>
      </c>
      <c r="N2206">
        <v>22.75</v>
      </c>
      <c r="O2206">
        <v>6217.12</v>
      </c>
      <c r="P2206">
        <v>0</v>
      </c>
      <c r="Q2206">
        <v>6217.12</v>
      </c>
      <c r="R2206">
        <v>994.74</v>
      </c>
      <c r="S2206">
        <v>248.68</v>
      </c>
      <c r="T2206">
        <v>6963.18</v>
      </c>
      <c r="U2206" t="s">
        <v>2070</v>
      </c>
      <c r="V2206" t="s">
        <v>9409</v>
      </c>
      <c r="W2206" t="s">
        <v>423</v>
      </c>
    </row>
    <row r="2207" spans="1:23" hidden="1" x14ac:dyDescent="0.2">
      <c r="A2207">
        <v>2012</v>
      </c>
      <c r="B2207" t="s">
        <v>303</v>
      </c>
      <c r="C2207" s="733">
        <v>40936.637685185182</v>
      </c>
      <c r="D22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07" t="s">
        <v>485</v>
      </c>
      <c r="F2207" t="s">
        <v>2054</v>
      </c>
      <c r="G2207" t="s">
        <v>4961</v>
      </c>
      <c r="H2207">
        <v>10241</v>
      </c>
      <c r="I2207" t="s">
        <v>423</v>
      </c>
      <c r="J2207" t="s">
        <v>2072</v>
      </c>
      <c r="K2207" t="s">
        <v>2057</v>
      </c>
      <c r="L2207" t="s">
        <v>2058</v>
      </c>
      <c r="M2207">
        <v>406</v>
      </c>
      <c r="N2207">
        <v>22.94</v>
      </c>
      <c r="O2207">
        <v>6269.04</v>
      </c>
      <c r="P2207">
        <v>0</v>
      </c>
      <c r="Q2207">
        <v>6269.04</v>
      </c>
      <c r="R2207">
        <v>1003.05</v>
      </c>
      <c r="S2207">
        <v>250.76</v>
      </c>
      <c r="T2207">
        <v>7021.33</v>
      </c>
      <c r="U2207" t="s">
        <v>2073</v>
      </c>
      <c r="V2207" t="s">
        <v>9408</v>
      </c>
      <c r="W2207" t="s">
        <v>423</v>
      </c>
    </row>
    <row r="2208" spans="1:23" hidden="1" x14ac:dyDescent="0.2">
      <c r="A2208">
        <v>2012</v>
      </c>
      <c r="B2208" t="s">
        <v>303</v>
      </c>
      <c r="C2208" s="733">
        <v>40939</v>
      </c>
      <c r="D22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08" t="s">
        <v>485</v>
      </c>
      <c r="F2208" t="s">
        <v>2065</v>
      </c>
      <c r="G2208" t="s">
        <v>4944</v>
      </c>
      <c r="H2208">
        <v>41064</v>
      </c>
      <c r="I2208" t="s">
        <v>423</v>
      </c>
      <c r="J2208" t="s">
        <v>3972</v>
      </c>
      <c r="K2208" t="s">
        <v>2183</v>
      </c>
      <c r="L2208" t="s">
        <v>2184</v>
      </c>
      <c r="M2208">
        <v>184</v>
      </c>
      <c r="N2208">
        <v>27.39</v>
      </c>
      <c r="O2208">
        <v>4873.2299999999996</v>
      </c>
      <c r="P2208">
        <v>0</v>
      </c>
      <c r="Q2208">
        <v>4873.2299999999996</v>
      </c>
      <c r="R2208">
        <v>779.72</v>
      </c>
      <c r="S2208">
        <v>194.93</v>
      </c>
      <c r="T2208">
        <v>5458.02</v>
      </c>
      <c r="U2208" t="s">
        <v>2192</v>
      </c>
      <c r="V2208" t="s">
        <v>9408</v>
      </c>
      <c r="W2208" t="s">
        <v>423</v>
      </c>
    </row>
    <row r="2209" spans="1:23" hidden="1" x14ac:dyDescent="0.2">
      <c r="A2209">
        <v>2012</v>
      </c>
      <c r="B2209" t="s">
        <v>304</v>
      </c>
      <c r="C2209" s="733">
        <v>40959</v>
      </c>
      <c r="D22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09" t="s">
        <v>485</v>
      </c>
      <c r="F2209" t="s">
        <v>2065</v>
      </c>
      <c r="G2209" t="s">
        <v>7692</v>
      </c>
      <c r="H2209">
        <v>42192</v>
      </c>
      <c r="I2209" t="s">
        <v>423</v>
      </c>
      <c r="J2209" t="s">
        <v>3972</v>
      </c>
      <c r="K2209" t="s">
        <v>2183</v>
      </c>
      <c r="L2209" t="s">
        <v>2184</v>
      </c>
      <c r="M2209">
        <v>184</v>
      </c>
      <c r="N2209">
        <v>25.47</v>
      </c>
      <c r="O2209">
        <v>4531.62</v>
      </c>
      <c r="P2209">
        <v>0</v>
      </c>
      <c r="Q2209">
        <v>4531.62</v>
      </c>
      <c r="R2209">
        <v>725.06</v>
      </c>
      <c r="S2209">
        <v>181.26</v>
      </c>
      <c r="T2209">
        <v>5075.42</v>
      </c>
      <c r="U2209" t="s">
        <v>9411</v>
      </c>
      <c r="V2209" t="s">
        <v>9408</v>
      </c>
      <c r="W2209" t="s">
        <v>423</v>
      </c>
    </row>
    <row r="2210" spans="1:23" hidden="1" x14ac:dyDescent="0.2">
      <c r="A2210">
        <v>2012</v>
      </c>
      <c r="B2210" t="s">
        <v>303</v>
      </c>
      <c r="C2210" s="733">
        <v>40935</v>
      </c>
      <c r="D22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10" t="s">
        <v>505</v>
      </c>
      <c r="F2210" t="s">
        <v>1915</v>
      </c>
      <c r="G2210" t="s">
        <v>2604</v>
      </c>
      <c r="H2210">
        <v>22273</v>
      </c>
      <c r="I2210" t="s">
        <v>423</v>
      </c>
      <c r="J2210" t="s">
        <v>1943</v>
      </c>
      <c r="K2210" t="s">
        <v>1918</v>
      </c>
      <c r="L2210" t="s">
        <v>1919</v>
      </c>
      <c r="M2210">
        <v>319</v>
      </c>
      <c r="N2210">
        <v>53.93</v>
      </c>
      <c r="O2210">
        <v>15814.43</v>
      </c>
      <c r="P2210">
        <v>0</v>
      </c>
      <c r="Q2210">
        <v>15814.43</v>
      </c>
      <c r="R2210">
        <v>2530.31</v>
      </c>
      <c r="S2210">
        <v>632.58000000000004</v>
      </c>
      <c r="T2210">
        <v>17712.16</v>
      </c>
      <c r="U2210" t="s">
        <v>1926</v>
      </c>
      <c r="V2210" t="s">
        <v>9409</v>
      </c>
      <c r="W2210" t="s">
        <v>423</v>
      </c>
    </row>
    <row r="2211" spans="1:23" hidden="1" x14ac:dyDescent="0.2">
      <c r="A2211">
        <v>2012</v>
      </c>
      <c r="B2211" t="s">
        <v>303</v>
      </c>
      <c r="C2211" s="733">
        <v>40926</v>
      </c>
      <c r="D22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11" t="s">
        <v>478</v>
      </c>
      <c r="F2211" t="s">
        <v>2622</v>
      </c>
      <c r="G2211" t="s">
        <v>4727</v>
      </c>
      <c r="H2211">
        <v>34598</v>
      </c>
      <c r="I2211" t="s">
        <v>423</v>
      </c>
      <c r="J2211" t="s">
        <v>2624</v>
      </c>
      <c r="K2211" t="s">
        <v>2625</v>
      </c>
      <c r="L2211" t="s">
        <v>2626</v>
      </c>
      <c r="M2211">
        <v>10</v>
      </c>
      <c r="N2211">
        <v>26.38</v>
      </c>
      <c r="O2211">
        <v>2976.98</v>
      </c>
      <c r="P2211">
        <v>0</v>
      </c>
      <c r="Q2211">
        <v>2976.98</v>
      </c>
      <c r="R2211">
        <v>476.32</v>
      </c>
      <c r="S2211">
        <v>119.08</v>
      </c>
      <c r="T2211">
        <v>3334.22</v>
      </c>
      <c r="U2211" t="s">
        <v>2627</v>
      </c>
      <c r="V2211" t="s">
        <v>9408</v>
      </c>
      <c r="W2211" t="s">
        <v>423</v>
      </c>
    </row>
    <row r="2212" spans="1:23" hidden="1" x14ac:dyDescent="0.2">
      <c r="A2212">
        <v>2012</v>
      </c>
      <c r="B2212" t="s">
        <v>305</v>
      </c>
      <c r="C2212" s="733">
        <v>40969.693101851852</v>
      </c>
      <c r="D2212" s="733" t="str">
        <f>CHOOSE(MONTH(Tabla_sqldatos_bonampakdb_Bon_v_ingresos2012[[#This Row],[fecha_guia]]),"Enero","Febrero","Marzo","Abril","Mayo","Junio","Julio","Agosto","Septiembre","Octubre","Noviembre","Diciembre")</f>
        <v>Marzo</v>
      </c>
      <c r="E2212" t="s">
        <v>478</v>
      </c>
      <c r="F2212" t="s">
        <v>2622</v>
      </c>
      <c r="G2212" t="s">
        <v>9531</v>
      </c>
      <c r="H2212">
        <v>36218</v>
      </c>
      <c r="I2212" t="s">
        <v>423</v>
      </c>
      <c r="J2212" t="s">
        <v>2624</v>
      </c>
      <c r="K2212" t="s">
        <v>2625</v>
      </c>
      <c r="L2212" t="s">
        <v>2626</v>
      </c>
      <c r="M2212">
        <v>10</v>
      </c>
      <c r="N2212">
        <v>24.17</v>
      </c>
      <c r="O2212">
        <v>2727.58</v>
      </c>
      <c r="P2212">
        <v>0</v>
      </c>
      <c r="Q2212">
        <v>2727.58</v>
      </c>
      <c r="R2212">
        <v>436.41</v>
      </c>
      <c r="S2212">
        <v>109.1</v>
      </c>
      <c r="T2212">
        <v>3054.89</v>
      </c>
      <c r="V2212" t="s">
        <v>9408</v>
      </c>
      <c r="W2212" t="s">
        <v>423</v>
      </c>
    </row>
    <row r="2213" spans="1:23" hidden="1" x14ac:dyDescent="0.2">
      <c r="A2213">
        <v>2012</v>
      </c>
      <c r="B2213" t="s">
        <v>305</v>
      </c>
      <c r="C2213" s="733">
        <v>40969.694097222222</v>
      </c>
      <c r="D2213" s="733" t="str">
        <f>CHOOSE(MONTH(Tabla_sqldatos_bonampakdb_Bon_v_ingresos2012[[#This Row],[fecha_guia]]),"Enero","Febrero","Marzo","Abril","Mayo","Junio","Julio","Agosto","Septiembre","Octubre","Noviembre","Diciembre")</f>
        <v>Marzo</v>
      </c>
      <c r="E2213" t="s">
        <v>478</v>
      </c>
      <c r="F2213" t="s">
        <v>2622</v>
      </c>
      <c r="G2213" t="s">
        <v>9532</v>
      </c>
      <c r="H2213">
        <v>36221</v>
      </c>
      <c r="I2213" t="s">
        <v>423</v>
      </c>
      <c r="J2213" t="s">
        <v>2624</v>
      </c>
      <c r="K2213" t="s">
        <v>2625</v>
      </c>
      <c r="L2213" t="s">
        <v>2626</v>
      </c>
      <c r="M2213">
        <v>10</v>
      </c>
      <c r="N2213">
        <v>25.47</v>
      </c>
      <c r="O2213">
        <v>2874.29</v>
      </c>
      <c r="P2213">
        <v>0</v>
      </c>
      <c r="Q2213">
        <v>2874.29</v>
      </c>
      <c r="R2213">
        <v>459.89</v>
      </c>
      <c r="S2213">
        <v>114.97</v>
      </c>
      <c r="T2213">
        <v>3219.21</v>
      </c>
      <c r="V2213" t="s">
        <v>9408</v>
      </c>
      <c r="W2213" t="s">
        <v>423</v>
      </c>
    </row>
    <row r="2214" spans="1:23" hidden="1" x14ac:dyDescent="0.2">
      <c r="A2214">
        <v>2012</v>
      </c>
      <c r="B2214" t="s">
        <v>303</v>
      </c>
      <c r="C2214" s="733">
        <v>40926</v>
      </c>
      <c r="D22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14" t="s">
        <v>478</v>
      </c>
      <c r="F2214" t="s">
        <v>2622</v>
      </c>
      <c r="G2214" t="s">
        <v>4728</v>
      </c>
      <c r="H2214">
        <v>34595</v>
      </c>
      <c r="I2214" t="s">
        <v>423</v>
      </c>
      <c r="J2214" t="s">
        <v>2624</v>
      </c>
      <c r="K2214" t="s">
        <v>2625</v>
      </c>
      <c r="L2214" t="s">
        <v>2626</v>
      </c>
      <c r="M2214">
        <v>10</v>
      </c>
      <c r="N2214">
        <v>26.44</v>
      </c>
      <c r="O2214">
        <v>2983.75</v>
      </c>
      <c r="P2214">
        <v>0</v>
      </c>
      <c r="Q2214">
        <v>2983.75</v>
      </c>
      <c r="R2214">
        <v>477.4</v>
      </c>
      <c r="S2214">
        <v>119.35</v>
      </c>
      <c r="T2214">
        <v>3341.8</v>
      </c>
      <c r="U2214" t="s">
        <v>2627</v>
      </c>
      <c r="V2214" t="s">
        <v>9408</v>
      </c>
      <c r="W2214" t="s">
        <v>423</v>
      </c>
    </row>
    <row r="2215" spans="1:23" hidden="1" x14ac:dyDescent="0.2">
      <c r="A2215">
        <v>2012</v>
      </c>
      <c r="B2215" t="s">
        <v>304</v>
      </c>
      <c r="C2215" s="733">
        <v>40963.458877314813</v>
      </c>
      <c r="D22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15" t="s">
        <v>478</v>
      </c>
      <c r="F2215" t="s">
        <v>2622</v>
      </c>
      <c r="G2215" t="s">
        <v>8903</v>
      </c>
      <c r="H2215">
        <v>36001</v>
      </c>
      <c r="I2215" t="s">
        <v>423</v>
      </c>
      <c r="J2215" t="s">
        <v>2624</v>
      </c>
      <c r="K2215" t="s">
        <v>2625</v>
      </c>
      <c r="L2215" t="s">
        <v>2626</v>
      </c>
      <c r="M2215">
        <v>10</v>
      </c>
      <c r="N2215">
        <v>23.59</v>
      </c>
      <c r="O2215">
        <v>2662.13</v>
      </c>
      <c r="P2215">
        <v>0</v>
      </c>
      <c r="Q2215">
        <v>2662.13</v>
      </c>
      <c r="R2215">
        <v>425.94</v>
      </c>
      <c r="S2215">
        <v>106.49</v>
      </c>
      <c r="T2215">
        <v>2981.58</v>
      </c>
      <c r="U2215" t="s">
        <v>9428</v>
      </c>
      <c r="V2215" t="s">
        <v>9408</v>
      </c>
      <c r="W2215" t="s">
        <v>423</v>
      </c>
    </row>
    <row r="2216" spans="1:23" hidden="1" x14ac:dyDescent="0.2">
      <c r="A2216">
        <v>2012</v>
      </c>
      <c r="B2216" t="s">
        <v>304</v>
      </c>
      <c r="C2216" s="733">
        <v>40954</v>
      </c>
      <c r="D22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16" t="s">
        <v>478</v>
      </c>
      <c r="F2216" t="s">
        <v>2622</v>
      </c>
      <c r="G2216" t="s">
        <v>7926</v>
      </c>
      <c r="H2216">
        <v>35643</v>
      </c>
      <c r="I2216" t="s">
        <v>423</v>
      </c>
      <c r="J2216" t="s">
        <v>2624</v>
      </c>
      <c r="K2216" t="s">
        <v>2625</v>
      </c>
      <c r="L2216" t="s">
        <v>2626</v>
      </c>
      <c r="M2216">
        <v>10</v>
      </c>
      <c r="N2216">
        <v>23.75</v>
      </c>
      <c r="O2216">
        <v>2680.19</v>
      </c>
      <c r="P2216">
        <v>0</v>
      </c>
      <c r="Q2216">
        <v>2680.19</v>
      </c>
      <c r="R2216">
        <v>428.83</v>
      </c>
      <c r="S2216">
        <v>107.21</v>
      </c>
      <c r="T2216">
        <v>3001.81</v>
      </c>
      <c r="U2216" t="s">
        <v>7548</v>
      </c>
      <c r="V2216" t="s">
        <v>9408</v>
      </c>
      <c r="W2216" t="s">
        <v>423</v>
      </c>
    </row>
    <row r="2217" spans="1:23" hidden="1" x14ac:dyDescent="0.2">
      <c r="A2217">
        <v>2012</v>
      </c>
      <c r="B2217" t="s">
        <v>304</v>
      </c>
      <c r="C2217" s="733">
        <v>40963.461597222224</v>
      </c>
      <c r="D22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17" t="s">
        <v>478</v>
      </c>
      <c r="F2217" t="s">
        <v>2622</v>
      </c>
      <c r="G2217" t="s">
        <v>8904</v>
      </c>
      <c r="H2217">
        <v>36007</v>
      </c>
      <c r="I2217" t="s">
        <v>423</v>
      </c>
      <c r="J2217" t="s">
        <v>2624</v>
      </c>
      <c r="K2217" t="s">
        <v>2625</v>
      </c>
      <c r="L2217" t="s">
        <v>2626</v>
      </c>
      <c r="M2217">
        <v>10</v>
      </c>
      <c r="N2217">
        <v>23.84</v>
      </c>
      <c r="O2217">
        <v>2690.34</v>
      </c>
      <c r="P2217">
        <v>0</v>
      </c>
      <c r="Q2217">
        <v>2690.34</v>
      </c>
      <c r="R2217">
        <v>430.46</v>
      </c>
      <c r="S2217">
        <v>107.61</v>
      </c>
      <c r="T2217">
        <v>3013.19</v>
      </c>
      <c r="U2217" t="s">
        <v>9428</v>
      </c>
      <c r="V2217" t="s">
        <v>9408</v>
      </c>
      <c r="W2217" t="s">
        <v>423</v>
      </c>
    </row>
    <row r="2218" spans="1:23" hidden="1" x14ac:dyDescent="0.2">
      <c r="A2218">
        <v>2012</v>
      </c>
      <c r="B2218" t="s">
        <v>303</v>
      </c>
      <c r="C2218" s="733">
        <v>40939</v>
      </c>
      <c r="D22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18" t="s">
        <v>478</v>
      </c>
      <c r="F2218" t="s">
        <v>2622</v>
      </c>
      <c r="G2218" t="s">
        <v>4858</v>
      </c>
      <c r="H2218">
        <v>35120</v>
      </c>
      <c r="I2218" t="s">
        <v>423</v>
      </c>
      <c r="J2218" t="s">
        <v>2624</v>
      </c>
      <c r="K2218" t="s">
        <v>2625</v>
      </c>
      <c r="L2218" t="s">
        <v>2626</v>
      </c>
      <c r="M2218">
        <v>10</v>
      </c>
      <c r="N2218">
        <v>22.02</v>
      </c>
      <c r="O2218">
        <v>2484.96</v>
      </c>
      <c r="P2218">
        <v>0</v>
      </c>
      <c r="Q2218">
        <v>2484.96</v>
      </c>
      <c r="R2218">
        <v>397.59</v>
      </c>
      <c r="S2218">
        <v>99.4</v>
      </c>
      <c r="T2218">
        <v>2783.15</v>
      </c>
      <c r="U2218" t="s">
        <v>2648</v>
      </c>
      <c r="V2218" t="s">
        <v>9408</v>
      </c>
      <c r="W2218" t="s">
        <v>423</v>
      </c>
    </row>
    <row r="2219" spans="1:23" hidden="1" x14ac:dyDescent="0.2">
      <c r="A2219">
        <v>2012</v>
      </c>
      <c r="B2219" t="s">
        <v>303</v>
      </c>
      <c r="C2219" s="733">
        <v>40920</v>
      </c>
      <c r="D22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19" t="s">
        <v>478</v>
      </c>
      <c r="F2219" t="s">
        <v>2136</v>
      </c>
      <c r="G2219" t="s">
        <v>4853</v>
      </c>
      <c r="H2219">
        <v>34434</v>
      </c>
      <c r="I2219" t="s">
        <v>423</v>
      </c>
      <c r="J2219" t="s">
        <v>2624</v>
      </c>
      <c r="K2219" t="s">
        <v>2625</v>
      </c>
      <c r="L2219" t="s">
        <v>2626</v>
      </c>
      <c r="M2219">
        <v>10</v>
      </c>
      <c r="N2219">
        <v>22.56</v>
      </c>
      <c r="O2219">
        <v>2545.9</v>
      </c>
      <c r="P2219">
        <v>0</v>
      </c>
      <c r="Q2219">
        <v>2545.9</v>
      </c>
      <c r="R2219">
        <v>407.34</v>
      </c>
      <c r="S2219">
        <v>101.84</v>
      </c>
      <c r="T2219">
        <v>2851.4</v>
      </c>
      <c r="U2219" t="s">
        <v>2627</v>
      </c>
      <c r="V2219" t="s">
        <v>9408</v>
      </c>
      <c r="W2219" t="s">
        <v>423</v>
      </c>
    </row>
    <row r="2220" spans="1:23" hidden="1" x14ac:dyDescent="0.2">
      <c r="A2220">
        <v>2012</v>
      </c>
      <c r="B2220" t="s">
        <v>303</v>
      </c>
      <c r="C2220" s="733">
        <v>40926</v>
      </c>
      <c r="D22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20" t="s">
        <v>478</v>
      </c>
      <c r="F2220" t="s">
        <v>2622</v>
      </c>
      <c r="G2220" t="s">
        <v>4857</v>
      </c>
      <c r="H2220">
        <v>34601</v>
      </c>
      <c r="I2220" t="s">
        <v>423</v>
      </c>
      <c r="J2220" t="s">
        <v>2624</v>
      </c>
      <c r="K2220" t="s">
        <v>2625</v>
      </c>
      <c r="L2220" t="s">
        <v>2626</v>
      </c>
      <c r="M2220">
        <v>10</v>
      </c>
      <c r="N2220">
        <v>26.15</v>
      </c>
      <c r="O2220">
        <v>2951.03</v>
      </c>
      <c r="P2220">
        <v>0</v>
      </c>
      <c r="Q2220">
        <v>2951.03</v>
      </c>
      <c r="R2220">
        <v>472.16</v>
      </c>
      <c r="S2220">
        <v>118.04</v>
      </c>
      <c r="T2220">
        <v>3305.15</v>
      </c>
      <c r="U2220" t="s">
        <v>2627</v>
      </c>
      <c r="V2220" t="s">
        <v>9408</v>
      </c>
      <c r="W2220" t="s">
        <v>423</v>
      </c>
    </row>
    <row r="2221" spans="1:23" hidden="1" x14ac:dyDescent="0.2">
      <c r="A2221">
        <v>2012</v>
      </c>
      <c r="B2221" t="s">
        <v>304</v>
      </c>
      <c r="C2221" s="733">
        <v>40960.425347222219</v>
      </c>
      <c r="D22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21" t="s">
        <v>478</v>
      </c>
      <c r="F2221" t="s">
        <v>2622</v>
      </c>
      <c r="G2221" t="s">
        <v>8391</v>
      </c>
      <c r="H2221">
        <v>35861</v>
      </c>
      <c r="I2221" t="s">
        <v>423</v>
      </c>
      <c r="J2221" t="s">
        <v>2624</v>
      </c>
      <c r="K2221" t="s">
        <v>2625</v>
      </c>
      <c r="L2221" t="s">
        <v>2626</v>
      </c>
      <c r="M2221">
        <v>10</v>
      </c>
      <c r="N2221">
        <v>23.48</v>
      </c>
      <c r="O2221">
        <v>2649.72</v>
      </c>
      <c r="P2221">
        <v>0</v>
      </c>
      <c r="Q2221">
        <v>2649.72</v>
      </c>
      <c r="R2221">
        <v>423.95</v>
      </c>
      <c r="S2221">
        <v>105.99</v>
      </c>
      <c r="T2221">
        <v>2967.68</v>
      </c>
      <c r="U2221" t="s">
        <v>8267</v>
      </c>
      <c r="V2221" t="s">
        <v>9408</v>
      </c>
      <c r="W2221" t="s">
        <v>423</v>
      </c>
    </row>
    <row r="2222" spans="1:23" hidden="1" x14ac:dyDescent="0.2">
      <c r="A2222">
        <v>2012</v>
      </c>
      <c r="B2222" t="s">
        <v>303</v>
      </c>
      <c r="C2222" s="733">
        <v>40918</v>
      </c>
      <c r="D22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22" t="s">
        <v>478</v>
      </c>
      <c r="F2222" t="s">
        <v>2622</v>
      </c>
      <c r="G2222" t="s">
        <v>4864</v>
      </c>
      <c r="H2222">
        <v>34360</v>
      </c>
      <c r="I2222" t="s">
        <v>423</v>
      </c>
      <c r="J2222" t="s">
        <v>2668</v>
      </c>
      <c r="K2222" t="s">
        <v>2625</v>
      </c>
      <c r="L2222" t="s">
        <v>2626</v>
      </c>
      <c r="M2222">
        <v>76</v>
      </c>
      <c r="N2222">
        <v>25.97</v>
      </c>
      <c r="O2222">
        <v>2930.71</v>
      </c>
      <c r="P2222">
        <v>0</v>
      </c>
      <c r="Q2222">
        <v>2930.71</v>
      </c>
      <c r="R2222">
        <v>468.91</v>
      </c>
      <c r="S2222">
        <v>117.23</v>
      </c>
      <c r="T2222">
        <v>3282.39</v>
      </c>
      <c r="U2222" t="s">
        <v>2627</v>
      </c>
      <c r="V2222" t="s">
        <v>9408</v>
      </c>
      <c r="W2222" t="s">
        <v>423</v>
      </c>
    </row>
    <row r="2223" spans="1:23" hidden="1" x14ac:dyDescent="0.2">
      <c r="A2223">
        <v>2012</v>
      </c>
      <c r="B2223" t="s">
        <v>303</v>
      </c>
      <c r="C2223" s="733">
        <v>40920</v>
      </c>
      <c r="D22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23" t="s">
        <v>478</v>
      </c>
      <c r="F2223" t="s">
        <v>2136</v>
      </c>
      <c r="G2223" t="s">
        <v>4865</v>
      </c>
      <c r="H2223">
        <v>34428</v>
      </c>
      <c r="I2223" t="s">
        <v>423</v>
      </c>
      <c r="J2223" t="s">
        <v>2668</v>
      </c>
      <c r="K2223" t="s">
        <v>2625</v>
      </c>
      <c r="L2223" t="s">
        <v>2626</v>
      </c>
      <c r="M2223">
        <v>76</v>
      </c>
      <c r="N2223">
        <v>23.6</v>
      </c>
      <c r="O2223">
        <v>2663.26</v>
      </c>
      <c r="P2223">
        <v>0</v>
      </c>
      <c r="Q2223">
        <v>2663.26</v>
      </c>
      <c r="R2223">
        <v>426.12</v>
      </c>
      <c r="S2223">
        <v>106.53</v>
      </c>
      <c r="T2223">
        <v>2982.85</v>
      </c>
      <c r="U2223" t="s">
        <v>2627</v>
      </c>
      <c r="V2223" t="s">
        <v>9408</v>
      </c>
      <c r="W2223" t="s">
        <v>423</v>
      </c>
    </row>
    <row r="2224" spans="1:23" hidden="1" x14ac:dyDescent="0.2">
      <c r="A2224">
        <v>2012</v>
      </c>
      <c r="B2224" t="s">
        <v>304</v>
      </c>
      <c r="C2224" s="733">
        <v>40963.460462962961</v>
      </c>
      <c r="D22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24" t="s">
        <v>478</v>
      </c>
      <c r="F2224" t="s">
        <v>2622</v>
      </c>
      <c r="G2224" t="s">
        <v>8905</v>
      </c>
      <c r="H2224">
        <v>36004</v>
      </c>
      <c r="I2224" t="s">
        <v>423</v>
      </c>
      <c r="J2224" t="s">
        <v>2668</v>
      </c>
      <c r="K2224" t="s">
        <v>2625</v>
      </c>
      <c r="L2224" t="s">
        <v>2626</v>
      </c>
      <c r="M2224">
        <v>76</v>
      </c>
      <c r="N2224">
        <v>23.59</v>
      </c>
      <c r="O2224">
        <v>2662.13</v>
      </c>
      <c r="P2224">
        <v>0</v>
      </c>
      <c r="Q2224">
        <v>2662.13</v>
      </c>
      <c r="R2224">
        <v>425.94</v>
      </c>
      <c r="S2224">
        <v>106.49</v>
      </c>
      <c r="T2224">
        <v>2981.58</v>
      </c>
      <c r="U2224" t="s">
        <v>9428</v>
      </c>
      <c r="V2224" t="s">
        <v>9408</v>
      </c>
      <c r="W2224" t="s">
        <v>423</v>
      </c>
    </row>
    <row r="2225" spans="1:23" hidden="1" x14ac:dyDescent="0.2">
      <c r="A2225">
        <v>2012</v>
      </c>
      <c r="B2225" t="s">
        <v>303</v>
      </c>
      <c r="C2225" s="733">
        <v>40932</v>
      </c>
      <c r="D22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25" t="s">
        <v>485</v>
      </c>
      <c r="F2225" t="s">
        <v>2048</v>
      </c>
      <c r="G2225" t="s">
        <v>5178</v>
      </c>
      <c r="H2225">
        <v>40076</v>
      </c>
      <c r="I2225" t="s">
        <v>423</v>
      </c>
      <c r="J2225" t="s">
        <v>4093</v>
      </c>
      <c r="K2225" t="s">
        <v>2051</v>
      </c>
      <c r="L2225" t="s">
        <v>2052</v>
      </c>
      <c r="M2225">
        <v>647</v>
      </c>
      <c r="N2225">
        <v>23.6</v>
      </c>
      <c r="O2225">
        <v>8928.59</v>
      </c>
      <c r="P2225">
        <v>0</v>
      </c>
      <c r="Q2225">
        <v>8928.59</v>
      </c>
      <c r="R2225">
        <v>1428.57</v>
      </c>
      <c r="S2225">
        <v>357.14</v>
      </c>
      <c r="T2225">
        <v>10000.02</v>
      </c>
      <c r="U2225" t="s">
        <v>2053</v>
      </c>
      <c r="V2225" t="s">
        <v>9408</v>
      </c>
      <c r="W2225" t="s">
        <v>423</v>
      </c>
    </row>
    <row r="2226" spans="1:23" hidden="1" x14ac:dyDescent="0.2">
      <c r="A2226">
        <v>2012</v>
      </c>
      <c r="B2226" t="s">
        <v>304</v>
      </c>
      <c r="C2226" s="733">
        <v>40941</v>
      </c>
      <c r="D22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26" t="s">
        <v>485</v>
      </c>
      <c r="F2226" t="s">
        <v>2054</v>
      </c>
      <c r="G2226" t="s">
        <v>5177</v>
      </c>
      <c r="H2226">
        <v>41316</v>
      </c>
      <c r="I2226" t="s">
        <v>423</v>
      </c>
      <c r="J2226" t="s">
        <v>4093</v>
      </c>
      <c r="K2226" t="s">
        <v>2051</v>
      </c>
      <c r="L2226" t="s">
        <v>2052</v>
      </c>
      <c r="M2226">
        <v>647</v>
      </c>
      <c r="N2226">
        <v>47.6</v>
      </c>
      <c r="O2226">
        <v>18008.509999999998</v>
      </c>
      <c r="P2226">
        <v>0</v>
      </c>
      <c r="Q2226">
        <v>18008.509999999998</v>
      </c>
      <c r="R2226">
        <v>2881.36</v>
      </c>
      <c r="S2226">
        <v>720.34</v>
      </c>
      <c r="T2226">
        <v>20169.53</v>
      </c>
      <c r="U2226" t="s">
        <v>2067</v>
      </c>
      <c r="V2226" t="s">
        <v>9409</v>
      </c>
      <c r="W2226" t="s">
        <v>423</v>
      </c>
    </row>
    <row r="2227" spans="1:23" hidden="1" x14ac:dyDescent="0.2">
      <c r="A2227">
        <v>2012</v>
      </c>
      <c r="B2227" t="s">
        <v>303</v>
      </c>
      <c r="C2227" s="733">
        <v>40932</v>
      </c>
      <c r="D22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27" t="s">
        <v>485</v>
      </c>
      <c r="F2227" t="s">
        <v>2054</v>
      </c>
      <c r="G2227" t="s">
        <v>5176</v>
      </c>
      <c r="H2227">
        <v>40070</v>
      </c>
      <c r="I2227" t="s">
        <v>423</v>
      </c>
      <c r="J2227" t="s">
        <v>4093</v>
      </c>
      <c r="K2227" t="s">
        <v>2051</v>
      </c>
      <c r="L2227" t="s">
        <v>2052</v>
      </c>
      <c r="M2227">
        <v>647</v>
      </c>
      <c r="N2227">
        <v>29.3</v>
      </c>
      <c r="O2227">
        <v>11085.07</v>
      </c>
      <c r="P2227">
        <v>0</v>
      </c>
      <c r="Q2227">
        <v>11085.07</v>
      </c>
      <c r="R2227">
        <v>1773.61</v>
      </c>
      <c r="S2227">
        <v>443.4</v>
      </c>
      <c r="T2227">
        <v>12415.28</v>
      </c>
      <c r="U2227" t="s">
        <v>2053</v>
      </c>
      <c r="V2227" t="s">
        <v>9408</v>
      </c>
      <c r="W2227" t="s">
        <v>423</v>
      </c>
    </row>
    <row r="2228" spans="1:23" hidden="1" x14ac:dyDescent="0.2">
      <c r="A2228">
        <v>2012</v>
      </c>
      <c r="B2228" t="s">
        <v>304</v>
      </c>
      <c r="C2228" s="733">
        <v>40947</v>
      </c>
      <c r="D22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28" t="s">
        <v>485</v>
      </c>
      <c r="F2228" t="s">
        <v>2065</v>
      </c>
      <c r="G2228" t="s">
        <v>4226</v>
      </c>
      <c r="H2228">
        <v>41536</v>
      </c>
      <c r="I2228" t="s">
        <v>423</v>
      </c>
      <c r="J2228" t="s">
        <v>2186</v>
      </c>
      <c r="K2228" t="s">
        <v>2183</v>
      </c>
      <c r="L2228" t="s">
        <v>2184</v>
      </c>
      <c r="M2228">
        <v>19</v>
      </c>
      <c r="N2228">
        <v>16.37</v>
      </c>
      <c r="O2228">
        <v>1847.68</v>
      </c>
      <c r="P2228">
        <v>0</v>
      </c>
      <c r="Q2228">
        <v>1847.68</v>
      </c>
      <c r="R2228">
        <v>295.63</v>
      </c>
      <c r="S2228">
        <v>73.91</v>
      </c>
      <c r="T2228">
        <v>2069.4</v>
      </c>
      <c r="U2228" t="s">
        <v>2192</v>
      </c>
      <c r="V2228" t="s">
        <v>9408</v>
      </c>
      <c r="W2228" t="s">
        <v>423</v>
      </c>
    </row>
    <row r="2229" spans="1:23" hidden="1" x14ac:dyDescent="0.2">
      <c r="A2229">
        <v>2012</v>
      </c>
      <c r="B2229" t="s">
        <v>304</v>
      </c>
      <c r="C2229" s="733">
        <v>40959</v>
      </c>
      <c r="D22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29" t="s">
        <v>485</v>
      </c>
      <c r="F2229" t="s">
        <v>2065</v>
      </c>
      <c r="G2229" t="s">
        <v>7757</v>
      </c>
      <c r="H2229">
        <v>42170</v>
      </c>
      <c r="I2229" t="s">
        <v>423</v>
      </c>
      <c r="J2229" t="s">
        <v>2189</v>
      </c>
      <c r="K2229" t="s">
        <v>2183</v>
      </c>
      <c r="L2229" t="s">
        <v>2184</v>
      </c>
      <c r="M2229">
        <v>720</v>
      </c>
      <c r="N2229">
        <v>26.84</v>
      </c>
      <c r="O2229">
        <v>11914.01</v>
      </c>
      <c r="P2229">
        <v>0</v>
      </c>
      <c r="Q2229">
        <v>11914.01</v>
      </c>
      <c r="R2229">
        <v>1906.24</v>
      </c>
      <c r="S2229">
        <v>476.56</v>
      </c>
      <c r="T2229">
        <v>13343.69</v>
      </c>
      <c r="U2229" t="s">
        <v>9411</v>
      </c>
      <c r="V2229" t="s">
        <v>9408</v>
      </c>
      <c r="W2229" t="s">
        <v>423</v>
      </c>
    </row>
    <row r="2230" spans="1:23" hidden="1" x14ac:dyDescent="0.2">
      <c r="A2230">
        <v>2012</v>
      </c>
      <c r="B2230" t="s">
        <v>304</v>
      </c>
      <c r="C2230" s="733">
        <v>40968.748622685183</v>
      </c>
      <c r="D22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30" t="s">
        <v>478</v>
      </c>
      <c r="F2230" t="s">
        <v>2136</v>
      </c>
      <c r="G2230" t="s">
        <v>9630</v>
      </c>
      <c r="H2230">
        <v>36197</v>
      </c>
      <c r="I2230" t="s">
        <v>423</v>
      </c>
      <c r="J2230" t="s">
        <v>2629</v>
      </c>
      <c r="K2230" t="s">
        <v>2625</v>
      </c>
      <c r="L2230" t="s">
        <v>2626</v>
      </c>
      <c r="M2230">
        <v>33</v>
      </c>
      <c r="N2230">
        <v>22.13</v>
      </c>
      <c r="O2230">
        <v>2581.2399999999998</v>
      </c>
      <c r="P2230">
        <v>0</v>
      </c>
      <c r="Q2230">
        <v>2581.2399999999998</v>
      </c>
      <c r="R2230">
        <v>413</v>
      </c>
      <c r="S2230">
        <v>103.25</v>
      </c>
      <c r="T2230">
        <v>2890.99</v>
      </c>
      <c r="V2230" t="s">
        <v>9408</v>
      </c>
      <c r="W2230" t="s">
        <v>423</v>
      </c>
    </row>
    <row r="2231" spans="1:23" hidden="1" x14ac:dyDescent="0.2">
      <c r="A2231">
        <v>2012</v>
      </c>
      <c r="B2231" t="s">
        <v>304</v>
      </c>
      <c r="C2231" s="733">
        <v>40946.725844907407</v>
      </c>
      <c r="D22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31" t="s">
        <v>478</v>
      </c>
      <c r="F2231" t="s">
        <v>2622</v>
      </c>
      <c r="G2231" t="s">
        <v>4437</v>
      </c>
      <c r="H2231">
        <v>35371</v>
      </c>
      <c r="I2231" t="s">
        <v>423</v>
      </c>
      <c r="J2231" t="s">
        <v>2629</v>
      </c>
      <c r="K2231" t="s">
        <v>2625</v>
      </c>
      <c r="L2231" t="s">
        <v>2626</v>
      </c>
      <c r="M2231">
        <v>33</v>
      </c>
      <c r="N2231">
        <v>22.8</v>
      </c>
      <c r="O2231">
        <v>2659.39</v>
      </c>
      <c r="P2231">
        <v>0</v>
      </c>
      <c r="Q2231">
        <v>2659.39</v>
      </c>
      <c r="R2231">
        <v>425.5</v>
      </c>
      <c r="S2231">
        <v>106.38</v>
      </c>
      <c r="T2231">
        <v>2978.51</v>
      </c>
      <c r="U2231" t="s">
        <v>2630</v>
      </c>
      <c r="V2231" t="s">
        <v>9408</v>
      </c>
      <c r="W2231" t="s">
        <v>423</v>
      </c>
    </row>
    <row r="2232" spans="1:23" hidden="1" x14ac:dyDescent="0.2">
      <c r="A2232">
        <v>2012</v>
      </c>
      <c r="B2232" t="s">
        <v>303</v>
      </c>
      <c r="C2232" s="733">
        <v>40939</v>
      </c>
      <c r="D22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32" t="s">
        <v>485</v>
      </c>
      <c r="F2232" t="s">
        <v>2065</v>
      </c>
      <c r="G2232" t="s">
        <v>4829</v>
      </c>
      <c r="H2232">
        <v>40822</v>
      </c>
      <c r="I2232" t="s">
        <v>423</v>
      </c>
      <c r="J2232" t="s">
        <v>2189</v>
      </c>
      <c r="K2232" t="s">
        <v>2183</v>
      </c>
      <c r="L2232" t="s">
        <v>2184</v>
      </c>
      <c r="M2232">
        <v>720</v>
      </c>
      <c r="N2232">
        <v>27.8</v>
      </c>
      <c r="O2232">
        <v>12340.14</v>
      </c>
      <c r="P2232">
        <v>0</v>
      </c>
      <c r="Q2232">
        <v>12340.14</v>
      </c>
      <c r="R2232">
        <v>1974.42</v>
      </c>
      <c r="S2232">
        <v>493.61</v>
      </c>
      <c r="T2232">
        <v>13820.95</v>
      </c>
      <c r="U2232" t="s">
        <v>2187</v>
      </c>
      <c r="V2232" t="s">
        <v>9408</v>
      </c>
      <c r="W2232" t="s">
        <v>423</v>
      </c>
    </row>
    <row r="2233" spans="1:23" hidden="1" x14ac:dyDescent="0.2">
      <c r="A2233">
        <v>2012</v>
      </c>
      <c r="B2233" t="s">
        <v>304</v>
      </c>
      <c r="C2233" s="733">
        <v>40962</v>
      </c>
      <c r="D22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33" t="s">
        <v>478</v>
      </c>
      <c r="F2233" t="s">
        <v>2136</v>
      </c>
      <c r="G2233" t="s">
        <v>8544</v>
      </c>
      <c r="H2233">
        <v>35801</v>
      </c>
      <c r="I2233" t="s">
        <v>423</v>
      </c>
      <c r="J2233" t="s">
        <v>4282</v>
      </c>
      <c r="K2233" t="s">
        <v>425</v>
      </c>
      <c r="L2233" t="s">
        <v>2145</v>
      </c>
      <c r="M2233">
        <v>1405</v>
      </c>
      <c r="N2233">
        <v>45.65</v>
      </c>
      <c r="O2233">
        <v>46080.02</v>
      </c>
      <c r="P2233">
        <v>0</v>
      </c>
      <c r="Q2233">
        <v>46080.02</v>
      </c>
      <c r="R2233">
        <v>7372.8</v>
      </c>
      <c r="S2233">
        <v>1843.2</v>
      </c>
      <c r="T2233">
        <v>51609.62</v>
      </c>
      <c r="U2233" t="s">
        <v>9430</v>
      </c>
      <c r="V2233" t="s">
        <v>9409</v>
      </c>
      <c r="W2233" t="s">
        <v>423</v>
      </c>
    </row>
    <row r="2234" spans="1:23" hidden="1" x14ac:dyDescent="0.2">
      <c r="A2234">
        <v>2012</v>
      </c>
      <c r="B2234" t="s">
        <v>304</v>
      </c>
      <c r="C2234" s="733">
        <v>40953</v>
      </c>
      <c r="D22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34" t="s">
        <v>478</v>
      </c>
      <c r="F2234" t="s">
        <v>2622</v>
      </c>
      <c r="G2234" t="s">
        <v>5739</v>
      </c>
      <c r="H2234">
        <v>35358</v>
      </c>
      <c r="I2234" t="s">
        <v>423</v>
      </c>
      <c r="J2234" t="s">
        <v>4791</v>
      </c>
      <c r="K2234" t="s">
        <v>425</v>
      </c>
      <c r="L2234" t="s">
        <v>2626</v>
      </c>
      <c r="M2234">
        <v>139</v>
      </c>
      <c r="N2234">
        <v>24.01</v>
      </c>
      <c r="O2234">
        <v>4010.15</v>
      </c>
      <c r="P2234">
        <v>0</v>
      </c>
      <c r="Q2234">
        <v>4010.15</v>
      </c>
      <c r="R2234">
        <v>641.62</v>
      </c>
      <c r="S2234">
        <v>160.41</v>
      </c>
      <c r="T2234">
        <v>4491.3599999999997</v>
      </c>
      <c r="U2234" t="s">
        <v>7553</v>
      </c>
      <c r="V2234" t="s">
        <v>9408</v>
      </c>
      <c r="W2234" t="s">
        <v>423</v>
      </c>
    </row>
    <row r="2235" spans="1:23" hidden="1" x14ac:dyDescent="0.2">
      <c r="A2235">
        <v>2012</v>
      </c>
      <c r="B2235" t="s">
        <v>303</v>
      </c>
      <c r="C2235" s="733">
        <v>40936</v>
      </c>
      <c r="D22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35" t="s">
        <v>478</v>
      </c>
      <c r="F2235" t="s">
        <v>2136</v>
      </c>
      <c r="G2235" t="s">
        <v>5737</v>
      </c>
      <c r="H2235">
        <v>34991</v>
      </c>
      <c r="I2235" t="s">
        <v>423</v>
      </c>
      <c r="J2235" t="s">
        <v>4791</v>
      </c>
      <c r="K2235" t="s">
        <v>425</v>
      </c>
      <c r="L2235" t="s">
        <v>2145</v>
      </c>
      <c r="M2235">
        <v>139</v>
      </c>
      <c r="N2235">
        <v>24.04</v>
      </c>
      <c r="O2235">
        <v>4015.16</v>
      </c>
      <c r="P2235">
        <v>0</v>
      </c>
      <c r="Q2235">
        <v>4015.16</v>
      </c>
      <c r="R2235">
        <v>642.42999999999995</v>
      </c>
      <c r="S2235">
        <v>160.61000000000001</v>
      </c>
      <c r="T2235">
        <v>4496.9799999999996</v>
      </c>
      <c r="U2235" t="s">
        <v>2914</v>
      </c>
      <c r="V2235" t="s">
        <v>9408</v>
      </c>
      <c r="W2235" t="s">
        <v>423</v>
      </c>
    </row>
    <row r="2236" spans="1:23" hidden="1" x14ac:dyDescent="0.2">
      <c r="A2236">
        <v>2012</v>
      </c>
      <c r="B2236" t="s">
        <v>303</v>
      </c>
      <c r="C2236" s="733">
        <v>40919</v>
      </c>
      <c r="D22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36" t="s">
        <v>478</v>
      </c>
      <c r="F2236" t="s">
        <v>2136</v>
      </c>
      <c r="G2236" t="s">
        <v>5736</v>
      </c>
      <c r="H2236">
        <v>34452</v>
      </c>
      <c r="I2236" t="s">
        <v>423</v>
      </c>
      <c r="J2236" t="s">
        <v>4791</v>
      </c>
      <c r="K2236" t="s">
        <v>425</v>
      </c>
      <c r="L2236" t="s">
        <v>2145</v>
      </c>
      <c r="M2236">
        <v>139</v>
      </c>
      <c r="N2236">
        <v>22.55</v>
      </c>
      <c r="O2236">
        <v>3766.3</v>
      </c>
      <c r="P2236">
        <v>0</v>
      </c>
      <c r="Q2236">
        <v>3766.3</v>
      </c>
      <c r="R2236">
        <v>602.61</v>
      </c>
      <c r="S2236">
        <v>150.65</v>
      </c>
      <c r="T2236">
        <v>4218.26</v>
      </c>
      <c r="U2236" t="s">
        <v>2350</v>
      </c>
      <c r="V2236" t="s">
        <v>9408</v>
      </c>
      <c r="W2236" t="s">
        <v>423</v>
      </c>
    </row>
    <row r="2237" spans="1:23" hidden="1" x14ac:dyDescent="0.2">
      <c r="A2237">
        <v>2012</v>
      </c>
      <c r="B2237" t="s">
        <v>305</v>
      </c>
      <c r="C2237" s="733">
        <v>40970</v>
      </c>
      <c r="D2237" s="733" t="str">
        <f>CHOOSE(MONTH(Tabla_sqldatos_bonampakdb_Bon_v_ingresos2012[[#This Row],[fecha_guia]]),"Enero","Febrero","Marzo","Abril","Mayo","Junio","Julio","Agosto","Septiembre","Octubre","Noviembre","Diciembre")</f>
        <v>Marzo</v>
      </c>
      <c r="E2237" t="s">
        <v>485</v>
      </c>
      <c r="F2237" t="s">
        <v>2065</v>
      </c>
      <c r="G2237" t="s">
        <v>9706</v>
      </c>
      <c r="H2237">
        <v>42939</v>
      </c>
      <c r="I2237" t="s">
        <v>423</v>
      </c>
      <c r="J2237" t="s">
        <v>4086</v>
      </c>
      <c r="K2237" t="s">
        <v>2051</v>
      </c>
      <c r="L2237" t="s">
        <v>2052</v>
      </c>
      <c r="M2237">
        <v>341</v>
      </c>
      <c r="N2237">
        <v>29.25</v>
      </c>
      <c r="O2237">
        <v>7153.09</v>
      </c>
      <c r="P2237">
        <v>0</v>
      </c>
      <c r="Q2237">
        <v>7153.09</v>
      </c>
      <c r="R2237">
        <v>1144.49</v>
      </c>
      <c r="S2237">
        <v>286.12</v>
      </c>
      <c r="T2237">
        <v>8011.46</v>
      </c>
      <c r="V2237" t="s">
        <v>9409</v>
      </c>
      <c r="W2237" t="s">
        <v>423</v>
      </c>
    </row>
    <row r="2238" spans="1:23" hidden="1" x14ac:dyDescent="0.2">
      <c r="A2238">
        <v>2012</v>
      </c>
      <c r="B2238" t="s">
        <v>303</v>
      </c>
      <c r="C2238" s="733">
        <v>40932</v>
      </c>
      <c r="D22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38" t="s">
        <v>485</v>
      </c>
      <c r="F2238" t="s">
        <v>2048</v>
      </c>
      <c r="G2238" t="s">
        <v>5146</v>
      </c>
      <c r="H2238">
        <v>40068</v>
      </c>
      <c r="I2238" t="s">
        <v>423</v>
      </c>
      <c r="J2238" t="s">
        <v>4086</v>
      </c>
      <c r="K2238" t="s">
        <v>2051</v>
      </c>
      <c r="L2238" t="s">
        <v>2052</v>
      </c>
      <c r="M2238">
        <v>341</v>
      </c>
      <c r="N2238">
        <v>25</v>
      </c>
      <c r="O2238">
        <v>6113.75</v>
      </c>
      <c r="P2238">
        <v>0</v>
      </c>
      <c r="Q2238">
        <v>6113.75</v>
      </c>
      <c r="R2238">
        <v>978.2</v>
      </c>
      <c r="S2238">
        <v>244.55</v>
      </c>
      <c r="T2238">
        <v>6847.4</v>
      </c>
      <c r="U2238" t="s">
        <v>2053</v>
      </c>
      <c r="V2238" t="s">
        <v>9408</v>
      </c>
      <c r="W2238" t="s">
        <v>423</v>
      </c>
    </row>
    <row r="2239" spans="1:23" hidden="1" x14ac:dyDescent="0.2">
      <c r="A2239">
        <v>2012</v>
      </c>
      <c r="B2239" t="s">
        <v>303</v>
      </c>
      <c r="C2239" s="733">
        <v>40911</v>
      </c>
      <c r="D22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39" t="s">
        <v>485</v>
      </c>
      <c r="F2239" t="s">
        <v>2048</v>
      </c>
      <c r="G2239" t="s">
        <v>5149</v>
      </c>
      <c r="H2239">
        <v>39714</v>
      </c>
      <c r="I2239" t="s">
        <v>423</v>
      </c>
      <c r="J2239" t="s">
        <v>4086</v>
      </c>
      <c r="K2239" t="s">
        <v>2051</v>
      </c>
      <c r="L2239" t="s">
        <v>2052</v>
      </c>
      <c r="M2239">
        <v>341</v>
      </c>
      <c r="N2239">
        <v>50.1</v>
      </c>
      <c r="O2239">
        <v>5158.3</v>
      </c>
      <c r="P2239">
        <v>5807.6783869999999</v>
      </c>
      <c r="Q2239">
        <v>10965.978386999999</v>
      </c>
      <c r="R2239">
        <v>1754.556542</v>
      </c>
      <c r="S2239">
        <v>438.63913500000001</v>
      </c>
      <c r="T2239">
        <v>12281.895794</v>
      </c>
      <c r="U2239" t="s">
        <v>2089</v>
      </c>
      <c r="V2239" t="s">
        <v>9409</v>
      </c>
      <c r="W2239" t="s">
        <v>423</v>
      </c>
    </row>
    <row r="2240" spans="1:23" hidden="1" x14ac:dyDescent="0.2">
      <c r="A2240">
        <v>2012</v>
      </c>
      <c r="B2240" t="s">
        <v>304</v>
      </c>
      <c r="C2240" s="733">
        <v>40953</v>
      </c>
      <c r="D22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40" t="s">
        <v>485</v>
      </c>
      <c r="F2240" t="s">
        <v>2048</v>
      </c>
      <c r="G2240" t="s">
        <v>5147</v>
      </c>
      <c r="H2240">
        <v>41877</v>
      </c>
      <c r="I2240" t="s">
        <v>423</v>
      </c>
      <c r="J2240" t="s">
        <v>4086</v>
      </c>
      <c r="K2240" t="s">
        <v>2051</v>
      </c>
      <c r="L2240" t="s">
        <v>2052</v>
      </c>
      <c r="M2240">
        <v>341</v>
      </c>
      <c r="N2240">
        <v>54.35</v>
      </c>
      <c r="O2240">
        <v>13291.29</v>
      </c>
      <c r="P2240">
        <v>0</v>
      </c>
      <c r="Q2240">
        <v>13291.29</v>
      </c>
      <c r="R2240">
        <v>2126.61</v>
      </c>
      <c r="S2240">
        <v>531.65</v>
      </c>
      <c r="T2240">
        <v>14886.25</v>
      </c>
      <c r="U2240" t="s">
        <v>8257</v>
      </c>
      <c r="V2240" t="s">
        <v>9409</v>
      </c>
      <c r="W2240" t="s">
        <v>423</v>
      </c>
    </row>
    <row r="2241" spans="1:23" hidden="1" x14ac:dyDescent="0.2">
      <c r="A2241">
        <v>2012</v>
      </c>
      <c r="B2241" t="s">
        <v>304</v>
      </c>
      <c r="C2241" s="733">
        <v>40954</v>
      </c>
      <c r="D22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41" t="s">
        <v>505</v>
      </c>
      <c r="F2241" t="s">
        <v>1915</v>
      </c>
      <c r="G2241" t="s">
        <v>7760</v>
      </c>
      <c r="H2241">
        <v>22729</v>
      </c>
      <c r="I2241" t="s">
        <v>423</v>
      </c>
      <c r="J2241" t="s">
        <v>4158</v>
      </c>
      <c r="K2241" t="s">
        <v>1918</v>
      </c>
      <c r="L2241" t="s">
        <v>1919</v>
      </c>
      <c r="M2241">
        <v>274</v>
      </c>
      <c r="N2241">
        <v>26.7</v>
      </c>
      <c r="O2241">
        <v>7371.87</v>
      </c>
      <c r="P2241">
        <v>0</v>
      </c>
      <c r="Q2241">
        <v>7371.87</v>
      </c>
      <c r="R2241">
        <v>1179.5</v>
      </c>
      <c r="S2241">
        <v>294.87</v>
      </c>
      <c r="T2241">
        <v>8256.5</v>
      </c>
      <c r="U2241" t="s">
        <v>7522</v>
      </c>
      <c r="V2241" t="s">
        <v>9408</v>
      </c>
      <c r="W2241" t="s">
        <v>423</v>
      </c>
    </row>
    <row r="2242" spans="1:23" hidden="1" x14ac:dyDescent="0.2">
      <c r="A2242">
        <v>2012</v>
      </c>
      <c r="B2242" t="s">
        <v>303</v>
      </c>
      <c r="C2242" s="733">
        <v>40925</v>
      </c>
      <c r="D22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42" t="s">
        <v>478</v>
      </c>
      <c r="F2242" t="s">
        <v>2136</v>
      </c>
      <c r="G2242" t="s">
        <v>5305</v>
      </c>
      <c r="H2242">
        <v>34575</v>
      </c>
      <c r="I2242" t="s">
        <v>423</v>
      </c>
      <c r="J2242" t="s">
        <v>4276</v>
      </c>
      <c r="K2242" t="s">
        <v>425</v>
      </c>
      <c r="L2242" t="s">
        <v>2145</v>
      </c>
      <c r="M2242">
        <v>60</v>
      </c>
      <c r="N2242">
        <v>24.92</v>
      </c>
      <c r="O2242">
        <v>3345.51</v>
      </c>
      <c r="P2242">
        <v>0</v>
      </c>
      <c r="Q2242">
        <v>3345.51</v>
      </c>
      <c r="R2242">
        <v>535.28</v>
      </c>
      <c r="S2242">
        <v>133.82</v>
      </c>
      <c r="T2242">
        <v>3746.97</v>
      </c>
      <c r="U2242" t="s">
        <v>2927</v>
      </c>
      <c r="V2242" t="s">
        <v>9408</v>
      </c>
      <c r="W2242" t="s">
        <v>423</v>
      </c>
    </row>
    <row r="2243" spans="1:23" hidden="1" x14ac:dyDescent="0.2">
      <c r="A2243">
        <v>2012</v>
      </c>
      <c r="B2243" t="s">
        <v>303</v>
      </c>
      <c r="C2243" s="733">
        <v>40914.933842592596</v>
      </c>
      <c r="D22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43" t="s">
        <v>478</v>
      </c>
      <c r="F2243" t="s">
        <v>2136</v>
      </c>
      <c r="G2243" t="s">
        <v>5304</v>
      </c>
      <c r="H2243">
        <v>34299</v>
      </c>
      <c r="I2243" t="s">
        <v>423</v>
      </c>
      <c r="J2243" t="s">
        <v>4276</v>
      </c>
      <c r="K2243" t="s">
        <v>425</v>
      </c>
      <c r="L2243" t="s">
        <v>2145</v>
      </c>
      <c r="M2243">
        <v>60</v>
      </c>
      <c r="N2243">
        <v>25.56</v>
      </c>
      <c r="O2243">
        <v>3431.43</v>
      </c>
      <c r="P2243">
        <v>0</v>
      </c>
      <c r="Q2243">
        <v>3431.43</v>
      </c>
      <c r="R2243">
        <v>549.03</v>
      </c>
      <c r="S2243">
        <v>137.26</v>
      </c>
      <c r="T2243">
        <v>3843.2</v>
      </c>
      <c r="U2243" t="s">
        <v>2352</v>
      </c>
      <c r="V2243" t="s">
        <v>9408</v>
      </c>
      <c r="W2243" t="s">
        <v>423</v>
      </c>
    </row>
    <row r="2244" spans="1:23" hidden="1" x14ac:dyDescent="0.2">
      <c r="A2244">
        <v>2012</v>
      </c>
      <c r="B2244" t="s">
        <v>303</v>
      </c>
      <c r="C2244" s="733">
        <v>40927</v>
      </c>
      <c r="D22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44" t="s">
        <v>478</v>
      </c>
      <c r="F2244" t="s">
        <v>2136</v>
      </c>
      <c r="G2244" t="s">
        <v>5302</v>
      </c>
      <c r="H2244">
        <v>34546</v>
      </c>
      <c r="I2244" t="s">
        <v>423</v>
      </c>
      <c r="J2244" t="s">
        <v>4276</v>
      </c>
      <c r="K2244" t="s">
        <v>425</v>
      </c>
      <c r="L2244" t="s">
        <v>2145</v>
      </c>
      <c r="M2244">
        <v>60</v>
      </c>
      <c r="N2244">
        <v>51.69</v>
      </c>
      <c r="O2244">
        <v>6939.38</v>
      </c>
      <c r="P2244">
        <v>0</v>
      </c>
      <c r="Q2244">
        <v>6939.38</v>
      </c>
      <c r="R2244">
        <v>1110.3</v>
      </c>
      <c r="S2244">
        <v>277.58</v>
      </c>
      <c r="T2244">
        <v>7772.1</v>
      </c>
      <c r="U2244" t="s">
        <v>7523</v>
      </c>
      <c r="V2244" t="s">
        <v>9409</v>
      </c>
      <c r="W2244" t="s">
        <v>423</v>
      </c>
    </row>
    <row r="2245" spans="1:23" hidden="1" x14ac:dyDescent="0.2">
      <c r="A2245">
        <v>2012</v>
      </c>
      <c r="B2245" t="s">
        <v>303</v>
      </c>
      <c r="C2245" s="733">
        <v>40913</v>
      </c>
      <c r="D22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45" t="s">
        <v>478</v>
      </c>
      <c r="F2245" t="s">
        <v>2136</v>
      </c>
      <c r="G2245" t="s">
        <v>5303</v>
      </c>
      <c r="H2245">
        <v>34239</v>
      </c>
      <c r="I2245" t="s">
        <v>423</v>
      </c>
      <c r="J2245" t="s">
        <v>4276</v>
      </c>
      <c r="K2245" t="s">
        <v>425</v>
      </c>
      <c r="L2245" t="s">
        <v>2145</v>
      </c>
      <c r="M2245">
        <v>60</v>
      </c>
      <c r="N2245">
        <v>47.16</v>
      </c>
      <c r="O2245">
        <v>2665.48</v>
      </c>
      <c r="P2245">
        <v>3001.0372769999999</v>
      </c>
      <c r="Q2245">
        <v>5666.5172769999999</v>
      </c>
      <c r="R2245">
        <v>906.64276400000006</v>
      </c>
      <c r="S2245">
        <v>226.66069100000001</v>
      </c>
      <c r="T2245">
        <v>6346.49935</v>
      </c>
      <c r="U2245" t="s">
        <v>2150</v>
      </c>
      <c r="V2245" t="s">
        <v>9409</v>
      </c>
      <c r="W2245" t="s">
        <v>423</v>
      </c>
    </row>
    <row r="2246" spans="1:23" hidden="1" x14ac:dyDescent="0.2">
      <c r="A2246">
        <v>2012</v>
      </c>
      <c r="B2246" t="s">
        <v>303</v>
      </c>
      <c r="C2246" s="733">
        <v>40913</v>
      </c>
      <c r="D22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46" t="s">
        <v>478</v>
      </c>
      <c r="F2246" t="s">
        <v>2136</v>
      </c>
      <c r="G2246" t="s">
        <v>5730</v>
      </c>
      <c r="H2246">
        <v>34241</v>
      </c>
      <c r="I2246" t="s">
        <v>423</v>
      </c>
      <c r="J2246" t="s">
        <v>5238</v>
      </c>
      <c r="K2246" t="s">
        <v>425</v>
      </c>
      <c r="L2246" t="s">
        <v>2145</v>
      </c>
      <c r="M2246">
        <v>80</v>
      </c>
      <c r="N2246">
        <v>25.06</v>
      </c>
      <c r="O2246">
        <v>1416.39</v>
      </c>
      <c r="P2246">
        <v>1594.699337</v>
      </c>
      <c r="Q2246">
        <v>3011.0893369999999</v>
      </c>
      <c r="R2246">
        <v>481.774294</v>
      </c>
      <c r="S2246">
        <v>120.443573</v>
      </c>
      <c r="T2246">
        <v>3372.4200580000002</v>
      </c>
      <c r="U2246" t="s">
        <v>3323</v>
      </c>
      <c r="V2246" t="s">
        <v>9408</v>
      </c>
      <c r="W2246" t="s">
        <v>423</v>
      </c>
    </row>
    <row r="2247" spans="1:23" hidden="1" x14ac:dyDescent="0.2">
      <c r="A2247">
        <v>2012</v>
      </c>
      <c r="B2247" t="s">
        <v>303</v>
      </c>
      <c r="C2247" s="733">
        <v>40921</v>
      </c>
      <c r="D22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47" t="s">
        <v>478</v>
      </c>
      <c r="F2247" t="s">
        <v>2136</v>
      </c>
      <c r="G2247" t="s">
        <v>5301</v>
      </c>
      <c r="H2247">
        <v>34459</v>
      </c>
      <c r="I2247" t="s">
        <v>423</v>
      </c>
      <c r="J2247" t="s">
        <v>4276</v>
      </c>
      <c r="K2247" t="s">
        <v>425</v>
      </c>
      <c r="L2247" t="s">
        <v>2145</v>
      </c>
      <c r="M2247">
        <v>60</v>
      </c>
      <c r="N2247">
        <v>25.29</v>
      </c>
      <c r="O2247">
        <v>3395.18</v>
      </c>
      <c r="P2247">
        <v>0</v>
      </c>
      <c r="Q2247">
        <v>3395.18</v>
      </c>
      <c r="R2247">
        <v>543.23</v>
      </c>
      <c r="S2247">
        <v>135.81</v>
      </c>
      <c r="T2247">
        <v>3802.6</v>
      </c>
      <c r="U2247" t="s">
        <v>2350</v>
      </c>
      <c r="V2247" t="s">
        <v>9408</v>
      </c>
      <c r="W2247" t="s">
        <v>423</v>
      </c>
    </row>
    <row r="2248" spans="1:23" hidden="1" x14ac:dyDescent="0.2">
      <c r="A2248">
        <v>2012</v>
      </c>
      <c r="B2248" t="s">
        <v>304</v>
      </c>
      <c r="C2248" s="733">
        <v>40953</v>
      </c>
      <c r="D22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48" t="s">
        <v>478</v>
      </c>
      <c r="F2248" t="s">
        <v>2142</v>
      </c>
      <c r="G2248" t="s">
        <v>5315</v>
      </c>
      <c r="H2248">
        <v>35566</v>
      </c>
      <c r="I2248" t="s">
        <v>423</v>
      </c>
      <c r="J2248" t="s">
        <v>4276</v>
      </c>
      <c r="K2248" t="s">
        <v>425</v>
      </c>
      <c r="L2248" t="s">
        <v>2145</v>
      </c>
      <c r="M2248">
        <v>60</v>
      </c>
      <c r="N2248">
        <v>20.8</v>
      </c>
      <c r="O2248">
        <v>2792.4</v>
      </c>
      <c r="P2248">
        <v>0</v>
      </c>
      <c r="Q2248">
        <v>2792.4</v>
      </c>
      <c r="R2248">
        <v>446.78</v>
      </c>
      <c r="S2248">
        <v>111.7</v>
      </c>
      <c r="T2248">
        <v>3127.48</v>
      </c>
      <c r="U2248" t="s">
        <v>7523</v>
      </c>
      <c r="V2248" t="s">
        <v>9409</v>
      </c>
      <c r="W2248" t="s">
        <v>423</v>
      </c>
    </row>
    <row r="2249" spans="1:23" hidden="1" x14ac:dyDescent="0.2">
      <c r="A2249">
        <v>2012</v>
      </c>
      <c r="B2249" t="s">
        <v>303</v>
      </c>
      <c r="C2249" s="733">
        <v>40935</v>
      </c>
      <c r="D22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49" t="s">
        <v>485</v>
      </c>
      <c r="F2249" t="s">
        <v>2048</v>
      </c>
      <c r="G2249" t="s">
        <v>5148</v>
      </c>
      <c r="H2249">
        <v>41006</v>
      </c>
      <c r="I2249" t="s">
        <v>423</v>
      </c>
      <c r="J2249" t="s">
        <v>4086</v>
      </c>
      <c r="K2249" t="s">
        <v>2051</v>
      </c>
      <c r="L2249" t="s">
        <v>2052</v>
      </c>
      <c r="M2249">
        <v>341</v>
      </c>
      <c r="N2249">
        <v>50.35</v>
      </c>
      <c r="O2249">
        <v>12313.09</v>
      </c>
      <c r="P2249">
        <v>0</v>
      </c>
      <c r="Q2249">
        <v>12313.09</v>
      </c>
      <c r="R2249">
        <v>1970.09</v>
      </c>
      <c r="S2249">
        <v>492.52</v>
      </c>
      <c r="T2249">
        <v>13790.66</v>
      </c>
      <c r="U2249" t="s">
        <v>2053</v>
      </c>
      <c r="V2249" t="s">
        <v>9409</v>
      </c>
      <c r="W2249" t="s">
        <v>423</v>
      </c>
    </row>
    <row r="2250" spans="1:23" hidden="1" x14ac:dyDescent="0.2">
      <c r="A2250">
        <v>2012</v>
      </c>
      <c r="B2250" t="s">
        <v>303</v>
      </c>
      <c r="C2250" s="733">
        <v>40927</v>
      </c>
      <c r="D22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50" t="s">
        <v>485</v>
      </c>
      <c r="F2250" t="s">
        <v>2065</v>
      </c>
      <c r="G2250" t="s">
        <v>4667</v>
      </c>
      <c r="H2250">
        <v>40541</v>
      </c>
      <c r="I2250" t="s">
        <v>423</v>
      </c>
      <c r="J2250" t="s">
        <v>2189</v>
      </c>
      <c r="K2250" t="s">
        <v>2183</v>
      </c>
      <c r="L2250" t="s">
        <v>2184</v>
      </c>
      <c r="M2250">
        <v>720</v>
      </c>
      <c r="N2250">
        <v>25.26</v>
      </c>
      <c r="O2250">
        <v>10237.85</v>
      </c>
      <c r="P2250">
        <v>0</v>
      </c>
      <c r="Q2250">
        <v>10237.85</v>
      </c>
      <c r="R2250">
        <v>1638.06</v>
      </c>
      <c r="S2250">
        <v>409.51</v>
      </c>
      <c r="T2250">
        <v>11466.4</v>
      </c>
      <c r="U2250" t="s">
        <v>7554</v>
      </c>
      <c r="V2250" t="s">
        <v>9408</v>
      </c>
      <c r="W2250" t="s">
        <v>423</v>
      </c>
    </row>
    <row r="2251" spans="1:23" hidden="1" x14ac:dyDescent="0.2">
      <c r="A2251">
        <v>2012</v>
      </c>
      <c r="B2251" t="s">
        <v>303</v>
      </c>
      <c r="C2251" s="733">
        <v>40925</v>
      </c>
      <c r="D22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51" t="s">
        <v>485</v>
      </c>
      <c r="F2251" t="s">
        <v>2065</v>
      </c>
      <c r="G2251" t="s">
        <v>4669</v>
      </c>
      <c r="H2251">
        <v>39950</v>
      </c>
      <c r="I2251" t="s">
        <v>423</v>
      </c>
      <c r="J2251" t="s">
        <v>2189</v>
      </c>
      <c r="K2251" t="s">
        <v>2183</v>
      </c>
      <c r="L2251" t="s">
        <v>2184</v>
      </c>
      <c r="M2251">
        <v>720</v>
      </c>
      <c r="N2251">
        <v>26.42</v>
      </c>
      <c r="O2251">
        <v>10708</v>
      </c>
      <c r="P2251">
        <v>0</v>
      </c>
      <c r="Q2251">
        <v>10708</v>
      </c>
      <c r="R2251">
        <v>1713.28</v>
      </c>
      <c r="S2251">
        <v>428.32</v>
      </c>
      <c r="T2251">
        <v>11992.96</v>
      </c>
      <c r="U2251" t="s">
        <v>7554</v>
      </c>
      <c r="V2251" t="s">
        <v>9408</v>
      </c>
      <c r="W2251" t="s">
        <v>423</v>
      </c>
    </row>
    <row r="2252" spans="1:23" hidden="1" x14ac:dyDescent="0.2">
      <c r="A2252">
        <v>2012</v>
      </c>
      <c r="B2252" t="s">
        <v>303</v>
      </c>
      <c r="C2252" s="733">
        <v>40924</v>
      </c>
      <c r="D22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52" t="s">
        <v>485</v>
      </c>
      <c r="F2252" t="s">
        <v>2048</v>
      </c>
      <c r="G2252" t="s">
        <v>5144</v>
      </c>
      <c r="H2252">
        <v>40388</v>
      </c>
      <c r="I2252" t="s">
        <v>423</v>
      </c>
      <c r="J2252" t="s">
        <v>2972</v>
      </c>
      <c r="K2252" t="s">
        <v>2051</v>
      </c>
      <c r="L2252" t="s">
        <v>2052</v>
      </c>
      <c r="M2252">
        <v>398</v>
      </c>
      <c r="N2252">
        <v>24.3</v>
      </c>
      <c r="O2252">
        <v>6720.65</v>
      </c>
      <c r="P2252">
        <v>0</v>
      </c>
      <c r="Q2252">
        <v>6720.65</v>
      </c>
      <c r="R2252">
        <v>1075.3</v>
      </c>
      <c r="S2252">
        <v>268.83</v>
      </c>
      <c r="T2252">
        <v>7527.12</v>
      </c>
      <c r="U2252" t="s">
        <v>2062</v>
      </c>
      <c r="V2252" t="s">
        <v>9408</v>
      </c>
      <c r="W2252" t="s">
        <v>423</v>
      </c>
    </row>
    <row r="2253" spans="1:23" hidden="1" x14ac:dyDescent="0.2">
      <c r="A2253">
        <v>2012</v>
      </c>
      <c r="B2253" t="s">
        <v>303</v>
      </c>
      <c r="C2253" s="733">
        <v>40928</v>
      </c>
      <c r="D22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53" t="s">
        <v>485</v>
      </c>
      <c r="F2253" t="s">
        <v>2048</v>
      </c>
      <c r="G2253" t="s">
        <v>5145</v>
      </c>
      <c r="H2253">
        <v>40664</v>
      </c>
      <c r="I2253" t="s">
        <v>423</v>
      </c>
      <c r="J2253" t="s">
        <v>2972</v>
      </c>
      <c r="K2253" t="s">
        <v>2051</v>
      </c>
      <c r="L2253" t="s">
        <v>2052</v>
      </c>
      <c r="M2253">
        <v>398</v>
      </c>
      <c r="N2253">
        <v>49.3</v>
      </c>
      <c r="O2253">
        <v>13634.9</v>
      </c>
      <c r="P2253">
        <v>0</v>
      </c>
      <c r="Q2253">
        <v>13634.9</v>
      </c>
      <c r="R2253">
        <v>2181.58</v>
      </c>
      <c r="S2253">
        <v>545.4</v>
      </c>
      <c r="T2253">
        <v>15271.08</v>
      </c>
      <c r="U2253" t="s">
        <v>2062</v>
      </c>
      <c r="V2253" t="s">
        <v>9409</v>
      </c>
      <c r="W2253" t="s">
        <v>423</v>
      </c>
    </row>
    <row r="2254" spans="1:23" hidden="1" x14ac:dyDescent="0.2">
      <c r="A2254">
        <v>2012</v>
      </c>
      <c r="B2254" t="s">
        <v>304</v>
      </c>
      <c r="C2254" s="733">
        <v>40947</v>
      </c>
      <c r="D22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54" t="s">
        <v>505</v>
      </c>
      <c r="F2254" t="s">
        <v>1915</v>
      </c>
      <c r="G2254" t="s">
        <v>3503</v>
      </c>
      <c r="H2254">
        <v>21294</v>
      </c>
      <c r="I2254" t="s">
        <v>423</v>
      </c>
      <c r="J2254" t="s">
        <v>1947</v>
      </c>
      <c r="K2254" t="s">
        <v>1918</v>
      </c>
      <c r="L2254" t="s">
        <v>1919</v>
      </c>
      <c r="M2254">
        <v>973</v>
      </c>
      <c r="N2254">
        <v>49.98</v>
      </c>
      <c r="O2254">
        <v>29186.32</v>
      </c>
      <c r="P2254">
        <v>0</v>
      </c>
      <c r="Q2254">
        <v>29186.32</v>
      </c>
      <c r="R2254">
        <v>4669.8100000000004</v>
      </c>
      <c r="S2254">
        <v>1167.45</v>
      </c>
      <c r="T2254">
        <v>32688.68</v>
      </c>
      <c r="V2254" t="s">
        <v>9409</v>
      </c>
      <c r="W2254" t="s">
        <v>423</v>
      </c>
    </row>
    <row r="2255" spans="1:23" hidden="1" x14ac:dyDescent="0.2">
      <c r="A2255">
        <v>2012</v>
      </c>
      <c r="B2255" t="s">
        <v>304</v>
      </c>
      <c r="C2255" s="733">
        <v>40962</v>
      </c>
      <c r="D22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55" t="s">
        <v>485</v>
      </c>
      <c r="F2255" t="s">
        <v>2065</v>
      </c>
      <c r="G2255" t="s">
        <v>8540</v>
      </c>
      <c r="H2255">
        <v>42492</v>
      </c>
      <c r="I2255" t="s">
        <v>423</v>
      </c>
      <c r="J2255" t="s">
        <v>2050</v>
      </c>
      <c r="K2255" t="s">
        <v>2051</v>
      </c>
      <c r="L2255" t="s">
        <v>2052</v>
      </c>
      <c r="M2255">
        <v>90</v>
      </c>
      <c r="N2255">
        <v>28.15</v>
      </c>
      <c r="O2255">
        <v>3949.73</v>
      </c>
      <c r="P2255">
        <v>0</v>
      </c>
      <c r="Q2255">
        <v>3949.73</v>
      </c>
      <c r="R2255">
        <v>631.96</v>
      </c>
      <c r="S2255">
        <v>157.99</v>
      </c>
      <c r="T2255">
        <v>4423.7</v>
      </c>
      <c r="V2255" t="s">
        <v>9408</v>
      </c>
      <c r="W2255" t="s">
        <v>423</v>
      </c>
    </row>
    <row r="2256" spans="1:23" hidden="1" x14ac:dyDescent="0.2">
      <c r="A2256">
        <v>2012</v>
      </c>
      <c r="B2256" t="s">
        <v>303</v>
      </c>
      <c r="C2256" s="733">
        <v>40935</v>
      </c>
      <c r="D22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56" t="s">
        <v>485</v>
      </c>
      <c r="F2256" t="s">
        <v>2054</v>
      </c>
      <c r="G2256" t="s">
        <v>2153</v>
      </c>
      <c r="H2256">
        <v>10223</v>
      </c>
      <c r="I2256" t="s">
        <v>423</v>
      </c>
      <c r="J2256" t="s">
        <v>2056</v>
      </c>
      <c r="K2256" t="s">
        <v>2057</v>
      </c>
      <c r="L2256" t="s">
        <v>2058</v>
      </c>
      <c r="M2256">
        <v>19</v>
      </c>
      <c r="N2256">
        <v>23.53</v>
      </c>
      <c r="O2256">
        <v>2655.83</v>
      </c>
      <c r="P2256">
        <v>0</v>
      </c>
      <c r="Q2256">
        <v>2655.83</v>
      </c>
      <c r="R2256">
        <v>424.93</v>
      </c>
      <c r="S2256">
        <v>106.23</v>
      </c>
      <c r="T2256">
        <v>2974.53</v>
      </c>
      <c r="U2256" t="s">
        <v>2073</v>
      </c>
      <c r="V2256" t="s">
        <v>9408</v>
      </c>
      <c r="W2256" t="s">
        <v>423</v>
      </c>
    </row>
    <row r="2257" spans="1:23" hidden="1" x14ac:dyDescent="0.2">
      <c r="A2257">
        <v>2012</v>
      </c>
      <c r="B2257" t="s">
        <v>304</v>
      </c>
      <c r="C2257" s="733">
        <v>40946</v>
      </c>
      <c r="D22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57" t="s">
        <v>485</v>
      </c>
      <c r="F2257" t="s">
        <v>2084</v>
      </c>
      <c r="G2257" t="s">
        <v>2154</v>
      </c>
      <c r="H2257">
        <v>41505</v>
      </c>
      <c r="I2257" t="s">
        <v>423</v>
      </c>
      <c r="J2257" t="s">
        <v>2050</v>
      </c>
      <c r="K2257" t="s">
        <v>2051</v>
      </c>
      <c r="L2257" t="s">
        <v>2052</v>
      </c>
      <c r="M2257">
        <v>90</v>
      </c>
      <c r="N2257">
        <v>23.9</v>
      </c>
      <c r="O2257">
        <v>3353.41</v>
      </c>
      <c r="P2257">
        <v>0</v>
      </c>
      <c r="Q2257">
        <v>3353.41</v>
      </c>
      <c r="R2257">
        <v>536.54999999999995</v>
      </c>
      <c r="S2257">
        <v>134.13999999999999</v>
      </c>
      <c r="T2257">
        <v>3755.82</v>
      </c>
      <c r="U2257" t="s">
        <v>7568</v>
      </c>
      <c r="V2257" t="s">
        <v>9408</v>
      </c>
      <c r="W2257" t="s">
        <v>423</v>
      </c>
    </row>
    <row r="2258" spans="1:23" hidden="1" x14ac:dyDescent="0.2">
      <c r="A2258">
        <v>2012</v>
      </c>
      <c r="B2258" t="s">
        <v>304</v>
      </c>
      <c r="C2258" s="733">
        <v>40941</v>
      </c>
      <c r="D22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58" t="s">
        <v>485</v>
      </c>
      <c r="F2258" t="s">
        <v>2048</v>
      </c>
      <c r="G2258" t="s">
        <v>2159</v>
      </c>
      <c r="H2258">
        <v>41339</v>
      </c>
      <c r="I2258" t="s">
        <v>423</v>
      </c>
      <c r="J2258" t="s">
        <v>2050</v>
      </c>
      <c r="K2258" t="s">
        <v>2051</v>
      </c>
      <c r="L2258" t="s">
        <v>2052</v>
      </c>
      <c r="M2258">
        <v>90</v>
      </c>
      <c r="N2258">
        <v>28.6</v>
      </c>
      <c r="O2258">
        <v>4012.87</v>
      </c>
      <c r="P2258">
        <v>0</v>
      </c>
      <c r="Q2258">
        <v>4012.87</v>
      </c>
      <c r="R2258">
        <v>642.05999999999995</v>
      </c>
      <c r="S2258">
        <v>160.51</v>
      </c>
      <c r="T2258">
        <v>4494.42</v>
      </c>
      <c r="U2258" t="s">
        <v>2067</v>
      </c>
      <c r="V2258" t="s">
        <v>9408</v>
      </c>
      <c r="W2258" t="s">
        <v>423</v>
      </c>
    </row>
    <row r="2259" spans="1:23" hidden="1" x14ac:dyDescent="0.2">
      <c r="A2259">
        <v>2012</v>
      </c>
      <c r="B2259" t="s">
        <v>304</v>
      </c>
      <c r="C2259" s="733">
        <v>40962</v>
      </c>
      <c r="D22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59" t="s">
        <v>485</v>
      </c>
      <c r="F2259" t="s">
        <v>2048</v>
      </c>
      <c r="G2259" t="s">
        <v>8539</v>
      </c>
      <c r="H2259">
        <v>42500</v>
      </c>
      <c r="I2259" t="s">
        <v>423</v>
      </c>
      <c r="J2259" t="s">
        <v>2050</v>
      </c>
      <c r="K2259" t="s">
        <v>2051</v>
      </c>
      <c r="L2259" t="s">
        <v>2052</v>
      </c>
      <c r="M2259">
        <v>90</v>
      </c>
      <c r="N2259">
        <v>30.15</v>
      </c>
      <c r="O2259">
        <v>4230.3500000000004</v>
      </c>
      <c r="P2259">
        <v>0</v>
      </c>
      <c r="Q2259">
        <v>4230.3500000000004</v>
      </c>
      <c r="R2259">
        <v>676.86</v>
      </c>
      <c r="S2259">
        <v>169.21</v>
      </c>
      <c r="T2259">
        <v>4738</v>
      </c>
      <c r="V2259" t="s">
        <v>9408</v>
      </c>
      <c r="W2259" t="s">
        <v>423</v>
      </c>
    </row>
    <row r="2260" spans="1:23" hidden="1" x14ac:dyDescent="0.2">
      <c r="A2260">
        <v>2012</v>
      </c>
      <c r="B2260" t="s">
        <v>303</v>
      </c>
      <c r="C2260" s="733">
        <v>40926</v>
      </c>
      <c r="D22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60" t="s">
        <v>485</v>
      </c>
      <c r="F2260" t="s">
        <v>2048</v>
      </c>
      <c r="G2260" t="s">
        <v>2165</v>
      </c>
      <c r="H2260">
        <v>40524</v>
      </c>
      <c r="I2260" t="s">
        <v>423</v>
      </c>
      <c r="J2260" t="s">
        <v>2050</v>
      </c>
      <c r="K2260" t="s">
        <v>2051</v>
      </c>
      <c r="L2260" t="s">
        <v>2052</v>
      </c>
      <c r="M2260">
        <v>90</v>
      </c>
      <c r="N2260">
        <v>49.45</v>
      </c>
      <c r="O2260">
        <v>6938.33</v>
      </c>
      <c r="P2260">
        <v>0</v>
      </c>
      <c r="Q2260">
        <v>6938.33</v>
      </c>
      <c r="R2260">
        <v>1110.1300000000001</v>
      </c>
      <c r="S2260">
        <v>277.52999999999997</v>
      </c>
      <c r="T2260">
        <v>7770.93</v>
      </c>
      <c r="U2260" t="s">
        <v>2062</v>
      </c>
      <c r="V2260" t="s">
        <v>9409</v>
      </c>
      <c r="W2260" t="s">
        <v>423</v>
      </c>
    </row>
    <row r="2261" spans="1:23" hidden="1" x14ac:dyDescent="0.2">
      <c r="A2261">
        <v>2012</v>
      </c>
      <c r="B2261" t="s">
        <v>303</v>
      </c>
      <c r="C2261" s="733">
        <v>40927.712638888886</v>
      </c>
      <c r="D22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61" t="s">
        <v>478</v>
      </c>
      <c r="F2261" t="s">
        <v>2622</v>
      </c>
      <c r="G2261" t="s">
        <v>4108</v>
      </c>
      <c r="H2261">
        <v>34742</v>
      </c>
      <c r="I2261" t="s">
        <v>423</v>
      </c>
      <c r="J2261" t="s">
        <v>2629</v>
      </c>
      <c r="K2261" t="s">
        <v>2625</v>
      </c>
      <c r="L2261" t="s">
        <v>2626</v>
      </c>
      <c r="M2261">
        <v>33</v>
      </c>
      <c r="N2261">
        <v>24.85</v>
      </c>
      <c r="O2261">
        <v>2898.5</v>
      </c>
      <c r="P2261">
        <v>0</v>
      </c>
      <c r="Q2261">
        <v>2898.5</v>
      </c>
      <c r="R2261">
        <v>463.76</v>
      </c>
      <c r="S2261">
        <v>115.94</v>
      </c>
      <c r="T2261">
        <v>3246.32</v>
      </c>
      <c r="U2261" t="s">
        <v>2633</v>
      </c>
      <c r="V2261" t="s">
        <v>9408</v>
      </c>
      <c r="W2261" t="s">
        <v>423</v>
      </c>
    </row>
    <row r="2262" spans="1:23" hidden="1" x14ac:dyDescent="0.2">
      <c r="A2262">
        <v>2012</v>
      </c>
      <c r="B2262" t="s">
        <v>303</v>
      </c>
      <c r="C2262" s="733">
        <v>40933</v>
      </c>
      <c r="D22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62" t="s">
        <v>478</v>
      </c>
      <c r="F2262" t="s">
        <v>2622</v>
      </c>
      <c r="G2262" t="s">
        <v>5780</v>
      </c>
      <c r="H2262">
        <v>34849</v>
      </c>
      <c r="I2262" t="s">
        <v>423</v>
      </c>
      <c r="J2262" t="s">
        <v>2629</v>
      </c>
      <c r="K2262" t="s">
        <v>2625</v>
      </c>
      <c r="L2262" t="s">
        <v>2626</v>
      </c>
      <c r="M2262">
        <v>33</v>
      </c>
      <c r="N2262">
        <v>25.52</v>
      </c>
      <c r="O2262">
        <v>2976.65</v>
      </c>
      <c r="P2262">
        <v>0</v>
      </c>
      <c r="Q2262">
        <v>2976.65</v>
      </c>
      <c r="R2262">
        <v>476.26</v>
      </c>
      <c r="S2262">
        <v>119.07</v>
      </c>
      <c r="T2262">
        <v>3333.84</v>
      </c>
      <c r="U2262" t="s">
        <v>2633</v>
      </c>
      <c r="V2262" t="s">
        <v>9408</v>
      </c>
      <c r="W2262" t="s">
        <v>423</v>
      </c>
    </row>
    <row r="2263" spans="1:23" x14ac:dyDescent="0.2">
      <c r="A2263">
        <v>2012</v>
      </c>
      <c r="B2263" t="s">
        <v>304</v>
      </c>
      <c r="C2263" s="733">
        <v>40968.486608796295</v>
      </c>
      <c r="D22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63" t="s">
        <v>485</v>
      </c>
      <c r="F2263" t="s">
        <v>2065</v>
      </c>
      <c r="G2263" t="s">
        <v>9534</v>
      </c>
      <c r="H2263">
        <v>42873</v>
      </c>
      <c r="I2263" t="s">
        <v>423</v>
      </c>
      <c r="J2263" t="s">
        <v>2186</v>
      </c>
      <c r="K2263" t="s">
        <v>2183</v>
      </c>
      <c r="L2263" t="s">
        <v>2184</v>
      </c>
      <c r="M2263">
        <v>19</v>
      </c>
      <c r="N2263">
        <v>15.07</v>
      </c>
      <c r="O2263">
        <v>1700.95</v>
      </c>
      <c r="P2263">
        <v>0</v>
      </c>
      <c r="Q2263">
        <v>1700.95</v>
      </c>
      <c r="R2263">
        <v>272.14999999999998</v>
      </c>
      <c r="S2263">
        <v>68.040000000000006</v>
      </c>
      <c r="T2263">
        <v>1905.06</v>
      </c>
      <c r="V2263" t="s">
        <v>9408</v>
      </c>
      <c r="W2263" t="s">
        <v>423</v>
      </c>
    </row>
    <row r="2264" spans="1:23" hidden="1" x14ac:dyDescent="0.2">
      <c r="A2264">
        <v>2012</v>
      </c>
      <c r="B2264" t="s">
        <v>304</v>
      </c>
      <c r="C2264" s="733">
        <v>40942</v>
      </c>
      <c r="D22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64" t="s">
        <v>485</v>
      </c>
      <c r="F2264" t="s">
        <v>2065</v>
      </c>
      <c r="G2264" t="s">
        <v>5398</v>
      </c>
      <c r="H2264">
        <v>40050</v>
      </c>
      <c r="I2264" t="s">
        <v>423</v>
      </c>
      <c r="J2264" t="s">
        <v>2186</v>
      </c>
      <c r="K2264" t="s">
        <v>2183</v>
      </c>
      <c r="L2264" t="s">
        <v>2184</v>
      </c>
      <c r="M2264">
        <v>19</v>
      </c>
      <c r="N2264">
        <v>15.1</v>
      </c>
      <c r="O2264">
        <v>1704.34</v>
      </c>
      <c r="P2264">
        <v>0</v>
      </c>
      <c r="Q2264">
        <v>1704.34</v>
      </c>
      <c r="R2264">
        <v>272.69</v>
      </c>
      <c r="S2264">
        <v>68.17</v>
      </c>
      <c r="T2264">
        <v>1908.86</v>
      </c>
      <c r="U2264" t="s">
        <v>3049</v>
      </c>
      <c r="V2264" t="s">
        <v>9408</v>
      </c>
      <c r="W2264" t="s">
        <v>423</v>
      </c>
    </row>
    <row r="2265" spans="1:23" hidden="1" x14ac:dyDescent="0.2">
      <c r="A2265">
        <v>2012</v>
      </c>
      <c r="B2265" t="s">
        <v>304</v>
      </c>
      <c r="C2265" s="733">
        <v>40954</v>
      </c>
      <c r="D22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65" t="s">
        <v>485</v>
      </c>
      <c r="F2265" t="s">
        <v>2065</v>
      </c>
      <c r="G2265" t="s">
        <v>7478</v>
      </c>
      <c r="H2265">
        <v>41981</v>
      </c>
      <c r="I2265" t="s">
        <v>423</v>
      </c>
      <c r="J2265" t="s">
        <v>2186</v>
      </c>
      <c r="K2265" t="s">
        <v>2183</v>
      </c>
      <c r="L2265" t="s">
        <v>2184</v>
      </c>
      <c r="M2265">
        <v>19</v>
      </c>
      <c r="N2265">
        <v>15.94</v>
      </c>
      <c r="O2265">
        <v>1799.15</v>
      </c>
      <c r="P2265">
        <v>0</v>
      </c>
      <c r="Q2265">
        <v>1799.15</v>
      </c>
      <c r="R2265">
        <v>287.86</v>
      </c>
      <c r="S2265">
        <v>71.97</v>
      </c>
      <c r="T2265">
        <v>2015.04</v>
      </c>
      <c r="U2265" t="s">
        <v>8048</v>
      </c>
      <c r="V2265" t="s">
        <v>9408</v>
      </c>
      <c r="W2265" t="s">
        <v>423</v>
      </c>
    </row>
    <row r="2266" spans="1:23" hidden="1" x14ac:dyDescent="0.2">
      <c r="A2266">
        <v>2012</v>
      </c>
      <c r="B2266" t="s">
        <v>303</v>
      </c>
      <c r="C2266" s="733">
        <v>40936.440104166664</v>
      </c>
      <c r="D22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66" t="s">
        <v>478</v>
      </c>
      <c r="F2266" t="s">
        <v>2136</v>
      </c>
      <c r="G2266" t="s">
        <v>3376</v>
      </c>
      <c r="H2266">
        <v>35028</v>
      </c>
      <c r="I2266" t="s">
        <v>423</v>
      </c>
      <c r="J2266" t="s">
        <v>2629</v>
      </c>
      <c r="K2266" t="s">
        <v>2625</v>
      </c>
      <c r="L2266" t="s">
        <v>2626</v>
      </c>
      <c r="M2266">
        <v>33</v>
      </c>
      <c r="N2266">
        <v>23.84</v>
      </c>
      <c r="O2266">
        <v>2780.7</v>
      </c>
      <c r="P2266">
        <v>0</v>
      </c>
      <c r="Q2266">
        <v>2780.7</v>
      </c>
      <c r="R2266">
        <v>444.91</v>
      </c>
      <c r="S2266">
        <v>111.23</v>
      </c>
      <c r="T2266">
        <v>3114.38</v>
      </c>
      <c r="U2266" t="s">
        <v>2648</v>
      </c>
      <c r="V2266" t="s">
        <v>9408</v>
      </c>
      <c r="W2266" t="s">
        <v>423</v>
      </c>
    </row>
    <row r="2267" spans="1:23" hidden="1" x14ac:dyDescent="0.2">
      <c r="A2267">
        <v>2012</v>
      </c>
      <c r="B2267" t="s">
        <v>304</v>
      </c>
      <c r="C2267" s="733">
        <v>40954</v>
      </c>
      <c r="D22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67" t="s">
        <v>478</v>
      </c>
      <c r="F2267" t="s">
        <v>2136</v>
      </c>
      <c r="G2267" t="s">
        <v>7729</v>
      </c>
      <c r="H2267">
        <v>35609</v>
      </c>
      <c r="I2267" t="s">
        <v>423</v>
      </c>
      <c r="J2267" t="s">
        <v>2629</v>
      </c>
      <c r="K2267" t="s">
        <v>2625</v>
      </c>
      <c r="L2267" t="s">
        <v>2626</v>
      </c>
      <c r="M2267">
        <v>33</v>
      </c>
      <c r="N2267">
        <v>22.67</v>
      </c>
      <c r="O2267">
        <v>2644.23</v>
      </c>
      <c r="P2267">
        <v>0</v>
      </c>
      <c r="Q2267">
        <v>2644.23</v>
      </c>
      <c r="R2267">
        <v>423.08</v>
      </c>
      <c r="S2267">
        <v>105.77</v>
      </c>
      <c r="T2267">
        <v>2961.54</v>
      </c>
      <c r="U2267" t="s">
        <v>8267</v>
      </c>
      <c r="V2267" t="s">
        <v>9408</v>
      </c>
      <c r="W2267" t="s">
        <v>423</v>
      </c>
    </row>
    <row r="2268" spans="1:23" hidden="1" x14ac:dyDescent="0.2">
      <c r="A2268">
        <v>2012</v>
      </c>
      <c r="B2268" t="s">
        <v>304</v>
      </c>
      <c r="C2268" s="733">
        <v>40954</v>
      </c>
      <c r="D22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68" t="s">
        <v>478</v>
      </c>
      <c r="F2268" t="s">
        <v>2136</v>
      </c>
      <c r="G2268" t="s">
        <v>7746</v>
      </c>
      <c r="H2268">
        <v>35612</v>
      </c>
      <c r="I2268" t="s">
        <v>423</v>
      </c>
      <c r="J2268" t="s">
        <v>2629</v>
      </c>
      <c r="K2268" t="s">
        <v>2625</v>
      </c>
      <c r="L2268" t="s">
        <v>2626</v>
      </c>
      <c r="M2268">
        <v>33</v>
      </c>
      <c r="N2268">
        <v>23.52</v>
      </c>
      <c r="O2268">
        <v>2743.37</v>
      </c>
      <c r="P2268">
        <v>0</v>
      </c>
      <c r="Q2268">
        <v>2743.37</v>
      </c>
      <c r="R2268">
        <v>438.94</v>
      </c>
      <c r="S2268">
        <v>109.73</v>
      </c>
      <c r="T2268">
        <v>3072.58</v>
      </c>
      <c r="U2268" t="s">
        <v>7548</v>
      </c>
      <c r="V2268" t="s">
        <v>9408</v>
      </c>
      <c r="W2268" t="s">
        <v>423</v>
      </c>
    </row>
    <row r="2269" spans="1:23" hidden="1" x14ac:dyDescent="0.2">
      <c r="A2269">
        <v>2012</v>
      </c>
      <c r="B2269" t="s">
        <v>303</v>
      </c>
      <c r="C2269" s="733">
        <v>40918</v>
      </c>
      <c r="D22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69" t="s">
        <v>478</v>
      </c>
      <c r="F2269" t="s">
        <v>2622</v>
      </c>
      <c r="G2269" t="s">
        <v>4106</v>
      </c>
      <c r="H2269">
        <v>34340</v>
      </c>
      <c r="I2269" t="s">
        <v>423</v>
      </c>
      <c r="J2269" t="s">
        <v>2629</v>
      </c>
      <c r="K2269" t="s">
        <v>2625</v>
      </c>
      <c r="L2269" t="s">
        <v>2626</v>
      </c>
      <c r="M2269">
        <v>33</v>
      </c>
      <c r="N2269">
        <v>23.93</v>
      </c>
      <c r="O2269">
        <v>2791.2</v>
      </c>
      <c r="P2269">
        <v>0</v>
      </c>
      <c r="Q2269">
        <v>2791.2</v>
      </c>
      <c r="R2269">
        <v>446.59</v>
      </c>
      <c r="S2269">
        <v>111.65</v>
      </c>
      <c r="T2269">
        <v>3126.14</v>
      </c>
      <c r="U2269" t="s">
        <v>2627</v>
      </c>
      <c r="V2269" t="s">
        <v>9408</v>
      </c>
      <c r="W2269" t="s">
        <v>423</v>
      </c>
    </row>
    <row r="2270" spans="1:23" hidden="1" x14ac:dyDescent="0.2">
      <c r="A2270">
        <v>2012</v>
      </c>
      <c r="B2270" t="s">
        <v>305</v>
      </c>
      <c r="C2270" s="733">
        <v>40970</v>
      </c>
      <c r="D2270" s="733" t="str">
        <f>CHOOSE(MONTH(Tabla_sqldatos_bonampakdb_Bon_v_ingresos2012[[#This Row],[fecha_guia]]),"Enero","Febrero","Marzo","Abril","Mayo","Junio","Julio","Agosto","Septiembre","Octubre","Noviembre","Diciembre")</f>
        <v>Marzo</v>
      </c>
      <c r="E2270" t="s">
        <v>485</v>
      </c>
      <c r="F2270" t="s">
        <v>2099</v>
      </c>
      <c r="G2270" t="s">
        <v>9707</v>
      </c>
      <c r="H2270">
        <v>42918</v>
      </c>
      <c r="I2270" t="s">
        <v>423</v>
      </c>
      <c r="J2270" t="s">
        <v>2141</v>
      </c>
      <c r="K2270" t="s">
        <v>2102</v>
      </c>
      <c r="L2270" t="s">
        <v>2103</v>
      </c>
      <c r="M2270">
        <v>114</v>
      </c>
      <c r="N2270">
        <v>24.54</v>
      </c>
      <c r="O2270">
        <v>3943.09</v>
      </c>
      <c r="P2270">
        <v>0</v>
      </c>
      <c r="Q2270">
        <v>3943.09</v>
      </c>
      <c r="R2270">
        <v>630.89</v>
      </c>
      <c r="S2270">
        <v>157.72</v>
      </c>
      <c r="T2270">
        <v>4416.26</v>
      </c>
      <c r="V2270" t="s">
        <v>9408</v>
      </c>
      <c r="W2270" t="s">
        <v>423</v>
      </c>
    </row>
    <row r="2271" spans="1:23" hidden="1" x14ac:dyDescent="0.2">
      <c r="A2271">
        <v>2012</v>
      </c>
      <c r="B2271" t="s">
        <v>303</v>
      </c>
      <c r="C2271" s="733">
        <v>40934.547337962962</v>
      </c>
      <c r="D22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71" t="s">
        <v>485</v>
      </c>
      <c r="F2271" t="s">
        <v>2099</v>
      </c>
      <c r="G2271" t="s">
        <v>4120</v>
      </c>
      <c r="H2271">
        <v>40935</v>
      </c>
      <c r="I2271" t="s">
        <v>423</v>
      </c>
      <c r="J2271" t="s">
        <v>2141</v>
      </c>
      <c r="K2271" t="s">
        <v>2102</v>
      </c>
      <c r="L2271" t="s">
        <v>2103</v>
      </c>
      <c r="M2271">
        <v>114</v>
      </c>
      <c r="N2271">
        <v>25.27</v>
      </c>
      <c r="O2271">
        <v>4060.38</v>
      </c>
      <c r="P2271">
        <v>0</v>
      </c>
      <c r="Q2271">
        <v>4060.38</v>
      </c>
      <c r="R2271">
        <v>649.66</v>
      </c>
      <c r="S2271">
        <v>162.41999999999999</v>
      </c>
      <c r="T2271">
        <v>4547.62</v>
      </c>
      <c r="U2271" t="s">
        <v>2108</v>
      </c>
      <c r="V2271" t="s">
        <v>9408</v>
      </c>
      <c r="W2271" t="s">
        <v>423</v>
      </c>
    </row>
    <row r="2272" spans="1:23" hidden="1" x14ac:dyDescent="0.2">
      <c r="A2272">
        <v>2012</v>
      </c>
      <c r="B2272" t="s">
        <v>305</v>
      </c>
      <c r="C2272" s="733">
        <v>40970</v>
      </c>
      <c r="D2272" s="733" t="str">
        <f>CHOOSE(MONTH(Tabla_sqldatos_bonampakdb_Bon_v_ingresos2012[[#This Row],[fecha_guia]]),"Enero","Febrero","Marzo","Abril","Mayo","Junio","Julio","Agosto","Septiembre","Octubre","Noviembre","Diciembre")</f>
        <v>Marzo</v>
      </c>
      <c r="E2272" t="s">
        <v>485</v>
      </c>
      <c r="F2272" t="s">
        <v>2099</v>
      </c>
      <c r="G2272" t="s">
        <v>9708</v>
      </c>
      <c r="H2272">
        <v>42915</v>
      </c>
      <c r="I2272" t="s">
        <v>423</v>
      </c>
      <c r="J2272" t="s">
        <v>2141</v>
      </c>
      <c r="K2272" t="s">
        <v>2102</v>
      </c>
      <c r="L2272" t="s">
        <v>2103</v>
      </c>
      <c r="M2272">
        <v>114</v>
      </c>
      <c r="N2272">
        <v>23.7</v>
      </c>
      <c r="O2272">
        <v>3808.12</v>
      </c>
      <c r="P2272">
        <v>0</v>
      </c>
      <c r="Q2272">
        <v>3808.12</v>
      </c>
      <c r="R2272">
        <v>609.29999999999995</v>
      </c>
      <c r="S2272">
        <v>152.32</v>
      </c>
      <c r="T2272">
        <v>4265.1000000000004</v>
      </c>
      <c r="V2272" t="s">
        <v>9408</v>
      </c>
      <c r="W2272" t="s">
        <v>423</v>
      </c>
    </row>
    <row r="2273" spans="1:23" hidden="1" x14ac:dyDescent="0.2">
      <c r="A2273">
        <v>2012</v>
      </c>
      <c r="B2273" t="s">
        <v>303</v>
      </c>
      <c r="C2273" s="733">
        <v>40939.548437500001</v>
      </c>
      <c r="D22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73" t="s">
        <v>478</v>
      </c>
      <c r="F2273" t="s">
        <v>2622</v>
      </c>
      <c r="G2273" t="s">
        <v>3365</v>
      </c>
      <c r="H2273">
        <v>35149</v>
      </c>
      <c r="I2273" t="s">
        <v>423</v>
      </c>
      <c r="J2273" t="s">
        <v>2629</v>
      </c>
      <c r="K2273" t="s">
        <v>2625</v>
      </c>
      <c r="L2273" t="s">
        <v>2626</v>
      </c>
      <c r="M2273">
        <v>33</v>
      </c>
      <c r="N2273">
        <v>25.18</v>
      </c>
      <c r="O2273">
        <v>2937</v>
      </c>
      <c r="P2273">
        <v>0</v>
      </c>
      <c r="Q2273">
        <v>2937</v>
      </c>
      <c r="R2273">
        <v>469.92</v>
      </c>
      <c r="S2273">
        <v>117.48</v>
      </c>
      <c r="T2273">
        <v>3289.44</v>
      </c>
      <c r="U2273" t="s">
        <v>2630</v>
      </c>
      <c r="V2273" t="s">
        <v>9408</v>
      </c>
      <c r="W2273" t="s">
        <v>423</v>
      </c>
    </row>
    <row r="2274" spans="1:23" hidden="1" x14ac:dyDescent="0.2">
      <c r="A2274">
        <v>2012</v>
      </c>
      <c r="B2274" t="s">
        <v>303</v>
      </c>
      <c r="C2274" s="733">
        <v>40914.855856481481</v>
      </c>
      <c r="D22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74" t="s">
        <v>478</v>
      </c>
      <c r="F2274" t="s">
        <v>2622</v>
      </c>
      <c r="G2274" t="s">
        <v>4107</v>
      </c>
      <c r="H2274">
        <v>34288</v>
      </c>
      <c r="I2274" t="s">
        <v>423</v>
      </c>
      <c r="J2274" t="s">
        <v>2629</v>
      </c>
      <c r="K2274" t="s">
        <v>2625</v>
      </c>
      <c r="L2274" t="s">
        <v>2626</v>
      </c>
      <c r="M2274">
        <v>33</v>
      </c>
      <c r="N2274">
        <v>23.53</v>
      </c>
      <c r="O2274">
        <v>2744.54</v>
      </c>
      <c r="P2274">
        <v>0</v>
      </c>
      <c r="Q2274">
        <v>2744.54</v>
      </c>
      <c r="R2274">
        <v>439.13</v>
      </c>
      <c r="S2274">
        <v>109.78</v>
      </c>
      <c r="T2274">
        <v>3073.89</v>
      </c>
      <c r="U2274" t="s">
        <v>2627</v>
      </c>
      <c r="V2274" t="s">
        <v>9408</v>
      </c>
      <c r="W2274" t="s">
        <v>423</v>
      </c>
    </row>
    <row r="2275" spans="1:23" hidden="1" x14ac:dyDescent="0.2">
      <c r="A2275">
        <v>2012</v>
      </c>
      <c r="B2275" t="s">
        <v>303</v>
      </c>
      <c r="C2275" s="733">
        <v>40928</v>
      </c>
      <c r="D22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75" t="s">
        <v>485</v>
      </c>
      <c r="F2275" t="s">
        <v>2065</v>
      </c>
      <c r="G2275" t="s">
        <v>5411</v>
      </c>
      <c r="H2275">
        <v>39805</v>
      </c>
      <c r="I2275" t="s">
        <v>423</v>
      </c>
      <c r="J2275" t="s">
        <v>2186</v>
      </c>
      <c r="K2275" t="s">
        <v>2183</v>
      </c>
      <c r="L2275" t="s">
        <v>2184</v>
      </c>
      <c r="M2275">
        <v>19</v>
      </c>
      <c r="N2275">
        <v>16.260000000000002</v>
      </c>
      <c r="O2275">
        <v>1835.27</v>
      </c>
      <c r="P2275">
        <v>0</v>
      </c>
      <c r="Q2275">
        <v>1835.27</v>
      </c>
      <c r="R2275">
        <v>293.64</v>
      </c>
      <c r="S2275">
        <v>73.41</v>
      </c>
      <c r="T2275">
        <v>2055.5</v>
      </c>
      <c r="U2275" t="s">
        <v>2187</v>
      </c>
      <c r="V2275" t="s">
        <v>9408</v>
      </c>
      <c r="W2275" t="s">
        <v>423</v>
      </c>
    </row>
    <row r="2276" spans="1:23" hidden="1" x14ac:dyDescent="0.2">
      <c r="A2276">
        <v>2012</v>
      </c>
      <c r="B2276" t="s">
        <v>303</v>
      </c>
      <c r="C2276" s="733">
        <v>40934.461770833332</v>
      </c>
      <c r="D22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76" t="s">
        <v>485</v>
      </c>
      <c r="F2276" t="s">
        <v>2065</v>
      </c>
      <c r="G2276" t="s">
        <v>5399</v>
      </c>
      <c r="H2276">
        <v>40932</v>
      </c>
      <c r="I2276" t="s">
        <v>423</v>
      </c>
      <c r="J2276" t="s">
        <v>2186</v>
      </c>
      <c r="K2276" t="s">
        <v>2183</v>
      </c>
      <c r="L2276" t="s">
        <v>2184</v>
      </c>
      <c r="M2276">
        <v>19</v>
      </c>
      <c r="N2276">
        <v>15.98</v>
      </c>
      <c r="O2276">
        <v>1803.66</v>
      </c>
      <c r="P2276">
        <v>0</v>
      </c>
      <c r="Q2276">
        <v>1803.66</v>
      </c>
      <c r="R2276">
        <v>288.58999999999997</v>
      </c>
      <c r="S2276">
        <v>72.150000000000006</v>
      </c>
      <c r="T2276">
        <v>2020.1</v>
      </c>
      <c r="U2276" t="s">
        <v>2187</v>
      </c>
      <c r="V2276" t="s">
        <v>9408</v>
      </c>
      <c r="W2276" t="s">
        <v>423</v>
      </c>
    </row>
    <row r="2277" spans="1:23" hidden="1" x14ac:dyDescent="0.2">
      <c r="A2277">
        <v>2012</v>
      </c>
      <c r="B2277" t="s">
        <v>304</v>
      </c>
      <c r="C2277" s="733">
        <v>40946</v>
      </c>
      <c r="D22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77" t="s">
        <v>485</v>
      </c>
      <c r="F2277" t="s">
        <v>2065</v>
      </c>
      <c r="G2277" t="s">
        <v>5400</v>
      </c>
      <c r="H2277">
        <v>41539</v>
      </c>
      <c r="I2277" t="s">
        <v>423</v>
      </c>
      <c r="J2277" t="s">
        <v>2186</v>
      </c>
      <c r="K2277" t="s">
        <v>2183</v>
      </c>
      <c r="L2277" t="s">
        <v>2184</v>
      </c>
      <c r="M2277">
        <v>19</v>
      </c>
      <c r="N2277">
        <v>16.3</v>
      </c>
      <c r="O2277">
        <v>1839.78</v>
      </c>
      <c r="P2277">
        <v>0</v>
      </c>
      <c r="Q2277">
        <v>1839.78</v>
      </c>
      <c r="R2277">
        <v>294.36</v>
      </c>
      <c r="S2277">
        <v>73.59</v>
      </c>
      <c r="T2277">
        <v>2060.5500000000002</v>
      </c>
      <c r="U2277" t="s">
        <v>2192</v>
      </c>
      <c r="V2277" t="s">
        <v>9408</v>
      </c>
      <c r="W2277" t="s">
        <v>423</v>
      </c>
    </row>
    <row r="2278" spans="1:23" hidden="1" x14ac:dyDescent="0.2">
      <c r="A2278">
        <v>2012</v>
      </c>
      <c r="B2278" t="s">
        <v>303</v>
      </c>
      <c r="C2278" s="733">
        <v>40939</v>
      </c>
      <c r="D22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78" t="s">
        <v>485</v>
      </c>
      <c r="F2278" t="s">
        <v>2065</v>
      </c>
      <c r="G2278" t="s">
        <v>5764</v>
      </c>
      <c r="H2278">
        <v>40002</v>
      </c>
      <c r="I2278" t="s">
        <v>423</v>
      </c>
      <c r="J2278" t="s">
        <v>2186</v>
      </c>
      <c r="K2278" t="s">
        <v>2183</v>
      </c>
      <c r="L2278" t="s">
        <v>2184</v>
      </c>
      <c r="M2278">
        <v>19</v>
      </c>
      <c r="N2278">
        <v>15.87</v>
      </c>
      <c r="O2278">
        <v>1791.25</v>
      </c>
      <c r="P2278">
        <v>0</v>
      </c>
      <c r="Q2278">
        <v>1791.25</v>
      </c>
      <c r="R2278">
        <v>286.60000000000002</v>
      </c>
      <c r="S2278">
        <v>71.650000000000006</v>
      </c>
      <c r="T2278">
        <v>2006.2</v>
      </c>
      <c r="U2278" t="s">
        <v>2187</v>
      </c>
      <c r="V2278" t="s">
        <v>9408</v>
      </c>
      <c r="W2278" t="s">
        <v>423</v>
      </c>
    </row>
    <row r="2279" spans="1:23" hidden="1" x14ac:dyDescent="0.2">
      <c r="A2279">
        <v>2012</v>
      </c>
      <c r="B2279" t="s">
        <v>303</v>
      </c>
      <c r="C2279" s="733">
        <v>40918</v>
      </c>
      <c r="D22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79" t="s">
        <v>485</v>
      </c>
      <c r="F2279" t="s">
        <v>2065</v>
      </c>
      <c r="G2279" t="s">
        <v>5409</v>
      </c>
      <c r="H2279">
        <v>39913</v>
      </c>
      <c r="I2279" t="s">
        <v>423</v>
      </c>
      <c r="J2279" t="s">
        <v>2189</v>
      </c>
      <c r="K2279" t="s">
        <v>2183</v>
      </c>
      <c r="L2279" t="s">
        <v>2184</v>
      </c>
      <c r="M2279">
        <v>720</v>
      </c>
      <c r="N2279">
        <v>27.08</v>
      </c>
      <c r="O2279">
        <v>12020.54</v>
      </c>
      <c r="P2279">
        <v>0</v>
      </c>
      <c r="Q2279">
        <v>12020.54</v>
      </c>
      <c r="R2279">
        <v>1923.29</v>
      </c>
      <c r="S2279">
        <v>480.82</v>
      </c>
      <c r="T2279">
        <v>13463.01</v>
      </c>
      <c r="U2279" t="s">
        <v>7520</v>
      </c>
      <c r="V2279" t="s">
        <v>9408</v>
      </c>
      <c r="W2279" t="s">
        <v>423</v>
      </c>
    </row>
    <row r="2280" spans="1:23" hidden="1" x14ac:dyDescent="0.2">
      <c r="A2280">
        <v>2012</v>
      </c>
      <c r="B2280" t="s">
        <v>303</v>
      </c>
      <c r="C2280" s="733">
        <v>40927</v>
      </c>
      <c r="D22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80" t="s">
        <v>478</v>
      </c>
      <c r="F2280" t="s">
        <v>2622</v>
      </c>
      <c r="G2280" t="s">
        <v>3381</v>
      </c>
      <c r="H2280">
        <v>34625</v>
      </c>
      <c r="I2280" t="s">
        <v>423</v>
      </c>
      <c r="J2280" t="s">
        <v>2629</v>
      </c>
      <c r="K2280" t="s">
        <v>2625</v>
      </c>
      <c r="L2280" t="s">
        <v>2626</v>
      </c>
      <c r="M2280">
        <v>33</v>
      </c>
      <c r="N2280">
        <v>25.41</v>
      </c>
      <c r="O2280">
        <v>2963.82</v>
      </c>
      <c r="P2280">
        <v>0</v>
      </c>
      <c r="Q2280">
        <v>2963.82</v>
      </c>
      <c r="R2280">
        <v>474.21</v>
      </c>
      <c r="S2280">
        <v>118.55</v>
      </c>
      <c r="T2280">
        <v>3319.48</v>
      </c>
      <c r="U2280" t="s">
        <v>2627</v>
      </c>
      <c r="V2280" t="s">
        <v>9408</v>
      </c>
      <c r="W2280" t="s">
        <v>423</v>
      </c>
    </row>
    <row r="2281" spans="1:23" hidden="1" x14ac:dyDescent="0.2">
      <c r="A2281">
        <v>2012</v>
      </c>
      <c r="B2281" t="s">
        <v>303</v>
      </c>
      <c r="C2281" s="733">
        <v>40927</v>
      </c>
      <c r="D22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81" t="s">
        <v>478</v>
      </c>
      <c r="F2281" t="s">
        <v>2622</v>
      </c>
      <c r="G2281" t="s">
        <v>3380</v>
      </c>
      <c r="H2281">
        <v>34630</v>
      </c>
      <c r="I2281" t="s">
        <v>423</v>
      </c>
      <c r="J2281" t="s">
        <v>2629</v>
      </c>
      <c r="K2281" t="s">
        <v>2625</v>
      </c>
      <c r="L2281" t="s">
        <v>2626</v>
      </c>
      <c r="M2281">
        <v>33</v>
      </c>
      <c r="N2281">
        <v>27.23</v>
      </c>
      <c r="O2281">
        <v>3176.11</v>
      </c>
      <c r="P2281">
        <v>0</v>
      </c>
      <c r="Q2281">
        <v>3176.11</v>
      </c>
      <c r="R2281">
        <v>508.18</v>
      </c>
      <c r="S2281">
        <v>127.04</v>
      </c>
      <c r="T2281">
        <v>3557.25</v>
      </c>
      <c r="U2281" t="s">
        <v>2630</v>
      </c>
      <c r="V2281" t="s">
        <v>9408</v>
      </c>
      <c r="W2281" t="s">
        <v>423</v>
      </c>
    </row>
    <row r="2282" spans="1:23" hidden="1" x14ac:dyDescent="0.2">
      <c r="A2282">
        <v>2012</v>
      </c>
      <c r="B2282" t="s">
        <v>303</v>
      </c>
      <c r="C2282" s="733">
        <v>40921</v>
      </c>
      <c r="D22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82" t="s">
        <v>485</v>
      </c>
      <c r="F2282" t="s">
        <v>2054</v>
      </c>
      <c r="G2282" t="s">
        <v>3995</v>
      </c>
      <c r="H2282">
        <v>10042</v>
      </c>
      <c r="I2282" t="s">
        <v>423</v>
      </c>
      <c r="J2282" t="s">
        <v>2072</v>
      </c>
      <c r="K2282" t="s">
        <v>2057</v>
      </c>
      <c r="L2282" t="s">
        <v>2058</v>
      </c>
      <c r="M2282">
        <v>406</v>
      </c>
      <c r="N2282">
        <v>47.51</v>
      </c>
      <c r="O2282">
        <v>12983.53</v>
      </c>
      <c r="P2282">
        <v>0</v>
      </c>
      <c r="Q2282">
        <v>12983.53</v>
      </c>
      <c r="R2282">
        <v>2077.37</v>
      </c>
      <c r="S2282">
        <v>519.34</v>
      </c>
      <c r="T2282">
        <v>14541.56</v>
      </c>
      <c r="U2282" t="s">
        <v>2059</v>
      </c>
      <c r="V2282" t="s">
        <v>9409</v>
      </c>
      <c r="W2282" t="s">
        <v>423</v>
      </c>
    </row>
    <row r="2283" spans="1:23" hidden="1" x14ac:dyDescent="0.2">
      <c r="A2283">
        <v>2012</v>
      </c>
      <c r="B2283" t="s">
        <v>304</v>
      </c>
      <c r="C2283" s="733">
        <v>40962</v>
      </c>
      <c r="D22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83" t="s">
        <v>485</v>
      </c>
      <c r="F2283" t="s">
        <v>2054</v>
      </c>
      <c r="G2283" t="s">
        <v>8583</v>
      </c>
      <c r="H2283">
        <v>10518</v>
      </c>
      <c r="I2283" t="s">
        <v>423</v>
      </c>
      <c r="J2283" t="s">
        <v>2072</v>
      </c>
      <c r="K2283" t="s">
        <v>2057</v>
      </c>
      <c r="L2283" t="s">
        <v>2058</v>
      </c>
      <c r="M2283">
        <v>406</v>
      </c>
      <c r="N2283">
        <v>48.38</v>
      </c>
      <c r="O2283">
        <v>13221.29</v>
      </c>
      <c r="P2283">
        <v>0</v>
      </c>
      <c r="Q2283">
        <v>13221.29</v>
      </c>
      <c r="R2283">
        <v>1454.34</v>
      </c>
      <c r="S2283">
        <v>528.85</v>
      </c>
      <c r="T2283">
        <v>14146.78</v>
      </c>
      <c r="U2283" t="s">
        <v>8864</v>
      </c>
      <c r="V2283" t="s">
        <v>9409</v>
      </c>
      <c r="W2283" t="s">
        <v>423</v>
      </c>
    </row>
    <row r="2284" spans="1:23" hidden="1" x14ac:dyDescent="0.2">
      <c r="A2284">
        <v>2012</v>
      </c>
      <c r="B2284" t="s">
        <v>304</v>
      </c>
      <c r="C2284" s="733">
        <v>40950.636099537034</v>
      </c>
      <c r="D22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84" t="s">
        <v>485</v>
      </c>
      <c r="F2284" t="s">
        <v>2054</v>
      </c>
      <c r="G2284" t="s">
        <v>4735</v>
      </c>
      <c r="H2284">
        <v>10399</v>
      </c>
      <c r="I2284" t="s">
        <v>423</v>
      </c>
      <c r="J2284" t="s">
        <v>2072</v>
      </c>
      <c r="K2284" t="s">
        <v>2057</v>
      </c>
      <c r="L2284" t="s">
        <v>2058</v>
      </c>
      <c r="M2284">
        <v>406</v>
      </c>
      <c r="N2284">
        <v>23.75</v>
      </c>
      <c r="O2284">
        <v>6490.4</v>
      </c>
      <c r="P2284">
        <v>0</v>
      </c>
      <c r="Q2284">
        <v>6490.4</v>
      </c>
      <c r="R2284">
        <v>713.94</v>
      </c>
      <c r="S2284">
        <v>259.62</v>
      </c>
      <c r="T2284">
        <v>6944.72</v>
      </c>
      <c r="U2284" t="s">
        <v>8047</v>
      </c>
      <c r="V2284" t="s">
        <v>9408</v>
      </c>
      <c r="W2284" t="s">
        <v>423</v>
      </c>
    </row>
    <row r="2285" spans="1:23" hidden="1" x14ac:dyDescent="0.2">
      <c r="A2285">
        <v>2012</v>
      </c>
      <c r="B2285" t="s">
        <v>304</v>
      </c>
      <c r="C2285" s="733">
        <v>40964</v>
      </c>
      <c r="D22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85" t="s">
        <v>485</v>
      </c>
      <c r="F2285" t="s">
        <v>2054</v>
      </c>
      <c r="G2285" t="s">
        <v>8829</v>
      </c>
      <c r="H2285">
        <v>10524</v>
      </c>
      <c r="I2285" t="s">
        <v>423</v>
      </c>
      <c r="J2285" t="s">
        <v>4045</v>
      </c>
      <c r="K2285" t="s">
        <v>2057</v>
      </c>
      <c r="L2285" t="s">
        <v>2058</v>
      </c>
      <c r="M2285">
        <v>0</v>
      </c>
      <c r="N2285">
        <v>24.02</v>
      </c>
      <c r="O2285">
        <v>6564.19</v>
      </c>
      <c r="P2285">
        <v>0</v>
      </c>
      <c r="Q2285">
        <v>6564.19</v>
      </c>
      <c r="R2285">
        <v>722.06</v>
      </c>
      <c r="S2285">
        <v>262.57</v>
      </c>
      <c r="T2285">
        <v>7023.68</v>
      </c>
      <c r="U2285" t="s">
        <v>8864</v>
      </c>
      <c r="V2285" t="s">
        <v>9408</v>
      </c>
      <c r="W2285" t="s">
        <v>423</v>
      </c>
    </row>
    <row r="2286" spans="1:23" hidden="1" x14ac:dyDescent="0.2">
      <c r="A2286">
        <v>2012</v>
      </c>
      <c r="B2286" t="s">
        <v>303</v>
      </c>
      <c r="C2286" s="733">
        <v>40939</v>
      </c>
      <c r="D22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86" t="s">
        <v>485</v>
      </c>
      <c r="F2286" t="s">
        <v>2065</v>
      </c>
      <c r="G2286" t="s">
        <v>4516</v>
      </c>
      <c r="H2286">
        <v>41145</v>
      </c>
      <c r="I2286" t="s">
        <v>423</v>
      </c>
      <c r="J2286" t="s">
        <v>3972</v>
      </c>
      <c r="K2286" t="s">
        <v>2183</v>
      </c>
      <c r="L2286" t="s">
        <v>2184</v>
      </c>
      <c r="M2286">
        <v>184</v>
      </c>
      <c r="N2286">
        <v>26.98</v>
      </c>
      <c r="O2286">
        <v>4800.28</v>
      </c>
      <c r="P2286">
        <v>0</v>
      </c>
      <c r="Q2286">
        <v>4800.28</v>
      </c>
      <c r="R2286">
        <v>768.05</v>
      </c>
      <c r="S2286">
        <v>192.01</v>
      </c>
      <c r="T2286">
        <v>5376.32</v>
      </c>
      <c r="U2286" t="s">
        <v>3049</v>
      </c>
      <c r="V2286" t="s">
        <v>9408</v>
      </c>
      <c r="W2286" t="s">
        <v>423</v>
      </c>
    </row>
    <row r="2287" spans="1:23" hidden="1" x14ac:dyDescent="0.2">
      <c r="A2287">
        <v>2012</v>
      </c>
      <c r="B2287" t="s">
        <v>304</v>
      </c>
      <c r="C2287" s="733">
        <v>40948</v>
      </c>
      <c r="D22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87" t="s">
        <v>485</v>
      </c>
      <c r="F2287" t="s">
        <v>2065</v>
      </c>
      <c r="G2287" t="s">
        <v>4514</v>
      </c>
      <c r="H2287">
        <v>41594</v>
      </c>
      <c r="I2287" t="s">
        <v>423</v>
      </c>
      <c r="J2287" t="s">
        <v>3972</v>
      </c>
      <c r="K2287" t="s">
        <v>2183</v>
      </c>
      <c r="L2287" t="s">
        <v>2184</v>
      </c>
      <c r="M2287">
        <v>184</v>
      </c>
      <c r="N2287">
        <v>52.93</v>
      </c>
      <c r="O2287">
        <v>9417.31</v>
      </c>
      <c r="P2287">
        <v>0</v>
      </c>
      <c r="Q2287">
        <v>9417.31</v>
      </c>
      <c r="R2287">
        <v>1506.77</v>
      </c>
      <c r="S2287">
        <v>376.69</v>
      </c>
      <c r="T2287">
        <v>10547.39</v>
      </c>
      <c r="U2287" t="s">
        <v>2192</v>
      </c>
      <c r="V2287" t="s">
        <v>9409</v>
      </c>
      <c r="W2287" t="s">
        <v>423</v>
      </c>
    </row>
    <row r="2288" spans="1:23" hidden="1" x14ac:dyDescent="0.2">
      <c r="A2288">
        <v>2012</v>
      </c>
      <c r="B2288" t="s">
        <v>303</v>
      </c>
      <c r="C2288" s="733">
        <v>40931</v>
      </c>
      <c r="D22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88" t="s">
        <v>485</v>
      </c>
      <c r="F2288" t="s">
        <v>2065</v>
      </c>
      <c r="G2288" t="s">
        <v>4515</v>
      </c>
      <c r="H2288">
        <v>40675</v>
      </c>
      <c r="I2288" t="s">
        <v>423</v>
      </c>
      <c r="J2288" t="s">
        <v>3972</v>
      </c>
      <c r="K2288" t="s">
        <v>2183</v>
      </c>
      <c r="L2288" t="s">
        <v>2184</v>
      </c>
      <c r="M2288">
        <v>184</v>
      </c>
      <c r="N2288">
        <v>52.34</v>
      </c>
      <c r="O2288">
        <v>9312.33</v>
      </c>
      <c r="P2288">
        <v>0</v>
      </c>
      <c r="Q2288">
        <v>9312.33</v>
      </c>
      <c r="R2288">
        <v>1489.97</v>
      </c>
      <c r="S2288">
        <v>372.49</v>
      </c>
      <c r="T2288">
        <v>10429.81</v>
      </c>
      <c r="U2288" t="s">
        <v>2187</v>
      </c>
      <c r="V2288" t="s">
        <v>9409</v>
      </c>
      <c r="W2288" t="s">
        <v>423</v>
      </c>
    </row>
    <row r="2289" spans="1:23" hidden="1" x14ac:dyDescent="0.2">
      <c r="A2289">
        <v>2012</v>
      </c>
      <c r="B2289" t="s">
        <v>304</v>
      </c>
      <c r="C2289" s="733">
        <v>40953</v>
      </c>
      <c r="D22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89" t="s">
        <v>505</v>
      </c>
      <c r="F2289" t="s">
        <v>1915</v>
      </c>
      <c r="G2289" t="s">
        <v>4747</v>
      </c>
      <c r="H2289">
        <v>22694</v>
      </c>
      <c r="I2289" t="s">
        <v>423</v>
      </c>
      <c r="J2289" t="s">
        <v>1943</v>
      </c>
      <c r="K2289" t="s">
        <v>1918</v>
      </c>
      <c r="L2289" t="s">
        <v>1919</v>
      </c>
      <c r="M2289">
        <v>319</v>
      </c>
      <c r="N2289">
        <v>53.33</v>
      </c>
      <c r="O2289">
        <v>15638.49</v>
      </c>
      <c r="P2289">
        <v>0</v>
      </c>
      <c r="Q2289">
        <v>15638.49</v>
      </c>
      <c r="R2289">
        <v>2502.16</v>
      </c>
      <c r="S2289">
        <v>625.54</v>
      </c>
      <c r="T2289">
        <v>17515.11</v>
      </c>
      <c r="U2289" t="s">
        <v>7529</v>
      </c>
      <c r="V2289" t="s">
        <v>9409</v>
      </c>
      <c r="W2289" t="s">
        <v>423</v>
      </c>
    </row>
    <row r="2290" spans="1:23" hidden="1" x14ac:dyDescent="0.2">
      <c r="A2290">
        <v>2012</v>
      </c>
      <c r="B2290" t="s">
        <v>304</v>
      </c>
      <c r="C2290" s="733">
        <v>40954</v>
      </c>
      <c r="D22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90" t="s">
        <v>505</v>
      </c>
      <c r="F2290" t="s">
        <v>1915</v>
      </c>
      <c r="G2290" t="s">
        <v>7534</v>
      </c>
      <c r="H2290">
        <v>22743</v>
      </c>
      <c r="I2290" t="s">
        <v>423</v>
      </c>
      <c r="J2290" t="s">
        <v>1943</v>
      </c>
      <c r="K2290" t="s">
        <v>1918</v>
      </c>
      <c r="L2290" t="s">
        <v>1919</v>
      </c>
      <c r="M2290">
        <v>319</v>
      </c>
      <c r="N2290">
        <v>50.15</v>
      </c>
      <c r="O2290">
        <v>14705.99</v>
      </c>
      <c r="P2290">
        <v>0</v>
      </c>
      <c r="Q2290">
        <v>14705.99</v>
      </c>
      <c r="R2290">
        <v>2352.96</v>
      </c>
      <c r="S2290">
        <v>588.24</v>
      </c>
      <c r="T2290">
        <v>16470.71</v>
      </c>
      <c r="U2290" t="s">
        <v>7529</v>
      </c>
      <c r="V2290" t="s">
        <v>9409</v>
      </c>
      <c r="W2290" t="s">
        <v>423</v>
      </c>
    </row>
    <row r="2291" spans="1:23" hidden="1" x14ac:dyDescent="0.2">
      <c r="A2291">
        <v>2012</v>
      </c>
      <c r="B2291" t="s">
        <v>305</v>
      </c>
      <c r="C2291" s="733">
        <v>40971</v>
      </c>
      <c r="D2291" s="733" t="str">
        <f>CHOOSE(MONTH(Tabla_sqldatos_bonampakdb_Bon_v_ingresos2012[[#This Row],[fecha_guia]]),"Enero","Febrero","Marzo","Abril","Mayo","Junio","Julio","Agosto","Septiembre","Octubre","Noviembre","Diciembre")</f>
        <v>Marzo</v>
      </c>
      <c r="E2291" t="s">
        <v>505</v>
      </c>
      <c r="F2291" t="s">
        <v>1915</v>
      </c>
      <c r="G2291" t="s">
        <v>9709</v>
      </c>
      <c r="H2291">
        <v>23164</v>
      </c>
      <c r="I2291" t="s">
        <v>423</v>
      </c>
      <c r="J2291" t="s">
        <v>1943</v>
      </c>
      <c r="K2291" t="s">
        <v>1918</v>
      </c>
      <c r="L2291" t="s">
        <v>1919</v>
      </c>
      <c r="M2291">
        <v>319</v>
      </c>
      <c r="N2291">
        <v>53.92</v>
      </c>
      <c r="O2291">
        <v>15811.5</v>
      </c>
      <c r="P2291">
        <v>0</v>
      </c>
      <c r="Q2291">
        <v>15811.5</v>
      </c>
      <c r="R2291">
        <v>2529.84</v>
      </c>
      <c r="S2291">
        <v>632.46</v>
      </c>
      <c r="T2291">
        <v>17708.88</v>
      </c>
      <c r="V2291" t="s">
        <v>9409</v>
      </c>
      <c r="W2291" t="s">
        <v>423</v>
      </c>
    </row>
    <row r="2292" spans="1:23" hidden="1" x14ac:dyDescent="0.2">
      <c r="A2292">
        <v>2012</v>
      </c>
      <c r="B2292" t="s">
        <v>303</v>
      </c>
      <c r="C2292" s="733">
        <v>40939</v>
      </c>
      <c r="D22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292" t="s">
        <v>485</v>
      </c>
      <c r="F2292" t="s">
        <v>2054</v>
      </c>
      <c r="G2292" t="s">
        <v>4734</v>
      </c>
      <c r="H2292">
        <v>10039</v>
      </c>
      <c r="I2292" t="s">
        <v>423</v>
      </c>
      <c r="J2292" t="s">
        <v>4045</v>
      </c>
      <c r="K2292" t="s">
        <v>2057</v>
      </c>
      <c r="L2292" t="s">
        <v>2058</v>
      </c>
      <c r="M2292">
        <v>0</v>
      </c>
      <c r="N2292">
        <v>23.28</v>
      </c>
      <c r="O2292">
        <v>6361.96</v>
      </c>
      <c r="P2292">
        <v>0</v>
      </c>
      <c r="Q2292">
        <v>6361.96</v>
      </c>
      <c r="R2292">
        <v>1017.91</v>
      </c>
      <c r="S2292">
        <v>254.48</v>
      </c>
      <c r="T2292">
        <v>7125.39</v>
      </c>
      <c r="U2292" t="s">
        <v>2073</v>
      </c>
      <c r="V2292" t="s">
        <v>9408</v>
      </c>
      <c r="W2292" t="s">
        <v>423</v>
      </c>
    </row>
    <row r="2293" spans="1:23" hidden="1" x14ac:dyDescent="0.2">
      <c r="A2293">
        <v>2012</v>
      </c>
      <c r="B2293" t="s">
        <v>304</v>
      </c>
      <c r="C2293" s="733">
        <v>40962</v>
      </c>
      <c r="D22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93" t="s">
        <v>478</v>
      </c>
      <c r="F2293" t="s">
        <v>2136</v>
      </c>
      <c r="G2293" t="s">
        <v>8584</v>
      </c>
      <c r="H2293">
        <v>35736</v>
      </c>
      <c r="I2293" t="s">
        <v>423</v>
      </c>
      <c r="J2293" t="s">
        <v>5735</v>
      </c>
      <c r="K2293" t="s">
        <v>425</v>
      </c>
      <c r="L2293" t="s">
        <v>2145</v>
      </c>
      <c r="M2293">
        <v>193</v>
      </c>
      <c r="N2293">
        <v>43.35</v>
      </c>
      <c r="O2293">
        <v>7703.73</v>
      </c>
      <c r="P2293">
        <v>0</v>
      </c>
      <c r="Q2293">
        <v>7703.73</v>
      </c>
      <c r="R2293">
        <v>1232.5999999999999</v>
      </c>
      <c r="S2293">
        <v>308.14999999999998</v>
      </c>
      <c r="T2293">
        <v>8628.18</v>
      </c>
      <c r="U2293" t="s">
        <v>9457</v>
      </c>
      <c r="V2293" t="s">
        <v>9409</v>
      </c>
      <c r="W2293" t="s">
        <v>423</v>
      </c>
    </row>
    <row r="2294" spans="1:23" hidden="1" x14ac:dyDescent="0.2">
      <c r="A2294">
        <v>2012</v>
      </c>
      <c r="B2294" t="s">
        <v>304</v>
      </c>
      <c r="C2294" s="733">
        <v>40948</v>
      </c>
      <c r="D22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94" t="s">
        <v>505</v>
      </c>
      <c r="F2294" t="s">
        <v>1915</v>
      </c>
      <c r="G2294" t="s">
        <v>2878</v>
      </c>
      <c r="H2294">
        <v>22564</v>
      </c>
      <c r="I2294" t="s">
        <v>423</v>
      </c>
      <c r="J2294" t="s">
        <v>1943</v>
      </c>
      <c r="K2294" t="s">
        <v>1918</v>
      </c>
      <c r="L2294" t="s">
        <v>1919</v>
      </c>
      <c r="M2294">
        <v>319</v>
      </c>
      <c r="N2294">
        <v>53.66</v>
      </c>
      <c r="O2294">
        <v>15735.26</v>
      </c>
      <c r="P2294">
        <v>0</v>
      </c>
      <c r="Q2294">
        <v>15735.26</v>
      </c>
      <c r="R2294">
        <v>2517.64</v>
      </c>
      <c r="S2294">
        <v>629.41</v>
      </c>
      <c r="T2294">
        <v>17623.490000000002</v>
      </c>
      <c r="U2294" t="s">
        <v>1924</v>
      </c>
      <c r="V2294" t="s">
        <v>9409</v>
      </c>
      <c r="W2294" t="s">
        <v>423</v>
      </c>
    </row>
    <row r="2295" spans="1:23" hidden="1" x14ac:dyDescent="0.2">
      <c r="A2295">
        <v>2012</v>
      </c>
      <c r="B2295" t="s">
        <v>304</v>
      </c>
      <c r="C2295" s="733">
        <v>40942</v>
      </c>
      <c r="D22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95" t="s">
        <v>505</v>
      </c>
      <c r="F2295" t="s">
        <v>1915</v>
      </c>
      <c r="G2295" t="s">
        <v>1942</v>
      </c>
      <c r="H2295">
        <v>22451</v>
      </c>
      <c r="I2295" t="s">
        <v>423</v>
      </c>
      <c r="J2295" t="s">
        <v>1943</v>
      </c>
      <c r="K2295" t="s">
        <v>1918</v>
      </c>
      <c r="L2295" t="s">
        <v>1919</v>
      </c>
      <c r="M2295">
        <v>319</v>
      </c>
      <c r="N2295">
        <v>27.01</v>
      </c>
      <c r="O2295">
        <v>7920.41</v>
      </c>
      <c r="P2295">
        <v>0</v>
      </c>
      <c r="Q2295">
        <v>7920.41</v>
      </c>
      <c r="R2295">
        <v>1267.27</v>
      </c>
      <c r="S2295">
        <v>316.82</v>
      </c>
      <c r="T2295">
        <v>8870.86</v>
      </c>
      <c r="U2295" t="s">
        <v>1924</v>
      </c>
      <c r="V2295" t="s">
        <v>9408</v>
      </c>
      <c r="W2295" t="s">
        <v>423</v>
      </c>
    </row>
    <row r="2296" spans="1:23" hidden="1" x14ac:dyDescent="0.2">
      <c r="A2296">
        <v>2012</v>
      </c>
      <c r="B2296" t="s">
        <v>304</v>
      </c>
      <c r="C2296" s="733">
        <v>40960</v>
      </c>
      <c r="D22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96" t="s">
        <v>478</v>
      </c>
      <c r="F2296" t="s">
        <v>2136</v>
      </c>
      <c r="G2296" t="s">
        <v>8323</v>
      </c>
      <c r="H2296">
        <v>35819</v>
      </c>
      <c r="I2296" t="s">
        <v>423</v>
      </c>
      <c r="J2296" t="s">
        <v>3480</v>
      </c>
      <c r="K2296" t="s">
        <v>3481</v>
      </c>
      <c r="L2296" t="s">
        <v>3482</v>
      </c>
      <c r="M2296">
        <v>75</v>
      </c>
      <c r="N2296">
        <v>29.024999999999999</v>
      </c>
      <c r="O2296">
        <v>3276.05</v>
      </c>
      <c r="P2296">
        <v>0</v>
      </c>
      <c r="Q2296">
        <v>3276.05</v>
      </c>
      <c r="R2296">
        <v>524.16999999999996</v>
      </c>
      <c r="S2296">
        <v>131.04</v>
      </c>
      <c r="T2296">
        <v>3669.18</v>
      </c>
      <c r="U2296" t="s">
        <v>8277</v>
      </c>
      <c r="V2296" t="s">
        <v>9408</v>
      </c>
      <c r="W2296" t="s">
        <v>423</v>
      </c>
    </row>
    <row r="2297" spans="1:23" hidden="1" x14ac:dyDescent="0.2">
      <c r="A2297">
        <v>2012</v>
      </c>
      <c r="B2297" t="s">
        <v>304</v>
      </c>
      <c r="C2297" s="733">
        <v>40960</v>
      </c>
      <c r="D22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97" t="s">
        <v>478</v>
      </c>
      <c r="F2297" t="s">
        <v>2136</v>
      </c>
      <c r="G2297" t="s">
        <v>8324</v>
      </c>
      <c r="H2297">
        <v>35822</v>
      </c>
      <c r="I2297" t="s">
        <v>423</v>
      </c>
      <c r="J2297" t="s">
        <v>3480</v>
      </c>
      <c r="K2297" t="s">
        <v>3481</v>
      </c>
      <c r="L2297" t="s">
        <v>3482</v>
      </c>
      <c r="M2297">
        <v>75</v>
      </c>
      <c r="N2297">
        <v>24.55</v>
      </c>
      <c r="O2297">
        <v>2770.96</v>
      </c>
      <c r="P2297">
        <v>0</v>
      </c>
      <c r="Q2297">
        <v>2770.96</v>
      </c>
      <c r="R2297">
        <v>443.35</v>
      </c>
      <c r="S2297">
        <v>110.84</v>
      </c>
      <c r="T2297">
        <v>3103.47</v>
      </c>
      <c r="U2297" t="s">
        <v>8277</v>
      </c>
      <c r="V2297" t="s">
        <v>9408</v>
      </c>
      <c r="W2297" t="s">
        <v>423</v>
      </c>
    </row>
    <row r="2298" spans="1:23" hidden="1" x14ac:dyDescent="0.2">
      <c r="A2298">
        <v>2012</v>
      </c>
      <c r="B2298" t="s">
        <v>304</v>
      </c>
      <c r="C2298" s="733">
        <v>40960</v>
      </c>
      <c r="D22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98" t="s">
        <v>478</v>
      </c>
      <c r="F2298" t="s">
        <v>2136</v>
      </c>
      <c r="G2298" t="s">
        <v>8325</v>
      </c>
      <c r="H2298">
        <v>35825</v>
      </c>
      <c r="I2298" t="s">
        <v>423</v>
      </c>
      <c r="J2298" t="s">
        <v>3480</v>
      </c>
      <c r="K2298" t="s">
        <v>3481</v>
      </c>
      <c r="L2298" t="s">
        <v>3482</v>
      </c>
      <c r="M2298">
        <v>75</v>
      </c>
      <c r="N2298">
        <v>26.75</v>
      </c>
      <c r="O2298">
        <v>3019.27</v>
      </c>
      <c r="P2298">
        <v>0</v>
      </c>
      <c r="Q2298">
        <v>3019.27</v>
      </c>
      <c r="R2298">
        <v>483.08</v>
      </c>
      <c r="S2298">
        <v>120.77</v>
      </c>
      <c r="T2298">
        <v>3381.58</v>
      </c>
      <c r="U2298" t="s">
        <v>8277</v>
      </c>
      <c r="V2298" t="s">
        <v>9408</v>
      </c>
      <c r="W2298" t="s">
        <v>423</v>
      </c>
    </row>
    <row r="2299" spans="1:23" hidden="1" x14ac:dyDescent="0.2">
      <c r="A2299">
        <v>2012</v>
      </c>
      <c r="B2299" t="s">
        <v>304</v>
      </c>
      <c r="C2299" s="733">
        <v>40960</v>
      </c>
      <c r="D22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299" t="s">
        <v>478</v>
      </c>
      <c r="F2299" t="s">
        <v>2136</v>
      </c>
      <c r="G2299" t="s">
        <v>8322</v>
      </c>
      <c r="H2299">
        <v>35816</v>
      </c>
      <c r="I2299" t="s">
        <v>423</v>
      </c>
      <c r="J2299" t="s">
        <v>3480</v>
      </c>
      <c r="K2299" t="s">
        <v>3481</v>
      </c>
      <c r="L2299" t="s">
        <v>3482</v>
      </c>
      <c r="M2299">
        <v>75</v>
      </c>
      <c r="N2299">
        <v>23.81</v>
      </c>
      <c r="O2299">
        <v>2687.43</v>
      </c>
      <c r="P2299">
        <v>0</v>
      </c>
      <c r="Q2299">
        <v>2687.43</v>
      </c>
      <c r="R2299">
        <v>429.99</v>
      </c>
      <c r="S2299">
        <v>107.5</v>
      </c>
      <c r="T2299">
        <v>3009.92</v>
      </c>
      <c r="U2299" t="s">
        <v>8277</v>
      </c>
      <c r="V2299" t="s">
        <v>9408</v>
      </c>
      <c r="W2299" t="s">
        <v>423</v>
      </c>
    </row>
    <row r="2300" spans="1:23" hidden="1" x14ac:dyDescent="0.2">
      <c r="A2300">
        <v>2012</v>
      </c>
      <c r="B2300" t="s">
        <v>304</v>
      </c>
      <c r="C2300" s="733">
        <v>40952.578067129631</v>
      </c>
      <c r="D23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00" t="s">
        <v>478</v>
      </c>
      <c r="F2300" t="s">
        <v>3787</v>
      </c>
      <c r="G2300" t="s">
        <v>4342</v>
      </c>
      <c r="H2300">
        <v>35546</v>
      </c>
      <c r="I2300" t="s">
        <v>423</v>
      </c>
      <c r="J2300" t="s">
        <v>3480</v>
      </c>
      <c r="K2300" t="s">
        <v>3481</v>
      </c>
      <c r="L2300" t="s">
        <v>3482</v>
      </c>
      <c r="M2300">
        <v>75</v>
      </c>
      <c r="N2300">
        <v>26.385000000000002</v>
      </c>
      <c r="O2300">
        <v>2978.07</v>
      </c>
      <c r="P2300">
        <v>0</v>
      </c>
      <c r="Q2300">
        <v>2978.07</v>
      </c>
      <c r="R2300">
        <v>476.49</v>
      </c>
      <c r="S2300">
        <v>119.12</v>
      </c>
      <c r="T2300">
        <v>3335.44</v>
      </c>
      <c r="U2300" t="s">
        <v>3483</v>
      </c>
      <c r="V2300" t="s">
        <v>9408</v>
      </c>
      <c r="W2300" t="s">
        <v>423</v>
      </c>
    </row>
    <row r="2301" spans="1:23" hidden="1" x14ac:dyDescent="0.2">
      <c r="A2301">
        <v>2012</v>
      </c>
      <c r="B2301" t="s">
        <v>303</v>
      </c>
      <c r="C2301" s="733">
        <v>40938</v>
      </c>
      <c r="D23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01" t="s">
        <v>485</v>
      </c>
      <c r="F2301" t="s">
        <v>2065</v>
      </c>
      <c r="G2301" t="s">
        <v>3725</v>
      </c>
      <c r="H2301">
        <v>41025</v>
      </c>
      <c r="I2301" t="s">
        <v>423</v>
      </c>
      <c r="J2301" t="s">
        <v>2126</v>
      </c>
      <c r="K2301" t="s">
        <v>2102</v>
      </c>
      <c r="L2301" t="s">
        <v>2115</v>
      </c>
      <c r="M2301">
        <v>930</v>
      </c>
      <c r="N2301">
        <v>50.91</v>
      </c>
      <c r="O2301">
        <v>29888.240000000002</v>
      </c>
      <c r="P2301">
        <v>0</v>
      </c>
      <c r="Q2301">
        <v>29888.240000000002</v>
      </c>
      <c r="R2301">
        <v>4782.12</v>
      </c>
      <c r="S2301">
        <v>1195.53</v>
      </c>
      <c r="T2301">
        <v>33474.83</v>
      </c>
      <c r="U2301" t="s">
        <v>2110</v>
      </c>
      <c r="V2301" t="s">
        <v>9409</v>
      </c>
      <c r="W2301" t="s">
        <v>423</v>
      </c>
    </row>
    <row r="2302" spans="1:23" hidden="1" x14ac:dyDescent="0.2">
      <c r="A2302">
        <v>2012</v>
      </c>
      <c r="B2302" t="s">
        <v>304</v>
      </c>
      <c r="C2302" s="733">
        <v>40960</v>
      </c>
      <c r="D23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02" t="s">
        <v>485</v>
      </c>
      <c r="F2302" t="s">
        <v>3450</v>
      </c>
      <c r="G2302" t="s">
        <v>8326</v>
      </c>
      <c r="H2302">
        <v>42240</v>
      </c>
      <c r="I2302" t="s">
        <v>423</v>
      </c>
      <c r="J2302" t="s">
        <v>3462</v>
      </c>
      <c r="K2302" t="s">
        <v>3453</v>
      </c>
      <c r="L2302" t="s">
        <v>3454</v>
      </c>
      <c r="M2302">
        <v>425</v>
      </c>
      <c r="N2302">
        <v>25.18</v>
      </c>
      <c r="O2302">
        <v>7026.23</v>
      </c>
      <c r="P2302">
        <v>0</v>
      </c>
      <c r="Q2302">
        <v>7026.23</v>
      </c>
      <c r="R2302">
        <v>1124.2</v>
      </c>
      <c r="S2302">
        <v>281.05</v>
      </c>
      <c r="T2302">
        <v>7869.38</v>
      </c>
      <c r="V2302" t="s">
        <v>9408</v>
      </c>
      <c r="W2302" t="s">
        <v>423</v>
      </c>
    </row>
    <row r="2303" spans="1:23" hidden="1" x14ac:dyDescent="0.2">
      <c r="A2303">
        <v>2012</v>
      </c>
      <c r="B2303" t="s">
        <v>304</v>
      </c>
      <c r="C2303" s="733">
        <v>40940</v>
      </c>
      <c r="D23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03" t="s">
        <v>485</v>
      </c>
      <c r="F2303" t="s">
        <v>3450</v>
      </c>
      <c r="G2303" t="s">
        <v>4338</v>
      </c>
      <c r="H2303">
        <v>40615</v>
      </c>
      <c r="I2303" t="s">
        <v>423</v>
      </c>
      <c r="J2303" t="s">
        <v>3462</v>
      </c>
      <c r="K2303" t="s">
        <v>3453</v>
      </c>
      <c r="L2303" t="s">
        <v>3454</v>
      </c>
      <c r="M2303">
        <v>425</v>
      </c>
      <c r="N2303">
        <v>27.41</v>
      </c>
      <c r="O2303">
        <v>7648.49</v>
      </c>
      <c r="P2303">
        <v>0</v>
      </c>
      <c r="Q2303">
        <v>7648.49</v>
      </c>
      <c r="R2303">
        <v>1223.76</v>
      </c>
      <c r="S2303">
        <v>305.94</v>
      </c>
      <c r="T2303">
        <v>8566.31</v>
      </c>
      <c r="U2303" t="s">
        <v>3640</v>
      </c>
      <c r="V2303" t="s">
        <v>9408</v>
      </c>
      <c r="W2303" t="s">
        <v>423</v>
      </c>
    </row>
    <row r="2304" spans="1:23" hidden="1" x14ac:dyDescent="0.2">
      <c r="A2304">
        <v>2012</v>
      </c>
      <c r="B2304" t="s">
        <v>303</v>
      </c>
      <c r="C2304" s="733">
        <v>40939</v>
      </c>
      <c r="D23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04" t="s">
        <v>485</v>
      </c>
      <c r="F2304" t="s">
        <v>3450</v>
      </c>
      <c r="G2304" t="s">
        <v>4337</v>
      </c>
      <c r="H2304">
        <v>40908</v>
      </c>
      <c r="I2304" t="s">
        <v>423</v>
      </c>
      <c r="J2304" t="s">
        <v>3462</v>
      </c>
      <c r="K2304" t="s">
        <v>3453</v>
      </c>
      <c r="L2304" t="s">
        <v>3454</v>
      </c>
      <c r="M2304">
        <v>425</v>
      </c>
      <c r="N2304">
        <v>50.11</v>
      </c>
      <c r="O2304">
        <v>13982.69</v>
      </c>
      <c r="P2304">
        <v>0</v>
      </c>
      <c r="Q2304">
        <v>13982.69</v>
      </c>
      <c r="R2304">
        <v>2237.23</v>
      </c>
      <c r="S2304">
        <v>559.30999999999995</v>
      </c>
      <c r="T2304">
        <v>15660.61</v>
      </c>
      <c r="U2304" t="s">
        <v>3640</v>
      </c>
      <c r="V2304" t="s">
        <v>9409</v>
      </c>
      <c r="W2304" t="s">
        <v>423</v>
      </c>
    </row>
    <row r="2305" spans="1:23" hidden="1" x14ac:dyDescent="0.2">
      <c r="A2305">
        <v>2012</v>
      </c>
      <c r="B2305" t="s">
        <v>303</v>
      </c>
      <c r="C2305" s="733">
        <v>40927</v>
      </c>
      <c r="D23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05" t="s">
        <v>485</v>
      </c>
      <c r="F2305" t="s">
        <v>2065</v>
      </c>
      <c r="G2305" t="s">
        <v>3838</v>
      </c>
      <c r="H2305">
        <v>40450</v>
      </c>
      <c r="I2305" t="s">
        <v>423</v>
      </c>
      <c r="J2305" t="s">
        <v>2114</v>
      </c>
      <c r="K2305" t="s">
        <v>2102</v>
      </c>
      <c r="L2305" t="s">
        <v>2115</v>
      </c>
      <c r="M2305">
        <v>500</v>
      </c>
      <c r="N2305">
        <v>26.29</v>
      </c>
      <c r="O2305">
        <v>15434.33</v>
      </c>
      <c r="P2305">
        <v>0</v>
      </c>
      <c r="Q2305">
        <v>15434.33</v>
      </c>
      <c r="R2305">
        <v>2469.4899999999998</v>
      </c>
      <c r="S2305">
        <v>617.37</v>
      </c>
      <c r="T2305">
        <v>17286.45</v>
      </c>
      <c r="U2305" t="s">
        <v>2108</v>
      </c>
      <c r="V2305" t="s">
        <v>9409</v>
      </c>
      <c r="W2305" t="s">
        <v>423</v>
      </c>
    </row>
    <row r="2306" spans="1:23" hidden="1" x14ac:dyDescent="0.2">
      <c r="A2306">
        <v>2012</v>
      </c>
      <c r="B2306" t="s">
        <v>304</v>
      </c>
      <c r="C2306" s="733">
        <v>40961</v>
      </c>
      <c r="D23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06" t="s">
        <v>485</v>
      </c>
      <c r="F2306" t="s">
        <v>2065</v>
      </c>
      <c r="G2306" t="s">
        <v>8327</v>
      </c>
      <c r="H2306">
        <v>42309</v>
      </c>
      <c r="I2306" t="s">
        <v>423</v>
      </c>
      <c r="J2306" t="s">
        <v>2126</v>
      </c>
      <c r="K2306" t="s">
        <v>2102</v>
      </c>
      <c r="L2306" t="s">
        <v>2115</v>
      </c>
      <c r="M2306">
        <v>930</v>
      </c>
      <c r="N2306">
        <v>25.8</v>
      </c>
      <c r="O2306">
        <v>15146.66</v>
      </c>
      <c r="P2306">
        <v>0</v>
      </c>
      <c r="Q2306">
        <v>15146.66</v>
      </c>
      <c r="R2306">
        <v>2423.4699999999998</v>
      </c>
      <c r="S2306">
        <v>605.87</v>
      </c>
      <c r="T2306">
        <v>16964.259999999998</v>
      </c>
      <c r="U2306" t="s">
        <v>8883</v>
      </c>
      <c r="V2306" t="s">
        <v>9408</v>
      </c>
      <c r="W2306" t="s">
        <v>423</v>
      </c>
    </row>
    <row r="2307" spans="1:23" hidden="1" x14ac:dyDescent="0.2">
      <c r="A2307">
        <v>2012</v>
      </c>
      <c r="B2307" t="s">
        <v>304</v>
      </c>
      <c r="C2307" s="733">
        <v>40955</v>
      </c>
      <c r="D23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07" t="s">
        <v>485</v>
      </c>
      <c r="F2307" t="s">
        <v>2065</v>
      </c>
      <c r="G2307" t="s">
        <v>8001</v>
      </c>
      <c r="H2307">
        <v>41934</v>
      </c>
      <c r="I2307" t="s">
        <v>423</v>
      </c>
      <c r="J2307" t="s">
        <v>2126</v>
      </c>
      <c r="K2307" t="s">
        <v>2102</v>
      </c>
      <c r="L2307" t="s">
        <v>2115</v>
      </c>
      <c r="M2307">
        <v>930</v>
      </c>
      <c r="N2307">
        <v>24.28</v>
      </c>
      <c r="O2307">
        <v>14254.3</v>
      </c>
      <c r="P2307">
        <v>0</v>
      </c>
      <c r="Q2307">
        <v>14254.3</v>
      </c>
      <c r="R2307">
        <v>2280.69</v>
      </c>
      <c r="S2307">
        <v>570.16999999999996</v>
      </c>
      <c r="T2307">
        <v>15964.82</v>
      </c>
      <c r="U2307" t="s">
        <v>8051</v>
      </c>
      <c r="V2307" t="s">
        <v>9409</v>
      </c>
      <c r="W2307" t="s">
        <v>423</v>
      </c>
    </row>
    <row r="2308" spans="1:23" hidden="1" x14ac:dyDescent="0.2">
      <c r="A2308">
        <v>2012</v>
      </c>
      <c r="B2308" t="s">
        <v>303</v>
      </c>
      <c r="C2308" s="733">
        <v>40925</v>
      </c>
      <c r="D23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08" t="s">
        <v>485</v>
      </c>
      <c r="F2308" t="s">
        <v>2136</v>
      </c>
      <c r="G2308" t="s">
        <v>5476</v>
      </c>
      <c r="H2308">
        <v>40333</v>
      </c>
      <c r="I2308" t="s">
        <v>423</v>
      </c>
      <c r="J2308" t="s">
        <v>2126</v>
      </c>
      <c r="K2308" t="s">
        <v>2102</v>
      </c>
      <c r="L2308" t="s">
        <v>2115</v>
      </c>
      <c r="M2308">
        <v>930</v>
      </c>
      <c r="N2308">
        <v>25.47</v>
      </c>
      <c r="O2308">
        <v>14952.93</v>
      </c>
      <c r="P2308">
        <v>0</v>
      </c>
      <c r="Q2308">
        <v>14952.93</v>
      </c>
      <c r="R2308">
        <v>2392.4699999999998</v>
      </c>
      <c r="S2308">
        <v>598.12</v>
      </c>
      <c r="T2308">
        <v>16747.28</v>
      </c>
      <c r="U2308" t="s">
        <v>2106</v>
      </c>
      <c r="V2308" t="s">
        <v>9408</v>
      </c>
      <c r="W2308" t="s">
        <v>423</v>
      </c>
    </row>
    <row r="2309" spans="1:23" hidden="1" x14ac:dyDescent="0.2">
      <c r="A2309">
        <v>2012</v>
      </c>
      <c r="B2309" t="s">
        <v>304</v>
      </c>
      <c r="C2309" s="733">
        <v>40961</v>
      </c>
      <c r="D23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09" t="s">
        <v>485</v>
      </c>
      <c r="F2309" t="s">
        <v>2065</v>
      </c>
      <c r="G2309" t="s">
        <v>8441</v>
      </c>
      <c r="H2309">
        <v>42376</v>
      </c>
      <c r="I2309" t="s">
        <v>423</v>
      </c>
      <c r="J2309" t="s">
        <v>2196</v>
      </c>
      <c r="K2309" t="s">
        <v>2183</v>
      </c>
      <c r="L2309" t="s">
        <v>2184</v>
      </c>
      <c r="M2309">
        <v>10</v>
      </c>
      <c r="N2309">
        <v>16.29</v>
      </c>
      <c r="O2309">
        <v>1838.65</v>
      </c>
      <c r="P2309">
        <v>0</v>
      </c>
      <c r="Q2309">
        <v>1838.65</v>
      </c>
      <c r="R2309">
        <v>294.18</v>
      </c>
      <c r="S2309">
        <v>73.55</v>
      </c>
      <c r="T2309">
        <v>2059.2800000000002</v>
      </c>
      <c r="U2309" t="s">
        <v>9411</v>
      </c>
      <c r="V2309" t="s">
        <v>9408</v>
      </c>
      <c r="W2309" t="s">
        <v>423</v>
      </c>
    </row>
    <row r="2310" spans="1:23" hidden="1" x14ac:dyDescent="0.2">
      <c r="A2310">
        <v>2012</v>
      </c>
      <c r="B2310" t="s">
        <v>304</v>
      </c>
      <c r="C2310" s="733">
        <v>40940</v>
      </c>
      <c r="D23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10" t="s">
        <v>485</v>
      </c>
      <c r="F2310" t="s">
        <v>2065</v>
      </c>
      <c r="G2310" t="s">
        <v>2719</v>
      </c>
      <c r="H2310">
        <v>41149</v>
      </c>
      <c r="I2310" t="s">
        <v>423</v>
      </c>
      <c r="J2310" t="s">
        <v>2139</v>
      </c>
      <c r="K2310" t="s">
        <v>2102</v>
      </c>
      <c r="L2310" t="s">
        <v>2115</v>
      </c>
      <c r="M2310">
        <v>543</v>
      </c>
      <c r="N2310">
        <v>50.93</v>
      </c>
      <c r="O2310">
        <v>17125.21</v>
      </c>
      <c r="P2310">
        <v>0</v>
      </c>
      <c r="Q2310">
        <v>17125.21</v>
      </c>
      <c r="R2310">
        <v>2740.03</v>
      </c>
      <c r="S2310">
        <v>685.01</v>
      </c>
      <c r="T2310">
        <v>19180.23</v>
      </c>
      <c r="U2310" t="s">
        <v>2110</v>
      </c>
      <c r="V2310" t="s">
        <v>9409</v>
      </c>
      <c r="W2310" t="s">
        <v>423</v>
      </c>
    </row>
    <row r="2311" spans="1:23" hidden="1" x14ac:dyDescent="0.2">
      <c r="A2311">
        <v>2012</v>
      </c>
      <c r="B2311" t="s">
        <v>303</v>
      </c>
      <c r="C2311" s="733">
        <v>40939</v>
      </c>
      <c r="D23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11" t="s">
        <v>478</v>
      </c>
      <c r="F2311" t="s">
        <v>2136</v>
      </c>
      <c r="G2311" t="s">
        <v>5272</v>
      </c>
      <c r="H2311">
        <v>35088</v>
      </c>
      <c r="I2311" t="s">
        <v>423</v>
      </c>
      <c r="J2311" t="s">
        <v>4285</v>
      </c>
      <c r="K2311" t="s">
        <v>425</v>
      </c>
      <c r="L2311" t="s">
        <v>2145</v>
      </c>
      <c r="M2311">
        <v>110</v>
      </c>
      <c r="N2311">
        <v>50.9</v>
      </c>
      <c r="O2311">
        <v>8283.98</v>
      </c>
      <c r="P2311">
        <v>0</v>
      </c>
      <c r="Q2311">
        <v>8283.98</v>
      </c>
      <c r="R2311">
        <v>1325.44</v>
      </c>
      <c r="S2311">
        <v>331.36</v>
      </c>
      <c r="T2311">
        <v>9278.06</v>
      </c>
      <c r="U2311" t="s">
        <v>2580</v>
      </c>
      <c r="V2311" t="s">
        <v>9409</v>
      </c>
      <c r="W2311" t="s">
        <v>423</v>
      </c>
    </row>
    <row r="2312" spans="1:23" hidden="1" x14ac:dyDescent="0.2">
      <c r="A2312">
        <v>2012</v>
      </c>
      <c r="B2312" t="s">
        <v>304</v>
      </c>
      <c r="C2312" s="733">
        <v>40949.540601851855</v>
      </c>
      <c r="D23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12" t="s">
        <v>485</v>
      </c>
      <c r="F2312" t="s">
        <v>2065</v>
      </c>
      <c r="G2312" t="s">
        <v>3158</v>
      </c>
      <c r="H2312">
        <v>41691</v>
      </c>
      <c r="I2312" t="s">
        <v>423</v>
      </c>
      <c r="J2312" t="s">
        <v>2196</v>
      </c>
      <c r="K2312" t="s">
        <v>2183</v>
      </c>
      <c r="L2312" t="s">
        <v>2184</v>
      </c>
      <c r="M2312">
        <v>10</v>
      </c>
      <c r="N2312">
        <v>25.74</v>
      </c>
      <c r="O2312">
        <v>2905.27</v>
      </c>
      <c r="P2312">
        <v>0</v>
      </c>
      <c r="Q2312">
        <v>2905.27</v>
      </c>
      <c r="R2312">
        <v>464.84</v>
      </c>
      <c r="S2312">
        <v>116.21</v>
      </c>
      <c r="T2312">
        <v>3253.9</v>
      </c>
      <c r="U2312" t="s">
        <v>8048</v>
      </c>
      <c r="V2312" t="s">
        <v>9408</v>
      </c>
      <c r="W2312" t="s">
        <v>423</v>
      </c>
    </row>
    <row r="2313" spans="1:23" hidden="1" x14ac:dyDescent="0.2">
      <c r="A2313">
        <v>2012</v>
      </c>
      <c r="B2313" t="s">
        <v>304</v>
      </c>
      <c r="C2313" s="733">
        <v>40959</v>
      </c>
      <c r="D23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13" t="s">
        <v>485</v>
      </c>
      <c r="F2313" t="s">
        <v>2065</v>
      </c>
      <c r="G2313" t="s">
        <v>7608</v>
      </c>
      <c r="H2313">
        <v>42196</v>
      </c>
      <c r="I2313" t="s">
        <v>423</v>
      </c>
      <c r="J2313" t="s">
        <v>2196</v>
      </c>
      <c r="K2313" t="s">
        <v>2183</v>
      </c>
      <c r="L2313" t="s">
        <v>2184</v>
      </c>
      <c r="M2313">
        <v>10</v>
      </c>
      <c r="N2313">
        <v>50.55</v>
      </c>
      <c r="O2313">
        <v>5705.58</v>
      </c>
      <c r="P2313">
        <v>0</v>
      </c>
      <c r="Q2313">
        <v>5705.58</v>
      </c>
      <c r="R2313">
        <v>912.89</v>
      </c>
      <c r="S2313">
        <v>228.22</v>
      </c>
      <c r="T2313">
        <v>6390.25</v>
      </c>
      <c r="U2313" t="s">
        <v>9411</v>
      </c>
      <c r="V2313" t="s">
        <v>9409</v>
      </c>
      <c r="W2313" t="s">
        <v>423</v>
      </c>
    </row>
    <row r="2314" spans="1:23" hidden="1" x14ac:dyDescent="0.2">
      <c r="A2314">
        <v>2012</v>
      </c>
      <c r="B2314" t="s">
        <v>304</v>
      </c>
      <c r="C2314" s="733">
        <v>40942</v>
      </c>
      <c r="D23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14" t="s">
        <v>485</v>
      </c>
      <c r="F2314" t="s">
        <v>2065</v>
      </c>
      <c r="G2314" t="s">
        <v>3389</v>
      </c>
      <c r="H2314">
        <v>41381</v>
      </c>
      <c r="I2314" t="s">
        <v>423</v>
      </c>
      <c r="J2314" t="s">
        <v>2196</v>
      </c>
      <c r="K2314" t="s">
        <v>2183</v>
      </c>
      <c r="L2314" t="s">
        <v>2184</v>
      </c>
      <c r="M2314">
        <v>10</v>
      </c>
      <c r="N2314">
        <v>25.16</v>
      </c>
      <c r="O2314">
        <v>2839.81</v>
      </c>
      <c r="P2314">
        <v>0</v>
      </c>
      <c r="Q2314">
        <v>2839.81</v>
      </c>
      <c r="R2314">
        <v>454.37</v>
      </c>
      <c r="S2314">
        <v>113.59</v>
      </c>
      <c r="T2314">
        <v>3180.59</v>
      </c>
      <c r="U2314" t="s">
        <v>2192</v>
      </c>
      <c r="V2314" t="s">
        <v>9408</v>
      </c>
      <c r="W2314" t="s">
        <v>423</v>
      </c>
    </row>
    <row r="2315" spans="1:23" hidden="1" x14ac:dyDescent="0.2">
      <c r="A2315">
        <v>2012</v>
      </c>
      <c r="B2315" t="s">
        <v>303</v>
      </c>
      <c r="C2315" s="733">
        <v>40926</v>
      </c>
      <c r="D23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15" t="s">
        <v>485</v>
      </c>
      <c r="F2315" t="s">
        <v>2065</v>
      </c>
      <c r="G2315" t="s">
        <v>3387</v>
      </c>
      <c r="H2315">
        <v>39874</v>
      </c>
      <c r="I2315" t="s">
        <v>423</v>
      </c>
      <c r="J2315" t="s">
        <v>2196</v>
      </c>
      <c r="K2315" t="s">
        <v>2183</v>
      </c>
      <c r="L2315" t="s">
        <v>2184</v>
      </c>
      <c r="M2315">
        <v>10</v>
      </c>
      <c r="N2315">
        <v>25.55</v>
      </c>
      <c r="O2315">
        <v>2883.83</v>
      </c>
      <c r="P2315">
        <v>0</v>
      </c>
      <c r="Q2315">
        <v>2883.83</v>
      </c>
      <c r="R2315">
        <v>461.41</v>
      </c>
      <c r="S2315">
        <v>115.35</v>
      </c>
      <c r="T2315">
        <v>3229.89</v>
      </c>
      <c r="U2315" t="s">
        <v>7554</v>
      </c>
      <c r="V2315" t="s">
        <v>9408</v>
      </c>
      <c r="W2315" t="s">
        <v>423</v>
      </c>
    </row>
    <row r="2316" spans="1:23" hidden="1" x14ac:dyDescent="0.2">
      <c r="A2316">
        <v>2012</v>
      </c>
      <c r="B2316" t="s">
        <v>303</v>
      </c>
      <c r="C2316" s="733">
        <v>40933</v>
      </c>
      <c r="D23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16" t="s">
        <v>485</v>
      </c>
      <c r="F2316" t="s">
        <v>2065</v>
      </c>
      <c r="G2316" t="s">
        <v>4912</v>
      </c>
      <c r="H2316">
        <v>40773</v>
      </c>
      <c r="I2316" t="s">
        <v>423</v>
      </c>
      <c r="J2316" t="s">
        <v>3204</v>
      </c>
      <c r="K2316" t="s">
        <v>2183</v>
      </c>
      <c r="L2316" t="s">
        <v>2184</v>
      </c>
      <c r="M2316">
        <v>80</v>
      </c>
      <c r="N2316">
        <v>49.34</v>
      </c>
      <c r="O2316">
        <v>5569.01</v>
      </c>
      <c r="P2316">
        <v>0</v>
      </c>
      <c r="Q2316">
        <v>5569.01</v>
      </c>
      <c r="R2316">
        <v>891.04</v>
      </c>
      <c r="S2316">
        <v>222.76</v>
      </c>
      <c r="T2316">
        <v>6237.29</v>
      </c>
      <c r="U2316" t="s">
        <v>2187</v>
      </c>
      <c r="V2316" t="s">
        <v>9409</v>
      </c>
      <c r="W2316" t="s">
        <v>423</v>
      </c>
    </row>
    <row r="2317" spans="1:23" hidden="1" x14ac:dyDescent="0.2">
      <c r="A2317">
        <v>2012</v>
      </c>
      <c r="B2317" t="s">
        <v>304</v>
      </c>
      <c r="C2317" s="733">
        <v>40946</v>
      </c>
      <c r="D23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17" t="s">
        <v>485</v>
      </c>
      <c r="F2317" t="s">
        <v>2065</v>
      </c>
      <c r="G2317" t="s">
        <v>4911</v>
      </c>
      <c r="H2317">
        <v>41415</v>
      </c>
      <c r="I2317" t="s">
        <v>423</v>
      </c>
      <c r="J2317" t="s">
        <v>3204</v>
      </c>
      <c r="K2317" t="s">
        <v>2183</v>
      </c>
      <c r="L2317" t="s">
        <v>2184</v>
      </c>
      <c r="M2317">
        <v>80</v>
      </c>
      <c r="N2317">
        <v>51.44</v>
      </c>
      <c r="O2317">
        <v>5806.03</v>
      </c>
      <c r="P2317">
        <v>0</v>
      </c>
      <c r="Q2317">
        <v>5806.03</v>
      </c>
      <c r="R2317">
        <v>928.97</v>
      </c>
      <c r="S2317">
        <v>232.24</v>
      </c>
      <c r="T2317">
        <v>6502.76</v>
      </c>
      <c r="U2317" t="s">
        <v>2192</v>
      </c>
      <c r="V2317" t="s">
        <v>9409</v>
      </c>
      <c r="W2317" t="s">
        <v>423</v>
      </c>
    </row>
    <row r="2318" spans="1:23" hidden="1" x14ac:dyDescent="0.2">
      <c r="A2318">
        <v>2012</v>
      </c>
      <c r="B2318" t="s">
        <v>304</v>
      </c>
      <c r="C2318" s="733">
        <v>40940</v>
      </c>
      <c r="D23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18" t="s">
        <v>485</v>
      </c>
      <c r="F2318" t="s">
        <v>2065</v>
      </c>
      <c r="G2318" t="s">
        <v>3157</v>
      </c>
      <c r="H2318">
        <v>41182</v>
      </c>
      <c r="I2318" t="s">
        <v>423</v>
      </c>
      <c r="J2318" t="s">
        <v>2182</v>
      </c>
      <c r="K2318" t="s">
        <v>2183</v>
      </c>
      <c r="L2318" t="s">
        <v>2184</v>
      </c>
      <c r="M2318">
        <v>62</v>
      </c>
      <c r="N2318">
        <v>15.76</v>
      </c>
      <c r="O2318">
        <v>2334.69</v>
      </c>
      <c r="P2318">
        <v>0</v>
      </c>
      <c r="Q2318">
        <v>2334.69</v>
      </c>
      <c r="R2318">
        <v>373.55</v>
      </c>
      <c r="S2318">
        <v>93.39</v>
      </c>
      <c r="T2318">
        <v>2614.85</v>
      </c>
      <c r="U2318" t="s">
        <v>2192</v>
      </c>
      <c r="V2318" t="s">
        <v>9408</v>
      </c>
      <c r="W2318" t="s">
        <v>423</v>
      </c>
    </row>
    <row r="2319" spans="1:23" hidden="1" x14ac:dyDescent="0.2">
      <c r="A2319">
        <v>2012</v>
      </c>
      <c r="B2319" t="s">
        <v>303</v>
      </c>
      <c r="C2319" s="733">
        <v>40910</v>
      </c>
      <c r="D23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19" t="s">
        <v>485</v>
      </c>
      <c r="F2319" t="s">
        <v>2065</v>
      </c>
      <c r="G2319" t="s">
        <v>3173</v>
      </c>
      <c r="H2319">
        <v>39650</v>
      </c>
      <c r="I2319" t="s">
        <v>423</v>
      </c>
      <c r="J2319" t="s">
        <v>2182</v>
      </c>
      <c r="K2319" t="s">
        <v>2183</v>
      </c>
      <c r="L2319" t="s">
        <v>2184</v>
      </c>
      <c r="M2319">
        <v>62</v>
      </c>
      <c r="N2319">
        <v>51.26</v>
      </c>
      <c r="O2319">
        <v>3197.09</v>
      </c>
      <c r="P2319">
        <v>3599.5716600000001</v>
      </c>
      <c r="Q2319">
        <v>6796.6616599999998</v>
      </c>
      <c r="R2319">
        <v>1087.465866</v>
      </c>
      <c r="S2319">
        <v>271.866466</v>
      </c>
      <c r="T2319">
        <v>7612.2610599999998</v>
      </c>
      <c r="U2319" t="s">
        <v>3038</v>
      </c>
      <c r="V2319" t="s">
        <v>9409</v>
      </c>
      <c r="W2319" t="s">
        <v>423</v>
      </c>
    </row>
    <row r="2320" spans="1:23" hidden="1" x14ac:dyDescent="0.2">
      <c r="A2320">
        <v>2012</v>
      </c>
      <c r="B2320" t="s">
        <v>303</v>
      </c>
      <c r="C2320" s="733">
        <v>40910</v>
      </c>
      <c r="D23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20" t="s">
        <v>485</v>
      </c>
      <c r="F2320" t="s">
        <v>2065</v>
      </c>
      <c r="G2320" t="s">
        <v>2712</v>
      </c>
      <c r="H2320">
        <v>39674</v>
      </c>
      <c r="I2320" t="s">
        <v>423</v>
      </c>
      <c r="J2320" t="s">
        <v>2114</v>
      </c>
      <c r="K2320" t="s">
        <v>2102</v>
      </c>
      <c r="L2320" t="s">
        <v>2115</v>
      </c>
      <c r="M2320">
        <v>500</v>
      </c>
      <c r="N2320">
        <v>51.07</v>
      </c>
      <c r="O2320">
        <v>7229.98</v>
      </c>
      <c r="P2320">
        <v>8140.162182</v>
      </c>
      <c r="Q2320">
        <v>15370.142182</v>
      </c>
      <c r="R2320">
        <v>2459.222749</v>
      </c>
      <c r="S2320">
        <v>614.80568700000003</v>
      </c>
      <c r="T2320">
        <v>17214.559244</v>
      </c>
      <c r="U2320" t="s">
        <v>2104</v>
      </c>
      <c r="V2320" t="s">
        <v>9409</v>
      </c>
      <c r="W2320" t="s">
        <v>423</v>
      </c>
    </row>
    <row r="2321" spans="1:23" hidden="1" x14ac:dyDescent="0.2">
      <c r="A2321">
        <v>2012</v>
      </c>
      <c r="B2321" t="s">
        <v>303</v>
      </c>
      <c r="C2321" s="733">
        <v>40938</v>
      </c>
      <c r="D23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21" t="s">
        <v>485</v>
      </c>
      <c r="F2321" t="s">
        <v>2065</v>
      </c>
      <c r="G2321" t="s">
        <v>2720</v>
      </c>
      <c r="H2321">
        <v>40898</v>
      </c>
      <c r="I2321" t="s">
        <v>423</v>
      </c>
      <c r="J2321" t="s">
        <v>2135</v>
      </c>
      <c r="K2321" t="s">
        <v>2102</v>
      </c>
      <c r="L2321" t="s">
        <v>2115</v>
      </c>
      <c r="M2321">
        <v>494</v>
      </c>
      <c r="N2321">
        <v>49.75</v>
      </c>
      <c r="O2321">
        <v>16728.439999999999</v>
      </c>
      <c r="P2321">
        <v>0</v>
      </c>
      <c r="Q2321">
        <v>16728.439999999999</v>
      </c>
      <c r="R2321">
        <v>2676.55</v>
      </c>
      <c r="S2321">
        <v>669.14</v>
      </c>
      <c r="T2321">
        <v>18735.849999999999</v>
      </c>
      <c r="U2321" t="s">
        <v>2110</v>
      </c>
      <c r="V2321" t="s">
        <v>9409</v>
      </c>
      <c r="W2321" t="s">
        <v>423</v>
      </c>
    </row>
    <row r="2322" spans="1:23" hidden="1" x14ac:dyDescent="0.2">
      <c r="A2322">
        <v>2012</v>
      </c>
      <c r="B2322" t="s">
        <v>303</v>
      </c>
      <c r="C2322" s="733">
        <v>40928</v>
      </c>
      <c r="D23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22" t="s">
        <v>485</v>
      </c>
      <c r="F2322" t="s">
        <v>2065</v>
      </c>
      <c r="G2322" t="s">
        <v>2721</v>
      </c>
      <c r="H2322">
        <v>40513</v>
      </c>
      <c r="I2322" t="s">
        <v>424</v>
      </c>
      <c r="J2322" t="s">
        <v>2135</v>
      </c>
      <c r="K2322" t="s">
        <v>2102</v>
      </c>
      <c r="L2322" t="s">
        <v>2115</v>
      </c>
      <c r="M2322">
        <v>494</v>
      </c>
      <c r="N2322">
        <v>54</v>
      </c>
      <c r="O2322">
        <v>11375.64</v>
      </c>
      <c r="P2322">
        <v>0</v>
      </c>
      <c r="Q2322">
        <v>11375.64</v>
      </c>
      <c r="R2322">
        <v>1820.1</v>
      </c>
      <c r="S2322">
        <v>455.03</v>
      </c>
      <c r="T2322">
        <v>12740.71</v>
      </c>
      <c r="U2322" t="s">
        <v>2119</v>
      </c>
      <c r="V2322" t="s">
        <v>9409</v>
      </c>
      <c r="W2322" t="s">
        <v>424</v>
      </c>
    </row>
    <row r="2323" spans="1:23" hidden="1" x14ac:dyDescent="0.2">
      <c r="A2323">
        <v>2012</v>
      </c>
      <c r="B2323" t="s">
        <v>303</v>
      </c>
      <c r="C2323" s="733">
        <v>40933</v>
      </c>
      <c r="D23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23" t="s">
        <v>485</v>
      </c>
      <c r="F2323" t="s">
        <v>2065</v>
      </c>
      <c r="G2323" t="s">
        <v>2705</v>
      </c>
      <c r="H2323">
        <v>40770</v>
      </c>
      <c r="I2323" t="s">
        <v>423</v>
      </c>
      <c r="J2323" t="s">
        <v>2114</v>
      </c>
      <c r="K2323" t="s">
        <v>2102</v>
      </c>
      <c r="L2323" t="s">
        <v>2115</v>
      </c>
      <c r="M2323">
        <v>500</v>
      </c>
      <c r="N2323">
        <v>37.94</v>
      </c>
      <c r="O2323">
        <v>12757.32</v>
      </c>
      <c r="P2323">
        <v>0</v>
      </c>
      <c r="Q2323">
        <v>12757.32</v>
      </c>
      <c r="R2323">
        <v>2041.17</v>
      </c>
      <c r="S2323">
        <v>510.29</v>
      </c>
      <c r="T2323">
        <v>14288.2</v>
      </c>
      <c r="U2323" t="s">
        <v>2110</v>
      </c>
      <c r="V2323" t="s">
        <v>9409</v>
      </c>
      <c r="W2323" t="s">
        <v>423</v>
      </c>
    </row>
    <row r="2324" spans="1:23" hidden="1" x14ac:dyDescent="0.2">
      <c r="A2324">
        <v>2012</v>
      </c>
      <c r="B2324" t="s">
        <v>304</v>
      </c>
      <c r="C2324" s="733">
        <v>40949</v>
      </c>
      <c r="D23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24" t="s">
        <v>505</v>
      </c>
      <c r="F2324" t="s">
        <v>1915</v>
      </c>
      <c r="G2324" t="s">
        <v>5293</v>
      </c>
      <c r="H2324">
        <v>22559</v>
      </c>
      <c r="I2324" t="s">
        <v>424</v>
      </c>
      <c r="J2324" t="s">
        <v>4155</v>
      </c>
      <c r="K2324" t="s">
        <v>1918</v>
      </c>
      <c r="L2324" t="s">
        <v>1919</v>
      </c>
      <c r="M2324">
        <v>650</v>
      </c>
      <c r="N2324">
        <v>30</v>
      </c>
      <c r="O2324">
        <v>5937.35</v>
      </c>
      <c r="P2324">
        <v>3412.1356719999999</v>
      </c>
      <c r="Q2324">
        <v>9349.4856720000007</v>
      </c>
      <c r="R2324">
        <v>1495.9177070000001</v>
      </c>
      <c r="S2324">
        <v>373.97942699999999</v>
      </c>
      <c r="T2324">
        <v>10471.423951999999</v>
      </c>
      <c r="V2324" t="s">
        <v>9408</v>
      </c>
      <c r="W2324" t="s">
        <v>424</v>
      </c>
    </row>
    <row r="2325" spans="1:23" hidden="1" x14ac:dyDescent="0.2">
      <c r="A2325">
        <v>2012</v>
      </c>
      <c r="B2325" t="s">
        <v>303</v>
      </c>
      <c r="C2325" s="733">
        <v>40927</v>
      </c>
      <c r="D23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25" t="s">
        <v>505</v>
      </c>
      <c r="F2325" t="s">
        <v>1915</v>
      </c>
      <c r="G2325" t="s">
        <v>5534</v>
      </c>
      <c r="H2325">
        <v>22092</v>
      </c>
      <c r="I2325" t="s">
        <v>423</v>
      </c>
      <c r="J2325" t="s">
        <v>4155</v>
      </c>
      <c r="K2325" t="s">
        <v>1918</v>
      </c>
      <c r="L2325" t="s">
        <v>1919</v>
      </c>
      <c r="M2325">
        <v>650</v>
      </c>
      <c r="N2325">
        <v>51.84</v>
      </c>
      <c r="O2325">
        <v>22293.79</v>
      </c>
      <c r="P2325">
        <v>0</v>
      </c>
      <c r="Q2325">
        <v>22293.79</v>
      </c>
      <c r="R2325">
        <v>3567.01</v>
      </c>
      <c r="S2325">
        <v>891.75</v>
      </c>
      <c r="T2325">
        <v>24969.05</v>
      </c>
      <c r="U2325" t="s">
        <v>8778</v>
      </c>
      <c r="V2325" t="s">
        <v>9409</v>
      </c>
      <c r="W2325" t="s">
        <v>423</v>
      </c>
    </row>
    <row r="2326" spans="1:23" hidden="1" x14ac:dyDescent="0.2">
      <c r="A2326">
        <v>2012</v>
      </c>
      <c r="B2326" t="s">
        <v>304</v>
      </c>
      <c r="C2326" s="733">
        <v>40949</v>
      </c>
      <c r="D23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26" t="s">
        <v>505</v>
      </c>
      <c r="F2326" t="s">
        <v>1915</v>
      </c>
      <c r="G2326" t="s">
        <v>5533</v>
      </c>
      <c r="H2326">
        <v>22620</v>
      </c>
      <c r="I2326" t="s">
        <v>424</v>
      </c>
      <c r="J2326" t="s">
        <v>4155</v>
      </c>
      <c r="K2326" t="s">
        <v>1918</v>
      </c>
      <c r="L2326" t="s">
        <v>1919</v>
      </c>
      <c r="M2326">
        <v>650</v>
      </c>
      <c r="N2326">
        <v>30</v>
      </c>
      <c r="O2326">
        <v>5937.35</v>
      </c>
      <c r="P2326">
        <v>3412.1356719999999</v>
      </c>
      <c r="Q2326">
        <v>9349.4856720000007</v>
      </c>
      <c r="R2326">
        <v>1495.9177070000001</v>
      </c>
      <c r="S2326">
        <v>373.97942699999999</v>
      </c>
      <c r="T2326">
        <v>10471.423951999999</v>
      </c>
      <c r="U2326" t="s">
        <v>7522</v>
      </c>
      <c r="V2326" t="s">
        <v>9408</v>
      </c>
      <c r="W2326" t="s">
        <v>424</v>
      </c>
    </row>
    <row r="2327" spans="1:23" hidden="1" x14ac:dyDescent="0.2">
      <c r="A2327">
        <v>2012</v>
      </c>
      <c r="B2327" t="s">
        <v>303</v>
      </c>
      <c r="C2327" s="733">
        <v>40938</v>
      </c>
      <c r="D23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27" t="s">
        <v>485</v>
      </c>
      <c r="F2327" t="s">
        <v>2065</v>
      </c>
      <c r="G2327" t="s">
        <v>3386</v>
      </c>
      <c r="H2327">
        <v>41069</v>
      </c>
      <c r="I2327" t="s">
        <v>423</v>
      </c>
      <c r="J2327" t="s">
        <v>3204</v>
      </c>
      <c r="K2327" t="s">
        <v>2183</v>
      </c>
      <c r="L2327" t="s">
        <v>2184</v>
      </c>
      <c r="M2327">
        <v>80</v>
      </c>
      <c r="N2327">
        <v>24.61</v>
      </c>
      <c r="O2327">
        <v>2777.73</v>
      </c>
      <c r="P2327">
        <v>0</v>
      </c>
      <c r="Q2327">
        <v>2777.73</v>
      </c>
      <c r="R2327">
        <v>444.44</v>
      </c>
      <c r="S2327">
        <v>111.11</v>
      </c>
      <c r="T2327">
        <v>3111.06</v>
      </c>
      <c r="U2327" t="s">
        <v>2187</v>
      </c>
      <c r="V2327" t="s">
        <v>9408</v>
      </c>
      <c r="W2327" t="s">
        <v>423</v>
      </c>
    </row>
    <row r="2328" spans="1:23" x14ac:dyDescent="0.2">
      <c r="A2328">
        <v>2012</v>
      </c>
      <c r="B2328" t="s">
        <v>304</v>
      </c>
      <c r="C2328" s="733">
        <v>40968</v>
      </c>
      <c r="D23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28" t="s">
        <v>485</v>
      </c>
      <c r="F2328" t="s">
        <v>2065</v>
      </c>
      <c r="G2328" t="s">
        <v>8938</v>
      </c>
      <c r="H2328">
        <v>42764</v>
      </c>
      <c r="I2328" t="s">
        <v>423</v>
      </c>
      <c r="J2328" t="s">
        <v>3419</v>
      </c>
      <c r="K2328" t="s">
        <v>2183</v>
      </c>
      <c r="L2328" t="s">
        <v>2184</v>
      </c>
      <c r="M2328">
        <v>80</v>
      </c>
      <c r="N2328">
        <v>51.14</v>
      </c>
      <c r="O2328">
        <v>5772.17</v>
      </c>
      <c r="P2328">
        <v>0</v>
      </c>
      <c r="Q2328">
        <v>5772.17</v>
      </c>
      <c r="R2328">
        <v>923.55</v>
      </c>
      <c r="S2328">
        <v>230.89</v>
      </c>
      <c r="T2328">
        <v>6464.83</v>
      </c>
      <c r="V2328" t="s">
        <v>9409</v>
      </c>
      <c r="W2328" t="s">
        <v>423</v>
      </c>
    </row>
    <row r="2329" spans="1:23" hidden="1" x14ac:dyDescent="0.2">
      <c r="A2329">
        <v>2012</v>
      </c>
      <c r="B2329" t="s">
        <v>304</v>
      </c>
      <c r="C2329" s="733">
        <v>40942</v>
      </c>
      <c r="D23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29" t="s">
        <v>485</v>
      </c>
      <c r="F2329" t="s">
        <v>2065</v>
      </c>
      <c r="G2329" t="s">
        <v>2722</v>
      </c>
      <c r="H2329">
        <v>41346</v>
      </c>
      <c r="I2329" t="s">
        <v>423</v>
      </c>
      <c r="J2329" t="s">
        <v>2135</v>
      </c>
      <c r="K2329" t="s">
        <v>2102</v>
      </c>
      <c r="L2329" t="s">
        <v>2115</v>
      </c>
      <c r="M2329">
        <v>494</v>
      </c>
      <c r="N2329">
        <v>52.68</v>
      </c>
      <c r="O2329">
        <v>17713.650000000001</v>
      </c>
      <c r="P2329">
        <v>0</v>
      </c>
      <c r="Q2329">
        <v>17713.650000000001</v>
      </c>
      <c r="R2329">
        <v>2834.18</v>
      </c>
      <c r="S2329">
        <v>708.55</v>
      </c>
      <c r="T2329">
        <v>19839.28</v>
      </c>
      <c r="U2329" t="s">
        <v>8051</v>
      </c>
      <c r="V2329" t="s">
        <v>9409</v>
      </c>
      <c r="W2329" t="s">
        <v>423</v>
      </c>
    </row>
    <row r="2330" spans="1:23" hidden="1" x14ac:dyDescent="0.2">
      <c r="A2330">
        <v>2012</v>
      </c>
      <c r="B2330" t="s">
        <v>304</v>
      </c>
      <c r="C2330" s="733">
        <v>40963</v>
      </c>
      <c r="D23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30" t="s">
        <v>485</v>
      </c>
      <c r="F2330" t="s">
        <v>2065</v>
      </c>
      <c r="G2330" t="s">
        <v>8719</v>
      </c>
      <c r="H2330">
        <v>42511</v>
      </c>
      <c r="I2330" t="s">
        <v>424</v>
      </c>
      <c r="J2330" t="s">
        <v>2114</v>
      </c>
      <c r="K2330" t="s">
        <v>2102</v>
      </c>
      <c r="L2330" t="s">
        <v>2115</v>
      </c>
      <c r="M2330">
        <v>500</v>
      </c>
      <c r="N2330">
        <v>54</v>
      </c>
      <c r="O2330">
        <v>10009.44</v>
      </c>
      <c r="P2330">
        <v>0</v>
      </c>
      <c r="Q2330">
        <v>10009.44</v>
      </c>
      <c r="R2330">
        <v>1601.51</v>
      </c>
      <c r="S2330">
        <v>400.38</v>
      </c>
      <c r="T2330">
        <v>11210.57</v>
      </c>
      <c r="V2330" t="s">
        <v>9409</v>
      </c>
      <c r="W2330" t="s">
        <v>424</v>
      </c>
    </row>
    <row r="2331" spans="1:23" hidden="1" x14ac:dyDescent="0.2">
      <c r="A2331">
        <v>2012</v>
      </c>
      <c r="B2331" t="s">
        <v>304</v>
      </c>
      <c r="C2331" s="733">
        <v>40948</v>
      </c>
      <c r="D23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31" t="s">
        <v>485</v>
      </c>
      <c r="F2331" t="s">
        <v>2065</v>
      </c>
      <c r="G2331" t="s">
        <v>2699</v>
      </c>
      <c r="H2331">
        <v>41588</v>
      </c>
      <c r="I2331" t="s">
        <v>423</v>
      </c>
      <c r="J2331" t="s">
        <v>2114</v>
      </c>
      <c r="K2331" t="s">
        <v>2102</v>
      </c>
      <c r="L2331" t="s">
        <v>2115</v>
      </c>
      <c r="M2331">
        <v>500</v>
      </c>
      <c r="N2331">
        <v>52.13</v>
      </c>
      <c r="O2331">
        <v>17528.71</v>
      </c>
      <c r="P2331">
        <v>0</v>
      </c>
      <c r="Q2331">
        <v>17528.71</v>
      </c>
      <c r="R2331">
        <v>2804.59</v>
      </c>
      <c r="S2331">
        <v>701.15</v>
      </c>
      <c r="T2331">
        <v>19632.150000000001</v>
      </c>
      <c r="U2331" t="s">
        <v>7462</v>
      </c>
      <c r="V2331" t="s">
        <v>9409</v>
      </c>
      <c r="W2331" t="s">
        <v>423</v>
      </c>
    </row>
    <row r="2332" spans="1:23" hidden="1" x14ac:dyDescent="0.2">
      <c r="A2332">
        <v>2012</v>
      </c>
      <c r="B2332" t="s">
        <v>304</v>
      </c>
      <c r="C2332" s="733">
        <v>40941</v>
      </c>
      <c r="D23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32" t="s">
        <v>485</v>
      </c>
      <c r="F2332" t="s">
        <v>2065</v>
      </c>
      <c r="G2332" t="s">
        <v>2703</v>
      </c>
      <c r="H2332">
        <v>39746</v>
      </c>
      <c r="I2332" t="s">
        <v>423</v>
      </c>
      <c r="J2332" t="s">
        <v>2114</v>
      </c>
      <c r="K2332" t="s">
        <v>2102</v>
      </c>
      <c r="L2332" t="s">
        <v>2115</v>
      </c>
      <c r="M2332">
        <v>500</v>
      </c>
      <c r="N2332">
        <v>50.97</v>
      </c>
      <c r="O2332">
        <v>17138.66</v>
      </c>
      <c r="P2332">
        <v>0</v>
      </c>
      <c r="Q2332">
        <v>17138.66</v>
      </c>
      <c r="R2332">
        <v>2742.19</v>
      </c>
      <c r="S2332">
        <v>685.55</v>
      </c>
      <c r="T2332">
        <v>19195.3</v>
      </c>
      <c r="U2332" t="s">
        <v>2110</v>
      </c>
      <c r="V2332" t="s">
        <v>9409</v>
      </c>
      <c r="W2332" t="s">
        <v>423</v>
      </c>
    </row>
    <row r="2333" spans="1:23" hidden="1" x14ac:dyDescent="0.2">
      <c r="A2333">
        <v>2012</v>
      </c>
      <c r="B2333" t="s">
        <v>304</v>
      </c>
      <c r="C2333" s="733">
        <v>40948</v>
      </c>
      <c r="D23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33" t="s">
        <v>485</v>
      </c>
      <c r="F2333" t="s">
        <v>2065</v>
      </c>
      <c r="G2333" t="s">
        <v>2704</v>
      </c>
      <c r="H2333">
        <v>41562</v>
      </c>
      <c r="I2333" t="s">
        <v>423</v>
      </c>
      <c r="J2333" t="s">
        <v>2114</v>
      </c>
      <c r="K2333" t="s">
        <v>2102</v>
      </c>
      <c r="L2333" t="s">
        <v>2115</v>
      </c>
      <c r="M2333">
        <v>500</v>
      </c>
      <c r="N2333">
        <v>54.47</v>
      </c>
      <c r="O2333">
        <v>18315.54</v>
      </c>
      <c r="P2333">
        <v>0</v>
      </c>
      <c r="Q2333">
        <v>18315.54</v>
      </c>
      <c r="R2333">
        <v>2930.49</v>
      </c>
      <c r="S2333">
        <v>732.62</v>
      </c>
      <c r="T2333">
        <v>20513.41</v>
      </c>
      <c r="U2333" t="s">
        <v>7462</v>
      </c>
      <c r="V2333" t="s">
        <v>9409</v>
      </c>
      <c r="W2333" t="s">
        <v>423</v>
      </c>
    </row>
    <row r="2334" spans="1:23" hidden="1" x14ac:dyDescent="0.2">
      <c r="A2334">
        <v>2012</v>
      </c>
      <c r="B2334" t="s">
        <v>304</v>
      </c>
      <c r="C2334" s="733">
        <v>40956.436921296299</v>
      </c>
      <c r="D23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34" t="s">
        <v>485</v>
      </c>
      <c r="F2334" t="s">
        <v>2065</v>
      </c>
      <c r="G2334" t="s">
        <v>7917</v>
      </c>
      <c r="H2334">
        <v>42112</v>
      </c>
      <c r="I2334" t="s">
        <v>423</v>
      </c>
      <c r="J2334" t="s">
        <v>2182</v>
      </c>
      <c r="K2334" t="s">
        <v>2183</v>
      </c>
      <c r="L2334" t="s">
        <v>2184</v>
      </c>
      <c r="M2334">
        <v>62</v>
      </c>
      <c r="N2334">
        <v>16.2</v>
      </c>
      <c r="O2334">
        <v>2399.87</v>
      </c>
      <c r="P2334">
        <v>0</v>
      </c>
      <c r="Q2334">
        <v>2399.87</v>
      </c>
      <c r="R2334">
        <v>383.98</v>
      </c>
      <c r="S2334">
        <v>95.99</v>
      </c>
      <c r="T2334">
        <v>2687.86</v>
      </c>
      <c r="U2334" t="s">
        <v>8048</v>
      </c>
      <c r="V2334" t="s">
        <v>9408</v>
      </c>
      <c r="W2334" t="s">
        <v>423</v>
      </c>
    </row>
    <row r="2335" spans="1:23" hidden="1" x14ac:dyDescent="0.2">
      <c r="A2335">
        <v>2012</v>
      </c>
      <c r="B2335" t="s">
        <v>304</v>
      </c>
      <c r="C2335" s="733">
        <v>40940</v>
      </c>
      <c r="D23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35" t="s">
        <v>485</v>
      </c>
      <c r="F2335" t="s">
        <v>2065</v>
      </c>
      <c r="G2335" t="s">
        <v>3156</v>
      </c>
      <c r="H2335">
        <v>41178</v>
      </c>
      <c r="I2335" t="s">
        <v>423</v>
      </c>
      <c r="J2335" t="s">
        <v>2182</v>
      </c>
      <c r="K2335" t="s">
        <v>2183</v>
      </c>
      <c r="L2335" t="s">
        <v>2184</v>
      </c>
      <c r="M2335">
        <v>62</v>
      </c>
      <c r="N2335">
        <v>16.18</v>
      </c>
      <c r="O2335">
        <v>2396.91</v>
      </c>
      <c r="P2335">
        <v>0</v>
      </c>
      <c r="Q2335">
        <v>2396.91</v>
      </c>
      <c r="R2335">
        <v>383.5</v>
      </c>
      <c r="S2335">
        <v>95.88</v>
      </c>
      <c r="T2335">
        <v>2684.53</v>
      </c>
      <c r="U2335" t="s">
        <v>2192</v>
      </c>
      <c r="V2335" t="s">
        <v>9408</v>
      </c>
      <c r="W2335" t="s">
        <v>423</v>
      </c>
    </row>
    <row r="2336" spans="1:23" hidden="1" x14ac:dyDescent="0.2">
      <c r="A2336">
        <v>2012</v>
      </c>
      <c r="B2336" t="s">
        <v>303</v>
      </c>
      <c r="C2336" s="733">
        <v>40938.925520833334</v>
      </c>
      <c r="D23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36" t="s">
        <v>478</v>
      </c>
      <c r="F2336" t="s">
        <v>2622</v>
      </c>
      <c r="G2336" t="s">
        <v>3377</v>
      </c>
      <c r="H2336">
        <v>35081</v>
      </c>
      <c r="I2336" t="s">
        <v>423</v>
      </c>
      <c r="J2336" t="s">
        <v>2629</v>
      </c>
      <c r="K2336" t="s">
        <v>2625</v>
      </c>
      <c r="L2336" t="s">
        <v>2626</v>
      </c>
      <c r="M2336">
        <v>33</v>
      </c>
      <c r="N2336">
        <v>25.39</v>
      </c>
      <c r="O2336">
        <v>2961.49</v>
      </c>
      <c r="P2336">
        <v>0</v>
      </c>
      <c r="Q2336">
        <v>2961.49</v>
      </c>
      <c r="R2336">
        <v>473.84</v>
      </c>
      <c r="S2336">
        <v>118.46</v>
      </c>
      <c r="T2336">
        <v>3316.87</v>
      </c>
      <c r="U2336" t="s">
        <v>2648</v>
      </c>
      <c r="V2336" t="s">
        <v>9408</v>
      </c>
      <c r="W2336" t="s">
        <v>423</v>
      </c>
    </row>
    <row r="2337" spans="1:23" hidden="1" x14ac:dyDescent="0.2">
      <c r="A2337">
        <v>2012</v>
      </c>
      <c r="B2337" t="s">
        <v>304</v>
      </c>
      <c r="C2337" s="733">
        <v>40940</v>
      </c>
      <c r="D23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37" t="s">
        <v>485</v>
      </c>
      <c r="F2337" t="s">
        <v>2065</v>
      </c>
      <c r="G2337" t="s">
        <v>5992</v>
      </c>
      <c r="H2337">
        <v>39744</v>
      </c>
      <c r="I2337" t="s">
        <v>423</v>
      </c>
      <c r="J2337" t="s">
        <v>2189</v>
      </c>
      <c r="K2337" t="s">
        <v>2183</v>
      </c>
      <c r="L2337" t="s">
        <v>2184</v>
      </c>
      <c r="M2337">
        <v>720</v>
      </c>
      <c r="N2337">
        <v>26.95</v>
      </c>
      <c r="O2337">
        <v>11962.84</v>
      </c>
      <c r="P2337">
        <v>0</v>
      </c>
      <c r="Q2337">
        <v>11962.84</v>
      </c>
      <c r="R2337">
        <v>1914.05</v>
      </c>
      <c r="S2337">
        <v>478.51</v>
      </c>
      <c r="T2337">
        <v>13398.38</v>
      </c>
      <c r="U2337" t="s">
        <v>2187</v>
      </c>
      <c r="V2337" t="s">
        <v>9408</v>
      </c>
      <c r="W2337" t="s">
        <v>423</v>
      </c>
    </row>
    <row r="2338" spans="1:23" hidden="1" x14ac:dyDescent="0.2">
      <c r="A2338">
        <v>2012</v>
      </c>
      <c r="B2338" t="s">
        <v>304</v>
      </c>
      <c r="C2338" s="733">
        <v>40963</v>
      </c>
      <c r="D23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38" t="s">
        <v>485</v>
      </c>
      <c r="F2338" t="s">
        <v>2065</v>
      </c>
      <c r="G2338" t="s">
        <v>8595</v>
      </c>
      <c r="H2338">
        <v>42442</v>
      </c>
      <c r="I2338" t="s">
        <v>423</v>
      </c>
      <c r="J2338" t="s">
        <v>2189</v>
      </c>
      <c r="K2338" t="s">
        <v>2183</v>
      </c>
      <c r="L2338" t="s">
        <v>2184</v>
      </c>
      <c r="M2338">
        <v>720</v>
      </c>
      <c r="N2338">
        <v>25.02</v>
      </c>
      <c r="O2338">
        <v>11106.13</v>
      </c>
      <c r="P2338">
        <v>0</v>
      </c>
      <c r="Q2338">
        <v>11106.13</v>
      </c>
      <c r="R2338">
        <v>1776.98</v>
      </c>
      <c r="S2338">
        <v>444.25</v>
      </c>
      <c r="T2338">
        <v>12438.86</v>
      </c>
      <c r="U2338" t="s">
        <v>9411</v>
      </c>
      <c r="V2338" t="s">
        <v>9408</v>
      </c>
      <c r="W2338" t="s">
        <v>423</v>
      </c>
    </row>
    <row r="2339" spans="1:23" hidden="1" x14ac:dyDescent="0.2">
      <c r="A2339">
        <v>2012</v>
      </c>
      <c r="B2339" t="s">
        <v>304</v>
      </c>
      <c r="C2339" s="733">
        <v>40952</v>
      </c>
      <c r="D23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39" t="s">
        <v>485</v>
      </c>
      <c r="F2339" t="s">
        <v>2065</v>
      </c>
      <c r="G2339" t="s">
        <v>5410</v>
      </c>
      <c r="H2339">
        <v>41712</v>
      </c>
      <c r="I2339" t="s">
        <v>423</v>
      </c>
      <c r="J2339" t="s">
        <v>2189</v>
      </c>
      <c r="K2339" t="s">
        <v>2183</v>
      </c>
      <c r="L2339" t="s">
        <v>2184</v>
      </c>
      <c r="M2339">
        <v>720</v>
      </c>
      <c r="N2339">
        <v>26.64</v>
      </c>
      <c r="O2339">
        <v>11825.23</v>
      </c>
      <c r="P2339">
        <v>0</v>
      </c>
      <c r="Q2339">
        <v>11825.23</v>
      </c>
      <c r="R2339">
        <v>1892.04</v>
      </c>
      <c r="S2339">
        <v>473.01</v>
      </c>
      <c r="T2339">
        <v>13244.26</v>
      </c>
      <c r="U2339" t="s">
        <v>8048</v>
      </c>
      <c r="V2339" t="s">
        <v>9408</v>
      </c>
      <c r="W2339" t="s">
        <v>423</v>
      </c>
    </row>
    <row r="2340" spans="1:23" hidden="1" x14ac:dyDescent="0.2">
      <c r="A2340">
        <v>2012</v>
      </c>
      <c r="B2340" t="s">
        <v>303</v>
      </c>
      <c r="C2340" s="733">
        <v>40938</v>
      </c>
      <c r="D23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40" t="s">
        <v>478</v>
      </c>
      <c r="F2340" t="s">
        <v>2136</v>
      </c>
      <c r="G2340" t="s">
        <v>6603</v>
      </c>
      <c r="H2340">
        <v>34980</v>
      </c>
      <c r="I2340" t="s">
        <v>423</v>
      </c>
      <c r="J2340" t="s">
        <v>4282</v>
      </c>
      <c r="K2340" t="s">
        <v>425</v>
      </c>
      <c r="L2340" t="s">
        <v>2145</v>
      </c>
      <c r="M2340">
        <v>1405</v>
      </c>
      <c r="N2340">
        <v>50.45</v>
      </c>
      <c r="O2340">
        <v>50925.24</v>
      </c>
      <c r="P2340">
        <v>0</v>
      </c>
      <c r="Q2340">
        <v>50925.24</v>
      </c>
      <c r="R2340">
        <v>8148.04</v>
      </c>
      <c r="S2340">
        <v>2037.01</v>
      </c>
      <c r="T2340">
        <v>57036.27</v>
      </c>
      <c r="U2340" t="s">
        <v>2914</v>
      </c>
      <c r="V2340" t="s">
        <v>9409</v>
      </c>
      <c r="W2340" t="s">
        <v>423</v>
      </c>
    </row>
    <row r="2341" spans="1:23" x14ac:dyDescent="0.2">
      <c r="A2341">
        <v>2012</v>
      </c>
      <c r="B2341" t="s">
        <v>304</v>
      </c>
      <c r="C2341" s="733">
        <v>40967</v>
      </c>
      <c r="D23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41" t="s">
        <v>485</v>
      </c>
      <c r="F2341" t="s">
        <v>2065</v>
      </c>
      <c r="G2341" t="s">
        <v>9208</v>
      </c>
      <c r="H2341">
        <v>42314</v>
      </c>
      <c r="I2341" t="s">
        <v>423</v>
      </c>
      <c r="J2341" t="s">
        <v>2189</v>
      </c>
      <c r="K2341" t="s">
        <v>2183</v>
      </c>
      <c r="L2341" t="s">
        <v>2115</v>
      </c>
      <c r="M2341">
        <v>720</v>
      </c>
      <c r="N2341">
        <v>28.6</v>
      </c>
      <c r="O2341">
        <v>12695.25</v>
      </c>
      <c r="P2341">
        <v>0</v>
      </c>
      <c r="Q2341">
        <v>12695.25</v>
      </c>
      <c r="R2341">
        <v>2031.24</v>
      </c>
      <c r="S2341">
        <v>507.81</v>
      </c>
      <c r="T2341">
        <v>14218.68</v>
      </c>
      <c r="V2341" t="s">
        <v>9408</v>
      </c>
      <c r="W2341" t="s">
        <v>423</v>
      </c>
    </row>
    <row r="2342" spans="1:23" hidden="1" x14ac:dyDescent="0.2">
      <c r="A2342">
        <v>2012</v>
      </c>
      <c r="B2342" t="s">
        <v>304</v>
      </c>
      <c r="C2342" s="733">
        <v>40941</v>
      </c>
      <c r="D23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42" t="s">
        <v>485</v>
      </c>
      <c r="F2342" t="s">
        <v>2065</v>
      </c>
      <c r="G2342" t="s">
        <v>5765</v>
      </c>
      <c r="H2342">
        <v>41284</v>
      </c>
      <c r="I2342" t="s">
        <v>423</v>
      </c>
      <c r="J2342" t="s">
        <v>2186</v>
      </c>
      <c r="K2342" t="s">
        <v>2183</v>
      </c>
      <c r="L2342" t="s">
        <v>2184</v>
      </c>
      <c r="M2342">
        <v>19</v>
      </c>
      <c r="N2342">
        <v>16.559999999999999</v>
      </c>
      <c r="O2342">
        <v>1869.13</v>
      </c>
      <c r="P2342">
        <v>0</v>
      </c>
      <c r="Q2342">
        <v>1869.13</v>
      </c>
      <c r="R2342">
        <v>299.06</v>
      </c>
      <c r="S2342">
        <v>74.77</v>
      </c>
      <c r="T2342">
        <v>2093.42</v>
      </c>
      <c r="U2342" t="s">
        <v>2192</v>
      </c>
      <c r="V2342" t="s">
        <v>9408</v>
      </c>
      <c r="W2342" t="s">
        <v>423</v>
      </c>
    </row>
    <row r="2343" spans="1:23" hidden="1" x14ac:dyDescent="0.2">
      <c r="A2343">
        <v>2012</v>
      </c>
      <c r="B2343" t="s">
        <v>303</v>
      </c>
      <c r="C2343" s="733">
        <v>40921</v>
      </c>
      <c r="D23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43" t="s">
        <v>485</v>
      </c>
      <c r="F2343" t="s">
        <v>2054</v>
      </c>
      <c r="G2343" t="s">
        <v>2160</v>
      </c>
      <c r="H2343">
        <v>10046</v>
      </c>
      <c r="I2343" t="s">
        <v>423</v>
      </c>
      <c r="J2343" t="s">
        <v>2072</v>
      </c>
      <c r="K2343" t="s">
        <v>2057</v>
      </c>
      <c r="L2343" t="s">
        <v>2058</v>
      </c>
      <c r="M2343">
        <v>406</v>
      </c>
      <c r="N2343">
        <v>46.39</v>
      </c>
      <c r="O2343">
        <v>12677.46</v>
      </c>
      <c r="P2343">
        <v>0</v>
      </c>
      <c r="Q2343">
        <v>12677.46</v>
      </c>
      <c r="R2343">
        <v>2028.39</v>
      </c>
      <c r="S2343">
        <v>507.1</v>
      </c>
      <c r="T2343">
        <v>14198.75</v>
      </c>
      <c r="U2343" t="s">
        <v>2059</v>
      </c>
      <c r="V2343" t="s">
        <v>9409</v>
      </c>
      <c r="W2343" t="s">
        <v>423</v>
      </c>
    </row>
    <row r="2344" spans="1:23" hidden="1" x14ac:dyDescent="0.2">
      <c r="A2344">
        <v>2012</v>
      </c>
      <c r="B2344" t="s">
        <v>303</v>
      </c>
      <c r="C2344" s="733">
        <v>40925.550335648149</v>
      </c>
      <c r="D23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44" t="s">
        <v>485</v>
      </c>
      <c r="F2344" t="s">
        <v>2054</v>
      </c>
      <c r="G2344" t="s">
        <v>2172</v>
      </c>
      <c r="H2344">
        <v>10102</v>
      </c>
      <c r="I2344" t="s">
        <v>423</v>
      </c>
      <c r="J2344" t="s">
        <v>2072</v>
      </c>
      <c r="K2344" t="s">
        <v>2057</v>
      </c>
      <c r="L2344" t="s">
        <v>2058</v>
      </c>
      <c r="M2344">
        <v>406</v>
      </c>
      <c r="N2344">
        <v>25.04</v>
      </c>
      <c r="O2344">
        <v>6842.93</v>
      </c>
      <c r="P2344">
        <v>0</v>
      </c>
      <c r="Q2344">
        <v>6842.93</v>
      </c>
      <c r="R2344">
        <v>1094.8699999999999</v>
      </c>
      <c r="S2344">
        <v>273.72000000000003</v>
      </c>
      <c r="T2344">
        <v>7664.08</v>
      </c>
      <c r="U2344" t="s">
        <v>2077</v>
      </c>
      <c r="V2344" t="s">
        <v>9408</v>
      </c>
      <c r="W2344" t="s">
        <v>423</v>
      </c>
    </row>
    <row r="2345" spans="1:23" hidden="1" x14ac:dyDescent="0.2">
      <c r="A2345">
        <v>2012</v>
      </c>
      <c r="B2345" t="s">
        <v>303</v>
      </c>
      <c r="C2345" s="733">
        <v>40925</v>
      </c>
      <c r="D23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45" t="s">
        <v>485</v>
      </c>
      <c r="F2345" t="s">
        <v>2054</v>
      </c>
      <c r="G2345" t="s">
        <v>2173</v>
      </c>
      <c r="H2345">
        <v>10099</v>
      </c>
      <c r="I2345" t="s">
        <v>423</v>
      </c>
      <c r="J2345" t="s">
        <v>2072</v>
      </c>
      <c r="K2345" t="s">
        <v>2057</v>
      </c>
      <c r="L2345" t="s">
        <v>2058</v>
      </c>
      <c r="M2345">
        <v>406</v>
      </c>
      <c r="N2345">
        <v>48.42</v>
      </c>
      <c r="O2345">
        <v>13232.22</v>
      </c>
      <c r="P2345">
        <v>0</v>
      </c>
      <c r="Q2345">
        <v>13232.22</v>
      </c>
      <c r="R2345">
        <v>2117.15</v>
      </c>
      <c r="S2345">
        <v>529.29</v>
      </c>
      <c r="T2345">
        <v>14820.08</v>
      </c>
      <c r="U2345" t="s">
        <v>2077</v>
      </c>
      <c r="V2345" t="s">
        <v>9409</v>
      </c>
      <c r="W2345" t="s">
        <v>423</v>
      </c>
    </row>
    <row r="2346" spans="1:23" hidden="1" x14ac:dyDescent="0.2">
      <c r="A2346">
        <v>2012</v>
      </c>
      <c r="B2346" t="s">
        <v>303</v>
      </c>
      <c r="C2346" s="733">
        <v>40939</v>
      </c>
      <c r="D23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46" t="s">
        <v>485</v>
      </c>
      <c r="F2346" t="s">
        <v>2054</v>
      </c>
      <c r="G2346" t="s">
        <v>2174</v>
      </c>
      <c r="H2346">
        <v>9999</v>
      </c>
      <c r="I2346" t="s">
        <v>423</v>
      </c>
      <c r="J2346" t="s">
        <v>2072</v>
      </c>
      <c r="K2346" t="s">
        <v>2057</v>
      </c>
      <c r="L2346" t="s">
        <v>2058</v>
      </c>
      <c r="M2346">
        <v>406</v>
      </c>
      <c r="N2346">
        <v>30</v>
      </c>
      <c r="O2346">
        <v>8198.4</v>
      </c>
      <c r="P2346">
        <v>0</v>
      </c>
      <c r="Q2346">
        <v>8198.4</v>
      </c>
      <c r="R2346">
        <v>1311.74</v>
      </c>
      <c r="S2346">
        <v>327.94</v>
      </c>
      <c r="T2346">
        <v>9182.2000000000007</v>
      </c>
      <c r="U2346" t="s">
        <v>2073</v>
      </c>
      <c r="V2346" t="s">
        <v>9408</v>
      </c>
      <c r="W2346" t="s">
        <v>423</v>
      </c>
    </row>
    <row r="2347" spans="1:23" hidden="1" x14ac:dyDescent="0.2">
      <c r="A2347">
        <v>2012</v>
      </c>
      <c r="B2347" t="s">
        <v>303</v>
      </c>
      <c r="C2347" s="733">
        <v>40920.449861111112</v>
      </c>
      <c r="D23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47" t="s">
        <v>485</v>
      </c>
      <c r="F2347" t="s">
        <v>2054</v>
      </c>
      <c r="G2347" t="s">
        <v>6239</v>
      </c>
      <c r="H2347">
        <v>10044</v>
      </c>
      <c r="I2347" t="s">
        <v>423</v>
      </c>
      <c r="J2347" t="s">
        <v>2072</v>
      </c>
      <c r="K2347" t="s">
        <v>2057</v>
      </c>
      <c r="L2347" t="s">
        <v>2058</v>
      </c>
      <c r="M2347">
        <v>406</v>
      </c>
      <c r="N2347">
        <v>46.02</v>
      </c>
      <c r="O2347">
        <v>12576.35</v>
      </c>
      <c r="P2347">
        <v>0</v>
      </c>
      <c r="Q2347">
        <v>12576.35</v>
      </c>
      <c r="R2347">
        <v>2012.22</v>
      </c>
      <c r="S2347">
        <v>503.05</v>
      </c>
      <c r="T2347">
        <v>14085.52</v>
      </c>
      <c r="V2347" t="s">
        <v>9409</v>
      </c>
      <c r="W2347" t="s">
        <v>423</v>
      </c>
    </row>
    <row r="2348" spans="1:23" hidden="1" x14ac:dyDescent="0.2">
      <c r="A2348">
        <v>2012</v>
      </c>
      <c r="B2348" t="s">
        <v>303</v>
      </c>
      <c r="C2348" s="733">
        <v>40939</v>
      </c>
      <c r="D23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48" t="s">
        <v>505</v>
      </c>
      <c r="F2348" t="s">
        <v>1915</v>
      </c>
      <c r="G2348" t="s">
        <v>2530</v>
      </c>
      <c r="H2348">
        <v>22368</v>
      </c>
      <c r="I2348" t="s">
        <v>423</v>
      </c>
      <c r="J2348" t="s">
        <v>1943</v>
      </c>
      <c r="K2348" t="s">
        <v>1918</v>
      </c>
      <c r="L2348" t="s">
        <v>1919</v>
      </c>
      <c r="M2348">
        <v>319</v>
      </c>
      <c r="N2348">
        <v>53.96</v>
      </c>
      <c r="O2348">
        <v>15823.23</v>
      </c>
      <c r="P2348">
        <v>0</v>
      </c>
      <c r="Q2348">
        <v>15823.23</v>
      </c>
      <c r="R2348">
        <v>2531.7199999999998</v>
      </c>
      <c r="S2348">
        <v>632.92999999999995</v>
      </c>
      <c r="T2348">
        <v>17722.02</v>
      </c>
      <c r="U2348" t="s">
        <v>1926</v>
      </c>
      <c r="V2348" t="s">
        <v>9409</v>
      </c>
      <c r="W2348" t="s">
        <v>423</v>
      </c>
    </row>
    <row r="2349" spans="1:23" hidden="1" x14ac:dyDescent="0.2">
      <c r="A2349">
        <v>2012</v>
      </c>
      <c r="B2349" t="s">
        <v>303</v>
      </c>
      <c r="C2349" s="733">
        <v>40935</v>
      </c>
      <c r="D23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49" t="s">
        <v>505</v>
      </c>
      <c r="F2349" t="s">
        <v>1915</v>
      </c>
      <c r="G2349" t="s">
        <v>3064</v>
      </c>
      <c r="H2349">
        <v>22245</v>
      </c>
      <c r="I2349" t="s">
        <v>423</v>
      </c>
      <c r="J2349" t="s">
        <v>1943</v>
      </c>
      <c r="K2349" t="s">
        <v>1918</v>
      </c>
      <c r="L2349" t="s">
        <v>1919</v>
      </c>
      <c r="M2349">
        <v>319</v>
      </c>
      <c r="N2349">
        <v>53.96</v>
      </c>
      <c r="O2349">
        <v>15823.23</v>
      </c>
      <c r="P2349">
        <v>0</v>
      </c>
      <c r="Q2349">
        <v>15823.23</v>
      </c>
      <c r="R2349">
        <v>2531.7199999999998</v>
      </c>
      <c r="S2349">
        <v>632.92999999999995</v>
      </c>
      <c r="T2349">
        <v>17722.02</v>
      </c>
      <c r="U2349" t="s">
        <v>1926</v>
      </c>
      <c r="V2349" t="s">
        <v>9409</v>
      </c>
      <c r="W2349" t="s">
        <v>423</v>
      </c>
    </row>
    <row r="2350" spans="1:23" x14ac:dyDescent="0.2">
      <c r="A2350">
        <v>2012</v>
      </c>
      <c r="B2350" t="s">
        <v>304</v>
      </c>
      <c r="C2350" s="733">
        <v>40967</v>
      </c>
      <c r="D23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50" t="s">
        <v>485</v>
      </c>
      <c r="F2350" t="s">
        <v>2054</v>
      </c>
      <c r="G2350" t="s">
        <v>9124</v>
      </c>
      <c r="H2350">
        <v>10583</v>
      </c>
      <c r="I2350" t="s">
        <v>423</v>
      </c>
      <c r="J2350" t="s">
        <v>2072</v>
      </c>
      <c r="K2350" t="s">
        <v>2057</v>
      </c>
      <c r="L2350" t="s">
        <v>2058</v>
      </c>
      <c r="M2350">
        <v>406</v>
      </c>
      <c r="N2350">
        <v>22.93</v>
      </c>
      <c r="O2350">
        <v>6266.31</v>
      </c>
      <c r="P2350">
        <v>0</v>
      </c>
      <c r="Q2350">
        <v>6266.31</v>
      </c>
      <c r="R2350">
        <v>689.29</v>
      </c>
      <c r="S2350">
        <v>250.65</v>
      </c>
      <c r="T2350">
        <v>6704.95</v>
      </c>
      <c r="V2350" t="s">
        <v>9408</v>
      </c>
      <c r="W2350" t="s">
        <v>423</v>
      </c>
    </row>
    <row r="2351" spans="1:23" hidden="1" x14ac:dyDescent="0.2">
      <c r="A2351">
        <v>2012</v>
      </c>
      <c r="B2351" t="s">
        <v>304</v>
      </c>
      <c r="C2351" s="733">
        <v>40941.521863425929</v>
      </c>
      <c r="D23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51" t="s">
        <v>485</v>
      </c>
      <c r="F2351" t="s">
        <v>2048</v>
      </c>
      <c r="G2351" t="s">
        <v>6251</v>
      </c>
      <c r="H2351">
        <v>41320</v>
      </c>
      <c r="I2351" t="s">
        <v>423</v>
      </c>
      <c r="J2351" t="s">
        <v>4091</v>
      </c>
      <c r="K2351" t="s">
        <v>2051</v>
      </c>
      <c r="L2351" t="s">
        <v>2052</v>
      </c>
      <c r="M2351">
        <v>1092</v>
      </c>
      <c r="N2351">
        <v>29.4</v>
      </c>
      <c r="O2351">
        <v>17154.900000000001</v>
      </c>
      <c r="P2351">
        <v>0</v>
      </c>
      <c r="Q2351">
        <v>17154.900000000001</v>
      </c>
      <c r="R2351">
        <v>2744.78</v>
      </c>
      <c r="S2351">
        <v>686.2</v>
      </c>
      <c r="T2351">
        <v>19213.48</v>
      </c>
      <c r="U2351" t="s">
        <v>8257</v>
      </c>
      <c r="V2351" t="s">
        <v>9409</v>
      </c>
      <c r="W2351" t="s">
        <v>423</v>
      </c>
    </row>
    <row r="2352" spans="1:23" hidden="1" x14ac:dyDescent="0.2">
      <c r="A2352">
        <v>2012</v>
      </c>
      <c r="B2352" t="s">
        <v>303</v>
      </c>
      <c r="C2352" s="733">
        <v>40938</v>
      </c>
      <c r="D23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52" t="s">
        <v>485</v>
      </c>
      <c r="F2352" t="s">
        <v>2054</v>
      </c>
      <c r="G2352" t="s">
        <v>6255</v>
      </c>
      <c r="H2352">
        <v>41114</v>
      </c>
      <c r="I2352" t="s">
        <v>423</v>
      </c>
      <c r="J2352" t="s">
        <v>4091</v>
      </c>
      <c r="K2352" t="s">
        <v>2051</v>
      </c>
      <c r="L2352" t="s">
        <v>2052</v>
      </c>
      <c r="M2352">
        <v>1092</v>
      </c>
      <c r="N2352">
        <v>24.85</v>
      </c>
      <c r="O2352">
        <v>14499.98</v>
      </c>
      <c r="P2352">
        <v>0</v>
      </c>
      <c r="Q2352">
        <v>14499.98</v>
      </c>
      <c r="R2352">
        <v>2320</v>
      </c>
      <c r="S2352">
        <v>580</v>
      </c>
      <c r="T2352">
        <v>16239.98</v>
      </c>
      <c r="U2352" t="s">
        <v>2064</v>
      </c>
      <c r="V2352" t="s">
        <v>9408</v>
      </c>
      <c r="W2352" t="s">
        <v>423</v>
      </c>
    </row>
    <row r="2353" spans="1:23" hidden="1" x14ac:dyDescent="0.2">
      <c r="A2353">
        <v>2012</v>
      </c>
      <c r="B2353" t="s">
        <v>304</v>
      </c>
      <c r="C2353" s="733">
        <v>40952.476666666669</v>
      </c>
      <c r="D23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53" t="s">
        <v>485</v>
      </c>
      <c r="F2353" t="s">
        <v>2054</v>
      </c>
      <c r="G2353" t="s">
        <v>2161</v>
      </c>
      <c r="H2353">
        <v>10407</v>
      </c>
      <c r="I2353" t="s">
        <v>423</v>
      </c>
      <c r="J2353" t="s">
        <v>2072</v>
      </c>
      <c r="K2353" t="s">
        <v>2057</v>
      </c>
      <c r="L2353" t="s">
        <v>2058</v>
      </c>
      <c r="M2353">
        <v>406</v>
      </c>
      <c r="N2353">
        <v>46.85</v>
      </c>
      <c r="O2353">
        <v>12803.17</v>
      </c>
      <c r="P2353">
        <v>0</v>
      </c>
      <c r="Q2353">
        <v>12803.17</v>
      </c>
      <c r="R2353">
        <v>1408.35</v>
      </c>
      <c r="S2353">
        <v>512.13</v>
      </c>
      <c r="T2353">
        <v>13699.39</v>
      </c>
      <c r="U2353" t="s">
        <v>8047</v>
      </c>
      <c r="V2353" t="s">
        <v>9409</v>
      </c>
      <c r="W2353" t="s">
        <v>423</v>
      </c>
    </row>
    <row r="2354" spans="1:23" hidden="1" x14ac:dyDescent="0.2">
      <c r="A2354">
        <v>2012</v>
      </c>
      <c r="B2354" t="s">
        <v>303</v>
      </c>
      <c r="C2354" s="733">
        <v>40924</v>
      </c>
      <c r="D23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54" t="s">
        <v>485</v>
      </c>
      <c r="F2354" t="s">
        <v>2054</v>
      </c>
      <c r="G2354" t="s">
        <v>2169</v>
      </c>
      <c r="H2354">
        <v>10010</v>
      </c>
      <c r="I2354" t="s">
        <v>423</v>
      </c>
      <c r="J2354" t="s">
        <v>2072</v>
      </c>
      <c r="K2354" t="s">
        <v>2057</v>
      </c>
      <c r="L2354" t="s">
        <v>2058</v>
      </c>
      <c r="M2354">
        <v>406</v>
      </c>
      <c r="N2354">
        <v>23.51</v>
      </c>
      <c r="O2354">
        <v>6424.81</v>
      </c>
      <c r="P2354">
        <v>0</v>
      </c>
      <c r="Q2354">
        <v>6424.81</v>
      </c>
      <c r="R2354">
        <v>1027.97</v>
      </c>
      <c r="S2354">
        <v>256.99</v>
      </c>
      <c r="T2354">
        <v>7195.79</v>
      </c>
      <c r="U2354" t="s">
        <v>2059</v>
      </c>
      <c r="V2354" t="s">
        <v>9409</v>
      </c>
      <c r="W2354" t="s">
        <v>423</v>
      </c>
    </row>
    <row r="2355" spans="1:23" hidden="1" x14ac:dyDescent="0.2">
      <c r="A2355">
        <v>2012</v>
      </c>
      <c r="B2355" t="s">
        <v>304</v>
      </c>
      <c r="C2355" s="733">
        <v>40957</v>
      </c>
      <c r="D23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55" t="s">
        <v>505</v>
      </c>
      <c r="F2355" t="s">
        <v>1915</v>
      </c>
      <c r="G2355" t="s">
        <v>7593</v>
      </c>
      <c r="H2355">
        <v>22832</v>
      </c>
      <c r="I2355" t="s">
        <v>423</v>
      </c>
      <c r="J2355" t="s">
        <v>1943</v>
      </c>
      <c r="K2355" t="s">
        <v>1918</v>
      </c>
      <c r="L2355" t="s">
        <v>1919</v>
      </c>
      <c r="M2355">
        <v>319</v>
      </c>
      <c r="N2355">
        <v>52.23</v>
      </c>
      <c r="O2355">
        <v>15315.93</v>
      </c>
      <c r="P2355">
        <v>0</v>
      </c>
      <c r="Q2355">
        <v>15315.93</v>
      </c>
      <c r="R2355">
        <v>2450.5500000000002</v>
      </c>
      <c r="S2355">
        <v>612.64</v>
      </c>
      <c r="T2355">
        <v>17153.84</v>
      </c>
      <c r="U2355" t="s">
        <v>8491</v>
      </c>
      <c r="V2355" t="s">
        <v>9409</v>
      </c>
      <c r="W2355" t="s">
        <v>423</v>
      </c>
    </row>
    <row r="2356" spans="1:23" hidden="1" x14ac:dyDescent="0.2">
      <c r="A2356">
        <v>2012</v>
      </c>
      <c r="B2356" t="s">
        <v>303</v>
      </c>
      <c r="C2356" s="733">
        <v>40924</v>
      </c>
      <c r="D23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56" t="s">
        <v>505</v>
      </c>
      <c r="F2356" t="s">
        <v>1915</v>
      </c>
      <c r="G2356" t="s">
        <v>3063</v>
      </c>
      <c r="H2356">
        <v>22008</v>
      </c>
      <c r="I2356" t="s">
        <v>423</v>
      </c>
      <c r="J2356" t="s">
        <v>1943</v>
      </c>
      <c r="K2356" t="s">
        <v>1918</v>
      </c>
      <c r="L2356" t="s">
        <v>1919</v>
      </c>
      <c r="M2356">
        <v>319</v>
      </c>
      <c r="N2356">
        <v>54.25</v>
      </c>
      <c r="O2356">
        <v>15908.27</v>
      </c>
      <c r="P2356">
        <v>0</v>
      </c>
      <c r="Q2356">
        <v>15908.27</v>
      </c>
      <c r="R2356">
        <v>2545.3200000000002</v>
      </c>
      <c r="S2356">
        <v>636.33000000000004</v>
      </c>
      <c r="T2356">
        <v>17817.259999999998</v>
      </c>
      <c r="U2356" t="s">
        <v>1936</v>
      </c>
      <c r="V2356" t="s">
        <v>9409</v>
      </c>
      <c r="W2356" t="s">
        <v>423</v>
      </c>
    </row>
    <row r="2357" spans="1:23" hidden="1" x14ac:dyDescent="0.2">
      <c r="A2357">
        <v>2012</v>
      </c>
      <c r="B2357" t="s">
        <v>304</v>
      </c>
      <c r="C2357" s="733">
        <v>40949</v>
      </c>
      <c r="D23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57" t="s">
        <v>505</v>
      </c>
      <c r="F2357" t="s">
        <v>1915</v>
      </c>
      <c r="G2357" t="s">
        <v>3062</v>
      </c>
      <c r="H2357">
        <v>22606</v>
      </c>
      <c r="I2357" t="s">
        <v>423</v>
      </c>
      <c r="J2357" t="s">
        <v>1943</v>
      </c>
      <c r="K2357" t="s">
        <v>1918</v>
      </c>
      <c r="L2357" t="s">
        <v>1919</v>
      </c>
      <c r="M2357">
        <v>319</v>
      </c>
      <c r="N2357">
        <v>26.8</v>
      </c>
      <c r="O2357">
        <v>7858.83</v>
      </c>
      <c r="P2357">
        <v>0</v>
      </c>
      <c r="Q2357">
        <v>7858.83</v>
      </c>
      <c r="R2357">
        <v>1257.4100000000001</v>
      </c>
      <c r="S2357">
        <v>314.35000000000002</v>
      </c>
      <c r="T2357">
        <v>8801.89</v>
      </c>
      <c r="U2357" t="s">
        <v>7522</v>
      </c>
      <c r="V2357" t="s">
        <v>9408</v>
      </c>
      <c r="W2357" t="s">
        <v>423</v>
      </c>
    </row>
    <row r="2358" spans="1:23" hidden="1" x14ac:dyDescent="0.2">
      <c r="A2358">
        <v>2012</v>
      </c>
      <c r="B2358" t="s">
        <v>303</v>
      </c>
      <c r="C2358" s="733">
        <v>40939</v>
      </c>
      <c r="D23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58" t="s">
        <v>505</v>
      </c>
      <c r="F2358" t="s">
        <v>1915</v>
      </c>
      <c r="G2358" t="s">
        <v>3061</v>
      </c>
      <c r="H2358">
        <v>22370</v>
      </c>
      <c r="I2358" t="s">
        <v>423</v>
      </c>
      <c r="J2358" t="s">
        <v>1943</v>
      </c>
      <c r="K2358" t="s">
        <v>1918</v>
      </c>
      <c r="L2358" t="s">
        <v>1919</v>
      </c>
      <c r="M2358">
        <v>319</v>
      </c>
      <c r="N2358">
        <v>54.28</v>
      </c>
      <c r="O2358">
        <v>15917.07</v>
      </c>
      <c r="P2358">
        <v>0</v>
      </c>
      <c r="Q2358">
        <v>15917.07</v>
      </c>
      <c r="R2358">
        <v>2546.73</v>
      </c>
      <c r="S2358">
        <v>636.67999999999995</v>
      </c>
      <c r="T2358">
        <v>17827.12</v>
      </c>
      <c r="U2358" t="s">
        <v>1924</v>
      </c>
      <c r="V2358" t="s">
        <v>9409</v>
      </c>
      <c r="W2358" t="s">
        <v>423</v>
      </c>
    </row>
    <row r="2359" spans="1:23" hidden="1" x14ac:dyDescent="0.2">
      <c r="A2359">
        <v>2012</v>
      </c>
      <c r="B2359" t="s">
        <v>303</v>
      </c>
      <c r="C2359" s="733">
        <v>40919</v>
      </c>
      <c r="D23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59" t="s">
        <v>485</v>
      </c>
      <c r="F2359" t="s">
        <v>2054</v>
      </c>
      <c r="G2359" t="s">
        <v>2164</v>
      </c>
      <c r="H2359">
        <v>9954</v>
      </c>
      <c r="I2359" t="s">
        <v>423</v>
      </c>
      <c r="J2359" t="s">
        <v>2072</v>
      </c>
      <c r="K2359" t="s">
        <v>2057</v>
      </c>
      <c r="L2359" t="s">
        <v>2058</v>
      </c>
      <c r="M2359">
        <v>406</v>
      </c>
      <c r="N2359">
        <v>22.84</v>
      </c>
      <c r="O2359">
        <v>6241.72</v>
      </c>
      <c r="P2359">
        <v>0</v>
      </c>
      <c r="Q2359">
        <v>6241.72</v>
      </c>
      <c r="R2359">
        <v>998.67</v>
      </c>
      <c r="S2359">
        <v>249.67</v>
      </c>
      <c r="T2359">
        <v>6990.72</v>
      </c>
      <c r="U2359" t="s">
        <v>2070</v>
      </c>
      <c r="V2359" t="s">
        <v>9409</v>
      </c>
      <c r="W2359" t="s">
        <v>423</v>
      </c>
    </row>
    <row r="2360" spans="1:23" hidden="1" x14ac:dyDescent="0.2">
      <c r="A2360">
        <v>2012</v>
      </c>
      <c r="B2360" t="s">
        <v>303</v>
      </c>
      <c r="C2360" s="733">
        <v>40939</v>
      </c>
      <c r="D23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60" t="s">
        <v>485</v>
      </c>
      <c r="F2360" t="s">
        <v>2054</v>
      </c>
      <c r="G2360" t="s">
        <v>2162</v>
      </c>
      <c r="H2360">
        <v>10013</v>
      </c>
      <c r="I2360" t="s">
        <v>423</v>
      </c>
      <c r="J2360" t="s">
        <v>2072</v>
      </c>
      <c r="K2360" t="s">
        <v>2057</v>
      </c>
      <c r="L2360" t="s">
        <v>2058</v>
      </c>
      <c r="M2360">
        <v>406</v>
      </c>
      <c r="N2360">
        <v>49.22</v>
      </c>
      <c r="O2360">
        <v>13450.84</v>
      </c>
      <c r="P2360">
        <v>0</v>
      </c>
      <c r="Q2360">
        <v>13450.84</v>
      </c>
      <c r="R2360">
        <v>2152.13</v>
      </c>
      <c r="S2360">
        <v>538.03</v>
      </c>
      <c r="T2360">
        <v>15064.94</v>
      </c>
      <c r="U2360" t="s">
        <v>2073</v>
      </c>
      <c r="V2360" t="s">
        <v>9409</v>
      </c>
      <c r="W2360" t="s">
        <v>423</v>
      </c>
    </row>
    <row r="2361" spans="1:23" hidden="1" x14ac:dyDescent="0.2">
      <c r="A2361">
        <v>2012</v>
      </c>
      <c r="B2361" t="s">
        <v>304</v>
      </c>
      <c r="C2361" s="733">
        <v>40950.624942129631</v>
      </c>
      <c r="D23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61" t="s">
        <v>485</v>
      </c>
      <c r="F2361" t="s">
        <v>2054</v>
      </c>
      <c r="G2361" t="s">
        <v>2163</v>
      </c>
      <c r="H2361">
        <v>10392</v>
      </c>
      <c r="I2361" t="s">
        <v>423</v>
      </c>
      <c r="J2361" t="s">
        <v>2072</v>
      </c>
      <c r="K2361" t="s">
        <v>2057</v>
      </c>
      <c r="L2361" t="s">
        <v>2058</v>
      </c>
      <c r="M2361">
        <v>406</v>
      </c>
      <c r="N2361">
        <v>47.72</v>
      </c>
      <c r="O2361">
        <v>13040.92</v>
      </c>
      <c r="P2361">
        <v>0</v>
      </c>
      <c r="Q2361">
        <v>13040.92</v>
      </c>
      <c r="R2361">
        <v>1434.5</v>
      </c>
      <c r="S2361">
        <v>521.64</v>
      </c>
      <c r="T2361">
        <v>13953.78</v>
      </c>
      <c r="U2361" t="s">
        <v>8047</v>
      </c>
      <c r="V2361" t="s">
        <v>9409</v>
      </c>
      <c r="W2361" t="s">
        <v>423</v>
      </c>
    </row>
    <row r="2362" spans="1:23" hidden="1" x14ac:dyDescent="0.2">
      <c r="A2362">
        <v>2012</v>
      </c>
      <c r="B2362" t="s">
        <v>304</v>
      </c>
      <c r="C2362" s="733">
        <v>40952.467233796298</v>
      </c>
      <c r="D23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62" t="s">
        <v>485</v>
      </c>
      <c r="F2362" t="s">
        <v>2054</v>
      </c>
      <c r="G2362" t="s">
        <v>2175</v>
      </c>
      <c r="H2362">
        <v>10400</v>
      </c>
      <c r="I2362" t="s">
        <v>423</v>
      </c>
      <c r="J2362" t="s">
        <v>2072</v>
      </c>
      <c r="K2362" t="s">
        <v>2057</v>
      </c>
      <c r="L2362" t="s">
        <v>2058</v>
      </c>
      <c r="M2362">
        <v>406</v>
      </c>
      <c r="N2362">
        <v>23.7</v>
      </c>
      <c r="O2362">
        <v>6476.74</v>
      </c>
      <c r="P2362">
        <v>0</v>
      </c>
      <c r="Q2362">
        <v>6476.74</v>
      </c>
      <c r="R2362">
        <v>712.44</v>
      </c>
      <c r="S2362">
        <v>259.07</v>
      </c>
      <c r="T2362">
        <v>6930.11</v>
      </c>
      <c r="U2362" t="s">
        <v>8047</v>
      </c>
      <c r="V2362" t="s">
        <v>9408</v>
      </c>
      <c r="W2362" t="s">
        <v>423</v>
      </c>
    </row>
    <row r="2363" spans="1:23" hidden="1" x14ac:dyDescent="0.2">
      <c r="A2363">
        <v>2012</v>
      </c>
      <c r="B2363" t="s">
        <v>303</v>
      </c>
      <c r="C2363" s="733">
        <v>40935</v>
      </c>
      <c r="D23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63" t="s">
        <v>485</v>
      </c>
      <c r="F2363" t="s">
        <v>2054</v>
      </c>
      <c r="G2363" t="s">
        <v>6071</v>
      </c>
      <c r="H2363">
        <v>10222</v>
      </c>
      <c r="I2363" t="s">
        <v>423</v>
      </c>
      <c r="J2363" t="s">
        <v>2072</v>
      </c>
      <c r="K2363" t="s">
        <v>2057</v>
      </c>
      <c r="L2363" t="s">
        <v>2058</v>
      </c>
      <c r="M2363">
        <v>406</v>
      </c>
      <c r="N2363">
        <v>46.01</v>
      </c>
      <c r="O2363">
        <v>12573.61</v>
      </c>
      <c r="P2363">
        <v>0</v>
      </c>
      <c r="Q2363">
        <v>12573.61</v>
      </c>
      <c r="R2363">
        <v>2011.78</v>
      </c>
      <c r="S2363">
        <v>502.94</v>
      </c>
      <c r="T2363">
        <v>14082.45</v>
      </c>
      <c r="U2363" t="s">
        <v>2073</v>
      </c>
      <c r="V2363" t="s">
        <v>9409</v>
      </c>
      <c r="W2363" t="s">
        <v>423</v>
      </c>
    </row>
    <row r="2364" spans="1:23" hidden="1" x14ac:dyDescent="0.2">
      <c r="A2364">
        <v>2012</v>
      </c>
      <c r="B2364" t="s">
        <v>303</v>
      </c>
      <c r="C2364" s="733">
        <v>40924</v>
      </c>
      <c r="D23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64" t="s">
        <v>485</v>
      </c>
      <c r="F2364" t="s">
        <v>2048</v>
      </c>
      <c r="G2364" t="s">
        <v>6074</v>
      </c>
      <c r="H2364">
        <v>40409</v>
      </c>
      <c r="I2364" t="s">
        <v>423</v>
      </c>
      <c r="J2364" t="s">
        <v>4091</v>
      </c>
      <c r="K2364" t="s">
        <v>2051</v>
      </c>
      <c r="L2364" t="s">
        <v>2052</v>
      </c>
      <c r="M2364">
        <v>1092</v>
      </c>
      <c r="N2364">
        <v>29.15</v>
      </c>
      <c r="O2364">
        <v>17009.02</v>
      </c>
      <c r="P2364">
        <v>0</v>
      </c>
      <c r="Q2364">
        <v>17009.02</v>
      </c>
      <c r="R2364">
        <v>2721.44</v>
      </c>
      <c r="S2364">
        <v>680.36</v>
      </c>
      <c r="T2364">
        <v>19050.099999999999</v>
      </c>
      <c r="U2364" t="s">
        <v>2062</v>
      </c>
      <c r="V2364" t="s">
        <v>9408</v>
      </c>
      <c r="W2364" t="s">
        <v>423</v>
      </c>
    </row>
    <row r="2365" spans="1:23" hidden="1" x14ac:dyDescent="0.2">
      <c r="A2365">
        <v>2012</v>
      </c>
      <c r="B2365" t="s">
        <v>303</v>
      </c>
      <c r="C2365" s="733">
        <v>40928</v>
      </c>
      <c r="D23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65" t="s">
        <v>485</v>
      </c>
      <c r="F2365" t="s">
        <v>2065</v>
      </c>
      <c r="G2365" t="s">
        <v>5339</v>
      </c>
      <c r="H2365">
        <v>39756</v>
      </c>
      <c r="I2365" t="s">
        <v>423</v>
      </c>
      <c r="J2365" t="s">
        <v>3972</v>
      </c>
      <c r="K2365" t="s">
        <v>2183</v>
      </c>
      <c r="L2365" t="s">
        <v>2184</v>
      </c>
      <c r="M2365">
        <v>184</v>
      </c>
      <c r="N2365">
        <v>26.78</v>
      </c>
      <c r="O2365">
        <v>4764.7</v>
      </c>
      <c r="P2365">
        <v>0</v>
      </c>
      <c r="Q2365">
        <v>4764.7</v>
      </c>
      <c r="R2365">
        <v>762.35</v>
      </c>
      <c r="S2365">
        <v>190.59</v>
      </c>
      <c r="T2365">
        <v>5336.46</v>
      </c>
      <c r="U2365" t="s">
        <v>7554</v>
      </c>
      <c r="V2365" t="s">
        <v>9408</v>
      </c>
      <c r="W2365" t="s">
        <v>423</v>
      </c>
    </row>
    <row r="2366" spans="1:23" hidden="1" x14ac:dyDescent="0.2">
      <c r="A2366">
        <v>2012</v>
      </c>
      <c r="B2366" t="s">
        <v>303</v>
      </c>
      <c r="C2366" s="733">
        <v>40926</v>
      </c>
      <c r="D23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66" t="s">
        <v>505</v>
      </c>
      <c r="F2366" t="s">
        <v>1915</v>
      </c>
      <c r="G2366" t="s">
        <v>2010</v>
      </c>
      <c r="H2366">
        <v>22045</v>
      </c>
      <c r="I2366" t="s">
        <v>423</v>
      </c>
      <c r="J2366" t="s">
        <v>1943</v>
      </c>
      <c r="K2366" t="s">
        <v>1918</v>
      </c>
      <c r="L2366" t="s">
        <v>1919</v>
      </c>
      <c r="M2366">
        <v>319</v>
      </c>
      <c r="N2366">
        <v>53.82</v>
      </c>
      <c r="O2366">
        <v>15782.18</v>
      </c>
      <c r="P2366">
        <v>0</v>
      </c>
      <c r="Q2366">
        <v>15782.18</v>
      </c>
      <c r="R2366">
        <v>2525.15</v>
      </c>
      <c r="S2366">
        <v>631.29</v>
      </c>
      <c r="T2366">
        <v>17676.04</v>
      </c>
      <c r="U2366" t="s">
        <v>1936</v>
      </c>
      <c r="V2366" t="s">
        <v>9409</v>
      </c>
      <c r="W2366" t="s">
        <v>423</v>
      </c>
    </row>
    <row r="2367" spans="1:23" hidden="1" x14ac:dyDescent="0.2">
      <c r="A2367">
        <v>2012</v>
      </c>
      <c r="B2367" t="s">
        <v>304</v>
      </c>
      <c r="C2367" s="733">
        <v>40957</v>
      </c>
      <c r="D23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67" t="s">
        <v>505</v>
      </c>
      <c r="F2367" t="s">
        <v>1915</v>
      </c>
      <c r="G2367" t="s">
        <v>7585</v>
      </c>
      <c r="H2367">
        <v>22815</v>
      </c>
      <c r="I2367" t="s">
        <v>424</v>
      </c>
      <c r="J2367" t="s">
        <v>7586</v>
      </c>
      <c r="K2367" t="s">
        <v>1918</v>
      </c>
      <c r="L2367" t="s">
        <v>1919</v>
      </c>
      <c r="M2367">
        <v>855</v>
      </c>
      <c r="N2367">
        <v>30</v>
      </c>
      <c r="O2367">
        <v>12429.9</v>
      </c>
      <c r="P2367">
        <v>0</v>
      </c>
      <c r="Q2367">
        <v>12429.9</v>
      </c>
      <c r="R2367">
        <v>1988.78</v>
      </c>
      <c r="S2367">
        <v>497.2</v>
      </c>
      <c r="T2367">
        <v>13921.48</v>
      </c>
      <c r="U2367" t="s">
        <v>8491</v>
      </c>
      <c r="V2367" t="s">
        <v>9408</v>
      </c>
      <c r="W2367" t="s">
        <v>424</v>
      </c>
    </row>
    <row r="2368" spans="1:23" hidden="1" x14ac:dyDescent="0.2">
      <c r="A2368">
        <v>2012</v>
      </c>
      <c r="B2368" t="s">
        <v>305</v>
      </c>
      <c r="C2368" s="733">
        <v>40969</v>
      </c>
      <c r="D2368" s="733" t="str">
        <f>CHOOSE(MONTH(Tabla_sqldatos_bonampakdb_Bon_v_ingresos2012[[#This Row],[fecha_guia]]),"Enero","Febrero","Marzo","Abril","Mayo","Junio","Julio","Agosto","Septiembre","Octubre","Noviembre","Diciembre")</f>
        <v>Marzo</v>
      </c>
      <c r="E2368" t="s">
        <v>505</v>
      </c>
      <c r="F2368" t="s">
        <v>1915</v>
      </c>
      <c r="G2368" t="s">
        <v>9571</v>
      </c>
      <c r="H2368">
        <v>23105</v>
      </c>
      <c r="I2368" t="s">
        <v>423</v>
      </c>
      <c r="J2368" t="s">
        <v>1943</v>
      </c>
      <c r="K2368" t="s">
        <v>1918</v>
      </c>
      <c r="L2368" t="s">
        <v>1919</v>
      </c>
      <c r="M2368">
        <v>319</v>
      </c>
      <c r="N2368">
        <v>53.74</v>
      </c>
      <c r="O2368">
        <v>15758.72</v>
      </c>
      <c r="P2368">
        <v>0</v>
      </c>
      <c r="Q2368">
        <v>15758.72</v>
      </c>
      <c r="R2368">
        <v>2521.39</v>
      </c>
      <c r="S2368">
        <v>630.35</v>
      </c>
      <c r="T2368">
        <v>17649.759999999998</v>
      </c>
      <c r="V2368" t="s">
        <v>9409</v>
      </c>
      <c r="W2368" t="s">
        <v>423</v>
      </c>
    </row>
    <row r="2369" spans="1:23" hidden="1" x14ac:dyDescent="0.2">
      <c r="A2369">
        <v>2012</v>
      </c>
      <c r="B2369" t="s">
        <v>304</v>
      </c>
      <c r="C2369" s="733">
        <v>40968</v>
      </c>
      <c r="D23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69" t="s">
        <v>505</v>
      </c>
      <c r="F2369" t="s">
        <v>1915</v>
      </c>
      <c r="G2369" t="s">
        <v>9345</v>
      </c>
      <c r="H2369">
        <v>23051</v>
      </c>
      <c r="I2369" t="s">
        <v>423</v>
      </c>
      <c r="J2369" t="s">
        <v>1943</v>
      </c>
      <c r="K2369" t="s">
        <v>1918</v>
      </c>
      <c r="L2369" t="s">
        <v>1919</v>
      </c>
      <c r="M2369">
        <v>319</v>
      </c>
      <c r="N2369">
        <v>54.56</v>
      </c>
      <c r="O2369">
        <v>15999.17</v>
      </c>
      <c r="P2369">
        <v>0</v>
      </c>
      <c r="Q2369">
        <v>15999.17</v>
      </c>
      <c r="R2369">
        <v>2559.87</v>
      </c>
      <c r="S2369">
        <v>639.97</v>
      </c>
      <c r="T2369">
        <v>17919.07</v>
      </c>
      <c r="V2369" t="s">
        <v>9409</v>
      </c>
      <c r="W2369" t="s">
        <v>423</v>
      </c>
    </row>
    <row r="2370" spans="1:23" hidden="1" x14ac:dyDescent="0.2">
      <c r="A2370">
        <v>2012</v>
      </c>
      <c r="B2370" t="s">
        <v>304</v>
      </c>
      <c r="C2370" s="733">
        <v>40959</v>
      </c>
      <c r="D23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70" t="s">
        <v>485</v>
      </c>
      <c r="F2370" t="s">
        <v>2065</v>
      </c>
      <c r="G2370" t="s">
        <v>7624</v>
      </c>
      <c r="H2370">
        <v>42036</v>
      </c>
      <c r="I2370" t="s">
        <v>423</v>
      </c>
      <c r="J2370" t="s">
        <v>2126</v>
      </c>
      <c r="K2370" t="s">
        <v>2102</v>
      </c>
      <c r="L2370" t="s">
        <v>2115</v>
      </c>
      <c r="M2370">
        <v>930</v>
      </c>
      <c r="N2370">
        <v>25.32</v>
      </c>
      <c r="O2370">
        <v>14864.87</v>
      </c>
      <c r="P2370">
        <v>0</v>
      </c>
      <c r="Q2370">
        <v>14864.87</v>
      </c>
      <c r="R2370">
        <v>2378.38</v>
      </c>
      <c r="S2370">
        <v>594.59</v>
      </c>
      <c r="T2370">
        <v>16648.66</v>
      </c>
      <c r="U2370" t="s">
        <v>8883</v>
      </c>
      <c r="V2370" t="s">
        <v>9408</v>
      </c>
      <c r="W2370" t="s">
        <v>423</v>
      </c>
    </row>
    <row r="2371" spans="1:23" hidden="1" x14ac:dyDescent="0.2">
      <c r="A2371">
        <v>2012</v>
      </c>
      <c r="B2371" t="s">
        <v>303</v>
      </c>
      <c r="C2371" s="733">
        <v>40919</v>
      </c>
      <c r="D23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71" t="s">
        <v>478</v>
      </c>
      <c r="F2371" t="s">
        <v>2136</v>
      </c>
      <c r="G2371" t="s">
        <v>7206</v>
      </c>
      <c r="H2371">
        <v>34407</v>
      </c>
      <c r="I2371" t="s">
        <v>423</v>
      </c>
      <c r="J2371" t="s">
        <v>5684</v>
      </c>
      <c r="K2371" t="s">
        <v>425</v>
      </c>
      <c r="L2371" t="s">
        <v>2145</v>
      </c>
      <c r="M2371">
        <v>484</v>
      </c>
      <c r="N2371">
        <v>24.46</v>
      </c>
      <c r="O2371">
        <v>7379.34</v>
      </c>
      <c r="P2371">
        <v>0</v>
      </c>
      <c r="Q2371">
        <v>7379.34</v>
      </c>
      <c r="R2371">
        <v>1180.69</v>
      </c>
      <c r="S2371">
        <v>295.17</v>
      </c>
      <c r="T2371">
        <v>8264.86</v>
      </c>
      <c r="U2371" t="s">
        <v>2352</v>
      </c>
      <c r="V2371" t="s">
        <v>9408</v>
      </c>
      <c r="W2371" t="s">
        <v>423</v>
      </c>
    </row>
    <row r="2372" spans="1:23" hidden="1" x14ac:dyDescent="0.2">
      <c r="A2372">
        <v>2012</v>
      </c>
      <c r="B2372" t="s">
        <v>303</v>
      </c>
      <c r="C2372" s="733">
        <v>40919</v>
      </c>
      <c r="D23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72" t="s">
        <v>485</v>
      </c>
      <c r="F2372" t="s">
        <v>2065</v>
      </c>
      <c r="G2372" t="s">
        <v>7204</v>
      </c>
      <c r="H2372">
        <v>40023</v>
      </c>
      <c r="I2372" t="s">
        <v>423</v>
      </c>
      <c r="J2372" t="s">
        <v>2126</v>
      </c>
      <c r="K2372" t="s">
        <v>2102</v>
      </c>
      <c r="L2372" t="s">
        <v>2115</v>
      </c>
      <c r="M2372">
        <v>930</v>
      </c>
      <c r="N2372">
        <v>25.18</v>
      </c>
      <c r="O2372">
        <v>14782.67</v>
      </c>
      <c r="P2372">
        <v>0</v>
      </c>
      <c r="Q2372">
        <v>14782.67</v>
      </c>
      <c r="R2372">
        <v>2365.23</v>
      </c>
      <c r="S2372">
        <v>591.30999999999995</v>
      </c>
      <c r="T2372">
        <v>16556.59</v>
      </c>
      <c r="U2372" t="s">
        <v>2106</v>
      </c>
      <c r="V2372" t="s">
        <v>9409</v>
      </c>
      <c r="W2372" t="s">
        <v>423</v>
      </c>
    </row>
    <row r="2373" spans="1:23" hidden="1" x14ac:dyDescent="0.2">
      <c r="A2373">
        <v>2012</v>
      </c>
      <c r="B2373" t="s">
        <v>304</v>
      </c>
      <c r="C2373" s="733">
        <v>40960</v>
      </c>
      <c r="D23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73" t="s">
        <v>478</v>
      </c>
      <c r="F2373" t="s">
        <v>2136</v>
      </c>
      <c r="G2373" t="s">
        <v>8351</v>
      </c>
      <c r="H2373">
        <v>35824</v>
      </c>
      <c r="I2373" t="s">
        <v>423</v>
      </c>
      <c r="J2373" t="s">
        <v>3480</v>
      </c>
      <c r="K2373" t="s">
        <v>3481</v>
      </c>
      <c r="L2373" t="s">
        <v>3482</v>
      </c>
      <c r="M2373">
        <v>75</v>
      </c>
      <c r="N2373">
        <v>29.184999999999999</v>
      </c>
      <c r="O2373">
        <v>3294.11</v>
      </c>
      <c r="P2373">
        <v>0</v>
      </c>
      <c r="Q2373">
        <v>3294.11</v>
      </c>
      <c r="R2373">
        <v>527.05999999999995</v>
      </c>
      <c r="S2373">
        <v>131.76</v>
      </c>
      <c r="T2373">
        <v>3689.41</v>
      </c>
      <c r="U2373" t="s">
        <v>8277</v>
      </c>
      <c r="V2373" t="s">
        <v>9408</v>
      </c>
      <c r="W2373" t="s">
        <v>423</v>
      </c>
    </row>
    <row r="2374" spans="1:23" hidden="1" x14ac:dyDescent="0.2">
      <c r="A2374">
        <v>2012</v>
      </c>
      <c r="B2374" t="s">
        <v>303</v>
      </c>
      <c r="C2374" s="733">
        <v>40936</v>
      </c>
      <c r="D23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74" t="s">
        <v>478</v>
      </c>
      <c r="F2374" t="s">
        <v>2136</v>
      </c>
      <c r="G2374" t="s">
        <v>5138</v>
      </c>
      <c r="H2374">
        <v>34534</v>
      </c>
      <c r="I2374" t="s">
        <v>423</v>
      </c>
      <c r="J2374" t="s">
        <v>3480</v>
      </c>
      <c r="K2374" t="s">
        <v>3481</v>
      </c>
      <c r="L2374" t="s">
        <v>3482</v>
      </c>
      <c r="M2374">
        <v>75</v>
      </c>
      <c r="N2374">
        <v>25.824999999999999</v>
      </c>
      <c r="O2374">
        <v>2914.87</v>
      </c>
      <c r="P2374">
        <v>0</v>
      </c>
      <c r="Q2374">
        <v>2914.87</v>
      </c>
      <c r="R2374">
        <v>466.38</v>
      </c>
      <c r="S2374">
        <v>116.59</v>
      </c>
      <c r="T2374">
        <v>3264.66</v>
      </c>
      <c r="U2374" t="s">
        <v>3784</v>
      </c>
      <c r="V2374" t="s">
        <v>9408</v>
      </c>
      <c r="W2374" t="s">
        <v>423</v>
      </c>
    </row>
    <row r="2375" spans="1:23" hidden="1" x14ac:dyDescent="0.2">
      <c r="A2375">
        <v>2012</v>
      </c>
      <c r="B2375" t="s">
        <v>304</v>
      </c>
      <c r="C2375" s="733">
        <v>40967.36922453704</v>
      </c>
      <c r="D23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75" t="s">
        <v>478</v>
      </c>
      <c r="F2375" t="s">
        <v>2136</v>
      </c>
      <c r="G2375" t="s">
        <v>9058</v>
      </c>
      <c r="H2375">
        <v>36085</v>
      </c>
      <c r="I2375" t="s">
        <v>423</v>
      </c>
      <c r="J2375" t="s">
        <v>3480</v>
      </c>
      <c r="K2375" t="s">
        <v>3481</v>
      </c>
      <c r="L2375" t="s">
        <v>3482</v>
      </c>
      <c r="M2375">
        <v>75</v>
      </c>
      <c r="N2375">
        <v>28.835000000000001</v>
      </c>
      <c r="O2375">
        <v>3254.61</v>
      </c>
      <c r="P2375">
        <v>0</v>
      </c>
      <c r="Q2375">
        <v>3254.61</v>
      </c>
      <c r="R2375">
        <v>520.74</v>
      </c>
      <c r="S2375">
        <v>130.18</v>
      </c>
      <c r="T2375">
        <v>3645.17</v>
      </c>
      <c r="U2375" t="s">
        <v>9462</v>
      </c>
      <c r="V2375" t="s">
        <v>9408</v>
      </c>
      <c r="W2375" t="s">
        <v>423</v>
      </c>
    </row>
    <row r="2376" spans="1:23" hidden="1" x14ac:dyDescent="0.2">
      <c r="A2376">
        <v>2012</v>
      </c>
      <c r="B2376" t="s">
        <v>304</v>
      </c>
      <c r="C2376" s="733">
        <v>40942</v>
      </c>
      <c r="D23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76" t="s">
        <v>485</v>
      </c>
      <c r="F2376" t="s">
        <v>2065</v>
      </c>
      <c r="G2376" t="s">
        <v>4700</v>
      </c>
      <c r="H2376">
        <v>41241</v>
      </c>
      <c r="I2376" t="s">
        <v>423</v>
      </c>
      <c r="J2376" t="s">
        <v>2126</v>
      </c>
      <c r="K2376" t="s">
        <v>2102</v>
      </c>
      <c r="L2376" t="s">
        <v>2115</v>
      </c>
      <c r="M2376">
        <v>930</v>
      </c>
      <c r="N2376">
        <v>25.83</v>
      </c>
      <c r="O2376">
        <v>15164.28</v>
      </c>
      <c r="P2376">
        <v>0</v>
      </c>
      <c r="Q2376">
        <v>15164.28</v>
      </c>
      <c r="R2376">
        <v>2426.2800000000002</v>
      </c>
      <c r="S2376">
        <v>606.57000000000005</v>
      </c>
      <c r="T2376">
        <v>16983.990000000002</v>
      </c>
      <c r="U2376" t="s">
        <v>8051</v>
      </c>
      <c r="V2376" t="s">
        <v>9409</v>
      </c>
      <c r="W2376" t="s">
        <v>423</v>
      </c>
    </row>
    <row r="2377" spans="1:23" hidden="1" x14ac:dyDescent="0.2">
      <c r="A2377">
        <v>2012</v>
      </c>
      <c r="B2377" t="s">
        <v>303</v>
      </c>
      <c r="C2377" s="733">
        <v>40919.396273148152</v>
      </c>
      <c r="D23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77" t="s">
        <v>485</v>
      </c>
      <c r="F2377" t="s">
        <v>2065</v>
      </c>
      <c r="G2377" t="s">
        <v>5115</v>
      </c>
      <c r="H2377">
        <v>40023</v>
      </c>
      <c r="I2377" t="s">
        <v>423</v>
      </c>
      <c r="J2377" t="s">
        <v>2126</v>
      </c>
      <c r="K2377" t="s">
        <v>2102</v>
      </c>
      <c r="L2377" t="s">
        <v>2115</v>
      </c>
      <c r="M2377">
        <v>930</v>
      </c>
      <c r="N2377">
        <v>25.59</v>
      </c>
      <c r="O2377">
        <v>15023.38</v>
      </c>
      <c r="P2377">
        <v>0</v>
      </c>
      <c r="Q2377">
        <v>15023.38</v>
      </c>
      <c r="R2377">
        <v>2403.7399999999998</v>
      </c>
      <c r="S2377">
        <v>600.94000000000005</v>
      </c>
      <c r="T2377">
        <v>16826.18</v>
      </c>
      <c r="U2377" t="s">
        <v>2106</v>
      </c>
      <c r="V2377" t="s">
        <v>9409</v>
      </c>
      <c r="W2377" t="s">
        <v>423</v>
      </c>
    </row>
    <row r="2378" spans="1:23" hidden="1" x14ac:dyDescent="0.2">
      <c r="A2378">
        <v>2012</v>
      </c>
      <c r="B2378" t="s">
        <v>303</v>
      </c>
      <c r="C2378" s="733">
        <v>40918</v>
      </c>
      <c r="D23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78" t="s">
        <v>485</v>
      </c>
      <c r="F2378" t="s">
        <v>2065</v>
      </c>
      <c r="G2378" t="s">
        <v>4685</v>
      </c>
      <c r="H2378">
        <v>39911</v>
      </c>
      <c r="I2378" t="s">
        <v>423</v>
      </c>
      <c r="J2378" t="s">
        <v>2126</v>
      </c>
      <c r="K2378" t="s">
        <v>2102</v>
      </c>
      <c r="L2378" t="s">
        <v>2115</v>
      </c>
      <c r="M2378">
        <v>930</v>
      </c>
      <c r="N2378">
        <v>49.92</v>
      </c>
      <c r="O2378">
        <v>29307.03</v>
      </c>
      <c r="P2378">
        <v>0</v>
      </c>
      <c r="Q2378">
        <v>29307.03</v>
      </c>
      <c r="R2378">
        <v>4689.13</v>
      </c>
      <c r="S2378">
        <v>1172.28</v>
      </c>
      <c r="T2378">
        <v>32823.879999999997</v>
      </c>
      <c r="U2378" t="s">
        <v>2106</v>
      </c>
      <c r="V2378" t="s">
        <v>9409</v>
      </c>
      <c r="W2378" t="s">
        <v>423</v>
      </c>
    </row>
    <row r="2379" spans="1:23" hidden="1" x14ac:dyDescent="0.2">
      <c r="A2379">
        <v>2012</v>
      </c>
      <c r="B2379" t="s">
        <v>304</v>
      </c>
      <c r="C2379" s="733">
        <v>40959</v>
      </c>
      <c r="D23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79" t="s">
        <v>485</v>
      </c>
      <c r="F2379" t="s">
        <v>2065</v>
      </c>
      <c r="G2379" t="s">
        <v>7485</v>
      </c>
      <c r="H2379">
        <v>41586</v>
      </c>
      <c r="I2379" t="s">
        <v>423</v>
      </c>
      <c r="J2379" t="s">
        <v>2124</v>
      </c>
      <c r="K2379" t="s">
        <v>2102</v>
      </c>
      <c r="L2379" t="s">
        <v>2115</v>
      </c>
      <c r="M2379">
        <v>981</v>
      </c>
      <c r="N2379">
        <v>26.84</v>
      </c>
      <c r="O2379">
        <v>17965.89</v>
      </c>
      <c r="P2379">
        <v>0</v>
      </c>
      <c r="Q2379">
        <v>17965.89</v>
      </c>
      <c r="R2379">
        <v>2874.54</v>
      </c>
      <c r="S2379">
        <v>718.64</v>
      </c>
      <c r="T2379">
        <v>20121.79</v>
      </c>
      <c r="U2379" t="s">
        <v>8883</v>
      </c>
      <c r="V2379" t="s">
        <v>9408</v>
      </c>
      <c r="W2379" t="s">
        <v>423</v>
      </c>
    </row>
    <row r="2380" spans="1:23" hidden="1" x14ac:dyDescent="0.2">
      <c r="A2380">
        <v>2012</v>
      </c>
      <c r="B2380" t="s">
        <v>303</v>
      </c>
      <c r="C2380" s="733">
        <v>40926</v>
      </c>
      <c r="D23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80" t="s">
        <v>485</v>
      </c>
      <c r="F2380" t="s">
        <v>3450</v>
      </c>
      <c r="G2380" t="s">
        <v>5132</v>
      </c>
      <c r="H2380">
        <v>40356</v>
      </c>
      <c r="I2380" t="s">
        <v>423</v>
      </c>
      <c r="J2380" t="s">
        <v>3462</v>
      </c>
      <c r="K2380" t="s">
        <v>3453</v>
      </c>
      <c r="L2380" t="s">
        <v>3454</v>
      </c>
      <c r="M2380">
        <v>425</v>
      </c>
      <c r="N2380">
        <v>53.63</v>
      </c>
      <c r="O2380">
        <v>14964.92</v>
      </c>
      <c r="P2380">
        <v>0</v>
      </c>
      <c r="Q2380">
        <v>14964.92</v>
      </c>
      <c r="R2380">
        <v>2394.39</v>
      </c>
      <c r="S2380">
        <v>598.6</v>
      </c>
      <c r="T2380">
        <v>16760.71</v>
      </c>
      <c r="U2380" t="s">
        <v>3459</v>
      </c>
      <c r="V2380" t="s">
        <v>9409</v>
      </c>
      <c r="W2380" t="s">
        <v>423</v>
      </c>
    </row>
    <row r="2381" spans="1:23" hidden="1" x14ac:dyDescent="0.2">
      <c r="A2381">
        <v>2012</v>
      </c>
      <c r="B2381" t="s">
        <v>303</v>
      </c>
      <c r="C2381" s="733">
        <v>40927</v>
      </c>
      <c r="D23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81" t="s">
        <v>478</v>
      </c>
      <c r="F2381" t="s">
        <v>2136</v>
      </c>
      <c r="G2381" t="s">
        <v>7207</v>
      </c>
      <c r="H2381">
        <v>34686</v>
      </c>
      <c r="I2381" t="s">
        <v>423</v>
      </c>
      <c r="J2381" t="s">
        <v>5684</v>
      </c>
      <c r="K2381" t="s">
        <v>425</v>
      </c>
      <c r="L2381" t="s">
        <v>2145</v>
      </c>
      <c r="M2381">
        <v>484</v>
      </c>
      <c r="N2381">
        <v>22.97</v>
      </c>
      <c r="O2381">
        <v>6929.82</v>
      </c>
      <c r="P2381">
        <v>0</v>
      </c>
      <c r="Q2381">
        <v>6929.82</v>
      </c>
      <c r="R2381">
        <v>1108.77</v>
      </c>
      <c r="S2381">
        <v>277.19</v>
      </c>
      <c r="T2381">
        <v>7761.4</v>
      </c>
      <c r="U2381" t="s">
        <v>2927</v>
      </c>
      <c r="V2381" t="s">
        <v>9408</v>
      </c>
      <c r="W2381" t="s">
        <v>423</v>
      </c>
    </row>
    <row r="2382" spans="1:23" hidden="1" x14ac:dyDescent="0.2">
      <c r="A2382">
        <v>2012</v>
      </c>
      <c r="B2382" t="s">
        <v>304</v>
      </c>
      <c r="C2382" s="733">
        <v>40949.460300925923</v>
      </c>
      <c r="D23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82" t="s">
        <v>485</v>
      </c>
      <c r="F2382" t="s">
        <v>2065</v>
      </c>
      <c r="G2382" t="s">
        <v>4686</v>
      </c>
      <c r="H2382">
        <v>41551</v>
      </c>
      <c r="I2382" t="s">
        <v>423</v>
      </c>
      <c r="J2382" t="s">
        <v>2126</v>
      </c>
      <c r="K2382" t="s">
        <v>2102</v>
      </c>
      <c r="L2382" t="s">
        <v>2115</v>
      </c>
      <c r="M2382">
        <v>930</v>
      </c>
      <c r="N2382">
        <v>25.32</v>
      </c>
      <c r="O2382">
        <v>14864.87</v>
      </c>
      <c r="P2382">
        <v>0</v>
      </c>
      <c r="Q2382">
        <v>14864.87</v>
      </c>
      <c r="R2382">
        <v>2378.38</v>
      </c>
      <c r="S2382">
        <v>594.59</v>
      </c>
      <c r="T2382">
        <v>16648.66</v>
      </c>
      <c r="U2382" t="s">
        <v>8051</v>
      </c>
      <c r="V2382" t="s">
        <v>9409</v>
      </c>
      <c r="W2382" t="s">
        <v>423</v>
      </c>
    </row>
    <row r="2383" spans="1:23" hidden="1" x14ac:dyDescent="0.2">
      <c r="A2383">
        <v>2012</v>
      </c>
      <c r="B2383" t="s">
        <v>303</v>
      </c>
      <c r="C2383" s="733">
        <v>40925</v>
      </c>
      <c r="D23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83" t="s">
        <v>485</v>
      </c>
      <c r="F2383" t="s">
        <v>2065</v>
      </c>
      <c r="G2383" t="s">
        <v>7205</v>
      </c>
      <c r="H2383">
        <v>40309</v>
      </c>
      <c r="I2383" t="s">
        <v>423</v>
      </c>
      <c r="J2383" t="s">
        <v>4626</v>
      </c>
      <c r="K2383" t="s">
        <v>2102</v>
      </c>
      <c r="L2383" t="s">
        <v>2115</v>
      </c>
      <c r="M2383">
        <v>1457</v>
      </c>
      <c r="N2383">
        <v>26.08</v>
      </c>
      <c r="O2383">
        <v>17457.169999999998</v>
      </c>
      <c r="P2383">
        <v>0</v>
      </c>
      <c r="Q2383">
        <v>17457.169999999998</v>
      </c>
      <c r="R2383">
        <v>2793.15</v>
      </c>
      <c r="S2383">
        <v>698.29</v>
      </c>
      <c r="T2383">
        <v>19552.03</v>
      </c>
      <c r="U2383" t="s">
        <v>2106</v>
      </c>
      <c r="V2383" t="s">
        <v>9409</v>
      </c>
      <c r="W2383" t="s">
        <v>423</v>
      </c>
    </row>
    <row r="2384" spans="1:23" hidden="1" x14ac:dyDescent="0.2">
      <c r="A2384">
        <v>2012</v>
      </c>
      <c r="B2384" t="s">
        <v>304</v>
      </c>
      <c r="C2384" s="733">
        <v>40955</v>
      </c>
      <c r="D23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84" t="s">
        <v>485</v>
      </c>
      <c r="F2384" t="s">
        <v>3450</v>
      </c>
      <c r="G2384" t="s">
        <v>7728</v>
      </c>
      <c r="H2384">
        <v>41909</v>
      </c>
      <c r="I2384" t="s">
        <v>423</v>
      </c>
      <c r="J2384" t="s">
        <v>3462</v>
      </c>
      <c r="K2384" t="s">
        <v>3453</v>
      </c>
      <c r="L2384" t="s">
        <v>3454</v>
      </c>
      <c r="M2384">
        <v>425</v>
      </c>
      <c r="N2384">
        <v>54.58</v>
      </c>
      <c r="O2384">
        <v>15230</v>
      </c>
      <c r="P2384">
        <v>0</v>
      </c>
      <c r="Q2384">
        <v>15230</v>
      </c>
      <c r="R2384">
        <v>2436.8000000000002</v>
      </c>
      <c r="S2384">
        <v>609.20000000000005</v>
      </c>
      <c r="T2384">
        <v>17057.599999999999</v>
      </c>
      <c r="U2384" t="s">
        <v>7533</v>
      </c>
      <c r="V2384" t="s">
        <v>9409</v>
      </c>
      <c r="W2384" t="s">
        <v>423</v>
      </c>
    </row>
    <row r="2385" spans="1:23" hidden="1" x14ac:dyDescent="0.2">
      <c r="A2385">
        <v>2012</v>
      </c>
      <c r="B2385" t="s">
        <v>303</v>
      </c>
      <c r="C2385" s="733">
        <v>40921</v>
      </c>
      <c r="D23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85" t="s">
        <v>485</v>
      </c>
      <c r="F2385" t="s">
        <v>2099</v>
      </c>
      <c r="G2385" t="s">
        <v>4681</v>
      </c>
      <c r="H2385">
        <v>40278</v>
      </c>
      <c r="I2385" t="s">
        <v>423</v>
      </c>
      <c r="J2385" t="s">
        <v>2101</v>
      </c>
      <c r="K2385" t="s">
        <v>2102</v>
      </c>
      <c r="L2385" t="s">
        <v>2103</v>
      </c>
      <c r="M2385">
        <v>119</v>
      </c>
      <c r="N2385">
        <v>26.11</v>
      </c>
      <c r="O2385">
        <v>4379.43</v>
      </c>
      <c r="P2385">
        <v>0</v>
      </c>
      <c r="Q2385">
        <v>4379.43</v>
      </c>
      <c r="R2385">
        <v>700.71</v>
      </c>
      <c r="S2385">
        <v>175.18</v>
      </c>
      <c r="T2385">
        <v>4904.96</v>
      </c>
      <c r="U2385" t="s">
        <v>2106</v>
      </c>
      <c r="V2385" t="s">
        <v>9408</v>
      </c>
      <c r="W2385" t="s">
        <v>423</v>
      </c>
    </row>
    <row r="2386" spans="1:23" hidden="1" x14ac:dyDescent="0.2">
      <c r="A2386">
        <v>2012</v>
      </c>
      <c r="B2386" t="s">
        <v>305</v>
      </c>
      <c r="C2386" s="733">
        <v>40970</v>
      </c>
      <c r="D2386" s="733" t="str">
        <f>CHOOSE(MONTH(Tabla_sqldatos_bonampakdb_Bon_v_ingresos2012[[#This Row],[fecha_guia]]),"Enero","Febrero","Marzo","Abril","Mayo","Junio","Julio","Agosto","Septiembre","Octubre","Noviembre","Diciembre")</f>
        <v>Marzo</v>
      </c>
      <c r="E2386" t="s">
        <v>485</v>
      </c>
      <c r="F2386" t="s">
        <v>2099</v>
      </c>
      <c r="G2386" t="s">
        <v>9710</v>
      </c>
      <c r="H2386">
        <v>42914</v>
      </c>
      <c r="I2386" t="s">
        <v>423</v>
      </c>
      <c r="J2386" t="s">
        <v>2101</v>
      </c>
      <c r="K2386" t="s">
        <v>2102</v>
      </c>
      <c r="L2386" t="s">
        <v>2103</v>
      </c>
      <c r="M2386">
        <v>119</v>
      </c>
      <c r="N2386">
        <v>50.45</v>
      </c>
      <c r="O2386">
        <v>8461.98</v>
      </c>
      <c r="P2386">
        <v>0</v>
      </c>
      <c r="Q2386">
        <v>8461.98</v>
      </c>
      <c r="R2386">
        <v>1353.92</v>
      </c>
      <c r="S2386">
        <v>338.48</v>
      </c>
      <c r="T2386">
        <v>9477.42</v>
      </c>
      <c r="V2386" t="s">
        <v>9409</v>
      </c>
      <c r="W2386" t="s">
        <v>423</v>
      </c>
    </row>
    <row r="2387" spans="1:23" hidden="1" x14ac:dyDescent="0.2">
      <c r="A2387">
        <v>2012</v>
      </c>
      <c r="B2387" t="s">
        <v>303</v>
      </c>
      <c r="C2387" s="733">
        <v>40920.507881944446</v>
      </c>
      <c r="D23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87" t="s">
        <v>485</v>
      </c>
      <c r="F2387" t="s">
        <v>2099</v>
      </c>
      <c r="G2387" t="s">
        <v>4694</v>
      </c>
      <c r="H2387">
        <v>40223</v>
      </c>
      <c r="I2387" t="s">
        <v>423</v>
      </c>
      <c r="J2387" t="s">
        <v>2101</v>
      </c>
      <c r="K2387" t="s">
        <v>2102</v>
      </c>
      <c r="L2387" t="s">
        <v>2103</v>
      </c>
      <c r="M2387">
        <v>119</v>
      </c>
      <c r="N2387">
        <v>25.56</v>
      </c>
      <c r="O2387">
        <v>4287.18</v>
      </c>
      <c r="P2387">
        <v>0</v>
      </c>
      <c r="Q2387">
        <v>4287.18</v>
      </c>
      <c r="R2387">
        <v>685.95</v>
      </c>
      <c r="S2387">
        <v>171.49</v>
      </c>
      <c r="T2387">
        <v>4801.6400000000003</v>
      </c>
      <c r="U2387" t="s">
        <v>2106</v>
      </c>
      <c r="V2387" t="s">
        <v>9409</v>
      </c>
      <c r="W2387" t="s">
        <v>423</v>
      </c>
    </row>
    <row r="2388" spans="1:23" hidden="1" x14ac:dyDescent="0.2">
      <c r="A2388">
        <v>2012</v>
      </c>
      <c r="B2388" t="s">
        <v>304</v>
      </c>
      <c r="C2388" s="733">
        <v>40952</v>
      </c>
      <c r="D23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88" t="s">
        <v>485</v>
      </c>
      <c r="F2388" t="s">
        <v>2099</v>
      </c>
      <c r="G2388" t="s">
        <v>4680</v>
      </c>
      <c r="H2388">
        <v>41853</v>
      </c>
      <c r="I2388" t="s">
        <v>423</v>
      </c>
      <c r="J2388" t="s">
        <v>2101</v>
      </c>
      <c r="K2388" t="s">
        <v>2102</v>
      </c>
      <c r="L2388" t="s">
        <v>2103</v>
      </c>
      <c r="M2388">
        <v>119</v>
      </c>
      <c r="N2388">
        <v>17.46</v>
      </c>
      <c r="O2388">
        <v>2928.57</v>
      </c>
      <c r="P2388">
        <v>0</v>
      </c>
      <c r="Q2388">
        <v>2928.57</v>
      </c>
      <c r="R2388">
        <v>468.57</v>
      </c>
      <c r="S2388">
        <v>117.14</v>
      </c>
      <c r="T2388">
        <v>3280</v>
      </c>
      <c r="U2388" t="s">
        <v>8051</v>
      </c>
      <c r="V2388" t="s">
        <v>9408</v>
      </c>
      <c r="W2388" t="s">
        <v>423</v>
      </c>
    </row>
    <row r="2389" spans="1:23" hidden="1" x14ac:dyDescent="0.2">
      <c r="A2389">
        <v>2012</v>
      </c>
      <c r="B2389" t="s">
        <v>304</v>
      </c>
      <c r="C2389" s="733">
        <v>40941</v>
      </c>
      <c r="D23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89" t="s">
        <v>485</v>
      </c>
      <c r="F2389" t="s">
        <v>2054</v>
      </c>
      <c r="G2389" t="s">
        <v>5345</v>
      </c>
      <c r="H2389">
        <v>10292</v>
      </c>
      <c r="I2389" t="s">
        <v>423</v>
      </c>
      <c r="J2389" t="s">
        <v>2098</v>
      </c>
      <c r="K2389" t="s">
        <v>2057</v>
      </c>
      <c r="L2389" t="s">
        <v>2058</v>
      </c>
      <c r="M2389">
        <v>565</v>
      </c>
      <c r="N2389">
        <v>46.69</v>
      </c>
      <c r="O2389">
        <v>15782.15</v>
      </c>
      <c r="P2389">
        <v>0</v>
      </c>
      <c r="Q2389">
        <v>15782.15</v>
      </c>
      <c r="R2389">
        <v>2525.14</v>
      </c>
      <c r="S2389">
        <v>631.29</v>
      </c>
      <c r="T2389">
        <v>17676</v>
      </c>
      <c r="U2389" t="s">
        <v>2075</v>
      </c>
      <c r="V2389" t="s">
        <v>9409</v>
      </c>
      <c r="W2389" t="s">
        <v>423</v>
      </c>
    </row>
    <row r="2390" spans="1:23" x14ac:dyDescent="0.2">
      <c r="A2390">
        <v>2012</v>
      </c>
      <c r="B2390" t="s">
        <v>304</v>
      </c>
      <c r="C2390" s="733">
        <v>40967</v>
      </c>
      <c r="D23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90" t="s">
        <v>485</v>
      </c>
      <c r="F2390" t="s">
        <v>2084</v>
      </c>
      <c r="G2390" t="s">
        <v>9176</v>
      </c>
      <c r="H2390">
        <v>42449</v>
      </c>
      <c r="I2390" t="s">
        <v>423</v>
      </c>
      <c r="J2390" t="s">
        <v>2813</v>
      </c>
      <c r="K2390" t="s">
        <v>2814</v>
      </c>
      <c r="L2390" t="s">
        <v>2815</v>
      </c>
      <c r="M2390">
        <v>365</v>
      </c>
      <c r="N2390">
        <v>23.776</v>
      </c>
      <c r="O2390">
        <v>6400.02</v>
      </c>
      <c r="P2390">
        <v>0</v>
      </c>
      <c r="Q2390">
        <v>6400.02</v>
      </c>
      <c r="R2390">
        <v>704</v>
      </c>
      <c r="S2390">
        <v>256</v>
      </c>
      <c r="T2390">
        <v>6848.02</v>
      </c>
      <c r="U2390" t="s">
        <v>8877</v>
      </c>
      <c r="V2390" t="s">
        <v>9408</v>
      </c>
      <c r="W2390" t="s">
        <v>423</v>
      </c>
    </row>
    <row r="2391" spans="1:23" hidden="1" x14ac:dyDescent="0.2">
      <c r="A2391">
        <v>2012</v>
      </c>
      <c r="B2391" t="s">
        <v>303</v>
      </c>
      <c r="C2391" s="733">
        <v>40932</v>
      </c>
      <c r="D23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91" t="s">
        <v>485</v>
      </c>
      <c r="F2391" t="s">
        <v>2084</v>
      </c>
      <c r="G2391" t="s">
        <v>3463</v>
      </c>
      <c r="H2391">
        <v>40702</v>
      </c>
      <c r="I2391" t="s">
        <v>423</v>
      </c>
      <c r="J2391" t="s">
        <v>2813</v>
      </c>
      <c r="K2391" t="s">
        <v>2814</v>
      </c>
      <c r="L2391" t="s">
        <v>2815</v>
      </c>
      <c r="M2391">
        <v>365</v>
      </c>
      <c r="N2391">
        <v>23.966000000000001</v>
      </c>
      <c r="O2391">
        <v>6451.17</v>
      </c>
      <c r="P2391">
        <v>0</v>
      </c>
      <c r="Q2391">
        <v>6451.17</v>
      </c>
      <c r="R2391">
        <v>1032.19</v>
      </c>
      <c r="S2391">
        <v>258.05</v>
      </c>
      <c r="T2391">
        <v>7225.31</v>
      </c>
      <c r="U2391" t="s">
        <v>8522</v>
      </c>
      <c r="V2391" t="s">
        <v>9408</v>
      </c>
      <c r="W2391" t="s">
        <v>423</v>
      </c>
    </row>
    <row r="2392" spans="1:23" hidden="1" x14ac:dyDescent="0.2">
      <c r="A2392">
        <v>2012</v>
      </c>
      <c r="B2392" t="s">
        <v>304</v>
      </c>
      <c r="C2392" s="733">
        <v>40959</v>
      </c>
      <c r="D23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92" t="s">
        <v>485</v>
      </c>
      <c r="F2392" t="s">
        <v>2065</v>
      </c>
      <c r="G2392" t="s">
        <v>7769</v>
      </c>
      <c r="H2392">
        <v>42225</v>
      </c>
      <c r="I2392" t="s">
        <v>423</v>
      </c>
      <c r="J2392" t="s">
        <v>5260</v>
      </c>
      <c r="K2392" t="s">
        <v>2102</v>
      </c>
      <c r="L2392" t="s">
        <v>2115</v>
      </c>
      <c r="M2392">
        <v>832</v>
      </c>
      <c r="N2392">
        <v>51.17</v>
      </c>
      <c r="O2392">
        <v>25532.29</v>
      </c>
      <c r="P2392">
        <v>0</v>
      </c>
      <c r="Q2392">
        <v>25532.29</v>
      </c>
      <c r="R2392">
        <v>4085.17</v>
      </c>
      <c r="S2392">
        <v>1021.29</v>
      </c>
      <c r="T2392">
        <v>28596.17</v>
      </c>
      <c r="U2392" t="s">
        <v>8883</v>
      </c>
      <c r="V2392" t="s">
        <v>9409</v>
      </c>
      <c r="W2392" t="s">
        <v>423</v>
      </c>
    </row>
    <row r="2393" spans="1:23" hidden="1" x14ac:dyDescent="0.2">
      <c r="A2393">
        <v>2012</v>
      </c>
      <c r="B2393" t="s">
        <v>304</v>
      </c>
      <c r="C2393" s="733">
        <v>40959</v>
      </c>
      <c r="D23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93" t="s">
        <v>485</v>
      </c>
      <c r="F2393" t="s">
        <v>2065</v>
      </c>
      <c r="G2393" t="s">
        <v>7646</v>
      </c>
      <c r="H2393">
        <v>42082</v>
      </c>
      <c r="I2393" t="s">
        <v>423</v>
      </c>
      <c r="J2393" t="s">
        <v>5260</v>
      </c>
      <c r="K2393" t="s">
        <v>2102</v>
      </c>
      <c r="L2393" t="s">
        <v>2115</v>
      </c>
      <c r="M2393">
        <v>832</v>
      </c>
      <c r="N2393">
        <v>54.36</v>
      </c>
      <c r="O2393">
        <v>27124.01</v>
      </c>
      <c r="P2393">
        <v>0</v>
      </c>
      <c r="Q2393">
        <v>27124.01</v>
      </c>
      <c r="R2393">
        <v>4339.84</v>
      </c>
      <c r="S2393">
        <v>1084.96</v>
      </c>
      <c r="T2393">
        <v>30378.89</v>
      </c>
      <c r="U2393" t="s">
        <v>8883</v>
      </c>
      <c r="V2393" t="s">
        <v>9409</v>
      </c>
      <c r="W2393" t="s">
        <v>423</v>
      </c>
    </row>
    <row r="2394" spans="1:23" hidden="1" x14ac:dyDescent="0.2">
      <c r="A2394">
        <v>2012</v>
      </c>
      <c r="B2394" t="s">
        <v>303</v>
      </c>
      <c r="C2394" s="733">
        <v>40912.414780092593</v>
      </c>
      <c r="D23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94" t="s">
        <v>478</v>
      </c>
      <c r="F2394" t="s">
        <v>2136</v>
      </c>
      <c r="G2394" t="s">
        <v>6729</v>
      </c>
      <c r="H2394">
        <v>34235</v>
      </c>
      <c r="I2394" t="s">
        <v>423</v>
      </c>
      <c r="J2394" t="s">
        <v>3029</v>
      </c>
      <c r="K2394" t="s">
        <v>425</v>
      </c>
      <c r="L2394" t="s">
        <v>2145</v>
      </c>
      <c r="M2394">
        <v>35</v>
      </c>
      <c r="N2394">
        <v>27.47</v>
      </c>
      <c r="O2394">
        <v>1552.6</v>
      </c>
      <c r="P2394">
        <v>1748.056814</v>
      </c>
      <c r="Q2394">
        <v>3300.6568139999999</v>
      </c>
      <c r="R2394">
        <v>528.10509000000002</v>
      </c>
      <c r="S2394">
        <v>132.026273</v>
      </c>
      <c r="T2394">
        <v>3696.735631</v>
      </c>
      <c r="U2394" t="s">
        <v>2350</v>
      </c>
      <c r="V2394" t="s">
        <v>9408</v>
      </c>
      <c r="W2394" t="s">
        <v>423</v>
      </c>
    </row>
    <row r="2395" spans="1:23" hidden="1" x14ac:dyDescent="0.2">
      <c r="A2395">
        <v>2012</v>
      </c>
      <c r="B2395" t="s">
        <v>303</v>
      </c>
      <c r="C2395" s="733">
        <v>40921.941400462965</v>
      </c>
      <c r="D23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395" t="s">
        <v>478</v>
      </c>
      <c r="F2395" t="s">
        <v>2136</v>
      </c>
      <c r="G2395" t="s">
        <v>6730</v>
      </c>
      <c r="H2395">
        <v>34507</v>
      </c>
      <c r="I2395" t="s">
        <v>423</v>
      </c>
      <c r="J2395" t="s">
        <v>3029</v>
      </c>
      <c r="K2395" t="s">
        <v>425</v>
      </c>
      <c r="L2395" t="s">
        <v>2145</v>
      </c>
      <c r="M2395">
        <v>35</v>
      </c>
      <c r="N2395">
        <v>24.33</v>
      </c>
      <c r="O2395">
        <v>3266.3</v>
      </c>
      <c r="P2395">
        <v>0</v>
      </c>
      <c r="Q2395">
        <v>3266.3</v>
      </c>
      <c r="R2395">
        <v>522.61</v>
      </c>
      <c r="S2395">
        <v>130.65</v>
      </c>
      <c r="T2395">
        <v>3658.26</v>
      </c>
      <c r="U2395" t="s">
        <v>2146</v>
      </c>
      <c r="V2395" t="s">
        <v>9408</v>
      </c>
      <c r="W2395" t="s">
        <v>423</v>
      </c>
    </row>
    <row r="2396" spans="1:23" x14ac:dyDescent="0.2">
      <c r="A2396">
        <v>2012</v>
      </c>
      <c r="B2396" t="s">
        <v>304</v>
      </c>
      <c r="C2396" s="733">
        <v>40967</v>
      </c>
      <c r="D23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96" t="s">
        <v>485</v>
      </c>
      <c r="F2396" t="s">
        <v>2084</v>
      </c>
      <c r="G2396" t="s">
        <v>9177</v>
      </c>
      <c r="H2396">
        <v>42559</v>
      </c>
      <c r="I2396" t="s">
        <v>423</v>
      </c>
      <c r="J2396" t="s">
        <v>2813</v>
      </c>
      <c r="K2396" t="s">
        <v>2814</v>
      </c>
      <c r="L2396" t="s">
        <v>2815</v>
      </c>
      <c r="M2396">
        <v>365</v>
      </c>
      <c r="N2396">
        <v>23.887</v>
      </c>
      <c r="O2396">
        <v>6429.9</v>
      </c>
      <c r="P2396">
        <v>0</v>
      </c>
      <c r="Q2396">
        <v>6429.9</v>
      </c>
      <c r="R2396">
        <v>707.29</v>
      </c>
      <c r="S2396">
        <v>257.2</v>
      </c>
      <c r="T2396">
        <v>6879.99</v>
      </c>
      <c r="V2396" t="s">
        <v>9408</v>
      </c>
      <c r="W2396" t="s">
        <v>423</v>
      </c>
    </row>
    <row r="2397" spans="1:23" hidden="1" x14ac:dyDescent="0.2">
      <c r="A2397">
        <v>2012</v>
      </c>
      <c r="B2397" t="s">
        <v>304</v>
      </c>
      <c r="C2397" s="733">
        <v>40953</v>
      </c>
      <c r="D23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97" t="s">
        <v>485</v>
      </c>
      <c r="F2397" t="s">
        <v>2084</v>
      </c>
      <c r="G2397" t="s">
        <v>3467</v>
      </c>
      <c r="H2397">
        <v>41764</v>
      </c>
      <c r="I2397" t="s">
        <v>423</v>
      </c>
      <c r="J2397" t="s">
        <v>2813</v>
      </c>
      <c r="K2397" t="s">
        <v>2814</v>
      </c>
      <c r="L2397" t="s">
        <v>2815</v>
      </c>
      <c r="M2397">
        <v>365</v>
      </c>
      <c r="N2397">
        <v>23.969000000000001</v>
      </c>
      <c r="O2397">
        <v>6451.98</v>
      </c>
      <c r="P2397">
        <v>0</v>
      </c>
      <c r="Q2397">
        <v>6451.98</v>
      </c>
      <c r="R2397">
        <v>709.72</v>
      </c>
      <c r="S2397">
        <v>258.08</v>
      </c>
      <c r="T2397">
        <v>6903.62</v>
      </c>
      <c r="U2397" t="s">
        <v>7527</v>
      </c>
      <c r="V2397" t="s">
        <v>9408</v>
      </c>
      <c r="W2397" t="s">
        <v>423</v>
      </c>
    </row>
    <row r="2398" spans="1:23" hidden="1" x14ac:dyDescent="0.2">
      <c r="A2398">
        <v>2012</v>
      </c>
      <c r="B2398" t="s">
        <v>304</v>
      </c>
      <c r="C2398" s="733">
        <v>40953</v>
      </c>
      <c r="D23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98" t="s">
        <v>485</v>
      </c>
      <c r="F2398" t="s">
        <v>2065</v>
      </c>
      <c r="G2398" t="s">
        <v>3468</v>
      </c>
      <c r="H2398">
        <v>41458</v>
      </c>
      <c r="I2398" t="s">
        <v>423</v>
      </c>
      <c r="J2398" t="s">
        <v>2813</v>
      </c>
      <c r="K2398" t="s">
        <v>2814</v>
      </c>
      <c r="L2398" t="s">
        <v>2815</v>
      </c>
      <c r="M2398">
        <v>365</v>
      </c>
      <c r="N2398">
        <v>23.928000000000001</v>
      </c>
      <c r="O2398">
        <v>6440.94</v>
      </c>
      <c r="P2398">
        <v>0</v>
      </c>
      <c r="Q2398">
        <v>6440.94</v>
      </c>
      <c r="R2398">
        <v>708.5</v>
      </c>
      <c r="S2398">
        <v>257.64</v>
      </c>
      <c r="T2398">
        <v>6891.8</v>
      </c>
      <c r="U2398" t="s">
        <v>7527</v>
      </c>
      <c r="V2398" t="s">
        <v>9408</v>
      </c>
      <c r="W2398" t="s">
        <v>423</v>
      </c>
    </row>
    <row r="2399" spans="1:23" hidden="1" x14ac:dyDescent="0.2">
      <c r="A2399">
        <v>2012</v>
      </c>
      <c r="B2399" t="s">
        <v>304</v>
      </c>
      <c r="C2399" s="733">
        <v>40941</v>
      </c>
      <c r="D23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399" t="s">
        <v>485</v>
      </c>
      <c r="F2399" t="s">
        <v>2065</v>
      </c>
      <c r="G2399" t="s">
        <v>7006</v>
      </c>
      <c r="H2399">
        <v>41205</v>
      </c>
      <c r="I2399" t="s">
        <v>423</v>
      </c>
      <c r="J2399" t="s">
        <v>5260</v>
      </c>
      <c r="K2399" t="s">
        <v>2102</v>
      </c>
      <c r="L2399" t="s">
        <v>2115</v>
      </c>
      <c r="M2399">
        <v>832</v>
      </c>
      <c r="N2399">
        <v>53.26</v>
      </c>
      <c r="O2399">
        <v>26575.14</v>
      </c>
      <c r="P2399">
        <v>0</v>
      </c>
      <c r="Q2399">
        <v>26575.14</v>
      </c>
      <c r="R2399">
        <v>4252.0200000000004</v>
      </c>
      <c r="S2399">
        <v>1063.01</v>
      </c>
      <c r="T2399">
        <v>29764.15</v>
      </c>
      <c r="V2399" t="s">
        <v>9409</v>
      </c>
      <c r="W2399" t="s">
        <v>423</v>
      </c>
    </row>
    <row r="2400" spans="1:23" hidden="1" x14ac:dyDescent="0.2">
      <c r="A2400">
        <v>2012</v>
      </c>
      <c r="B2400" t="s">
        <v>304</v>
      </c>
      <c r="C2400" s="733">
        <v>40966</v>
      </c>
      <c r="D24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00" t="s">
        <v>485</v>
      </c>
      <c r="F2400" t="s">
        <v>2065</v>
      </c>
      <c r="G2400" t="s">
        <v>8830</v>
      </c>
      <c r="H2400">
        <v>42622</v>
      </c>
      <c r="I2400" t="s">
        <v>423</v>
      </c>
      <c r="J2400" t="s">
        <v>5260</v>
      </c>
      <c r="K2400" t="s">
        <v>2102</v>
      </c>
      <c r="L2400" t="s">
        <v>2115</v>
      </c>
      <c r="M2400">
        <v>832</v>
      </c>
      <c r="N2400">
        <v>50.43</v>
      </c>
      <c r="O2400">
        <v>25163.06</v>
      </c>
      <c r="P2400">
        <v>0</v>
      </c>
      <c r="Q2400">
        <v>25163.06</v>
      </c>
      <c r="R2400">
        <v>4026.09</v>
      </c>
      <c r="S2400">
        <v>1006.52</v>
      </c>
      <c r="T2400">
        <v>28182.63</v>
      </c>
      <c r="V2400" t="s">
        <v>9409</v>
      </c>
      <c r="W2400" t="s">
        <v>423</v>
      </c>
    </row>
    <row r="2401" spans="1:23" hidden="1" x14ac:dyDescent="0.2">
      <c r="A2401">
        <v>2012</v>
      </c>
      <c r="B2401" t="s">
        <v>304</v>
      </c>
      <c r="C2401" s="733">
        <v>40959</v>
      </c>
      <c r="D24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01" t="s">
        <v>485</v>
      </c>
      <c r="F2401" t="s">
        <v>2065</v>
      </c>
      <c r="G2401" t="s">
        <v>7640</v>
      </c>
      <c r="H2401">
        <v>42211</v>
      </c>
      <c r="I2401" t="s">
        <v>423</v>
      </c>
      <c r="J2401" t="s">
        <v>5260</v>
      </c>
      <c r="K2401" t="s">
        <v>2102</v>
      </c>
      <c r="L2401" t="s">
        <v>2115</v>
      </c>
      <c r="M2401">
        <v>832</v>
      </c>
      <c r="N2401">
        <v>52.71</v>
      </c>
      <c r="O2401">
        <v>26300.71</v>
      </c>
      <c r="P2401">
        <v>0</v>
      </c>
      <c r="Q2401">
        <v>26300.71</v>
      </c>
      <c r="R2401">
        <v>4208.1099999999997</v>
      </c>
      <c r="S2401">
        <v>1052.03</v>
      </c>
      <c r="T2401">
        <v>29456.79</v>
      </c>
      <c r="U2401" t="s">
        <v>8883</v>
      </c>
      <c r="V2401" t="s">
        <v>9409</v>
      </c>
      <c r="W2401" t="s">
        <v>423</v>
      </c>
    </row>
    <row r="2402" spans="1:23" hidden="1" x14ac:dyDescent="0.2">
      <c r="A2402">
        <v>2012</v>
      </c>
      <c r="B2402" t="s">
        <v>303</v>
      </c>
      <c r="C2402" s="733">
        <v>40924</v>
      </c>
      <c r="D24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02" t="s">
        <v>505</v>
      </c>
      <c r="F2402" t="s">
        <v>1915</v>
      </c>
      <c r="G2402" t="s">
        <v>6726</v>
      </c>
      <c r="H2402">
        <v>22006</v>
      </c>
      <c r="I2402" t="s">
        <v>423</v>
      </c>
      <c r="J2402" t="s">
        <v>4259</v>
      </c>
      <c r="K2402" t="s">
        <v>1918</v>
      </c>
      <c r="L2402" t="s">
        <v>1919</v>
      </c>
      <c r="M2402">
        <v>467</v>
      </c>
      <c r="N2402">
        <v>26.81</v>
      </c>
      <c r="O2402">
        <v>8320.2199999999993</v>
      </c>
      <c r="P2402">
        <v>0</v>
      </c>
      <c r="Q2402">
        <v>8320.2199999999993</v>
      </c>
      <c r="R2402">
        <v>1331.23</v>
      </c>
      <c r="S2402">
        <v>332.81</v>
      </c>
      <c r="T2402">
        <v>9318.64</v>
      </c>
      <c r="U2402" t="s">
        <v>1931</v>
      </c>
      <c r="V2402" t="s">
        <v>9408</v>
      </c>
      <c r="W2402" t="s">
        <v>423</v>
      </c>
    </row>
    <row r="2403" spans="1:23" hidden="1" x14ac:dyDescent="0.2">
      <c r="A2403">
        <v>2012</v>
      </c>
      <c r="B2403" t="s">
        <v>303</v>
      </c>
      <c r="C2403" s="733">
        <v>40915.84578703704</v>
      </c>
      <c r="D24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03" t="s">
        <v>505</v>
      </c>
      <c r="F2403" t="s">
        <v>1915</v>
      </c>
      <c r="G2403" t="s">
        <v>6727</v>
      </c>
      <c r="H2403">
        <v>21822</v>
      </c>
      <c r="I2403" t="s">
        <v>423</v>
      </c>
      <c r="J2403" t="s">
        <v>4259</v>
      </c>
      <c r="K2403" t="s">
        <v>1918</v>
      </c>
      <c r="L2403" t="s">
        <v>1919</v>
      </c>
      <c r="M2403">
        <v>467</v>
      </c>
      <c r="N2403">
        <v>27.12</v>
      </c>
      <c r="O2403">
        <v>8416.42</v>
      </c>
      <c r="P2403">
        <v>0</v>
      </c>
      <c r="Q2403">
        <v>8416.42</v>
      </c>
      <c r="R2403">
        <v>1346.63</v>
      </c>
      <c r="S2403">
        <v>336.66</v>
      </c>
      <c r="T2403">
        <v>9426.39</v>
      </c>
      <c r="U2403" t="s">
        <v>1931</v>
      </c>
      <c r="V2403" t="s">
        <v>9408</v>
      </c>
      <c r="W2403" t="s">
        <v>423</v>
      </c>
    </row>
    <row r="2404" spans="1:23" hidden="1" x14ac:dyDescent="0.2">
      <c r="A2404">
        <v>2012</v>
      </c>
      <c r="B2404" t="s">
        <v>304</v>
      </c>
      <c r="C2404" s="733">
        <v>40952</v>
      </c>
      <c r="D24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04" t="s">
        <v>485</v>
      </c>
      <c r="F2404" t="s">
        <v>2065</v>
      </c>
      <c r="G2404" t="s">
        <v>5660</v>
      </c>
      <c r="H2404">
        <v>41244</v>
      </c>
      <c r="I2404" t="s">
        <v>423</v>
      </c>
      <c r="J2404" t="s">
        <v>5661</v>
      </c>
      <c r="K2404" t="s">
        <v>2183</v>
      </c>
      <c r="L2404" t="s">
        <v>2184</v>
      </c>
      <c r="M2404">
        <v>503</v>
      </c>
      <c r="N2404">
        <v>24.6</v>
      </c>
      <c r="O2404">
        <v>9103.23</v>
      </c>
      <c r="P2404">
        <v>0</v>
      </c>
      <c r="Q2404">
        <v>9103.23</v>
      </c>
      <c r="R2404">
        <v>1456.52</v>
      </c>
      <c r="S2404">
        <v>364.13</v>
      </c>
      <c r="T2404">
        <v>10195.620000000001</v>
      </c>
      <c r="U2404" t="s">
        <v>2192</v>
      </c>
      <c r="V2404" t="s">
        <v>9408</v>
      </c>
      <c r="W2404" t="s">
        <v>423</v>
      </c>
    </row>
    <row r="2405" spans="1:23" hidden="1" x14ac:dyDescent="0.2">
      <c r="A2405">
        <v>2012</v>
      </c>
      <c r="B2405" t="s">
        <v>304</v>
      </c>
      <c r="C2405" s="733">
        <v>40956</v>
      </c>
      <c r="D24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05" t="s">
        <v>478</v>
      </c>
      <c r="F2405" t="s">
        <v>2136</v>
      </c>
      <c r="G2405" t="s">
        <v>7899</v>
      </c>
      <c r="H2405">
        <v>35730</v>
      </c>
      <c r="I2405" t="s">
        <v>423</v>
      </c>
      <c r="J2405" t="s">
        <v>4632</v>
      </c>
      <c r="K2405" t="s">
        <v>425</v>
      </c>
      <c r="L2405" t="s">
        <v>2145</v>
      </c>
      <c r="M2405">
        <v>1395</v>
      </c>
      <c r="N2405">
        <v>43.48</v>
      </c>
      <c r="O2405">
        <v>39427.230000000003</v>
      </c>
      <c r="P2405">
        <v>0</v>
      </c>
      <c r="Q2405">
        <v>39427.230000000003</v>
      </c>
      <c r="R2405">
        <v>6308.36</v>
      </c>
      <c r="S2405">
        <v>1577.09</v>
      </c>
      <c r="T2405">
        <v>44158.5</v>
      </c>
      <c r="U2405" t="s">
        <v>8252</v>
      </c>
      <c r="V2405" t="s">
        <v>9409</v>
      </c>
      <c r="W2405" t="s">
        <v>423</v>
      </c>
    </row>
    <row r="2406" spans="1:23" hidden="1" x14ac:dyDescent="0.2">
      <c r="A2406">
        <v>2012</v>
      </c>
      <c r="B2406" t="s">
        <v>303</v>
      </c>
      <c r="C2406" s="733">
        <v>40922</v>
      </c>
      <c r="D24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06" t="s">
        <v>505</v>
      </c>
      <c r="F2406" t="s">
        <v>1915</v>
      </c>
      <c r="G2406" t="s">
        <v>7003</v>
      </c>
      <c r="H2406">
        <v>21949</v>
      </c>
      <c r="I2406" t="s">
        <v>424</v>
      </c>
      <c r="J2406" t="s">
        <v>1917</v>
      </c>
      <c r="K2406" t="s">
        <v>1918</v>
      </c>
      <c r="L2406" t="s">
        <v>1919</v>
      </c>
      <c r="M2406">
        <v>267</v>
      </c>
      <c r="N2406">
        <v>27</v>
      </c>
      <c r="O2406">
        <v>2636.97</v>
      </c>
      <c r="P2406">
        <v>1515.4402889999999</v>
      </c>
      <c r="Q2406">
        <v>4152.4102890000004</v>
      </c>
      <c r="R2406">
        <v>664.38564599999995</v>
      </c>
      <c r="S2406">
        <v>166.09641199999999</v>
      </c>
      <c r="T2406">
        <v>4650.6995230000002</v>
      </c>
      <c r="U2406" t="s">
        <v>1931</v>
      </c>
      <c r="V2406" t="s">
        <v>9408</v>
      </c>
      <c r="W2406" t="s">
        <v>424</v>
      </c>
    </row>
    <row r="2407" spans="1:23" hidden="1" x14ac:dyDescent="0.2">
      <c r="A2407">
        <v>2012</v>
      </c>
      <c r="B2407" t="s">
        <v>304</v>
      </c>
      <c r="C2407" s="733">
        <v>40948</v>
      </c>
      <c r="D24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07" t="s">
        <v>505</v>
      </c>
      <c r="F2407" t="s">
        <v>1915</v>
      </c>
      <c r="G2407" t="s">
        <v>2027</v>
      </c>
      <c r="H2407">
        <v>22595</v>
      </c>
      <c r="I2407" t="s">
        <v>424</v>
      </c>
      <c r="J2407" t="s">
        <v>1917</v>
      </c>
      <c r="K2407" t="s">
        <v>1918</v>
      </c>
      <c r="L2407" t="s">
        <v>1919</v>
      </c>
      <c r="M2407">
        <v>267</v>
      </c>
      <c r="N2407">
        <v>30</v>
      </c>
      <c r="O2407">
        <v>2929.97</v>
      </c>
      <c r="P2407">
        <v>1683.8244589999999</v>
      </c>
      <c r="Q2407">
        <v>4613.7944589999997</v>
      </c>
      <c r="R2407">
        <v>738.20711300000005</v>
      </c>
      <c r="S2407">
        <v>184.55177800000001</v>
      </c>
      <c r="T2407">
        <v>5167.4497940000001</v>
      </c>
      <c r="U2407" t="s">
        <v>1924</v>
      </c>
      <c r="V2407" t="s">
        <v>9408</v>
      </c>
      <c r="W2407" t="s">
        <v>424</v>
      </c>
    </row>
    <row r="2408" spans="1:23" hidden="1" x14ac:dyDescent="0.2">
      <c r="A2408">
        <v>2012</v>
      </c>
      <c r="B2408" t="s">
        <v>303</v>
      </c>
      <c r="C2408" s="733">
        <v>40939</v>
      </c>
      <c r="D24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08" t="s">
        <v>505</v>
      </c>
      <c r="F2408" t="s">
        <v>1915</v>
      </c>
      <c r="G2408" t="s">
        <v>2026</v>
      </c>
      <c r="H2408">
        <v>22356</v>
      </c>
      <c r="I2408" t="s">
        <v>423</v>
      </c>
      <c r="J2408" t="s">
        <v>1917</v>
      </c>
      <c r="K2408" t="s">
        <v>1918</v>
      </c>
      <c r="L2408" t="s">
        <v>1919</v>
      </c>
      <c r="M2408">
        <v>267</v>
      </c>
      <c r="N2408">
        <v>49.63</v>
      </c>
      <c r="O2408">
        <v>11158.81</v>
      </c>
      <c r="P2408">
        <v>0</v>
      </c>
      <c r="Q2408">
        <v>11158.81</v>
      </c>
      <c r="R2408">
        <v>1785.41</v>
      </c>
      <c r="S2408">
        <v>446.35</v>
      </c>
      <c r="T2408">
        <v>12497.87</v>
      </c>
      <c r="U2408" t="s">
        <v>1926</v>
      </c>
      <c r="V2408" t="s">
        <v>9409</v>
      </c>
      <c r="W2408" t="s">
        <v>423</v>
      </c>
    </row>
    <row r="2409" spans="1:23" hidden="1" x14ac:dyDescent="0.2">
      <c r="A2409">
        <v>2012</v>
      </c>
      <c r="B2409" t="s">
        <v>303</v>
      </c>
      <c r="C2409" s="733">
        <v>40932</v>
      </c>
      <c r="D24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09" t="s">
        <v>478</v>
      </c>
      <c r="F2409" t="s">
        <v>2136</v>
      </c>
      <c r="G2409" t="s">
        <v>2806</v>
      </c>
      <c r="H2409">
        <v>34794</v>
      </c>
      <c r="I2409" t="s">
        <v>423</v>
      </c>
      <c r="J2409" t="s">
        <v>2144</v>
      </c>
      <c r="K2409" t="s">
        <v>425</v>
      </c>
      <c r="L2409" t="s">
        <v>2145</v>
      </c>
      <c r="M2409">
        <v>1354</v>
      </c>
      <c r="N2409">
        <v>48.73</v>
      </c>
      <c r="O2409">
        <v>44187.88</v>
      </c>
      <c r="P2409">
        <v>0</v>
      </c>
      <c r="Q2409">
        <v>44187.88</v>
      </c>
      <c r="R2409">
        <v>7070.06</v>
      </c>
      <c r="S2409">
        <v>1767.52</v>
      </c>
      <c r="T2409">
        <v>49490.42</v>
      </c>
      <c r="U2409" t="s">
        <v>2150</v>
      </c>
      <c r="V2409" t="s">
        <v>9409</v>
      </c>
      <c r="W2409" t="s">
        <v>423</v>
      </c>
    </row>
    <row r="2410" spans="1:23" hidden="1" x14ac:dyDescent="0.2">
      <c r="A2410">
        <v>2012</v>
      </c>
      <c r="B2410" t="s">
        <v>303</v>
      </c>
      <c r="C2410" s="733">
        <v>40921</v>
      </c>
      <c r="D24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10" t="s">
        <v>478</v>
      </c>
      <c r="F2410" t="s">
        <v>2136</v>
      </c>
      <c r="G2410" t="s">
        <v>6834</v>
      </c>
      <c r="H2410">
        <v>34445</v>
      </c>
      <c r="I2410" t="s">
        <v>423</v>
      </c>
      <c r="J2410" t="s">
        <v>2144</v>
      </c>
      <c r="K2410" t="s">
        <v>425</v>
      </c>
      <c r="L2410" t="s">
        <v>2145</v>
      </c>
      <c r="M2410">
        <v>1354</v>
      </c>
      <c r="N2410">
        <v>44.24</v>
      </c>
      <c r="O2410">
        <v>40116.39</v>
      </c>
      <c r="P2410">
        <v>0</v>
      </c>
      <c r="Q2410">
        <v>40116.39</v>
      </c>
      <c r="R2410">
        <v>6418.62</v>
      </c>
      <c r="S2410">
        <v>1604.66</v>
      </c>
      <c r="T2410">
        <v>44930.35</v>
      </c>
      <c r="U2410" t="s">
        <v>2350</v>
      </c>
      <c r="V2410" t="s">
        <v>9409</v>
      </c>
      <c r="W2410" t="s">
        <v>423</v>
      </c>
    </row>
    <row r="2411" spans="1:23" hidden="1" x14ac:dyDescent="0.2">
      <c r="A2411">
        <v>2012</v>
      </c>
      <c r="B2411" t="s">
        <v>303</v>
      </c>
      <c r="C2411" s="733">
        <v>40939.530717592592</v>
      </c>
      <c r="D24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11" t="s">
        <v>478</v>
      </c>
      <c r="F2411" t="s">
        <v>2622</v>
      </c>
      <c r="G2411" t="s">
        <v>2631</v>
      </c>
      <c r="H2411">
        <v>35139</v>
      </c>
      <c r="I2411" t="s">
        <v>423</v>
      </c>
      <c r="J2411" t="s">
        <v>2624</v>
      </c>
      <c r="K2411" t="s">
        <v>2625</v>
      </c>
      <c r="L2411" t="s">
        <v>2626</v>
      </c>
      <c r="M2411">
        <v>10</v>
      </c>
      <c r="N2411">
        <v>23.75</v>
      </c>
      <c r="O2411">
        <v>2680.19</v>
      </c>
      <c r="P2411">
        <v>0</v>
      </c>
      <c r="Q2411">
        <v>2680.19</v>
      </c>
      <c r="R2411">
        <v>428.83</v>
      </c>
      <c r="S2411">
        <v>107.21</v>
      </c>
      <c r="T2411">
        <v>3001.81</v>
      </c>
      <c r="U2411" t="s">
        <v>2630</v>
      </c>
      <c r="V2411" t="s">
        <v>9408</v>
      </c>
      <c r="W2411" t="s">
        <v>423</v>
      </c>
    </row>
    <row r="2412" spans="1:23" hidden="1" x14ac:dyDescent="0.2">
      <c r="A2412">
        <v>2012</v>
      </c>
      <c r="B2412" t="s">
        <v>303</v>
      </c>
      <c r="C2412" s="733">
        <v>40939.532222222224</v>
      </c>
      <c r="D24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12" t="s">
        <v>478</v>
      </c>
      <c r="F2412" t="s">
        <v>2622</v>
      </c>
      <c r="G2412" t="s">
        <v>2647</v>
      </c>
      <c r="H2412">
        <v>35142</v>
      </c>
      <c r="I2412" t="s">
        <v>423</v>
      </c>
      <c r="J2412" t="s">
        <v>2624</v>
      </c>
      <c r="K2412" t="s">
        <v>2625</v>
      </c>
      <c r="L2412" t="s">
        <v>2626</v>
      </c>
      <c r="M2412">
        <v>10</v>
      </c>
      <c r="N2412">
        <v>24.82</v>
      </c>
      <c r="O2412">
        <v>2800.94</v>
      </c>
      <c r="P2412">
        <v>0</v>
      </c>
      <c r="Q2412">
        <v>2800.94</v>
      </c>
      <c r="R2412">
        <v>448.15</v>
      </c>
      <c r="S2412">
        <v>112.04</v>
      </c>
      <c r="T2412">
        <v>3137.05</v>
      </c>
      <c r="U2412" t="s">
        <v>2648</v>
      </c>
      <c r="V2412" t="s">
        <v>9408</v>
      </c>
      <c r="W2412" t="s">
        <v>423</v>
      </c>
    </row>
    <row r="2413" spans="1:23" hidden="1" x14ac:dyDescent="0.2">
      <c r="A2413">
        <v>2012</v>
      </c>
      <c r="B2413" t="s">
        <v>303</v>
      </c>
      <c r="C2413" s="733">
        <v>40919</v>
      </c>
      <c r="D24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13" t="s">
        <v>478</v>
      </c>
      <c r="F2413" t="s">
        <v>2622</v>
      </c>
      <c r="G2413" t="s">
        <v>2649</v>
      </c>
      <c r="H2413">
        <v>34394</v>
      </c>
      <c r="I2413" t="s">
        <v>423</v>
      </c>
      <c r="J2413" t="s">
        <v>2624</v>
      </c>
      <c r="K2413" t="s">
        <v>2625</v>
      </c>
      <c r="L2413" t="s">
        <v>2626</v>
      </c>
      <c r="M2413">
        <v>10</v>
      </c>
      <c r="N2413">
        <v>22.75</v>
      </c>
      <c r="O2413">
        <v>2567.34</v>
      </c>
      <c r="P2413">
        <v>0</v>
      </c>
      <c r="Q2413">
        <v>2567.34</v>
      </c>
      <c r="R2413">
        <v>410.77</v>
      </c>
      <c r="S2413">
        <v>102.69</v>
      </c>
      <c r="T2413">
        <v>2875.42</v>
      </c>
      <c r="U2413" t="s">
        <v>2635</v>
      </c>
      <c r="V2413" t="s">
        <v>9408</v>
      </c>
      <c r="W2413" t="s">
        <v>423</v>
      </c>
    </row>
    <row r="2414" spans="1:23" hidden="1" x14ac:dyDescent="0.2">
      <c r="A2414">
        <v>2012</v>
      </c>
      <c r="B2414" t="s">
        <v>303</v>
      </c>
      <c r="C2414" s="733">
        <v>40918</v>
      </c>
      <c r="D24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14" t="s">
        <v>478</v>
      </c>
      <c r="F2414" t="s">
        <v>2622</v>
      </c>
      <c r="G2414" t="s">
        <v>2650</v>
      </c>
      <c r="H2414">
        <v>34338</v>
      </c>
      <c r="I2414" t="s">
        <v>423</v>
      </c>
      <c r="J2414" t="s">
        <v>2624</v>
      </c>
      <c r="K2414" t="s">
        <v>2625</v>
      </c>
      <c r="L2414" t="s">
        <v>2626</v>
      </c>
      <c r="M2414">
        <v>10</v>
      </c>
      <c r="N2414">
        <v>24.39</v>
      </c>
      <c r="O2414">
        <v>2752.41</v>
      </c>
      <c r="P2414">
        <v>0</v>
      </c>
      <c r="Q2414">
        <v>2752.41</v>
      </c>
      <c r="R2414">
        <v>440.39</v>
      </c>
      <c r="S2414">
        <v>110.1</v>
      </c>
      <c r="T2414">
        <v>3082.7</v>
      </c>
      <c r="U2414" t="s">
        <v>2627</v>
      </c>
      <c r="V2414" t="s">
        <v>9408</v>
      </c>
      <c r="W2414" t="s">
        <v>423</v>
      </c>
    </row>
    <row r="2415" spans="1:23" hidden="1" x14ac:dyDescent="0.2">
      <c r="A2415">
        <v>2012</v>
      </c>
      <c r="B2415" t="s">
        <v>303</v>
      </c>
      <c r="C2415" s="733">
        <v>40910</v>
      </c>
      <c r="D24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15" t="s">
        <v>478</v>
      </c>
      <c r="F2415" t="s">
        <v>2622</v>
      </c>
      <c r="G2415" t="s">
        <v>2784</v>
      </c>
      <c r="H2415">
        <v>34164</v>
      </c>
      <c r="I2415" t="s">
        <v>423</v>
      </c>
      <c r="J2415" t="s">
        <v>2624</v>
      </c>
      <c r="K2415" t="s">
        <v>2625</v>
      </c>
      <c r="L2415" t="s">
        <v>2626</v>
      </c>
      <c r="M2415">
        <v>10</v>
      </c>
      <c r="N2415">
        <v>24.21</v>
      </c>
      <c r="O2415">
        <v>1150.46</v>
      </c>
      <c r="P2415">
        <v>1295.0728220000001</v>
      </c>
      <c r="Q2415">
        <v>2445.5328220000001</v>
      </c>
      <c r="R2415">
        <v>391.28525200000001</v>
      </c>
      <c r="S2415">
        <v>97.821313000000004</v>
      </c>
      <c r="T2415">
        <v>2738.9967609999999</v>
      </c>
      <c r="U2415" t="s">
        <v>2665</v>
      </c>
      <c r="V2415" t="s">
        <v>9408</v>
      </c>
      <c r="W2415" t="s">
        <v>423</v>
      </c>
    </row>
    <row r="2416" spans="1:23" hidden="1" x14ac:dyDescent="0.2">
      <c r="A2416">
        <v>2012</v>
      </c>
      <c r="B2416" t="s">
        <v>303</v>
      </c>
      <c r="C2416" s="733">
        <v>40932.55846064815</v>
      </c>
      <c r="D24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16" t="s">
        <v>478</v>
      </c>
      <c r="F2416" t="s">
        <v>2622</v>
      </c>
      <c r="G2416" t="s">
        <v>2632</v>
      </c>
      <c r="H2416">
        <v>34908</v>
      </c>
      <c r="I2416" t="s">
        <v>423</v>
      </c>
      <c r="J2416" t="s">
        <v>2624</v>
      </c>
      <c r="K2416" t="s">
        <v>2625</v>
      </c>
      <c r="L2416" t="s">
        <v>2626</v>
      </c>
      <c r="M2416">
        <v>10</v>
      </c>
      <c r="N2416">
        <v>26.03</v>
      </c>
      <c r="O2416">
        <v>2937.49</v>
      </c>
      <c r="P2416">
        <v>0</v>
      </c>
      <c r="Q2416">
        <v>2937.49</v>
      </c>
      <c r="R2416">
        <v>470</v>
      </c>
      <c r="S2416">
        <v>117.5</v>
      </c>
      <c r="T2416">
        <v>3289.99</v>
      </c>
      <c r="U2416" t="s">
        <v>2633</v>
      </c>
      <c r="V2416" t="s">
        <v>9408</v>
      </c>
      <c r="W2416" t="s">
        <v>423</v>
      </c>
    </row>
    <row r="2417" spans="1:23" hidden="1" x14ac:dyDescent="0.2">
      <c r="A2417">
        <v>2012</v>
      </c>
      <c r="B2417" t="s">
        <v>304</v>
      </c>
      <c r="C2417" s="733">
        <v>40956.475717592592</v>
      </c>
      <c r="D24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17" t="s">
        <v>485</v>
      </c>
      <c r="F2417" t="s">
        <v>2054</v>
      </c>
      <c r="G2417" t="s">
        <v>7747</v>
      </c>
      <c r="H2417">
        <v>10462</v>
      </c>
      <c r="I2417" t="s">
        <v>423</v>
      </c>
      <c r="J2417" t="s">
        <v>2072</v>
      </c>
      <c r="K2417" t="s">
        <v>2057</v>
      </c>
      <c r="L2417" t="s">
        <v>2058</v>
      </c>
      <c r="M2417">
        <v>406</v>
      </c>
      <c r="N2417">
        <v>47.39</v>
      </c>
      <c r="O2417">
        <v>12950.74</v>
      </c>
      <c r="P2417">
        <v>0</v>
      </c>
      <c r="Q2417">
        <v>12950.74</v>
      </c>
      <c r="R2417">
        <v>1424.58</v>
      </c>
      <c r="S2417">
        <v>518.03</v>
      </c>
      <c r="T2417">
        <v>13857.29</v>
      </c>
      <c r="U2417" t="s">
        <v>8047</v>
      </c>
      <c r="V2417" t="s">
        <v>9409</v>
      </c>
      <c r="W2417" t="s">
        <v>423</v>
      </c>
    </row>
    <row r="2418" spans="1:23" hidden="1" x14ac:dyDescent="0.2">
      <c r="A2418">
        <v>2012</v>
      </c>
      <c r="B2418" t="s">
        <v>304</v>
      </c>
      <c r="C2418" s="733">
        <v>40946</v>
      </c>
      <c r="D24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18" t="s">
        <v>485</v>
      </c>
      <c r="F2418" t="s">
        <v>2048</v>
      </c>
      <c r="G2418" t="s">
        <v>6250</v>
      </c>
      <c r="H2418">
        <v>41511</v>
      </c>
      <c r="I2418" t="s">
        <v>423</v>
      </c>
      <c r="J2418" t="s">
        <v>4091</v>
      </c>
      <c r="K2418" t="s">
        <v>2051</v>
      </c>
      <c r="L2418" t="s">
        <v>2052</v>
      </c>
      <c r="M2418">
        <v>1092</v>
      </c>
      <c r="N2418">
        <v>25.9</v>
      </c>
      <c r="O2418">
        <v>15112.65</v>
      </c>
      <c r="P2418">
        <v>0</v>
      </c>
      <c r="Q2418">
        <v>15112.65</v>
      </c>
      <c r="R2418">
        <v>2418.02</v>
      </c>
      <c r="S2418">
        <v>604.51</v>
      </c>
      <c r="T2418">
        <v>16926.16</v>
      </c>
      <c r="U2418" t="s">
        <v>8257</v>
      </c>
      <c r="V2418" t="s">
        <v>9408</v>
      </c>
      <c r="W2418" t="s">
        <v>423</v>
      </c>
    </row>
    <row r="2419" spans="1:23" hidden="1" x14ac:dyDescent="0.2">
      <c r="A2419">
        <v>2012</v>
      </c>
      <c r="B2419" t="s">
        <v>303</v>
      </c>
      <c r="C2419" s="733">
        <v>40924</v>
      </c>
      <c r="D24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19" t="s">
        <v>485</v>
      </c>
      <c r="F2419" t="s">
        <v>2065</v>
      </c>
      <c r="G2419" t="s">
        <v>5997</v>
      </c>
      <c r="H2419">
        <v>40291</v>
      </c>
      <c r="I2419" t="s">
        <v>423</v>
      </c>
      <c r="J2419" t="s">
        <v>3972</v>
      </c>
      <c r="K2419" t="s">
        <v>2183</v>
      </c>
      <c r="L2419" t="s">
        <v>2115</v>
      </c>
      <c r="M2419">
        <v>184</v>
      </c>
      <c r="N2419">
        <v>24.27</v>
      </c>
      <c r="O2419">
        <v>4318.12</v>
      </c>
      <c r="P2419">
        <v>0</v>
      </c>
      <c r="Q2419">
        <v>4318.12</v>
      </c>
      <c r="R2419">
        <v>690.9</v>
      </c>
      <c r="S2419">
        <v>172.72</v>
      </c>
      <c r="T2419">
        <v>4836.3</v>
      </c>
      <c r="U2419" t="s">
        <v>7554</v>
      </c>
      <c r="V2419" t="s">
        <v>9408</v>
      </c>
      <c r="W2419" t="s">
        <v>423</v>
      </c>
    </row>
    <row r="2420" spans="1:23" hidden="1" x14ac:dyDescent="0.2">
      <c r="A2420">
        <v>2012</v>
      </c>
      <c r="B2420" t="s">
        <v>303</v>
      </c>
      <c r="C2420" s="733">
        <v>40918</v>
      </c>
      <c r="D24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20" t="s">
        <v>485</v>
      </c>
      <c r="F2420" t="s">
        <v>2065</v>
      </c>
      <c r="G2420" t="s">
        <v>5998</v>
      </c>
      <c r="H2420">
        <v>39929</v>
      </c>
      <c r="I2420" t="s">
        <v>423</v>
      </c>
      <c r="J2420" t="s">
        <v>3972</v>
      </c>
      <c r="K2420" t="s">
        <v>2183</v>
      </c>
      <c r="L2420" t="s">
        <v>2184</v>
      </c>
      <c r="M2420">
        <v>184</v>
      </c>
      <c r="N2420">
        <v>26.48</v>
      </c>
      <c r="O2420">
        <v>4711.32</v>
      </c>
      <c r="P2420">
        <v>0</v>
      </c>
      <c r="Q2420">
        <v>4711.32</v>
      </c>
      <c r="R2420">
        <v>753.81</v>
      </c>
      <c r="S2420">
        <v>188.45</v>
      </c>
      <c r="T2420">
        <v>5276.68</v>
      </c>
      <c r="U2420" t="s">
        <v>7520</v>
      </c>
      <c r="V2420" t="s">
        <v>9408</v>
      </c>
      <c r="W2420" t="s">
        <v>423</v>
      </c>
    </row>
    <row r="2421" spans="1:23" hidden="1" x14ac:dyDescent="0.2">
      <c r="A2421">
        <v>2012</v>
      </c>
      <c r="B2421" t="s">
        <v>304</v>
      </c>
      <c r="C2421" s="733">
        <v>40960</v>
      </c>
      <c r="D24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21" t="s">
        <v>505</v>
      </c>
      <c r="F2421" t="s">
        <v>1915</v>
      </c>
      <c r="G2421" t="s">
        <v>8369</v>
      </c>
      <c r="H2421">
        <v>22895</v>
      </c>
      <c r="I2421" t="s">
        <v>423</v>
      </c>
      <c r="J2421" t="s">
        <v>1943</v>
      </c>
      <c r="K2421" t="s">
        <v>1918</v>
      </c>
      <c r="L2421" t="s">
        <v>1919</v>
      </c>
      <c r="M2421">
        <v>319</v>
      </c>
      <c r="N2421">
        <v>53.81</v>
      </c>
      <c r="O2421">
        <v>15779.24</v>
      </c>
      <c r="P2421">
        <v>0</v>
      </c>
      <c r="Q2421">
        <v>15779.24</v>
      </c>
      <c r="R2421">
        <v>2524.6799999999998</v>
      </c>
      <c r="S2421">
        <v>631.16999999999996</v>
      </c>
      <c r="T2421">
        <v>17672.75</v>
      </c>
      <c r="U2421" t="s">
        <v>8491</v>
      </c>
      <c r="V2421" t="s">
        <v>9409</v>
      </c>
      <c r="W2421" t="s">
        <v>423</v>
      </c>
    </row>
    <row r="2422" spans="1:23" hidden="1" x14ac:dyDescent="0.2">
      <c r="A2422">
        <v>2012</v>
      </c>
      <c r="B2422" t="s">
        <v>304</v>
      </c>
      <c r="C2422" s="733">
        <v>40957</v>
      </c>
      <c r="D24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22" t="s">
        <v>505</v>
      </c>
      <c r="F2422" t="s">
        <v>1915</v>
      </c>
      <c r="G2422" t="s">
        <v>7664</v>
      </c>
      <c r="H2422">
        <v>22829</v>
      </c>
      <c r="I2422" t="s">
        <v>424</v>
      </c>
      <c r="J2422" t="s">
        <v>7665</v>
      </c>
      <c r="K2422" t="s">
        <v>1918</v>
      </c>
      <c r="L2422" t="s">
        <v>1919</v>
      </c>
      <c r="M2422">
        <v>737</v>
      </c>
      <c r="N2422">
        <v>30</v>
      </c>
      <c r="O2422">
        <v>10279.200000000001</v>
      </c>
      <c r="P2422">
        <v>0</v>
      </c>
      <c r="Q2422">
        <v>10279.200000000001</v>
      </c>
      <c r="R2422">
        <v>1644.67</v>
      </c>
      <c r="S2422">
        <v>411.17</v>
      </c>
      <c r="T2422">
        <v>11512.7</v>
      </c>
      <c r="U2422" t="s">
        <v>8491</v>
      </c>
      <c r="V2422" t="s">
        <v>9408</v>
      </c>
      <c r="W2422" t="s">
        <v>424</v>
      </c>
    </row>
    <row r="2423" spans="1:23" hidden="1" x14ac:dyDescent="0.2">
      <c r="A2423">
        <v>2012</v>
      </c>
      <c r="B2423" t="s">
        <v>304</v>
      </c>
      <c r="C2423" s="733">
        <v>40968</v>
      </c>
      <c r="D24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23" t="s">
        <v>505</v>
      </c>
      <c r="F2423" t="s">
        <v>1915</v>
      </c>
      <c r="G2423" t="s">
        <v>9464</v>
      </c>
      <c r="H2423">
        <v>23072</v>
      </c>
      <c r="I2423" t="s">
        <v>423</v>
      </c>
      <c r="J2423" t="s">
        <v>1943</v>
      </c>
      <c r="K2423" t="s">
        <v>1918</v>
      </c>
      <c r="L2423" t="s">
        <v>1919</v>
      </c>
      <c r="M2423">
        <v>319</v>
      </c>
      <c r="N2423">
        <v>53.67</v>
      </c>
      <c r="O2423">
        <v>15738.19</v>
      </c>
      <c r="P2423">
        <v>0</v>
      </c>
      <c r="Q2423">
        <v>15738.19</v>
      </c>
      <c r="R2423">
        <v>2518.11</v>
      </c>
      <c r="S2423">
        <v>629.53</v>
      </c>
      <c r="T2423">
        <v>17626.77</v>
      </c>
      <c r="V2423" t="s">
        <v>9409</v>
      </c>
      <c r="W2423" t="s">
        <v>423</v>
      </c>
    </row>
    <row r="2424" spans="1:23" hidden="1" x14ac:dyDescent="0.2">
      <c r="A2424">
        <v>2012</v>
      </c>
      <c r="B2424" t="s">
        <v>303</v>
      </c>
      <c r="C2424" s="733">
        <v>40932</v>
      </c>
      <c r="D24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24" t="s">
        <v>505</v>
      </c>
      <c r="F2424" t="s">
        <v>1915</v>
      </c>
      <c r="G2424" t="s">
        <v>2516</v>
      </c>
      <c r="H2424">
        <v>22190</v>
      </c>
      <c r="I2424" t="s">
        <v>423</v>
      </c>
      <c r="J2424" t="s">
        <v>1943</v>
      </c>
      <c r="K2424" t="s">
        <v>1918</v>
      </c>
      <c r="L2424" t="s">
        <v>1919</v>
      </c>
      <c r="M2424">
        <v>319</v>
      </c>
      <c r="N2424">
        <v>53.93</v>
      </c>
      <c r="O2424">
        <v>15814.43</v>
      </c>
      <c r="P2424">
        <v>0</v>
      </c>
      <c r="Q2424">
        <v>15814.43</v>
      </c>
      <c r="R2424">
        <v>2530.31</v>
      </c>
      <c r="S2424">
        <v>632.58000000000004</v>
      </c>
      <c r="T2424">
        <v>17712.16</v>
      </c>
      <c r="U2424" t="s">
        <v>1936</v>
      </c>
      <c r="V2424" t="s">
        <v>9409</v>
      </c>
      <c r="W2424" t="s">
        <v>423</v>
      </c>
    </row>
    <row r="2425" spans="1:23" hidden="1" x14ac:dyDescent="0.2">
      <c r="A2425">
        <v>2012</v>
      </c>
      <c r="B2425" t="s">
        <v>303</v>
      </c>
      <c r="C2425" s="733">
        <v>40935</v>
      </c>
      <c r="D24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25" t="s">
        <v>505</v>
      </c>
      <c r="F2425" t="s">
        <v>1915</v>
      </c>
      <c r="G2425" t="s">
        <v>2518</v>
      </c>
      <c r="H2425">
        <v>22308</v>
      </c>
      <c r="I2425" t="s">
        <v>423</v>
      </c>
      <c r="J2425" t="s">
        <v>1943</v>
      </c>
      <c r="K2425" t="s">
        <v>1918</v>
      </c>
      <c r="L2425" t="s">
        <v>1919</v>
      </c>
      <c r="M2425">
        <v>319</v>
      </c>
      <c r="N2425">
        <v>54.23</v>
      </c>
      <c r="O2425">
        <v>15902.41</v>
      </c>
      <c r="P2425">
        <v>0</v>
      </c>
      <c r="Q2425">
        <v>15902.41</v>
      </c>
      <c r="R2425">
        <v>2544.38</v>
      </c>
      <c r="S2425">
        <v>636.1</v>
      </c>
      <c r="T2425">
        <v>17810.689999999999</v>
      </c>
      <c r="U2425" t="s">
        <v>1926</v>
      </c>
      <c r="V2425" t="s">
        <v>9409</v>
      </c>
      <c r="W2425" t="s">
        <v>423</v>
      </c>
    </row>
    <row r="2426" spans="1:23" hidden="1" x14ac:dyDescent="0.2">
      <c r="A2426">
        <v>2012</v>
      </c>
      <c r="B2426" t="s">
        <v>303</v>
      </c>
      <c r="C2426" s="733">
        <v>40918</v>
      </c>
      <c r="D24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26" t="s">
        <v>478</v>
      </c>
      <c r="F2426" t="s">
        <v>2622</v>
      </c>
      <c r="G2426" t="s">
        <v>3375</v>
      </c>
      <c r="H2426">
        <v>34337</v>
      </c>
      <c r="I2426" t="s">
        <v>423</v>
      </c>
      <c r="J2426" t="s">
        <v>2624</v>
      </c>
      <c r="K2426" t="s">
        <v>2625</v>
      </c>
      <c r="L2426" t="s">
        <v>2626</v>
      </c>
      <c r="M2426">
        <v>10</v>
      </c>
      <c r="N2426">
        <v>24.46</v>
      </c>
      <c r="O2426">
        <v>2760.31</v>
      </c>
      <c r="P2426">
        <v>0</v>
      </c>
      <c r="Q2426">
        <v>2760.31</v>
      </c>
      <c r="R2426">
        <v>441.65</v>
      </c>
      <c r="S2426">
        <v>110.41</v>
      </c>
      <c r="T2426">
        <v>3091.55</v>
      </c>
      <c r="U2426" t="s">
        <v>2635</v>
      </c>
      <c r="V2426" t="s">
        <v>9408</v>
      </c>
      <c r="W2426" t="s">
        <v>423</v>
      </c>
    </row>
    <row r="2427" spans="1:23" hidden="1" x14ac:dyDescent="0.2">
      <c r="A2427">
        <v>2012</v>
      </c>
      <c r="B2427" t="s">
        <v>303</v>
      </c>
      <c r="C2427" s="733">
        <v>40933</v>
      </c>
      <c r="D24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27" t="s">
        <v>478</v>
      </c>
      <c r="F2427" t="s">
        <v>2622</v>
      </c>
      <c r="G2427" t="s">
        <v>3368</v>
      </c>
      <c r="H2427">
        <v>34859</v>
      </c>
      <c r="I2427" t="s">
        <v>423</v>
      </c>
      <c r="J2427" t="s">
        <v>2624</v>
      </c>
      <c r="K2427" t="s">
        <v>2625</v>
      </c>
      <c r="L2427" t="s">
        <v>2626</v>
      </c>
      <c r="M2427">
        <v>10</v>
      </c>
      <c r="N2427">
        <v>25.26</v>
      </c>
      <c r="O2427">
        <v>2850.59</v>
      </c>
      <c r="P2427">
        <v>0</v>
      </c>
      <c r="Q2427">
        <v>2850.59</v>
      </c>
      <c r="R2427">
        <v>456.09</v>
      </c>
      <c r="S2427">
        <v>114.02</v>
      </c>
      <c r="T2427">
        <v>3192.66</v>
      </c>
      <c r="U2427" t="s">
        <v>2630</v>
      </c>
      <c r="V2427" t="s">
        <v>9408</v>
      </c>
      <c r="W2427" t="s">
        <v>423</v>
      </c>
    </row>
    <row r="2428" spans="1:23" hidden="1" x14ac:dyDescent="0.2">
      <c r="A2428">
        <v>2012</v>
      </c>
      <c r="B2428" t="s">
        <v>304</v>
      </c>
      <c r="C2428" s="733">
        <v>40954</v>
      </c>
      <c r="D24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28" t="s">
        <v>478</v>
      </c>
      <c r="F2428" t="s">
        <v>2136</v>
      </c>
      <c r="G2428" t="s">
        <v>7716</v>
      </c>
      <c r="H2428">
        <v>35606</v>
      </c>
      <c r="I2428" t="s">
        <v>423</v>
      </c>
      <c r="J2428" t="s">
        <v>2624</v>
      </c>
      <c r="K2428" t="s">
        <v>2625</v>
      </c>
      <c r="L2428" t="s">
        <v>2626</v>
      </c>
      <c r="M2428">
        <v>10</v>
      </c>
      <c r="N2428">
        <v>22.37</v>
      </c>
      <c r="O2428">
        <v>2524.4499999999998</v>
      </c>
      <c r="P2428">
        <v>0</v>
      </c>
      <c r="Q2428">
        <v>2524.4499999999998</v>
      </c>
      <c r="R2428">
        <v>403.91</v>
      </c>
      <c r="S2428">
        <v>100.98</v>
      </c>
      <c r="T2428">
        <v>2827.38</v>
      </c>
      <c r="V2428" t="s">
        <v>9408</v>
      </c>
      <c r="W2428" t="s">
        <v>423</v>
      </c>
    </row>
    <row r="2429" spans="1:23" hidden="1" x14ac:dyDescent="0.2">
      <c r="A2429">
        <v>2012</v>
      </c>
      <c r="B2429" t="s">
        <v>304</v>
      </c>
      <c r="C2429" s="733">
        <v>40968.747650462959</v>
      </c>
      <c r="D24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29" t="s">
        <v>478</v>
      </c>
      <c r="F2429" t="s">
        <v>2136</v>
      </c>
      <c r="G2429" t="s">
        <v>9472</v>
      </c>
      <c r="H2429">
        <v>36195</v>
      </c>
      <c r="I2429" t="s">
        <v>423</v>
      </c>
      <c r="J2429" t="s">
        <v>2668</v>
      </c>
      <c r="K2429" t="s">
        <v>2625</v>
      </c>
      <c r="L2429" t="s">
        <v>2626</v>
      </c>
      <c r="M2429">
        <v>76</v>
      </c>
      <c r="N2429">
        <v>22</v>
      </c>
      <c r="O2429">
        <v>2482.6999999999998</v>
      </c>
      <c r="P2429">
        <v>0</v>
      </c>
      <c r="Q2429">
        <v>2482.6999999999998</v>
      </c>
      <c r="R2429">
        <v>397.23</v>
      </c>
      <c r="S2429">
        <v>99.31</v>
      </c>
      <c r="T2429">
        <v>2780.62</v>
      </c>
      <c r="V2429" t="s">
        <v>9408</v>
      </c>
      <c r="W2429" t="s">
        <v>423</v>
      </c>
    </row>
    <row r="2430" spans="1:23" hidden="1" x14ac:dyDescent="0.2">
      <c r="A2430">
        <v>2012</v>
      </c>
      <c r="B2430" t="s">
        <v>303</v>
      </c>
      <c r="C2430" s="733">
        <v>40933</v>
      </c>
      <c r="D24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30" t="s">
        <v>478</v>
      </c>
      <c r="F2430" t="s">
        <v>2622</v>
      </c>
      <c r="G2430" t="s">
        <v>5979</v>
      </c>
      <c r="H2430">
        <v>34851</v>
      </c>
      <c r="I2430" t="s">
        <v>423</v>
      </c>
      <c r="J2430" t="s">
        <v>2668</v>
      </c>
      <c r="K2430" t="s">
        <v>2625</v>
      </c>
      <c r="L2430" t="s">
        <v>2626</v>
      </c>
      <c r="M2430">
        <v>76</v>
      </c>
      <c r="N2430">
        <v>26.03</v>
      </c>
      <c r="O2430">
        <v>2937.49</v>
      </c>
      <c r="P2430">
        <v>0</v>
      </c>
      <c r="Q2430">
        <v>2937.49</v>
      </c>
      <c r="R2430">
        <v>470</v>
      </c>
      <c r="S2430">
        <v>117.5</v>
      </c>
      <c r="T2430">
        <v>3289.99</v>
      </c>
      <c r="U2430" t="s">
        <v>2633</v>
      </c>
      <c r="V2430" t="s">
        <v>9408</v>
      </c>
      <c r="W2430" t="s">
        <v>423</v>
      </c>
    </row>
    <row r="2431" spans="1:23" hidden="1" x14ac:dyDescent="0.2">
      <c r="A2431">
        <v>2012</v>
      </c>
      <c r="B2431" t="s">
        <v>304</v>
      </c>
      <c r="C2431" s="733">
        <v>40963</v>
      </c>
      <c r="D24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31" t="s">
        <v>478</v>
      </c>
      <c r="F2431" t="s">
        <v>2622</v>
      </c>
      <c r="G2431" t="s">
        <v>9216</v>
      </c>
      <c r="H2431">
        <v>35867</v>
      </c>
      <c r="I2431" t="s">
        <v>423</v>
      </c>
      <c r="J2431" t="s">
        <v>2668</v>
      </c>
      <c r="K2431" t="s">
        <v>2625</v>
      </c>
      <c r="L2431" t="s">
        <v>2626</v>
      </c>
      <c r="M2431">
        <v>76</v>
      </c>
      <c r="N2431">
        <v>23.75</v>
      </c>
      <c r="O2431">
        <v>2680.19</v>
      </c>
      <c r="P2431">
        <v>0</v>
      </c>
      <c r="Q2431">
        <v>2680.19</v>
      </c>
      <c r="R2431">
        <v>428.83</v>
      </c>
      <c r="S2431">
        <v>107.21</v>
      </c>
      <c r="T2431">
        <v>3001.81</v>
      </c>
      <c r="U2431" t="s">
        <v>9428</v>
      </c>
      <c r="V2431" t="s">
        <v>9408</v>
      </c>
      <c r="W2431" t="s">
        <v>423</v>
      </c>
    </row>
    <row r="2432" spans="1:23" hidden="1" x14ac:dyDescent="0.2">
      <c r="A2432">
        <v>2012</v>
      </c>
      <c r="B2432" t="s">
        <v>303</v>
      </c>
      <c r="C2432" s="733">
        <v>40914.853807870371</v>
      </c>
      <c r="D24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32" t="s">
        <v>478</v>
      </c>
      <c r="F2432" t="s">
        <v>2622</v>
      </c>
      <c r="G2432" t="s">
        <v>5978</v>
      </c>
      <c r="H2432">
        <v>34282</v>
      </c>
      <c r="I2432" t="s">
        <v>423</v>
      </c>
      <c r="J2432" t="s">
        <v>2668</v>
      </c>
      <c r="K2432" t="s">
        <v>2625</v>
      </c>
      <c r="L2432" t="s">
        <v>2626</v>
      </c>
      <c r="M2432">
        <v>76</v>
      </c>
      <c r="N2432">
        <v>23.29</v>
      </c>
      <c r="O2432">
        <v>2628.28</v>
      </c>
      <c r="P2432">
        <v>0</v>
      </c>
      <c r="Q2432">
        <v>2628.28</v>
      </c>
      <c r="R2432">
        <v>420.52</v>
      </c>
      <c r="S2432">
        <v>105.13</v>
      </c>
      <c r="T2432">
        <v>2943.67</v>
      </c>
      <c r="V2432" t="s">
        <v>9408</v>
      </c>
      <c r="W2432" t="s">
        <v>423</v>
      </c>
    </row>
    <row r="2433" spans="1:23" hidden="1" x14ac:dyDescent="0.2">
      <c r="A2433">
        <v>2012</v>
      </c>
      <c r="B2433" t="s">
        <v>303</v>
      </c>
      <c r="C2433" s="733">
        <v>40918</v>
      </c>
      <c r="D24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33" t="s">
        <v>478</v>
      </c>
      <c r="F2433" t="s">
        <v>2142</v>
      </c>
      <c r="G2433" t="s">
        <v>3371</v>
      </c>
      <c r="H2433">
        <v>34335</v>
      </c>
      <c r="I2433" t="s">
        <v>423</v>
      </c>
      <c r="J2433" t="s">
        <v>2639</v>
      </c>
      <c r="K2433" t="s">
        <v>2640</v>
      </c>
      <c r="L2433" t="s">
        <v>2641</v>
      </c>
      <c r="M2433">
        <v>274</v>
      </c>
      <c r="N2433">
        <v>50.03</v>
      </c>
      <c r="O2433">
        <v>6430.86</v>
      </c>
      <c r="P2433">
        <v>0</v>
      </c>
      <c r="Q2433">
        <v>6430.86</v>
      </c>
      <c r="R2433">
        <v>1028.94</v>
      </c>
      <c r="S2433">
        <v>257.23</v>
      </c>
      <c r="T2433">
        <v>7202.57</v>
      </c>
      <c r="U2433" t="s">
        <v>2992</v>
      </c>
      <c r="V2433" t="s">
        <v>9409</v>
      </c>
      <c r="W2433" t="s">
        <v>423</v>
      </c>
    </row>
    <row r="2434" spans="1:23" hidden="1" x14ac:dyDescent="0.2">
      <c r="A2434">
        <v>2012</v>
      </c>
      <c r="B2434" t="s">
        <v>303</v>
      </c>
      <c r="C2434" s="733">
        <v>40926</v>
      </c>
      <c r="D24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34" t="s">
        <v>485</v>
      </c>
      <c r="F2434" t="s">
        <v>2054</v>
      </c>
      <c r="G2434" t="s">
        <v>6258</v>
      </c>
      <c r="H2434">
        <v>40526</v>
      </c>
      <c r="I2434" t="s">
        <v>423</v>
      </c>
      <c r="J2434" t="s">
        <v>4093</v>
      </c>
      <c r="K2434" t="s">
        <v>2051</v>
      </c>
      <c r="L2434" t="s">
        <v>2052</v>
      </c>
      <c r="M2434">
        <v>647</v>
      </c>
      <c r="N2434">
        <v>48.35</v>
      </c>
      <c r="O2434">
        <v>18292.259999999998</v>
      </c>
      <c r="P2434">
        <v>0</v>
      </c>
      <c r="Q2434">
        <v>18292.259999999998</v>
      </c>
      <c r="R2434">
        <v>2926.76</v>
      </c>
      <c r="S2434">
        <v>731.69</v>
      </c>
      <c r="T2434">
        <v>20487.330000000002</v>
      </c>
      <c r="U2434" t="s">
        <v>2062</v>
      </c>
      <c r="V2434" t="s">
        <v>9409</v>
      </c>
      <c r="W2434" t="s">
        <v>423</v>
      </c>
    </row>
    <row r="2435" spans="1:23" hidden="1" x14ac:dyDescent="0.2">
      <c r="A2435">
        <v>2012</v>
      </c>
      <c r="B2435" t="s">
        <v>304</v>
      </c>
      <c r="C2435" s="733">
        <v>40961</v>
      </c>
      <c r="D24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35" t="s">
        <v>478</v>
      </c>
      <c r="F2435" t="s">
        <v>2142</v>
      </c>
      <c r="G2435" t="s">
        <v>8404</v>
      </c>
      <c r="H2435">
        <v>35904</v>
      </c>
      <c r="I2435" t="s">
        <v>423</v>
      </c>
      <c r="J2435" t="s">
        <v>2639</v>
      </c>
      <c r="K2435" t="s">
        <v>2640</v>
      </c>
      <c r="L2435" t="s">
        <v>2641</v>
      </c>
      <c r="M2435">
        <v>274</v>
      </c>
      <c r="N2435">
        <v>48.11</v>
      </c>
      <c r="O2435">
        <v>6184.06</v>
      </c>
      <c r="P2435">
        <v>0</v>
      </c>
      <c r="Q2435">
        <v>6184.06</v>
      </c>
      <c r="R2435">
        <v>989.45</v>
      </c>
      <c r="S2435">
        <v>247.36</v>
      </c>
      <c r="T2435">
        <v>6926.15</v>
      </c>
      <c r="U2435" t="s">
        <v>8307</v>
      </c>
      <c r="V2435" t="s">
        <v>9409</v>
      </c>
      <c r="W2435" t="s">
        <v>423</v>
      </c>
    </row>
    <row r="2436" spans="1:23" hidden="1" x14ac:dyDescent="0.2">
      <c r="A2436">
        <v>2012</v>
      </c>
      <c r="B2436" t="s">
        <v>303</v>
      </c>
      <c r="C2436" s="733">
        <v>40938.926539351851</v>
      </c>
      <c r="D24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36" t="s">
        <v>478</v>
      </c>
      <c r="F2436" t="s">
        <v>2622</v>
      </c>
      <c r="G2436" t="s">
        <v>4100</v>
      </c>
      <c r="H2436">
        <v>35084</v>
      </c>
      <c r="I2436" t="s">
        <v>423</v>
      </c>
      <c r="J2436" t="s">
        <v>2624</v>
      </c>
      <c r="K2436" t="s">
        <v>2625</v>
      </c>
      <c r="L2436" t="s">
        <v>2626</v>
      </c>
      <c r="M2436">
        <v>10</v>
      </c>
      <c r="N2436">
        <v>24.45</v>
      </c>
      <c r="O2436">
        <v>2759.18</v>
      </c>
      <c r="P2436">
        <v>0</v>
      </c>
      <c r="Q2436">
        <v>2759.18</v>
      </c>
      <c r="R2436">
        <v>441.47</v>
      </c>
      <c r="S2436">
        <v>110.37</v>
      </c>
      <c r="T2436">
        <v>3090.28</v>
      </c>
      <c r="U2436" t="s">
        <v>2630</v>
      </c>
      <c r="V2436" t="s">
        <v>9408</v>
      </c>
      <c r="W2436" t="s">
        <v>423</v>
      </c>
    </row>
    <row r="2437" spans="1:23" hidden="1" x14ac:dyDescent="0.2">
      <c r="A2437">
        <v>2012</v>
      </c>
      <c r="B2437" t="s">
        <v>304</v>
      </c>
      <c r="C2437" s="733">
        <v>40967.459108796298</v>
      </c>
      <c r="D24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37" t="s">
        <v>478</v>
      </c>
      <c r="F2437" t="s">
        <v>2622</v>
      </c>
      <c r="G2437" t="s">
        <v>9210</v>
      </c>
      <c r="H2437">
        <v>36109</v>
      </c>
      <c r="I2437" t="s">
        <v>423</v>
      </c>
      <c r="J2437" t="s">
        <v>2624</v>
      </c>
      <c r="K2437" t="s">
        <v>2625</v>
      </c>
      <c r="L2437" t="s">
        <v>2626</v>
      </c>
      <c r="M2437">
        <v>10</v>
      </c>
      <c r="N2437">
        <v>26.13</v>
      </c>
      <c r="O2437">
        <v>2948.77</v>
      </c>
      <c r="P2437">
        <v>0</v>
      </c>
      <c r="Q2437">
        <v>2948.77</v>
      </c>
      <c r="R2437">
        <v>471.8</v>
      </c>
      <c r="S2437">
        <v>117.95</v>
      </c>
      <c r="T2437">
        <v>3302.62</v>
      </c>
      <c r="U2437" t="s">
        <v>9428</v>
      </c>
      <c r="V2437" t="s">
        <v>9408</v>
      </c>
      <c r="W2437" t="s">
        <v>423</v>
      </c>
    </row>
    <row r="2438" spans="1:23" hidden="1" x14ac:dyDescent="0.2">
      <c r="A2438">
        <v>2012</v>
      </c>
      <c r="B2438" t="s">
        <v>303</v>
      </c>
      <c r="C2438" s="733">
        <v>40926.743067129632</v>
      </c>
      <c r="D24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38" t="s">
        <v>478</v>
      </c>
      <c r="F2438" t="s">
        <v>2622</v>
      </c>
      <c r="G2438" t="s">
        <v>3385</v>
      </c>
      <c r="H2438">
        <v>34691</v>
      </c>
      <c r="I2438" t="s">
        <v>423</v>
      </c>
      <c r="J2438" t="s">
        <v>2624</v>
      </c>
      <c r="K2438" t="s">
        <v>2625</v>
      </c>
      <c r="L2438" t="s">
        <v>2626</v>
      </c>
      <c r="M2438">
        <v>10</v>
      </c>
      <c r="N2438">
        <v>27.2</v>
      </c>
      <c r="O2438">
        <v>3069.52</v>
      </c>
      <c r="P2438">
        <v>0</v>
      </c>
      <c r="Q2438">
        <v>3069.52</v>
      </c>
      <c r="R2438">
        <v>491.12</v>
      </c>
      <c r="S2438">
        <v>122.78</v>
      </c>
      <c r="T2438">
        <v>3437.86</v>
      </c>
      <c r="U2438" t="s">
        <v>2635</v>
      </c>
      <c r="V2438" t="s">
        <v>9408</v>
      </c>
      <c r="W2438" t="s">
        <v>423</v>
      </c>
    </row>
    <row r="2439" spans="1:23" hidden="1" x14ac:dyDescent="0.2">
      <c r="A2439">
        <v>2012</v>
      </c>
      <c r="B2439" t="s">
        <v>303</v>
      </c>
      <c r="C2439" s="733">
        <v>40936.441261574073</v>
      </c>
      <c r="D24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39" t="s">
        <v>478</v>
      </c>
      <c r="F2439" t="s">
        <v>2136</v>
      </c>
      <c r="G2439" t="s">
        <v>3370</v>
      </c>
      <c r="H2439">
        <v>35056</v>
      </c>
      <c r="I2439" t="s">
        <v>423</v>
      </c>
      <c r="J2439" t="s">
        <v>2624</v>
      </c>
      <c r="K2439" t="s">
        <v>2625</v>
      </c>
      <c r="L2439" t="s">
        <v>2626</v>
      </c>
      <c r="M2439">
        <v>10</v>
      </c>
      <c r="N2439">
        <v>23.59</v>
      </c>
      <c r="O2439">
        <v>2662.13</v>
      </c>
      <c r="P2439">
        <v>0</v>
      </c>
      <c r="Q2439">
        <v>2662.13</v>
      </c>
      <c r="R2439">
        <v>425.94</v>
      </c>
      <c r="S2439">
        <v>106.49</v>
      </c>
      <c r="T2439">
        <v>2981.58</v>
      </c>
      <c r="U2439" t="s">
        <v>2648</v>
      </c>
      <c r="V2439" t="s">
        <v>9408</v>
      </c>
      <c r="W2439" t="s">
        <v>423</v>
      </c>
    </row>
    <row r="2440" spans="1:23" hidden="1" x14ac:dyDescent="0.2">
      <c r="A2440">
        <v>2012</v>
      </c>
      <c r="B2440" t="s">
        <v>303</v>
      </c>
      <c r="C2440" s="733">
        <v>40918</v>
      </c>
      <c r="D24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40" t="s">
        <v>478</v>
      </c>
      <c r="F2440" t="s">
        <v>2136</v>
      </c>
      <c r="G2440" t="s">
        <v>3369</v>
      </c>
      <c r="H2440">
        <v>34365</v>
      </c>
      <c r="I2440" t="s">
        <v>423</v>
      </c>
      <c r="J2440" t="s">
        <v>2624</v>
      </c>
      <c r="K2440" t="s">
        <v>2625</v>
      </c>
      <c r="L2440" t="s">
        <v>2626</v>
      </c>
      <c r="M2440">
        <v>10</v>
      </c>
      <c r="N2440">
        <v>22.53</v>
      </c>
      <c r="O2440">
        <v>2542.5100000000002</v>
      </c>
      <c r="P2440">
        <v>0</v>
      </c>
      <c r="Q2440">
        <v>2542.5100000000002</v>
      </c>
      <c r="R2440">
        <v>406.8</v>
      </c>
      <c r="S2440">
        <v>101.7</v>
      </c>
      <c r="T2440">
        <v>2847.61</v>
      </c>
      <c r="U2440" t="s">
        <v>2635</v>
      </c>
      <c r="V2440" t="s">
        <v>9408</v>
      </c>
      <c r="W2440" t="s">
        <v>423</v>
      </c>
    </row>
    <row r="2441" spans="1:23" hidden="1" x14ac:dyDescent="0.2">
      <c r="A2441">
        <v>2012</v>
      </c>
      <c r="B2441" t="s">
        <v>303</v>
      </c>
      <c r="C2441" s="733">
        <v>40914.854791666665</v>
      </c>
      <c r="D24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41" t="s">
        <v>478</v>
      </c>
      <c r="F2441" t="s">
        <v>2622</v>
      </c>
      <c r="G2441" t="s">
        <v>3367</v>
      </c>
      <c r="H2441">
        <v>34285</v>
      </c>
      <c r="I2441" t="s">
        <v>423</v>
      </c>
      <c r="J2441" t="s">
        <v>2624</v>
      </c>
      <c r="K2441" t="s">
        <v>2625</v>
      </c>
      <c r="L2441" t="s">
        <v>2626</v>
      </c>
      <c r="M2441">
        <v>10</v>
      </c>
      <c r="N2441">
        <v>24.98</v>
      </c>
      <c r="O2441">
        <v>2818.99</v>
      </c>
      <c r="P2441">
        <v>0</v>
      </c>
      <c r="Q2441">
        <v>2818.99</v>
      </c>
      <c r="R2441">
        <v>451.04</v>
      </c>
      <c r="S2441">
        <v>112.76</v>
      </c>
      <c r="T2441">
        <v>3157.27</v>
      </c>
      <c r="U2441" t="s">
        <v>2627</v>
      </c>
      <c r="V2441" t="s">
        <v>9408</v>
      </c>
      <c r="W2441" t="s">
        <v>423</v>
      </c>
    </row>
    <row r="2442" spans="1:23" hidden="1" x14ac:dyDescent="0.2">
      <c r="A2442">
        <v>2012</v>
      </c>
      <c r="B2442" t="s">
        <v>303</v>
      </c>
      <c r="C2442" s="733">
        <v>40927</v>
      </c>
      <c r="D24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42" t="s">
        <v>478</v>
      </c>
      <c r="F2442" t="s">
        <v>2622</v>
      </c>
      <c r="G2442" t="s">
        <v>3363</v>
      </c>
      <c r="H2442">
        <v>34627</v>
      </c>
      <c r="I2442" t="s">
        <v>423</v>
      </c>
      <c r="J2442" t="s">
        <v>2624</v>
      </c>
      <c r="K2442" t="s">
        <v>2625</v>
      </c>
      <c r="L2442" t="s">
        <v>2626</v>
      </c>
      <c r="M2442">
        <v>10</v>
      </c>
      <c r="N2442">
        <v>25.03</v>
      </c>
      <c r="O2442">
        <v>2824.64</v>
      </c>
      <c r="P2442">
        <v>0</v>
      </c>
      <c r="Q2442">
        <v>2824.64</v>
      </c>
      <c r="R2442">
        <v>451.94</v>
      </c>
      <c r="S2442">
        <v>112.99</v>
      </c>
      <c r="T2442">
        <v>3163.59</v>
      </c>
      <c r="U2442" t="s">
        <v>2635</v>
      </c>
      <c r="V2442" t="s">
        <v>9408</v>
      </c>
      <c r="W2442" t="s">
        <v>423</v>
      </c>
    </row>
    <row r="2443" spans="1:23" hidden="1" x14ac:dyDescent="0.2">
      <c r="A2443">
        <v>2012</v>
      </c>
      <c r="B2443" t="s">
        <v>303</v>
      </c>
      <c r="C2443" s="733">
        <v>40910</v>
      </c>
      <c r="D24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43" t="s">
        <v>478</v>
      </c>
      <c r="F2443" t="s">
        <v>2622</v>
      </c>
      <c r="G2443" t="s">
        <v>3366</v>
      </c>
      <c r="H2443">
        <v>34173</v>
      </c>
      <c r="I2443" t="s">
        <v>423</v>
      </c>
      <c r="J2443" t="s">
        <v>2624</v>
      </c>
      <c r="K2443" t="s">
        <v>2625</v>
      </c>
      <c r="L2443" t="s">
        <v>2626</v>
      </c>
      <c r="M2443">
        <v>10</v>
      </c>
      <c r="N2443">
        <v>24.63</v>
      </c>
      <c r="O2443">
        <v>1170.42</v>
      </c>
      <c r="P2443">
        <v>1317.541794</v>
      </c>
      <c r="Q2443">
        <v>2487.9617939999998</v>
      </c>
      <c r="R2443">
        <v>398.07388700000001</v>
      </c>
      <c r="S2443">
        <v>99.518472000000003</v>
      </c>
      <c r="T2443">
        <v>2786.5172090000001</v>
      </c>
      <c r="U2443" t="s">
        <v>2660</v>
      </c>
      <c r="V2443" t="s">
        <v>9408</v>
      </c>
      <c r="W2443" t="s">
        <v>423</v>
      </c>
    </row>
    <row r="2444" spans="1:23" hidden="1" x14ac:dyDescent="0.2">
      <c r="A2444">
        <v>2012</v>
      </c>
      <c r="B2444" t="s">
        <v>303</v>
      </c>
      <c r="C2444" s="733">
        <v>40939</v>
      </c>
      <c r="D24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44" t="s">
        <v>505</v>
      </c>
      <c r="F2444" t="s">
        <v>1915</v>
      </c>
      <c r="G2444" t="s">
        <v>3502</v>
      </c>
      <c r="H2444">
        <v>21657</v>
      </c>
      <c r="I2444" t="s">
        <v>423</v>
      </c>
      <c r="J2444" t="s">
        <v>1947</v>
      </c>
      <c r="K2444" t="s">
        <v>1918</v>
      </c>
      <c r="L2444" t="s">
        <v>1919</v>
      </c>
      <c r="M2444">
        <v>973</v>
      </c>
      <c r="N2444">
        <v>27.16</v>
      </c>
      <c r="O2444">
        <v>15860.35</v>
      </c>
      <c r="P2444">
        <v>0</v>
      </c>
      <c r="Q2444">
        <v>15860.35</v>
      </c>
      <c r="R2444">
        <v>2537.66</v>
      </c>
      <c r="S2444">
        <v>634.41</v>
      </c>
      <c r="T2444">
        <v>17763.599999999999</v>
      </c>
      <c r="U2444" t="s">
        <v>1936</v>
      </c>
      <c r="V2444" t="s">
        <v>9408</v>
      </c>
      <c r="W2444" t="s">
        <v>423</v>
      </c>
    </row>
    <row r="2445" spans="1:23" hidden="1" x14ac:dyDescent="0.2">
      <c r="A2445">
        <v>2012</v>
      </c>
      <c r="B2445" t="s">
        <v>303</v>
      </c>
      <c r="C2445" s="733">
        <v>40925</v>
      </c>
      <c r="D24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45" t="s">
        <v>505</v>
      </c>
      <c r="F2445" t="s">
        <v>1915</v>
      </c>
      <c r="G2445" t="s">
        <v>5499</v>
      </c>
      <c r="H2445">
        <v>22021</v>
      </c>
      <c r="I2445" t="s">
        <v>423</v>
      </c>
      <c r="J2445" t="s">
        <v>4158</v>
      </c>
      <c r="K2445" t="s">
        <v>1918</v>
      </c>
      <c r="L2445" t="s">
        <v>1919</v>
      </c>
      <c r="M2445">
        <v>274</v>
      </c>
      <c r="N2445">
        <v>27.28</v>
      </c>
      <c r="O2445">
        <v>7532.01</v>
      </c>
      <c r="P2445">
        <v>0</v>
      </c>
      <c r="Q2445">
        <v>7532.01</v>
      </c>
      <c r="R2445">
        <v>1205.1199999999999</v>
      </c>
      <c r="S2445">
        <v>301.27999999999997</v>
      </c>
      <c r="T2445">
        <v>8435.85</v>
      </c>
      <c r="U2445" t="s">
        <v>1936</v>
      </c>
      <c r="V2445" t="s">
        <v>9408</v>
      </c>
      <c r="W2445" t="s">
        <v>423</v>
      </c>
    </row>
    <row r="2446" spans="1:23" hidden="1" x14ac:dyDescent="0.2">
      <c r="A2446">
        <v>2012</v>
      </c>
      <c r="B2446" t="s">
        <v>304</v>
      </c>
      <c r="C2446" s="733">
        <v>40942</v>
      </c>
      <c r="D24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46" t="s">
        <v>505</v>
      </c>
      <c r="F2446" t="s">
        <v>1915</v>
      </c>
      <c r="G2446" t="s">
        <v>5501</v>
      </c>
      <c r="H2446">
        <v>22494</v>
      </c>
      <c r="I2446" t="s">
        <v>423</v>
      </c>
      <c r="J2446" t="s">
        <v>4158</v>
      </c>
      <c r="K2446" t="s">
        <v>1918</v>
      </c>
      <c r="L2446" t="s">
        <v>1919</v>
      </c>
      <c r="M2446">
        <v>274</v>
      </c>
      <c r="N2446">
        <v>26.81</v>
      </c>
      <c r="O2446">
        <v>7402.24</v>
      </c>
      <c r="P2446">
        <v>0</v>
      </c>
      <c r="Q2446">
        <v>7402.24</v>
      </c>
      <c r="R2446">
        <v>1184.3599999999999</v>
      </c>
      <c r="S2446">
        <v>296.08999999999997</v>
      </c>
      <c r="T2446">
        <v>8290.51</v>
      </c>
      <c r="U2446" t="s">
        <v>1924</v>
      </c>
      <c r="V2446" t="s">
        <v>9408</v>
      </c>
      <c r="W2446" t="s">
        <v>423</v>
      </c>
    </row>
    <row r="2447" spans="1:23" hidden="1" x14ac:dyDescent="0.2">
      <c r="A2447">
        <v>2012</v>
      </c>
      <c r="B2447" t="s">
        <v>304</v>
      </c>
      <c r="C2447" s="733">
        <v>40959</v>
      </c>
      <c r="D24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47" t="s">
        <v>505</v>
      </c>
      <c r="F2447" t="s">
        <v>1915</v>
      </c>
      <c r="G2447" t="s">
        <v>7970</v>
      </c>
      <c r="H2447">
        <v>22842</v>
      </c>
      <c r="I2447" t="s">
        <v>423</v>
      </c>
      <c r="J2447" t="s">
        <v>1947</v>
      </c>
      <c r="K2447" t="s">
        <v>1918</v>
      </c>
      <c r="L2447" t="s">
        <v>1919</v>
      </c>
      <c r="M2447">
        <v>973</v>
      </c>
      <c r="N2447">
        <v>50.43</v>
      </c>
      <c r="O2447">
        <v>29449.1</v>
      </c>
      <c r="P2447">
        <v>0</v>
      </c>
      <c r="Q2447">
        <v>29449.1</v>
      </c>
      <c r="R2447">
        <v>4711.8599999999997</v>
      </c>
      <c r="S2447">
        <v>1177.96</v>
      </c>
      <c r="T2447">
        <v>32983</v>
      </c>
      <c r="U2447" t="s">
        <v>8491</v>
      </c>
      <c r="V2447" t="s">
        <v>9409</v>
      </c>
      <c r="W2447" t="s">
        <v>423</v>
      </c>
    </row>
    <row r="2448" spans="1:23" x14ac:dyDescent="0.2">
      <c r="A2448">
        <v>2012</v>
      </c>
      <c r="B2448" t="s">
        <v>304</v>
      </c>
      <c r="C2448" s="733">
        <v>40968</v>
      </c>
      <c r="D24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48" t="s">
        <v>485</v>
      </c>
      <c r="F2448" t="s">
        <v>2065</v>
      </c>
      <c r="G2448" t="s">
        <v>9045</v>
      </c>
      <c r="H2448">
        <v>42756</v>
      </c>
      <c r="I2448" t="s">
        <v>423</v>
      </c>
      <c r="J2448" t="s">
        <v>3965</v>
      </c>
      <c r="K2448" t="s">
        <v>2183</v>
      </c>
      <c r="L2448" t="s">
        <v>2184</v>
      </c>
      <c r="M2448">
        <v>696</v>
      </c>
      <c r="N2448">
        <v>24</v>
      </c>
      <c r="O2448">
        <v>9726.9599999999991</v>
      </c>
      <c r="P2448">
        <v>0</v>
      </c>
      <c r="Q2448">
        <v>9726.9599999999991</v>
      </c>
      <c r="R2448">
        <v>1556.31</v>
      </c>
      <c r="S2448">
        <v>389.08</v>
      </c>
      <c r="T2448">
        <v>10894.19</v>
      </c>
      <c r="V2448" t="s">
        <v>9408</v>
      </c>
      <c r="W2448" t="s">
        <v>423</v>
      </c>
    </row>
    <row r="2449" spans="1:23" hidden="1" x14ac:dyDescent="0.2">
      <c r="A2449">
        <v>2012</v>
      </c>
      <c r="B2449" t="s">
        <v>303</v>
      </c>
      <c r="C2449" s="733">
        <v>40932</v>
      </c>
      <c r="D24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49" t="s">
        <v>485</v>
      </c>
      <c r="F2449" t="s">
        <v>2065</v>
      </c>
      <c r="G2449" t="s">
        <v>4668</v>
      </c>
      <c r="H2449">
        <v>40760</v>
      </c>
      <c r="I2449" t="s">
        <v>423</v>
      </c>
      <c r="J2449" t="s">
        <v>2189</v>
      </c>
      <c r="K2449" t="s">
        <v>2183</v>
      </c>
      <c r="L2449" t="s">
        <v>2184</v>
      </c>
      <c r="M2449">
        <v>720</v>
      </c>
      <c r="N2449">
        <v>24.72</v>
      </c>
      <c r="O2449">
        <v>10018.99</v>
      </c>
      <c r="P2449">
        <v>0</v>
      </c>
      <c r="Q2449">
        <v>10018.99</v>
      </c>
      <c r="R2449">
        <v>1603.04</v>
      </c>
      <c r="S2449">
        <v>400.76</v>
      </c>
      <c r="T2449">
        <v>11221.27</v>
      </c>
      <c r="U2449" t="s">
        <v>2187</v>
      </c>
      <c r="V2449" t="s">
        <v>9408</v>
      </c>
      <c r="W2449" t="s">
        <v>423</v>
      </c>
    </row>
    <row r="2450" spans="1:23" hidden="1" x14ac:dyDescent="0.2">
      <c r="A2450">
        <v>2012</v>
      </c>
      <c r="B2450" t="s">
        <v>304</v>
      </c>
      <c r="C2450" s="733">
        <v>40946</v>
      </c>
      <c r="D24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50" t="s">
        <v>485</v>
      </c>
      <c r="F2450" t="s">
        <v>2065</v>
      </c>
      <c r="G2450" t="s">
        <v>4664</v>
      </c>
      <c r="H2450">
        <v>41360</v>
      </c>
      <c r="I2450" t="s">
        <v>423</v>
      </c>
      <c r="J2450" t="s">
        <v>3965</v>
      </c>
      <c r="K2450" t="s">
        <v>2183</v>
      </c>
      <c r="L2450" t="s">
        <v>2184</v>
      </c>
      <c r="M2450">
        <v>696</v>
      </c>
      <c r="N2450">
        <v>26.04</v>
      </c>
      <c r="O2450">
        <v>10553.75</v>
      </c>
      <c r="P2450">
        <v>0</v>
      </c>
      <c r="Q2450">
        <v>10553.75</v>
      </c>
      <c r="R2450">
        <v>1688.6</v>
      </c>
      <c r="S2450">
        <v>422.15</v>
      </c>
      <c r="T2450">
        <v>11820.2</v>
      </c>
      <c r="U2450" t="s">
        <v>2192</v>
      </c>
      <c r="V2450" t="s">
        <v>9408</v>
      </c>
      <c r="W2450" t="s">
        <v>423</v>
      </c>
    </row>
    <row r="2451" spans="1:23" hidden="1" x14ac:dyDescent="0.2">
      <c r="A2451">
        <v>2012</v>
      </c>
      <c r="B2451" t="s">
        <v>304</v>
      </c>
      <c r="C2451" s="733">
        <v>40952</v>
      </c>
      <c r="D24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51" t="s">
        <v>485</v>
      </c>
      <c r="F2451" t="s">
        <v>2065</v>
      </c>
      <c r="G2451" t="s">
        <v>4670</v>
      </c>
      <c r="H2451">
        <v>41745</v>
      </c>
      <c r="I2451" t="s">
        <v>423</v>
      </c>
      <c r="J2451" t="s">
        <v>2189</v>
      </c>
      <c r="K2451" t="s">
        <v>2183</v>
      </c>
      <c r="L2451" t="s">
        <v>2184</v>
      </c>
      <c r="M2451">
        <v>720</v>
      </c>
      <c r="N2451">
        <v>26.21</v>
      </c>
      <c r="O2451">
        <v>10622.89</v>
      </c>
      <c r="P2451">
        <v>0</v>
      </c>
      <c r="Q2451">
        <v>10622.89</v>
      </c>
      <c r="R2451">
        <v>1699.66</v>
      </c>
      <c r="S2451">
        <v>424.92</v>
      </c>
      <c r="T2451">
        <v>11897.63</v>
      </c>
      <c r="U2451" t="s">
        <v>8048</v>
      </c>
      <c r="V2451" t="s">
        <v>9408</v>
      </c>
      <c r="W2451" t="s">
        <v>423</v>
      </c>
    </row>
    <row r="2452" spans="1:23" hidden="1" x14ac:dyDescent="0.2">
      <c r="A2452">
        <v>2012</v>
      </c>
      <c r="B2452" t="s">
        <v>304</v>
      </c>
      <c r="C2452" s="733">
        <v>40947</v>
      </c>
      <c r="D24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52" t="s">
        <v>505</v>
      </c>
      <c r="F2452" t="s">
        <v>1915</v>
      </c>
      <c r="G2452" t="s">
        <v>5507</v>
      </c>
      <c r="H2452">
        <v>22550</v>
      </c>
      <c r="I2452" t="s">
        <v>423</v>
      </c>
      <c r="J2452" t="s">
        <v>4163</v>
      </c>
      <c r="K2452" t="s">
        <v>1918</v>
      </c>
      <c r="L2452" t="s">
        <v>1919</v>
      </c>
      <c r="M2452">
        <v>250</v>
      </c>
      <c r="N2452">
        <v>27.25</v>
      </c>
      <c r="O2452">
        <v>6126.89</v>
      </c>
      <c r="P2452">
        <v>0</v>
      </c>
      <c r="Q2452">
        <v>6126.89</v>
      </c>
      <c r="R2452">
        <v>980.3</v>
      </c>
      <c r="S2452">
        <v>245.08</v>
      </c>
      <c r="T2452">
        <v>6862.11</v>
      </c>
      <c r="U2452" t="s">
        <v>1924</v>
      </c>
      <c r="V2452" t="s">
        <v>9408</v>
      </c>
      <c r="W2452" t="s">
        <v>423</v>
      </c>
    </row>
    <row r="2453" spans="1:23" hidden="1" x14ac:dyDescent="0.2">
      <c r="A2453">
        <v>2012</v>
      </c>
      <c r="B2453" t="s">
        <v>304</v>
      </c>
      <c r="C2453" s="733">
        <v>40947</v>
      </c>
      <c r="D24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53" t="s">
        <v>505</v>
      </c>
      <c r="F2453" t="s">
        <v>1915</v>
      </c>
      <c r="G2453" t="s">
        <v>5508</v>
      </c>
      <c r="H2453">
        <v>22553</v>
      </c>
      <c r="I2453" t="s">
        <v>423</v>
      </c>
      <c r="J2453" t="s">
        <v>4163</v>
      </c>
      <c r="K2453" t="s">
        <v>1918</v>
      </c>
      <c r="L2453" t="s">
        <v>1919</v>
      </c>
      <c r="M2453">
        <v>250</v>
      </c>
      <c r="N2453">
        <v>24.04</v>
      </c>
      <c r="O2453">
        <v>5405.15</v>
      </c>
      <c r="P2453">
        <v>0</v>
      </c>
      <c r="Q2453">
        <v>5405.15</v>
      </c>
      <c r="R2453">
        <v>864.82</v>
      </c>
      <c r="S2453">
        <v>216.21</v>
      </c>
      <c r="T2453">
        <v>6053.76</v>
      </c>
      <c r="U2453" t="s">
        <v>1924</v>
      </c>
      <c r="V2453" t="s">
        <v>9408</v>
      </c>
      <c r="W2453" t="s">
        <v>423</v>
      </c>
    </row>
    <row r="2454" spans="1:23" hidden="1" x14ac:dyDescent="0.2">
      <c r="A2454">
        <v>2012</v>
      </c>
      <c r="B2454" t="s">
        <v>303</v>
      </c>
      <c r="C2454" s="733">
        <v>40918</v>
      </c>
      <c r="D24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54" t="s">
        <v>485</v>
      </c>
      <c r="F2454" t="s">
        <v>2065</v>
      </c>
      <c r="G2454" t="s">
        <v>3020</v>
      </c>
      <c r="H2454">
        <v>40027</v>
      </c>
      <c r="I2454" t="s">
        <v>423</v>
      </c>
      <c r="J2454" t="s">
        <v>2345</v>
      </c>
      <c r="K2454" t="s">
        <v>2102</v>
      </c>
      <c r="L2454" t="s">
        <v>2115</v>
      </c>
      <c r="M2454">
        <v>426</v>
      </c>
      <c r="N2454">
        <v>26.18</v>
      </c>
      <c r="O2454">
        <v>8803.02</v>
      </c>
      <c r="P2454">
        <v>0</v>
      </c>
      <c r="Q2454">
        <v>8803.02</v>
      </c>
      <c r="R2454">
        <v>1408.48</v>
      </c>
      <c r="S2454">
        <v>352.12</v>
      </c>
      <c r="T2454">
        <v>9859.3799999999992</v>
      </c>
      <c r="U2454" t="s">
        <v>2106</v>
      </c>
      <c r="V2454" t="s">
        <v>9408</v>
      </c>
      <c r="W2454" t="s">
        <v>423</v>
      </c>
    </row>
    <row r="2455" spans="1:23" hidden="1" x14ac:dyDescent="0.2">
      <c r="A2455">
        <v>2012</v>
      </c>
      <c r="B2455" t="s">
        <v>304</v>
      </c>
      <c r="C2455" s="733">
        <v>40941</v>
      </c>
      <c r="D24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55" t="s">
        <v>485</v>
      </c>
      <c r="F2455" t="s">
        <v>2065</v>
      </c>
      <c r="G2455" t="s">
        <v>3018</v>
      </c>
      <c r="H2455">
        <v>39680</v>
      </c>
      <c r="I2455" t="s">
        <v>423</v>
      </c>
      <c r="J2455" t="s">
        <v>2114</v>
      </c>
      <c r="K2455" t="s">
        <v>2102</v>
      </c>
      <c r="L2455" t="s">
        <v>2115</v>
      </c>
      <c r="M2455">
        <v>500</v>
      </c>
      <c r="N2455">
        <v>51.86</v>
      </c>
      <c r="O2455">
        <v>17437.919999999998</v>
      </c>
      <c r="P2455">
        <v>0</v>
      </c>
      <c r="Q2455">
        <v>17437.919999999998</v>
      </c>
      <c r="R2455">
        <v>2790.07</v>
      </c>
      <c r="S2455">
        <v>697.52</v>
      </c>
      <c r="T2455">
        <v>19530.47</v>
      </c>
      <c r="V2455" t="s">
        <v>9409</v>
      </c>
      <c r="W2455" t="s">
        <v>423</v>
      </c>
    </row>
    <row r="2456" spans="1:23" hidden="1" x14ac:dyDescent="0.2">
      <c r="A2456">
        <v>2012</v>
      </c>
      <c r="B2456" t="s">
        <v>303</v>
      </c>
      <c r="C2456" s="733">
        <v>40910</v>
      </c>
      <c r="D24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56" t="s">
        <v>485</v>
      </c>
      <c r="F2456" t="s">
        <v>2065</v>
      </c>
      <c r="G2456" t="s">
        <v>3010</v>
      </c>
      <c r="H2456">
        <v>39645</v>
      </c>
      <c r="I2456" t="s">
        <v>423</v>
      </c>
      <c r="J2456" t="s">
        <v>2114</v>
      </c>
      <c r="K2456" t="s">
        <v>2102</v>
      </c>
      <c r="L2456" t="s">
        <v>2115</v>
      </c>
      <c r="M2456">
        <v>500</v>
      </c>
      <c r="N2456">
        <v>26.9</v>
      </c>
      <c r="O2456">
        <v>3808.23</v>
      </c>
      <c r="P2456">
        <v>4287.6480750000001</v>
      </c>
      <c r="Q2456">
        <v>8095.8780749999996</v>
      </c>
      <c r="R2456">
        <v>1295.340492</v>
      </c>
      <c r="S2456">
        <v>323.83512300000001</v>
      </c>
      <c r="T2456">
        <v>9067.3834439999991</v>
      </c>
      <c r="U2456" t="s">
        <v>2104</v>
      </c>
      <c r="V2456" t="s">
        <v>9408</v>
      </c>
      <c r="W2456" t="s">
        <v>423</v>
      </c>
    </row>
    <row r="2457" spans="1:23" hidden="1" x14ac:dyDescent="0.2">
      <c r="A2457">
        <v>2012</v>
      </c>
      <c r="B2457" t="s">
        <v>303</v>
      </c>
      <c r="C2457" s="733">
        <v>40918</v>
      </c>
      <c r="D24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57" t="s">
        <v>485</v>
      </c>
      <c r="F2457" t="s">
        <v>2065</v>
      </c>
      <c r="G2457" t="s">
        <v>3023</v>
      </c>
      <c r="H2457">
        <v>40022</v>
      </c>
      <c r="I2457" t="s">
        <v>423</v>
      </c>
      <c r="J2457" t="s">
        <v>2135</v>
      </c>
      <c r="K2457" t="s">
        <v>2102</v>
      </c>
      <c r="L2457" t="s">
        <v>2184</v>
      </c>
      <c r="M2457">
        <v>494</v>
      </c>
      <c r="N2457">
        <v>47.95</v>
      </c>
      <c r="O2457">
        <v>16123.19</v>
      </c>
      <c r="P2457">
        <v>0</v>
      </c>
      <c r="Q2457">
        <v>16123.19</v>
      </c>
      <c r="R2457">
        <v>2579.71</v>
      </c>
      <c r="S2457">
        <v>644.92999999999995</v>
      </c>
      <c r="T2457">
        <v>18057.97</v>
      </c>
      <c r="U2457" t="s">
        <v>2106</v>
      </c>
      <c r="V2457" t="s">
        <v>9409</v>
      </c>
      <c r="W2457" t="s">
        <v>423</v>
      </c>
    </row>
    <row r="2458" spans="1:23" hidden="1" x14ac:dyDescent="0.2">
      <c r="A2458">
        <v>2012</v>
      </c>
      <c r="B2458" t="s">
        <v>303</v>
      </c>
      <c r="C2458" s="733">
        <v>40938</v>
      </c>
      <c r="D24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58" t="s">
        <v>485</v>
      </c>
      <c r="F2458" t="s">
        <v>2065</v>
      </c>
      <c r="G2458" t="s">
        <v>3022</v>
      </c>
      <c r="H2458">
        <v>40950</v>
      </c>
      <c r="I2458" t="s">
        <v>423</v>
      </c>
      <c r="J2458" t="s">
        <v>2135</v>
      </c>
      <c r="K2458" t="s">
        <v>2102</v>
      </c>
      <c r="L2458" t="s">
        <v>2115</v>
      </c>
      <c r="M2458">
        <v>494</v>
      </c>
      <c r="N2458">
        <v>48.74</v>
      </c>
      <c r="O2458">
        <v>16388.82</v>
      </c>
      <c r="P2458">
        <v>0</v>
      </c>
      <c r="Q2458">
        <v>16388.82</v>
      </c>
      <c r="R2458">
        <v>2622.21</v>
      </c>
      <c r="S2458">
        <v>655.55</v>
      </c>
      <c r="T2458">
        <v>18355.48</v>
      </c>
      <c r="U2458" t="s">
        <v>7462</v>
      </c>
      <c r="V2458" t="s">
        <v>9409</v>
      </c>
      <c r="W2458" t="s">
        <v>423</v>
      </c>
    </row>
    <row r="2459" spans="1:23" hidden="1" x14ac:dyDescent="0.2">
      <c r="A2459">
        <v>2012</v>
      </c>
      <c r="B2459" t="s">
        <v>304</v>
      </c>
      <c r="C2459" s="733">
        <v>40962</v>
      </c>
      <c r="D24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59" t="s">
        <v>505</v>
      </c>
      <c r="F2459" t="s">
        <v>1915</v>
      </c>
      <c r="G2459" t="s">
        <v>8678</v>
      </c>
      <c r="H2459">
        <v>22961</v>
      </c>
      <c r="I2459" t="s">
        <v>424</v>
      </c>
      <c r="J2459" t="s">
        <v>4155</v>
      </c>
      <c r="K2459" t="s">
        <v>1918</v>
      </c>
      <c r="L2459" t="s">
        <v>1919</v>
      </c>
      <c r="M2459">
        <v>650</v>
      </c>
      <c r="N2459">
        <v>30</v>
      </c>
      <c r="O2459">
        <v>9349.5</v>
      </c>
      <c r="P2459">
        <v>0</v>
      </c>
      <c r="Q2459">
        <v>9349.5</v>
      </c>
      <c r="R2459">
        <v>1495.92</v>
      </c>
      <c r="S2459">
        <v>373.98</v>
      </c>
      <c r="T2459">
        <v>10471.44</v>
      </c>
      <c r="U2459" t="s">
        <v>8778</v>
      </c>
      <c r="V2459" t="s">
        <v>9408</v>
      </c>
      <c r="W2459" t="s">
        <v>424</v>
      </c>
    </row>
    <row r="2460" spans="1:23" hidden="1" x14ac:dyDescent="0.2">
      <c r="A2460">
        <v>2012</v>
      </c>
      <c r="B2460" t="s">
        <v>303</v>
      </c>
      <c r="C2460" s="733">
        <v>40935</v>
      </c>
      <c r="D24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60" t="s">
        <v>505</v>
      </c>
      <c r="F2460" t="s">
        <v>1915</v>
      </c>
      <c r="G2460" t="s">
        <v>5317</v>
      </c>
      <c r="H2460">
        <v>22313</v>
      </c>
      <c r="I2460" t="s">
        <v>423</v>
      </c>
      <c r="J2460" t="s">
        <v>3207</v>
      </c>
      <c r="K2460" t="s">
        <v>1918</v>
      </c>
      <c r="L2460" t="s">
        <v>1919</v>
      </c>
      <c r="M2460">
        <v>334</v>
      </c>
      <c r="N2460">
        <v>24.93</v>
      </c>
      <c r="O2460">
        <v>6884.17</v>
      </c>
      <c r="P2460">
        <v>0</v>
      </c>
      <c r="Q2460">
        <v>6884.17</v>
      </c>
      <c r="R2460">
        <v>1101.47</v>
      </c>
      <c r="S2460">
        <v>275.37</v>
      </c>
      <c r="T2460">
        <v>7710.27</v>
      </c>
      <c r="U2460" t="s">
        <v>1926</v>
      </c>
      <c r="V2460" t="s">
        <v>9408</v>
      </c>
      <c r="W2460" t="s">
        <v>423</v>
      </c>
    </row>
    <row r="2461" spans="1:23" hidden="1" x14ac:dyDescent="0.2">
      <c r="A2461">
        <v>2012</v>
      </c>
      <c r="B2461" t="s">
        <v>305</v>
      </c>
      <c r="C2461" s="733">
        <v>40970</v>
      </c>
      <c r="D2461" s="733" t="str">
        <f>CHOOSE(MONTH(Tabla_sqldatos_bonampakdb_Bon_v_ingresos2012[[#This Row],[fecha_guia]]),"Enero","Febrero","Marzo","Abril","Mayo","Junio","Julio","Agosto","Septiembre","Octubre","Noviembre","Diciembre")</f>
        <v>Marzo</v>
      </c>
      <c r="E2461" t="s">
        <v>505</v>
      </c>
      <c r="F2461" t="s">
        <v>1915</v>
      </c>
      <c r="G2461" t="s">
        <v>9711</v>
      </c>
      <c r="H2461">
        <v>23130</v>
      </c>
      <c r="I2461" t="s">
        <v>423</v>
      </c>
      <c r="J2461" t="s">
        <v>3207</v>
      </c>
      <c r="K2461" t="s">
        <v>1918</v>
      </c>
      <c r="L2461" t="s">
        <v>1919</v>
      </c>
      <c r="M2461">
        <v>334</v>
      </c>
      <c r="N2461">
        <v>50.17</v>
      </c>
      <c r="O2461">
        <v>13853.94</v>
      </c>
      <c r="P2461">
        <v>0</v>
      </c>
      <c r="Q2461">
        <v>13853.94</v>
      </c>
      <c r="R2461">
        <v>2216.63</v>
      </c>
      <c r="S2461">
        <v>554.16</v>
      </c>
      <c r="T2461">
        <v>15516.41</v>
      </c>
      <c r="V2461" t="s">
        <v>9409</v>
      </c>
      <c r="W2461" t="s">
        <v>423</v>
      </c>
    </row>
    <row r="2462" spans="1:23" hidden="1" x14ac:dyDescent="0.2">
      <c r="A2462">
        <v>2012</v>
      </c>
      <c r="B2462" t="s">
        <v>305</v>
      </c>
      <c r="C2462" s="733">
        <v>40969</v>
      </c>
      <c r="D2462" s="733" t="str">
        <f>CHOOSE(MONTH(Tabla_sqldatos_bonampakdb_Bon_v_ingresos2012[[#This Row],[fecha_guia]]),"Enero","Febrero","Marzo","Abril","Mayo","Junio","Julio","Agosto","Septiembre","Octubre","Noviembre","Diciembre")</f>
        <v>Marzo</v>
      </c>
      <c r="E2462" t="s">
        <v>485</v>
      </c>
      <c r="F2462" t="s">
        <v>2065</v>
      </c>
      <c r="G2462" t="s">
        <v>9508</v>
      </c>
      <c r="H2462">
        <v>42895</v>
      </c>
      <c r="I2462" t="s">
        <v>423</v>
      </c>
      <c r="J2462" t="s">
        <v>2182</v>
      </c>
      <c r="K2462" t="s">
        <v>2183</v>
      </c>
      <c r="L2462" t="s">
        <v>2184</v>
      </c>
      <c r="M2462">
        <v>62</v>
      </c>
      <c r="N2462">
        <v>51.84</v>
      </c>
      <c r="O2462">
        <v>7679.58</v>
      </c>
      <c r="P2462">
        <v>0</v>
      </c>
      <c r="Q2462">
        <v>7679.58</v>
      </c>
      <c r="R2462">
        <v>1228.73</v>
      </c>
      <c r="S2462">
        <v>307.18</v>
      </c>
      <c r="T2462">
        <v>8601.1299999999992</v>
      </c>
      <c r="V2462" t="s">
        <v>9409</v>
      </c>
      <c r="W2462" t="s">
        <v>423</v>
      </c>
    </row>
    <row r="2463" spans="1:23" hidden="1" x14ac:dyDescent="0.2">
      <c r="A2463">
        <v>2012</v>
      </c>
      <c r="B2463" t="s">
        <v>303</v>
      </c>
      <c r="C2463" s="733">
        <v>40924</v>
      </c>
      <c r="D24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63" t="s">
        <v>485</v>
      </c>
      <c r="F2463" t="s">
        <v>2065</v>
      </c>
      <c r="G2463" t="s">
        <v>3024</v>
      </c>
      <c r="H2463">
        <v>40252</v>
      </c>
      <c r="I2463" t="s">
        <v>423</v>
      </c>
      <c r="J2463" t="s">
        <v>2135</v>
      </c>
      <c r="K2463" t="s">
        <v>2102</v>
      </c>
      <c r="L2463" t="s">
        <v>2115</v>
      </c>
      <c r="M2463">
        <v>494</v>
      </c>
      <c r="N2463">
        <v>51.44</v>
      </c>
      <c r="O2463">
        <v>17296.7</v>
      </c>
      <c r="P2463">
        <v>0</v>
      </c>
      <c r="Q2463">
        <v>17296.7</v>
      </c>
      <c r="R2463">
        <v>2767.47</v>
      </c>
      <c r="S2463">
        <v>691.87</v>
      </c>
      <c r="T2463">
        <v>19372.3</v>
      </c>
      <c r="U2463" t="s">
        <v>2106</v>
      </c>
      <c r="V2463" t="s">
        <v>9409</v>
      </c>
      <c r="W2463" t="s">
        <v>423</v>
      </c>
    </row>
    <row r="2464" spans="1:23" hidden="1" x14ac:dyDescent="0.2">
      <c r="A2464">
        <v>2012</v>
      </c>
      <c r="B2464" t="s">
        <v>304</v>
      </c>
      <c r="C2464" s="733">
        <v>40954</v>
      </c>
      <c r="D24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64" t="s">
        <v>485</v>
      </c>
      <c r="F2464" t="s">
        <v>2065</v>
      </c>
      <c r="G2464" t="s">
        <v>7603</v>
      </c>
      <c r="H2464">
        <v>41949</v>
      </c>
      <c r="I2464" t="s">
        <v>423</v>
      </c>
      <c r="J2464" t="s">
        <v>2345</v>
      </c>
      <c r="K2464" t="s">
        <v>2102</v>
      </c>
      <c r="L2464" t="s">
        <v>2115</v>
      </c>
      <c r="M2464">
        <v>426</v>
      </c>
      <c r="N2464">
        <v>48.88</v>
      </c>
      <c r="O2464">
        <v>16435.900000000001</v>
      </c>
      <c r="P2464">
        <v>0</v>
      </c>
      <c r="Q2464">
        <v>16435.900000000001</v>
      </c>
      <c r="R2464">
        <v>2629.74</v>
      </c>
      <c r="S2464">
        <v>657.44</v>
      </c>
      <c r="T2464">
        <v>18408.2</v>
      </c>
      <c r="U2464" t="s">
        <v>8051</v>
      </c>
      <c r="V2464" t="s">
        <v>9409</v>
      </c>
      <c r="W2464" t="s">
        <v>423</v>
      </c>
    </row>
    <row r="2465" spans="1:23" hidden="1" x14ac:dyDescent="0.2">
      <c r="A2465">
        <v>2012</v>
      </c>
      <c r="B2465" t="s">
        <v>304</v>
      </c>
      <c r="C2465" s="733">
        <v>40962</v>
      </c>
      <c r="D24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65" t="s">
        <v>485</v>
      </c>
      <c r="F2465" t="s">
        <v>2065</v>
      </c>
      <c r="G2465" t="s">
        <v>8676</v>
      </c>
      <c r="H2465">
        <v>42472</v>
      </c>
      <c r="I2465" t="s">
        <v>423</v>
      </c>
      <c r="J2465" t="s">
        <v>3419</v>
      </c>
      <c r="K2465" t="s">
        <v>2183</v>
      </c>
      <c r="L2465" t="s">
        <v>2184</v>
      </c>
      <c r="M2465">
        <v>80</v>
      </c>
      <c r="N2465">
        <v>45.32</v>
      </c>
      <c r="O2465">
        <v>5115.2700000000004</v>
      </c>
      <c r="P2465">
        <v>0</v>
      </c>
      <c r="Q2465">
        <v>5115.2700000000004</v>
      </c>
      <c r="R2465">
        <v>818.44</v>
      </c>
      <c r="S2465">
        <v>204.61</v>
      </c>
      <c r="T2465">
        <v>5729.1</v>
      </c>
      <c r="U2465" t="s">
        <v>9411</v>
      </c>
      <c r="V2465" t="s">
        <v>9409</v>
      </c>
      <c r="W2465" t="s">
        <v>423</v>
      </c>
    </row>
    <row r="2466" spans="1:23" hidden="1" x14ac:dyDescent="0.2">
      <c r="A2466">
        <v>2012</v>
      </c>
      <c r="B2466" t="s">
        <v>304</v>
      </c>
      <c r="C2466" s="733">
        <v>40956.437395833331</v>
      </c>
      <c r="D24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66" t="s">
        <v>485</v>
      </c>
      <c r="F2466" t="s">
        <v>2065</v>
      </c>
      <c r="G2466" t="s">
        <v>7604</v>
      </c>
      <c r="H2466">
        <v>42111</v>
      </c>
      <c r="I2466" t="s">
        <v>423</v>
      </c>
      <c r="J2466" t="s">
        <v>2182</v>
      </c>
      <c r="K2466" t="s">
        <v>2183</v>
      </c>
      <c r="L2466" t="s">
        <v>2184</v>
      </c>
      <c r="M2466">
        <v>62</v>
      </c>
      <c r="N2466">
        <v>16.27</v>
      </c>
      <c r="O2466">
        <v>2410.2399999999998</v>
      </c>
      <c r="P2466">
        <v>0</v>
      </c>
      <c r="Q2466">
        <v>2410.2399999999998</v>
      </c>
      <c r="R2466">
        <v>385.64</v>
      </c>
      <c r="S2466">
        <v>96.41</v>
      </c>
      <c r="T2466">
        <v>2699.47</v>
      </c>
      <c r="U2466" t="s">
        <v>8048</v>
      </c>
      <c r="V2466" t="s">
        <v>9408</v>
      </c>
      <c r="W2466" t="s">
        <v>423</v>
      </c>
    </row>
    <row r="2467" spans="1:23" hidden="1" x14ac:dyDescent="0.2">
      <c r="A2467">
        <v>2012</v>
      </c>
      <c r="B2467" t="s">
        <v>303</v>
      </c>
      <c r="C2467" s="733">
        <v>40938</v>
      </c>
      <c r="D24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67" t="s">
        <v>485</v>
      </c>
      <c r="F2467" t="s">
        <v>2065</v>
      </c>
      <c r="G2467" t="s">
        <v>3918</v>
      </c>
      <c r="H2467">
        <v>41065</v>
      </c>
      <c r="I2467" t="s">
        <v>423</v>
      </c>
      <c r="J2467" t="s">
        <v>2182</v>
      </c>
      <c r="K2467" t="s">
        <v>2183</v>
      </c>
      <c r="L2467" t="s">
        <v>2184</v>
      </c>
      <c r="M2467">
        <v>62</v>
      </c>
      <c r="N2467">
        <v>27.79</v>
      </c>
      <c r="O2467">
        <v>4116.8100000000004</v>
      </c>
      <c r="P2467">
        <v>0</v>
      </c>
      <c r="Q2467">
        <v>4116.8100000000004</v>
      </c>
      <c r="R2467">
        <v>658.69</v>
      </c>
      <c r="S2467">
        <v>164.67</v>
      </c>
      <c r="T2467">
        <v>4610.83</v>
      </c>
      <c r="U2467" t="s">
        <v>2187</v>
      </c>
      <c r="V2467" t="s">
        <v>9408</v>
      </c>
      <c r="W2467" t="s">
        <v>423</v>
      </c>
    </row>
    <row r="2468" spans="1:23" hidden="1" x14ac:dyDescent="0.2">
      <c r="A2468">
        <v>2012</v>
      </c>
      <c r="B2468" t="s">
        <v>303</v>
      </c>
      <c r="C2468" s="733">
        <v>40939</v>
      </c>
      <c r="D24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68" t="s">
        <v>485</v>
      </c>
      <c r="F2468" t="s">
        <v>2065</v>
      </c>
      <c r="G2468" t="s">
        <v>3902</v>
      </c>
      <c r="H2468">
        <v>41168</v>
      </c>
      <c r="I2468" t="s">
        <v>423</v>
      </c>
      <c r="J2468" t="s">
        <v>2182</v>
      </c>
      <c r="K2468" t="s">
        <v>2183</v>
      </c>
      <c r="L2468" t="s">
        <v>2184</v>
      </c>
      <c r="M2468">
        <v>62</v>
      </c>
      <c r="N2468">
        <v>16.3</v>
      </c>
      <c r="O2468">
        <v>2414.6799999999998</v>
      </c>
      <c r="P2468">
        <v>0</v>
      </c>
      <c r="Q2468">
        <v>2414.6799999999998</v>
      </c>
      <c r="R2468">
        <v>386.35</v>
      </c>
      <c r="S2468">
        <v>96.59</v>
      </c>
      <c r="T2468">
        <v>2704.44</v>
      </c>
      <c r="U2468" t="s">
        <v>2192</v>
      </c>
      <c r="V2468" t="s">
        <v>9408</v>
      </c>
      <c r="W2468" t="s">
        <v>423</v>
      </c>
    </row>
    <row r="2469" spans="1:23" hidden="1" x14ac:dyDescent="0.2">
      <c r="A2469">
        <v>2012</v>
      </c>
      <c r="B2469" t="s">
        <v>304</v>
      </c>
      <c r="C2469" s="733">
        <v>40966</v>
      </c>
      <c r="D24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69" t="s">
        <v>485</v>
      </c>
      <c r="F2469" t="s">
        <v>2065</v>
      </c>
      <c r="G2469" t="s">
        <v>8808</v>
      </c>
      <c r="H2469">
        <v>42691</v>
      </c>
      <c r="I2469" t="s">
        <v>423</v>
      </c>
      <c r="J2469" t="s">
        <v>2182</v>
      </c>
      <c r="K2469" t="s">
        <v>2183</v>
      </c>
      <c r="L2469" t="s">
        <v>2184</v>
      </c>
      <c r="M2469">
        <v>62</v>
      </c>
      <c r="N2469">
        <v>15.65</v>
      </c>
      <c r="O2469">
        <v>2318.39</v>
      </c>
      <c r="P2469">
        <v>0</v>
      </c>
      <c r="Q2469">
        <v>2318.39</v>
      </c>
      <c r="R2469">
        <v>370.94</v>
      </c>
      <c r="S2469">
        <v>92.74</v>
      </c>
      <c r="T2469">
        <v>2596.59</v>
      </c>
      <c r="V2469" t="s">
        <v>9408</v>
      </c>
      <c r="W2469" t="s">
        <v>423</v>
      </c>
    </row>
    <row r="2470" spans="1:23" hidden="1" x14ac:dyDescent="0.2">
      <c r="A2470">
        <v>2012</v>
      </c>
      <c r="B2470" t="s">
        <v>303</v>
      </c>
      <c r="C2470" s="733">
        <v>40928</v>
      </c>
      <c r="D24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70" t="s">
        <v>485</v>
      </c>
      <c r="F2470" t="s">
        <v>2065</v>
      </c>
      <c r="G2470" t="s">
        <v>3903</v>
      </c>
      <c r="H2470">
        <v>39885</v>
      </c>
      <c r="I2470" t="s">
        <v>423</v>
      </c>
      <c r="J2470" t="s">
        <v>2182</v>
      </c>
      <c r="K2470" t="s">
        <v>2183</v>
      </c>
      <c r="L2470" t="s">
        <v>2184</v>
      </c>
      <c r="M2470">
        <v>62</v>
      </c>
      <c r="N2470">
        <v>15.85</v>
      </c>
      <c r="O2470">
        <v>2348.02</v>
      </c>
      <c r="P2470">
        <v>0</v>
      </c>
      <c r="Q2470">
        <v>2348.02</v>
      </c>
      <c r="R2470">
        <v>375.68</v>
      </c>
      <c r="S2470">
        <v>93.92</v>
      </c>
      <c r="T2470">
        <v>2629.78</v>
      </c>
      <c r="U2470" t="s">
        <v>2187</v>
      </c>
      <c r="V2470" t="s">
        <v>9408</v>
      </c>
      <c r="W2470" t="s">
        <v>423</v>
      </c>
    </row>
    <row r="2471" spans="1:23" x14ac:dyDescent="0.2">
      <c r="A2471">
        <v>2012</v>
      </c>
      <c r="B2471" t="s">
        <v>304</v>
      </c>
      <c r="C2471" s="733">
        <v>40968</v>
      </c>
      <c r="D24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71" t="s">
        <v>485</v>
      </c>
      <c r="F2471" t="s">
        <v>2054</v>
      </c>
      <c r="G2471" t="s">
        <v>9469</v>
      </c>
      <c r="H2471">
        <v>10610</v>
      </c>
      <c r="I2471" t="s">
        <v>423</v>
      </c>
      <c r="J2471" t="s">
        <v>2072</v>
      </c>
      <c r="K2471" t="s">
        <v>2057</v>
      </c>
      <c r="L2471" t="s">
        <v>2058</v>
      </c>
      <c r="M2471">
        <v>406</v>
      </c>
      <c r="N2471">
        <v>47.55</v>
      </c>
      <c r="O2471">
        <v>12994.46</v>
      </c>
      <c r="P2471">
        <v>0</v>
      </c>
      <c r="Q2471">
        <v>12994.46</v>
      </c>
      <c r="R2471">
        <v>1429.39</v>
      </c>
      <c r="S2471">
        <v>519.78</v>
      </c>
      <c r="T2471">
        <v>13904.07</v>
      </c>
      <c r="V2471" t="s">
        <v>9409</v>
      </c>
      <c r="W2471" t="s">
        <v>423</v>
      </c>
    </row>
    <row r="2472" spans="1:23" hidden="1" x14ac:dyDescent="0.2">
      <c r="A2472">
        <v>2012</v>
      </c>
      <c r="B2472" t="s">
        <v>303</v>
      </c>
      <c r="C2472" s="733">
        <v>40922</v>
      </c>
      <c r="D24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72" t="s">
        <v>485</v>
      </c>
      <c r="F2472" t="s">
        <v>2054</v>
      </c>
      <c r="G2472" t="s">
        <v>6052</v>
      </c>
      <c r="H2472">
        <v>10061</v>
      </c>
      <c r="I2472" t="s">
        <v>423</v>
      </c>
      <c r="J2472" t="s">
        <v>2072</v>
      </c>
      <c r="K2472" t="s">
        <v>2057</v>
      </c>
      <c r="L2472" t="s">
        <v>2058</v>
      </c>
      <c r="M2472">
        <v>406</v>
      </c>
      <c r="N2472">
        <v>32</v>
      </c>
      <c r="O2472">
        <v>8744.9599999999991</v>
      </c>
      <c r="P2472">
        <v>0</v>
      </c>
      <c r="Q2472">
        <v>8744.9599999999991</v>
      </c>
      <c r="R2472">
        <v>1399.19</v>
      </c>
      <c r="S2472">
        <v>349.8</v>
      </c>
      <c r="T2472">
        <v>9794.35</v>
      </c>
      <c r="U2472" t="s">
        <v>2059</v>
      </c>
      <c r="V2472" t="s">
        <v>9408</v>
      </c>
      <c r="W2472" t="s">
        <v>423</v>
      </c>
    </row>
    <row r="2473" spans="1:23" hidden="1" x14ac:dyDescent="0.2">
      <c r="A2473">
        <v>2012</v>
      </c>
      <c r="B2473" t="s">
        <v>304</v>
      </c>
      <c r="C2473" s="733">
        <v>40947.522303240738</v>
      </c>
      <c r="D24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73" t="s">
        <v>485</v>
      </c>
      <c r="F2473" t="s">
        <v>2054</v>
      </c>
      <c r="G2473" t="s">
        <v>2268</v>
      </c>
      <c r="H2473">
        <v>10348</v>
      </c>
      <c r="I2473" t="s">
        <v>423</v>
      </c>
      <c r="J2473" t="s">
        <v>2072</v>
      </c>
      <c r="K2473" t="s">
        <v>2057</v>
      </c>
      <c r="L2473" t="s">
        <v>2058</v>
      </c>
      <c r="M2473">
        <v>406</v>
      </c>
      <c r="N2473">
        <v>47.44</v>
      </c>
      <c r="O2473">
        <v>12964.4</v>
      </c>
      <c r="P2473">
        <v>0</v>
      </c>
      <c r="Q2473">
        <v>12964.4</v>
      </c>
      <c r="R2473">
        <v>1426.08</v>
      </c>
      <c r="S2473">
        <v>518.58000000000004</v>
      </c>
      <c r="T2473">
        <v>13871.9</v>
      </c>
      <c r="U2473" t="s">
        <v>2082</v>
      </c>
      <c r="V2473" t="s">
        <v>9409</v>
      </c>
      <c r="W2473" t="s">
        <v>423</v>
      </c>
    </row>
    <row r="2474" spans="1:23" hidden="1" x14ac:dyDescent="0.2">
      <c r="A2474">
        <v>2012</v>
      </c>
      <c r="B2474" t="s">
        <v>304</v>
      </c>
      <c r="C2474" s="733">
        <v>40952</v>
      </c>
      <c r="D24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74" t="s">
        <v>485</v>
      </c>
      <c r="F2474" t="s">
        <v>2048</v>
      </c>
      <c r="G2474" t="s">
        <v>6057</v>
      </c>
      <c r="H2474">
        <v>41798</v>
      </c>
      <c r="I2474" t="s">
        <v>423</v>
      </c>
      <c r="J2474" t="s">
        <v>4091</v>
      </c>
      <c r="K2474" t="s">
        <v>2051</v>
      </c>
      <c r="L2474" t="s">
        <v>2052</v>
      </c>
      <c r="M2474">
        <v>1092</v>
      </c>
      <c r="N2474">
        <v>27.65</v>
      </c>
      <c r="O2474">
        <v>16133.78</v>
      </c>
      <c r="P2474">
        <v>0</v>
      </c>
      <c r="Q2474">
        <v>16133.78</v>
      </c>
      <c r="R2474">
        <v>2581.4</v>
      </c>
      <c r="S2474">
        <v>645.35</v>
      </c>
      <c r="T2474">
        <v>18069.830000000002</v>
      </c>
      <c r="U2474" t="s">
        <v>7568</v>
      </c>
      <c r="V2474" t="s">
        <v>9409</v>
      </c>
      <c r="W2474" t="s">
        <v>423</v>
      </c>
    </row>
    <row r="2475" spans="1:23" hidden="1" x14ac:dyDescent="0.2">
      <c r="A2475">
        <v>2012</v>
      </c>
      <c r="B2475" t="s">
        <v>303</v>
      </c>
      <c r="C2475" s="733">
        <v>40926.726284722223</v>
      </c>
      <c r="D24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75" t="s">
        <v>485</v>
      </c>
      <c r="F2475" t="s">
        <v>2054</v>
      </c>
      <c r="G2475" t="s">
        <v>6044</v>
      </c>
      <c r="H2475">
        <v>10123</v>
      </c>
      <c r="I2475" t="s">
        <v>423</v>
      </c>
      <c r="J2475" t="s">
        <v>4045</v>
      </c>
      <c r="K2475" t="s">
        <v>2057</v>
      </c>
      <c r="L2475" t="s">
        <v>2058</v>
      </c>
      <c r="M2475">
        <v>0</v>
      </c>
      <c r="N2475">
        <v>22.5</v>
      </c>
      <c r="O2475">
        <v>6148.8</v>
      </c>
      <c r="P2475">
        <v>0</v>
      </c>
      <c r="Q2475">
        <v>6148.8</v>
      </c>
      <c r="R2475">
        <v>983.81</v>
      </c>
      <c r="S2475">
        <v>245.95</v>
      </c>
      <c r="T2475">
        <v>6886.66</v>
      </c>
      <c r="V2475" t="s">
        <v>9408</v>
      </c>
      <c r="W2475" t="s">
        <v>423</v>
      </c>
    </row>
    <row r="2476" spans="1:23" hidden="1" x14ac:dyDescent="0.2">
      <c r="A2476">
        <v>2012</v>
      </c>
      <c r="B2476" t="s">
        <v>304</v>
      </c>
      <c r="C2476" s="733">
        <v>40940</v>
      </c>
      <c r="D24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76" t="s">
        <v>485</v>
      </c>
      <c r="F2476" t="s">
        <v>2065</v>
      </c>
      <c r="G2476" t="s">
        <v>6034</v>
      </c>
      <c r="H2476">
        <v>41212</v>
      </c>
      <c r="I2476" t="s">
        <v>423</v>
      </c>
      <c r="J2476" t="s">
        <v>3972</v>
      </c>
      <c r="K2476" t="s">
        <v>2183</v>
      </c>
      <c r="L2476" t="s">
        <v>2184</v>
      </c>
      <c r="M2476">
        <v>184</v>
      </c>
      <c r="N2476">
        <v>25.67</v>
      </c>
      <c r="O2476">
        <v>4567.21</v>
      </c>
      <c r="P2476">
        <v>0</v>
      </c>
      <c r="Q2476">
        <v>4567.21</v>
      </c>
      <c r="R2476">
        <v>730.75</v>
      </c>
      <c r="S2476">
        <v>182.69</v>
      </c>
      <c r="T2476">
        <v>5115.2700000000004</v>
      </c>
      <c r="U2476" t="s">
        <v>2192</v>
      </c>
      <c r="V2476" t="s">
        <v>9408</v>
      </c>
      <c r="W2476" t="s">
        <v>423</v>
      </c>
    </row>
    <row r="2477" spans="1:23" hidden="1" x14ac:dyDescent="0.2">
      <c r="A2477">
        <v>2012</v>
      </c>
      <c r="B2477" t="s">
        <v>304</v>
      </c>
      <c r="C2477" s="733">
        <v>40949</v>
      </c>
      <c r="D24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77" t="s">
        <v>485</v>
      </c>
      <c r="F2477" t="s">
        <v>2065</v>
      </c>
      <c r="G2477" t="s">
        <v>6035</v>
      </c>
      <c r="H2477">
        <v>41657</v>
      </c>
      <c r="I2477" t="s">
        <v>423</v>
      </c>
      <c r="J2477" t="s">
        <v>3972</v>
      </c>
      <c r="K2477" t="s">
        <v>2183</v>
      </c>
      <c r="L2477" t="s">
        <v>2184</v>
      </c>
      <c r="M2477">
        <v>184</v>
      </c>
      <c r="N2477">
        <v>54.97</v>
      </c>
      <c r="O2477">
        <v>9780.26</v>
      </c>
      <c r="P2477">
        <v>0</v>
      </c>
      <c r="Q2477">
        <v>9780.26</v>
      </c>
      <c r="R2477">
        <v>1564.84</v>
      </c>
      <c r="S2477">
        <v>391.21</v>
      </c>
      <c r="T2477">
        <v>10953.89</v>
      </c>
      <c r="U2477" t="s">
        <v>8048</v>
      </c>
      <c r="V2477" t="s">
        <v>9409</v>
      </c>
      <c r="W2477" t="s">
        <v>423</v>
      </c>
    </row>
    <row r="2478" spans="1:23" hidden="1" x14ac:dyDescent="0.2">
      <c r="A2478">
        <v>2012</v>
      </c>
      <c r="B2478" t="s">
        <v>304</v>
      </c>
      <c r="C2478" s="733">
        <v>40959</v>
      </c>
      <c r="D24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78" t="s">
        <v>505</v>
      </c>
      <c r="F2478" t="s">
        <v>1915</v>
      </c>
      <c r="G2478" t="s">
        <v>7802</v>
      </c>
      <c r="H2478">
        <v>22783</v>
      </c>
      <c r="I2478" t="s">
        <v>423</v>
      </c>
      <c r="J2478" t="s">
        <v>1943</v>
      </c>
      <c r="K2478" t="s">
        <v>1918</v>
      </c>
      <c r="L2478" t="s">
        <v>1919</v>
      </c>
      <c r="M2478">
        <v>319</v>
      </c>
      <c r="N2478">
        <v>54.17</v>
      </c>
      <c r="O2478">
        <v>15884.81</v>
      </c>
      <c r="P2478">
        <v>0</v>
      </c>
      <c r="Q2478">
        <v>15884.81</v>
      </c>
      <c r="R2478">
        <v>2541.5700000000002</v>
      </c>
      <c r="S2478">
        <v>635.39</v>
      </c>
      <c r="T2478">
        <v>17790.990000000002</v>
      </c>
      <c r="U2478" t="s">
        <v>8491</v>
      </c>
      <c r="V2478" t="s">
        <v>9409</v>
      </c>
      <c r="W2478" t="s">
        <v>423</v>
      </c>
    </row>
    <row r="2479" spans="1:23" hidden="1" x14ac:dyDescent="0.2">
      <c r="A2479">
        <v>2012</v>
      </c>
      <c r="B2479" t="s">
        <v>303</v>
      </c>
      <c r="C2479" s="733">
        <v>40939.555787037039</v>
      </c>
      <c r="D24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79" t="s">
        <v>478</v>
      </c>
      <c r="F2479" t="s">
        <v>2622</v>
      </c>
      <c r="G2479" t="s">
        <v>5801</v>
      </c>
      <c r="H2479">
        <v>35161</v>
      </c>
      <c r="I2479" t="s">
        <v>423</v>
      </c>
      <c r="J2479" t="s">
        <v>2629</v>
      </c>
      <c r="K2479" t="s">
        <v>2625</v>
      </c>
      <c r="L2479" t="s">
        <v>2626</v>
      </c>
      <c r="M2479">
        <v>33</v>
      </c>
      <c r="N2479">
        <v>34.119999999999997</v>
      </c>
      <c r="O2479">
        <v>3979.76</v>
      </c>
      <c r="P2479">
        <v>0</v>
      </c>
      <c r="Q2479">
        <v>3979.76</v>
      </c>
      <c r="R2479">
        <v>636.76</v>
      </c>
      <c r="S2479">
        <v>159.19</v>
      </c>
      <c r="T2479">
        <v>4457.33</v>
      </c>
      <c r="U2479" t="s">
        <v>2648</v>
      </c>
      <c r="V2479" t="s">
        <v>9408</v>
      </c>
      <c r="W2479" t="s">
        <v>423</v>
      </c>
    </row>
    <row r="2480" spans="1:23" hidden="1" x14ac:dyDescent="0.2">
      <c r="A2480">
        <v>2012</v>
      </c>
      <c r="B2480" t="s">
        <v>303</v>
      </c>
      <c r="C2480" s="733">
        <v>40926</v>
      </c>
      <c r="D24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80" t="s">
        <v>485</v>
      </c>
      <c r="F2480" t="s">
        <v>2065</v>
      </c>
      <c r="G2480" t="s">
        <v>3331</v>
      </c>
      <c r="H2480">
        <v>40465</v>
      </c>
      <c r="I2480" t="s">
        <v>423</v>
      </c>
      <c r="J2480" t="s">
        <v>2186</v>
      </c>
      <c r="K2480" t="s">
        <v>2183</v>
      </c>
      <c r="L2480" t="s">
        <v>2184</v>
      </c>
      <c r="M2480">
        <v>19</v>
      </c>
      <c r="N2480">
        <v>16.260000000000002</v>
      </c>
      <c r="O2480">
        <v>2408.7600000000002</v>
      </c>
      <c r="P2480">
        <v>0</v>
      </c>
      <c r="Q2480">
        <v>2408.7600000000002</v>
      </c>
      <c r="R2480">
        <v>385.4</v>
      </c>
      <c r="S2480">
        <v>96.35</v>
      </c>
      <c r="T2480">
        <v>2697.81</v>
      </c>
      <c r="U2480" t="s">
        <v>7554</v>
      </c>
      <c r="V2480" t="s">
        <v>9408</v>
      </c>
      <c r="W2480" t="s">
        <v>423</v>
      </c>
    </row>
    <row r="2481" spans="1:23" hidden="1" x14ac:dyDescent="0.2">
      <c r="A2481">
        <v>2012</v>
      </c>
      <c r="B2481" t="s">
        <v>303</v>
      </c>
      <c r="C2481" s="733">
        <v>40918</v>
      </c>
      <c r="D24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81" t="s">
        <v>478</v>
      </c>
      <c r="F2481" t="s">
        <v>2136</v>
      </c>
      <c r="G2481" t="s">
        <v>5802</v>
      </c>
      <c r="H2481">
        <v>34370</v>
      </c>
      <c r="I2481" t="s">
        <v>423</v>
      </c>
      <c r="J2481" t="s">
        <v>2629</v>
      </c>
      <c r="K2481" t="s">
        <v>2625</v>
      </c>
      <c r="L2481" t="s">
        <v>2626</v>
      </c>
      <c r="M2481">
        <v>33</v>
      </c>
      <c r="N2481">
        <v>21.24</v>
      </c>
      <c r="O2481">
        <v>2477.4299999999998</v>
      </c>
      <c r="P2481">
        <v>0</v>
      </c>
      <c r="Q2481">
        <v>2477.4299999999998</v>
      </c>
      <c r="R2481">
        <v>396.39</v>
      </c>
      <c r="S2481">
        <v>99.1</v>
      </c>
      <c r="T2481">
        <v>2774.72</v>
      </c>
      <c r="U2481" t="s">
        <v>2627</v>
      </c>
      <c r="V2481" t="s">
        <v>9408</v>
      </c>
      <c r="W2481" t="s">
        <v>423</v>
      </c>
    </row>
    <row r="2482" spans="1:23" hidden="1" x14ac:dyDescent="0.2">
      <c r="A2482">
        <v>2012</v>
      </c>
      <c r="B2482" t="s">
        <v>303</v>
      </c>
      <c r="C2482" s="733">
        <v>40924.947905092595</v>
      </c>
      <c r="D24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82" t="s">
        <v>478</v>
      </c>
      <c r="F2482" t="s">
        <v>2622</v>
      </c>
      <c r="G2482" t="s">
        <v>5800</v>
      </c>
      <c r="H2482">
        <v>34581</v>
      </c>
      <c r="I2482" t="s">
        <v>423</v>
      </c>
      <c r="J2482" t="s">
        <v>2629</v>
      </c>
      <c r="K2482" t="s">
        <v>2625</v>
      </c>
      <c r="L2482" t="s">
        <v>2626</v>
      </c>
      <c r="M2482">
        <v>33</v>
      </c>
      <c r="N2482">
        <v>24.19</v>
      </c>
      <c r="O2482">
        <v>2821.52</v>
      </c>
      <c r="P2482">
        <v>0</v>
      </c>
      <c r="Q2482">
        <v>2821.52</v>
      </c>
      <c r="R2482">
        <v>451.44</v>
      </c>
      <c r="S2482">
        <v>112.86</v>
      </c>
      <c r="T2482">
        <v>3160.1</v>
      </c>
      <c r="U2482" t="s">
        <v>2627</v>
      </c>
      <c r="V2482" t="s">
        <v>9408</v>
      </c>
      <c r="W2482" t="s">
        <v>423</v>
      </c>
    </row>
    <row r="2483" spans="1:23" hidden="1" x14ac:dyDescent="0.2">
      <c r="A2483">
        <v>2012</v>
      </c>
      <c r="B2483" t="s">
        <v>303</v>
      </c>
      <c r="C2483" s="733">
        <v>40924.948923611111</v>
      </c>
      <c r="D24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83" t="s">
        <v>478</v>
      </c>
      <c r="F2483" t="s">
        <v>2622</v>
      </c>
      <c r="G2483" t="s">
        <v>5219</v>
      </c>
      <c r="H2483">
        <v>34584</v>
      </c>
      <c r="I2483" t="s">
        <v>423</v>
      </c>
      <c r="J2483" t="s">
        <v>2629</v>
      </c>
      <c r="K2483" t="s">
        <v>2625</v>
      </c>
      <c r="L2483" t="s">
        <v>2626</v>
      </c>
      <c r="M2483">
        <v>33</v>
      </c>
      <c r="N2483">
        <v>24.96</v>
      </c>
      <c r="O2483">
        <v>2911.33</v>
      </c>
      <c r="P2483">
        <v>0</v>
      </c>
      <c r="Q2483">
        <v>2911.33</v>
      </c>
      <c r="R2483">
        <v>465.81</v>
      </c>
      <c r="S2483">
        <v>116.45</v>
      </c>
      <c r="T2483">
        <v>3260.69</v>
      </c>
      <c r="U2483" t="s">
        <v>2630</v>
      </c>
      <c r="V2483" t="s">
        <v>9408</v>
      </c>
      <c r="W2483" t="s">
        <v>423</v>
      </c>
    </row>
    <row r="2484" spans="1:23" hidden="1" x14ac:dyDescent="0.2">
      <c r="A2484">
        <v>2012</v>
      </c>
      <c r="B2484" t="s">
        <v>304</v>
      </c>
      <c r="C2484" s="733">
        <v>40948.433611111112</v>
      </c>
      <c r="D24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84" t="s">
        <v>485</v>
      </c>
      <c r="F2484" t="s">
        <v>2065</v>
      </c>
      <c r="G2484" t="s">
        <v>6281</v>
      </c>
      <c r="H2484">
        <v>41613</v>
      </c>
      <c r="I2484" t="s">
        <v>423</v>
      </c>
      <c r="J2484" t="s">
        <v>2141</v>
      </c>
      <c r="K2484" t="s">
        <v>2102</v>
      </c>
      <c r="L2484" t="s">
        <v>2103</v>
      </c>
      <c r="M2484">
        <v>114</v>
      </c>
      <c r="N2484">
        <v>24.77</v>
      </c>
      <c r="O2484">
        <v>3980.04</v>
      </c>
      <c r="P2484">
        <v>0</v>
      </c>
      <c r="Q2484">
        <v>3980.04</v>
      </c>
      <c r="R2484">
        <v>636.80999999999995</v>
      </c>
      <c r="S2484">
        <v>159.19999999999999</v>
      </c>
      <c r="T2484">
        <v>4457.6499999999996</v>
      </c>
      <c r="U2484" t="s">
        <v>7462</v>
      </c>
      <c r="V2484" t="s">
        <v>9408</v>
      </c>
      <c r="W2484" t="s">
        <v>423</v>
      </c>
    </row>
    <row r="2485" spans="1:23" hidden="1" x14ac:dyDescent="0.2">
      <c r="A2485">
        <v>2012</v>
      </c>
      <c r="B2485" t="s">
        <v>303</v>
      </c>
      <c r="C2485" s="733">
        <v>40919</v>
      </c>
      <c r="D24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85" t="s">
        <v>485</v>
      </c>
      <c r="F2485" t="s">
        <v>2099</v>
      </c>
      <c r="G2485" t="s">
        <v>3107</v>
      </c>
      <c r="H2485">
        <v>40154</v>
      </c>
      <c r="I2485" t="s">
        <v>423</v>
      </c>
      <c r="J2485" t="s">
        <v>2141</v>
      </c>
      <c r="K2485" t="s">
        <v>2102</v>
      </c>
      <c r="L2485" t="s">
        <v>2103</v>
      </c>
      <c r="M2485">
        <v>114</v>
      </c>
      <c r="N2485">
        <v>24.78</v>
      </c>
      <c r="O2485">
        <v>3981.65</v>
      </c>
      <c r="P2485">
        <v>0</v>
      </c>
      <c r="Q2485">
        <v>3981.65</v>
      </c>
      <c r="R2485">
        <v>637.05999999999995</v>
      </c>
      <c r="S2485">
        <v>159.27000000000001</v>
      </c>
      <c r="T2485">
        <v>4459.4399999999996</v>
      </c>
      <c r="U2485" t="s">
        <v>2106</v>
      </c>
      <c r="V2485" t="s">
        <v>9408</v>
      </c>
      <c r="W2485" t="s">
        <v>423</v>
      </c>
    </row>
    <row r="2486" spans="1:23" hidden="1" x14ac:dyDescent="0.2">
      <c r="A2486">
        <v>2012</v>
      </c>
      <c r="B2486" t="s">
        <v>304</v>
      </c>
      <c r="C2486" s="733">
        <v>40962</v>
      </c>
      <c r="D24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86" t="s">
        <v>485</v>
      </c>
      <c r="F2486" t="s">
        <v>2099</v>
      </c>
      <c r="G2486" t="s">
        <v>8537</v>
      </c>
      <c r="H2486">
        <v>42486</v>
      </c>
      <c r="I2486" t="s">
        <v>423</v>
      </c>
      <c r="J2486" t="s">
        <v>2141</v>
      </c>
      <c r="K2486" t="s">
        <v>2102</v>
      </c>
      <c r="L2486" t="s">
        <v>2103</v>
      </c>
      <c r="M2486">
        <v>114</v>
      </c>
      <c r="N2486">
        <v>23.19</v>
      </c>
      <c r="O2486">
        <v>3726.17</v>
      </c>
      <c r="P2486">
        <v>0</v>
      </c>
      <c r="Q2486">
        <v>3726.17</v>
      </c>
      <c r="R2486">
        <v>596.19000000000005</v>
      </c>
      <c r="S2486">
        <v>149.05000000000001</v>
      </c>
      <c r="T2486">
        <v>4173.3100000000004</v>
      </c>
      <c r="U2486" t="s">
        <v>8883</v>
      </c>
      <c r="V2486" t="s">
        <v>9408</v>
      </c>
      <c r="W2486" t="s">
        <v>423</v>
      </c>
    </row>
    <row r="2487" spans="1:23" hidden="1" x14ac:dyDescent="0.2">
      <c r="A2487">
        <v>2012</v>
      </c>
      <c r="B2487" t="s">
        <v>303</v>
      </c>
      <c r="C2487" s="733">
        <v>40926</v>
      </c>
      <c r="D24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87" t="s">
        <v>485</v>
      </c>
      <c r="F2487" t="s">
        <v>2099</v>
      </c>
      <c r="G2487" t="s">
        <v>6280</v>
      </c>
      <c r="H2487">
        <v>40503</v>
      </c>
      <c r="I2487" t="s">
        <v>423</v>
      </c>
      <c r="J2487" t="s">
        <v>2141</v>
      </c>
      <c r="K2487" t="s">
        <v>2102</v>
      </c>
      <c r="L2487" t="s">
        <v>2103</v>
      </c>
      <c r="M2487">
        <v>114</v>
      </c>
      <c r="N2487">
        <v>25.09</v>
      </c>
      <c r="O2487">
        <v>4031.46</v>
      </c>
      <c r="P2487">
        <v>0</v>
      </c>
      <c r="Q2487">
        <v>4031.46</v>
      </c>
      <c r="R2487">
        <v>645.03</v>
      </c>
      <c r="S2487">
        <v>161.26</v>
      </c>
      <c r="T2487">
        <v>4515.2299999999996</v>
      </c>
      <c r="U2487" t="s">
        <v>2106</v>
      </c>
      <c r="V2487" t="s">
        <v>9408</v>
      </c>
      <c r="W2487" t="s">
        <v>423</v>
      </c>
    </row>
    <row r="2488" spans="1:23" hidden="1" x14ac:dyDescent="0.2">
      <c r="A2488">
        <v>2012</v>
      </c>
      <c r="B2488" t="s">
        <v>304</v>
      </c>
      <c r="C2488" s="733">
        <v>40954.419965277775</v>
      </c>
      <c r="D24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88" t="s">
        <v>485</v>
      </c>
      <c r="F2488" t="s">
        <v>2065</v>
      </c>
      <c r="G2488" t="s">
        <v>6906</v>
      </c>
      <c r="H2488">
        <v>41959</v>
      </c>
      <c r="I2488" t="s">
        <v>423</v>
      </c>
      <c r="J2488" t="s">
        <v>2141</v>
      </c>
      <c r="K2488" t="s">
        <v>2102</v>
      </c>
      <c r="L2488" t="s">
        <v>2103</v>
      </c>
      <c r="M2488">
        <v>114</v>
      </c>
      <c r="N2488">
        <v>26.27</v>
      </c>
      <c r="O2488">
        <v>4221.0600000000004</v>
      </c>
      <c r="P2488">
        <v>0</v>
      </c>
      <c r="Q2488">
        <v>4221.0600000000004</v>
      </c>
      <c r="R2488">
        <v>675.37</v>
      </c>
      <c r="S2488">
        <v>168.84</v>
      </c>
      <c r="T2488">
        <v>4727.59</v>
      </c>
      <c r="U2488" t="s">
        <v>8051</v>
      </c>
      <c r="V2488" t="s">
        <v>9408</v>
      </c>
      <c r="W2488" t="s">
        <v>423</v>
      </c>
    </row>
    <row r="2489" spans="1:23" hidden="1" x14ac:dyDescent="0.2">
      <c r="A2489">
        <v>2012</v>
      </c>
      <c r="B2489" t="s">
        <v>303</v>
      </c>
      <c r="C2489" s="733">
        <v>40912</v>
      </c>
      <c r="D24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89" t="s">
        <v>478</v>
      </c>
      <c r="F2489" t="s">
        <v>2136</v>
      </c>
      <c r="G2489" t="s">
        <v>6893</v>
      </c>
      <c r="H2489">
        <v>34180</v>
      </c>
      <c r="I2489" t="s">
        <v>423</v>
      </c>
      <c r="J2489" t="s">
        <v>4791</v>
      </c>
      <c r="K2489" t="s">
        <v>425</v>
      </c>
      <c r="L2489" t="s">
        <v>2145</v>
      </c>
      <c r="M2489">
        <v>139</v>
      </c>
      <c r="N2489">
        <v>25.71</v>
      </c>
      <c r="O2489">
        <v>1807.93</v>
      </c>
      <c r="P2489">
        <v>2035.5303080000001</v>
      </c>
      <c r="Q2489">
        <v>3843.4603080000002</v>
      </c>
      <c r="R2489">
        <v>614.95364900000004</v>
      </c>
      <c r="S2489">
        <v>153.73841200000001</v>
      </c>
      <c r="T2489">
        <v>4304.6755450000001</v>
      </c>
      <c r="U2489" t="s">
        <v>3118</v>
      </c>
      <c r="V2489" t="s">
        <v>9408</v>
      </c>
      <c r="W2489" t="s">
        <v>423</v>
      </c>
    </row>
    <row r="2490" spans="1:23" hidden="1" x14ac:dyDescent="0.2">
      <c r="A2490">
        <v>2012</v>
      </c>
      <c r="B2490" t="s">
        <v>304</v>
      </c>
      <c r="C2490" s="733">
        <v>40941</v>
      </c>
      <c r="D24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90" t="s">
        <v>485</v>
      </c>
      <c r="F2490" t="s">
        <v>2065</v>
      </c>
      <c r="G2490" t="s">
        <v>6279</v>
      </c>
      <c r="H2490">
        <v>41280</v>
      </c>
      <c r="I2490" t="s">
        <v>423</v>
      </c>
      <c r="J2490" t="s">
        <v>2141</v>
      </c>
      <c r="K2490" t="s">
        <v>2102</v>
      </c>
      <c r="L2490" t="s">
        <v>2103</v>
      </c>
      <c r="M2490">
        <v>114</v>
      </c>
      <c r="N2490">
        <v>31.22</v>
      </c>
      <c r="O2490">
        <v>5016.43</v>
      </c>
      <c r="P2490">
        <v>0</v>
      </c>
      <c r="Q2490">
        <v>5016.43</v>
      </c>
      <c r="R2490">
        <v>802.63</v>
      </c>
      <c r="S2490">
        <v>200.66</v>
      </c>
      <c r="T2490">
        <v>5618.4</v>
      </c>
      <c r="V2490" t="s">
        <v>9408</v>
      </c>
      <c r="W2490" t="s">
        <v>423</v>
      </c>
    </row>
    <row r="2491" spans="1:23" hidden="1" x14ac:dyDescent="0.2">
      <c r="A2491">
        <v>2012</v>
      </c>
      <c r="B2491" t="s">
        <v>304</v>
      </c>
      <c r="C2491" s="733">
        <v>40946</v>
      </c>
      <c r="D24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91" t="s">
        <v>478</v>
      </c>
      <c r="F2491" t="s">
        <v>2622</v>
      </c>
      <c r="G2491" t="s">
        <v>5220</v>
      </c>
      <c r="H2491">
        <v>35334</v>
      </c>
      <c r="I2491" t="s">
        <v>423</v>
      </c>
      <c r="J2491" t="s">
        <v>2629</v>
      </c>
      <c r="K2491" t="s">
        <v>2625</v>
      </c>
      <c r="L2491" t="s">
        <v>2626</v>
      </c>
      <c r="M2491">
        <v>33</v>
      </c>
      <c r="N2491">
        <v>25.14</v>
      </c>
      <c r="O2491">
        <v>2932.33</v>
      </c>
      <c r="P2491">
        <v>0</v>
      </c>
      <c r="Q2491">
        <v>2932.33</v>
      </c>
      <c r="R2491">
        <v>469.17</v>
      </c>
      <c r="S2491">
        <v>117.29</v>
      </c>
      <c r="T2491">
        <v>3284.21</v>
      </c>
      <c r="U2491" t="s">
        <v>2630</v>
      </c>
      <c r="V2491" t="s">
        <v>9408</v>
      </c>
      <c r="W2491" t="s">
        <v>423</v>
      </c>
    </row>
    <row r="2492" spans="1:23" hidden="1" x14ac:dyDescent="0.2">
      <c r="A2492">
        <v>2012</v>
      </c>
      <c r="B2492" t="s">
        <v>303</v>
      </c>
      <c r="C2492" s="733">
        <v>40910</v>
      </c>
      <c r="D24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92" t="s">
        <v>478</v>
      </c>
      <c r="F2492" t="s">
        <v>2622</v>
      </c>
      <c r="G2492" t="s">
        <v>5218</v>
      </c>
      <c r="H2492">
        <v>34182</v>
      </c>
      <c r="I2492" t="s">
        <v>423</v>
      </c>
      <c r="J2492" t="s">
        <v>2629</v>
      </c>
      <c r="K2492" t="s">
        <v>2625</v>
      </c>
      <c r="L2492" t="s">
        <v>2626</v>
      </c>
      <c r="M2492">
        <v>33</v>
      </c>
      <c r="N2492">
        <v>27.92</v>
      </c>
      <c r="O2492">
        <v>1561.29</v>
      </c>
      <c r="P2492">
        <v>1353.560365</v>
      </c>
      <c r="Q2492">
        <v>2914.8503649999998</v>
      </c>
      <c r="R2492">
        <v>466.376058</v>
      </c>
      <c r="S2492">
        <v>116.594015</v>
      </c>
      <c r="T2492">
        <v>3264.6324079999999</v>
      </c>
      <c r="U2492" t="s">
        <v>2665</v>
      </c>
      <c r="V2492" t="s">
        <v>9408</v>
      </c>
      <c r="W2492" t="s">
        <v>423</v>
      </c>
    </row>
    <row r="2493" spans="1:23" x14ac:dyDescent="0.2">
      <c r="A2493">
        <v>2012</v>
      </c>
      <c r="B2493" t="s">
        <v>304</v>
      </c>
      <c r="C2493" s="733">
        <v>40968.482418981483</v>
      </c>
      <c r="D24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493" t="s">
        <v>485</v>
      </c>
      <c r="F2493" t="s">
        <v>2065</v>
      </c>
      <c r="G2493" t="s">
        <v>9520</v>
      </c>
      <c r="H2493">
        <v>42876</v>
      </c>
      <c r="I2493" t="s">
        <v>423</v>
      </c>
      <c r="J2493" t="s">
        <v>2186</v>
      </c>
      <c r="K2493" t="s">
        <v>2183</v>
      </c>
      <c r="L2493" t="s">
        <v>2184</v>
      </c>
      <c r="M2493">
        <v>19</v>
      </c>
      <c r="N2493">
        <v>15.42</v>
      </c>
      <c r="O2493">
        <v>1740.46</v>
      </c>
      <c r="P2493">
        <v>0</v>
      </c>
      <c r="Q2493">
        <v>1740.46</v>
      </c>
      <c r="R2493">
        <v>278.47000000000003</v>
      </c>
      <c r="S2493">
        <v>69.62</v>
      </c>
      <c r="T2493">
        <v>1949.31</v>
      </c>
      <c r="V2493" t="s">
        <v>9408</v>
      </c>
      <c r="W2493" t="s">
        <v>423</v>
      </c>
    </row>
    <row r="2494" spans="1:23" hidden="1" x14ac:dyDescent="0.2">
      <c r="A2494">
        <v>2012</v>
      </c>
      <c r="B2494" t="s">
        <v>303</v>
      </c>
      <c r="C2494" s="733">
        <v>40928.499189814815</v>
      </c>
      <c r="D24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94" t="s">
        <v>485</v>
      </c>
      <c r="F2494" t="s">
        <v>2065</v>
      </c>
      <c r="G2494" t="s">
        <v>3341</v>
      </c>
      <c r="H2494">
        <v>40633</v>
      </c>
      <c r="I2494" t="s">
        <v>423</v>
      </c>
      <c r="J2494" t="s">
        <v>2186</v>
      </c>
      <c r="K2494" t="s">
        <v>2183</v>
      </c>
      <c r="L2494" t="s">
        <v>2184</v>
      </c>
      <c r="M2494">
        <v>19</v>
      </c>
      <c r="N2494">
        <v>15.96</v>
      </c>
      <c r="O2494">
        <v>1801.41</v>
      </c>
      <c r="P2494">
        <v>0</v>
      </c>
      <c r="Q2494">
        <v>1801.41</v>
      </c>
      <c r="R2494">
        <v>288.22000000000003</v>
      </c>
      <c r="S2494">
        <v>72.06</v>
      </c>
      <c r="T2494">
        <v>2017.57</v>
      </c>
      <c r="U2494" t="s">
        <v>2187</v>
      </c>
      <c r="V2494" t="s">
        <v>9408</v>
      </c>
      <c r="W2494" t="s">
        <v>423</v>
      </c>
    </row>
    <row r="2495" spans="1:23" hidden="1" x14ac:dyDescent="0.2">
      <c r="A2495">
        <v>2012</v>
      </c>
      <c r="B2495" t="s">
        <v>305</v>
      </c>
      <c r="C2495" s="733">
        <v>40970</v>
      </c>
      <c r="D2495" s="733" t="str">
        <f>CHOOSE(MONTH(Tabla_sqldatos_bonampakdb_Bon_v_ingresos2012[[#This Row],[fecha_guia]]),"Enero","Febrero","Marzo","Abril","Mayo","Junio","Julio","Agosto","Septiembre","Octubre","Noviembre","Diciembre")</f>
        <v>Marzo</v>
      </c>
      <c r="E2495" t="s">
        <v>485</v>
      </c>
      <c r="F2495" t="s">
        <v>2065</v>
      </c>
      <c r="G2495" t="s">
        <v>9519</v>
      </c>
      <c r="H2495">
        <v>42907</v>
      </c>
      <c r="I2495" t="s">
        <v>423</v>
      </c>
      <c r="J2495" t="s">
        <v>2186</v>
      </c>
      <c r="K2495" t="s">
        <v>2183</v>
      </c>
      <c r="L2495" t="s">
        <v>2184</v>
      </c>
      <c r="M2495">
        <v>19</v>
      </c>
      <c r="N2495">
        <v>15.62</v>
      </c>
      <c r="O2495">
        <v>1763.03</v>
      </c>
      <c r="P2495">
        <v>0</v>
      </c>
      <c r="Q2495">
        <v>1763.03</v>
      </c>
      <c r="R2495">
        <v>282.08</v>
      </c>
      <c r="S2495">
        <v>70.52</v>
      </c>
      <c r="T2495">
        <v>1974.59</v>
      </c>
      <c r="V2495" t="s">
        <v>9408</v>
      </c>
      <c r="W2495" t="s">
        <v>423</v>
      </c>
    </row>
    <row r="2496" spans="1:23" hidden="1" x14ac:dyDescent="0.2">
      <c r="A2496">
        <v>2012</v>
      </c>
      <c r="B2496" t="s">
        <v>303</v>
      </c>
      <c r="C2496" s="733">
        <v>40938</v>
      </c>
      <c r="D24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96" t="s">
        <v>485</v>
      </c>
      <c r="F2496" t="s">
        <v>2065</v>
      </c>
      <c r="G2496" t="s">
        <v>3340</v>
      </c>
      <c r="H2496">
        <v>41081</v>
      </c>
      <c r="I2496" t="s">
        <v>423</v>
      </c>
      <c r="J2496" t="s">
        <v>2186</v>
      </c>
      <c r="K2496" t="s">
        <v>2183</v>
      </c>
      <c r="L2496" t="s">
        <v>2184</v>
      </c>
      <c r="M2496">
        <v>19</v>
      </c>
      <c r="N2496">
        <v>16.41</v>
      </c>
      <c r="O2496">
        <v>1852.2</v>
      </c>
      <c r="P2496">
        <v>0</v>
      </c>
      <c r="Q2496">
        <v>1852.2</v>
      </c>
      <c r="R2496">
        <v>296.35000000000002</v>
      </c>
      <c r="S2496">
        <v>74.09</v>
      </c>
      <c r="T2496">
        <v>2074.46</v>
      </c>
      <c r="U2496" t="s">
        <v>2187</v>
      </c>
      <c r="V2496" t="s">
        <v>9408</v>
      </c>
      <c r="W2496" t="s">
        <v>423</v>
      </c>
    </row>
    <row r="2497" spans="1:23" hidden="1" x14ac:dyDescent="0.2">
      <c r="A2497">
        <v>2012</v>
      </c>
      <c r="B2497" t="s">
        <v>303</v>
      </c>
      <c r="C2497" s="733">
        <v>40926.833981481483</v>
      </c>
      <c r="D24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97" t="s">
        <v>478</v>
      </c>
      <c r="F2497" t="s">
        <v>2622</v>
      </c>
      <c r="G2497" t="s">
        <v>5803</v>
      </c>
      <c r="H2497">
        <v>34702</v>
      </c>
      <c r="I2497" t="s">
        <v>423</v>
      </c>
      <c r="J2497" t="s">
        <v>2629</v>
      </c>
      <c r="K2497" t="s">
        <v>2625</v>
      </c>
      <c r="L2497" t="s">
        <v>2626</v>
      </c>
      <c r="M2497">
        <v>33</v>
      </c>
      <c r="N2497">
        <v>24.47</v>
      </c>
      <c r="O2497">
        <v>2854.18</v>
      </c>
      <c r="P2497">
        <v>0</v>
      </c>
      <c r="Q2497">
        <v>2854.18</v>
      </c>
      <c r="R2497">
        <v>456.67</v>
      </c>
      <c r="S2497">
        <v>114.17</v>
      </c>
      <c r="T2497">
        <v>3196.68</v>
      </c>
      <c r="U2497" t="s">
        <v>2635</v>
      </c>
      <c r="V2497" t="s">
        <v>9408</v>
      </c>
      <c r="W2497" t="s">
        <v>423</v>
      </c>
    </row>
    <row r="2498" spans="1:23" hidden="1" x14ac:dyDescent="0.2">
      <c r="A2498">
        <v>2012</v>
      </c>
      <c r="B2498" t="s">
        <v>303</v>
      </c>
      <c r="C2498" s="733">
        <v>40931</v>
      </c>
      <c r="D24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98" t="s">
        <v>485</v>
      </c>
      <c r="F2498" t="s">
        <v>2099</v>
      </c>
      <c r="G2498" t="s">
        <v>3741</v>
      </c>
      <c r="H2498">
        <v>40727</v>
      </c>
      <c r="I2498" t="s">
        <v>423</v>
      </c>
      <c r="J2498" t="s">
        <v>2101</v>
      </c>
      <c r="K2498" t="s">
        <v>2102</v>
      </c>
      <c r="L2498" t="s">
        <v>2103</v>
      </c>
      <c r="M2498">
        <v>119</v>
      </c>
      <c r="N2498">
        <v>26.29</v>
      </c>
      <c r="O2498">
        <v>4409.62</v>
      </c>
      <c r="P2498">
        <v>0</v>
      </c>
      <c r="Q2498">
        <v>4409.62</v>
      </c>
      <c r="R2498">
        <v>705.54</v>
      </c>
      <c r="S2498">
        <v>176.38</v>
      </c>
      <c r="T2498">
        <v>4938.78</v>
      </c>
      <c r="U2498" t="s">
        <v>2106</v>
      </c>
      <c r="V2498" t="s">
        <v>9408</v>
      </c>
      <c r="W2498" t="s">
        <v>423</v>
      </c>
    </row>
    <row r="2499" spans="1:23" hidden="1" x14ac:dyDescent="0.2">
      <c r="A2499">
        <v>2012</v>
      </c>
      <c r="B2499" t="s">
        <v>303</v>
      </c>
      <c r="C2499" s="733">
        <v>40928</v>
      </c>
      <c r="D24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499" t="s">
        <v>485</v>
      </c>
      <c r="F2499" t="s">
        <v>2099</v>
      </c>
      <c r="G2499" t="s">
        <v>3719</v>
      </c>
      <c r="H2499">
        <v>40641</v>
      </c>
      <c r="I2499" t="s">
        <v>423</v>
      </c>
      <c r="J2499" t="s">
        <v>2101</v>
      </c>
      <c r="K2499" t="s">
        <v>2102</v>
      </c>
      <c r="L2499" t="s">
        <v>2103</v>
      </c>
      <c r="M2499">
        <v>119</v>
      </c>
      <c r="N2499">
        <v>23.73</v>
      </c>
      <c r="O2499">
        <v>3980.23</v>
      </c>
      <c r="P2499">
        <v>0</v>
      </c>
      <c r="Q2499">
        <v>3980.23</v>
      </c>
      <c r="R2499">
        <v>636.84</v>
      </c>
      <c r="S2499">
        <v>159.21</v>
      </c>
      <c r="T2499">
        <v>4457.8599999999997</v>
      </c>
      <c r="U2499" t="s">
        <v>2106</v>
      </c>
      <c r="V2499" t="s">
        <v>9408</v>
      </c>
      <c r="W2499" t="s">
        <v>423</v>
      </c>
    </row>
    <row r="2500" spans="1:23" hidden="1" x14ac:dyDescent="0.2">
      <c r="A2500">
        <v>2012</v>
      </c>
      <c r="B2500" t="s">
        <v>304</v>
      </c>
      <c r="C2500" s="733">
        <v>40941</v>
      </c>
      <c r="D25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00" t="s">
        <v>485</v>
      </c>
      <c r="F2500" t="s">
        <v>2054</v>
      </c>
      <c r="G2500" t="s">
        <v>4040</v>
      </c>
      <c r="H2500">
        <v>10288</v>
      </c>
      <c r="I2500" t="s">
        <v>423</v>
      </c>
      <c r="J2500" t="s">
        <v>2098</v>
      </c>
      <c r="K2500" t="s">
        <v>2057</v>
      </c>
      <c r="L2500" t="s">
        <v>2058</v>
      </c>
      <c r="M2500">
        <v>565</v>
      </c>
      <c r="N2500">
        <v>47.32</v>
      </c>
      <c r="O2500">
        <v>15995.11</v>
      </c>
      <c r="P2500">
        <v>0</v>
      </c>
      <c r="Q2500">
        <v>15995.11</v>
      </c>
      <c r="R2500">
        <v>2559.2199999999998</v>
      </c>
      <c r="S2500">
        <v>639.79999999999995</v>
      </c>
      <c r="T2500">
        <v>17914.53</v>
      </c>
      <c r="U2500" t="s">
        <v>2075</v>
      </c>
      <c r="V2500" t="s">
        <v>9409</v>
      </c>
      <c r="W2500" t="s">
        <v>423</v>
      </c>
    </row>
    <row r="2501" spans="1:23" hidden="1" x14ac:dyDescent="0.2">
      <c r="A2501">
        <v>2012</v>
      </c>
      <c r="B2501" t="s">
        <v>303</v>
      </c>
      <c r="C2501" s="733">
        <v>40938</v>
      </c>
      <c r="D25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01" t="s">
        <v>485</v>
      </c>
      <c r="F2501" t="s">
        <v>2054</v>
      </c>
      <c r="G2501" t="s">
        <v>4041</v>
      </c>
      <c r="H2501">
        <v>10262</v>
      </c>
      <c r="I2501" t="s">
        <v>423</v>
      </c>
      <c r="J2501" t="s">
        <v>2098</v>
      </c>
      <c r="K2501" t="s">
        <v>2057</v>
      </c>
      <c r="L2501" t="s">
        <v>2058</v>
      </c>
      <c r="M2501">
        <v>565</v>
      </c>
      <c r="N2501">
        <v>46.68</v>
      </c>
      <c r="O2501">
        <v>15778.77</v>
      </c>
      <c r="P2501">
        <v>0</v>
      </c>
      <c r="Q2501">
        <v>15778.77</v>
      </c>
      <c r="R2501">
        <v>2524.6</v>
      </c>
      <c r="S2501">
        <v>631.15</v>
      </c>
      <c r="T2501">
        <v>17672.22</v>
      </c>
      <c r="U2501" t="s">
        <v>2075</v>
      </c>
      <c r="V2501" t="s">
        <v>9409</v>
      </c>
      <c r="W2501" t="s">
        <v>423</v>
      </c>
    </row>
    <row r="2502" spans="1:23" hidden="1" x14ac:dyDescent="0.2">
      <c r="A2502">
        <v>2012</v>
      </c>
      <c r="B2502" t="s">
        <v>304</v>
      </c>
      <c r="C2502" s="733">
        <v>40961</v>
      </c>
      <c r="D25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02" t="s">
        <v>485</v>
      </c>
      <c r="F2502" t="s">
        <v>2099</v>
      </c>
      <c r="G2502" t="s">
        <v>8340</v>
      </c>
      <c r="H2502">
        <v>42411</v>
      </c>
      <c r="I2502" t="s">
        <v>423</v>
      </c>
      <c r="J2502" t="s">
        <v>2101</v>
      </c>
      <c r="K2502" t="s">
        <v>2102</v>
      </c>
      <c r="L2502" t="s">
        <v>2052</v>
      </c>
      <c r="M2502">
        <v>119</v>
      </c>
      <c r="N2502">
        <v>51.73</v>
      </c>
      <c r="O2502">
        <v>8676.67</v>
      </c>
      <c r="P2502">
        <v>0</v>
      </c>
      <c r="Q2502">
        <v>8676.67</v>
      </c>
      <c r="R2502">
        <v>1388.27</v>
      </c>
      <c r="S2502">
        <v>347.07</v>
      </c>
      <c r="T2502">
        <v>9717.8700000000008</v>
      </c>
      <c r="U2502" t="s">
        <v>8883</v>
      </c>
      <c r="V2502" t="s">
        <v>9409</v>
      </c>
      <c r="W2502" t="s">
        <v>423</v>
      </c>
    </row>
    <row r="2503" spans="1:23" hidden="1" x14ac:dyDescent="0.2">
      <c r="A2503">
        <v>2012</v>
      </c>
      <c r="B2503" t="s">
        <v>303</v>
      </c>
      <c r="C2503" s="733">
        <v>40938</v>
      </c>
      <c r="D25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03" t="s">
        <v>485</v>
      </c>
      <c r="F2503" t="s">
        <v>2084</v>
      </c>
      <c r="G2503" t="s">
        <v>3860</v>
      </c>
      <c r="H2503">
        <v>39890</v>
      </c>
      <c r="I2503" t="s">
        <v>423</v>
      </c>
      <c r="J2503" t="s">
        <v>2836</v>
      </c>
      <c r="K2503" t="s">
        <v>2814</v>
      </c>
      <c r="L2503" t="s">
        <v>2815</v>
      </c>
      <c r="M2503">
        <v>70</v>
      </c>
      <c r="N2503">
        <v>23.738</v>
      </c>
      <c r="O2503">
        <v>2679.31</v>
      </c>
      <c r="P2503">
        <v>0</v>
      </c>
      <c r="Q2503">
        <v>2679.31</v>
      </c>
      <c r="R2503">
        <v>428.69</v>
      </c>
      <c r="S2503">
        <v>107.17</v>
      </c>
      <c r="T2503">
        <v>3000.83</v>
      </c>
      <c r="U2503" t="s">
        <v>2826</v>
      </c>
      <c r="V2503" t="s">
        <v>9408</v>
      </c>
      <c r="W2503" t="s">
        <v>423</v>
      </c>
    </row>
    <row r="2504" spans="1:23" hidden="1" x14ac:dyDescent="0.2">
      <c r="A2504">
        <v>2012</v>
      </c>
      <c r="B2504" t="s">
        <v>303</v>
      </c>
      <c r="C2504" s="733">
        <v>40932</v>
      </c>
      <c r="D25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04" t="s">
        <v>485</v>
      </c>
      <c r="F2504" t="s">
        <v>2084</v>
      </c>
      <c r="G2504" t="s">
        <v>3861</v>
      </c>
      <c r="H2504">
        <v>40428</v>
      </c>
      <c r="I2504" t="s">
        <v>423</v>
      </c>
      <c r="J2504" t="s">
        <v>2836</v>
      </c>
      <c r="K2504" t="s">
        <v>2814</v>
      </c>
      <c r="L2504" t="s">
        <v>2815</v>
      </c>
      <c r="M2504">
        <v>70</v>
      </c>
      <c r="N2504">
        <v>23.81</v>
      </c>
      <c r="O2504">
        <v>2687.43</v>
      </c>
      <c r="P2504">
        <v>0</v>
      </c>
      <c r="Q2504">
        <v>2687.43</v>
      </c>
      <c r="R2504">
        <v>429.99</v>
      </c>
      <c r="S2504">
        <v>107.5</v>
      </c>
      <c r="T2504">
        <v>3009.92</v>
      </c>
      <c r="U2504" t="s">
        <v>2826</v>
      </c>
      <c r="V2504" t="s">
        <v>9408</v>
      </c>
      <c r="W2504" t="s">
        <v>423</v>
      </c>
    </row>
    <row r="2505" spans="1:23" x14ac:dyDescent="0.2">
      <c r="A2505">
        <v>2012</v>
      </c>
      <c r="B2505" t="s">
        <v>304</v>
      </c>
      <c r="C2505" s="733">
        <v>40967</v>
      </c>
      <c r="D25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05" t="s">
        <v>485</v>
      </c>
      <c r="F2505" t="s">
        <v>2084</v>
      </c>
      <c r="G2505" t="s">
        <v>9242</v>
      </c>
      <c r="H2505">
        <v>42124</v>
      </c>
      <c r="I2505" t="s">
        <v>423</v>
      </c>
      <c r="J2505" t="s">
        <v>2836</v>
      </c>
      <c r="K2505" t="s">
        <v>2814</v>
      </c>
      <c r="L2505" t="s">
        <v>2815</v>
      </c>
      <c r="M2505">
        <v>70</v>
      </c>
      <c r="N2505">
        <v>24.053000000000001</v>
      </c>
      <c r="O2505">
        <v>2714.86</v>
      </c>
      <c r="P2505">
        <v>0</v>
      </c>
      <c r="Q2505">
        <v>2714.86</v>
      </c>
      <c r="R2505">
        <v>298.63</v>
      </c>
      <c r="S2505">
        <v>108.59</v>
      </c>
      <c r="T2505">
        <v>2904.9</v>
      </c>
      <c r="U2505" t="s">
        <v>8877</v>
      </c>
      <c r="V2505" t="s">
        <v>9408</v>
      </c>
      <c r="W2505" t="s">
        <v>423</v>
      </c>
    </row>
    <row r="2506" spans="1:23" hidden="1" x14ac:dyDescent="0.2">
      <c r="A2506">
        <v>2012</v>
      </c>
      <c r="B2506" t="s">
        <v>303</v>
      </c>
      <c r="C2506" s="733">
        <v>40912</v>
      </c>
      <c r="D25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06" t="s">
        <v>485</v>
      </c>
      <c r="F2506" t="s">
        <v>2084</v>
      </c>
      <c r="G2506" t="s">
        <v>3858</v>
      </c>
      <c r="H2506">
        <v>39605</v>
      </c>
      <c r="I2506" t="s">
        <v>423</v>
      </c>
      <c r="J2506" t="s">
        <v>2836</v>
      </c>
      <c r="K2506" t="s">
        <v>2814</v>
      </c>
      <c r="L2506" t="s">
        <v>2815</v>
      </c>
      <c r="M2506">
        <v>70</v>
      </c>
      <c r="N2506">
        <v>24.085000000000001</v>
      </c>
      <c r="O2506">
        <v>1144.52</v>
      </c>
      <c r="P2506">
        <v>1288.603623</v>
      </c>
      <c r="Q2506">
        <v>2433.123623</v>
      </c>
      <c r="R2506">
        <v>389.29978</v>
      </c>
      <c r="S2506">
        <v>97.324945</v>
      </c>
      <c r="T2506">
        <v>2725.0984579999999</v>
      </c>
      <c r="U2506" t="s">
        <v>2846</v>
      </c>
      <c r="V2506" t="s">
        <v>9408</v>
      </c>
      <c r="W2506" t="s">
        <v>423</v>
      </c>
    </row>
    <row r="2507" spans="1:23" hidden="1" x14ac:dyDescent="0.2">
      <c r="A2507">
        <v>2012</v>
      </c>
      <c r="B2507" t="s">
        <v>304</v>
      </c>
      <c r="C2507" s="733">
        <v>40953</v>
      </c>
      <c r="D25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07" t="s">
        <v>485</v>
      </c>
      <c r="F2507" t="s">
        <v>2084</v>
      </c>
      <c r="G2507" t="s">
        <v>3859</v>
      </c>
      <c r="H2507">
        <v>41697</v>
      </c>
      <c r="I2507" t="s">
        <v>423</v>
      </c>
      <c r="J2507" t="s">
        <v>2836</v>
      </c>
      <c r="K2507" t="s">
        <v>2814</v>
      </c>
      <c r="L2507" t="s">
        <v>2815</v>
      </c>
      <c r="M2507">
        <v>70</v>
      </c>
      <c r="N2507">
        <v>24.111999999999998</v>
      </c>
      <c r="O2507">
        <v>2721.52</v>
      </c>
      <c r="P2507">
        <v>0</v>
      </c>
      <c r="Q2507">
        <v>2721.52</v>
      </c>
      <c r="R2507">
        <v>299.37</v>
      </c>
      <c r="S2507">
        <v>108.86</v>
      </c>
      <c r="T2507">
        <v>2912.03</v>
      </c>
      <c r="U2507" t="s">
        <v>7527</v>
      </c>
      <c r="V2507" t="s">
        <v>9408</v>
      </c>
      <c r="W2507" t="s">
        <v>423</v>
      </c>
    </row>
    <row r="2508" spans="1:23" hidden="1" x14ac:dyDescent="0.2">
      <c r="A2508">
        <v>2012</v>
      </c>
      <c r="B2508" t="s">
        <v>304</v>
      </c>
      <c r="C2508" s="733">
        <v>40953</v>
      </c>
      <c r="D25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08" t="s">
        <v>485</v>
      </c>
      <c r="F2508" t="s">
        <v>2084</v>
      </c>
      <c r="G2508" t="s">
        <v>3862</v>
      </c>
      <c r="H2508">
        <v>41420</v>
      </c>
      <c r="I2508" t="s">
        <v>423</v>
      </c>
      <c r="J2508" t="s">
        <v>2836</v>
      </c>
      <c r="K2508" t="s">
        <v>2814</v>
      </c>
      <c r="L2508" t="s">
        <v>2815</v>
      </c>
      <c r="M2508">
        <v>70</v>
      </c>
      <c r="N2508">
        <v>24.428000000000001</v>
      </c>
      <c r="O2508">
        <v>2757.19</v>
      </c>
      <c r="P2508">
        <v>0</v>
      </c>
      <c r="Q2508">
        <v>2757.19</v>
      </c>
      <c r="R2508">
        <v>303.29000000000002</v>
      </c>
      <c r="S2508">
        <v>110.29</v>
      </c>
      <c r="T2508">
        <v>2950.19</v>
      </c>
      <c r="U2508" t="s">
        <v>7527</v>
      </c>
      <c r="V2508" t="s">
        <v>9408</v>
      </c>
      <c r="W2508" t="s">
        <v>423</v>
      </c>
    </row>
    <row r="2509" spans="1:23" hidden="1" x14ac:dyDescent="0.2">
      <c r="A2509">
        <v>2012</v>
      </c>
      <c r="B2509" t="s">
        <v>304</v>
      </c>
      <c r="C2509" s="733">
        <v>40947.429259259261</v>
      </c>
      <c r="D25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09" t="s">
        <v>485</v>
      </c>
      <c r="F2509" t="s">
        <v>2054</v>
      </c>
      <c r="G2509" t="s">
        <v>4042</v>
      </c>
      <c r="H2509">
        <v>10346</v>
      </c>
      <c r="I2509" t="s">
        <v>423</v>
      </c>
      <c r="J2509" t="s">
        <v>2098</v>
      </c>
      <c r="K2509" t="s">
        <v>2057</v>
      </c>
      <c r="L2509" t="s">
        <v>2058</v>
      </c>
      <c r="M2509">
        <v>565</v>
      </c>
      <c r="N2509">
        <v>47.03</v>
      </c>
      <c r="O2509">
        <v>15897.08</v>
      </c>
      <c r="P2509">
        <v>0</v>
      </c>
      <c r="Q2509">
        <v>15897.08</v>
      </c>
      <c r="R2509">
        <v>1748.68</v>
      </c>
      <c r="S2509">
        <v>635.88</v>
      </c>
      <c r="T2509">
        <v>17009.88</v>
      </c>
      <c r="U2509" t="s">
        <v>2082</v>
      </c>
      <c r="V2509" t="s">
        <v>9409</v>
      </c>
      <c r="W2509" t="s">
        <v>423</v>
      </c>
    </row>
    <row r="2510" spans="1:23" hidden="1" x14ac:dyDescent="0.2">
      <c r="A2510">
        <v>2012</v>
      </c>
      <c r="B2510" t="s">
        <v>303</v>
      </c>
      <c r="C2510" s="733">
        <v>40919</v>
      </c>
      <c r="D25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10" t="s">
        <v>485</v>
      </c>
      <c r="F2510" t="s">
        <v>2054</v>
      </c>
      <c r="G2510" t="s">
        <v>4731</v>
      </c>
      <c r="H2510">
        <v>9976</v>
      </c>
      <c r="I2510" t="s">
        <v>423</v>
      </c>
      <c r="J2510" t="s">
        <v>2098</v>
      </c>
      <c r="K2510" t="s">
        <v>2057</v>
      </c>
      <c r="L2510" t="s">
        <v>2058</v>
      </c>
      <c r="M2510">
        <v>565</v>
      </c>
      <c r="N2510">
        <v>49.74</v>
      </c>
      <c r="O2510">
        <v>16813.11</v>
      </c>
      <c r="P2510">
        <v>0</v>
      </c>
      <c r="Q2510">
        <v>16813.11</v>
      </c>
      <c r="R2510">
        <v>2690.1</v>
      </c>
      <c r="S2510">
        <v>672.52</v>
      </c>
      <c r="T2510">
        <v>18830.689999999999</v>
      </c>
      <c r="U2510" t="s">
        <v>2070</v>
      </c>
      <c r="V2510" t="s">
        <v>9409</v>
      </c>
      <c r="W2510" t="s">
        <v>423</v>
      </c>
    </row>
    <row r="2511" spans="1:23" x14ac:dyDescent="0.2">
      <c r="A2511">
        <v>2012</v>
      </c>
      <c r="B2511" t="s">
        <v>304</v>
      </c>
      <c r="C2511" s="733">
        <v>40967</v>
      </c>
      <c r="D25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11" t="s">
        <v>485</v>
      </c>
      <c r="F2511" t="s">
        <v>2054</v>
      </c>
      <c r="G2511" t="s">
        <v>9241</v>
      </c>
      <c r="H2511">
        <v>10579</v>
      </c>
      <c r="I2511" t="s">
        <v>423</v>
      </c>
      <c r="J2511" t="s">
        <v>2098</v>
      </c>
      <c r="K2511" t="s">
        <v>2057</v>
      </c>
      <c r="L2511" t="s">
        <v>2058</v>
      </c>
      <c r="M2511">
        <v>565</v>
      </c>
      <c r="N2511">
        <v>47.42</v>
      </c>
      <c r="O2511">
        <v>16028.91</v>
      </c>
      <c r="P2511">
        <v>0</v>
      </c>
      <c r="Q2511">
        <v>16028.91</v>
      </c>
      <c r="R2511">
        <v>1763.18</v>
      </c>
      <c r="S2511">
        <v>641.16</v>
      </c>
      <c r="T2511">
        <v>17150.93</v>
      </c>
      <c r="V2511" t="s">
        <v>9409</v>
      </c>
      <c r="W2511" t="s">
        <v>423</v>
      </c>
    </row>
    <row r="2512" spans="1:23" hidden="1" x14ac:dyDescent="0.2">
      <c r="A2512">
        <v>2012</v>
      </c>
      <c r="B2512" t="s">
        <v>304</v>
      </c>
      <c r="C2512" s="733">
        <v>40940.429895833331</v>
      </c>
      <c r="D25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12" t="s">
        <v>485</v>
      </c>
      <c r="F2512" t="s">
        <v>2054</v>
      </c>
      <c r="G2512" t="s">
        <v>4004</v>
      </c>
      <c r="H2512">
        <v>10276</v>
      </c>
      <c r="I2512" t="s">
        <v>423</v>
      </c>
      <c r="J2512" t="s">
        <v>2098</v>
      </c>
      <c r="K2512" t="s">
        <v>2057</v>
      </c>
      <c r="L2512" t="s">
        <v>2058</v>
      </c>
      <c r="M2512">
        <v>565</v>
      </c>
      <c r="N2512">
        <v>29.95</v>
      </c>
      <c r="O2512">
        <v>10123.700000000001</v>
      </c>
      <c r="P2512">
        <v>0</v>
      </c>
      <c r="Q2512">
        <v>10123.700000000001</v>
      </c>
      <c r="R2512">
        <v>1619.79</v>
      </c>
      <c r="S2512">
        <v>404.95</v>
      </c>
      <c r="T2512">
        <v>11338.54</v>
      </c>
      <c r="U2512" t="s">
        <v>2075</v>
      </c>
      <c r="V2512" t="s">
        <v>9408</v>
      </c>
      <c r="W2512" t="s">
        <v>423</v>
      </c>
    </row>
    <row r="2513" spans="1:23" hidden="1" x14ac:dyDescent="0.2">
      <c r="A2513">
        <v>2012</v>
      </c>
      <c r="B2513" t="s">
        <v>303</v>
      </c>
      <c r="C2513" s="733">
        <v>40919</v>
      </c>
      <c r="D25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13" t="s">
        <v>485</v>
      </c>
      <c r="F2513" t="s">
        <v>2054</v>
      </c>
      <c r="G2513" t="s">
        <v>4740</v>
      </c>
      <c r="H2513">
        <v>9995</v>
      </c>
      <c r="I2513" t="s">
        <v>423</v>
      </c>
      <c r="J2513" t="s">
        <v>4560</v>
      </c>
      <c r="K2513" t="s">
        <v>2057</v>
      </c>
      <c r="L2513" t="s">
        <v>2058</v>
      </c>
      <c r="M2513">
        <v>403</v>
      </c>
      <c r="N2513">
        <v>30.42</v>
      </c>
      <c r="O2513">
        <v>8313.18</v>
      </c>
      <c r="P2513">
        <v>0</v>
      </c>
      <c r="Q2513">
        <v>8313.18</v>
      </c>
      <c r="R2513">
        <v>1330.11</v>
      </c>
      <c r="S2513">
        <v>332.53</v>
      </c>
      <c r="T2513">
        <v>9310.76</v>
      </c>
      <c r="U2513" t="s">
        <v>2070</v>
      </c>
      <c r="V2513" t="s">
        <v>9408</v>
      </c>
      <c r="W2513" t="s">
        <v>423</v>
      </c>
    </row>
    <row r="2514" spans="1:23" hidden="1" x14ac:dyDescent="0.2">
      <c r="A2514">
        <v>2012</v>
      </c>
      <c r="B2514" t="s">
        <v>304</v>
      </c>
      <c r="C2514" s="733">
        <v>40947</v>
      </c>
      <c r="D25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14" t="s">
        <v>485</v>
      </c>
      <c r="F2514" t="s">
        <v>2054</v>
      </c>
      <c r="G2514" t="s">
        <v>4739</v>
      </c>
      <c r="H2514">
        <v>10343</v>
      </c>
      <c r="I2514" t="s">
        <v>423</v>
      </c>
      <c r="J2514" t="s">
        <v>4560</v>
      </c>
      <c r="K2514" t="s">
        <v>2057</v>
      </c>
      <c r="L2514" t="s">
        <v>2058</v>
      </c>
      <c r="M2514">
        <v>403</v>
      </c>
      <c r="N2514">
        <v>47.6</v>
      </c>
      <c r="O2514">
        <v>13008.13</v>
      </c>
      <c r="P2514">
        <v>0</v>
      </c>
      <c r="Q2514">
        <v>13008.13</v>
      </c>
      <c r="R2514">
        <v>1430.89</v>
      </c>
      <c r="S2514">
        <v>520.33000000000004</v>
      </c>
      <c r="T2514">
        <v>13918.69</v>
      </c>
      <c r="U2514" t="s">
        <v>2082</v>
      </c>
      <c r="V2514" t="s">
        <v>9409</v>
      </c>
      <c r="W2514" t="s">
        <v>423</v>
      </c>
    </row>
    <row r="2515" spans="1:23" hidden="1" x14ac:dyDescent="0.2">
      <c r="A2515">
        <v>2012</v>
      </c>
      <c r="B2515" t="s">
        <v>304</v>
      </c>
      <c r="C2515" s="733">
        <v>40946</v>
      </c>
      <c r="D25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15" t="s">
        <v>485</v>
      </c>
      <c r="F2515" t="s">
        <v>2054</v>
      </c>
      <c r="G2515" t="s">
        <v>4738</v>
      </c>
      <c r="H2515">
        <v>10098</v>
      </c>
      <c r="I2515" t="s">
        <v>423</v>
      </c>
      <c r="J2515" t="s">
        <v>4045</v>
      </c>
      <c r="K2515" t="s">
        <v>2057</v>
      </c>
      <c r="L2515" t="s">
        <v>2058</v>
      </c>
      <c r="M2515">
        <v>0</v>
      </c>
      <c r="N2515">
        <v>23.81</v>
      </c>
      <c r="O2515">
        <v>8048.26</v>
      </c>
      <c r="P2515">
        <v>0</v>
      </c>
      <c r="Q2515">
        <v>8048.26</v>
      </c>
      <c r="R2515">
        <v>1287.72</v>
      </c>
      <c r="S2515">
        <v>321.93</v>
      </c>
      <c r="T2515">
        <v>9014.0499999999993</v>
      </c>
      <c r="U2515" t="s">
        <v>2075</v>
      </c>
      <c r="V2515" t="s">
        <v>9408</v>
      </c>
      <c r="W2515" t="s">
        <v>423</v>
      </c>
    </row>
    <row r="2516" spans="1:23" hidden="1" x14ac:dyDescent="0.2">
      <c r="A2516">
        <v>2012</v>
      </c>
      <c r="B2516" t="s">
        <v>303</v>
      </c>
      <c r="C2516" s="733">
        <v>40925.555069444446</v>
      </c>
      <c r="D25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16" t="s">
        <v>485</v>
      </c>
      <c r="F2516" t="s">
        <v>2054</v>
      </c>
      <c r="G2516" t="s">
        <v>4732</v>
      </c>
      <c r="H2516">
        <v>10107</v>
      </c>
      <c r="I2516" t="s">
        <v>423</v>
      </c>
      <c r="J2516" t="s">
        <v>4733</v>
      </c>
      <c r="K2516" t="s">
        <v>2057</v>
      </c>
      <c r="L2516" t="s">
        <v>2058</v>
      </c>
      <c r="M2516">
        <v>184</v>
      </c>
      <c r="N2516">
        <v>24.97</v>
      </c>
      <c r="O2516">
        <v>8440.36</v>
      </c>
      <c r="P2516">
        <v>0</v>
      </c>
      <c r="Q2516">
        <v>8440.36</v>
      </c>
      <c r="R2516">
        <v>1350.46</v>
      </c>
      <c r="S2516">
        <v>337.61</v>
      </c>
      <c r="T2516">
        <v>9453.2099999999991</v>
      </c>
      <c r="U2516" t="s">
        <v>2075</v>
      </c>
      <c r="V2516" t="s">
        <v>9408</v>
      </c>
      <c r="W2516" t="s">
        <v>423</v>
      </c>
    </row>
    <row r="2517" spans="1:23" hidden="1" x14ac:dyDescent="0.2">
      <c r="A2517">
        <v>2012</v>
      </c>
      <c r="B2517" t="s">
        <v>304</v>
      </c>
      <c r="C2517" s="733">
        <v>40940</v>
      </c>
      <c r="D25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17" t="s">
        <v>485</v>
      </c>
      <c r="F2517" t="s">
        <v>2084</v>
      </c>
      <c r="G2517" t="s">
        <v>3842</v>
      </c>
      <c r="H2517">
        <v>41051</v>
      </c>
      <c r="I2517" t="s">
        <v>423</v>
      </c>
      <c r="J2517" t="s">
        <v>2813</v>
      </c>
      <c r="K2517" t="s">
        <v>2814</v>
      </c>
      <c r="L2517" t="s">
        <v>2815</v>
      </c>
      <c r="M2517">
        <v>365</v>
      </c>
      <c r="N2517">
        <v>23.841999999999999</v>
      </c>
      <c r="O2517">
        <v>6417.79</v>
      </c>
      <c r="P2517">
        <v>0</v>
      </c>
      <c r="Q2517">
        <v>6417.79</v>
      </c>
      <c r="R2517">
        <v>1026.8499999999999</v>
      </c>
      <c r="S2517">
        <v>256.70999999999998</v>
      </c>
      <c r="T2517">
        <v>7187.93</v>
      </c>
      <c r="U2517" t="s">
        <v>8522</v>
      </c>
      <c r="V2517" t="s">
        <v>9408</v>
      </c>
      <c r="W2517" t="s">
        <v>423</v>
      </c>
    </row>
    <row r="2518" spans="1:23" hidden="1" x14ac:dyDescent="0.2">
      <c r="A2518">
        <v>2012</v>
      </c>
      <c r="B2518" t="s">
        <v>304</v>
      </c>
      <c r="C2518" s="733">
        <v>40940</v>
      </c>
      <c r="D25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18" t="s">
        <v>485</v>
      </c>
      <c r="F2518" t="s">
        <v>2084</v>
      </c>
      <c r="G2518" t="s">
        <v>3850</v>
      </c>
      <c r="H2518">
        <v>41195</v>
      </c>
      <c r="I2518" t="s">
        <v>423</v>
      </c>
      <c r="J2518" t="s">
        <v>2813</v>
      </c>
      <c r="K2518" t="s">
        <v>2814</v>
      </c>
      <c r="L2518" t="s">
        <v>2815</v>
      </c>
      <c r="M2518">
        <v>365</v>
      </c>
      <c r="N2518">
        <v>25.92</v>
      </c>
      <c r="O2518">
        <v>6977.15</v>
      </c>
      <c r="P2518">
        <v>0</v>
      </c>
      <c r="Q2518">
        <v>6977.15</v>
      </c>
      <c r="R2518">
        <v>1116.3399999999999</v>
      </c>
      <c r="S2518">
        <v>279.08999999999997</v>
      </c>
      <c r="T2518">
        <v>7814.4</v>
      </c>
      <c r="U2518" t="s">
        <v>8522</v>
      </c>
      <c r="V2518" t="s">
        <v>9408</v>
      </c>
      <c r="W2518" t="s">
        <v>423</v>
      </c>
    </row>
    <row r="2519" spans="1:23" hidden="1" x14ac:dyDescent="0.2">
      <c r="A2519">
        <v>2012</v>
      </c>
      <c r="B2519" t="s">
        <v>304</v>
      </c>
      <c r="C2519" s="733">
        <v>40960</v>
      </c>
      <c r="D25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19" t="s">
        <v>485</v>
      </c>
      <c r="F2519" t="s">
        <v>2084</v>
      </c>
      <c r="G2519" t="s">
        <v>8134</v>
      </c>
      <c r="H2519">
        <v>41736</v>
      </c>
      <c r="I2519" t="s">
        <v>423</v>
      </c>
      <c r="J2519" t="s">
        <v>2813</v>
      </c>
      <c r="K2519" t="s">
        <v>2814</v>
      </c>
      <c r="L2519" t="s">
        <v>2815</v>
      </c>
      <c r="M2519">
        <v>365</v>
      </c>
      <c r="N2519">
        <v>24.358000000000001</v>
      </c>
      <c r="O2519">
        <v>6556.69</v>
      </c>
      <c r="P2519">
        <v>0</v>
      </c>
      <c r="Q2519">
        <v>6556.69</v>
      </c>
      <c r="R2519">
        <v>721.24</v>
      </c>
      <c r="S2519">
        <v>262.27</v>
      </c>
      <c r="T2519">
        <v>7015.66</v>
      </c>
      <c r="U2519" t="s">
        <v>8877</v>
      </c>
      <c r="V2519" t="s">
        <v>9408</v>
      </c>
      <c r="W2519" t="s">
        <v>423</v>
      </c>
    </row>
    <row r="2520" spans="1:23" hidden="1" x14ac:dyDescent="0.2">
      <c r="A2520">
        <v>2012</v>
      </c>
      <c r="B2520" t="s">
        <v>303</v>
      </c>
      <c r="C2520" s="733">
        <v>40926</v>
      </c>
      <c r="D25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20" t="s">
        <v>485</v>
      </c>
      <c r="F2520" t="s">
        <v>2084</v>
      </c>
      <c r="G2520" t="s">
        <v>3845</v>
      </c>
      <c r="H2520">
        <v>40192</v>
      </c>
      <c r="I2520" t="s">
        <v>423</v>
      </c>
      <c r="J2520" t="s">
        <v>2813</v>
      </c>
      <c r="K2520" t="s">
        <v>2814</v>
      </c>
      <c r="L2520" t="s">
        <v>2815</v>
      </c>
      <c r="M2520">
        <v>365</v>
      </c>
      <c r="N2520">
        <v>24.161999999999999</v>
      </c>
      <c r="O2520">
        <v>6503.93</v>
      </c>
      <c r="P2520">
        <v>0</v>
      </c>
      <c r="Q2520">
        <v>6503.93</v>
      </c>
      <c r="R2520">
        <v>1040.6300000000001</v>
      </c>
      <c r="S2520">
        <v>260.16000000000003</v>
      </c>
      <c r="T2520">
        <v>7284.4</v>
      </c>
      <c r="U2520" t="s">
        <v>2826</v>
      </c>
      <c r="V2520" t="s">
        <v>9408</v>
      </c>
      <c r="W2520" t="s">
        <v>423</v>
      </c>
    </row>
    <row r="2521" spans="1:23" hidden="1" x14ac:dyDescent="0.2">
      <c r="A2521">
        <v>2012</v>
      </c>
      <c r="B2521" t="s">
        <v>304</v>
      </c>
      <c r="C2521" s="733">
        <v>40953</v>
      </c>
      <c r="D25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21" t="s">
        <v>485</v>
      </c>
      <c r="F2521" t="s">
        <v>2084</v>
      </c>
      <c r="G2521" t="s">
        <v>3851</v>
      </c>
      <c r="H2521">
        <v>41631</v>
      </c>
      <c r="I2521" t="s">
        <v>423</v>
      </c>
      <c r="J2521" t="s">
        <v>2813</v>
      </c>
      <c r="K2521" t="s">
        <v>2814</v>
      </c>
      <c r="L2521" t="s">
        <v>2815</v>
      </c>
      <c r="M2521">
        <v>365</v>
      </c>
      <c r="N2521">
        <v>25.013999999999999</v>
      </c>
      <c r="O2521">
        <v>6733.27</v>
      </c>
      <c r="P2521">
        <v>0</v>
      </c>
      <c r="Q2521">
        <v>6733.27</v>
      </c>
      <c r="R2521">
        <v>740.66</v>
      </c>
      <c r="S2521">
        <v>269.33</v>
      </c>
      <c r="T2521">
        <v>7204.6</v>
      </c>
      <c r="U2521" t="s">
        <v>7527</v>
      </c>
      <c r="V2521" t="s">
        <v>9408</v>
      </c>
      <c r="W2521" t="s">
        <v>423</v>
      </c>
    </row>
    <row r="2522" spans="1:23" hidden="1" x14ac:dyDescent="0.2">
      <c r="A2522">
        <v>2012</v>
      </c>
      <c r="B2522" t="s">
        <v>304</v>
      </c>
      <c r="C2522" s="733">
        <v>40940</v>
      </c>
      <c r="D25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22" t="s">
        <v>485</v>
      </c>
      <c r="F2522" t="s">
        <v>2084</v>
      </c>
      <c r="G2522" t="s">
        <v>3846</v>
      </c>
      <c r="H2522">
        <v>41191</v>
      </c>
      <c r="I2522" t="s">
        <v>423</v>
      </c>
      <c r="J2522" t="s">
        <v>2813</v>
      </c>
      <c r="K2522" t="s">
        <v>2814</v>
      </c>
      <c r="L2522" t="s">
        <v>2815</v>
      </c>
      <c r="M2522">
        <v>365</v>
      </c>
      <c r="N2522">
        <v>23.988</v>
      </c>
      <c r="O2522">
        <v>6457.09</v>
      </c>
      <c r="P2522">
        <v>0</v>
      </c>
      <c r="Q2522">
        <v>6457.09</v>
      </c>
      <c r="R2522">
        <v>1033.1300000000001</v>
      </c>
      <c r="S2522">
        <v>258.27999999999997</v>
      </c>
      <c r="T2522">
        <v>7231.94</v>
      </c>
      <c r="U2522" t="s">
        <v>8522</v>
      </c>
      <c r="V2522" t="s">
        <v>9408</v>
      </c>
      <c r="W2522" t="s">
        <v>423</v>
      </c>
    </row>
    <row r="2523" spans="1:23" hidden="1" x14ac:dyDescent="0.2">
      <c r="A2523">
        <v>2012</v>
      </c>
      <c r="B2523" t="s">
        <v>304</v>
      </c>
      <c r="C2523" s="733">
        <v>40949</v>
      </c>
      <c r="D25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23" t="s">
        <v>485</v>
      </c>
      <c r="F2523" t="s">
        <v>2084</v>
      </c>
      <c r="G2523" t="s">
        <v>3854</v>
      </c>
      <c r="H2523">
        <v>41047</v>
      </c>
      <c r="I2523" t="s">
        <v>423</v>
      </c>
      <c r="J2523" t="s">
        <v>2813</v>
      </c>
      <c r="K2523" t="s">
        <v>2814</v>
      </c>
      <c r="L2523" t="s">
        <v>2815</v>
      </c>
      <c r="M2523">
        <v>365</v>
      </c>
      <c r="N2523">
        <v>23.934999999999999</v>
      </c>
      <c r="O2523">
        <v>6442.82</v>
      </c>
      <c r="P2523">
        <v>0</v>
      </c>
      <c r="Q2523">
        <v>6442.82</v>
      </c>
      <c r="R2523">
        <v>708.71</v>
      </c>
      <c r="S2523">
        <v>257.70999999999998</v>
      </c>
      <c r="T2523">
        <v>6893.82</v>
      </c>
      <c r="U2523" t="s">
        <v>7527</v>
      </c>
      <c r="V2523" t="s">
        <v>9408</v>
      </c>
      <c r="W2523" t="s">
        <v>423</v>
      </c>
    </row>
    <row r="2524" spans="1:23" hidden="1" x14ac:dyDescent="0.2">
      <c r="A2524">
        <v>2012</v>
      </c>
      <c r="B2524" t="s">
        <v>304</v>
      </c>
      <c r="C2524" s="733">
        <v>40949</v>
      </c>
      <c r="D25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24" t="s">
        <v>485</v>
      </c>
      <c r="F2524" t="s">
        <v>2084</v>
      </c>
      <c r="G2524" t="s">
        <v>3983</v>
      </c>
      <c r="H2524">
        <v>41426</v>
      </c>
      <c r="I2524" t="s">
        <v>423</v>
      </c>
      <c r="J2524" t="s">
        <v>2836</v>
      </c>
      <c r="K2524" t="s">
        <v>2814</v>
      </c>
      <c r="L2524" t="s">
        <v>2815</v>
      </c>
      <c r="M2524">
        <v>70</v>
      </c>
      <c r="N2524">
        <v>24</v>
      </c>
      <c r="O2524">
        <v>6460.32</v>
      </c>
      <c r="P2524">
        <v>0</v>
      </c>
      <c r="Q2524">
        <v>6460.32</v>
      </c>
      <c r="R2524">
        <v>710.64</v>
      </c>
      <c r="S2524">
        <v>258.41000000000003</v>
      </c>
      <c r="T2524">
        <v>6912.55</v>
      </c>
      <c r="U2524" t="s">
        <v>7527</v>
      </c>
      <c r="V2524" t="s">
        <v>9408</v>
      </c>
      <c r="W2524" t="s">
        <v>423</v>
      </c>
    </row>
    <row r="2525" spans="1:23" hidden="1" x14ac:dyDescent="0.2">
      <c r="A2525">
        <v>2012</v>
      </c>
      <c r="B2525" t="s">
        <v>303</v>
      </c>
      <c r="C2525" s="733">
        <v>40914.758668981478</v>
      </c>
      <c r="D25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25" t="s">
        <v>505</v>
      </c>
      <c r="F2525" t="s">
        <v>1915</v>
      </c>
      <c r="G2525" t="s">
        <v>5488</v>
      </c>
      <c r="H2525">
        <v>21784</v>
      </c>
      <c r="I2525" t="s">
        <v>423</v>
      </c>
      <c r="J2525" t="s">
        <v>3207</v>
      </c>
      <c r="K2525" t="s">
        <v>1918</v>
      </c>
      <c r="L2525" t="s">
        <v>1919</v>
      </c>
      <c r="M2525">
        <v>334</v>
      </c>
      <c r="N2525">
        <v>49.49</v>
      </c>
      <c r="O2525">
        <v>13666.17</v>
      </c>
      <c r="P2525">
        <v>0</v>
      </c>
      <c r="Q2525">
        <v>13666.17</v>
      </c>
      <c r="R2525">
        <v>2186.59</v>
      </c>
      <c r="S2525">
        <v>546.65</v>
      </c>
      <c r="T2525">
        <v>15306.11</v>
      </c>
      <c r="U2525" t="s">
        <v>1931</v>
      </c>
      <c r="V2525" t="s">
        <v>9409</v>
      </c>
      <c r="W2525" t="s">
        <v>423</v>
      </c>
    </row>
    <row r="2526" spans="1:23" hidden="1" x14ac:dyDescent="0.2">
      <c r="A2526">
        <v>2012</v>
      </c>
      <c r="B2526" t="s">
        <v>304</v>
      </c>
      <c r="C2526" s="733">
        <v>40949</v>
      </c>
      <c r="D25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26" t="s">
        <v>505</v>
      </c>
      <c r="F2526" t="s">
        <v>1915</v>
      </c>
      <c r="G2526" t="s">
        <v>5318</v>
      </c>
      <c r="H2526">
        <v>22605</v>
      </c>
      <c r="I2526" t="s">
        <v>423</v>
      </c>
      <c r="J2526" t="s">
        <v>3207</v>
      </c>
      <c r="K2526" t="s">
        <v>1918</v>
      </c>
      <c r="L2526" t="s">
        <v>1919</v>
      </c>
      <c r="M2526">
        <v>334</v>
      </c>
      <c r="N2526">
        <v>52.54</v>
      </c>
      <c r="O2526">
        <v>14508.4</v>
      </c>
      <c r="P2526">
        <v>0</v>
      </c>
      <c r="Q2526">
        <v>14508.4</v>
      </c>
      <c r="R2526">
        <v>2321.34</v>
      </c>
      <c r="S2526">
        <v>580.34</v>
      </c>
      <c r="T2526">
        <v>16249.4</v>
      </c>
      <c r="U2526" t="s">
        <v>7522</v>
      </c>
      <c r="V2526" t="s">
        <v>9409</v>
      </c>
      <c r="W2526" t="s">
        <v>423</v>
      </c>
    </row>
    <row r="2527" spans="1:23" hidden="1" x14ac:dyDescent="0.2">
      <c r="A2527">
        <v>2012</v>
      </c>
      <c r="B2527" t="s">
        <v>304</v>
      </c>
      <c r="C2527" s="733">
        <v>40946</v>
      </c>
      <c r="D25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27" t="s">
        <v>485</v>
      </c>
      <c r="F2527" t="s">
        <v>2065</v>
      </c>
      <c r="G2527" t="s">
        <v>4225</v>
      </c>
      <c r="H2527">
        <v>41356</v>
      </c>
      <c r="I2527" t="s">
        <v>423</v>
      </c>
      <c r="J2527" t="s">
        <v>3147</v>
      </c>
      <c r="K2527" t="s">
        <v>2183</v>
      </c>
      <c r="L2527" t="s">
        <v>2184</v>
      </c>
      <c r="M2527">
        <v>528</v>
      </c>
      <c r="N2527">
        <v>50.08</v>
      </c>
      <c r="O2527">
        <v>15504.77</v>
      </c>
      <c r="P2527">
        <v>0</v>
      </c>
      <c r="Q2527">
        <v>15504.77</v>
      </c>
      <c r="R2527">
        <v>2480.7600000000002</v>
      </c>
      <c r="S2527">
        <v>620.19000000000005</v>
      </c>
      <c r="T2527">
        <v>17365.34</v>
      </c>
      <c r="U2527" t="s">
        <v>2192</v>
      </c>
      <c r="V2527" t="s">
        <v>9409</v>
      </c>
      <c r="W2527" t="s">
        <v>423</v>
      </c>
    </row>
    <row r="2528" spans="1:23" hidden="1" x14ac:dyDescent="0.2">
      <c r="A2528">
        <v>2012</v>
      </c>
      <c r="B2528" t="s">
        <v>304</v>
      </c>
      <c r="C2528" s="733">
        <v>40959</v>
      </c>
      <c r="D25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28" t="s">
        <v>485</v>
      </c>
      <c r="F2528" t="s">
        <v>2065</v>
      </c>
      <c r="G2528" t="s">
        <v>7759</v>
      </c>
      <c r="H2528">
        <v>42172</v>
      </c>
      <c r="I2528" t="s">
        <v>423</v>
      </c>
      <c r="J2528" t="s">
        <v>2345</v>
      </c>
      <c r="K2528" t="s">
        <v>2102</v>
      </c>
      <c r="L2528" t="s">
        <v>2115</v>
      </c>
      <c r="M2528">
        <v>426</v>
      </c>
      <c r="N2528">
        <v>51.72</v>
      </c>
      <c r="O2528">
        <v>17390.849999999999</v>
      </c>
      <c r="P2528">
        <v>0</v>
      </c>
      <c r="Q2528">
        <v>17390.849999999999</v>
      </c>
      <c r="R2528">
        <v>2782.54</v>
      </c>
      <c r="S2528">
        <v>695.63</v>
      </c>
      <c r="T2528">
        <v>19477.759999999998</v>
      </c>
      <c r="U2528" t="s">
        <v>8883</v>
      </c>
      <c r="V2528" t="s">
        <v>9409</v>
      </c>
      <c r="W2528" t="s">
        <v>423</v>
      </c>
    </row>
    <row r="2529" spans="1:23" hidden="1" x14ac:dyDescent="0.2">
      <c r="A2529">
        <v>2012</v>
      </c>
      <c r="B2529" t="s">
        <v>303</v>
      </c>
      <c r="C2529" s="733">
        <v>40925</v>
      </c>
      <c r="D25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29" t="s">
        <v>485</v>
      </c>
      <c r="F2529" t="s">
        <v>2065</v>
      </c>
      <c r="G2529" t="s">
        <v>3019</v>
      </c>
      <c r="H2529">
        <v>40289</v>
      </c>
      <c r="I2529" t="s">
        <v>423</v>
      </c>
      <c r="J2529" t="s">
        <v>2345</v>
      </c>
      <c r="K2529" t="s">
        <v>2102</v>
      </c>
      <c r="L2529" t="s">
        <v>2115</v>
      </c>
      <c r="M2529">
        <v>426</v>
      </c>
      <c r="N2529">
        <v>51.93</v>
      </c>
      <c r="O2529">
        <v>17461.46</v>
      </c>
      <c r="P2529">
        <v>0</v>
      </c>
      <c r="Q2529">
        <v>17461.46</v>
      </c>
      <c r="R2529">
        <v>2793.83</v>
      </c>
      <c r="S2529">
        <v>698.46</v>
      </c>
      <c r="T2529">
        <v>19556.830000000002</v>
      </c>
      <c r="U2529" t="s">
        <v>2106</v>
      </c>
      <c r="V2529" t="s">
        <v>9409</v>
      </c>
      <c r="W2529" t="s">
        <v>423</v>
      </c>
    </row>
    <row r="2530" spans="1:23" hidden="1" x14ac:dyDescent="0.2">
      <c r="A2530">
        <v>2012</v>
      </c>
      <c r="B2530" t="s">
        <v>303</v>
      </c>
      <c r="C2530" s="733">
        <v>40938</v>
      </c>
      <c r="D25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30" t="s">
        <v>478</v>
      </c>
      <c r="F2530" t="s">
        <v>2136</v>
      </c>
      <c r="G2530" t="s">
        <v>5909</v>
      </c>
      <c r="H2530">
        <v>34983</v>
      </c>
      <c r="I2530" t="s">
        <v>423</v>
      </c>
      <c r="J2530" t="s">
        <v>5689</v>
      </c>
      <c r="K2530" t="s">
        <v>425</v>
      </c>
      <c r="L2530" t="s">
        <v>2145</v>
      </c>
      <c r="M2530">
        <v>764</v>
      </c>
      <c r="N2530">
        <v>53.5</v>
      </c>
      <c r="O2530">
        <v>17093.25</v>
      </c>
      <c r="P2530">
        <v>0</v>
      </c>
      <c r="Q2530">
        <v>17093.25</v>
      </c>
      <c r="R2530">
        <v>2734.92</v>
      </c>
      <c r="S2530">
        <v>683.73</v>
      </c>
      <c r="T2530">
        <v>19144.439999999999</v>
      </c>
      <c r="U2530" t="s">
        <v>2580</v>
      </c>
      <c r="V2530" t="s">
        <v>9409</v>
      </c>
      <c r="W2530" t="s">
        <v>423</v>
      </c>
    </row>
    <row r="2531" spans="1:23" hidden="1" x14ac:dyDescent="0.2">
      <c r="A2531">
        <v>2012</v>
      </c>
      <c r="B2531" t="s">
        <v>303</v>
      </c>
      <c r="C2531" s="733">
        <v>40936</v>
      </c>
      <c r="D25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31" t="s">
        <v>478</v>
      </c>
      <c r="F2531" t="s">
        <v>2136</v>
      </c>
      <c r="G2531" t="s">
        <v>5755</v>
      </c>
      <c r="H2531">
        <v>34987</v>
      </c>
      <c r="I2531" t="s">
        <v>423</v>
      </c>
      <c r="J2531" t="s">
        <v>5689</v>
      </c>
      <c r="K2531" t="s">
        <v>425</v>
      </c>
      <c r="L2531" t="s">
        <v>2145</v>
      </c>
      <c r="M2531">
        <v>764</v>
      </c>
      <c r="N2531">
        <v>50.64</v>
      </c>
      <c r="O2531">
        <v>16179.48</v>
      </c>
      <c r="P2531">
        <v>0</v>
      </c>
      <c r="Q2531">
        <v>16179.48</v>
      </c>
      <c r="R2531">
        <v>2588.7199999999998</v>
      </c>
      <c r="S2531">
        <v>647.17999999999995</v>
      </c>
      <c r="T2531">
        <v>18121.02</v>
      </c>
      <c r="U2531" t="s">
        <v>2580</v>
      </c>
      <c r="V2531" t="s">
        <v>9409</v>
      </c>
      <c r="W2531" t="s">
        <v>423</v>
      </c>
    </row>
    <row r="2532" spans="1:23" hidden="1" x14ac:dyDescent="0.2">
      <c r="A2532">
        <v>2012</v>
      </c>
      <c r="B2532" t="s">
        <v>304</v>
      </c>
      <c r="C2532" s="733">
        <v>40959.385694444441</v>
      </c>
      <c r="D25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32" t="s">
        <v>485</v>
      </c>
      <c r="F2532" t="s">
        <v>2065</v>
      </c>
      <c r="G2532" t="s">
        <v>7854</v>
      </c>
      <c r="H2532">
        <v>42094</v>
      </c>
      <c r="I2532" t="s">
        <v>423</v>
      </c>
      <c r="J2532" t="s">
        <v>3147</v>
      </c>
      <c r="K2532" t="s">
        <v>2183</v>
      </c>
      <c r="L2532" t="s">
        <v>2184</v>
      </c>
      <c r="M2532">
        <v>528</v>
      </c>
      <c r="N2532">
        <v>24.5</v>
      </c>
      <c r="O2532">
        <v>7585.2</v>
      </c>
      <c r="P2532">
        <v>0</v>
      </c>
      <c r="Q2532">
        <v>7585.2</v>
      </c>
      <c r="R2532">
        <v>1213.6300000000001</v>
      </c>
      <c r="S2532">
        <v>303.41000000000003</v>
      </c>
      <c r="T2532">
        <v>8495.42</v>
      </c>
      <c r="U2532" t="s">
        <v>9411</v>
      </c>
      <c r="V2532" t="s">
        <v>9409</v>
      </c>
      <c r="W2532" t="s">
        <v>423</v>
      </c>
    </row>
    <row r="2533" spans="1:23" hidden="1" x14ac:dyDescent="0.2">
      <c r="A2533">
        <v>2012</v>
      </c>
      <c r="B2533" t="s">
        <v>305</v>
      </c>
      <c r="C2533" s="733">
        <v>40969</v>
      </c>
      <c r="D2533" s="733" t="str">
        <f>CHOOSE(MONTH(Tabla_sqldatos_bonampakdb_Bon_v_ingresos2012[[#This Row],[fecha_guia]]),"Enero","Febrero","Marzo","Abril","Mayo","Junio","Julio","Agosto","Septiembre","Octubre","Noviembre","Diciembre")</f>
        <v>Marzo</v>
      </c>
      <c r="E2533" t="s">
        <v>485</v>
      </c>
      <c r="F2533" t="s">
        <v>2065</v>
      </c>
      <c r="G2533" t="s">
        <v>9581</v>
      </c>
      <c r="H2533">
        <v>42825</v>
      </c>
      <c r="I2533" t="s">
        <v>423</v>
      </c>
      <c r="J2533" t="s">
        <v>3204</v>
      </c>
      <c r="K2533" t="s">
        <v>2183</v>
      </c>
      <c r="L2533" t="s">
        <v>2184</v>
      </c>
      <c r="M2533">
        <v>80</v>
      </c>
      <c r="N2533">
        <v>25.54</v>
      </c>
      <c r="O2533">
        <v>2882.7</v>
      </c>
      <c r="P2533">
        <v>0</v>
      </c>
      <c r="Q2533">
        <v>2882.7</v>
      </c>
      <c r="R2533">
        <v>461.23</v>
      </c>
      <c r="S2533">
        <v>115.31</v>
      </c>
      <c r="T2533">
        <v>3228.62</v>
      </c>
      <c r="V2533" t="s">
        <v>9409</v>
      </c>
      <c r="W2533" t="s">
        <v>423</v>
      </c>
    </row>
    <row r="2534" spans="1:23" hidden="1" x14ac:dyDescent="0.2">
      <c r="A2534">
        <v>2012</v>
      </c>
      <c r="B2534" t="s">
        <v>303</v>
      </c>
      <c r="C2534" s="733">
        <v>40932</v>
      </c>
      <c r="D25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34" t="s">
        <v>505</v>
      </c>
      <c r="F2534" t="s">
        <v>1915</v>
      </c>
      <c r="G2534" t="s">
        <v>5498</v>
      </c>
      <c r="H2534">
        <v>22194</v>
      </c>
      <c r="I2534" t="s">
        <v>423</v>
      </c>
      <c r="J2534" t="s">
        <v>3207</v>
      </c>
      <c r="K2534" t="s">
        <v>1918</v>
      </c>
      <c r="L2534" t="s">
        <v>1919</v>
      </c>
      <c r="M2534">
        <v>334</v>
      </c>
      <c r="N2534">
        <v>50.07</v>
      </c>
      <c r="O2534">
        <v>13826.33</v>
      </c>
      <c r="P2534">
        <v>0</v>
      </c>
      <c r="Q2534">
        <v>13826.33</v>
      </c>
      <c r="R2534">
        <v>2212.21</v>
      </c>
      <c r="S2534">
        <v>553.04999999999995</v>
      </c>
      <c r="T2534">
        <v>15485.49</v>
      </c>
      <c r="U2534" t="s">
        <v>8778</v>
      </c>
      <c r="V2534" t="s">
        <v>9409</v>
      </c>
      <c r="W2534" t="s">
        <v>423</v>
      </c>
    </row>
    <row r="2535" spans="1:23" hidden="1" x14ac:dyDescent="0.2">
      <c r="A2535">
        <v>2012</v>
      </c>
      <c r="B2535" t="s">
        <v>303</v>
      </c>
      <c r="C2535" s="733">
        <v>40934</v>
      </c>
      <c r="D25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35" t="s">
        <v>505</v>
      </c>
      <c r="F2535" t="s">
        <v>1915</v>
      </c>
      <c r="G2535" t="s">
        <v>5322</v>
      </c>
      <c r="H2535">
        <v>22203</v>
      </c>
      <c r="I2535" t="s">
        <v>423</v>
      </c>
      <c r="J2535" t="s">
        <v>1945</v>
      </c>
      <c r="K2535" t="s">
        <v>1918</v>
      </c>
      <c r="L2535" t="s">
        <v>1919</v>
      </c>
      <c r="M2535">
        <v>949</v>
      </c>
      <c r="N2535">
        <v>24.84</v>
      </c>
      <c r="O2535">
        <v>18583.55</v>
      </c>
      <c r="P2535">
        <v>0</v>
      </c>
      <c r="Q2535">
        <v>18583.55</v>
      </c>
      <c r="R2535">
        <v>2973.37</v>
      </c>
      <c r="S2535">
        <v>743.34</v>
      </c>
      <c r="T2535">
        <v>20813.580000000002</v>
      </c>
      <c r="U2535" t="s">
        <v>1926</v>
      </c>
      <c r="V2535" t="s">
        <v>9408</v>
      </c>
      <c r="W2535" t="s">
        <v>423</v>
      </c>
    </row>
    <row r="2536" spans="1:23" hidden="1" x14ac:dyDescent="0.2">
      <c r="A2536">
        <v>2012</v>
      </c>
      <c r="B2536" t="s">
        <v>303</v>
      </c>
      <c r="C2536" s="733">
        <v>40933</v>
      </c>
      <c r="D25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36" t="s">
        <v>505</v>
      </c>
      <c r="F2536" t="s">
        <v>1915</v>
      </c>
      <c r="G2536" t="s">
        <v>5323</v>
      </c>
      <c r="H2536">
        <v>21483</v>
      </c>
      <c r="I2536" t="s">
        <v>423</v>
      </c>
      <c r="J2536" t="s">
        <v>1945</v>
      </c>
      <c r="K2536" t="s">
        <v>1918</v>
      </c>
      <c r="L2536" t="s">
        <v>1919</v>
      </c>
      <c r="M2536">
        <v>949</v>
      </c>
      <c r="N2536">
        <v>54.04</v>
      </c>
      <c r="O2536">
        <v>17021.509999999998</v>
      </c>
      <c r="P2536">
        <v>19164.347893999999</v>
      </c>
      <c r="Q2536">
        <v>36185.857894000001</v>
      </c>
      <c r="R2536">
        <v>5789.737263</v>
      </c>
      <c r="S2536">
        <v>1447.4343160000001</v>
      </c>
      <c r="T2536">
        <v>40528.160840999997</v>
      </c>
      <c r="U2536" t="s">
        <v>1984</v>
      </c>
      <c r="V2536" t="s">
        <v>9409</v>
      </c>
      <c r="W2536" t="s">
        <v>423</v>
      </c>
    </row>
    <row r="2537" spans="1:23" hidden="1" x14ac:dyDescent="0.2">
      <c r="A2537">
        <v>2012</v>
      </c>
      <c r="B2537" t="s">
        <v>304</v>
      </c>
      <c r="C2537" s="733">
        <v>40941</v>
      </c>
      <c r="D25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37" t="s">
        <v>485</v>
      </c>
      <c r="F2537" t="s">
        <v>2054</v>
      </c>
      <c r="G2537" t="s">
        <v>3670</v>
      </c>
      <c r="H2537">
        <v>10280</v>
      </c>
      <c r="I2537" t="s">
        <v>423</v>
      </c>
      <c r="J2537" t="s">
        <v>2072</v>
      </c>
      <c r="K2537" t="s">
        <v>2057</v>
      </c>
      <c r="L2537" t="s">
        <v>2058</v>
      </c>
      <c r="M2537">
        <v>406</v>
      </c>
      <c r="N2537">
        <v>47.06</v>
      </c>
      <c r="O2537">
        <v>12860.56</v>
      </c>
      <c r="P2537">
        <v>0</v>
      </c>
      <c r="Q2537">
        <v>12860.56</v>
      </c>
      <c r="R2537">
        <v>2057.69</v>
      </c>
      <c r="S2537">
        <v>514.41999999999996</v>
      </c>
      <c r="T2537">
        <v>14403.83</v>
      </c>
      <c r="U2537" t="s">
        <v>2075</v>
      </c>
      <c r="V2537" t="s">
        <v>9409</v>
      </c>
      <c r="W2537" t="s">
        <v>423</v>
      </c>
    </row>
    <row r="2538" spans="1:23" hidden="1" x14ac:dyDescent="0.2">
      <c r="A2538">
        <v>2012</v>
      </c>
      <c r="B2538" t="s">
        <v>304</v>
      </c>
      <c r="C2538" s="733">
        <v>40962</v>
      </c>
      <c r="D25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38" t="s">
        <v>485</v>
      </c>
      <c r="F2538" t="s">
        <v>2054</v>
      </c>
      <c r="G2538" t="s">
        <v>8660</v>
      </c>
      <c r="H2538">
        <v>10520</v>
      </c>
      <c r="I2538" t="s">
        <v>423</v>
      </c>
      <c r="J2538" t="s">
        <v>2072</v>
      </c>
      <c r="K2538" t="s">
        <v>2057</v>
      </c>
      <c r="L2538" t="s">
        <v>2058</v>
      </c>
      <c r="M2538">
        <v>406</v>
      </c>
      <c r="N2538">
        <v>45.87</v>
      </c>
      <c r="O2538">
        <v>12535.35</v>
      </c>
      <c r="P2538">
        <v>0</v>
      </c>
      <c r="Q2538">
        <v>12535.35</v>
      </c>
      <c r="R2538">
        <v>1378.89</v>
      </c>
      <c r="S2538">
        <v>501.41</v>
      </c>
      <c r="T2538">
        <v>13412.83</v>
      </c>
      <c r="U2538" t="s">
        <v>8864</v>
      </c>
      <c r="V2538" t="s">
        <v>9409</v>
      </c>
      <c r="W2538" t="s">
        <v>423</v>
      </c>
    </row>
    <row r="2539" spans="1:23" hidden="1" x14ac:dyDescent="0.2">
      <c r="A2539">
        <v>2012</v>
      </c>
      <c r="B2539" t="s">
        <v>304</v>
      </c>
      <c r="C2539" s="733">
        <v>40956</v>
      </c>
      <c r="D25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39" t="s">
        <v>485</v>
      </c>
      <c r="F2539" t="s">
        <v>2054</v>
      </c>
      <c r="G2539" t="s">
        <v>7827</v>
      </c>
      <c r="H2539">
        <v>10476</v>
      </c>
      <c r="I2539" t="s">
        <v>423</v>
      </c>
      <c r="J2539" t="s">
        <v>2072</v>
      </c>
      <c r="K2539" t="s">
        <v>2057</v>
      </c>
      <c r="L2539" t="s">
        <v>2058</v>
      </c>
      <c r="M2539">
        <v>406</v>
      </c>
      <c r="N2539">
        <v>45.54</v>
      </c>
      <c r="O2539">
        <v>12445.17</v>
      </c>
      <c r="P2539">
        <v>0</v>
      </c>
      <c r="Q2539">
        <v>12445.17</v>
      </c>
      <c r="R2539">
        <v>1368.97</v>
      </c>
      <c r="S2539">
        <v>497.81</v>
      </c>
      <c r="T2539">
        <v>13316.33</v>
      </c>
      <c r="U2539" t="s">
        <v>8047</v>
      </c>
      <c r="V2539" t="s">
        <v>9409</v>
      </c>
      <c r="W2539" t="s">
        <v>423</v>
      </c>
    </row>
    <row r="2540" spans="1:23" hidden="1" x14ac:dyDescent="0.2">
      <c r="A2540">
        <v>2012</v>
      </c>
      <c r="B2540" t="s">
        <v>303</v>
      </c>
      <c r="C2540" s="733">
        <v>40931.487870370373</v>
      </c>
      <c r="D25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40" t="s">
        <v>485</v>
      </c>
      <c r="F2540" t="s">
        <v>2054</v>
      </c>
      <c r="G2540" t="s">
        <v>4847</v>
      </c>
      <c r="H2540">
        <v>10176</v>
      </c>
      <c r="I2540" t="s">
        <v>423</v>
      </c>
      <c r="J2540" t="s">
        <v>2072</v>
      </c>
      <c r="K2540" t="s">
        <v>2057</v>
      </c>
      <c r="L2540" t="s">
        <v>2058</v>
      </c>
      <c r="M2540">
        <v>406</v>
      </c>
      <c r="N2540">
        <v>31</v>
      </c>
      <c r="O2540">
        <v>8471.68</v>
      </c>
      <c r="P2540">
        <v>0</v>
      </c>
      <c r="Q2540">
        <v>8471.68</v>
      </c>
      <c r="R2540">
        <v>1355.47</v>
      </c>
      <c r="S2540">
        <v>338.87</v>
      </c>
      <c r="T2540">
        <v>9488.2800000000007</v>
      </c>
      <c r="U2540" t="s">
        <v>2077</v>
      </c>
      <c r="V2540" t="s">
        <v>9408</v>
      </c>
      <c r="W2540" t="s">
        <v>423</v>
      </c>
    </row>
    <row r="2541" spans="1:23" hidden="1" x14ac:dyDescent="0.2">
      <c r="A2541">
        <v>2012</v>
      </c>
      <c r="B2541" t="s">
        <v>304</v>
      </c>
      <c r="C2541" s="733">
        <v>40956</v>
      </c>
      <c r="D25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41" t="s">
        <v>485</v>
      </c>
      <c r="F2541" t="s">
        <v>2054</v>
      </c>
      <c r="G2541" t="s">
        <v>7825</v>
      </c>
      <c r="H2541">
        <v>10473</v>
      </c>
      <c r="I2541" t="s">
        <v>423</v>
      </c>
      <c r="J2541" t="s">
        <v>2072</v>
      </c>
      <c r="K2541" t="s">
        <v>2057</v>
      </c>
      <c r="L2541" t="s">
        <v>2058</v>
      </c>
      <c r="M2541">
        <v>406</v>
      </c>
      <c r="N2541">
        <v>29.84</v>
      </c>
      <c r="O2541">
        <v>8154.68</v>
      </c>
      <c r="P2541">
        <v>0</v>
      </c>
      <c r="Q2541">
        <v>8154.68</v>
      </c>
      <c r="R2541">
        <v>897.01</v>
      </c>
      <c r="S2541">
        <v>326.19</v>
      </c>
      <c r="T2541">
        <v>8725.5</v>
      </c>
      <c r="U2541" t="s">
        <v>8864</v>
      </c>
      <c r="V2541" t="s">
        <v>9408</v>
      </c>
      <c r="W2541" t="s">
        <v>423</v>
      </c>
    </row>
    <row r="2542" spans="1:23" hidden="1" x14ac:dyDescent="0.2">
      <c r="A2542">
        <v>2012</v>
      </c>
      <c r="B2542" t="s">
        <v>303</v>
      </c>
      <c r="C2542" s="733">
        <v>40939</v>
      </c>
      <c r="D25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42" t="s">
        <v>485</v>
      </c>
      <c r="F2542" t="s">
        <v>2054</v>
      </c>
      <c r="G2542" t="s">
        <v>4848</v>
      </c>
      <c r="H2542">
        <v>9996</v>
      </c>
      <c r="I2542" t="s">
        <v>423</v>
      </c>
      <c r="J2542" t="s">
        <v>2072</v>
      </c>
      <c r="K2542" t="s">
        <v>2057</v>
      </c>
      <c r="L2542" t="s">
        <v>2058</v>
      </c>
      <c r="M2542">
        <v>406</v>
      </c>
      <c r="N2542">
        <v>23.05</v>
      </c>
      <c r="O2542">
        <v>6299.1</v>
      </c>
      <c r="P2542">
        <v>0</v>
      </c>
      <c r="Q2542">
        <v>6299.1</v>
      </c>
      <c r="R2542">
        <v>1007.86</v>
      </c>
      <c r="S2542">
        <v>251.96</v>
      </c>
      <c r="T2542">
        <v>7055</v>
      </c>
      <c r="U2542" t="s">
        <v>2073</v>
      </c>
      <c r="V2542" t="s">
        <v>9408</v>
      </c>
      <c r="W2542" t="s">
        <v>423</v>
      </c>
    </row>
    <row r="2543" spans="1:23" hidden="1" x14ac:dyDescent="0.2">
      <c r="A2543">
        <v>2012</v>
      </c>
      <c r="B2543" t="s">
        <v>303</v>
      </c>
      <c r="C2543" s="733">
        <v>40939</v>
      </c>
      <c r="D25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43" t="s">
        <v>485</v>
      </c>
      <c r="F2543" t="s">
        <v>2054</v>
      </c>
      <c r="G2543" t="s">
        <v>3684</v>
      </c>
      <c r="H2543">
        <v>10109</v>
      </c>
      <c r="I2543" t="s">
        <v>423</v>
      </c>
      <c r="J2543" t="s">
        <v>2072</v>
      </c>
      <c r="K2543" t="s">
        <v>2057</v>
      </c>
      <c r="L2543" t="s">
        <v>2058</v>
      </c>
      <c r="M2543">
        <v>406</v>
      </c>
      <c r="N2543">
        <v>23.84</v>
      </c>
      <c r="O2543">
        <v>6515</v>
      </c>
      <c r="P2543">
        <v>0</v>
      </c>
      <c r="Q2543">
        <v>6515</v>
      </c>
      <c r="R2543">
        <v>1042.4000000000001</v>
      </c>
      <c r="S2543">
        <v>260.60000000000002</v>
      </c>
      <c r="T2543">
        <v>7296.8</v>
      </c>
      <c r="U2543" t="s">
        <v>2073</v>
      </c>
      <c r="V2543" t="s">
        <v>9409</v>
      </c>
      <c r="W2543" t="s">
        <v>423</v>
      </c>
    </row>
    <row r="2544" spans="1:23" x14ac:dyDescent="0.2">
      <c r="A2544">
        <v>2012</v>
      </c>
      <c r="B2544" t="s">
        <v>304</v>
      </c>
      <c r="C2544" s="733">
        <v>40967.446574074071</v>
      </c>
      <c r="D25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44" t="s">
        <v>485</v>
      </c>
      <c r="F2544" t="s">
        <v>2054</v>
      </c>
      <c r="G2544" t="s">
        <v>9120</v>
      </c>
      <c r="H2544">
        <v>10595</v>
      </c>
      <c r="I2544" t="s">
        <v>423</v>
      </c>
      <c r="J2544" t="s">
        <v>2072</v>
      </c>
      <c r="K2544" t="s">
        <v>2057</v>
      </c>
      <c r="L2544" t="s">
        <v>2058</v>
      </c>
      <c r="M2544">
        <v>406</v>
      </c>
      <c r="N2544">
        <v>47.83</v>
      </c>
      <c r="O2544">
        <v>13070.98</v>
      </c>
      <c r="P2544">
        <v>0</v>
      </c>
      <c r="Q2544">
        <v>13070.98</v>
      </c>
      <c r="R2544">
        <v>1437.81</v>
      </c>
      <c r="S2544">
        <v>522.84</v>
      </c>
      <c r="T2544">
        <v>13985.95</v>
      </c>
      <c r="V2544" t="s">
        <v>9409</v>
      </c>
      <c r="W2544" t="s">
        <v>423</v>
      </c>
    </row>
    <row r="2545" spans="1:23" x14ac:dyDescent="0.2">
      <c r="A2545">
        <v>2012</v>
      </c>
      <c r="B2545" t="s">
        <v>304</v>
      </c>
      <c r="C2545" s="733">
        <v>40967.435937499999</v>
      </c>
      <c r="D25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45" t="s">
        <v>485</v>
      </c>
      <c r="F2545" t="s">
        <v>2054</v>
      </c>
      <c r="G2545" t="s">
        <v>9122</v>
      </c>
      <c r="H2545">
        <v>10598</v>
      </c>
      <c r="I2545" t="s">
        <v>423</v>
      </c>
      <c r="J2545" t="s">
        <v>2072</v>
      </c>
      <c r="K2545" t="s">
        <v>2057</v>
      </c>
      <c r="L2545" t="s">
        <v>2058</v>
      </c>
      <c r="M2545">
        <v>406</v>
      </c>
      <c r="N2545">
        <v>47.11</v>
      </c>
      <c r="O2545">
        <v>12874.22</v>
      </c>
      <c r="P2545">
        <v>0</v>
      </c>
      <c r="Q2545">
        <v>12874.22</v>
      </c>
      <c r="R2545">
        <v>1416.16</v>
      </c>
      <c r="S2545">
        <v>514.97</v>
      </c>
      <c r="T2545">
        <v>13775.41</v>
      </c>
      <c r="V2545" t="s">
        <v>9409</v>
      </c>
      <c r="W2545" t="s">
        <v>423</v>
      </c>
    </row>
    <row r="2546" spans="1:23" x14ac:dyDescent="0.2">
      <c r="A2546">
        <v>2012</v>
      </c>
      <c r="B2546" t="s">
        <v>304</v>
      </c>
      <c r="C2546" s="733">
        <v>40967</v>
      </c>
      <c r="D25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46" t="s">
        <v>485</v>
      </c>
      <c r="F2546" t="s">
        <v>2054</v>
      </c>
      <c r="G2546" t="s">
        <v>9121</v>
      </c>
      <c r="H2546">
        <v>10587</v>
      </c>
      <c r="I2546" t="s">
        <v>423</v>
      </c>
      <c r="J2546" t="s">
        <v>2072</v>
      </c>
      <c r="K2546" t="s">
        <v>2057</v>
      </c>
      <c r="L2546" t="s">
        <v>2058</v>
      </c>
      <c r="M2546">
        <v>406</v>
      </c>
      <c r="N2546">
        <v>23.83</v>
      </c>
      <c r="O2546">
        <v>6512.26</v>
      </c>
      <c r="P2546">
        <v>0</v>
      </c>
      <c r="Q2546">
        <v>6512.26</v>
      </c>
      <c r="R2546">
        <v>716.35</v>
      </c>
      <c r="S2546">
        <v>260.49</v>
      </c>
      <c r="T2546">
        <v>6968.12</v>
      </c>
      <c r="V2546" t="s">
        <v>9408</v>
      </c>
      <c r="W2546" t="s">
        <v>423</v>
      </c>
    </row>
    <row r="2547" spans="1:23" hidden="1" x14ac:dyDescent="0.2">
      <c r="A2547">
        <v>2012</v>
      </c>
      <c r="B2547" t="s">
        <v>304</v>
      </c>
      <c r="C2547" s="733">
        <v>40948</v>
      </c>
      <c r="D25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47" t="s">
        <v>485</v>
      </c>
      <c r="F2547" t="s">
        <v>2054</v>
      </c>
      <c r="G2547" t="s">
        <v>3898</v>
      </c>
      <c r="H2547">
        <v>10356</v>
      </c>
      <c r="I2547" t="s">
        <v>423</v>
      </c>
      <c r="J2547" t="s">
        <v>2072</v>
      </c>
      <c r="K2547" t="s">
        <v>2057</v>
      </c>
      <c r="L2547" t="s">
        <v>2058</v>
      </c>
      <c r="M2547">
        <v>406</v>
      </c>
      <c r="N2547">
        <v>47.07</v>
      </c>
      <c r="O2547">
        <v>12863.29</v>
      </c>
      <c r="P2547">
        <v>0</v>
      </c>
      <c r="Q2547">
        <v>12863.29</v>
      </c>
      <c r="R2547">
        <v>1414.96</v>
      </c>
      <c r="S2547">
        <v>514.53</v>
      </c>
      <c r="T2547">
        <v>13763.72</v>
      </c>
      <c r="U2547" t="s">
        <v>2082</v>
      </c>
      <c r="V2547" t="s">
        <v>9409</v>
      </c>
      <c r="W2547" t="s">
        <v>423</v>
      </c>
    </row>
    <row r="2548" spans="1:23" hidden="1" x14ac:dyDescent="0.2">
      <c r="A2548">
        <v>2012</v>
      </c>
      <c r="B2548" t="s">
        <v>304</v>
      </c>
      <c r="C2548" s="733">
        <v>40962</v>
      </c>
      <c r="D25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48" t="s">
        <v>485</v>
      </c>
      <c r="F2548" t="s">
        <v>2054</v>
      </c>
      <c r="G2548" t="s">
        <v>8659</v>
      </c>
      <c r="H2548">
        <v>10512</v>
      </c>
      <c r="I2548" t="s">
        <v>423</v>
      </c>
      <c r="J2548" t="s">
        <v>2072</v>
      </c>
      <c r="K2548" t="s">
        <v>2057</v>
      </c>
      <c r="L2548" t="s">
        <v>2058</v>
      </c>
      <c r="M2548">
        <v>406</v>
      </c>
      <c r="N2548">
        <v>45.72</v>
      </c>
      <c r="O2548">
        <v>12494.36</v>
      </c>
      <c r="P2548">
        <v>0</v>
      </c>
      <c r="Q2548">
        <v>12494.36</v>
      </c>
      <c r="R2548">
        <v>1374.38</v>
      </c>
      <c r="S2548">
        <v>499.77</v>
      </c>
      <c r="T2548">
        <v>13368.97</v>
      </c>
      <c r="U2548" t="s">
        <v>8864</v>
      </c>
      <c r="V2548" t="s">
        <v>9409</v>
      </c>
      <c r="W2548" t="s">
        <v>423</v>
      </c>
    </row>
    <row r="2549" spans="1:23" hidden="1" x14ac:dyDescent="0.2">
      <c r="A2549">
        <v>2012</v>
      </c>
      <c r="B2549" t="s">
        <v>304</v>
      </c>
      <c r="C2549" s="733">
        <v>40946</v>
      </c>
      <c r="D25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49" t="s">
        <v>485</v>
      </c>
      <c r="F2549" t="s">
        <v>2054</v>
      </c>
      <c r="G2549" t="s">
        <v>3669</v>
      </c>
      <c r="H2549">
        <v>9949</v>
      </c>
      <c r="I2549" t="s">
        <v>423</v>
      </c>
      <c r="J2549" t="s">
        <v>2072</v>
      </c>
      <c r="K2549" t="s">
        <v>2057</v>
      </c>
      <c r="L2549" t="s">
        <v>2058</v>
      </c>
      <c r="M2549">
        <v>406</v>
      </c>
      <c r="N2549">
        <v>22.05</v>
      </c>
      <c r="O2549">
        <v>6025.82</v>
      </c>
      <c r="P2549">
        <v>0</v>
      </c>
      <c r="Q2549">
        <v>6025.82</v>
      </c>
      <c r="R2549">
        <v>964.13</v>
      </c>
      <c r="S2549">
        <v>241.03</v>
      </c>
      <c r="T2549">
        <v>6748.92</v>
      </c>
      <c r="U2549" t="s">
        <v>2075</v>
      </c>
      <c r="V2549" t="s">
        <v>9408</v>
      </c>
      <c r="W2549" t="s">
        <v>423</v>
      </c>
    </row>
    <row r="2550" spans="1:23" hidden="1" x14ac:dyDescent="0.2">
      <c r="A2550">
        <v>2012</v>
      </c>
      <c r="B2550" t="s">
        <v>304</v>
      </c>
      <c r="C2550" s="733">
        <v>40952.483495370368</v>
      </c>
      <c r="D25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50" t="s">
        <v>485</v>
      </c>
      <c r="F2550" t="s">
        <v>2054</v>
      </c>
      <c r="G2550" t="s">
        <v>3897</v>
      </c>
      <c r="H2550">
        <v>10411</v>
      </c>
      <c r="I2550" t="s">
        <v>423</v>
      </c>
      <c r="J2550" t="s">
        <v>2072</v>
      </c>
      <c r="K2550" t="s">
        <v>2057</v>
      </c>
      <c r="L2550" t="s">
        <v>2058</v>
      </c>
      <c r="M2550">
        <v>406</v>
      </c>
      <c r="N2550">
        <v>46.95</v>
      </c>
      <c r="O2550">
        <v>12830.5</v>
      </c>
      <c r="P2550">
        <v>0</v>
      </c>
      <c r="Q2550">
        <v>12830.5</v>
      </c>
      <c r="R2550">
        <v>1411.35</v>
      </c>
      <c r="S2550">
        <v>513.22</v>
      </c>
      <c r="T2550">
        <v>13728.63</v>
      </c>
      <c r="U2550" t="s">
        <v>8047</v>
      </c>
      <c r="V2550" t="s">
        <v>9409</v>
      </c>
      <c r="W2550" t="s">
        <v>423</v>
      </c>
    </row>
    <row r="2551" spans="1:23" hidden="1" x14ac:dyDescent="0.2">
      <c r="A2551">
        <v>2012</v>
      </c>
      <c r="B2551" t="s">
        <v>304</v>
      </c>
      <c r="C2551" s="733">
        <v>40952.538611111115</v>
      </c>
      <c r="D25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51" t="s">
        <v>485</v>
      </c>
      <c r="F2551" t="s">
        <v>2054</v>
      </c>
      <c r="G2551" t="s">
        <v>3668</v>
      </c>
      <c r="H2551">
        <v>10416</v>
      </c>
      <c r="I2551" t="s">
        <v>423</v>
      </c>
      <c r="J2551" t="s">
        <v>2072</v>
      </c>
      <c r="K2551" t="s">
        <v>2057</v>
      </c>
      <c r="L2551" t="s">
        <v>2058</v>
      </c>
      <c r="M2551">
        <v>406</v>
      </c>
      <c r="N2551">
        <v>47.17</v>
      </c>
      <c r="O2551">
        <v>12890.62</v>
      </c>
      <c r="P2551">
        <v>0</v>
      </c>
      <c r="Q2551">
        <v>12890.62</v>
      </c>
      <c r="R2551">
        <v>1417.97</v>
      </c>
      <c r="S2551">
        <v>515.62</v>
      </c>
      <c r="T2551">
        <v>13792.97</v>
      </c>
      <c r="U2551" t="s">
        <v>8047</v>
      </c>
      <c r="V2551" t="s">
        <v>9409</v>
      </c>
      <c r="W2551" t="s">
        <v>423</v>
      </c>
    </row>
    <row r="2552" spans="1:23" hidden="1" x14ac:dyDescent="0.2">
      <c r="A2552">
        <v>2012</v>
      </c>
      <c r="B2552" t="s">
        <v>303</v>
      </c>
      <c r="C2552" s="733">
        <v>40910</v>
      </c>
      <c r="D25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52" t="s">
        <v>478</v>
      </c>
      <c r="F2552" t="s">
        <v>2622</v>
      </c>
      <c r="G2552" t="s">
        <v>3364</v>
      </c>
      <c r="H2552">
        <v>34176</v>
      </c>
      <c r="I2552" t="s">
        <v>423</v>
      </c>
      <c r="J2552" t="s">
        <v>2624</v>
      </c>
      <c r="K2552" t="s">
        <v>2625</v>
      </c>
      <c r="L2552" t="s">
        <v>2626</v>
      </c>
      <c r="M2552">
        <v>10</v>
      </c>
      <c r="N2552">
        <v>23.69</v>
      </c>
      <c r="O2552">
        <v>1125.75</v>
      </c>
      <c r="P2552">
        <v>1267.2567750000001</v>
      </c>
      <c r="Q2552">
        <v>2393.0067749999998</v>
      </c>
      <c r="R2552">
        <v>382.88108399999999</v>
      </c>
      <c r="S2552">
        <v>95.720270999999997</v>
      </c>
      <c r="T2552">
        <v>2680.1675879999998</v>
      </c>
      <c r="U2552" t="s">
        <v>9215</v>
      </c>
      <c r="V2552" t="s">
        <v>9408</v>
      </c>
      <c r="W2552" t="s">
        <v>423</v>
      </c>
    </row>
    <row r="2553" spans="1:23" hidden="1" x14ac:dyDescent="0.2">
      <c r="A2553">
        <v>2012</v>
      </c>
      <c r="B2553" t="s">
        <v>303</v>
      </c>
      <c r="C2553" s="733">
        <v>40910.503194444442</v>
      </c>
      <c r="D25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53" t="s">
        <v>478</v>
      </c>
      <c r="F2553" t="s">
        <v>2142</v>
      </c>
      <c r="G2553" t="s">
        <v>4101</v>
      </c>
      <c r="H2553">
        <v>34118</v>
      </c>
      <c r="I2553" t="s">
        <v>423</v>
      </c>
      <c r="J2553" t="s">
        <v>2639</v>
      </c>
      <c r="K2553" t="s">
        <v>2640</v>
      </c>
      <c r="L2553" t="s">
        <v>2641</v>
      </c>
      <c r="M2553">
        <v>274</v>
      </c>
      <c r="N2553">
        <v>47.47</v>
      </c>
      <c r="O2553">
        <v>2569.08</v>
      </c>
      <c r="P2553">
        <v>2892.5014809999998</v>
      </c>
      <c r="Q2553">
        <v>5461.5814810000002</v>
      </c>
      <c r="R2553">
        <v>873.85303699999997</v>
      </c>
      <c r="S2553">
        <v>218.46325899999999</v>
      </c>
      <c r="T2553">
        <v>6116.9712589999999</v>
      </c>
      <c r="U2553" t="s">
        <v>4102</v>
      </c>
      <c r="V2553" t="s">
        <v>9409</v>
      </c>
      <c r="W2553" t="s">
        <v>423</v>
      </c>
    </row>
    <row r="2554" spans="1:23" hidden="1" x14ac:dyDescent="0.2">
      <c r="A2554">
        <v>2012</v>
      </c>
      <c r="B2554" t="s">
        <v>303</v>
      </c>
      <c r="C2554" s="733">
        <v>40939</v>
      </c>
      <c r="D25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54" t="s">
        <v>478</v>
      </c>
      <c r="F2554" t="s">
        <v>2142</v>
      </c>
      <c r="G2554" t="s">
        <v>3372</v>
      </c>
      <c r="H2554">
        <v>35025</v>
      </c>
      <c r="I2554" t="s">
        <v>423</v>
      </c>
      <c r="J2554" t="s">
        <v>2639</v>
      </c>
      <c r="K2554" t="s">
        <v>2640</v>
      </c>
      <c r="L2554" t="s">
        <v>2641</v>
      </c>
      <c r="M2554">
        <v>274</v>
      </c>
      <c r="N2554">
        <v>26.81</v>
      </c>
      <c r="O2554">
        <v>3446.16</v>
      </c>
      <c r="P2554">
        <v>0</v>
      </c>
      <c r="Q2554">
        <v>3446.16</v>
      </c>
      <c r="R2554">
        <v>551.39</v>
      </c>
      <c r="S2554">
        <v>137.85</v>
      </c>
      <c r="T2554">
        <v>3859.7</v>
      </c>
      <c r="U2554" t="s">
        <v>2990</v>
      </c>
      <c r="V2554" t="s">
        <v>9408</v>
      </c>
      <c r="W2554" t="s">
        <v>423</v>
      </c>
    </row>
    <row r="2555" spans="1:23" hidden="1" x14ac:dyDescent="0.2">
      <c r="A2555">
        <v>2012</v>
      </c>
      <c r="B2555" t="s">
        <v>303</v>
      </c>
      <c r="C2555" s="733">
        <v>40910</v>
      </c>
      <c r="D25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55" t="s">
        <v>478</v>
      </c>
      <c r="F2555" t="s">
        <v>2142</v>
      </c>
      <c r="G2555" t="s">
        <v>5782</v>
      </c>
      <c r="H2555">
        <v>34059</v>
      </c>
      <c r="I2555" t="s">
        <v>423</v>
      </c>
      <c r="J2555" t="s">
        <v>2639</v>
      </c>
      <c r="K2555" t="s">
        <v>2640</v>
      </c>
      <c r="L2555" t="s">
        <v>2641</v>
      </c>
      <c r="M2555">
        <v>274</v>
      </c>
      <c r="N2555">
        <v>46.92</v>
      </c>
      <c r="O2555">
        <v>2539.31</v>
      </c>
      <c r="P2555">
        <v>2858.9837360000001</v>
      </c>
      <c r="Q2555">
        <v>5398.2937359999996</v>
      </c>
      <c r="R2555">
        <v>863.72699799999998</v>
      </c>
      <c r="S2555">
        <v>215.931749</v>
      </c>
      <c r="T2555">
        <v>6046.0889850000003</v>
      </c>
      <c r="U2555" t="s">
        <v>4102</v>
      </c>
      <c r="V2555" t="s">
        <v>9409</v>
      </c>
      <c r="W2555" t="s">
        <v>423</v>
      </c>
    </row>
    <row r="2556" spans="1:23" hidden="1" x14ac:dyDescent="0.2">
      <c r="A2556">
        <v>2012</v>
      </c>
      <c r="B2556" t="s">
        <v>303</v>
      </c>
      <c r="C2556" s="733">
        <v>40918</v>
      </c>
      <c r="D25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56" t="s">
        <v>478</v>
      </c>
      <c r="F2556" t="s">
        <v>2142</v>
      </c>
      <c r="G2556" t="s">
        <v>5783</v>
      </c>
      <c r="H2556">
        <v>34062</v>
      </c>
      <c r="I2556" t="s">
        <v>423</v>
      </c>
      <c r="J2556" t="s">
        <v>2639</v>
      </c>
      <c r="K2556" t="s">
        <v>2640</v>
      </c>
      <c r="L2556" t="s">
        <v>2641</v>
      </c>
      <c r="M2556">
        <v>274</v>
      </c>
      <c r="N2556">
        <v>48.48</v>
      </c>
      <c r="O2556">
        <v>2623.74</v>
      </c>
      <c r="P2556">
        <v>2954.042629</v>
      </c>
      <c r="Q2556">
        <v>5577.7826290000003</v>
      </c>
      <c r="R2556">
        <v>892.44522099999995</v>
      </c>
      <c r="S2556">
        <v>223.11130499999999</v>
      </c>
      <c r="T2556">
        <v>6247.1165449999999</v>
      </c>
      <c r="U2556" t="s">
        <v>4102</v>
      </c>
      <c r="V2556" t="s">
        <v>9409</v>
      </c>
      <c r="W2556" t="s">
        <v>423</v>
      </c>
    </row>
    <row r="2557" spans="1:23" hidden="1" x14ac:dyDescent="0.2">
      <c r="A2557">
        <v>2012</v>
      </c>
      <c r="B2557" t="s">
        <v>303</v>
      </c>
      <c r="C2557" s="733">
        <v>40939.549479166664</v>
      </c>
      <c r="D25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57" t="s">
        <v>478</v>
      </c>
      <c r="F2557" t="s">
        <v>2622</v>
      </c>
      <c r="G2557" t="s">
        <v>5977</v>
      </c>
      <c r="H2557">
        <v>35152</v>
      </c>
      <c r="I2557" t="s">
        <v>423</v>
      </c>
      <c r="J2557" t="s">
        <v>2668</v>
      </c>
      <c r="K2557" t="s">
        <v>2625</v>
      </c>
      <c r="L2557" t="s">
        <v>2626</v>
      </c>
      <c r="M2557">
        <v>76</v>
      </c>
      <c r="N2557">
        <v>24.47</v>
      </c>
      <c r="O2557">
        <v>2761.44</v>
      </c>
      <c r="P2557">
        <v>0</v>
      </c>
      <c r="Q2557">
        <v>2761.44</v>
      </c>
      <c r="R2557">
        <v>441.83</v>
      </c>
      <c r="S2557">
        <v>110.46</v>
      </c>
      <c r="T2557">
        <v>3092.81</v>
      </c>
      <c r="U2557" t="s">
        <v>2648</v>
      </c>
      <c r="V2557" t="s">
        <v>9408</v>
      </c>
      <c r="W2557" t="s">
        <v>423</v>
      </c>
    </row>
    <row r="2558" spans="1:23" hidden="1" x14ac:dyDescent="0.2">
      <c r="A2558">
        <v>2012</v>
      </c>
      <c r="B2558" t="s">
        <v>303</v>
      </c>
      <c r="C2558" s="733">
        <v>40939</v>
      </c>
      <c r="D25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58" t="s">
        <v>485</v>
      </c>
      <c r="F2558" t="s">
        <v>2084</v>
      </c>
      <c r="G2558" t="s">
        <v>3087</v>
      </c>
      <c r="H2558">
        <v>39905</v>
      </c>
      <c r="I2558" t="s">
        <v>423</v>
      </c>
      <c r="J2558" t="s">
        <v>2848</v>
      </c>
      <c r="K2558" t="s">
        <v>2814</v>
      </c>
      <c r="L2558" t="s">
        <v>2815</v>
      </c>
      <c r="M2558">
        <v>708</v>
      </c>
      <c r="N2558">
        <v>23.803999999999998</v>
      </c>
      <c r="O2558">
        <v>9767.73</v>
      </c>
      <c r="P2558">
        <v>0</v>
      </c>
      <c r="Q2558">
        <v>9767.73</v>
      </c>
      <c r="R2558">
        <v>1562.84</v>
      </c>
      <c r="S2558">
        <v>390.71</v>
      </c>
      <c r="T2558">
        <v>10939.86</v>
      </c>
      <c r="U2558" t="s">
        <v>2826</v>
      </c>
      <c r="V2558" t="s">
        <v>9408</v>
      </c>
      <c r="W2558" t="s">
        <v>423</v>
      </c>
    </row>
    <row r="2559" spans="1:23" hidden="1" x14ac:dyDescent="0.2">
      <c r="A2559">
        <v>2012</v>
      </c>
      <c r="B2559" t="s">
        <v>303</v>
      </c>
      <c r="C2559" s="733">
        <v>40939</v>
      </c>
      <c r="D25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59" t="s">
        <v>485</v>
      </c>
      <c r="F2559" t="s">
        <v>2084</v>
      </c>
      <c r="G2559" t="s">
        <v>3352</v>
      </c>
      <c r="H2559">
        <v>40798</v>
      </c>
      <c r="I2559" t="s">
        <v>423</v>
      </c>
      <c r="J2559" t="s">
        <v>2848</v>
      </c>
      <c r="K2559" t="s">
        <v>2814</v>
      </c>
      <c r="L2559" t="s">
        <v>2815</v>
      </c>
      <c r="M2559">
        <v>708</v>
      </c>
      <c r="N2559">
        <v>24.527999999999999</v>
      </c>
      <c r="O2559">
        <v>10064.82</v>
      </c>
      <c r="P2559">
        <v>0</v>
      </c>
      <c r="Q2559">
        <v>10064.82</v>
      </c>
      <c r="R2559">
        <v>1610.37</v>
      </c>
      <c r="S2559">
        <v>402.59</v>
      </c>
      <c r="T2559">
        <v>11272.6</v>
      </c>
      <c r="U2559" t="s">
        <v>2826</v>
      </c>
      <c r="V2559" t="s">
        <v>9408</v>
      </c>
      <c r="W2559" t="s">
        <v>423</v>
      </c>
    </row>
    <row r="2560" spans="1:23" hidden="1" x14ac:dyDescent="0.2">
      <c r="A2560">
        <v>2012</v>
      </c>
      <c r="B2560" t="s">
        <v>304</v>
      </c>
      <c r="C2560" s="733">
        <v>40949</v>
      </c>
      <c r="D25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60" t="s">
        <v>485</v>
      </c>
      <c r="F2560" t="s">
        <v>2084</v>
      </c>
      <c r="G2560" t="s">
        <v>3088</v>
      </c>
      <c r="H2560">
        <v>41272</v>
      </c>
      <c r="I2560" t="s">
        <v>423</v>
      </c>
      <c r="J2560" t="s">
        <v>2848</v>
      </c>
      <c r="K2560" t="s">
        <v>2814</v>
      </c>
      <c r="L2560" t="s">
        <v>2815</v>
      </c>
      <c r="M2560">
        <v>708</v>
      </c>
      <c r="N2560">
        <v>26.776</v>
      </c>
      <c r="O2560">
        <v>10987.26</v>
      </c>
      <c r="P2560">
        <v>0</v>
      </c>
      <c r="Q2560">
        <v>10987.26</v>
      </c>
      <c r="R2560">
        <v>1208.5999999999999</v>
      </c>
      <c r="S2560">
        <v>439.49</v>
      </c>
      <c r="T2560">
        <v>11756.37</v>
      </c>
      <c r="U2560" t="s">
        <v>7527</v>
      </c>
      <c r="V2560" t="s">
        <v>9408</v>
      </c>
      <c r="W2560" t="s">
        <v>423</v>
      </c>
    </row>
    <row r="2561" spans="1:23" hidden="1" x14ac:dyDescent="0.2">
      <c r="A2561">
        <v>2012</v>
      </c>
      <c r="B2561" t="s">
        <v>303</v>
      </c>
      <c r="C2561" s="733">
        <v>40938</v>
      </c>
      <c r="D25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61" t="s">
        <v>485</v>
      </c>
      <c r="F2561" t="s">
        <v>2084</v>
      </c>
      <c r="G2561" t="s">
        <v>3353</v>
      </c>
      <c r="H2561">
        <v>40693</v>
      </c>
      <c r="I2561" t="s">
        <v>423</v>
      </c>
      <c r="J2561" t="s">
        <v>2848</v>
      </c>
      <c r="K2561" t="s">
        <v>2814</v>
      </c>
      <c r="L2561" t="s">
        <v>2815</v>
      </c>
      <c r="M2561">
        <v>708</v>
      </c>
      <c r="N2561">
        <v>23.228000000000002</v>
      </c>
      <c r="O2561">
        <v>9531.3799999999992</v>
      </c>
      <c r="P2561">
        <v>0</v>
      </c>
      <c r="Q2561">
        <v>9531.3799999999992</v>
      </c>
      <c r="R2561">
        <v>1525.02</v>
      </c>
      <c r="S2561">
        <v>381.26</v>
      </c>
      <c r="T2561">
        <v>10675.14</v>
      </c>
      <c r="U2561" t="s">
        <v>2826</v>
      </c>
      <c r="V2561" t="s">
        <v>9408</v>
      </c>
      <c r="W2561" t="s">
        <v>423</v>
      </c>
    </row>
    <row r="2562" spans="1:23" hidden="1" x14ac:dyDescent="0.2">
      <c r="A2562">
        <v>2012</v>
      </c>
      <c r="B2562" t="s">
        <v>303</v>
      </c>
      <c r="C2562" s="733">
        <v>40926</v>
      </c>
      <c r="D25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62" t="s">
        <v>485</v>
      </c>
      <c r="F2562" t="s">
        <v>2065</v>
      </c>
      <c r="G2562" t="s">
        <v>3086</v>
      </c>
      <c r="H2562">
        <v>40057</v>
      </c>
      <c r="I2562" t="s">
        <v>423</v>
      </c>
      <c r="J2562" t="s">
        <v>2848</v>
      </c>
      <c r="K2562" t="s">
        <v>2814</v>
      </c>
      <c r="L2562" t="s">
        <v>2815</v>
      </c>
      <c r="M2562">
        <v>708</v>
      </c>
      <c r="N2562">
        <v>23.465</v>
      </c>
      <c r="O2562">
        <v>9628.6299999999992</v>
      </c>
      <c r="P2562">
        <v>0</v>
      </c>
      <c r="Q2562">
        <v>9628.6299999999992</v>
      </c>
      <c r="R2562">
        <v>1540.58</v>
      </c>
      <c r="S2562">
        <v>385.15</v>
      </c>
      <c r="T2562">
        <v>10784.06</v>
      </c>
      <c r="U2562" t="s">
        <v>2826</v>
      </c>
      <c r="V2562" t="s">
        <v>9408</v>
      </c>
      <c r="W2562" t="s">
        <v>423</v>
      </c>
    </row>
    <row r="2563" spans="1:23" hidden="1" x14ac:dyDescent="0.2">
      <c r="A2563">
        <v>2012</v>
      </c>
      <c r="B2563" t="s">
        <v>303</v>
      </c>
      <c r="C2563" s="733">
        <v>40935.720752314817</v>
      </c>
      <c r="D25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63" t="s">
        <v>505</v>
      </c>
      <c r="F2563" t="s">
        <v>1915</v>
      </c>
      <c r="G2563" t="s">
        <v>2519</v>
      </c>
      <c r="H2563">
        <v>22311</v>
      </c>
      <c r="I2563" t="s">
        <v>423</v>
      </c>
      <c r="J2563" t="s">
        <v>1943</v>
      </c>
      <c r="K2563" t="s">
        <v>1918</v>
      </c>
      <c r="L2563" t="s">
        <v>1919</v>
      </c>
      <c r="M2563">
        <v>319</v>
      </c>
      <c r="N2563">
        <v>53.57</v>
      </c>
      <c r="O2563">
        <v>15708.87</v>
      </c>
      <c r="P2563">
        <v>0</v>
      </c>
      <c r="Q2563">
        <v>15708.87</v>
      </c>
      <c r="R2563">
        <v>2513.42</v>
      </c>
      <c r="S2563">
        <v>628.35</v>
      </c>
      <c r="T2563">
        <v>17593.939999999999</v>
      </c>
      <c r="U2563" t="s">
        <v>7529</v>
      </c>
      <c r="V2563" t="s">
        <v>9409</v>
      </c>
      <c r="W2563" t="s">
        <v>423</v>
      </c>
    </row>
    <row r="2564" spans="1:23" hidden="1" x14ac:dyDescent="0.2">
      <c r="A2564">
        <v>2012</v>
      </c>
      <c r="B2564" t="s">
        <v>303</v>
      </c>
      <c r="C2564" s="733">
        <v>40924</v>
      </c>
      <c r="D25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64" t="s">
        <v>505</v>
      </c>
      <c r="F2564" t="s">
        <v>1915</v>
      </c>
      <c r="G2564" t="s">
        <v>2517</v>
      </c>
      <c r="H2564">
        <v>22011</v>
      </c>
      <c r="I2564" t="s">
        <v>423</v>
      </c>
      <c r="J2564" t="s">
        <v>1943</v>
      </c>
      <c r="K2564" t="s">
        <v>1918</v>
      </c>
      <c r="L2564" t="s">
        <v>1919</v>
      </c>
      <c r="M2564">
        <v>319</v>
      </c>
      <c r="N2564">
        <v>28.02</v>
      </c>
      <c r="O2564">
        <v>8216.58</v>
      </c>
      <c r="P2564">
        <v>0</v>
      </c>
      <c r="Q2564">
        <v>8216.58</v>
      </c>
      <c r="R2564">
        <v>1314.65</v>
      </c>
      <c r="S2564">
        <v>328.66</v>
      </c>
      <c r="T2564">
        <v>9202.57</v>
      </c>
      <c r="U2564" t="s">
        <v>8778</v>
      </c>
      <c r="V2564" t="s">
        <v>9408</v>
      </c>
      <c r="W2564" t="s">
        <v>423</v>
      </c>
    </row>
    <row r="2565" spans="1:23" hidden="1" x14ac:dyDescent="0.2">
      <c r="A2565">
        <v>2012</v>
      </c>
      <c r="B2565" t="s">
        <v>304</v>
      </c>
      <c r="C2565" s="733">
        <v>40966</v>
      </c>
      <c r="D25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65" t="s">
        <v>478</v>
      </c>
      <c r="F2565" t="s">
        <v>2136</v>
      </c>
      <c r="G2565" t="s">
        <v>9128</v>
      </c>
      <c r="H2565">
        <v>36023</v>
      </c>
      <c r="I2565" t="s">
        <v>423</v>
      </c>
      <c r="J2565" t="s">
        <v>5735</v>
      </c>
      <c r="K2565" t="s">
        <v>425</v>
      </c>
      <c r="L2565" t="s">
        <v>2145</v>
      </c>
      <c r="M2565">
        <v>193</v>
      </c>
      <c r="N2565">
        <v>43.92</v>
      </c>
      <c r="O2565">
        <v>7805.02</v>
      </c>
      <c r="P2565">
        <v>0</v>
      </c>
      <c r="Q2565">
        <v>7805.02</v>
      </c>
      <c r="R2565">
        <v>1248.8</v>
      </c>
      <c r="S2565">
        <v>312.2</v>
      </c>
      <c r="T2565">
        <v>8741.6200000000008</v>
      </c>
      <c r="U2565" t="s">
        <v>9457</v>
      </c>
      <c r="V2565" t="s">
        <v>9409</v>
      </c>
      <c r="W2565" t="s">
        <v>423</v>
      </c>
    </row>
    <row r="2566" spans="1:23" hidden="1" x14ac:dyDescent="0.2">
      <c r="A2566">
        <v>2012</v>
      </c>
      <c r="B2566" t="s">
        <v>304</v>
      </c>
      <c r="C2566" s="733">
        <v>40967</v>
      </c>
      <c r="D25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66" t="s">
        <v>478</v>
      </c>
      <c r="F2566" t="s">
        <v>2136</v>
      </c>
      <c r="G2566" t="s">
        <v>9127</v>
      </c>
      <c r="H2566">
        <v>36078</v>
      </c>
      <c r="I2566" t="s">
        <v>423</v>
      </c>
      <c r="J2566" t="s">
        <v>5735</v>
      </c>
      <c r="K2566" t="s">
        <v>425</v>
      </c>
      <c r="L2566" t="s">
        <v>2145</v>
      </c>
      <c r="M2566">
        <v>193</v>
      </c>
      <c r="N2566">
        <v>22.25</v>
      </c>
      <c r="O2566">
        <v>3954.05</v>
      </c>
      <c r="P2566">
        <v>0</v>
      </c>
      <c r="Q2566">
        <v>3954.05</v>
      </c>
      <c r="R2566">
        <v>632.65</v>
      </c>
      <c r="S2566">
        <v>158.16</v>
      </c>
      <c r="T2566">
        <v>4428.54</v>
      </c>
      <c r="U2566" t="s">
        <v>9457</v>
      </c>
      <c r="V2566" t="s">
        <v>9408</v>
      </c>
      <c r="W2566" t="s">
        <v>423</v>
      </c>
    </row>
    <row r="2567" spans="1:23" hidden="1" x14ac:dyDescent="0.2">
      <c r="A2567">
        <v>2012</v>
      </c>
      <c r="B2567" t="s">
        <v>304</v>
      </c>
      <c r="C2567" s="733">
        <v>40941</v>
      </c>
      <c r="D25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67" t="s">
        <v>505</v>
      </c>
      <c r="F2567" t="s">
        <v>1915</v>
      </c>
      <c r="G2567" t="s">
        <v>2533</v>
      </c>
      <c r="H2567">
        <v>22423</v>
      </c>
      <c r="I2567" t="s">
        <v>423</v>
      </c>
      <c r="J2567" t="s">
        <v>1943</v>
      </c>
      <c r="K2567" t="s">
        <v>1918</v>
      </c>
      <c r="L2567" t="s">
        <v>1919</v>
      </c>
      <c r="M2567">
        <v>319</v>
      </c>
      <c r="N2567">
        <v>52.54</v>
      </c>
      <c r="O2567">
        <v>15406.83</v>
      </c>
      <c r="P2567">
        <v>0</v>
      </c>
      <c r="Q2567">
        <v>15406.83</v>
      </c>
      <c r="R2567">
        <v>2465.09</v>
      </c>
      <c r="S2567">
        <v>616.27</v>
      </c>
      <c r="T2567">
        <v>17255.650000000001</v>
      </c>
      <c r="U2567" t="s">
        <v>1926</v>
      </c>
      <c r="V2567" t="s">
        <v>9409</v>
      </c>
      <c r="W2567" t="s">
        <v>423</v>
      </c>
    </row>
    <row r="2568" spans="1:23" hidden="1" x14ac:dyDescent="0.2">
      <c r="A2568">
        <v>2012</v>
      </c>
      <c r="B2568" t="s">
        <v>304</v>
      </c>
      <c r="C2568" s="733">
        <v>40955</v>
      </c>
      <c r="D25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68" t="s">
        <v>505</v>
      </c>
      <c r="F2568" t="s">
        <v>1915</v>
      </c>
      <c r="G2568" t="s">
        <v>7766</v>
      </c>
      <c r="H2568">
        <v>22768</v>
      </c>
      <c r="I2568" t="s">
        <v>423</v>
      </c>
      <c r="J2568" t="s">
        <v>1943</v>
      </c>
      <c r="K2568" t="s">
        <v>1918</v>
      </c>
      <c r="L2568" t="s">
        <v>1919</v>
      </c>
      <c r="M2568">
        <v>319</v>
      </c>
      <c r="N2568">
        <v>54.03</v>
      </c>
      <c r="O2568">
        <v>15843.76</v>
      </c>
      <c r="P2568">
        <v>0</v>
      </c>
      <c r="Q2568">
        <v>15843.76</v>
      </c>
      <c r="R2568">
        <v>2535</v>
      </c>
      <c r="S2568">
        <v>633.75</v>
      </c>
      <c r="T2568">
        <v>17745.009999999998</v>
      </c>
      <c r="U2568" t="s">
        <v>7529</v>
      </c>
      <c r="V2568" t="s">
        <v>9409</v>
      </c>
      <c r="W2568" t="s">
        <v>423</v>
      </c>
    </row>
    <row r="2569" spans="1:23" x14ac:dyDescent="0.2">
      <c r="A2569">
        <v>2012</v>
      </c>
      <c r="B2569" t="s">
        <v>304</v>
      </c>
      <c r="C2569" s="733">
        <v>40967</v>
      </c>
      <c r="D25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69" t="s">
        <v>485</v>
      </c>
      <c r="F2569" t="s">
        <v>2065</v>
      </c>
      <c r="G2569" t="s">
        <v>9130</v>
      </c>
      <c r="H2569">
        <v>42663</v>
      </c>
      <c r="I2569" t="s">
        <v>423</v>
      </c>
      <c r="J2569" t="s">
        <v>2126</v>
      </c>
      <c r="K2569" t="s">
        <v>2102</v>
      </c>
      <c r="L2569" t="s">
        <v>2115</v>
      </c>
      <c r="M2569">
        <v>930</v>
      </c>
      <c r="N2569">
        <v>25.4</v>
      </c>
      <c r="O2569">
        <v>14911.83</v>
      </c>
      <c r="P2569">
        <v>0</v>
      </c>
      <c r="Q2569">
        <v>14911.83</v>
      </c>
      <c r="R2569">
        <v>2385.89</v>
      </c>
      <c r="S2569">
        <v>596.47</v>
      </c>
      <c r="T2569">
        <v>16701.25</v>
      </c>
      <c r="V2569" t="s">
        <v>9408</v>
      </c>
      <c r="W2569" t="s">
        <v>423</v>
      </c>
    </row>
    <row r="2570" spans="1:23" hidden="1" x14ac:dyDescent="0.2">
      <c r="A2570">
        <v>2012</v>
      </c>
      <c r="B2570" t="s">
        <v>304</v>
      </c>
      <c r="C2570" s="733">
        <v>40960</v>
      </c>
      <c r="D25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70" t="s">
        <v>478</v>
      </c>
      <c r="F2570" t="s">
        <v>2136</v>
      </c>
      <c r="G2570" t="s">
        <v>8377</v>
      </c>
      <c r="H2570">
        <v>35823</v>
      </c>
      <c r="I2570" t="s">
        <v>423</v>
      </c>
      <c r="J2570" t="s">
        <v>3480</v>
      </c>
      <c r="K2570" t="s">
        <v>3481</v>
      </c>
      <c r="L2570" t="s">
        <v>3482</v>
      </c>
      <c r="M2570">
        <v>75</v>
      </c>
      <c r="N2570">
        <v>28.14</v>
      </c>
      <c r="O2570">
        <v>3176.16</v>
      </c>
      <c r="P2570">
        <v>0</v>
      </c>
      <c r="Q2570">
        <v>3176.16</v>
      </c>
      <c r="R2570">
        <v>508.19</v>
      </c>
      <c r="S2570">
        <v>127.05</v>
      </c>
      <c r="T2570">
        <v>3557.3</v>
      </c>
      <c r="U2570" t="s">
        <v>8277</v>
      </c>
      <c r="V2570" t="s">
        <v>9408</v>
      </c>
      <c r="W2570" t="s">
        <v>423</v>
      </c>
    </row>
    <row r="2571" spans="1:23" hidden="1" x14ac:dyDescent="0.2">
      <c r="A2571">
        <v>2012</v>
      </c>
      <c r="B2571" t="s">
        <v>304</v>
      </c>
      <c r="C2571" s="733">
        <v>40960</v>
      </c>
      <c r="D25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71" t="s">
        <v>478</v>
      </c>
      <c r="F2571" t="s">
        <v>2136</v>
      </c>
      <c r="G2571" t="s">
        <v>8378</v>
      </c>
      <c r="H2571">
        <v>35826</v>
      </c>
      <c r="I2571" t="s">
        <v>423</v>
      </c>
      <c r="J2571" t="s">
        <v>3480</v>
      </c>
      <c r="K2571" t="s">
        <v>3481</v>
      </c>
      <c r="L2571" t="s">
        <v>3482</v>
      </c>
      <c r="M2571">
        <v>75</v>
      </c>
      <c r="N2571">
        <v>28.19</v>
      </c>
      <c r="O2571">
        <v>3181.81</v>
      </c>
      <c r="P2571">
        <v>0</v>
      </c>
      <c r="Q2571">
        <v>3181.81</v>
      </c>
      <c r="R2571">
        <v>509.09</v>
      </c>
      <c r="S2571">
        <v>127.27</v>
      </c>
      <c r="T2571">
        <v>3563.63</v>
      </c>
      <c r="U2571" t="s">
        <v>8277</v>
      </c>
      <c r="V2571" t="s">
        <v>9408</v>
      </c>
      <c r="W2571" t="s">
        <v>423</v>
      </c>
    </row>
    <row r="2572" spans="1:23" hidden="1" x14ac:dyDescent="0.2">
      <c r="A2572">
        <v>2012</v>
      </c>
      <c r="B2572" t="s">
        <v>304</v>
      </c>
      <c r="C2572" s="733">
        <v>40967.368622685186</v>
      </c>
      <c r="D25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72" t="s">
        <v>478</v>
      </c>
      <c r="F2572" t="s">
        <v>2136</v>
      </c>
      <c r="G2572" t="s">
        <v>9129</v>
      </c>
      <c r="H2572">
        <v>36084</v>
      </c>
      <c r="I2572" t="s">
        <v>423</v>
      </c>
      <c r="J2572" t="s">
        <v>3480</v>
      </c>
      <c r="K2572" t="s">
        <v>3481</v>
      </c>
      <c r="L2572" t="s">
        <v>3482</v>
      </c>
      <c r="M2572">
        <v>75</v>
      </c>
      <c r="N2572">
        <v>26.914999999999999</v>
      </c>
      <c r="O2572">
        <v>3037.9</v>
      </c>
      <c r="P2572">
        <v>0</v>
      </c>
      <c r="Q2572">
        <v>3037.9</v>
      </c>
      <c r="R2572">
        <v>486.06</v>
      </c>
      <c r="S2572">
        <v>121.52</v>
      </c>
      <c r="T2572">
        <v>3402.44</v>
      </c>
      <c r="V2572" t="s">
        <v>9408</v>
      </c>
      <c r="W2572" t="s">
        <v>423</v>
      </c>
    </row>
    <row r="2573" spans="1:23" hidden="1" x14ac:dyDescent="0.2">
      <c r="A2573">
        <v>2012</v>
      </c>
      <c r="B2573" t="s">
        <v>304</v>
      </c>
      <c r="C2573" s="733">
        <v>40955</v>
      </c>
      <c r="D25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73" t="s">
        <v>485</v>
      </c>
      <c r="F2573" t="s">
        <v>2065</v>
      </c>
      <c r="G2573" t="s">
        <v>7622</v>
      </c>
      <c r="H2573">
        <v>41760</v>
      </c>
      <c r="I2573" t="s">
        <v>423</v>
      </c>
      <c r="J2573" t="s">
        <v>2126</v>
      </c>
      <c r="K2573" t="s">
        <v>2102</v>
      </c>
      <c r="L2573" t="s">
        <v>2115</v>
      </c>
      <c r="M2573">
        <v>930</v>
      </c>
      <c r="N2573">
        <v>52.28</v>
      </c>
      <c r="O2573">
        <v>30692.54</v>
      </c>
      <c r="P2573">
        <v>0</v>
      </c>
      <c r="Q2573">
        <v>30692.54</v>
      </c>
      <c r="R2573">
        <v>4910.8100000000004</v>
      </c>
      <c r="S2573">
        <v>1227.7</v>
      </c>
      <c r="T2573">
        <v>34375.65</v>
      </c>
      <c r="U2573" t="s">
        <v>8051</v>
      </c>
      <c r="V2573" t="s">
        <v>9409</v>
      </c>
      <c r="W2573" t="s">
        <v>423</v>
      </c>
    </row>
    <row r="2574" spans="1:23" hidden="1" x14ac:dyDescent="0.2">
      <c r="A2574">
        <v>2012</v>
      </c>
      <c r="B2574" t="s">
        <v>303</v>
      </c>
      <c r="C2574" s="733">
        <v>40917</v>
      </c>
      <c r="D25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74" t="s">
        <v>478</v>
      </c>
      <c r="F2574" t="s">
        <v>2136</v>
      </c>
      <c r="G2574" t="s">
        <v>4111</v>
      </c>
      <c r="H2574">
        <v>34111</v>
      </c>
      <c r="I2574" t="s">
        <v>423</v>
      </c>
      <c r="J2574" t="s">
        <v>2793</v>
      </c>
      <c r="K2574" t="s">
        <v>425</v>
      </c>
      <c r="L2574" t="s">
        <v>2145</v>
      </c>
      <c r="M2574">
        <v>1147</v>
      </c>
      <c r="N2574">
        <v>27.51</v>
      </c>
      <c r="O2574">
        <v>12692.56</v>
      </c>
      <c r="P2574">
        <v>0</v>
      </c>
      <c r="Q2574">
        <v>12692.56</v>
      </c>
      <c r="R2574">
        <v>2030.81</v>
      </c>
      <c r="S2574">
        <v>507.7</v>
      </c>
      <c r="T2574">
        <v>14215.67</v>
      </c>
      <c r="U2574" t="s">
        <v>2350</v>
      </c>
      <c r="V2574" t="s">
        <v>9408</v>
      </c>
      <c r="W2574" t="s">
        <v>423</v>
      </c>
    </row>
    <row r="2575" spans="1:23" hidden="1" x14ac:dyDescent="0.2">
      <c r="A2575">
        <v>2012</v>
      </c>
      <c r="B2575" t="s">
        <v>304</v>
      </c>
      <c r="C2575" s="733">
        <v>40941</v>
      </c>
      <c r="D25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75" t="s">
        <v>485</v>
      </c>
      <c r="F2575" t="s">
        <v>2065</v>
      </c>
      <c r="G2575" t="s">
        <v>5392</v>
      </c>
      <c r="H2575">
        <v>39741</v>
      </c>
      <c r="I2575" t="s">
        <v>423</v>
      </c>
      <c r="J2575" t="s">
        <v>2126</v>
      </c>
      <c r="K2575" t="s">
        <v>2102</v>
      </c>
      <c r="L2575" t="s">
        <v>2184</v>
      </c>
      <c r="M2575">
        <v>930</v>
      </c>
      <c r="N2575">
        <v>25.36</v>
      </c>
      <c r="O2575">
        <v>14888.35</v>
      </c>
      <c r="P2575">
        <v>0</v>
      </c>
      <c r="Q2575">
        <v>14888.35</v>
      </c>
      <c r="R2575">
        <v>2382.14</v>
      </c>
      <c r="S2575">
        <v>595.53</v>
      </c>
      <c r="T2575">
        <v>16674.96</v>
      </c>
      <c r="U2575" t="s">
        <v>2110</v>
      </c>
      <c r="V2575" t="s">
        <v>9408</v>
      </c>
      <c r="W2575" t="s">
        <v>423</v>
      </c>
    </row>
    <row r="2576" spans="1:23" hidden="1" x14ac:dyDescent="0.2">
      <c r="A2576">
        <v>2012</v>
      </c>
      <c r="B2576" t="s">
        <v>303</v>
      </c>
      <c r="C2576" s="733">
        <v>40927</v>
      </c>
      <c r="D25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76" t="s">
        <v>478</v>
      </c>
      <c r="F2576" t="s">
        <v>2136</v>
      </c>
      <c r="G2576" t="s">
        <v>6990</v>
      </c>
      <c r="H2576">
        <v>34570</v>
      </c>
      <c r="I2576" t="s">
        <v>423</v>
      </c>
      <c r="J2576" t="s">
        <v>2793</v>
      </c>
      <c r="K2576" t="s">
        <v>425</v>
      </c>
      <c r="L2576" t="s">
        <v>2145</v>
      </c>
      <c r="M2576">
        <v>1147</v>
      </c>
      <c r="N2576">
        <v>23.25</v>
      </c>
      <c r="O2576">
        <v>10727.08</v>
      </c>
      <c r="P2576">
        <v>0</v>
      </c>
      <c r="Q2576">
        <v>10727.08</v>
      </c>
      <c r="R2576">
        <v>1716.33</v>
      </c>
      <c r="S2576">
        <v>429.08</v>
      </c>
      <c r="T2576">
        <v>12014.33</v>
      </c>
      <c r="U2576" t="s">
        <v>2146</v>
      </c>
      <c r="V2576" t="s">
        <v>9408</v>
      </c>
      <c r="W2576" t="s">
        <v>423</v>
      </c>
    </row>
    <row r="2577" spans="1:23" hidden="1" x14ac:dyDescent="0.2">
      <c r="A2577">
        <v>2012</v>
      </c>
      <c r="B2577" t="s">
        <v>303</v>
      </c>
      <c r="C2577" s="733">
        <v>40933</v>
      </c>
      <c r="D25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77" t="s">
        <v>478</v>
      </c>
      <c r="F2577" t="s">
        <v>2136</v>
      </c>
      <c r="G2577" t="s">
        <v>5391</v>
      </c>
      <c r="H2577">
        <v>34872</v>
      </c>
      <c r="I2577" t="s">
        <v>423</v>
      </c>
      <c r="J2577" t="s">
        <v>3326</v>
      </c>
      <c r="K2577" t="s">
        <v>425</v>
      </c>
      <c r="L2577" t="s">
        <v>2145</v>
      </c>
      <c r="M2577">
        <v>1218</v>
      </c>
      <c r="N2577">
        <v>55.24</v>
      </c>
      <c r="O2577">
        <v>30245.56</v>
      </c>
      <c r="P2577">
        <v>0</v>
      </c>
      <c r="Q2577">
        <v>30245.56</v>
      </c>
      <c r="R2577">
        <v>4839.29</v>
      </c>
      <c r="S2577">
        <v>1209.82</v>
      </c>
      <c r="T2577">
        <v>33875.03</v>
      </c>
      <c r="U2577" t="s">
        <v>2150</v>
      </c>
      <c r="V2577" t="s">
        <v>9409</v>
      </c>
      <c r="W2577" t="s">
        <v>423</v>
      </c>
    </row>
    <row r="2578" spans="1:23" hidden="1" x14ac:dyDescent="0.2">
      <c r="A2578">
        <v>2012</v>
      </c>
      <c r="B2578" t="s">
        <v>304</v>
      </c>
      <c r="C2578" s="733">
        <v>40948</v>
      </c>
      <c r="D25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78" t="s">
        <v>485</v>
      </c>
      <c r="F2578" t="s">
        <v>3450</v>
      </c>
      <c r="G2578" t="s">
        <v>5777</v>
      </c>
      <c r="H2578">
        <v>41222</v>
      </c>
      <c r="I2578" t="s">
        <v>423</v>
      </c>
      <c r="J2578" t="s">
        <v>3462</v>
      </c>
      <c r="K2578" t="s">
        <v>3453</v>
      </c>
      <c r="L2578" t="s">
        <v>3454</v>
      </c>
      <c r="M2578">
        <v>425</v>
      </c>
      <c r="N2578">
        <v>54.03</v>
      </c>
      <c r="O2578">
        <v>15076.53</v>
      </c>
      <c r="P2578">
        <v>0</v>
      </c>
      <c r="Q2578">
        <v>15076.53</v>
      </c>
      <c r="R2578">
        <v>2412.2399999999998</v>
      </c>
      <c r="S2578">
        <v>603.05999999999995</v>
      </c>
      <c r="T2578">
        <v>16885.71</v>
      </c>
      <c r="U2578" t="s">
        <v>3455</v>
      </c>
      <c r="V2578" t="s">
        <v>9409</v>
      </c>
      <c r="W2578" t="s">
        <v>423</v>
      </c>
    </row>
    <row r="2579" spans="1:23" hidden="1" x14ac:dyDescent="0.2">
      <c r="A2579">
        <v>2012</v>
      </c>
      <c r="B2579" t="s">
        <v>304</v>
      </c>
      <c r="C2579" s="733">
        <v>40947</v>
      </c>
      <c r="D25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79" t="s">
        <v>485</v>
      </c>
      <c r="F2579" t="s">
        <v>2065</v>
      </c>
      <c r="G2579" t="s">
        <v>3175</v>
      </c>
      <c r="H2579">
        <v>41525</v>
      </c>
      <c r="I2579" t="s">
        <v>423</v>
      </c>
      <c r="J2579" t="s">
        <v>2182</v>
      </c>
      <c r="K2579" t="s">
        <v>2183</v>
      </c>
      <c r="L2579" t="s">
        <v>2184</v>
      </c>
      <c r="M2579">
        <v>62</v>
      </c>
      <c r="N2579">
        <v>15.99</v>
      </c>
      <c r="O2579">
        <v>2368.7600000000002</v>
      </c>
      <c r="P2579">
        <v>0</v>
      </c>
      <c r="Q2579">
        <v>2368.7600000000002</v>
      </c>
      <c r="R2579">
        <v>379</v>
      </c>
      <c r="S2579">
        <v>94.75</v>
      </c>
      <c r="T2579">
        <v>2653.01</v>
      </c>
      <c r="U2579" t="s">
        <v>2192</v>
      </c>
      <c r="V2579" t="s">
        <v>9408</v>
      </c>
      <c r="W2579" t="s">
        <v>423</v>
      </c>
    </row>
    <row r="2580" spans="1:23" hidden="1" x14ac:dyDescent="0.2">
      <c r="A2580">
        <v>2012</v>
      </c>
      <c r="B2580" t="s">
        <v>304</v>
      </c>
      <c r="C2580" s="733">
        <v>40942</v>
      </c>
      <c r="D25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80" t="s">
        <v>485</v>
      </c>
      <c r="F2580" t="s">
        <v>2065</v>
      </c>
      <c r="G2580" t="s">
        <v>4820</v>
      </c>
      <c r="H2580">
        <v>41059</v>
      </c>
      <c r="I2580" t="s">
        <v>423</v>
      </c>
      <c r="J2580" t="s">
        <v>3147</v>
      </c>
      <c r="K2580" t="s">
        <v>2183</v>
      </c>
      <c r="L2580" t="s">
        <v>2184</v>
      </c>
      <c r="M2580">
        <v>528</v>
      </c>
      <c r="N2580">
        <v>48.04</v>
      </c>
      <c r="O2580">
        <v>14873.18</v>
      </c>
      <c r="P2580">
        <v>0</v>
      </c>
      <c r="Q2580">
        <v>14873.18</v>
      </c>
      <c r="R2580">
        <v>2379.71</v>
      </c>
      <c r="S2580">
        <v>594.92999999999995</v>
      </c>
      <c r="T2580">
        <v>16657.96</v>
      </c>
      <c r="U2580" t="s">
        <v>2192</v>
      </c>
      <c r="V2580" t="s">
        <v>9409</v>
      </c>
      <c r="W2580" t="s">
        <v>423</v>
      </c>
    </row>
    <row r="2581" spans="1:23" hidden="1" x14ac:dyDescent="0.2">
      <c r="A2581">
        <v>2012</v>
      </c>
      <c r="B2581" t="s">
        <v>303</v>
      </c>
      <c r="C2581" s="733">
        <v>40931</v>
      </c>
      <c r="D25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81" t="s">
        <v>478</v>
      </c>
      <c r="F2581" t="s">
        <v>2136</v>
      </c>
      <c r="G2581" t="s">
        <v>5690</v>
      </c>
      <c r="H2581">
        <v>34677</v>
      </c>
      <c r="I2581" t="s">
        <v>423</v>
      </c>
      <c r="J2581" t="s">
        <v>5689</v>
      </c>
      <c r="K2581" t="s">
        <v>425</v>
      </c>
      <c r="L2581" t="s">
        <v>2145</v>
      </c>
      <c r="M2581">
        <v>764</v>
      </c>
      <c r="N2581">
        <v>51.95</v>
      </c>
      <c r="O2581">
        <v>16598.02</v>
      </c>
      <c r="P2581">
        <v>0</v>
      </c>
      <c r="Q2581">
        <v>16598.02</v>
      </c>
      <c r="R2581">
        <v>2655.68</v>
      </c>
      <c r="S2581">
        <v>663.92</v>
      </c>
      <c r="T2581">
        <v>18589.78</v>
      </c>
      <c r="U2581" t="s">
        <v>2355</v>
      </c>
      <c r="V2581" t="s">
        <v>9409</v>
      </c>
      <c r="W2581" t="s">
        <v>423</v>
      </c>
    </row>
    <row r="2582" spans="1:23" hidden="1" x14ac:dyDescent="0.2">
      <c r="A2582">
        <v>2012</v>
      </c>
      <c r="B2582" t="s">
        <v>303</v>
      </c>
      <c r="C2582" s="733">
        <v>40931</v>
      </c>
      <c r="D25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82" t="s">
        <v>478</v>
      </c>
      <c r="F2582" t="s">
        <v>2136</v>
      </c>
      <c r="G2582" t="s">
        <v>5688</v>
      </c>
      <c r="H2582">
        <v>34672</v>
      </c>
      <c r="I2582" t="s">
        <v>423</v>
      </c>
      <c r="J2582" t="s">
        <v>5689</v>
      </c>
      <c r="K2582" t="s">
        <v>425</v>
      </c>
      <c r="L2582" t="s">
        <v>2145</v>
      </c>
      <c r="M2582">
        <v>764</v>
      </c>
      <c r="N2582">
        <v>45.48</v>
      </c>
      <c r="O2582">
        <v>14530.86</v>
      </c>
      <c r="P2582">
        <v>0</v>
      </c>
      <c r="Q2582">
        <v>14530.86</v>
      </c>
      <c r="R2582">
        <v>2324.94</v>
      </c>
      <c r="S2582">
        <v>581.23</v>
      </c>
      <c r="T2582">
        <v>16274.57</v>
      </c>
      <c r="U2582" t="s">
        <v>2355</v>
      </c>
      <c r="V2582" t="s">
        <v>9409</v>
      </c>
      <c r="W2582" t="s">
        <v>423</v>
      </c>
    </row>
    <row r="2583" spans="1:23" hidden="1" x14ac:dyDescent="0.2">
      <c r="A2583">
        <v>2012</v>
      </c>
      <c r="B2583" t="s">
        <v>304</v>
      </c>
      <c r="C2583" s="733">
        <v>40966</v>
      </c>
      <c r="D25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83" t="s">
        <v>485</v>
      </c>
      <c r="F2583" t="s">
        <v>2065</v>
      </c>
      <c r="G2583" t="s">
        <v>8803</v>
      </c>
      <c r="H2583">
        <v>42689</v>
      </c>
      <c r="I2583" t="s">
        <v>423</v>
      </c>
      <c r="J2583" t="s">
        <v>3419</v>
      </c>
      <c r="K2583" t="s">
        <v>2183</v>
      </c>
      <c r="L2583" t="s">
        <v>2184</v>
      </c>
      <c r="M2583">
        <v>80</v>
      </c>
      <c r="N2583">
        <v>16.309999999999999</v>
      </c>
      <c r="O2583">
        <v>1840.91</v>
      </c>
      <c r="P2583">
        <v>0</v>
      </c>
      <c r="Q2583">
        <v>1840.91</v>
      </c>
      <c r="R2583">
        <v>294.55</v>
      </c>
      <c r="S2583">
        <v>73.64</v>
      </c>
      <c r="T2583">
        <v>2061.8200000000002</v>
      </c>
      <c r="V2583" t="s">
        <v>9408</v>
      </c>
      <c r="W2583" t="s">
        <v>423</v>
      </c>
    </row>
    <row r="2584" spans="1:23" hidden="1" x14ac:dyDescent="0.2">
      <c r="A2584">
        <v>2012</v>
      </c>
      <c r="B2584" t="s">
        <v>303</v>
      </c>
      <c r="C2584" s="733">
        <v>40939</v>
      </c>
      <c r="D25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84" t="s">
        <v>485</v>
      </c>
      <c r="F2584" t="s">
        <v>2065</v>
      </c>
      <c r="G2584" t="s">
        <v>4819</v>
      </c>
      <c r="H2584">
        <v>41066</v>
      </c>
      <c r="I2584" t="s">
        <v>423</v>
      </c>
      <c r="J2584" t="s">
        <v>3204</v>
      </c>
      <c r="K2584" t="s">
        <v>2183</v>
      </c>
      <c r="L2584" t="s">
        <v>2184</v>
      </c>
      <c r="M2584">
        <v>80</v>
      </c>
      <c r="N2584">
        <v>25.61</v>
      </c>
      <c r="O2584">
        <v>2890.6</v>
      </c>
      <c r="P2584">
        <v>0</v>
      </c>
      <c r="Q2584">
        <v>2890.6</v>
      </c>
      <c r="R2584">
        <v>462.5</v>
      </c>
      <c r="S2584">
        <v>115.62</v>
      </c>
      <c r="T2584">
        <v>3237.48</v>
      </c>
      <c r="U2584" t="s">
        <v>2192</v>
      </c>
      <c r="V2584" t="s">
        <v>9408</v>
      </c>
      <c r="W2584" t="s">
        <v>423</v>
      </c>
    </row>
    <row r="2585" spans="1:23" hidden="1" x14ac:dyDescent="0.2">
      <c r="A2585">
        <v>2012</v>
      </c>
      <c r="B2585" t="s">
        <v>304</v>
      </c>
      <c r="C2585" s="733">
        <v>40960.513553240744</v>
      </c>
      <c r="D25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85" t="s">
        <v>485</v>
      </c>
      <c r="F2585" t="s">
        <v>2065</v>
      </c>
      <c r="G2585" t="s">
        <v>8197</v>
      </c>
      <c r="H2585">
        <v>42331</v>
      </c>
      <c r="I2585" t="s">
        <v>423</v>
      </c>
      <c r="J2585" t="s">
        <v>3204</v>
      </c>
      <c r="K2585" t="s">
        <v>2183</v>
      </c>
      <c r="L2585" t="s">
        <v>2184</v>
      </c>
      <c r="M2585">
        <v>80</v>
      </c>
      <c r="N2585">
        <v>47.35</v>
      </c>
      <c r="O2585">
        <v>5344.39</v>
      </c>
      <c r="P2585">
        <v>0</v>
      </c>
      <c r="Q2585">
        <v>5344.39</v>
      </c>
      <c r="R2585">
        <v>855.1</v>
      </c>
      <c r="S2585">
        <v>213.78</v>
      </c>
      <c r="T2585">
        <v>5985.71</v>
      </c>
      <c r="U2585" t="s">
        <v>9411</v>
      </c>
      <c r="V2585" t="s">
        <v>9409</v>
      </c>
      <c r="W2585" t="s">
        <v>423</v>
      </c>
    </row>
    <row r="2586" spans="1:23" hidden="1" x14ac:dyDescent="0.2">
      <c r="A2586">
        <v>2012</v>
      </c>
      <c r="B2586" t="s">
        <v>303</v>
      </c>
      <c r="C2586" s="733">
        <v>40928</v>
      </c>
      <c r="D25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86" t="s">
        <v>485</v>
      </c>
      <c r="F2586" t="s">
        <v>2065</v>
      </c>
      <c r="G2586" t="s">
        <v>3174</v>
      </c>
      <c r="H2586">
        <v>39886</v>
      </c>
      <c r="I2586" t="s">
        <v>423</v>
      </c>
      <c r="J2586" t="s">
        <v>2182</v>
      </c>
      <c r="K2586" t="s">
        <v>2183</v>
      </c>
      <c r="L2586" t="s">
        <v>2184</v>
      </c>
      <c r="M2586">
        <v>62</v>
      </c>
      <c r="N2586">
        <v>16.23</v>
      </c>
      <c r="O2586">
        <v>2404.31</v>
      </c>
      <c r="P2586">
        <v>0</v>
      </c>
      <c r="Q2586">
        <v>2404.31</v>
      </c>
      <c r="R2586">
        <v>384.69</v>
      </c>
      <c r="S2586">
        <v>96.17</v>
      </c>
      <c r="T2586">
        <v>2692.83</v>
      </c>
      <c r="U2586" t="s">
        <v>7554</v>
      </c>
      <c r="V2586" t="s">
        <v>9408</v>
      </c>
      <c r="W2586" t="s">
        <v>423</v>
      </c>
    </row>
    <row r="2587" spans="1:23" hidden="1" x14ac:dyDescent="0.2">
      <c r="A2587">
        <v>2012</v>
      </c>
      <c r="B2587" t="s">
        <v>303</v>
      </c>
      <c r="C2587" s="733">
        <v>40929.930763888886</v>
      </c>
      <c r="D25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87" t="s">
        <v>478</v>
      </c>
      <c r="F2587" t="s">
        <v>2622</v>
      </c>
      <c r="G2587" t="s">
        <v>4600</v>
      </c>
      <c r="H2587">
        <v>34829</v>
      </c>
      <c r="I2587" t="s">
        <v>423</v>
      </c>
      <c r="J2587" t="s">
        <v>2629</v>
      </c>
      <c r="K2587" t="s">
        <v>2625</v>
      </c>
      <c r="L2587" t="s">
        <v>2626</v>
      </c>
      <c r="M2587">
        <v>33</v>
      </c>
      <c r="N2587">
        <v>24.85</v>
      </c>
      <c r="O2587">
        <v>2898.5</v>
      </c>
      <c r="P2587">
        <v>0</v>
      </c>
      <c r="Q2587">
        <v>2898.5</v>
      </c>
      <c r="R2587">
        <v>463.76</v>
      </c>
      <c r="S2587">
        <v>115.94</v>
      </c>
      <c r="T2587">
        <v>3246.32</v>
      </c>
      <c r="U2587" t="s">
        <v>2633</v>
      </c>
      <c r="V2587" t="s">
        <v>9408</v>
      </c>
      <c r="W2587" t="s">
        <v>423</v>
      </c>
    </row>
    <row r="2588" spans="1:23" hidden="1" x14ac:dyDescent="0.2">
      <c r="A2588">
        <v>2012</v>
      </c>
      <c r="B2588" t="s">
        <v>303</v>
      </c>
      <c r="C2588" s="733">
        <v>40926</v>
      </c>
      <c r="D25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88" t="s">
        <v>478</v>
      </c>
      <c r="F2588" t="s">
        <v>2622</v>
      </c>
      <c r="G2588" t="s">
        <v>4810</v>
      </c>
      <c r="H2588">
        <v>34610</v>
      </c>
      <c r="I2588" t="s">
        <v>423</v>
      </c>
      <c r="J2588" t="s">
        <v>2629</v>
      </c>
      <c r="K2588" t="s">
        <v>2625</v>
      </c>
      <c r="L2588" t="s">
        <v>2626</v>
      </c>
      <c r="M2588">
        <v>33</v>
      </c>
      <c r="N2588">
        <v>27.23</v>
      </c>
      <c r="O2588">
        <v>3176.11</v>
      </c>
      <c r="P2588">
        <v>0</v>
      </c>
      <c r="Q2588">
        <v>3176.11</v>
      </c>
      <c r="R2588">
        <v>508.18</v>
      </c>
      <c r="S2588">
        <v>127.04</v>
      </c>
      <c r="T2588">
        <v>3557.25</v>
      </c>
      <c r="U2588" t="s">
        <v>2635</v>
      </c>
      <c r="V2588" t="s">
        <v>9408</v>
      </c>
      <c r="W2588" t="s">
        <v>423</v>
      </c>
    </row>
    <row r="2589" spans="1:23" hidden="1" x14ac:dyDescent="0.2">
      <c r="A2589">
        <v>2012</v>
      </c>
      <c r="B2589" t="s">
        <v>303</v>
      </c>
      <c r="C2589" s="733">
        <v>40927</v>
      </c>
      <c r="D25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89" t="s">
        <v>478</v>
      </c>
      <c r="F2589" t="s">
        <v>2622</v>
      </c>
      <c r="G2589" t="s">
        <v>4203</v>
      </c>
      <c r="H2589">
        <v>34607</v>
      </c>
      <c r="I2589" t="s">
        <v>423</v>
      </c>
      <c r="J2589" t="s">
        <v>2629</v>
      </c>
      <c r="K2589" t="s">
        <v>2625</v>
      </c>
      <c r="L2589" t="s">
        <v>2626</v>
      </c>
      <c r="M2589">
        <v>33</v>
      </c>
      <c r="N2589">
        <v>23.12</v>
      </c>
      <c r="O2589">
        <v>2696.72</v>
      </c>
      <c r="P2589">
        <v>0</v>
      </c>
      <c r="Q2589">
        <v>2696.72</v>
      </c>
      <c r="R2589">
        <v>431.47</v>
      </c>
      <c r="S2589">
        <v>107.87</v>
      </c>
      <c r="T2589">
        <v>3020.32</v>
      </c>
      <c r="U2589" t="s">
        <v>2633</v>
      </c>
      <c r="V2589" t="s">
        <v>9408</v>
      </c>
      <c r="W2589" t="s">
        <v>423</v>
      </c>
    </row>
    <row r="2590" spans="1:23" hidden="1" x14ac:dyDescent="0.2">
      <c r="A2590">
        <v>2012</v>
      </c>
      <c r="B2590" t="s">
        <v>304</v>
      </c>
      <c r="C2590" s="733">
        <v>40954</v>
      </c>
      <c r="D25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90" t="s">
        <v>478</v>
      </c>
      <c r="F2590" t="s">
        <v>2622</v>
      </c>
      <c r="G2590" t="s">
        <v>7914</v>
      </c>
      <c r="H2590">
        <v>35649</v>
      </c>
      <c r="I2590" t="s">
        <v>423</v>
      </c>
      <c r="J2590" t="s">
        <v>2629</v>
      </c>
      <c r="K2590" t="s">
        <v>2625</v>
      </c>
      <c r="L2590" t="s">
        <v>2626</v>
      </c>
      <c r="M2590">
        <v>33</v>
      </c>
      <c r="N2590">
        <v>26.82</v>
      </c>
      <c r="O2590">
        <v>3128.28</v>
      </c>
      <c r="P2590">
        <v>0</v>
      </c>
      <c r="Q2590">
        <v>3128.28</v>
      </c>
      <c r="R2590">
        <v>500.53</v>
      </c>
      <c r="S2590">
        <v>125.13</v>
      </c>
      <c r="T2590">
        <v>3503.68</v>
      </c>
      <c r="U2590" t="s">
        <v>7548</v>
      </c>
      <c r="V2590" t="s">
        <v>9408</v>
      </c>
      <c r="W2590" t="s">
        <v>423</v>
      </c>
    </row>
    <row r="2591" spans="1:23" hidden="1" x14ac:dyDescent="0.2">
      <c r="A2591">
        <v>2012</v>
      </c>
      <c r="B2591" t="s">
        <v>304</v>
      </c>
      <c r="C2591" s="733">
        <v>40942</v>
      </c>
      <c r="D25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91" t="s">
        <v>478</v>
      </c>
      <c r="F2591" t="s">
        <v>2622</v>
      </c>
      <c r="G2591" t="s">
        <v>4811</v>
      </c>
      <c r="H2591">
        <v>35250</v>
      </c>
      <c r="I2591" t="s">
        <v>423</v>
      </c>
      <c r="J2591" t="s">
        <v>2629</v>
      </c>
      <c r="K2591" t="s">
        <v>2625</v>
      </c>
      <c r="L2591" t="s">
        <v>2626</v>
      </c>
      <c r="M2591">
        <v>33</v>
      </c>
      <c r="N2591">
        <v>25.19</v>
      </c>
      <c r="O2591">
        <v>2938.16</v>
      </c>
      <c r="P2591">
        <v>0</v>
      </c>
      <c r="Q2591">
        <v>2938.16</v>
      </c>
      <c r="R2591">
        <v>470.11</v>
      </c>
      <c r="S2591">
        <v>117.53</v>
      </c>
      <c r="T2591">
        <v>3290.74</v>
      </c>
      <c r="U2591" t="s">
        <v>2630</v>
      </c>
      <c r="V2591" t="s">
        <v>9408</v>
      </c>
      <c r="W2591" t="s">
        <v>423</v>
      </c>
    </row>
    <row r="2592" spans="1:23" hidden="1" x14ac:dyDescent="0.2">
      <c r="A2592">
        <v>2012</v>
      </c>
      <c r="B2592" t="s">
        <v>303</v>
      </c>
      <c r="C2592" s="733">
        <v>40914</v>
      </c>
      <c r="D25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92" t="s">
        <v>478</v>
      </c>
      <c r="F2592" t="s">
        <v>2622</v>
      </c>
      <c r="G2592" t="s">
        <v>4202</v>
      </c>
      <c r="H2592">
        <v>34153</v>
      </c>
      <c r="I2592" t="s">
        <v>423</v>
      </c>
      <c r="J2592" t="s">
        <v>2629</v>
      </c>
      <c r="K2592" t="s">
        <v>2625</v>
      </c>
      <c r="L2592" t="s">
        <v>2626</v>
      </c>
      <c r="M2592">
        <v>33</v>
      </c>
      <c r="N2592">
        <v>25.52</v>
      </c>
      <c r="O2592">
        <v>1427.08</v>
      </c>
      <c r="P2592">
        <v>1237.2070060000001</v>
      </c>
      <c r="Q2592">
        <v>2664.287006</v>
      </c>
      <c r="R2592">
        <v>426.28592099999997</v>
      </c>
      <c r="S2592">
        <v>106.57147999999999</v>
      </c>
      <c r="T2592">
        <v>2984.0014470000001</v>
      </c>
      <c r="U2592" t="s">
        <v>2665</v>
      </c>
      <c r="V2592" t="s">
        <v>9408</v>
      </c>
      <c r="W2592" t="s">
        <v>423</v>
      </c>
    </row>
    <row r="2593" spans="1:23" hidden="1" x14ac:dyDescent="0.2">
      <c r="A2593">
        <v>2012</v>
      </c>
      <c r="B2593" t="s">
        <v>304</v>
      </c>
      <c r="C2593" s="733">
        <v>40955.7346875</v>
      </c>
      <c r="D25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93" t="s">
        <v>478</v>
      </c>
      <c r="F2593" t="s">
        <v>2136</v>
      </c>
      <c r="G2593" t="s">
        <v>7653</v>
      </c>
      <c r="H2593">
        <v>35721</v>
      </c>
      <c r="I2593" t="s">
        <v>423</v>
      </c>
      <c r="J2593" t="s">
        <v>2629</v>
      </c>
      <c r="K2593" t="s">
        <v>2625</v>
      </c>
      <c r="L2593" t="s">
        <v>2626</v>
      </c>
      <c r="M2593">
        <v>33</v>
      </c>
      <c r="N2593">
        <v>22.49</v>
      </c>
      <c r="O2593">
        <v>2623.23</v>
      </c>
      <c r="P2593">
        <v>0</v>
      </c>
      <c r="Q2593">
        <v>2623.23</v>
      </c>
      <c r="R2593">
        <v>419.72</v>
      </c>
      <c r="S2593">
        <v>104.93</v>
      </c>
      <c r="T2593">
        <v>2938.02</v>
      </c>
      <c r="U2593" t="s">
        <v>7548</v>
      </c>
      <c r="V2593" t="s">
        <v>9408</v>
      </c>
      <c r="W2593" t="s">
        <v>423</v>
      </c>
    </row>
    <row r="2594" spans="1:23" hidden="1" x14ac:dyDescent="0.2">
      <c r="A2594">
        <v>2012</v>
      </c>
      <c r="B2594" t="s">
        <v>303</v>
      </c>
      <c r="C2594" s="733">
        <v>40913.880497685182</v>
      </c>
      <c r="D25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94" t="s">
        <v>478</v>
      </c>
      <c r="F2594" t="s">
        <v>2622</v>
      </c>
      <c r="G2594" t="s">
        <v>4597</v>
      </c>
      <c r="H2594">
        <v>34270</v>
      </c>
      <c r="I2594" t="s">
        <v>423</v>
      </c>
      <c r="J2594" t="s">
        <v>2629</v>
      </c>
      <c r="K2594" t="s">
        <v>2625</v>
      </c>
      <c r="L2594" t="s">
        <v>2626</v>
      </c>
      <c r="M2594">
        <v>33</v>
      </c>
      <c r="N2594">
        <v>21.7</v>
      </c>
      <c r="O2594">
        <v>1213.46</v>
      </c>
      <c r="P2594">
        <v>1052.009147</v>
      </c>
      <c r="Q2594">
        <v>2265.4691469999998</v>
      </c>
      <c r="R2594">
        <v>362.47506399999997</v>
      </c>
      <c r="S2594">
        <v>90.618765999999994</v>
      </c>
      <c r="T2594">
        <v>2537.3254449999999</v>
      </c>
      <c r="U2594" t="s">
        <v>2627</v>
      </c>
      <c r="V2594" t="s">
        <v>9408</v>
      </c>
      <c r="W2594" t="s">
        <v>423</v>
      </c>
    </row>
    <row r="2595" spans="1:23" hidden="1" x14ac:dyDescent="0.2">
      <c r="A2595">
        <v>2012</v>
      </c>
      <c r="B2595" t="s">
        <v>303</v>
      </c>
      <c r="C2595" s="733">
        <v>40921.589687500003</v>
      </c>
      <c r="D25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95" t="s">
        <v>478</v>
      </c>
      <c r="F2595" t="s">
        <v>2622</v>
      </c>
      <c r="G2595" t="s">
        <v>4598</v>
      </c>
      <c r="H2595">
        <v>34491</v>
      </c>
      <c r="I2595" t="s">
        <v>423</v>
      </c>
      <c r="J2595" t="s">
        <v>2629</v>
      </c>
      <c r="K2595" t="s">
        <v>2625</v>
      </c>
      <c r="L2595" t="s">
        <v>2626</v>
      </c>
      <c r="M2595">
        <v>33</v>
      </c>
      <c r="N2595">
        <v>23.84</v>
      </c>
      <c r="O2595">
        <v>2780.7</v>
      </c>
      <c r="P2595">
        <v>0</v>
      </c>
      <c r="Q2595">
        <v>2780.7</v>
      </c>
      <c r="R2595">
        <v>444.91</v>
      </c>
      <c r="S2595">
        <v>111.23</v>
      </c>
      <c r="T2595">
        <v>3114.38</v>
      </c>
      <c r="U2595" t="s">
        <v>2627</v>
      </c>
      <c r="V2595" t="s">
        <v>9408</v>
      </c>
      <c r="W2595" t="s">
        <v>423</v>
      </c>
    </row>
    <row r="2596" spans="1:23" hidden="1" x14ac:dyDescent="0.2">
      <c r="A2596">
        <v>2012</v>
      </c>
      <c r="B2596" t="s">
        <v>303</v>
      </c>
      <c r="C2596" s="733">
        <v>40939</v>
      </c>
      <c r="D25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96" t="s">
        <v>478</v>
      </c>
      <c r="F2596" t="s">
        <v>2622</v>
      </c>
      <c r="G2596" t="s">
        <v>4596</v>
      </c>
      <c r="H2596">
        <v>35127</v>
      </c>
      <c r="I2596" t="s">
        <v>423</v>
      </c>
      <c r="J2596" t="s">
        <v>2629</v>
      </c>
      <c r="K2596" t="s">
        <v>2625</v>
      </c>
      <c r="L2596" t="s">
        <v>2626</v>
      </c>
      <c r="M2596">
        <v>33</v>
      </c>
      <c r="N2596">
        <v>21.55</v>
      </c>
      <c r="O2596">
        <v>2513.59</v>
      </c>
      <c r="P2596">
        <v>0</v>
      </c>
      <c r="Q2596">
        <v>2513.59</v>
      </c>
      <c r="R2596">
        <v>402.17</v>
      </c>
      <c r="S2596">
        <v>100.54</v>
      </c>
      <c r="T2596">
        <v>2815.22</v>
      </c>
      <c r="U2596" t="s">
        <v>2648</v>
      </c>
      <c r="V2596" t="s">
        <v>9408</v>
      </c>
      <c r="W2596" t="s">
        <v>423</v>
      </c>
    </row>
    <row r="2597" spans="1:23" hidden="1" x14ac:dyDescent="0.2">
      <c r="A2597">
        <v>2012</v>
      </c>
      <c r="B2597" t="s">
        <v>303</v>
      </c>
      <c r="C2597" s="733">
        <v>40929.888726851852</v>
      </c>
      <c r="D25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97" t="s">
        <v>478</v>
      </c>
      <c r="F2597" t="s">
        <v>2622</v>
      </c>
      <c r="G2597" t="s">
        <v>4599</v>
      </c>
      <c r="H2597">
        <v>34823</v>
      </c>
      <c r="I2597" t="s">
        <v>423</v>
      </c>
      <c r="J2597" t="s">
        <v>2629</v>
      </c>
      <c r="K2597" t="s">
        <v>2625</v>
      </c>
      <c r="L2597" t="s">
        <v>2626</v>
      </c>
      <c r="M2597">
        <v>33</v>
      </c>
      <c r="N2597">
        <v>23.08</v>
      </c>
      <c r="O2597">
        <v>2692.05</v>
      </c>
      <c r="P2597">
        <v>0</v>
      </c>
      <c r="Q2597">
        <v>2692.05</v>
      </c>
      <c r="R2597">
        <v>430.73</v>
      </c>
      <c r="S2597">
        <v>107.68</v>
      </c>
      <c r="T2597">
        <v>3015.1</v>
      </c>
      <c r="U2597" t="s">
        <v>2633</v>
      </c>
      <c r="V2597" t="s">
        <v>9408</v>
      </c>
      <c r="W2597" t="s">
        <v>423</v>
      </c>
    </row>
    <row r="2598" spans="1:23" hidden="1" x14ac:dyDescent="0.2">
      <c r="A2598">
        <v>2012</v>
      </c>
      <c r="B2598" t="s">
        <v>303</v>
      </c>
      <c r="C2598" s="733">
        <v>40935</v>
      </c>
      <c r="D25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598" t="s">
        <v>485</v>
      </c>
      <c r="F2598" t="s">
        <v>2099</v>
      </c>
      <c r="G2598" t="s">
        <v>2716</v>
      </c>
      <c r="H2598">
        <v>41011</v>
      </c>
      <c r="I2598" t="s">
        <v>423</v>
      </c>
      <c r="J2598" t="s">
        <v>2141</v>
      </c>
      <c r="K2598" t="s">
        <v>2102</v>
      </c>
      <c r="L2598" t="s">
        <v>2103</v>
      </c>
      <c r="M2598">
        <v>114</v>
      </c>
      <c r="N2598">
        <v>26.5</v>
      </c>
      <c r="O2598">
        <v>4258.0200000000004</v>
      </c>
      <c r="P2598">
        <v>0</v>
      </c>
      <c r="Q2598">
        <v>4258.0200000000004</v>
      </c>
      <c r="R2598">
        <v>681.28</v>
      </c>
      <c r="S2598">
        <v>170.32</v>
      </c>
      <c r="T2598">
        <v>4768.9799999999996</v>
      </c>
      <c r="U2598" t="s">
        <v>2108</v>
      </c>
      <c r="V2598" t="s">
        <v>9408</v>
      </c>
      <c r="W2598" t="s">
        <v>423</v>
      </c>
    </row>
    <row r="2599" spans="1:23" hidden="1" x14ac:dyDescent="0.2">
      <c r="A2599">
        <v>2012</v>
      </c>
      <c r="B2599" t="s">
        <v>304</v>
      </c>
      <c r="C2599" s="733">
        <v>40949</v>
      </c>
      <c r="D25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599" t="s">
        <v>485</v>
      </c>
      <c r="F2599" t="s">
        <v>2099</v>
      </c>
      <c r="G2599" t="s">
        <v>2717</v>
      </c>
      <c r="H2599">
        <v>41694</v>
      </c>
      <c r="I2599" t="s">
        <v>423</v>
      </c>
      <c r="J2599" t="s">
        <v>2141</v>
      </c>
      <c r="K2599" t="s">
        <v>2102</v>
      </c>
      <c r="L2599" t="s">
        <v>2052</v>
      </c>
      <c r="M2599">
        <v>114</v>
      </c>
      <c r="N2599">
        <v>20.57</v>
      </c>
      <c r="O2599">
        <v>3305.19</v>
      </c>
      <c r="P2599">
        <v>0</v>
      </c>
      <c r="Q2599">
        <v>3305.19</v>
      </c>
      <c r="R2599">
        <v>528.83000000000004</v>
      </c>
      <c r="S2599">
        <v>132.21</v>
      </c>
      <c r="T2599">
        <v>3701.81</v>
      </c>
      <c r="U2599" t="s">
        <v>7462</v>
      </c>
      <c r="V2599" t="s">
        <v>9408</v>
      </c>
      <c r="W2599" t="s">
        <v>423</v>
      </c>
    </row>
    <row r="2600" spans="1:23" hidden="1" x14ac:dyDescent="0.2">
      <c r="A2600">
        <v>2012</v>
      </c>
      <c r="B2600" t="s">
        <v>303</v>
      </c>
      <c r="C2600" s="733">
        <v>40938</v>
      </c>
      <c r="D26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00" t="s">
        <v>485</v>
      </c>
      <c r="F2600" t="s">
        <v>2099</v>
      </c>
      <c r="G2600" t="s">
        <v>2718</v>
      </c>
      <c r="H2600">
        <v>41131</v>
      </c>
      <c r="I2600" t="s">
        <v>423</v>
      </c>
      <c r="J2600" t="s">
        <v>2141</v>
      </c>
      <c r="K2600" t="s">
        <v>2102</v>
      </c>
      <c r="L2600" t="s">
        <v>2103</v>
      </c>
      <c r="M2600">
        <v>114</v>
      </c>
      <c r="N2600">
        <v>24.22</v>
      </c>
      <c r="O2600">
        <v>3891.67</v>
      </c>
      <c r="P2600">
        <v>0</v>
      </c>
      <c r="Q2600">
        <v>3891.67</v>
      </c>
      <c r="R2600">
        <v>622.66999999999996</v>
      </c>
      <c r="S2600">
        <v>155.66999999999999</v>
      </c>
      <c r="T2600">
        <v>4358.67</v>
      </c>
      <c r="U2600" t="s">
        <v>2110</v>
      </c>
      <c r="V2600" t="s">
        <v>9408</v>
      </c>
      <c r="W2600" t="s">
        <v>423</v>
      </c>
    </row>
    <row r="2601" spans="1:23" hidden="1" x14ac:dyDescent="0.2">
      <c r="A2601">
        <v>2012</v>
      </c>
      <c r="B2601" t="s">
        <v>304</v>
      </c>
      <c r="C2601" s="733">
        <v>40966.577002314814</v>
      </c>
      <c r="D26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01" t="s">
        <v>485</v>
      </c>
      <c r="F2601" t="s">
        <v>2099</v>
      </c>
      <c r="G2601" t="s">
        <v>9001</v>
      </c>
      <c r="H2601">
        <v>42696</v>
      </c>
      <c r="I2601" t="s">
        <v>423</v>
      </c>
      <c r="J2601" t="s">
        <v>2141</v>
      </c>
      <c r="K2601" t="s">
        <v>2102</v>
      </c>
      <c r="L2601" t="s">
        <v>2103</v>
      </c>
      <c r="M2601">
        <v>114</v>
      </c>
      <c r="N2601">
        <v>24.01</v>
      </c>
      <c r="O2601">
        <v>3857.93</v>
      </c>
      <c r="P2601">
        <v>0</v>
      </c>
      <c r="Q2601">
        <v>3857.93</v>
      </c>
      <c r="R2601">
        <v>617.27</v>
      </c>
      <c r="S2601">
        <v>154.32</v>
      </c>
      <c r="T2601">
        <v>4320.88</v>
      </c>
      <c r="U2601" t="s">
        <v>8883</v>
      </c>
      <c r="V2601" t="s">
        <v>9408</v>
      </c>
      <c r="W2601" t="s">
        <v>423</v>
      </c>
    </row>
    <row r="2602" spans="1:23" hidden="1" x14ac:dyDescent="0.2">
      <c r="A2602">
        <v>2012</v>
      </c>
      <c r="B2602" t="s">
        <v>303</v>
      </c>
      <c r="C2602" s="733">
        <v>40914.705625000002</v>
      </c>
      <c r="D26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02" t="s">
        <v>478</v>
      </c>
      <c r="F2602" t="s">
        <v>2136</v>
      </c>
      <c r="G2602" t="s">
        <v>5561</v>
      </c>
      <c r="H2602">
        <v>34275</v>
      </c>
      <c r="I2602" t="s">
        <v>423</v>
      </c>
      <c r="J2602" t="s">
        <v>4791</v>
      </c>
      <c r="K2602" t="s">
        <v>425</v>
      </c>
      <c r="L2602" t="s">
        <v>2145</v>
      </c>
      <c r="M2602">
        <v>139</v>
      </c>
      <c r="N2602">
        <v>25.74</v>
      </c>
      <c r="O2602">
        <v>4299.09</v>
      </c>
      <c r="P2602">
        <v>0</v>
      </c>
      <c r="Q2602">
        <v>4299.09</v>
      </c>
      <c r="R2602">
        <v>687.86</v>
      </c>
      <c r="S2602">
        <v>171.96</v>
      </c>
      <c r="T2602">
        <v>4814.99</v>
      </c>
      <c r="U2602" t="s">
        <v>2350</v>
      </c>
      <c r="V2602" t="s">
        <v>9409</v>
      </c>
      <c r="W2602" t="s">
        <v>423</v>
      </c>
    </row>
    <row r="2603" spans="1:23" hidden="1" x14ac:dyDescent="0.2">
      <c r="A2603">
        <v>2012</v>
      </c>
      <c r="B2603" t="s">
        <v>304</v>
      </c>
      <c r="C2603" s="733">
        <v>40959</v>
      </c>
      <c r="D26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03" t="s">
        <v>478</v>
      </c>
      <c r="F2603" t="s">
        <v>2622</v>
      </c>
      <c r="G2603" t="s">
        <v>8079</v>
      </c>
      <c r="H2603">
        <v>35713</v>
      </c>
      <c r="I2603" t="s">
        <v>423</v>
      </c>
      <c r="J2603" t="s">
        <v>2144</v>
      </c>
      <c r="K2603" t="s">
        <v>425</v>
      </c>
      <c r="L2603" t="s">
        <v>2145</v>
      </c>
      <c r="M2603">
        <v>1354</v>
      </c>
      <c r="N2603">
        <v>37.869999999999997</v>
      </c>
      <c r="O2603">
        <v>34340.14</v>
      </c>
      <c r="P2603">
        <v>0</v>
      </c>
      <c r="Q2603">
        <v>34340.14</v>
      </c>
      <c r="R2603">
        <v>5494.42</v>
      </c>
      <c r="S2603">
        <v>1373.61</v>
      </c>
      <c r="T2603">
        <v>38460.949999999997</v>
      </c>
      <c r="U2603" t="s">
        <v>8252</v>
      </c>
      <c r="V2603" t="s">
        <v>9409</v>
      </c>
      <c r="W2603" t="s">
        <v>423</v>
      </c>
    </row>
    <row r="2604" spans="1:23" hidden="1" x14ac:dyDescent="0.2">
      <c r="A2604">
        <v>2012</v>
      </c>
      <c r="B2604" t="s">
        <v>304</v>
      </c>
      <c r="C2604" s="733">
        <v>40967.424664351849</v>
      </c>
      <c r="D26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04" t="s">
        <v>478</v>
      </c>
      <c r="F2604" t="s">
        <v>2136</v>
      </c>
      <c r="G2604" t="s">
        <v>8999</v>
      </c>
      <c r="H2604">
        <v>36144</v>
      </c>
      <c r="I2604" t="s">
        <v>423</v>
      </c>
      <c r="J2604" t="s">
        <v>2629</v>
      </c>
      <c r="K2604" t="s">
        <v>2625</v>
      </c>
      <c r="L2604" t="s">
        <v>2626</v>
      </c>
      <c r="M2604">
        <v>33</v>
      </c>
      <c r="N2604">
        <v>26.39</v>
      </c>
      <c r="O2604">
        <v>3078.13</v>
      </c>
      <c r="P2604">
        <v>0</v>
      </c>
      <c r="Q2604">
        <v>3078.13</v>
      </c>
      <c r="R2604">
        <v>492.5</v>
      </c>
      <c r="S2604">
        <v>123.13</v>
      </c>
      <c r="T2604">
        <v>3447.5</v>
      </c>
      <c r="U2604" t="s">
        <v>9428</v>
      </c>
      <c r="V2604" t="s">
        <v>9408</v>
      </c>
      <c r="W2604" t="s">
        <v>423</v>
      </c>
    </row>
    <row r="2605" spans="1:23" hidden="1" x14ac:dyDescent="0.2">
      <c r="A2605">
        <v>2012</v>
      </c>
      <c r="B2605" t="s">
        <v>304</v>
      </c>
      <c r="C2605" s="733">
        <v>40967.436319444445</v>
      </c>
      <c r="D26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05" t="s">
        <v>478</v>
      </c>
      <c r="F2605" t="s">
        <v>2622</v>
      </c>
      <c r="G2605" t="s">
        <v>8998</v>
      </c>
      <c r="H2605">
        <v>36115</v>
      </c>
      <c r="I2605" t="s">
        <v>423</v>
      </c>
      <c r="J2605" t="s">
        <v>2629</v>
      </c>
      <c r="K2605" t="s">
        <v>2625</v>
      </c>
      <c r="L2605" t="s">
        <v>2626</v>
      </c>
      <c r="M2605">
        <v>33</v>
      </c>
      <c r="N2605">
        <v>23.43</v>
      </c>
      <c r="O2605">
        <v>2732.88</v>
      </c>
      <c r="P2605">
        <v>0</v>
      </c>
      <c r="Q2605">
        <v>2732.88</v>
      </c>
      <c r="R2605">
        <v>437.26</v>
      </c>
      <c r="S2605">
        <v>109.32</v>
      </c>
      <c r="T2605">
        <v>3060.82</v>
      </c>
      <c r="U2605" t="s">
        <v>9428</v>
      </c>
      <c r="V2605" t="s">
        <v>9408</v>
      </c>
      <c r="W2605" t="s">
        <v>423</v>
      </c>
    </row>
    <row r="2606" spans="1:23" hidden="1" x14ac:dyDescent="0.2">
      <c r="A2606">
        <v>2012</v>
      </c>
      <c r="B2606" t="s">
        <v>303</v>
      </c>
      <c r="C2606" s="733">
        <v>40911</v>
      </c>
      <c r="D26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06" t="s">
        <v>485</v>
      </c>
      <c r="F2606" t="s">
        <v>2065</v>
      </c>
      <c r="G2606" t="s">
        <v>6233</v>
      </c>
      <c r="H2606">
        <v>39672</v>
      </c>
      <c r="I2606" t="s">
        <v>2821</v>
      </c>
      <c r="J2606" t="s">
        <v>3544</v>
      </c>
      <c r="K2606" t="s">
        <v>4524</v>
      </c>
      <c r="L2606" t="s">
        <v>2184</v>
      </c>
      <c r="M2606">
        <v>430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V2606" t="s">
        <v>9408</v>
      </c>
      <c r="W2606" t="s">
        <v>2821</v>
      </c>
    </row>
    <row r="2607" spans="1:23" hidden="1" x14ac:dyDescent="0.2">
      <c r="A2607">
        <v>2012</v>
      </c>
      <c r="B2607" t="s">
        <v>304</v>
      </c>
      <c r="C2607" s="733">
        <v>40941</v>
      </c>
      <c r="D26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07" t="s">
        <v>485</v>
      </c>
      <c r="F2607" t="s">
        <v>2099</v>
      </c>
      <c r="G2607" t="s">
        <v>4123</v>
      </c>
      <c r="H2607">
        <v>39982</v>
      </c>
      <c r="I2607" t="s">
        <v>423</v>
      </c>
      <c r="J2607" t="s">
        <v>2101</v>
      </c>
      <c r="K2607" t="s">
        <v>2102</v>
      </c>
      <c r="L2607" t="s">
        <v>2103</v>
      </c>
      <c r="M2607">
        <v>119</v>
      </c>
      <c r="N2607">
        <v>26.12</v>
      </c>
      <c r="O2607">
        <v>4381.1099999999997</v>
      </c>
      <c r="P2607">
        <v>0</v>
      </c>
      <c r="Q2607">
        <v>4381.1099999999997</v>
      </c>
      <c r="R2607">
        <v>700.98</v>
      </c>
      <c r="S2607">
        <v>175.24</v>
      </c>
      <c r="T2607">
        <v>4906.8500000000004</v>
      </c>
      <c r="U2607" t="s">
        <v>2110</v>
      </c>
      <c r="V2607" t="s">
        <v>9408</v>
      </c>
      <c r="W2607" t="s">
        <v>423</v>
      </c>
    </row>
    <row r="2608" spans="1:23" hidden="1" x14ac:dyDescent="0.2">
      <c r="A2608">
        <v>2012</v>
      </c>
      <c r="B2608" t="s">
        <v>304</v>
      </c>
      <c r="C2608" s="733">
        <v>40941</v>
      </c>
      <c r="D26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08" t="s">
        <v>485</v>
      </c>
      <c r="F2608" t="s">
        <v>2099</v>
      </c>
      <c r="G2608" t="s">
        <v>4124</v>
      </c>
      <c r="H2608">
        <v>39988</v>
      </c>
      <c r="I2608" t="s">
        <v>423</v>
      </c>
      <c r="J2608" t="s">
        <v>2101</v>
      </c>
      <c r="K2608" t="s">
        <v>2102</v>
      </c>
      <c r="L2608" t="s">
        <v>2103</v>
      </c>
      <c r="M2608">
        <v>119</v>
      </c>
      <c r="N2608">
        <v>24.89</v>
      </c>
      <c r="O2608">
        <v>4174.8</v>
      </c>
      <c r="P2608">
        <v>0</v>
      </c>
      <c r="Q2608">
        <v>4174.8</v>
      </c>
      <c r="R2608">
        <v>667.97</v>
      </c>
      <c r="S2608">
        <v>166.99</v>
      </c>
      <c r="T2608">
        <v>4675.78</v>
      </c>
      <c r="U2608" t="s">
        <v>2110</v>
      </c>
      <c r="V2608" t="s">
        <v>9408</v>
      </c>
      <c r="W2608" t="s">
        <v>423</v>
      </c>
    </row>
    <row r="2609" spans="1:23" hidden="1" x14ac:dyDescent="0.2">
      <c r="A2609">
        <v>2012</v>
      </c>
      <c r="B2609" t="s">
        <v>304</v>
      </c>
      <c r="C2609" s="733">
        <v>40942</v>
      </c>
      <c r="D26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09" t="s">
        <v>485</v>
      </c>
      <c r="F2609" t="s">
        <v>2099</v>
      </c>
      <c r="G2609" t="s">
        <v>6980</v>
      </c>
      <c r="H2609">
        <v>41390</v>
      </c>
      <c r="I2609" t="s">
        <v>423</v>
      </c>
      <c r="J2609" t="s">
        <v>2101</v>
      </c>
      <c r="K2609" t="s">
        <v>2102</v>
      </c>
      <c r="L2609" t="s">
        <v>2103</v>
      </c>
      <c r="M2609">
        <v>119</v>
      </c>
      <c r="N2609">
        <v>23.66</v>
      </c>
      <c r="O2609">
        <v>3968.49</v>
      </c>
      <c r="P2609">
        <v>0</v>
      </c>
      <c r="Q2609">
        <v>3968.49</v>
      </c>
      <c r="R2609">
        <v>634.96</v>
      </c>
      <c r="S2609">
        <v>158.74</v>
      </c>
      <c r="T2609">
        <v>4444.71</v>
      </c>
      <c r="U2609" t="s">
        <v>2110</v>
      </c>
      <c r="V2609" t="s">
        <v>9408</v>
      </c>
      <c r="W2609" t="s">
        <v>423</v>
      </c>
    </row>
    <row r="2610" spans="1:23" hidden="1" x14ac:dyDescent="0.2">
      <c r="A2610">
        <v>2012</v>
      </c>
      <c r="B2610" t="s">
        <v>303</v>
      </c>
      <c r="C2610" s="733">
        <v>40920.508993055555</v>
      </c>
      <c r="D26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10" t="s">
        <v>485</v>
      </c>
      <c r="F2610" t="s">
        <v>2099</v>
      </c>
      <c r="G2610" t="s">
        <v>4125</v>
      </c>
      <c r="H2610">
        <v>40223</v>
      </c>
      <c r="I2610" t="s">
        <v>423</v>
      </c>
      <c r="J2610" t="s">
        <v>2101</v>
      </c>
      <c r="K2610" t="s">
        <v>2102</v>
      </c>
      <c r="L2610" t="s">
        <v>2103</v>
      </c>
      <c r="M2610">
        <v>119</v>
      </c>
      <c r="N2610">
        <v>24.88</v>
      </c>
      <c r="O2610">
        <v>4173.12</v>
      </c>
      <c r="P2610">
        <v>0</v>
      </c>
      <c r="Q2610">
        <v>4173.12</v>
      </c>
      <c r="R2610">
        <v>667.7</v>
      </c>
      <c r="S2610">
        <v>166.92</v>
      </c>
      <c r="T2610">
        <v>4673.8999999999996</v>
      </c>
      <c r="U2610" t="s">
        <v>2106</v>
      </c>
      <c r="V2610" t="s">
        <v>9409</v>
      </c>
      <c r="W2610" t="s">
        <v>423</v>
      </c>
    </row>
    <row r="2611" spans="1:23" hidden="1" x14ac:dyDescent="0.2">
      <c r="A2611">
        <v>2012</v>
      </c>
      <c r="B2611" t="s">
        <v>304</v>
      </c>
      <c r="C2611" s="733">
        <v>40947.433842592596</v>
      </c>
      <c r="D26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11" t="s">
        <v>485</v>
      </c>
      <c r="F2611" t="s">
        <v>2054</v>
      </c>
      <c r="G2611" t="s">
        <v>2178</v>
      </c>
      <c r="H2611">
        <v>10344</v>
      </c>
      <c r="I2611" t="s">
        <v>423</v>
      </c>
      <c r="J2611" t="s">
        <v>2098</v>
      </c>
      <c r="K2611" t="s">
        <v>2057</v>
      </c>
      <c r="L2611" t="s">
        <v>2058</v>
      </c>
      <c r="M2611">
        <v>565</v>
      </c>
      <c r="N2611">
        <v>30.14</v>
      </c>
      <c r="O2611">
        <v>10187.92</v>
      </c>
      <c r="P2611">
        <v>0</v>
      </c>
      <c r="Q2611">
        <v>10187.92</v>
      </c>
      <c r="R2611">
        <v>1120.67</v>
      </c>
      <c r="S2611">
        <v>407.52</v>
      </c>
      <c r="T2611">
        <v>10901.07</v>
      </c>
      <c r="U2611" t="s">
        <v>2082</v>
      </c>
      <c r="V2611" t="s">
        <v>9408</v>
      </c>
      <c r="W2611" t="s">
        <v>423</v>
      </c>
    </row>
    <row r="2612" spans="1:23" hidden="1" x14ac:dyDescent="0.2">
      <c r="A2612">
        <v>2012</v>
      </c>
      <c r="B2612" t="s">
        <v>304</v>
      </c>
      <c r="C2612" s="733">
        <v>40941</v>
      </c>
      <c r="D26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12" t="s">
        <v>485</v>
      </c>
      <c r="F2612" t="s">
        <v>2054</v>
      </c>
      <c r="G2612" t="s">
        <v>2176</v>
      </c>
      <c r="H2612">
        <v>10286</v>
      </c>
      <c r="I2612" t="s">
        <v>423</v>
      </c>
      <c r="J2612" t="s">
        <v>2098</v>
      </c>
      <c r="K2612" t="s">
        <v>2057</v>
      </c>
      <c r="L2612" t="s">
        <v>2058</v>
      </c>
      <c r="M2612">
        <v>565</v>
      </c>
      <c r="N2612">
        <v>29.78</v>
      </c>
      <c r="O2612">
        <v>10066.24</v>
      </c>
      <c r="P2612">
        <v>0</v>
      </c>
      <c r="Q2612">
        <v>10066.24</v>
      </c>
      <c r="R2612">
        <v>1610.6</v>
      </c>
      <c r="S2612">
        <v>402.65</v>
      </c>
      <c r="T2612">
        <v>11274.19</v>
      </c>
      <c r="U2612" t="s">
        <v>2075</v>
      </c>
      <c r="V2612" t="s">
        <v>9408</v>
      </c>
      <c r="W2612" t="s">
        <v>423</v>
      </c>
    </row>
    <row r="2613" spans="1:23" hidden="1" x14ac:dyDescent="0.2">
      <c r="A2613">
        <v>2012</v>
      </c>
      <c r="B2613" t="s">
        <v>304</v>
      </c>
      <c r="C2613" s="733">
        <v>40954</v>
      </c>
      <c r="D26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13" t="s">
        <v>485</v>
      </c>
      <c r="F2613" t="s">
        <v>2065</v>
      </c>
      <c r="G2613" t="s">
        <v>4126</v>
      </c>
      <c r="H2613">
        <v>41776</v>
      </c>
      <c r="I2613" t="s">
        <v>423</v>
      </c>
      <c r="J2613" t="s">
        <v>3026</v>
      </c>
      <c r="K2613" t="s">
        <v>2102</v>
      </c>
      <c r="L2613" t="s">
        <v>2115</v>
      </c>
      <c r="M2613">
        <v>130</v>
      </c>
      <c r="N2613">
        <v>25.35</v>
      </c>
      <c r="O2613">
        <v>4251.96</v>
      </c>
      <c r="P2613">
        <v>0</v>
      </c>
      <c r="Q2613">
        <v>4251.96</v>
      </c>
      <c r="R2613">
        <v>680.31</v>
      </c>
      <c r="S2613">
        <v>170.08</v>
      </c>
      <c r="T2613">
        <v>4762.1899999999996</v>
      </c>
      <c r="U2613" t="s">
        <v>8051</v>
      </c>
      <c r="V2613" t="s">
        <v>9408</v>
      </c>
      <c r="W2613" t="s">
        <v>423</v>
      </c>
    </row>
    <row r="2614" spans="1:23" hidden="1" x14ac:dyDescent="0.2">
      <c r="A2614">
        <v>2012</v>
      </c>
      <c r="B2614" t="s">
        <v>304</v>
      </c>
      <c r="C2614" s="733">
        <v>40960</v>
      </c>
      <c r="D26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14" t="s">
        <v>485</v>
      </c>
      <c r="F2614" t="s">
        <v>2084</v>
      </c>
      <c r="G2614" t="s">
        <v>8200</v>
      </c>
      <c r="H2614">
        <v>41912</v>
      </c>
      <c r="I2614" t="s">
        <v>423</v>
      </c>
      <c r="J2614" t="s">
        <v>2836</v>
      </c>
      <c r="K2614" t="s">
        <v>2814</v>
      </c>
      <c r="L2614" t="s">
        <v>2815</v>
      </c>
      <c r="M2614">
        <v>70</v>
      </c>
      <c r="N2614">
        <v>24.596</v>
      </c>
      <c r="O2614">
        <v>2776.15</v>
      </c>
      <c r="P2614">
        <v>0</v>
      </c>
      <c r="Q2614">
        <v>2776.15</v>
      </c>
      <c r="R2614">
        <v>305.38</v>
      </c>
      <c r="S2614">
        <v>111.05</v>
      </c>
      <c r="T2614">
        <v>2970.48</v>
      </c>
      <c r="U2614" t="s">
        <v>8877</v>
      </c>
      <c r="V2614" t="s">
        <v>9408</v>
      </c>
      <c r="W2614" t="s">
        <v>423</v>
      </c>
    </row>
    <row r="2615" spans="1:23" hidden="1" x14ac:dyDescent="0.2">
      <c r="A2615">
        <v>2012</v>
      </c>
      <c r="B2615" t="s">
        <v>303</v>
      </c>
      <c r="C2615" s="733">
        <v>40935.424675925926</v>
      </c>
      <c r="D26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15" t="s">
        <v>485</v>
      </c>
      <c r="F2615" t="s">
        <v>2054</v>
      </c>
      <c r="G2615" t="s">
        <v>2179</v>
      </c>
      <c r="H2615">
        <v>10221</v>
      </c>
      <c r="I2615" t="s">
        <v>423</v>
      </c>
      <c r="J2615" t="s">
        <v>2098</v>
      </c>
      <c r="K2615" t="s">
        <v>2057</v>
      </c>
      <c r="L2615" t="s">
        <v>2058</v>
      </c>
      <c r="M2615">
        <v>565</v>
      </c>
      <c r="N2615">
        <v>30.02</v>
      </c>
      <c r="O2615">
        <v>10147.36</v>
      </c>
      <c r="P2615">
        <v>0</v>
      </c>
      <c r="Q2615">
        <v>10147.36</v>
      </c>
      <c r="R2615">
        <v>1623.58</v>
      </c>
      <c r="S2615">
        <v>405.89</v>
      </c>
      <c r="T2615">
        <v>11365.05</v>
      </c>
      <c r="U2615" t="s">
        <v>2073</v>
      </c>
      <c r="V2615" t="s">
        <v>9408</v>
      </c>
      <c r="W2615" t="s">
        <v>423</v>
      </c>
    </row>
    <row r="2616" spans="1:23" hidden="1" x14ac:dyDescent="0.2">
      <c r="A2616">
        <v>2012</v>
      </c>
      <c r="B2616" t="s">
        <v>303</v>
      </c>
      <c r="C2616" s="733">
        <v>40939</v>
      </c>
      <c r="D26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16" t="s">
        <v>485</v>
      </c>
      <c r="F2616" t="s">
        <v>2054</v>
      </c>
      <c r="G2616" t="s">
        <v>2177</v>
      </c>
      <c r="H2616">
        <v>9970</v>
      </c>
      <c r="I2616" t="s">
        <v>423</v>
      </c>
      <c r="J2616" t="s">
        <v>2098</v>
      </c>
      <c r="K2616" t="s">
        <v>2057</v>
      </c>
      <c r="L2616" t="s">
        <v>2058</v>
      </c>
      <c r="M2616">
        <v>565</v>
      </c>
      <c r="N2616">
        <v>22.96</v>
      </c>
      <c r="O2616">
        <v>7760.94</v>
      </c>
      <c r="P2616">
        <v>0</v>
      </c>
      <c r="Q2616">
        <v>7760.94</v>
      </c>
      <c r="R2616">
        <v>1241.75</v>
      </c>
      <c r="S2616">
        <v>310.44</v>
      </c>
      <c r="T2616">
        <v>8692.25</v>
      </c>
      <c r="U2616" t="s">
        <v>2073</v>
      </c>
      <c r="V2616" t="s">
        <v>9409</v>
      </c>
      <c r="W2616" t="s">
        <v>423</v>
      </c>
    </row>
    <row r="2617" spans="1:23" hidden="1" x14ac:dyDescent="0.2">
      <c r="A2617">
        <v>2012</v>
      </c>
      <c r="B2617" t="s">
        <v>304</v>
      </c>
      <c r="C2617" s="733">
        <v>40962</v>
      </c>
      <c r="D26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17" t="s">
        <v>485</v>
      </c>
      <c r="F2617" t="s">
        <v>2054</v>
      </c>
      <c r="G2617" t="s">
        <v>8574</v>
      </c>
      <c r="H2617">
        <v>10530</v>
      </c>
      <c r="I2617" t="s">
        <v>423</v>
      </c>
      <c r="J2617" t="s">
        <v>2098</v>
      </c>
      <c r="K2617" t="s">
        <v>2057</v>
      </c>
      <c r="L2617" t="s">
        <v>2058</v>
      </c>
      <c r="M2617">
        <v>565</v>
      </c>
      <c r="N2617">
        <v>24.94</v>
      </c>
      <c r="O2617">
        <v>8430.2199999999993</v>
      </c>
      <c r="P2617">
        <v>0</v>
      </c>
      <c r="Q2617">
        <v>8430.2199999999993</v>
      </c>
      <c r="R2617">
        <v>927.32</v>
      </c>
      <c r="S2617">
        <v>337.21</v>
      </c>
      <c r="T2617">
        <v>9020.33</v>
      </c>
      <c r="U2617" t="s">
        <v>8864</v>
      </c>
      <c r="V2617" t="s">
        <v>9408</v>
      </c>
      <c r="W2617" t="s">
        <v>423</v>
      </c>
    </row>
    <row r="2618" spans="1:23" hidden="1" x14ac:dyDescent="0.2">
      <c r="A2618">
        <v>2012</v>
      </c>
      <c r="B2618" t="s">
        <v>303</v>
      </c>
      <c r="C2618" s="733">
        <v>40925.567326388889</v>
      </c>
      <c r="D26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18" t="s">
        <v>485</v>
      </c>
      <c r="F2618" t="s">
        <v>2054</v>
      </c>
      <c r="G2618" t="s">
        <v>6249</v>
      </c>
      <c r="H2618">
        <v>10105</v>
      </c>
      <c r="I2618" t="s">
        <v>423</v>
      </c>
      <c r="J2618" t="s">
        <v>2098</v>
      </c>
      <c r="K2618" t="s">
        <v>2057</v>
      </c>
      <c r="L2618" t="s">
        <v>2058</v>
      </c>
      <c r="M2618">
        <v>565</v>
      </c>
      <c r="N2618">
        <v>25.15</v>
      </c>
      <c r="O2618">
        <v>8501.2000000000007</v>
      </c>
      <c r="P2618">
        <v>0</v>
      </c>
      <c r="Q2618">
        <v>8501.2000000000007</v>
      </c>
      <c r="R2618">
        <v>1360.19</v>
      </c>
      <c r="S2618">
        <v>340.05</v>
      </c>
      <c r="T2618">
        <v>9521.34</v>
      </c>
      <c r="U2618" t="s">
        <v>2077</v>
      </c>
      <c r="V2618" t="s">
        <v>9408</v>
      </c>
      <c r="W2618" t="s">
        <v>423</v>
      </c>
    </row>
    <row r="2619" spans="1:23" hidden="1" x14ac:dyDescent="0.2">
      <c r="A2619">
        <v>2012</v>
      </c>
      <c r="B2619" t="s">
        <v>304</v>
      </c>
      <c r="C2619" s="733">
        <v>40962</v>
      </c>
      <c r="D26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19" t="s">
        <v>485</v>
      </c>
      <c r="F2619" t="s">
        <v>2054</v>
      </c>
      <c r="G2619" t="s">
        <v>8575</v>
      </c>
      <c r="H2619">
        <v>10523</v>
      </c>
      <c r="I2619" t="s">
        <v>423</v>
      </c>
      <c r="J2619" t="s">
        <v>2098</v>
      </c>
      <c r="K2619" t="s">
        <v>2057</v>
      </c>
      <c r="L2619" t="s">
        <v>2058</v>
      </c>
      <c r="M2619">
        <v>565</v>
      </c>
      <c r="N2619">
        <v>41.48</v>
      </c>
      <c r="O2619">
        <v>14021.07</v>
      </c>
      <c r="P2619">
        <v>0</v>
      </c>
      <c r="Q2619">
        <v>14021.07</v>
      </c>
      <c r="R2619">
        <v>1542.32</v>
      </c>
      <c r="S2619">
        <v>560.84</v>
      </c>
      <c r="T2619">
        <v>15002.55</v>
      </c>
      <c r="U2619" t="s">
        <v>8864</v>
      </c>
      <c r="V2619" t="s">
        <v>9409</v>
      </c>
      <c r="W2619" t="s">
        <v>423</v>
      </c>
    </row>
    <row r="2620" spans="1:23" hidden="1" x14ac:dyDescent="0.2">
      <c r="A2620">
        <v>2012</v>
      </c>
      <c r="B2620" t="s">
        <v>305</v>
      </c>
      <c r="C2620" s="733">
        <v>40971.629537037035</v>
      </c>
      <c r="D2620" s="733" t="str">
        <f>CHOOSE(MONTH(Tabla_sqldatos_bonampakdb_Bon_v_ingresos2012[[#This Row],[fecha_guia]]),"Enero","Febrero","Marzo","Abril","Mayo","Junio","Julio","Agosto","Septiembre","Octubre","Noviembre","Diciembre")</f>
        <v>Marzo</v>
      </c>
      <c r="E2620" t="s">
        <v>485</v>
      </c>
      <c r="F2620" t="s">
        <v>2054</v>
      </c>
      <c r="G2620" t="s">
        <v>9712</v>
      </c>
      <c r="H2620">
        <v>10640</v>
      </c>
      <c r="I2620" t="s">
        <v>423</v>
      </c>
      <c r="J2620" t="s">
        <v>2098</v>
      </c>
      <c r="K2620" t="s">
        <v>2057</v>
      </c>
      <c r="L2620" t="s">
        <v>2058</v>
      </c>
      <c r="M2620">
        <v>565</v>
      </c>
      <c r="N2620">
        <v>25</v>
      </c>
      <c r="O2620">
        <v>8450.5</v>
      </c>
      <c r="P2620">
        <v>0</v>
      </c>
      <c r="Q2620">
        <v>8450.5</v>
      </c>
      <c r="R2620">
        <v>929.56</v>
      </c>
      <c r="S2620">
        <v>338.02</v>
      </c>
      <c r="T2620">
        <v>9042.0400000000009</v>
      </c>
      <c r="V2620" t="s">
        <v>9408</v>
      </c>
      <c r="W2620" t="s">
        <v>423</v>
      </c>
    </row>
    <row r="2621" spans="1:23" hidden="1" x14ac:dyDescent="0.2">
      <c r="A2621">
        <v>2012</v>
      </c>
      <c r="B2621" t="s">
        <v>303</v>
      </c>
      <c r="C2621" s="733">
        <v>40935</v>
      </c>
      <c r="D26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21" t="s">
        <v>485</v>
      </c>
      <c r="F2621" t="s">
        <v>2054</v>
      </c>
      <c r="G2621" t="s">
        <v>6240</v>
      </c>
      <c r="H2621">
        <v>10229</v>
      </c>
      <c r="I2621" t="s">
        <v>423</v>
      </c>
      <c r="J2621" t="s">
        <v>2098</v>
      </c>
      <c r="K2621" t="s">
        <v>2057</v>
      </c>
      <c r="L2621" t="s">
        <v>2058</v>
      </c>
      <c r="M2621">
        <v>565</v>
      </c>
      <c r="N2621">
        <v>45.99</v>
      </c>
      <c r="O2621">
        <v>15545.54</v>
      </c>
      <c r="P2621">
        <v>0</v>
      </c>
      <c r="Q2621">
        <v>15545.54</v>
      </c>
      <c r="R2621">
        <v>2487.29</v>
      </c>
      <c r="S2621">
        <v>621.82000000000005</v>
      </c>
      <c r="T2621">
        <v>17411.009999999998</v>
      </c>
      <c r="U2621" t="s">
        <v>2073</v>
      </c>
      <c r="V2621" t="s">
        <v>9409</v>
      </c>
      <c r="W2621" t="s">
        <v>423</v>
      </c>
    </row>
    <row r="2622" spans="1:23" hidden="1" x14ac:dyDescent="0.2">
      <c r="A2622">
        <v>2012</v>
      </c>
      <c r="B2622" t="s">
        <v>304</v>
      </c>
      <c r="C2622" s="733">
        <v>40962</v>
      </c>
      <c r="D26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22" t="s">
        <v>485</v>
      </c>
      <c r="F2622" t="s">
        <v>2054</v>
      </c>
      <c r="G2622" t="s">
        <v>8573</v>
      </c>
      <c r="H2622">
        <v>10528</v>
      </c>
      <c r="I2622" t="s">
        <v>423</v>
      </c>
      <c r="J2622" t="s">
        <v>4733</v>
      </c>
      <c r="K2622" t="s">
        <v>2057</v>
      </c>
      <c r="L2622" t="s">
        <v>2058</v>
      </c>
      <c r="M2622">
        <v>184</v>
      </c>
      <c r="N2622">
        <v>23.88</v>
      </c>
      <c r="O2622">
        <v>8071.92</v>
      </c>
      <c r="P2622">
        <v>0</v>
      </c>
      <c r="Q2622">
        <v>8071.92</v>
      </c>
      <c r="R2622">
        <v>887.91</v>
      </c>
      <c r="S2622">
        <v>322.88</v>
      </c>
      <c r="T2622">
        <v>8636.9500000000007</v>
      </c>
      <c r="U2622" t="s">
        <v>8864</v>
      </c>
      <c r="V2622" t="s">
        <v>9408</v>
      </c>
      <c r="W2622" t="s">
        <v>423</v>
      </c>
    </row>
    <row r="2623" spans="1:23" hidden="1" x14ac:dyDescent="0.2">
      <c r="A2623">
        <v>2012</v>
      </c>
      <c r="B2623" t="s">
        <v>304</v>
      </c>
      <c r="C2623" s="733">
        <v>40947</v>
      </c>
      <c r="D26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23" t="s">
        <v>485</v>
      </c>
      <c r="F2623" t="s">
        <v>2054</v>
      </c>
      <c r="G2623" t="s">
        <v>6241</v>
      </c>
      <c r="H2623">
        <v>10336</v>
      </c>
      <c r="I2623" t="s">
        <v>423</v>
      </c>
      <c r="J2623" t="s">
        <v>2098</v>
      </c>
      <c r="K2623" t="s">
        <v>2057</v>
      </c>
      <c r="L2623" t="s">
        <v>2058</v>
      </c>
      <c r="M2623">
        <v>565</v>
      </c>
      <c r="N2623">
        <v>47.44</v>
      </c>
      <c r="O2623">
        <v>16035.67</v>
      </c>
      <c r="P2623">
        <v>0</v>
      </c>
      <c r="Q2623">
        <v>16035.67</v>
      </c>
      <c r="R2623">
        <v>1763.92</v>
      </c>
      <c r="S2623">
        <v>641.42999999999995</v>
      </c>
      <c r="T2623">
        <v>17158.16</v>
      </c>
      <c r="U2623" t="s">
        <v>2082</v>
      </c>
      <c r="V2623" t="s">
        <v>9409</v>
      </c>
      <c r="W2623" t="s">
        <v>423</v>
      </c>
    </row>
    <row r="2624" spans="1:23" hidden="1" x14ac:dyDescent="0.2">
      <c r="A2624">
        <v>2012</v>
      </c>
      <c r="B2624" t="s">
        <v>304</v>
      </c>
      <c r="C2624" s="733">
        <v>40956</v>
      </c>
      <c r="D26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24" t="s">
        <v>478</v>
      </c>
      <c r="F2624" t="s">
        <v>2136</v>
      </c>
      <c r="G2624" t="s">
        <v>7663</v>
      </c>
      <c r="H2624">
        <v>35733</v>
      </c>
      <c r="I2624" t="s">
        <v>423</v>
      </c>
      <c r="J2624" t="s">
        <v>5384</v>
      </c>
      <c r="K2624" t="s">
        <v>425</v>
      </c>
      <c r="L2624" t="s">
        <v>2145</v>
      </c>
      <c r="M2624">
        <v>1472</v>
      </c>
      <c r="N2624">
        <v>22.95</v>
      </c>
      <c r="O2624">
        <v>16392.96</v>
      </c>
      <c r="P2624">
        <v>0</v>
      </c>
      <c r="Q2624">
        <v>16392.96</v>
      </c>
      <c r="R2624">
        <v>2622.87</v>
      </c>
      <c r="S2624">
        <v>655.72</v>
      </c>
      <c r="T2624">
        <v>18360.11</v>
      </c>
      <c r="U2624" t="s">
        <v>9430</v>
      </c>
      <c r="V2624" t="s">
        <v>9408</v>
      </c>
      <c r="W2624" t="s">
        <v>423</v>
      </c>
    </row>
    <row r="2625" spans="1:23" hidden="1" x14ac:dyDescent="0.2">
      <c r="A2625">
        <v>2012</v>
      </c>
      <c r="B2625" t="s">
        <v>304</v>
      </c>
      <c r="C2625" s="733">
        <v>40949</v>
      </c>
      <c r="D26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25" t="s">
        <v>478</v>
      </c>
      <c r="F2625" t="s">
        <v>2136</v>
      </c>
      <c r="G2625" t="s">
        <v>6978</v>
      </c>
      <c r="H2625">
        <v>35420</v>
      </c>
      <c r="I2625" t="s">
        <v>423</v>
      </c>
      <c r="J2625" t="s">
        <v>5384</v>
      </c>
      <c r="K2625" t="s">
        <v>425</v>
      </c>
      <c r="L2625" t="s">
        <v>2145</v>
      </c>
      <c r="M2625">
        <v>1472</v>
      </c>
      <c r="N2625">
        <v>35.5</v>
      </c>
      <c r="O2625">
        <v>25357.3</v>
      </c>
      <c r="P2625">
        <v>0</v>
      </c>
      <c r="Q2625">
        <v>25357.3</v>
      </c>
      <c r="R2625">
        <v>4057.17</v>
      </c>
      <c r="S2625">
        <v>1014.29</v>
      </c>
      <c r="T2625">
        <v>28400.18</v>
      </c>
      <c r="U2625" t="s">
        <v>9455</v>
      </c>
      <c r="V2625" t="s">
        <v>9408</v>
      </c>
      <c r="W2625" t="s">
        <v>423</v>
      </c>
    </row>
    <row r="2626" spans="1:23" hidden="1" x14ac:dyDescent="0.2">
      <c r="A2626">
        <v>2012</v>
      </c>
      <c r="B2626" t="s">
        <v>304</v>
      </c>
      <c r="C2626" s="733">
        <v>40941.484560185185</v>
      </c>
      <c r="D26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26" t="s">
        <v>485</v>
      </c>
      <c r="F2626" t="s">
        <v>2054</v>
      </c>
      <c r="G2626" t="s">
        <v>2180</v>
      </c>
      <c r="H2626">
        <v>10282</v>
      </c>
      <c r="I2626" t="s">
        <v>423</v>
      </c>
      <c r="J2626" t="s">
        <v>2098</v>
      </c>
      <c r="K2626" t="s">
        <v>2057</v>
      </c>
      <c r="L2626" t="s">
        <v>2058</v>
      </c>
      <c r="M2626">
        <v>565</v>
      </c>
      <c r="N2626">
        <v>47.72</v>
      </c>
      <c r="O2626">
        <v>16130.31</v>
      </c>
      <c r="P2626">
        <v>0</v>
      </c>
      <c r="Q2626">
        <v>16130.31</v>
      </c>
      <c r="R2626">
        <v>2580.85</v>
      </c>
      <c r="S2626">
        <v>645.21</v>
      </c>
      <c r="T2626">
        <v>18065.95</v>
      </c>
      <c r="U2626" t="s">
        <v>2075</v>
      </c>
      <c r="V2626" t="s">
        <v>9409</v>
      </c>
      <c r="W2626" t="s">
        <v>423</v>
      </c>
    </row>
    <row r="2627" spans="1:23" hidden="1" x14ac:dyDescent="0.2">
      <c r="A2627">
        <v>2012</v>
      </c>
      <c r="B2627" t="s">
        <v>304</v>
      </c>
      <c r="C2627" s="733">
        <v>40946</v>
      </c>
      <c r="D26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27" t="s">
        <v>485</v>
      </c>
      <c r="F2627" t="s">
        <v>2054</v>
      </c>
      <c r="G2627" t="s">
        <v>6254</v>
      </c>
      <c r="H2627">
        <v>10040</v>
      </c>
      <c r="I2627" t="s">
        <v>423</v>
      </c>
      <c r="J2627" t="s">
        <v>4045</v>
      </c>
      <c r="K2627" t="s">
        <v>2057</v>
      </c>
      <c r="L2627" t="s">
        <v>2058</v>
      </c>
      <c r="M2627">
        <v>0</v>
      </c>
      <c r="N2627">
        <v>23.85</v>
      </c>
      <c r="O2627">
        <v>8061.78</v>
      </c>
      <c r="P2627">
        <v>0</v>
      </c>
      <c r="Q2627">
        <v>8061.78</v>
      </c>
      <c r="R2627">
        <v>1289.8800000000001</v>
      </c>
      <c r="S2627">
        <v>322.47000000000003</v>
      </c>
      <c r="T2627">
        <v>9029.19</v>
      </c>
      <c r="U2627" t="s">
        <v>2075</v>
      </c>
      <c r="V2627" t="s">
        <v>9408</v>
      </c>
      <c r="W2627" t="s">
        <v>423</v>
      </c>
    </row>
    <row r="2628" spans="1:23" hidden="1" x14ac:dyDescent="0.2">
      <c r="A2628">
        <v>2012</v>
      </c>
      <c r="B2628" t="s">
        <v>304</v>
      </c>
      <c r="C2628" s="733">
        <v>40942.510960648149</v>
      </c>
      <c r="D26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28" t="s">
        <v>485</v>
      </c>
      <c r="F2628" t="s">
        <v>2065</v>
      </c>
      <c r="G2628" t="s">
        <v>6979</v>
      </c>
      <c r="H2628">
        <v>41388</v>
      </c>
      <c r="I2628" t="s">
        <v>423</v>
      </c>
      <c r="J2628" t="s">
        <v>2101</v>
      </c>
      <c r="K2628" t="s">
        <v>2102</v>
      </c>
      <c r="L2628" t="s">
        <v>2103</v>
      </c>
      <c r="M2628">
        <v>119</v>
      </c>
      <c r="N2628">
        <v>21.47</v>
      </c>
      <c r="O2628">
        <v>3601.16</v>
      </c>
      <c r="P2628">
        <v>0</v>
      </c>
      <c r="Q2628">
        <v>3601.16</v>
      </c>
      <c r="R2628">
        <v>576.19000000000005</v>
      </c>
      <c r="S2628">
        <v>144.05000000000001</v>
      </c>
      <c r="T2628">
        <v>4033.3</v>
      </c>
      <c r="U2628" t="s">
        <v>7462</v>
      </c>
      <c r="V2628" t="s">
        <v>9409</v>
      </c>
      <c r="W2628" t="s">
        <v>423</v>
      </c>
    </row>
    <row r="2629" spans="1:23" hidden="1" x14ac:dyDescent="0.2">
      <c r="A2629">
        <v>2012</v>
      </c>
      <c r="B2629" t="s">
        <v>304</v>
      </c>
      <c r="C2629" s="733">
        <v>40962</v>
      </c>
      <c r="D26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29" t="s">
        <v>505</v>
      </c>
      <c r="F2629" t="s">
        <v>1915</v>
      </c>
      <c r="G2629" t="s">
        <v>8576</v>
      </c>
      <c r="H2629">
        <v>22951</v>
      </c>
      <c r="I2629" t="s">
        <v>424</v>
      </c>
      <c r="J2629" t="s">
        <v>8577</v>
      </c>
      <c r="K2629" t="s">
        <v>1918</v>
      </c>
      <c r="L2629" t="s">
        <v>1919</v>
      </c>
      <c r="M2629">
        <v>660</v>
      </c>
      <c r="N2629">
        <v>30</v>
      </c>
      <c r="O2629">
        <v>10535.7</v>
      </c>
      <c r="P2629">
        <v>0</v>
      </c>
      <c r="Q2629">
        <v>10535.7</v>
      </c>
      <c r="R2629">
        <v>1685.71</v>
      </c>
      <c r="S2629">
        <v>421.43</v>
      </c>
      <c r="T2629">
        <v>11799.98</v>
      </c>
      <c r="U2629" t="s">
        <v>8778</v>
      </c>
      <c r="V2629" t="s">
        <v>9408</v>
      </c>
      <c r="W2629" t="s">
        <v>424</v>
      </c>
    </row>
    <row r="2630" spans="1:23" hidden="1" x14ac:dyDescent="0.2">
      <c r="A2630">
        <v>2012</v>
      </c>
      <c r="B2630" t="s">
        <v>303</v>
      </c>
      <c r="C2630" s="733">
        <v>40922</v>
      </c>
      <c r="D26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30" t="s">
        <v>505</v>
      </c>
      <c r="F2630" t="s">
        <v>1915</v>
      </c>
      <c r="G2630" t="s">
        <v>6580</v>
      </c>
      <c r="H2630">
        <v>21890</v>
      </c>
      <c r="I2630" t="s">
        <v>1979</v>
      </c>
      <c r="J2630" t="s">
        <v>5363</v>
      </c>
      <c r="K2630" t="s">
        <v>1918</v>
      </c>
      <c r="L2630" t="s">
        <v>1919</v>
      </c>
      <c r="M2630">
        <v>856</v>
      </c>
      <c r="N2630">
        <v>49.89</v>
      </c>
      <c r="O2630">
        <v>25294.23</v>
      </c>
      <c r="P2630">
        <v>0</v>
      </c>
      <c r="Q2630">
        <v>25294.23</v>
      </c>
      <c r="R2630">
        <v>4047.08</v>
      </c>
      <c r="S2630">
        <v>1011.77</v>
      </c>
      <c r="T2630">
        <v>28329.54</v>
      </c>
      <c r="U2630" t="s">
        <v>1931</v>
      </c>
      <c r="V2630" t="s">
        <v>9409</v>
      </c>
      <c r="W2630" t="s">
        <v>1979</v>
      </c>
    </row>
    <row r="2631" spans="1:23" hidden="1" x14ac:dyDescent="0.2">
      <c r="A2631">
        <v>2012</v>
      </c>
      <c r="B2631" t="s">
        <v>303</v>
      </c>
      <c r="C2631" s="733">
        <v>40932</v>
      </c>
      <c r="D26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31" t="s">
        <v>478</v>
      </c>
      <c r="F2631" t="s">
        <v>2136</v>
      </c>
      <c r="G2631" t="s">
        <v>6981</v>
      </c>
      <c r="H2631">
        <v>34846</v>
      </c>
      <c r="I2631" t="s">
        <v>423</v>
      </c>
      <c r="J2631" t="s">
        <v>4699</v>
      </c>
      <c r="K2631" t="s">
        <v>425</v>
      </c>
      <c r="L2631" t="s">
        <v>2145</v>
      </c>
      <c r="M2631">
        <v>555</v>
      </c>
      <c r="N2631">
        <v>48.78</v>
      </c>
      <c r="O2631">
        <v>15585.21</v>
      </c>
      <c r="P2631">
        <v>0</v>
      </c>
      <c r="Q2631">
        <v>15585.21</v>
      </c>
      <c r="R2631">
        <v>2493.63</v>
      </c>
      <c r="S2631">
        <v>623.41</v>
      </c>
      <c r="T2631">
        <v>17455.43</v>
      </c>
      <c r="U2631" t="s">
        <v>2580</v>
      </c>
      <c r="V2631" t="s">
        <v>9409</v>
      </c>
      <c r="W2631" t="s">
        <v>423</v>
      </c>
    </row>
    <row r="2632" spans="1:23" hidden="1" x14ac:dyDescent="0.2">
      <c r="A2632">
        <v>2012</v>
      </c>
      <c r="B2632" t="s">
        <v>304</v>
      </c>
      <c r="C2632" s="733">
        <v>40949</v>
      </c>
      <c r="D26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32" t="s">
        <v>485</v>
      </c>
      <c r="F2632" t="s">
        <v>2065</v>
      </c>
      <c r="G2632" t="s">
        <v>6982</v>
      </c>
      <c r="H2632">
        <v>41353</v>
      </c>
      <c r="I2632" t="s">
        <v>423</v>
      </c>
      <c r="J2632" t="s">
        <v>2124</v>
      </c>
      <c r="K2632" t="s">
        <v>2102</v>
      </c>
      <c r="L2632" t="s">
        <v>2115</v>
      </c>
      <c r="M2632">
        <v>981</v>
      </c>
      <c r="N2632">
        <v>27.21</v>
      </c>
      <c r="O2632">
        <v>17744.189999999999</v>
      </c>
      <c r="P2632">
        <v>0</v>
      </c>
      <c r="Q2632">
        <v>17744.189999999999</v>
      </c>
      <c r="R2632">
        <v>2839.07</v>
      </c>
      <c r="S2632">
        <v>709.77</v>
      </c>
      <c r="T2632">
        <v>19873.490000000002</v>
      </c>
      <c r="V2632" t="s">
        <v>9408</v>
      </c>
      <c r="W2632" t="s">
        <v>423</v>
      </c>
    </row>
    <row r="2633" spans="1:23" x14ac:dyDescent="0.2">
      <c r="A2633">
        <v>2012</v>
      </c>
      <c r="B2633" t="s">
        <v>304</v>
      </c>
      <c r="C2633" s="733">
        <v>40967</v>
      </c>
      <c r="D26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33" t="s">
        <v>485</v>
      </c>
      <c r="F2633" t="s">
        <v>2084</v>
      </c>
      <c r="G2633" t="s">
        <v>9211</v>
      </c>
      <c r="H2633">
        <v>42648</v>
      </c>
      <c r="I2633" t="s">
        <v>423</v>
      </c>
      <c r="J2633" t="s">
        <v>2813</v>
      </c>
      <c r="K2633" t="s">
        <v>2814</v>
      </c>
      <c r="L2633" t="s">
        <v>2815</v>
      </c>
      <c r="M2633">
        <v>365</v>
      </c>
      <c r="N2633">
        <v>24.193999999999999</v>
      </c>
      <c r="O2633">
        <v>6512.54</v>
      </c>
      <c r="P2633">
        <v>0</v>
      </c>
      <c r="Q2633">
        <v>6512.54</v>
      </c>
      <c r="R2633">
        <v>716.38</v>
      </c>
      <c r="S2633">
        <v>260.5</v>
      </c>
      <c r="T2633">
        <v>6968.42</v>
      </c>
      <c r="V2633" t="s">
        <v>9408</v>
      </c>
      <c r="W2633" t="s">
        <v>423</v>
      </c>
    </row>
    <row r="2634" spans="1:23" x14ac:dyDescent="0.2">
      <c r="A2634">
        <v>2012</v>
      </c>
      <c r="B2634" t="s">
        <v>304</v>
      </c>
      <c r="C2634" s="733">
        <v>40967</v>
      </c>
      <c r="D26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34" t="s">
        <v>485</v>
      </c>
      <c r="F2634" t="s">
        <v>2084</v>
      </c>
      <c r="G2634" t="s">
        <v>9213</v>
      </c>
      <c r="H2634">
        <v>42125</v>
      </c>
      <c r="I2634" t="s">
        <v>423</v>
      </c>
      <c r="J2634" t="s">
        <v>2813</v>
      </c>
      <c r="K2634" t="s">
        <v>2814</v>
      </c>
      <c r="L2634" t="s">
        <v>2815</v>
      </c>
      <c r="M2634">
        <v>365</v>
      </c>
      <c r="N2634">
        <v>23.85</v>
      </c>
      <c r="O2634">
        <v>6419.94</v>
      </c>
      <c r="P2634">
        <v>0</v>
      </c>
      <c r="Q2634">
        <v>6419.94</v>
      </c>
      <c r="R2634">
        <v>706.19</v>
      </c>
      <c r="S2634">
        <v>256.8</v>
      </c>
      <c r="T2634">
        <v>6869.33</v>
      </c>
      <c r="U2634" t="s">
        <v>8877</v>
      </c>
      <c r="V2634" t="s">
        <v>9408</v>
      </c>
      <c r="W2634" t="s">
        <v>423</v>
      </c>
    </row>
    <row r="2635" spans="1:23" hidden="1" x14ac:dyDescent="0.2">
      <c r="A2635">
        <v>2012</v>
      </c>
      <c r="B2635" t="s">
        <v>304</v>
      </c>
      <c r="C2635" s="733">
        <v>40960</v>
      </c>
      <c r="D26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35" t="s">
        <v>485</v>
      </c>
      <c r="F2635" t="s">
        <v>2084</v>
      </c>
      <c r="G2635" t="s">
        <v>8068</v>
      </c>
      <c r="H2635">
        <v>42063</v>
      </c>
      <c r="I2635" t="s">
        <v>423</v>
      </c>
      <c r="J2635" t="s">
        <v>2813</v>
      </c>
      <c r="K2635" t="s">
        <v>2814</v>
      </c>
      <c r="L2635" t="s">
        <v>2815</v>
      </c>
      <c r="M2635">
        <v>365</v>
      </c>
      <c r="N2635">
        <v>23.792000000000002</v>
      </c>
      <c r="O2635">
        <v>6404.33</v>
      </c>
      <c r="P2635">
        <v>0</v>
      </c>
      <c r="Q2635">
        <v>6404.33</v>
      </c>
      <c r="R2635">
        <v>704.48</v>
      </c>
      <c r="S2635">
        <v>256.17</v>
      </c>
      <c r="T2635">
        <v>6852.64</v>
      </c>
      <c r="U2635" t="s">
        <v>8877</v>
      </c>
      <c r="V2635" t="s">
        <v>9408</v>
      </c>
      <c r="W2635" t="s">
        <v>423</v>
      </c>
    </row>
    <row r="2636" spans="1:23" hidden="1" x14ac:dyDescent="0.2">
      <c r="A2636">
        <v>2012</v>
      </c>
      <c r="B2636" t="s">
        <v>304</v>
      </c>
      <c r="C2636" s="733">
        <v>40949</v>
      </c>
      <c r="D26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36" t="s">
        <v>485</v>
      </c>
      <c r="F2636" t="s">
        <v>2084</v>
      </c>
      <c r="G2636" t="s">
        <v>3855</v>
      </c>
      <c r="H2636">
        <v>41370</v>
      </c>
      <c r="I2636" t="s">
        <v>423</v>
      </c>
      <c r="J2636" t="s">
        <v>2813</v>
      </c>
      <c r="K2636" t="s">
        <v>2814</v>
      </c>
      <c r="L2636" t="s">
        <v>2815</v>
      </c>
      <c r="M2636">
        <v>365</v>
      </c>
      <c r="N2636">
        <v>24.443000000000001</v>
      </c>
      <c r="O2636">
        <v>6579.57</v>
      </c>
      <c r="P2636">
        <v>0</v>
      </c>
      <c r="Q2636">
        <v>6579.57</v>
      </c>
      <c r="R2636">
        <v>723.75</v>
      </c>
      <c r="S2636">
        <v>263.18</v>
      </c>
      <c r="T2636">
        <v>7040.14</v>
      </c>
      <c r="U2636" t="s">
        <v>7527</v>
      </c>
      <c r="V2636" t="s">
        <v>9408</v>
      </c>
      <c r="W2636" t="s">
        <v>423</v>
      </c>
    </row>
    <row r="2637" spans="1:23" hidden="1" x14ac:dyDescent="0.2">
      <c r="A2637">
        <v>2012</v>
      </c>
      <c r="B2637" t="s">
        <v>303</v>
      </c>
      <c r="C2637" s="733">
        <v>40912</v>
      </c>
      <c r="D26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37" t="s">
        <v>485</v>
      </c>
      <c r="F2637" t="s">
        <v>2084</v>
      </c>
      <c r="G2637" t="s">
        <v>3853</v>
      </c>
      <c r="H2637">
        <v>39593</v>
      </c>
      <c r="I2637" t="s">
        <v>423</v>
      </c>
      <c r="J2637" t="s">
        <v>2813</v>
      </c>
      <c r="K2637" t="s">
        <v>2814</v>
      </c>
      <c r="L2637" t="s">
        <v>2815</v>
      </c>
      <c r="M2637">
        <v>365</v>
      </c>
      <c r="N2637">
        <v>23.896000000000001</v>
      </c>
      <c r="O2637">
        <v>2708.13</v>
      </c>
      <c r="P2637">
        <v>3049.0564859999999</v>
      </c>
      <c r="Q2637">
        <v>5757.1864859999996</v>
      </c>
      <c r="R2637">
        <v>921.14983800000005</v>
      </c>
      <c r="S2637">
        <v>230.28745900000001</v>
      </c>
      <c r="T2637">
        <v>6448.0488649999998</v>
      </c>
      <c r="U2637" t="s">
        <v>2846</v>
      </c>
      <c r="V2637" t="s">
        <v>9408</v>
      </c>
      <c r="W2637" t="s">
        <v>423</v>
      </c>
    </row>
    <row r="2638" spans="1:23" hidden="1" x14ac:dyDescent="0.2">
      <c r="A2638">
        <v>2012</v>
      </c>
      <c r="B2638" t="s">
        <v>303</v>
      </c>
      <c r="C2638" s="733">
        <v>40938</v>
      </c>
      <c r="D26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38" t="s">
        <v>485</v>
      </c>
      <c r="F2638" t="s">
        <v>2065</v>
      </c>
      <c r="G2638" t="s">
        <v>5259</v>
      </c>
      <c r="H2638">
        <v>41030</v>
      </c>
      <c r="I2638" t="s">
        <v>423</v>
      </c>
      <c r="J2638" t="s">
        <v>5260</v>
      </c>
      <c r="K2638" t="s">
        <v>2102</v>
      </c>
      <c r="L2638" t="s">
        <v>2115</v>
      </c>
      <c r="M2638">
        <v>832</v>
      </c>
      <c r="N2638">
        <v>53.4</v>
      </c>
      <c r="O2638">
        <v>26645</v>
      </c>
      <c r="P2638">
        <v>0</v>
      </c>
      <c r="Q2638">
        <v>26645</v>
      </c>
      <c r="R2638">
        <v>4263.2</v>
      </c>
      <c r="S2638">
        <v>1065.8</v>
      </c>
      <c r="T2638">
        <v>29842.400000000001</v>
      </c>
      <c r="U2638" t="s">
        <v>2110</v>
      </c>
      <c r="V2638" t="s">
        <v>9409</v>
      </c>
      <c r="W2638" t="s">
        <v>423</v>
      </c>
    </row>
    <row r="2639" spans="1:23" hidden="1" x14ac:dyDescent="0.2">
      <c r="A2639">
        <v>2012</v>
      </c>
      <c r="B2639" t="s">
        <v>303</v>
      </c>
      <c r="C2639" s="733">
        <v>40936</v>
      </c>
      <c r="D26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39" t="s">
        <v>478</v>
      </c>
      <c r="F2639" t="s">
        <v>2136</v>
      </c>
      <c r="G2639" t="s">
        <v>3837</v>
      </c>
      <c r="H2639">
        <v>35032</v>
      </c>
      <c r="I2639" t="s">
        <v>423</v>
      </c>
      <c r="J2639" t="s">
        <v>3029</v>
      </c>
      <c r="K2639" t="s">
        <v>425</v>
      </c>
      <c r="L2639" t="s">
        <v>2145</v>
      </c>
      <c r="M2639">
        <v>35</v>
      </c>
      <c r="N2639">
        <v>24.87</v>
      </c>
      <c r="O2639">
        <v>3338.8</v>
      </c>
      <c r="P2639">
        <v>0</v>
      </c>
      <c r="Q2639">
        <v>3338.8</v>
      </c>
      <c r="R2639">
        <v>534.21</v>
      </c>
      <c r="S2639">
        <v>133.55000000000001</v>
      </c>
      <c r="T2639">
        <v>3739.46</v>
      </c>
      <c r="U2639" t="s">
        <v>2914</v>
      </c>
      <c r="V2639" t="s">
        <v>9408</v>
      </c>
      <c r="W2639" t="s">
        <v>423</v>
      </c>
    </row>
    <row r="2640" spans="1:23" hidden="1" x14ac:dyDescent="0.2">
      <c r="A2640">
        <v>2012</v>
      </c>
      <c r="B2640" t="s">
        <v>303</v>
      </c>
      <c r="C2640" s="733">
        <v>40921.945752314816</v>
      </c>
      <c r="D26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40" t="s">
        <v>478</v>
      </c>
      <c r="F2640" t="s">
        <v>2136</v>
      </c>
      <c r="G2640" t="s">
        <v>3744</v>
      </c>
      <c r="H2640">
        <v>34508</v>
      </c>
      <c r="I2640" t="s">
        <v>423</v>
      </c>
      <c r="J2640" t="s">
        <v>3029</v>
      </c>
      <c r="K2640" t="s">
        <v>425</v>
      </c>
      <c r="L2640" t="s">
        <v>2145</v>
      </c>
      <c r="M2640">
        <v>35</v>
      </c>
      <c r="N2640">
        <v>25.95</v>
      </c>
      <c r="O2640">
        <v>3483.79</v>
      </c>
      <c r="P2640">
        <v>0</v>
      </c>
      <c r="Q2640">
        <v>3483.79</v>
      </c>
      <c r="R2640">
        <v>557.41</v>
      </c>
      <c r="S2640">
        <v>139.35</v>
      </c>
      <c r="T2640">
        <v>3901.85</v>
      </c>
      <c r="U2640" t="s">
        <v>2146</v>
      </c>
      <c r="V2640" t="s">
        <v>9408</v>
      </c>
      <c r="W2640" t="s">
        <v>423</v>
      </c>
    </row>
    <row r="2641" spans="1:23" x14ac:dyDescent="0.2">
      <c r="A2641">
        <v>2012</v>
      </c>
      <c r="B2641" t="s">
        <v>304</v>
      </c>
      <c r="C2641" s="733">
        <v>40967</v>
      </c>
      <c r="D26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41" t="s">
        <v>485</v>
      </c>
      <c r="F2641" t="s">
        <v>2084</v>
      </c>
      <c r="G2641" t="s">
        <v>9214</v>
      </c>
      <c r="H2641">
        <v>42128</v>
      </c>
      <c r="I2641" t="s">
        <v>423</v>
      </c>
      <c r="J2641" t="s">
        <v>2813</v>
      </c>
      <c r="K2641" t="s">
        <v>2814</v>
      </c>
      <c r="L2641" t="s">
        <v>2815</v>
      </c>
      <c r="M2641">
        <v>365</v>
      </c>
      <c r="N2641">
        <v>24.039000000000001</v>
      </c>
      <c r="O2641">
        <v>6470.82</v>
      </c>
      <c r="P2641">
        <v>0</v>
      </c>
      <c r="Q2641">
        <v>6470.82</v>
      </c>
      <c r="R2641">
        <v>711.79</v>
      </c>
      <c r="S2641">
        <v>258.83</v>
      </c>
      <c r="T2641">
        <v>6923.78</v>
      </c>
      <c r="U2641" t="s">
        <v>8877</v>
      </c>
      <c r="V2641" t="s">
        <v>9408</v>
      </c>
      <c r="W2641" t="s">
        <v>423</v>
      </c>
    </row>
    <row r="2642" spans="1:23" hidden="1" x14ac:dyDescent="0.2">
      <c r="A2642">
        <v>2012</v>
      </c>
      <c r="B2642" t="s">
        <v>303</v>
      </c>
      <c r="C2642" s="733">
        <v>40926</v>
      </c>
      <c r="D26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42" t="s">
        <v>485</v>
      </c>
      <c r="F2642" t="s">
        <v>2084</v>
      </c>
      <c r="G2642" t="s">
        <v>3852</v>
      </c>
      <c r="H2642">
        <v>40312</v>
      </c>
      <c r="I2642" t="s">
        <v>423</v>
      </c>
      <c r="J2642" t="s">
        <v>2813</v>
      </c>
      <c r="K2642" t="s">
        <v>2814</v>
      </c>
      <c r="L2642" t="s">
        <v>2815</v>
      </c>
      <c r="M2642">
        <v>365</v>
      </c>
      <c r="N2642">
        <v>29.957000000000001</v>
      </c>
      <c r="O2642">
        <v>8063.83</v>
      </c>
      <c r="P2642">
        <v>0</v>
      </c>
      <c r="Q2642">
        <v>8063.83</v>
      </c>
      <c r="R2642">
        <v>1290.21</v>
      </c>
      <c r="S2642">
        <v>322.55</v>
      </c>
      <c r="T2642">
        <v>9031.49</v>
      </c>
      <c r="U2642" t="s">
        <v>2824</v>
      </c>
      <c r="V2642" t="s">
        <v>9408</v>
      </c>
      <c r="W2642" t="s">
        <v>423</v>
      </c>
    </row>
    <row r="2643" spans="1:23" hidden="1" x14ac:dyDescent="0.2">
      <c r="A2643">
        <v>2012</v>
      </c>
      <c r="B2643" t="s">
        <v>303</v>
      </c>
      <c r="C2643" s="733">
        <v>40920</v>
      </c>
      <c r="D26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43" t="s">
        <v>485</v>
      </c>
      <c r="F2643" t="s">
        <v>2084</v>
      </c>
      <c r="G2643" t="s">
        <v>3843</v>
      </c>
      <c r="H2643">
        <v>39940</v>
      </c>
      <c r="I2643" t="s">
        <v>423</v>
      </c>
      <c r="J2643" t="s">
        <v>2813</v>
      </c>
      <c r="K2643" t="s">
        <v>2814</v>
      </c>
      <c r="L2643" t="s">
        <v>2815</v>
      </c>
      <c r="M2643">
        <v>365</v>
      </c>
      <c r="N2643">
        <v>23.643000000000001</v>
      </c>
      <c r="O2643">
        <v>6364.22</v>
      </c>
      <c r="P2643">
        <v>0</v>
      </c>
      <c r="Q2643">
        <v>6364.22</v>
      </c>
      <c r="R2643">
        <v>1018.28</v>
      </c>
      <c r="S2643">
        <v>254.57</v>
      </c>
      <c r="T2643">
        <v>7127.93</v>
      </c>
      <c r="U2643" t="s">
        <v>2824</v>
      </c>
      <c r="V2643" t="s">
        <v>9408</v>
      </c>
      <c r="W2643" t="s">
        <v>423</v>
      </c>
    </row>
    <row r="2644" spans="1:23" hidden="1" x14ac:dyDescent="0.2">
      <c r="A2644">
        <v>2012</v>
      </c>
      <c r="B2644" t="s">
        <v>303</v>
      </c>
      <c r="C2644" s="733">
        <v>40938</v>
      </c>
      <c r="D26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44" t="s">
        <v>485</v>
      </c>
      <c r="F2644" t="s">
        <v>2084</v>
      </c>
      <c r="G2644" t="s">
        <v>3844</v>
      </c>
      <c r="H2644">
        <v>40893</v>
      </c>
      <c r="I2644" t="s">
        <v>423</v>
      </c>
      <c r="J2644" t="s">
        <v>2813</v>
      </c>
      <c r="K2644" t="s">
        <v>2814</v>
      </c>
      <c r="L2644" t="s">
        <v>2815</v>
      </c>
      <c r="M2644">
        <v>365</v>
      </c>
      <c r="N2644">
        <v>23.821000000000002</v>
      </c>
      <c r="O2644">
        <v>6412.14</v>
      </c>
      <c r="P2644">
        <v>0</v>
      </c>
      <c r="Q2644">
        <v>6412.14</v>
      </c>
      <c r="R2644">
        <v>1025.94</v>
      </c>
      <c r="S2644">
        <v>256.49</v>
      </c>
      <c r="T2644">
        <v>7181.59</v>
      </c>
      <c r="U2644" t="s">
        <v>2826</v>
      </c>
      <c r="V2644" t="s">
        <v>9408</v>
      </c>
      <c r="W2644" t="s">
        <v>423</v>
      </c>
    </row>
    <row r="2645" spans="1:23" hidden="1" x14ac:dyDescent="0.2">
      <c r="A2645">
        <v>2012</v>
      </c>
      <c r="B2645" t="s">
        <v>304</v>
      </c>
      <c r="C2645" s="733">
        <v>40953</v>
      </c>
      <c r="D26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45" t="s">
        <v>485</v>
      </c>
      <c r="F2645" t="s">
        <v>2084</v>
      </c>
      <c r="G2645" t="s">
        <v>3841</v>
      </c>
      <c r="H2645">
        <v>41723</v>
      </c>
      <c r="I2645" t="s">
        <v>423</v>
      </c>
      <c r="J2645" t="s">
        <v>2813</v>
      </c>
      <c r="K2645" t="s">
        <v>2814</v>
      </c>
      <c r="L2645" t="s">
        <v>2815</v>
      </c>
      <c r="M2645">
        <v>365</v>
      </c>
      <c r="N2645">
        <v>24.004000000000001</v>
      </c>
      <c r="O2645">
        <v>6461.4</v>
      </c>
      <c r="P2645">
        <v>0</v>
      </c>
      <c r="Q2645">
        <v>6461.4</v>
      </c>
      <c r="R2645">
        <v>710.75</v>
      </c>
      <c r="S2645">
        <v>258.45999999999998</v>
      </c>
      <c r="T2645">
        <v>6913.69</v>
      </c>
      <c r="U2645" t="s">
        <v>7527</v>
      </c>
      <c r="V2645" t="s">
        <v>9408</v>
      </c>
      <c r="W2645" t="s">
        <v>423</v>
      </c>
    </row>
    <row r="2646" spans="1:23" hidden="1" x14ac:dyDescent="0.2">
      <c r="A2646">
        <v>2012</v>
      </c>
      <c r="B2646" t="s">
        <v>304</v>
      </c>
      <c r="C2646" s="733">
        <v>40953</v>
      </c>
      <c r="D26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46" t="s">
        <v>485</v>
      </c>
      <c r="F2646" t="s">
        <v>2065</v>
      </c>
      <c r="G2646" t="s">
        <v>3849</v>
      </c>
      <c r="H2646">
        <v>41714</v>
      </c>
      <c r="I2646" t="s">
        <v>423</v>
      </c>
      <c r="J2646" t="s">
        <v>2813</v>
      </c>
      <c r="K2646" t="s">
        <v>2814</v>
      </c>
      <c r="L2646" t="s">
        <v>2815</v>
      </c>
      <c r="M2646">
        <v>365</v>
      </c>
      <c r="N2646">
        <v>24.582999999999998</v>
      </c>
      <c r="O2646">
        <v>6617.25</v>
      </c>
      <c r="P2646">
        <v>0</v>
      </c>
      <c r="Q2646">
        <v>6617.25</v>
      </c>
      <c r="R2646">
        <v>727.9</v>
      </c>
      <c r="S2646">
        <v>264.69</v>
      </c>
      <c r="T2646">
        <v>7080.46</v>
      </c>
      <c r="U2646" t="s">
        <v>7527</v>
      </c>
      <c r="V2646" t="s">
        <v>9408</v>
      </c>
      <c r="W2646" t="s">
        <v>423</v>
      </c>
    </row>
    <row r="2647" spans="1:23" x14ac:dyDescent="0.2">
      <c r="A2647">
        <v>2012</v>
      </c>
      <c r="B2647" t="s">
        <v>304</v>
      </c>
      <c r="C2647" s="733">
        <v>40967</v>
      </c>
      <c r="D26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47" t="s">
        <v>485</v>
      </c>
      <c r="F2647" t="s">
        <v>2065</v>
      </c>
      <c r="G2647" t="s">
        <v>9212</v>
      </c>
      <c r="H2647">
        <v>42642</v>
      </c>
      <c r="I2647" t="s">
        <v>423</v>
      </c>
      <c r="J2647" t="s">
        <v>2813</v>
      </c>
      <c r="K2647" t="s">
        <v>2814</v>
      </c>
      <c r="L2647" t="s">
        <v>2815</v>
      </c>
      <c r="M2647">
        <v>365</v>
      </c>
      <c r="N2647">
        <v>23.853999999999999</v>
      </c>
      <c r="O2647">
        <v>6421.02</v>
      </c>
      <c r="P2647">
        <v>0</v>
      </c>
      <c r="Q2647">
        <v>6421.02</v>
      </c>
      <c r="R2647">
        <v>706.31</v>
      </c>
      <c r="S2647">
        <v>256.83999999999997</v>
      </c>
      <c r="T2647">
        <v>6870.49</v>
      </c>
      <c r="V2647" t="s">
        <v>9408</v>
      </c>
      <c r="W2647" t="s">
        <v>423</v>
      </c>
    </row>
    <row r="2648" spans="1:23" hidden="1" x14ac:dyDescent="0.2">
      <c r="A2648">
        <v>2012</v>
      </c>
      <c r="B2648" t="s">
        <v>303</v>
      </c>
      <c r="C2648" s="733">
        <v>40931</v>
      </c>
      <c r="D26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48" t="s">
        <v>478</v>
      </c>
      <c r="F2648" t="s">
        <v>2136</v>
      </c>
      <c r="G2648" t="s">
        <v>5247</v>
      </c>
      <c r="H2648">
        <v>34747</v>
      </c>
      <c r="I2648" t="s">
        <v>423</v>
      </c>
      <c r="J2648" t="s">
        <v>4699</v>
      </c>
      <c r="K2648" t="s">
        <v>425</v>
      </c>
      <c r="L2648" t="s">
        <v>2145</v>
      </c>
      <c r="M2648">
        <v>555</v>
      </c>
      <c r="N2648">
        <v>45.19</v>
      </c>
      <c r="O2648">
        <v>14438.2</v>
      </c>
      <c r="P2648">
        <v>0</v>
      </c>
      <c r="Q2648">
        <v>14438.2</v>
      </c>
      <c r="R2648">
        <v>2310.11</v>
      </c>
      <c r="S2648">
        <v>577.53</v>
      </c>
      <c r="T2648">
        <v>16170.78</v>
      </c>
      <c r="U2648" t="s">
        <v>3234</v>
      </c>
      <c r="V2648" t="s">
        <v>9409</v>
      </c>
      <c r="W2648" t="s">
        <v>423</v>
      </c>
    </row>
    <row r="2649" spans="1:23" hidden="1" x14ac:dyDescent="0.2">
      <c r="A2649">
        <v>2012</v>
      </c>
      <c r="B2649" t="s">
        <v>303</v>
      </c>
      <c r="C2649" s="733">
        <v>40931</v>
      </c>
      <c r="D26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49" t="s">
        <v>478</v>
      </c>
      <c r="F2649" t="s">
        <v>2136</v>
      </c>
      <c r="G2649" t="s">
        <v>5248</v>
      </c>
      <c r="H2649">
        <v>34799</v>
      </c>
      <c r="I2649" t="s">
        <v>423</v>
      </c>
      <c r="J2649" t="s">
        <v>5249</v>
      </c>
      <c r="K2649" t="s">
        <v>425</v>
      </c>
      <c r="L2649" t="s">
        <v>2145</v>
      </c>
      <c r="M2649">
        <v>134</v>
      </c>
      <c r="N2649">
        <v>23.65</v>
      </c>
      <c r="O2649">
        <v>4304.0600000000004</v>
      </c>
      <c r="P2649">
        <v>0</v>
      </c>
      <c r="Q2649">
        <v>4304.0600000000004</v>
      </c>
      <c r="R2649">
        <v>688.65</v>
      </c>
      <c r="S2649">
        <v>172.16</v>
      </c>
      <c r="T2649">
        <v>4820.55</v>
      </c>
      <c r="V2649" t="s">
        <v>9408</v>
      </c>
      <c r="W2649" t="s">
        <v>423</v>
      </c>
    </row>
    <row r="2650" spans="1:23" hidden="1" x14ac:dyDescent="0.2">
      <c r="A2650">
        <v>2012</v>
      </c>
      <c r="B2650" t="s">
        <v>304</v>
      </c>
      <c r="C2650" s="733">
        <v>40953</v>
      </c>
      <c r="D26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50" t="s">
        <v>485</v>
      </c>
      <c r="F2650" t="s">
        <v>2065</v>
      </c>
      <c r="G2650" t="s">
        <v>3847</v>
      </c>
      <c r="H2650">
        <v>41428</v>
      </c>
      <c r="I2650" t="s">
        <v>423</v>
      </c>
      <c r="J2650" t="s">
        <v>2813</v>
      </c>
      <c r="K2650" t="s">
        <v>2814</v>
      </c>
      <c r="L2650" t="s">
        <v>2815</v>
      </c>
      <c r="M2650">
        <v>365</v>
      </c>
      <c r="N2650">
        <v>23.97</v>
      </c>
      <c r="O2650">
        <v>6452.24</v>
      </c>
      <c r="P2650">
        <v>0</v>
      </c>
      <c r="Q2650">
        <v>6452.24</v>
      </c>
      <c r="R2650">
        <v>709.75</v>
      </c>
      <c r="S2650">
        <v>258.08999999999997</v>
      </c>
      <c r="T2650">
        <v>6903.9</v>
      </c>
      <c r="U2650" t="s">
        <v>7527</v>
      </c>
      <c r="V2650" t="s">
        <v>9408</v>
      </c>
      <c r="W2650" t="s">
        <v>423</v>
      </c>
    </row>
    <row r="2651" spans="1:23" hidden="1" x14ac:dyDescent="0.2">
      <c r="A2651">
        <v>2012</v>
      </c>
      <c r="B2651" t="s">
        <v>303</v>
      </c>
      <c r="C2651" s="733">
        <v>40932</v>
      </c>
      <c r="D26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51" t="s">
        <v>485</v>
      </c>
      <c r="F2651" t="s">
        <v>2065</v>
      </c>
      <c r="G2651" t="s">
        <v>3848</v>
      </c>
      <c r="H2651">
        <v>40549</v>
      </c>
      <c r="I2651" t="s">
        <v>423</v>
      </c>
      <c r="J2651" t="s">
        <v>2813</v>
      </c>
      <c r="K2651" t="s">
        <v>2814</v>
      </c>
      <c r="L2651" t="s">
        <v>2815</v>
      </c>
      <c r="M2651">
        <v>365</v>
      </c>
      <c r="N2651">
        <v>24.131</v>
      </c>
      <c r="O2651">
        <v>6495.58</v>
      </c>
      <c r="P2651">
        <v>0</v>
      </c>
      <c r="Q2651">
        <v>6495.58</v>
      </c>
      <c r="R2651">
        <v>1039.29</v>
      </c>
      <c r="S2651">
        <v>259.82</v>
      </c>
      <c r="T2651">
        <v>7275.05</v>
      </c>
      <c r="U2651" t="s">
        <v>2826</v>
      </c>
      <c r="V2651" t="s">
        <v>9408</v>
      </c>
      <c r="W2651" t="s">
        <v>423</v>
      </c>
    </row>
    <row r="2652" spans="1:23" hidden="1" x14ac:dyDescent="0.2">
      <c r="A2652">
        <v>2012</v>
      </c>
      <c r="B2652" t="s">
        <v>304</v>
      </c>
      <c r="C2652" s="733">
        <v>40948</v>
      </c>
      <c r="D26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52" t="s">
        <v>505</v>
      </c>
      <c r="F2652" t="s">
        <v>1915</v>
      </c>
      <c r="G2652" t="s">
        <v>5256</v>
      </c>
      <c r="H2652">
        <v>22580</v>
      </c>
      <c r="I2652" t="s">
        <v>423</v>
      </c>
      <c r="J2652" t="s">
        <v>4259</v>
      </c>
      <c r="K2652" t="s">
        <v>1918</v>
      </c>
      <c r="L2652" t="s">
        <v>1919</v>
      </c>
      <c r="M2652">
        <v>467</v>
      </c>
      <c r="N2652">
        <v>26.74</v>
      </c>
      <c r="O2652">
        <v>8298.49</v>
      </c>
      <c r="P2652">
        <v>0</v>
      </c>
      <c r="Q2652">
        <v>8298.49</v>
      </c>
      <c r="R2652">
        <v>1327.76</v>
      </c>
      <c r="S2652">
        <v>331.94</v>
      </c>
      <c r="T2652">
        <v>9294.31</v>
      </c>
      <c r="U2652" t="s">
        <v>1924</v>
      </c>
      <c r="V2652" t="s">
        <v>9408</v>
      </c>
      <c r="W2652" t="s">
        <v>423</v>
      </c>
    </row>
    <row r="2653" spans="1:23" hidden="1" x14ac:dyDescent="0.2">
      <c r="A2653">
        <v>2012</v>
      </c>
      <c r="B2653" t="s">
        <v>303</v>
      </c>
      <c r="C2653" s="733">
        <v>40924</v>
      </c>
      <c r="D26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53" t="s">
        <v>485</v>
      </c>
      <c r="F2653" t="s">
        <v>2065</v>
      </c>
      <c r="G2653" t="s">
        <v>4054</v>
      </c>
      <c r="H2653">
        <v>40339</v>
      </c>
      <c r="I2653" t="s">
        <v>423</v>
      </c>
      <c r="J2653" t="s">
        <v>3054</v>
      </c>
      <c r="K2653" t="s">
        <v>2183</v>
      </c>
      <c r="L2653" t="s">
        <v>2184</v>
      </c>
      <c r="M2653">
        <v>43</v>
      </c>
      <c r="N2653">
        <v>14.95</v>
      </c>
      <c r="O2653">
        <v>1687.41</v>
      </c>
      <c r="P2653">
        <v>0</v>
      </c>
      <c r="Q2653">
        <v>1687.41</v>
      </c>
      <c r="R2653">
        <v>269.99</v>
      </c>
      <c r="S2653">
        <v>67.5</v>
      </c>
      <c r="T2653">
        <v>1889.9</v>
      </c>
      <c r="U2653" t="s">
        <v>7554</v>
      </c>
      <c r="V2653" t="s">
        <v>9408</v>
      </c>
      <c r="W2653" t="s">
        <v>423</v>
      </c>
    </row>
    <row r="2654" spans="1:23" hidden="1" x14ac:dyDescent="0.2">
      <c r="A2654">
        <v>2012</v>
      </c>
      <c r="B2654" t="s">
        <v>303</v>
      </c>
      <c r="C2654" s="733">
        <v>40927.344259259262</v>
      </c>
      <c r="D26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54" t="s">
        <v>485</v>
      </c>
      <c r="F2654" t="s">
        <v>2065</v>
      </c>
      <c r="G2654" t="s">
        <v>4522</v>
      </c>
      <c r="H2654">
        <v>40545</v>
      </c>
      <c r="I2654" t="s">
        <v>2821</v>
      </c>
      <c r="J2654" t="s">
        <v>4523</v>
      </c>
      <c r="K2654" t="s">
        <v>4524</v>
      </c>
      <c r="L2654" t="s">
        <v>2184</v>
      </c>
      <c r="M2654">
        <v>6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V2654" t="s">
        <v>9408</v>
      </c>
      <c r="W2654" t="s">
        <v>2821</v>
      </c>
    </row>
    <row r="2655" spans="1:23" hidden="1" x14ac:dyDescent="0.2">
      <c r="A2655">
        <v>2012</v>
      </c>
      <c r="B2655" t="s">
        <v>303</v>
      </c>
      <c r="C2655" s="733">
        <v>40924</v>
      </c>
      <c r="D26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55" t="s">
        <v>505</v>
      </c>
      <c r="F2655" t="s">
        <v>1915</v>
      </c>
      <c r="G2655" t="s">
        <v>4749</v>
      </c>
      <c r="H2655">
        <v>21982</v>
      </c>
      <c r="I2655" t="s">
        <v>423</v>
      </c>
      <c r="J2655" t="s">
        <v>1917</v>
      </c>
      <c r="K2655" t="s">
        <v>1918</v>
      </c>
      <c r="L2655" t="s">
        <v>1919</v>
      </c>
      <c r="M2655">
        <v>267</v>
      </c>
      <c r="N2655">
        <v>24.84</v>
      </c>
      <c r="O2655">
        <v>5585.03</v>
      </c>
      <c r="P2655">
        <v>0</v>
      </c>
      <c r="Q2655">
        <v>5585.03</v>
      </c>
      <c r="R2655">
        <v>893.6</v>
      </c>
      <c r="S2655">
        <v>223.4</v>
      </c>
      <c r="T2655">
        <v>6255.23</v>
      </c>
      <c r="U2655" t="s">
        <v>1936</v>
      </c>
      <c r="V2655" t="s">
        <v>9408</v>
      </c>
      <c r="W2655" t="s">
        <v>423</v>
      </c>
    </row>
    <row r="2656" spans="1:23" hidden="1" x14ac:dyDescent="0.2">
      <c r="A2656">
        <v>2012</v>
      </c>
      <c r="B2656" t="s">
        <v>304</v>
      </c>
      <c r="C2656" s="733">
        <v>40940</v>
      </c>
      <c r="D26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56" t="s">
        <v>485</v>
      </c>
      <c r="F2656" t="s">
        <v>2065</v>
      </c>
      <c r="G2656" t="s">
        <v>4327</v>
      </c>
      <c r="H2656">
        <v>40343</v>
      </c>
      <c r="I2656" t="s">
        <v>423</v>
      </c>
      <c r="J2656" t="s">
        <v>2186</v>
      </c>
      <c r="K2656" t="s">
        <v>2183</v>
      </c>
      <c r="L2656" t="s">
        <v>2184</v>
      </c>
      <c r="M2656">
        <v>19</v>
      </c>
      <c r="N2656">
        <v>15.18</v>
      </c>
      <c r="O2656">
        <v>1713.37</v>
      </c>
      <c r="P2656">
        <v>0</v>
      </c>
      <c r="Q2656">
        <v>1713.37</v>
      </c>
      <c r="R2656">
        <v>274.14</v>
      </c>
      <c r="S2656">
        <v>68.53</v>
      </c>
      <c r="T2656">
        <v>1918.98</v>
      </c>
      <c r="U2656" t="s">
        <v>2187</v>
      </c>
      <c r="V2656" t="s">
        <v>9408</v>
      </c>
      <c r="W2656" t="s">
        <v>423</v>
      </c>
    </row>
    <row r="2657" spans="1:23" hidden="1" x14ac:dyDescent="0.2">
      <c r="A2657">
        <v>2012</v>
      </c>
      <c r="B2657" t="s">
        <v>303</v>
      </c>
      <c r="C2657" s="733">
        <v>40910.4684837963</v>
      </c>
      <c r="D26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57" t="s">
        <v>485</v>
      </c>
      <c r="F2657" t="s">
        <v>2065</v>
      </c>
      <c r="G2657" t="s">
        <v>4328</v>
      </c>
      <c r="H2657">
        <v>39664</v>
      </c>
      <c r="I2657" t="s">
        <v>423</v>
      </c>
      <c r="J2657" t="s">
        <v>2186</v>
      </c>
      <c r="K2657" t="s">
        <v>2183</v>
      </c>
      <c r="L2657" t="s">
        <v>2115</v>
      </c>
      <c r="M2657">
        <v>19</v>
      </c>
      <c r="N2657">
        <v>15.01</v>
      </c>
      <c r="O2657">
        <v>713.28</v>
      </c>
      <c r="P2657">
        <v>803.07481900000005</v>
      </c>
      <c r="Q2657">
        <v>1516.3548189999999</v>
      </c>
      <c r="R2657">
        <v>242.616771</v>
      </c>
      <c r="S2657">
        <v>60.654192999999999</v>
      </c>
      <c r="T2657">
        <v>1698.317397</v>
      </c>
      <c r="U2657" t="s">
        <v>3038</v>
      </c>
      <c r="V2657" t="s">
        <v>9408</v>
      </c>
      <c r="W2657" t="s">
        <v>423</v>
      </c>
    </row>
    <row r="2658" spans="1:23" hidden="1" x14ac:dyDescent="0.2">
      <c r="A2658">
        <v>2012</v>
      </c>
      <c r="B2658" t="s">
        <v>303</v>
      </c>
      <c r="C2658" s="733">
        <v>40936</v>
      </c>
      <c r="D26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58" t="s">
        <v>478</v>
      </c>
      <c r="F2658" t="s">
        <v>3787</v>
      </c>
      <c r="G2658" t="s">
        <v>4341</v>
      </c>
      <c r="H2658">
        <v>34559</v>
      </c>
      <c r="I2658" t="s">
        <v>423</v>
      </c>
      <c r="J2658" t="s">
        <v>3789</v>
      </c>
      <c r="K2658" t="s">
        <v>3481</v>
      </c>
      <c r="L2658" t="s">
        <v>3482</v>
      </c>
      <c r="M2658">
        <v>27</v>
      </c>
      <c r="N2658">
        <v>29.75</v>
      </c>
      <c r="O2658">
        <v>3357.58</v>
      </c>
      <c r="P2658">
        <v>0</v>
      </c>
      <c r="Q2658">
        <v>3357.58</v>
      </c>
      <c r="R2658">
        <v>537.21</v>
      </c>
      <c r="S2658">
        <v>134.30000000000001</v>
      </c>
      <c r="T2658">
        <v>3760.49</v>
      </c>
      <c r="U2658" t="s">
        <v>3784</v>
      </c>
      <c r="V2658" t="s">
        <v>9408</v>
      </c>
      <c r="W2658" t="s">
        <v>423</v>
      </c>
    </row>
    <row r="2659" spans="1:23" hidden="1" x14ac:dyDescent="0.2">
      <c r="A2659">
        <v>2012</v>
      </c>
      <c r="B2659" t="s">
        <v>304</v>
      </c>
      <c r="C2659" s="733">
        <v>40963</v>
      </c>
      <c r="D26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59" t="s">
        <v>485</v>
      </c>
      <c r="F2659" t="s">
        <v>2065</v>
      </c>
      <c r="G2659" t="s">
        <v>8564</v>
      </c>
      <c r="H2659">
        <v>42381</v>
      </c>
      <c r="I2659" t="s">
        <v>423</v>
      </c>
      <c r="J2659" t="s">
        <v>8565</v>
      </c>
      <c r="K2659" t="s">
        <v>2102</v>
      </c>
      <c r="L2659" t="s">
        <v>2115</v>
      </c>
      <c r="M2659">
        <v>694</v>
      </c>
      <c r="N2659">
        <v>25.51</v>
      </c>
      <c r="O2659">
        <v>12728.72</v>
      </c>
      <c r="P2659">
        <v>0</v>
      </c>
      <c r="Q2659">
        <v>12728.72</v>
      </c>
      <c r="R2659">
        <v>2036.6</v>
      </c>
      <c r="S2659">
        <v>509.15</v>
      </c>
      <c r="T2659">
        <v>14256.17</v>
      </c>
      <c r="V2659" t="s">
        <v>9409</v>
      </c>
      <c r="W2659" t="s">
        <v>423</v>
      </c>
    </row>
    <row r="2660" spans="1:23" hidden="1" x14ac:dyDescent="0.2">
      <c r="A2660">
        <v>2012</v>
      </c>
      <c r="B2660" t="s">
        <v>303</v>
      </c>
      <c r="C2660" s="733">
        <v>40924</v>
      </c>
      <c r="D26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60" t="s">
        <v>478</v>
      </c>
      <c r="F2660" t="s">
        <v>2136</v>
      </c>
      <c r="G2660" t="s">
        <v>5389</v>
      </c>
      <c r="H2660">
        <v>34515</v>
      </c>
      <c r="I2660" t="s">
        <v>423</v>
      </c>
      <c r="J2660" t="s">
        <v>4699</v>
      </c>
      <c r="K2660" t="s">
        <v>425</v>
      </c>
      <c r="L2660" t="s">
        <v>2145</v>
      </c>
      <c r="M2660">
        <v>555</v>
      </c>
      <c r="N2660">
        <v>47.35</v>
      </c>
      <c r="O2660">
        <v>15128.32</v>
      </c>
      <c r="P2660">
        <v>0</v>
      </c>
      <c r="Q2660">
        <v>15128.32</v>
      </c>
      <c r="R2660">
        <v>2420.5300000000002</v>
      </c>
      <c r="S2660">
        <v>605.13</v>
      </c>
      <c r="T2660">
        <v>16943.72</v>
      </c>
      <c r="U2660" t="s">
        <v>2927</v>
      </c>
      <c r="V2660" t="s">
        <v>9409</v>
      </c>
      <c r="W2660" t="s">
        <v>423</v>
      </c>
    </row>
    <row r="2661" spans="1:23" hidden="1" x14ac:dyDescent="0.2">
      <c r="A2661">
        <v>2012</v>
      </c>
      <c r="B2661" t="s">
        <v>304</v>
      </c>
      <c r="C2661" s="733">
        <v>40960</v>
      </c>
      <c r="D26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61" t="s">
        <v>478</v>
      </c>
      <c r="F2661" t="s">
        <v>2136</v>
      </c>
      <c r="G2661" t="s">
        <v>8399</v>
      </c>
      <c r="H2661">
        <v>35780</v>
      </c>
      <c r="I2661" t="s">
        <v>423</v>
      </c>
      <c r="J2661" t="s">
        <v>4699</v>
      </c>
      <c r="K2661" t="s">
        <v>425</v>
      </c>
      <c r="L2661" t="s">
        <v>2145</v>
      </c>
      <c r="M2661">
        <v>555</v>
      </c>
      <c r="N2661">
        <v>38.94</v>
      </c>
      <c r="O2661">
        <v>12441.33</v>
      </c>
      <c r="P2661">
        <v>0</v>
      </c>
      <c r="Q2661">
        <v>12441.33</v>
      </c>
      <c r="R2661">
        <v>1990.61</v>
      </c>
      <c r="S2661">
        <v>497.65</v>
      </c>
      <c r="T2661">
        <v>13934.29</v>
      </c>
      <c r="U2661" t="s">
        <v>8252</v>
      </c>
      <c r="V2661" t="s">
        <v>9409</v>
      </c>
      <c r="W2661" t="s">
        <v>423</v>
      </c>
    </row>
    <row r="2662" spans="1:23" hidden="1" x14ac:dyDescent="0.2">
      <c r="A2662">
        <v>2012</v>
      </c>
      <c r="B2662" t="s">
        <v>304</v>
      </c>
      <c r="C2662" s="733">
        <v>40966</v>
      </c>
      <c r="D26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62" t="s">
        <v>478</v>
      </c>
      <c r="F2662" t="s">
        <v>2136</v>
      </c>
      <c r="G2662" t="s">
        <v>8882</v>
      </c>
      <c r="H2662">
        <v>35979</v>
      </c>
      <c r="I2662" t="s">
        <v>423</v>
      </c>
      <c r="J2662" t="s">
        <v>4699</v>
      </c>
      <c r="K2662" t="s">
        <v>425</v>
      </c>
      <c r="L2662" t="s">
        <v>2145</v>
      </c>
      <c r="M2662">
        <v>555</v>
      </c>
      <c r="N2662">
        <v>30.76</v>
      </c>
      <c r="O2662">
        <v>9827.82</v>
      </c>
      <c r="P2662">
        <v>0</v>
      </c>
      <c r="Q2662">
        <v>9827.82</v>
      </c>
      <c r="R2662">
        <v>1572.45</v>
      </c>
      <c r="S2662">
        <v>393.11</v>
      </c>
      <c r="T2662">
        <v>11007.16</v>
      </c>
      <c r="U2662" t="s">
        <v>9457</v>
      </c>
      <c r="V2662" t="s">
        <v>9408</v>
      </c>
      <c r="W2662" t="s">
        <v>423</v>
      </c>
    </row>
    <row r="2663" spans="1:23" hidden="1" x14ac:dyDescent="0.2">
      <c r="A2663">
        <v>2012</v>
      </c>
      <c r="B2663" t="s">
        <v>304</v>
      </c>
      <c r="C2663" s="733">
        <v>40966</v>
      </c>
      <c r="D26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63" t="s">
        <v>478</v>
      </c>
      <c r="F2663" t="s">
        <v>2136</v>
      </c>
      <c r="G2663" t="s">
        <v>9150</v>
      </c>
      <c r="H2663">
        <v>36008</v>
      </c>
      <c r="I2663" t="s">
        <v>423</v>
      </c>
      <c r="J2663" t="s">
        <v>3029</v>
      </c>
      <c r="K2663" t="s">
        <v>425</v>
      </c>
      <c r="L2663" t="s">
        <v>2145</v>
      </c>
      <c r="M2663">
        <v>35</v>
      </c>
      <c r="N2663">
        <v>25.32</v>
      </c>
      <c r="O2663">
        <v>3399.21</v>
      </c>
      <c r="P2663">
        <v>0</v>
      </c>
      <c r="Q2663">
        <v>3399.21</v>
      </c>
      <c r="R2663">
        <v>543.87</v>
      </c>
      <c r="S2663">
        <v>135.97</v>
      </c>
      <c r="T2663">
        <v>3807.11</v>
      </c>
      <c r="U2663" t="s">
        <v>9430</v>
      </c>
      <c r="V2663" t="s">
        <v>9408</v>
      </c>
      <c r="W2663" t="s">
        <v>423</v>
      </c>
    </row>
    <row r="2664" spans="1:23" hidden="1" x14ac:dyDescent="0.2">
      <c r="A2664">
        <v>2012</v>
      </c>
      <c r="B2664" t="s">
        <v>304</v>
      </c>
      <c r="C2664" s="733">
        <v>40953</v>
      </c>
      <c r="D26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64" t="s">
        <v>505</v>
      </c>
      <c r="F2664" t="s">
        <v>1915</v>
      </c>
      <c r="G2664" t="s">
        <v>2528</v>
      </c>
      <c r="H2664">
        <v>22657</v>
      </c>
      <c r="I2664" t="s">
        <v>424</v>
      </c>
      <c r="J2664" t="s">
        <v>1954</v>
      </c>
      <c r="K2664" t="s">
        <v>1918</v>
      </c>
      <c r="L2664" t="s">
        <v>1919</v>
      </c>
      <c r="M2664">
        <v>303</v>
      </c>
      <c r="N2664">
        <v>30</v>
      </c>
      <c r="O2664">
        <v>2314.83</v>
      </c>
      <c r="P2664">
        <v>1330.31</v>
      </c>
      <c r="Q2664">
        <v>3645.14</v>
      </c>
      <c r="R2664">
        <v>583.22</v>
      </c>
      <c r="S2664">
        <v>145.81</v>
      </c>
      <c r="T2664">
        <v>4082.55</v>
      </c>
      <c r="U2664" t="s">
        <v>7522</v>
      </c>
      <c r="V2664" t="s">
        <v>9408</v>
      </c>
      <c r="W2664" t="s">
        <v>424</v>
      </c>
    </row>
    <row r="2665" spans="1:23" hidden="1" x14ac:dyDescent="0.2">
      <c r="A2665">
        <v>2012</v>
      </c>
      <c r="B2665" t="s">
        <v>304</v>
      </c>
      <c r="C2665" s="733">
        <v>40942</v>
      </c>
      <c r="D26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65" t="s">
        <v>485</v>
      </c>
      <c r="F2665" t="s">
        <v>2065</v>
      </c>
      <c r="G2665" t="s">
        <v>6004</v>
      </c>
      <c r="H2665">
        <v>39802</v>
      </c>
      <c r="I2665" t="s">
        <v>423</v>
      </c>
      <c r="J2665" t="s">
        <v>3054</v>
      </c>
      <c r="K2665" t="s">
        <v>2183</v>
      </c>
      <c r="L2665" t="s">
        <v>2184</v>
      </c>
      <c r="M2665">
        <v>43</v>
      </c>
      <c r="N2665">
        <v>17.329999999999998</v>
      </c>
      <c r="O2665">
        <v>1956.04</v>
      </c>
      <c r="P2665">
        <v>0</v>
      </c>
      <c r="Q2665">
        <v>1956.04</v>
      </c>
      <c r="R2665">
        <v>312.97000000000003</v>
      </c>
      <c r="S2665">
        <v>78.239999999999995</v>
      </c>
      <c r="T2665">
        <v>2190.77</v>
      </c>
      <c r="U2665" t="s">
        <v>2192</v>
      </c>
      <c r="V2665" t="s">
        <v>9408</v>
      </c>
      <c r="W2665" t="s">
        <v>423</v>
      </c>
    </row>
    <row r="2666" spans="1:23" hidden="1" x14ac:dyDescent="0.2">
      <c r="A2666">
        <v>2012</v>
      </c>
      <c r="B2666" t="s">
        <v>304</v>
      </c>
      <c r="C2666" s="733">
        <v>40952</v>
      </c>
      <c r="D26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66" t="s">
        <v>505</v>
      </c>
      <c r="F2666" t="s">
        <v>1915</v>
      </c>
      <c r="G2666" t="s">
        <v>2527</v>
      </c>
      <c r="H2666">
        <v>22665</v>
      </c>
      <c r="I2666" t="s">
        <v>424</v>
      </c>
      <c r="J2666" t="s">
        <v>1954</v>
      </c>
      <c r="K2666" t="s">
        <v>1918</v>
      </c>
      <c r="L2666" t="s">
        <v>1919</v>
      </c>
      <c r="M2666">
        <v>303</v>
      </c>
      <c r="N2666">
        <v>30</v>
      </c>
      <c r="O2666">
        <v>2314.83</v>
      </c>
      <c r="P2666">
        <v>1330.309653</v>
      </c>
      <c r="Q2666">
        <v>3645.1396530000002</v>
      </c>
      <c r="R2666">
        <v>583.22234400000002</v>
      </c>
      <c r="S2666">
        <v>145.80558600000001</v>
      </c>
      <c r="T2666">
        <v>4082.556411</v>
      </c>
      <c r="V2666" t="s">
        <v>9408</v>
      </c>
      <c r="W2666" t="s">
        <v>424</v>
      </c>
    </row>
    <row r="2667" spans="1:23" hidden="1" x14ac:dyDescent="0.2">
      <c r="A2667">
        <v>2012</v>
      </c>
      <c r="B2667" t="s">
        <v>304</v>
      </c>
      <c r="C2667" s="733">
        <v>40940</v>
      </c>
      <c r="D26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67" t="s">
        <v>478</v>
      </c>
      <c r="F2667" t="s">
        <v>2136</v>
      </c>
      <c r="G2667" t="s">
        <v>6997</v>
      </c>
      <c r="H2667">
        <v>35036</v>
      </c>
      <c r="I2667" t="s">
        <v>423</v>
      </c>
      <c r="J2667" t="s">
        <v>4632</v>
      </c>
      <c r="K2667" t="s">
        <v>425</v>
      </c>
      <c r="L2667" t="s">
        <v>2145</v>
      </c>
      <c r="M2667">
        <v>1395</v>
      </c>
      <c r="N2667">
        <v>45.73</v>
      </c>
      <c r="O2667">
        <v>41467.51</v>
      </c>
      <c r="P2667">
        <v>0</v>
      </c>
      <c r="Q2667">
        <v>41467.51</v>
      </c>
      <c r="R2667">
        <v>6634.8</v>
      </c>
      <c r="S2667">
        <v>1658.7</v>
      </c>
      <c r="T2667">
        <v>46443.61</v>
      </c>
      <c r="U2667" t="s">
        <v>2914</v>
      </c>
      <c r="V2667" t="s">
        <v>9409</v>
      </c>
      <c r="W2667" t="s">
        <v>423</v>
      </c>
    </row>
    <row r="2668" spans="1:23" hidden="1" x14ac:dyDescent="0.2">
      <c r="A2668">
        <v>2012</v>
      </c>
      <c r="B2668" t="s">
        <v>303</v>
      </c>
      <c r="C2668" s="733">
        <v>40921</v>
      </c>
      <c r="D26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68" t="s">
        <v>485</v>
      </c>
      <c r="F2668" t="s">
        <v>2065</v>
      </c>
      <c r="G2668" t="s">
        <v>6991</v>
      </c>
      <c r="H2668">
        <v>40175</v>
      </c>
      <c r="I2668" t="s">
        <v>423</v>
      </c>
      <c r="J2668" t="s">
        <v>4626</v>
      </c>
      <c r="K2668" t="s">
        <v>2102</v>
      </c>
      <c r="L2668" t="s">
        <v>2115</v>
      </c>
      <c r="M2668">
        <v>1457</v>
      </c>
      <c r="N2668">
        <v>25.19</v>
      </c>
      <c r="O2668">
        <v>18638.580000000002</v>
      </c>
      <c r="P2668">
        <v>0</v>
      </c>
      <c r="Q2668">
        <v>18638.580000000002</v>
      </c>
      <c r="R2668">
        <v>2982.17</v>
      </c>
      <c r="S2668">
        <v>745.54</v>
      </c>
      <c r="T2668">
        <v>20875.21</v>
      </c>
      <c r="U2668" t="s">
        <v>2106</v>
      </c>
      <c r="V2668" t="s">
        <v>9408</v>
      </c>
      <c r="W2668" t="s">
        <v>423</v>
      </c>
    </row>
    <row r="2669" spans="1:23" hidden="1" x14ac:dyDescent="0.2">
      <c r="A2669">
        <v>2012</v>
      </c>
      <c r="B2669" t="s">
        <v>304</v>
      </c>
      <c r="C2669" s="733">
        <v>40953.458622685182</v>
      </c>
      <c r="D26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69" t="s">
        <v>485</v>
      </c>
      <c r="F2669" t="s">
        <v>2065</v>
      </c>
      <c r="G2669" t="s">
        <v>6003</v>
      </c>
      <c r="H2669">
        <v>41925</v>
      </c>
      <c r="I2669" t="s">
        <v>423</v>
      </c>
      <c r="J2669" t="s">
        <v>3054</v>
      </c>
      <c r="K2669" t="s">
        <v>2183</v>
      </c>
      <c r="L2669" t="s">
        <v>2184</v>
      </c>
      <c r="M2669">
        <v>43</v>
      </c>
      <c r="N2669">
        <v>16.059999999999999</v>
      </c>
      <c r="O2669">
        <v>1812.69</v>
      </c>
      <c r="P2669">
        <v>0</v>
      </c>
      <c r="Q2669">
        <v>1812.69</v>
      </c>
      <c r="R2669">
        <v>290.02999999999997</v>
      </c>
      <c r="S2669">
        <v>72.510000000000005</v>
      </c>
      <c r="T2669">
        <v>2030.21</v>
      </c>
      <c r="U2669" t="s">
        <v>8048</v>
      </c>
      <c r="V2669" t="s">
        <v>9408</v>
      </c>
      <c r="W2669" t="s">
        <v>423</v>
      </c>
    </row>
    <row r="2670" spans="1:23" hidden="1" x14ac:dyDescent="0.2">
      <c r="A2670">
        <v>2012</v>
      </c>
      <c r="B2670" t="s">
        <v>304</v>
      </c>
      <c r="C2670" s="733">
        <v>40942</v>
      </c>
      <c r="D26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70" t="s">
        <v>485</v>
      </c>
      <c r="F2670" t="s">
        <v>2065</v>
      </c>
      <c r="G2670" t="s">
        <v>6002</v>
      </c>
      <c r="H2670">
        <v>39807</v>
      </c>
      <c r="I2670" t="s">
        <v>423</v>
      </c>
      <c r="J2670" t="s">
        <v>3054</v>
      </c>
      <c r="K2670" t="s">
        <v>2183</v>
      </c>
      <c r="L2670" t="s">
        <v>2184</v>
      </c>
      <c r="M2670">
        <v>43</v>
      </c>
      <c r="N2670">
        <v>16.190000000000001</v>
      </c>
      <c r="O2670">
        <v>1827.37</v>
      </c>
      <c r="P2670">
        <v>0</v>
      </c>
      <c r="Q2670">
        <v>1827.37</v>
      </c>
      <c r="R2670">
        <v>292.38</v>
      </c>
      <c r="S2670">
        <v>73.09</v>
      </c>
      <c r="T2670">
        <v>2046.66</v>
      </c>
      <c r="U2670" t="s">
        <v>2192</v>
      </c>
      <c r="V2670" t="s">
        <v>9408</v>
      </c>
      <c r="W2670" t="s">
        <v>423</v>
      </c>
    </row>
    <row r="2671" spans="1:23" hidden="1" x14ac:dyDescent="0.2">
      <c r="A2671">
        <v>2012</v>
      </c>
      <c r="B2671" t="s">
        <v>305</v>
      </c>
      <c r="C2671" s="733">
        <v>40970</v>
      </c>
      <c r="D2671" s="733" t="str">
        <f>CHOOSE(MONTH(Tabla_sqldatos_bonampakdb_Bon_v_ingresos2012[[#This Row],[fecha_guia]]),"Enero","Febrero","Marzo","Abril","Mayo","Junio","Julio","Agosto","Septiembre","Octubre","Noviembre","Diciembre")</f>
        <v>Marzo</v>
      </c>
      <c r="E2671" t="s">
        <v>485</v>
      </c>
      <c r="F2671" t="s">
        <v>2065</v>
      </c>
      <c r="G2671" t="s">
        <v>9533</v>
      </c>
      <c r="H2671">
        <v>42910</v>
      </c>
      <c r="I2671" t="s">
        <v>423</v>
      </c>
      <c r="J2671" t="s">
        <v>3054</v>
      </c>
      <c r="K2671" t="s">
        <v>2183</v>
      </c>
      <c r="L2671" t="s">
        <v>2184</v>
      </c>
      <c r="M2671">
        <v>43</v>
      </c>
      <c r="N2671">
        <v>15.64</v>
      </c>
      <c r="O2671">
        <v>1765.29</v>
      </c>
      <c r="P2671">
        <v>0</v>
      </c>
      <c r="Q2671">
        <v>1765.29</v>
      </c>
      <c r="R2671">
        <v>282.45</v>
      </c>
      <c r="S2671">
        <v>70.61</v>
      </c>
      <c r="T2671">
        <v>1977.13</v>
      </c>
      <c r="V2671" t="s">
        <v>9408</v>
      </c>
      <c r="W2671" t="s">
        <v>423</v>
      </c>
    </row>
    <row r="2672" spans="1:23" hidden="1" x14ac:dyDescent="0.2">
      <c r="A2672">
        <v>2012</v>
      </c>
      <c r="B2672" t="s">
        <v>303</v>
      </c>
      <c r="C2672" s="733">
        <v>40938</v>
      </c>
      <c r="D26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72" t="s">
        <v>485</v>
      </c>
      <c r="F2672" t="s">
        <v>2065</v>
      </c>
      <c r="G2672" t="s">
        <v>5407</v>
      </c>
      <c r="H2672">
        <v>41087</v>
      </c>
      <c r="I2672" t="s">
        <v>423</v>
      </c>
      <c r="J2672" t="s">
        <v>3054</v>
      </c>
      <c r="K2672" t="s">
        <v>2183</v>
      </c>
      <c r="L2672" t="s">
        <v>2184</v>
      </c>
      <c r="M2672">
        <v>43</v>
      </c>
      <c r="N2672">
        <v>15.3</v>
      </c>
      <c r="O2672">
        <v>1726.91</v>
      </c>
      <c r="P2672">
        <v>0</v>
      </c>
      <c r="Q2672">
        <v>1726.91</v>
      </c>
      <c r="R2672">
        <v>276.31</v>
      </c>
      <c r="S2672">
        <v>69.08</v>
      </c>
      <c r="T2672">
        <v>1934.14</v>
      </c>
      <c r="U2672" t="s">
        <v>2187</v>
      </c>
      <c r="V2672" t="s">
        <v>9408</v>
      </c>
      <c r="W2672" t="s">
        <v>423</v>
      </c>
    </row>
    <row r="2673" spans="1:23" hidden="1" x14ac:dyDescent="0.2">
      <c r="A2673">
        <v>2012</v>
      </c>
      <c r="B2673" t="s">
        <v>303</v>
      </c>
      <c r="C2673" s="733">
        <v>40938</v>
      </c>
      <c r="D26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73" t="s">
        <v>485</v>
      </c>
      <c r="F2673" t="s">
        <v>2065</v>
      </c>
      <c r="G2673" t="s">
        <v>5408</v>
      </c>
      <c r="H2673">
        <v>41084</v>
      </c>
      <c r="I2673" t="s">
        <v>423</v>
      </c>
      <c r="J2673" t="s">
        <v>3054</v>
      </c>
      <c r="K2673" t="s">
        <v>2183</v>
      </c>
      <c r="L2673" t="s">
        <v>2184</v>
      </c>
      <c r="M2673">
        <v>43</v>
      </c>
      <c r="N2673">
        <v>15.71</v>
      </c>
      <c r="O2673">
        <v>1773.19</v>
      </c>
      <c r="P2673">
        <v>0</v>
      </c>
      <c r="Q2673">
        <v>1773.19</v>
      </c>
      <c r="R2673">
        <v>283.70999999999998</v>
      </c>
      <c r="S2673">
        <v>70.930000000000007</v>
      </c>
      <c r="T2673">
        <v>1985.97</v>
      </c>
      <c r="U2673" t="s">
        <v>2187</v>
      </c>
      <c r="V2673" t="s">
        <v>9408</v>
      </c>
      <c r="W2673" t="s">
        <v>423</v>
      </c>
    </row>
    <row r="2674" spans="1:23" hidden="1" x14ac:dyDescent="0.2">
      <c r="A2674">
        <v>2012</v>
      </c>
      <c r="B2674" t="s">
        <v>304</v>
      </c>
      <c r="C2674" s="733">
        <v>40963</v>
      </c>
      <c r="D26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74" t="s">
        <v>505</v>
      </c>
      <c r="F2674" t="s">
        <v>1915</v>
      </c>
      <c r="G2674" t="s">
        <v>8513</v>
      </c>
      <c r="H2674">
        <v>22959</v>
      </c>
      <c r="I2674" t="s">
        <v>424</v>
      </c>
      <c r="J2674" t="s">
        <v>1917</v>
      </c>
      <c r="K2674" t="s">
        <v>1918</v>
      </c>
      <c r="L2674" t="s">
        <v>1919</v>
      </c>
      <c r="M2674">
        <v>267</v>
      </c>
      <c r="N2674">
        <v>30</v>
      </c>
      <c r="O2674">
        <v>4613.7</v>
      </c>
      <c r="P2674">
        <v>0</v>
      </c>
      <c r="Q2674">
        <v>4613.7</v>
      </c>
      <c r="R2674">
        <v>738.19</v>
      </c>
      <c r="S2674">
        <v>184.55</v>
      </c>
      <c r="T2674">
        <v>5167.34</v>
      </c>
      <c r="U2674" t="s">
        <v>8778</v>
      </c>
      <c r="V2674" t="s">
        <v>9408</v>
      </c>
      <c r="W2674" t="s">
        <v>424</v>
      </c>
    </row>
    <row r="2675" spans="1:23" hidden="1" x14ac:dyDescent="0.2">
      <c r="A2675">
        <v>2012</v>
      </c>
      <c r="B2675" t="s">
        <v>304</v>
      </c>
      <c r="C2675" s="733">
        <v>40941</v>
      </c>
      <c r="D26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75" t="s">
        <v>505</v>
      </c>
      <c r="F2675" t="s">
        <v>1915</v>
      </c>
      <c r="G2675" t="s">
        <v>6583</v>
      </c>
      <c r="H2675">
        <v>22420</v>
      </c>
      <c r="I2675" t="s">
        <v>424</v>
      </c>
      <c r="J2675" t="s">
        <v>1917</v>
      </c>
      <c r="K2675" t="s">
        <v>1918</v>
      </c>
      <c r="L2675" t="s">
        <v>1919</v>
      </c>
      <c r="M2675">
        <v>267</v>
      </c>
      <c r="N2675">
        <v>30</v>
      </c>
      <c r="O2675">
        <v>2929.97</v>
      </c>
      <c r="P2675">
        <v>1683.8244589999999</v>
      </c>
      <c r="Q2675">
        <v>4613.7944589999997</v>
      </c>
      <c r="R2675">
        <v>738.20711300000005</v>
      </c>
      <c r="S2675">
        <v>184.55177800000001</v>
      </c>
      <c r="T2675">
        <v>5167.4497940000001</v>
      </c>
      <c r="U2675" t="s">
        <v>1926</v>
      </c>
      <c r="V2675" t="s">
        <v>9408</v>
      </c>
      <c r="W2675" t="s">
        <v>424</v>
      </c>
    </row>
    <row r="2676" spans="1:23" hidden="1" x14ac:dyDescent="0.2">
      <c r="A2676">
        <v>2012</v>
      </c>
      <c r="B2676" t="s">
        <v>304</v>
      </c>
      <c r="C2676" s="733">
        <v>40960</v>
      </c>
      <c r="D26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76" t="s">
        <v>505</v>
      </c>
      <c r="F2676" t="s">
        <v>1915</v>
      </c>
      <c r="G2676" t="s">
        <v>8187</v>
      </c>
      <c r="H2676">
        <v>22898</v>
      </c>
      <c r="I2676" t="s">
        <v>424</v>
      </c>
      <c r="J2676" t="s">
        <v>1917</v>
      </c>
      <c r="K2676" t="s">
        <v>1918</v>
      </c>
      <c r="L2676" t="s">
        <v>1919</v>
      </c>
      <c r="M2676">
        <v>267</v>
      </c>
      <c r="N2676">
        <v>30</v>
      </c>
      <c r="O2676">
        <v>4613.7</v>
      </c>
      <c r="P2676">
        <v>0</v>
      </c>
      <c r="Q2676">
        <v>4613.7</v>
      </c>
      <c r="R2676">
        <v>738.19</v>
      </c>
      <c r="S2676">
        <v>184.55</v>
      </c>
      <c r="T2676">
        <v>5167.34</v>
      </c>
      <c r="U2676" t="s">
        <v>8491</v>
      </c>
      <c r="V2676" t="s">
        <v>9408</v>
      </c>
      <c r="W2676" t="s">
        <v>424</v>
      </c>
    </row>
    <row r="2677" spans="1:23" hidden="1" x14ac:dyDescent="0.2">
      <c r="A2677">
        <v>2012</v>
      </c>
      <c r="B2677" t="s">
        <v>303</v>
      </c>
      <c r="C2677" s="733">
        <v>40926</v>
      </c>
      <c r="D26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77" t="s">
        <v>505</v>
      </c>
      <c r="F2677" t="s">
        <v>1915</v>
      </c>
      <c r="G2677" t="s">
        <v>2526</v>
      </c>
      <c r="H2677">
        <v>22073</v>
      </c>
      <c r="I2677" t="s">
        <v>424</v>
      </c>
      <c r="J2677" t="s">
        <v>1954</v>
      </c>
      <c r="K2677" t="s">
        <v>1918</v>
      </c>
      <c r="L2677" t="s">
        <v>1919</v>
      </c>
      <c r="M2677">
        <v>303</v>
      </c>
      <c r="N2677">
        <v>30</v>
      </c>
      <c r="O2677">
        <v>2314.83</v>
      </c>
      <c r="P2677">
        <v>1330.309653</v>
      </c>
      <c r="Q2677">
        <v>3645.1396530000002</v>
      </c>
      <c r="R2677">
        <v>583.22234400000002</v>
      </c>
      <c r="S2677">
        <v>145.80558600000001</v>
      </c>
      <c r="T2677">
        <v>4082.556411</v>
      </c>
      <c r="U2677" t="s">
        <v>8778</v>
      </c>
      <c r="V2677" t="s">
        <v>9408</v>
      </c>
      <c r="W2677" t="s">
        <v>424</v>
      </c>
    </row>
    <row r="2678" spans="1:23" hidden="1" x14ac:dyDescent="0.2">
      <c r="A2678">
        <v>2012</v>
      </c>
      <c r="B2678" t="s">
        <v>304</v>
      </c>
      <c r="C2678" s="733">
        <v>40955</v>
      </c>
      <c r="D26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78" t="s">
        <v>505</v>
      </c>
      <c r="F2678" t="s">
        <v>1915</v>
      </c>
      <c r="G2678" t="s">
        <v>7818</v>
      </c>
      <c r="H2678">
        <v>22774</v>
      </c>
      <c r="I2678" t="s">
        <v>423</v>
      </c>
      <c r="J2678" t="s">
        <v>4146</v>
      </c>
      <c r="K2678" t="s">
        <v>1918</v>
      </c>
      <c r="L2678" t="s">
        <v>1919</v>
      </c>
      <c r="M2678">
        <v>243</v>
      </c>
      <c r="N2678">
        <v>25.6</v>
      </c>
      <c r="O2678">
        <v>7944.7</v>
      </c>
      <c r="P2678">
        <v>0</v>
      </c>
      <c r="Q2678">
        <v>7944.7</v>
      </c>
      <c r="R2678">
        <v>1271.1500000000001</v>
      </c>
      <c r="S2678">
        <v>317.79000000000002</v>
      </c>
      <c r="T2678">
        <v>8898.06</v>
      </c>
      <c r="U2678" t="s">
        <v>7529</v>
      </c>
      <c r="V2678" t="s">
        <v>9408</v>
      </c>
      <c r="W2678" t="s">
        <v>423</v>
      </c>
    </row>
    <row r="2679" spans="1:23" hidden="1" x14ac:dyDescent="0.2">
      <c r="A2679">
        <v>2012</v>
      </c>
      <c r="B2679" t="s">
        <v>303</v>
      </c>
      <c r="C2679" s="733">
        <v>40928</v>
      </c>
      <c r="D26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79" t="s">
        <v>505</v>
      </c>
      <c r="F2679" t="s">
        <v>1915</v>
      </c>
      <c r="G2679" t="s">
        <v>2507</v>
      </c>
      <c r="H2679">
        <v>22128</v>
      </c>
      <c r="I2679" t="s">
        <v>424</v>
      </c>
      <c r="J2679" t="s">
        <v>1917</v>
      </c>
      <c r="K2679" t="s">
        <v>1918</v>
      </c>
      <c r="L2679" t="s">
        <v>1919</v>
      </c>
      <c r="M2679">
        <v>267</v>
      </c>
      <c r="N2679">
        <v>30</v>
      </c>
      <c r="O2679">
        <v>2929.97</v>
      </c>
      <c r="P2679">
        <v>1683.8244589999999</v>
      </c>
      <c r="Q2679">
        <v>4613.7944589999997</v>
      </c>
      <c r="R2679">
        <v>738.20711300000005</v>
      </c>
      <c r="S2679">
        <v>184.55177800000001</v>
      </c>
      <c r="T2679">
        <v>5167.4497940000001</v>
      </c>
      <c r="U2679" t="s">
        <v>1928</v>
      </c>
      <c r="V2679" t="s">
        <v>9408</v>
      </c>
      <c r="W2679" t="s">
        <v>424</v>
      </c>
    </row>
    <row r="2680" spans="1:23" hidden="1" x14ac:dyDescent="0.2">
      <c r="A2680">
        <v>2012</v>
      </c>
      <c r="B2680" t="s">
        <v>304</v>
      </c>
      <c r="C2680" s="733">
        <v>40954.444305555553</v>
      </c>
      <c r="D26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80" t="s">
        <v>485</v>
      </c>
      <c r="F2680" t="s">
        <v>2065</v>
      </c>
      <c r="G2680" t="s">
        <v>7479</v>
      </c>
      <c r="H2680">
        <v>41971</v>
      </c>
      <c r="I2680" t="s">
        <v>423</v>
      </c>
      <c r="J2680" t="s">
        <v>3054</v>
      </c>
      <c r="K2680" t="s">
        <v>2183</v>
      </c>
      <c r="L2680" t="s">
        <v>2184</v>
      </c>
      <c r="M2680">
        <v>43</v>
      </c>
      <c r="N2680">
        <v>15.19</v>
      </c>
      <c r="O2680">
        <v>1714.5</v>
      </c>
      <c r="P2680">
        <v>0</v>
      </c>
      <c r="Q2680">
        <v>1714.5</v>
      </c>
      <c r="R2680">
        <v>274.32</v>
      </c>
      <c r="S2680">
        <v>68.58</v>
      </c>
      <c r="T2680">
        <v>1920.24</v>
      </c>
      <c r="U2680" t="s">
        <v>8048</v>
      </c>
      <c r="V2680" t="s">
        <v>9408</v>
      </c>
      <c r="W2680" t="s">
        <v>423</v>
      </c>
    </row>
    <row r="2681" spans="1:23" hidden="1" x14ac:dyDescent="0.2">
      <c r="A2681">
        <v>2012</v>
      </c>
      <c r="B2681" t="s">
        <v>304</v>
      </c>
      <c r="C2681" s="733">
        <v>40946</v>
      </c>
      <c r="D26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81" t="s">
        <v>485</v>
      </c>
      <c r="F2681" t="s">
        <v>2065</v>
      </c>
      <c r="G2681" t="s">
        <v>6001</v>
      </c>
      <c r="H2681">
        <v>41527</v>
      </c>
      <c r="I2681" t="s">
        <v>423</v>
      </c>
      <c r="J2681" t="s">
        <v>3054</v>
      </c>
      <c r="K2681" t="s">
        <v>2183</v>
      </c>
      <c r="L2681" t="s">
        <v>2184</v>
      </c>
      <c r="M2681">
        <v>43</v>
      </c>
      <c r="N2681">
        <v>15.21</v>
      </c>
      <c r="O2681">
        <v>1716.75</v>
      </c>
      <c r="P2681">
        <v>0</v>
      </c>
      <c r="Q2681">
        <v>1716.75</v>
      </c>
      <c r="R2681">
        <v>274.68</v>
      </c>
      <c r="S2681">
        <v>68.67</v>
      </c>
      <c r="T2681">
        <v>1922.76</v>
      </c>
      <c r="U2681" t="s">
        <v>2192</v>
      </c>
      <c r="V2681" t="s">
        <v>9408</v>
      </c>
      <c r="W2681" t="s">
        <v>423</v>
      </c>
    </row>
    <row r="2682" spans="1:23" hidden="1" x14ac:dyDescent="0.2">
      <c r="A2682">
        <v>2012</v>
      </c>
      <c r="B2682" t="s">
        <v>303</v>
      </c>
      <c r="C2682" s="733">
        <v>40935</v>
      </c>
      <c r="D26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82" t="s">
        <v>485</v>
      </c>
      <c r="F2682" t="s">
        <v>2048</v>
      </c>
      <c r="G2682" t="s">
        <v>6520</v>
      </c>
      <c r="H2682">
        <v>40990</v>
      </c>
      <c r="I2682" t="s">
        <v>423</v>
      </c>
      <c r="J2682" t="s">
        <v>4770</v>
      </c>
      <c r="K2682" t="s">
        <v>2051</v>
      </c>
      <c r="L2682" t="s">
        <v>2052</v>
      </c>
      <c r="M2682">
        <v>599</v>
      </c>
      <c r="N2682">
        <v>25.45</v>
      </c>
      <c r="O2682">
        <v>8876.9599999999991</v>
      </c>
      <c r="P2682">
        <v>0</v>
      </c>
      <c r="Q2682">
        <v>8876.9599999999991</v>
      </c>
      <c r="R2682">
        <v>1420.31</v>
      </c>
      <c r="S2682">
        <v>355.08</v>
      </c>
      <c r="T2682">
        <v>9942.19</v>
      </c>
      <c r="U2682" t="s">
        <v>2053</v>
      </c>
      <c r="V2682" t="s">
        <v>9408</v>
      </c>
      <c r="W2682" t="s">
        <v>423</v>
      </c>
    </row>
    <row r="2683" spans="1:23" hidden="1" x14ac:dyDescent="0.2">
      <c r="A2683">
        <v>2012</v>
      </c>
      <c r="B2683" t="s">
        <v>304</v>
      </c>
      <c r="C2683" s="733">
        <v>40942</v>
      </c>
      <c r="D26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83" t="s">
        <v>478</v>
      </c>
      <c r="F2683" t="s">
        <v>4128</v>
      </c>
      <c r="G2683" t="s">
        <v>5990</v>
      </c>
      <c r="H2683">
        <v>34395</v>
      </c>
      <c r="I2683" t="s">
        <v>423</v>
      </c>
      <c r="J2683" t="s">
        <v>5024</v>
      </c>
      <c r="K2683" t="s">
        <v>4397</v>
      </c>
      <c r="L2683" t="s">
        <v>4398</v>
      </c>
      <c r="M2683">
        <v>770</v>
      </c>
      <c r="N2683">
        <v>23.41</v>
      </c>
      <c r="O2683">
        <v>7729.98</v>
      </c>
      <c r="P2683">
        <v>0</v>
      </c>
      <c r="Q2683">
        <v>7729.98</v>
      </c>
      <c r="R2683">
        <v>1236.8</v>
      </c>
      <c r="S2683">
        <v>309.2</v>
      </c>
      <c r="T2683">
        <v>8657.58</v>
      </c>
      <c r="U2683" t="s">
        <v>4399</v>
      </c>
      <c r="V2683" t="s">
        <v>9408</v>
      </c>
      <c r="W2683" t="s">
        <v>423</v>
      </c>
    </row>
    <row r="2684" spans="1:23" hidden="1" x14ac:dyDescent="0.2">
      <c r="A2684">
        <v>2012</v>
      </c>
      <c r="B2684" t="s">
        <v>304</v>
      </c>
      <c r="C2684" s="733">
        <v>40953</v>
      </c>
      <c r="D26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84" t="s">
        <v>505</v>
      </c>
      <c r="F2684" t="s">
        <v>1915</v>
      </c>
      <c r="G2684" t="s">
        <v>6522</v>
      </c>
      <c r="H2684">
        <v>22716</v>
      </c>
      <c r="I2684" t="s">
        <v>1979</v>
      </c>
      <c r="J2684" t="s">
        <v>1917</v>
      </c>
      <c r="K2684" t="s">
        <v>1918</v>
      </c>
      <c r="L2684" t="s">
        <v>1919</v>
      </c>
      <c r="M2684">
        <v>267</v>
      </c>
      <c r="N2684">
        <v>50.21</v>
      </c>
      <c r="O2684">
        <v>11289.22</v>
      </c>
      <c r="P2684">
        <v>0</v>
      </c>
      <c r="Q2684">
        <v>11289.22</v>
      </c>
      <c r="R2684">
        <v>1806.27</v>
      </c>
      <c r="S2684">
        <v>451.57</v>
      </c>
      <c r="T2684">
        <v>12643.92</v>
      </c>
      <c r="U2684" t="s">
        <v>7529</v>
      </c>
      <c r="V2684" t="s">
        <v>9409</v>
      </c>
      <c r="W2684" t="s">
        <v>1979</v>
      </c>
    </row>
    <row r="2685" spans="1:23" hidden="1" x14ac:dyDescent="0.2">
      <c r="A2685">
        <v>2012</v>
      </c>
      <c r="B2685" t="s">
        <v>304</v>
      </c>
      <c r="C2685" s="733">
        <v>40948</v>
      </c>
      <c r="D26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85" t="s">
        <v>478</v>
      </c>
      <c r="F2685" t="s">
        <v>2136</v>
      </c>
      <c r="G2685" t="s">
        <v>6998</v>
      </c>
      <c r="H2685">
        <v>35323</v>
      </c>
      <c r="I2685" t="s">
        <v>423</v>
      </c>
      <c r="J2685" t="s">
        <v>4632</v>
      </c>
      <c r="K2685" t="s">
        <v>425</v>
      </c>
      <c r="L2685" t="s">
        <v>2145</v>
      </c>
      <c r="M2685">
        <v>1395</v>
      </c>
      <c r="N2685">
        <v>50.07</v>
      </c>
      <c r="O2685">
        <v>45402.98</v>
      </c>
      <c r="P2685">
        <v>0</v>
      </c>
      <c r="Q2685">
        <v>45402.98</v>
      </c>
      <c r="R2685">
        <v>7264.48</v>
      </c>
      <c r="S2685">
        <v>1816.12</v>
      </c>
      <c r="T2685">
        <v>50851.34</v>
      </c>
      <c r="U2685" t="s">
        <v>3115</v>
      </c>
      <c r="V2685" t="s">
        <v>9409</v>
      </c>
      <c r="W2685" t="s">
        <v>423</v>
      </c>
    </row>
    <row r="2686" spans="1:23" hidden="1" x14ac:dyDescent="0.2">
      <c r="A2686">
        <v>2012</v>
      </c>
      <c r="B2686" t="s">
        <v>303</v>
      </c>
      <c r="C2686" s="733">
        <v>40918.475393518522</v>
      </c>
      <c r="D26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86" t="s">
        <v>478</v>
      </c>
      <c r="F2686" t="s">
        <v>2622</v>
      </c>
      <c r="G2686" t="s">
        <v>2623</v>
      </c>
      <c r="H2686">
        <v>34390</v>
      </c>
      <c r="I2686" t="s">
        <v>423</v>
      </c>
      <c r="J2686" t="s">
        <v>2624</v>
      </c>
      <c r="K2686" t="s">
        <v>2625</v>
      </c>
      <c r="L2686" t="s">
        <v>2626</v>
      </c>
      <c r="M2686">
        <v>10</v>
      </c>
      <c r="N2686">
        <v>25.8</v>
      </c>
      <c r="O2686">
        <v>2911.53</v>
      </c>
      <c r="P2686">
        <v>0</v>
      </c>
      <c r="Q2686">
        <v>2911.53</v>
      </c>
      <c r="R2686">
        <v>465.84</v>
      </c>
      <c r="S2686">
        <v>116.46</v>
      </c>
      <c r="T2686">
        <v>3260.91</v>
      </c>
      <c r="U2686" t="s">
        <v>2627</v>
      </c>
      <c r="V2686" t="s">
        <v>9408</v>
      </c>
      <c r="W2686" t="s">
        <v>423</v>
      </c>
    </row>
    <row r="2687" spans="1:23" hidden="1" x14ac:dyDescent="0.2">
      <c r="A2687">
        <v>2012</v>
      </c>
      <c r="B2687" t="s">
        <v>303</v>
      </c>
      <c r="C2687" s="733">
        <v>40912</v>
      </c>
      <c r="D26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87" t="s">
        <v>478</v>
      </c>
      <c r="F2687" t="s">
        <v>2136</v>
      </c>
      <c r="G2687" t="s">
        <v>2634</v>
      </c>
      <c r="H2687">
        <v>34223</v>
      </c>
      <c r="I2687" t="s">
        <v>423</v>
      </c>
      <c r="J2687" t="s">
        <v>2624</v>
      </c>
      <c r="K2687" t="s">
        <v>2625</v>
      </c>
      <c r="L2687" t="s">
        <v>2626</v>
      </c>
      <c r="M2687">
        <v>10</v>
      </c>
      <c r="N2687">
        <v>22.81</v>
      </c>
      <c r="O2687">
        <v>1083.93</v>
      </c>
      <c r="P2687">
        <v>1220.1800009999999</v>
      </c>
      <c r="Q2687">
        <v>2304.110001</v>
      </c>
      <c r="R2687">
        <v>368.6576</v>
      </c>
      <c r="S2687">
        <v>92.164400000000001</v>
      </c>
      <c r="T2687">
        <v>2580.6032009999999</v>
      </c>
      <c r="U2687" t="s">
        <v>2635</v>
      </c>
      <c r="V2687" t="s">
        <v>9408</v>
      </c>
      <c r="W2687" t="s">
        <v>423</v>
      </c>
    </row>
    <row r="2688" spans="1:23" hidden="1" x14ac:dyDescent="0.2">
      <c r="A2688">
        <v>2012</v>
      </c>
      <c r="B2688" t="s">
        <v>303</v>
      </c>
      <c r="C2688" s="733">
        <v>40926.734490740739</v>
      </c>
      <c r="D26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88" t="s">
        <v>478</v>
      </c>
      <c r="F2688" t="s">
        <v>2136</v>
      </c>
      <c r="G2688" t="s">
        <v>2636</v>
      </c>
      <c r="H2688">
        <v>34681</v>
      </c>
      <c r="I2688" t="s">
        <v>423</v>
      </c>
      <c r="J2688" t="s">
        <v>2624</v>
      </c>
      <c r="K2688" t="s">
        <v>2625</v>
      </c>
      <c r="L2688" t="s">
        <v>2626</v>
      </c>
      <c r="M2688">
        <v>10</v>
      </c>
      <c r="N2688">
        <v>23.37</v>
      </c>
      <c r="O2688">
        <v>2637.3</v>
      </c>
      <c r="P2688">
        <v>0</v>
      </c>
      <c r="Q2688">
        <v>2637.3</v>
      </c>
      <c r="R2688">
        <v>421.97</v>
      </c>
      <c r="S2688">
        <v>105.49</v>
      </c>
      <c r="T2688">
        <v>2953.78</v>
      </c>
      <c r="U2688" t="s">
        <v>2627</v>
      </c>
      <c r="V2688" t="s">
        <v>9408</v>
      </c>
      <c r="W2688" t="s">
        <v>423</v>
      </c>
    </row>
    <row r="2689" spans="1:23" hidden="1" x14ac:dyDescent="0.2">
      <c r="A2689">
        <v>2012</v>
      </c>
      <c r="B2689" t="s">
        <v>303</v>
      </c>
      <c r="C2689" s="733">
        <v>40927.711053240739</v>
      </c>
      <c r="D26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89" t="s">
        <v>478</v>
      </c>
      <c r="F2689" t="s">
        <v>2622</v>
      </c>
      <c r="G2689" t="s">
        <v>5001</v>
      </c>
      <c r="H2689">
        <v>34737</v>
      </c>
      <c r="I2689" t="s">
        <v>423</v>
      </c>
      <c r="J2689" t="s">
        <v>2624</v>
      </c>
      <c r="K2689" t="s">
        <v>2625</v>
      </c>
      <c r="L2689" t="s">
        <v>2626</v>
      </c>
      <c r="M2689">
        <v>10</v>
      </c>
      <c r="N2689">
        <v>26.58</v>
      </c>
      <c r="O2689">
        <v>2999.55</v>
      </c>
      <c r="P2689">
        <v>0</v>
      </c>
      <c r="Q2689">
        <v>2999.55</v>
      </c>
      <c r="R2689">
        <v>479.93</v>
      </c>
      <c r="S2689">
        <v>119.98</v>
      </c>
      <c r="T2689">
        <v>3359.5</v>
      </c>
      <c r="U2689" t="s">
        <v>2635</v>
      </c>
      <c r="V2689" t="s">
        <v>9408</v>
      </c>
      <c r="W2689" t="s">
        <v>423</v>
      </c>
    </row>
    <row r="2690" spans="1:23" hidden="1" x14ac:dyDescent="0.2">
      <c r="A2690">
        <v>2012</v>
      </c>
      <c r="B2690" t="s">
        <v>303</v>
      </c>
      <c r="C2690" s="733">
        <v>40939.528854166667</v>
      </c>
      <c r="D26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90" t="s">
        <v>478</v>
      </c>
      <c r="F2690" t="s">
        <v>2622</v>
      </c>
      <c r="G2690" t="s">
        <v>2667</v>
      </c>
      <c r="H2690">
        <v>35136</v>
      </c>
      <c r="I2690" t="s">
        <v>423</v>
      </c>
      <c r="J2690" t="s">
        <v>2668</v>
      </c>
      <c r="K2690" t="s">
        <v>2625</v>
      </c>
      <c r="L2690" t="s">
        <v>2626</v>
      </c>
      <c r="M2690">
        <v>76</v>
      </c>
      <c r="N2690">
        <v>25.17</v>
      </c>
      <c r="O2690">
        <v>2840.43</v>
      </c>
      <c r="P2690">
        <v>0</v>
      </c>
      <c r="Q2690">
        <v>2840.43</v>
      </c>
      <c r="R2690">
        <v>454.47</v>
      </c>
      <c r="S2690">
        <v>113.62</v>
      </c>
      <c r="T2690">
        <v>3181.28</v>
      </c>
      <c r="U2690" t="s">
        <v>2630</v>
      </c>
      <c r="V2690" t="s">
        <v>9408</v>
      </c>
      <c r="W2690" t="s">
        <v>423</v>
      </c>
    </row>
    <row r="2691" spans="1:23" hidden="1" x14ac:dyDescent="0.2">
      <c r="A2691">
        <v>2012</v>
      </c>
      <c r="B2691" t="s">
        <v>303</v>
      </c>
      <c r="C2691" s="733">
        <v>40935</v>
      </c>
      <c r="D26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91" t="s">
        <v>485</v>
      </c>
      <c r="F2691" t="s">
        <v>2065</v>
      </c>
      <c r="G2691" t="s">
        <v>6134</v>
      </c>
      <c r="H2691">
        <v>40995</v>
      </c>
      <c r="I2691" t="s">
        <v>423</v>
      </c>
      <c r="J2691" t="s">
        <v>4093</v>
      </c>
      <c r="K2691" t="s">
        <v>2051</v>
      </c>
      <c r="L2691" t="s">
        <v>2052</v>
      </c>
      <c r="M2691">
        <v>647</v>
      </c>
      <c r="N2691">
        <v>53.1</v>
      </c>
      <c r="O2691">
        <v>20089.32</v>
      </c>
      <c r="P2691">
        <v>0</v>
      </c>
      <c r="Q2691">
        <v>20089.32</v>
      </c>
      <c r="R2691">
        <v>3214.29</v>
      </c>
      <c r="S2691">
        <v>803.57</v>
      </c>
      <c r="T2691">
        <v>22500.04</v>
      </c>
      <c r="U2691" t="s">
        <v>2053</v>
      </c>
      <c r="V2691" t="s">
        <v>9409</v>
      </c>
      <c r="W2691" t="s">
        <v>423</v>
      </c>
    </row>
    <row r="2692" spans="1:23" hidden="1" x14ac:dyDescent="0.2">
      <c r="A2692">
        <v>2012</v>
      </c>
      <c r="B2692" t="s">
        <v>303</v>
      </c>
      <c r="C2692" s="733">
        <v>40926</v>
      </c>
      <c r="D26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92" t="s">
        <v>485</v>
      </c>
      <c r="F2692" t="s">
        <v>2065</v>
      </c>
      <c r="G2692" t="s">
        <v>6135</v>
      </c>
      <c r="H2692">
        <v>40527</v>
      </c>
      <c r="I2692" t="s">
        <v>423</v>
      </c>
      <c r="J2692" t="s">
        <v>4093</v>
      </c>
      <c r="K2692" t="s">
        <v>2051</v>
      </c>
      <c r="L2692" t="s">
        <v>2052</v>
      </c>
      <c r="M2692">
        <v>647</v>
      </c>
      <c r="N2692">
        <v>55.65</v>
      </c>
      <c r="O2692">
        <v>21054.06</v>
      </c>
      <c r="P2692">
        <v>0</v>
      </c>
      <c r="Q2692">
        <v>21054.06</v>
      </c>
      <c r="R2692">
        <v>3368.65</v>
      </c>
      <c r="S2692">
        <v>842.16</v>
      </c>
      <c r="T2692">
        <v>23580.55</v>
      </c>
      <c r="U2692" t="s">
        <v>2062</v>
      </c>
      <c r="V2692" t="s">
        <v>9409</v>
      </c>
      <c r="W2692" t="s">
        <v>423</v>
      </c>
    </row>
    <row r="2693" spans="1:23" hidden="1" x14ac:dyDescent="0.2">
      <c r="A2693">
        <v>2012</v>
      </c>
      <c r="B2693" t="s">
        <v>303</v>
      </c>
      <c r="C2693" s="733">
        <v>40933</v>
      </c>
      <c r="D26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93" t="s">
        <v>478</v>
      </c>
      <c r="F2693" t="s">
        <v>2142</v>
      </c>
      <c r="G2693" t="s">
        <v>2638</v>
      </c>
      <c r="H2693">
        <v>34835</v>
      </c>
      <c r="I2693" t="s">
        <v>423</v>
      </c>
      <c r="J2693" t="s">
        <v>2639</v>
      </c>
      <c r="K2693" t="s">
        <v>2640</v>
      </c>
      <c r="L2693" t="s">
        <v>2641</v>
      </c>
      <c r="M2693">
        <v>274</v>
      </c>
      <c r="N2693">
        <v>49.5</v>
      </c>
      <c r="O2693">
        <v>6362.73</v>
      </c>
      <c r="P2693">
        <v>0</v>
      </c>
      <c r="Q2693">
        <v>6362.73</v>
      </c>
      <c r="R2693">
        <v>1018.04</v>
      </c>
      <c r="S2693">
        <v>254.51</v>
      </c>
      <c r="T2693">
        <v>7126.26</v>
      </c>
      <c r="U2693" t="s">
        <v>2642</v>
      </c>
      <c r="V2693" t="s">
        <v>9409</v>
      </c>
      <c r="W2693" t="s">
        <v>423</v>
      </c>
    </row>
    <row r="2694" spans="1:23" hidden="1" x14ac:dyDescent="0.2">
      <c r="A2694">
        <v>2012</v>
      </c>
      <c r="B2694" t="s">
        <v>304</v>
      </c>
      <c r="C2694" s="733">
        <v>40967.452106481483</v>
      </c>
      <c r="D26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94" t="s">
        <v>478</v>
      </c>
      <c r="F2694" t="s">
        <v>2622</v>
      </c>
      <c r="G2694" t="s">
        <v>9225</v>
      </c>
      <c r="H2694">
        <v>36098</v>
      </c>
      <c r="I2694" t="s">
        <v>423</v>
      </c>
      <c r="J2694" t="s">
        <v>2624</v>
      </c>
      <c r="K2694" t="s">
        <v>2625</v>
      </c>
      <c r="L2694" t="s">
        <v>2626</v>
      </c>
      <c r="M2694">
        <v>10</v>
      </c>
      <c r="N2694">
        <v>33.090000000000003</v>
      </c>
      <c r="O2694">
        <v>3734.21</v>
      </c>
      <c r="P2694">
        <v>0</v>
      </c>
      <c r="Q2694">
        <v>3734.21</v>
      </c>
      <c r="R2694">
        <v>597.47</v>
      </c>
      <c r="S2694">
        <v>149.37</v>
      </c>
      <c r="T2694">
        <v>4182.3100000000004</v>
      </c>
      <c r="U2694" t="s">
        <v>9428</v>
      </c>
      <c r="V2694" t="s">
        <v>9408</v>
      </c>
      <c r="W2694" t="s">
        <v>423</v>
      </c>
    </row>
    <row r="2695" spans="1:23" hidden="1" x14ac:dyDescent="0.2">
      <c r="A2695">
        <v>2012</v>
      </c>
      <c r="B2695" t="s">
        <v>304</v>
      </c>
      <c r="C2695" s="733">
        <v>40954</v>
      </c>
      <c r="D26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95" t="s">
        <v>478</v>
      </c>
      <c r="F2695" t="s">
        <v>2622</v>
      </c>
      <c r="G2695" t="s">
        <v>7995</v>
      </c>
      <c r="H2695">
        <v>35601</v>
      </c>
      <c r="I2695" t="s">
        <v>423</v>
      </c>
      <c r="J2695" t="s">
        <v>2624</v>
      </c>
      <c r="K2695" t="s">
        <v>2625</v>
      </c>
      <c r="L2695" t="s">
        <v>2626</v>
      </c>
      <c r="M2695">
        <v>10</v>
      </c>
      <c r="N2695">
        <v>26.25</v>
      </c>
      <c r="O2695">
        <v>2962.31</v>
      </c>
      <c r="P2695">
        <v>0</v>
      </c>
      <c r="Q2695">
        <v>2962.31</v>
      </c>
      <c r="R2695">
        <v>473.97</v>
      </c>
      <c r="S2695">
        <v>118.49</v>
      </c>
      <c r="T2695">
        <v>3317.79</v>
      </c>
      <c r="U2695" t="s">
        <v>7548</v>
      </c>
      <c r="V2695" t="s">
        <v>9408</v>
      </c>
      <c r="W2695" t="s">
        <v>423</v>
      </c>
    </row>
    <row r="2696" spans="1:23" hidden="1" x14ac:dyDescent="0.2">
      <c r="A2696">
        <v>2012</v>
      </c>
      <c r="B2696" t="s">
        <v>303</v>
      </c>
      <c r="C2696" s="733">
        <v>40934.440138888887</v>
      </c>
      <c r="D26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96" t="s">
        <v>478</v>
      </c>
      <c r="F2696" t="s">
        <v>2136</v>
      </c>
      <c r="G2696" t="s">
        <v>2637</v>
      </c>
      <c r="H2696">
        <v>34969</v>
      </c>
      <c r="I2696" t="s">
        <v>423</v>
      </c>
      <c r="J2696" t="s">
        <v>2624</v>
      </c>
      <c r="K2696" t="s">
        <v>2625</v>
      </c>
      <c r="L2696" t="s">
        <v>2626</v>
      </c>
      <c r="M2696">
        <v>10</v>
      </c>
      <c r="N2696">
        <v>23.37</v>
      </c>
      <c r="O2696">
        <v>2637.3</v>
      </c>
      <c r="P2696">
        <v>0</v>
      </c>
      <c r="Q2696">
        <v>2637.3</v>
      </c>
      <c r="R2696">
        <v>421.97</v>
      </c>
      <c r="S2696">
        <v>105.49</v>
      </c>
      <c r="T2696">
        <v>2953.78</v>
      </c>
      <c r="U2696" t="s">
        <v>2630</v>
      </c>
      <c r="V2696" t="s">
        <v>9408</v>
      </c>
      <c r="W2696" t="s">
        <v>423</v>
      </c>
    </row>
    <row r="2697" spans="1:23" hidden="1" x14ac:dyDescent="0.2">
      <c r="A2697">
        <v>2012</v>
      </c>
      <c r="B2697" t="s">
        <v>304</v>
      </c>
      <c r="C2697" s="733">
        <v>40946.62300925926</v>
      </c>
      <c r="D26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97" t="s">
        <v>478</v>
      </c>
      <c r="F2697" t="s">
        <v>2622</v>
      </c>
      <c r="G2697" t="s">
        <v>2651</v>
      </c>
      <c r="H2697">
        <v>35396</v>
      </c>
      <c r="I2697" t="s">
        <v>423</v>
      </c>
      <c r="J2697" t="s">
        <v>2624</v>
      </c>
      <c r="K2697" t="s">
        <v>2625</v>
      </c>
      <c r="L2697" t="s">
        <v>2626</v>
      </c>
      <c r="M2697">
        <v>10</v>
      </c>
      <c r="N2697">
        <v>22.55</v>
      </c>
      <c r="O2697">
        <v>2544.77</v>
      </c>
      <c r="P2697">
        <v>0</v>
      </c>
      <c r="Q2697">
        <v>2544.77</v>
      </c>
      <c r="R2697">
        <v>407.16</v>
      </c>
      <c r="S2697">
        <v>101.79</v>
      </c>
      <c r="T2697">
        <v>2850.14</v>
      </c>
      <c r="U2697" t="s">
        <v>2652</v>
      </c>
      <c r="V2697" t="s">
        <v>9408</v>
      </c>
      <c r="W2697" t="s">
        <v>423</v>
      </c>
    </row>
    <row r="2698" spans="1:23" hidden="1" x14ac:dyDescent="0.2">
      <c r="A2698">
        <v>2012</v>
      </c>
      <c r="B2698" t="s">
        <v>303</v>
      </c>
      <c r="C2698" s="733">
        <v>40910</v>
      </c>
      <c r="D26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698" t="s">
        <v>478</v>
      </c>
      <c r="F2698" t="s">
        <v>2622</v>
      </c>
      <c r="G2698" t="s">
        <v>2783</v>
      </c>
      <c r="H2698">
        <v>34161</v>
      </c>
      <c r="I2698" t="s">
        <v>423</v>
      </c>
      <c r="J2698" t="s">
        <v>2624</v>
      </c>
      <c r="K2698" t="s">
        <v>2625</v>
      </c>
      <c r="L2698" t="s">
        <v>2626</v>
      </c>
      <c r="M2698">
        <v>10</v>
      </c>
      <c r="N2698">
        <v>22.54</v>
      </c>
      <c r="O2698">
        <v>1071.0999999999999</v>
      </c>
      <c r="P2698">
        <v>1205.7372700000001</v>
      </c>
      <c r="Q2698">
        <v>2276.83727</v>
      </c>
      <c r="R2698">
        <v>364.29396300000002</v>
      </c>
      <c r="S2698">
        <v>91.073491000000004</v>
      </c>
      <c r="T2698">
        <v>2550.057742</v>
      </c>
      <c r="U2698" t="s">
        <v>2660</v>
      </c>
      <c r="V2698" t="s">
        <v>9408</v>
      </c>
      <c r="W2698" t="s">
        <v>423</v>
      </c>
    </row>
    <row r="2699" spans="1:23" hidden="1" x14ac:dyDescent="0.2">
      <c r="A2699">
        <v>2012</v>
      </c>
      <c r="B2699" t="s">
        <v>304</v>
      </c>
      <c r="C2699" s="733">
        <v>40966.937997685185</v>
      </c>
      <c r="D26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699" t="s">
        <v>478</v>
      </c>
      <c r="F2699" t="s">
        <v>2622</v>
      </c>
      <c r="G2699" t="s">
        <v>9226</v>
      </c>
      <c r="H2699">
        <v>36072</v>
      </c>
      <c r="I2699" t="s">
        <v>423</v>
      </c>
      <c r="J2699" t="s">
        <v>2624</v>
      </c>
      <c r="K2699" t="s">
        <v>2625</v>
      </c>
      <c r="L2699" t="s">
        <v>2626</v>
      </c>
      <c r="M2699">
        <v>10</v>
      </c>
      <c r="N2699">
        <v>23.98</v>
      </c>
      <c r="O2699">
        <v>2706.14</v>
      </c>
      <c r="P2699">
        <v>0</v>
      </c>
      <c r="Q2699">
        <v>2706.14</v>
      </c>
      <c r="R2699">
        <v>432.98</v>
      </c>
      <c r="S2699">
        <v>108.25</v>
      </c>
      <c r="T2699">
        <v>3030.87</v>
      </c>
      <c r="U2699" t="s">
        <v>9428</v>
      </c>
      <c r="V2699" t="s">
        <v>9408</v>
      </c>
      <c r="W2699" t="s">
        <v>423</v>
      </c>
    </row>
    <row r="2700" spans="1:23" hidden="1" x14ac:dyDescent="0.2">
      <c r="A2700">
        <v>2012</v>
      </c>
      <c r="B2700" t="s">
        <v>304</v>
      </c>
      <c r="C2700" s="733">
        <v>40961</v>
      </c>
      <c r="D27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00" t="s">
        <v>478</v>
      </c>
      <c r="F2700" t="s">
        <v>2142</v>
      </c>
      <c r="G2700" t="s">
        <v>8386</v>
      </c>
      <c r="H2700">
        <v>35903</v>
      </c>
      <c r="I2700" t="s">
        <v>423</v>
      </c>
      <c r="J2700" t="s">
        <v>2639</v>
      </c>
      <c r="K2700" t="s">
        <v>2640</v>
      </c>
      <c r="L2700" t="s">
        <v>2641</v>
      </c>
      <c r="M2700">
        <v>274</v>
      </c>
      <c r="N2700">
        <v>51</v>
      </c>
      <c r="O2700">
        <v>6555.54</v>
      </c>
      <c r="P2700">
        <v>0</v>
      </c>
      <c r="Q2700">
        <v>6555.54</v>
      </c>
      <c r="R2700">
        <v>1048.8900000000001</v>
      </c>
      <c r="S2700">
        <v>262.22000000000003</v>
      </c>
      <c r="T2700">
        <v>7342.21</v>
      </c>
      <c r="U2700" t="s">
        <v>8307</v>
      </c>
      <c r="V2700" t="s">
        <v>9409</v>
      </c>
      <c r="W2700" t="s">
        <v>423</v>
      </c>
    </row>
    <row r="2701" spans="1:23" hidden="1" x14ac:dyDescent="0.2">
      <c r="A2701">
        <v>2012</v>
      </c>
      <c r="B2701" t="s">
        <v>304</v>
      </c>
      <c r="C2701" s="733">
        <v>40960.45684027778</v>
      </c>
      <c r="D27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01" t="s">
        <v>478</v>
      </c>
      <c r="F2701" t="s">
        <v>2622</v>
      </c>
      <c r="G2701" t="s">
        <v>8387</v>
      </c>
      <c r="H2701">
        <v>35842</v>
      </c>
      <c r="I2701" t="s">
        <v>423</v>
      </c>
      <c r="J2701" t="s">
        <v>2624</v>
      </c>
      <c r="K2701" t="s">
        <v>2625</v>
      </c>
      <c r="L2701" t="s">
        <v>2626</v>
      </c>
      <c r="M2701">
        <v>10</v>
      </c>
      <c r="N2701">
        <v>27.48</v>
      </c>
      <c r="O2701">
        <v>3101.12</v>
      </c>
      <c r="P2701">
        <v>0</v>
      </c>
      <c r="Q2701">
        <v>3101.12</v>
      </c>
      <c r="R2701">
        <v>496.18</v>
      </c>
      <c r="S2701">
        <v>124.04</v>
      </c>
      <c r="T2701">
        <v>3473.26</v>
      </c>
      <c r="U2701" t="s">
        <v>8267</v>
      </c>
      <c r="V2701" t="s">
        <v>9408</v>
      </c>
      <c r="W2701" t="s">
        <v>423</v>
      </c>
    </row>
    <row r="2702" spans="1:23" hidden="1" x14ac:dyDescent="0.2">
      <c r="A2702">
        <v>2012</v>
      </c>
      <c r="B2702" t="s">
        <v>304</v>
      </c>
      <c r="C2702" s="733">
        <v>40956</v>
      </c>
      <c r="D27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02" t="s">
        <v>478</v>
      </c>
      <c r="F2702" t="s">
        <v>2622</v>
      </c>
      <c r="G2702" t="s">
        <v>7963</v>
      </c>
      <c r="H2702">
        <v>35598</v>
      </c>
      <c r="I2702" t="s">
        <v>423</v>
      </c>
      <c r="J2702" t="s">
        <v>2644</v>
      </c>
      <c r="K2702" t="s">
        <v>2625</v>
      </c>
      <c r="L2702" t="s">
        <v>2626</v>
      </c>
      <c r="M2702">
        <v>52</v>
      </c>
      <c r="N2702">
        <v>25.94</v>
      </c>
      <c r="O2702">
        <v>2927.33</v>
      </c>
      <c r="P2702">
        <v>0</v>
      </c>
      <c r="Q2702">
        <v>2927.33</v>
      </c>
      <c r="R2702">
        <v>468.37</v>
      </c>
      <c r="S2702">
        <v>117.09</v>
      </c>
      <c r="T2702">
        <v>3278.61</v>
      </c>
      <c r="U2702" t="s">
        <v>8267</v>
      </c>
      <c r="V2702" t="s">
        <v>9408</v>
      </c>
      <c r="W2702" t="s">
        <v>423</v>
      </c>
    </row>
    <row r="2703" spans="1:23" hidden="1" x14ac:dyDescent="0.2">
      <c r="A2703">
        <v>2012</v>
      </c>
      <c r="B2703" t="s">
        <v>303</v>
      </c>
      <c r="C2703" s="733">
        <v>40938.923807870371</v>
      </c>
      <c r="D27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03" t="s">
        <v>478</v>
      </c>
      <c r="F2703" t="s">
        <v>2622</v>
      </c>
      <c r="G2703" t="s">
        <v>2782</v>
      </c>
      <c r="H2703">
        <v>35076</v>
      </c>
      <c r="I2703" t="s">
        <v>423</v>
      </c>
      <c r="J2703" t="s">
        <v>2668</v>
      </c>
      <c r="K2703" t="s">
        <v>2625</v>
      </c>
      <c r="L2703" t="s">
        <v>2626</v>
      </c>
      <c r="M2703">
        <v>76</v>
      </c>
      <c r="N2703">
        <v>27.27</v>
      </c>
      <c r="O2703">
        <v>3077.42</v>
      </c>
      <c r="P2703">
        <v>0</v>
      </c>
      <c r="Q2703">
        <v>3077.42</v>
      </c>
      <c r="R2703">
        <v>492.39</v>
      </c>
      <c r="S2703">
        <v>123.1</v>
      </c>
      <c r="T2703">
        <v>3446.71</v>
      </c>
      <c r="U2703" t="s">
        <v>2648</v>
      </c>
      <c r="V2703" t="s">
        <v>9408</v>
      </c>
      <c r="W2703" t="s">
        <v>423</v>
      </c>
    </row>
    <row r="2704" spans="1:23" hidden="1" x14ac:dyDescent="0.2">
      <c r="A2704">
        <v>2012</v>
      </c>
      <c r="B2704" t="s">
        <v>304</v>
      </c>
      <c r="C2704" s="733">
        <v>40946</v>
      </c>
      <c r="D27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04" t="s">
        <v>485</v>
      </c>
      <c r="F2704" t="s">
        <v>2048</v>
      </c>
      <c r="G2704" t="s">
        <v>6133</v>
      </c>
      <c r="H2704">
        <v>41515</v>
      </c>
      <c r="I2704" t="s">
        <v>423</v>
      </c>
      <c r="J2704" t="s">
        <v>4093</v>
      </c>
      <c r="K2704" t="s">
        <v>2051</v>
      </c>
      <c r="L2704" t="s">
        <v>2052</v>
      </c>
      <c r="M2704">
        <v>647</v>
      </c>
      <c r="N2704">
        <v>25.05</v>
      </c>
      <c r="O2704">
        <v>9477.17</v>
      </c>
      <c r="P2704">
        <v>0</v>
      </c>
      <c r="Q2704">
        <v>9477.17</v>
      </c>
      <c r="R2704">
        <v>1516.35</v>
      </c>
      <c r="S2704">
        <v>379.09</v>
      </c>
      <c r="T2704">
        <v>10614.43</v>
      </c>
      <c r="U2704" t="s">
        <v>8257</v>
      </c>
      <c r="V2704" t="s">
        <v>9408</v>
      </c>
      <c r="W2704" t="s">
        <v>423</v>
      </c>
    </row>
    <row r="2705" spans="1:23" hidden="1" x14ac:dyDescent="0.2">
      <c r="A2705">
        <v>2012</v>
      </c>
      <c r="B2705" t="s">
        <v>303</v>
      </c>
      <c r="C2705" s="733">
        <v>40922</v>
      </c>
      <c r="D27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05" t="s">
        <v>505</v>
      </c>
      <c r="F2705" t="s">
        <v>1915</v>
      </c>
      <c r="G2705" t="s">
        <v>6728</v>
      </c>
      <c r="H2705">
        <v>21943</v>
      </c>
      <c r="I2705" t="s">
        <v>423</v>
      </c>
      <c r="J2705" t="s">
        <v>4262</v>
      </c>
      <c r="K2705" t="s">
        <v>1918</v>
      </c>
      <c r="L2705" t="s">
        <v>1919</v>
      </c>
      <c r="M2705">
        <v>845</v>
      </c>
      <c r="N2705">
        <v>27.28</v>
      </c>
      <c r="O2705">
        <v>13830.96</v>
      </c>
      <c r="P2705">
        <v>0</v>
      </c>
      <c r="Q2705">
        <v>13830.96</v>
      </c>
      <c r="R2705">
        <v>2212.9499999999998</v>
      </c>
      <c r="S2705">
        <v>553.24</v>
      </c>
      <c r="T2705">
        <v>15490.67</v>
      </c>
      <c r="U2705" t="s">
        <v>1931</v>
      </c>
      <c r="V2705" t="s">
        <v>9408</v>
      </c>
      <c r="W2705" t="s">
        <v>423</v>
      </c>
    </row>
    <row r="2706" spans="1:23" hidden="1" x14ac:dyDescent="0.2">
      <c r="A2706">
        <v>2012</v>
      </c>
      <c r="B2706" t="s">
        <v>304</v>
      </c>
      <c r="C2706" s="733">
        <v>40955</v>
      </c>
      <c r="D27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06" t="s">
        <v>478</v>
      </c>
      <c r="F2706" t="s">
        <v>2136</v>
      </c>
      <c r="G2706" t="s">
        <v>7642</v>
      </c>
      <c r="H2706">
        <v>35665</v>
      </c>
      <c r="I2706" t="s">
        <v>423</v>
      </c>
      <c r="J2706" t="s">
        <v>2936</v>
      </c>
      <c r="K2706" t="s">
        <v>425</v>
      </c>
      <c r="L2706" t="s">
        <v>2145</v>
      </c>
      <c r="M2706">
        <v>604</v>
      </c>
      <c r="N2706">
        <v>25.65</v>
      </c>
      <c r="O2706">
        <v>8030.76</v>
      </c>
      <c r="P2706">
        <v>0</v>
      </c>
      <c r="Q2706">
        <v>8030.76</v>
      </c>
      <c r="R2706">
        <v>1284.92</v>
      </c>
      <c r="S2706">
        <v>321.23</v>
      </c>
      <c r="T2706">
        <v>8994.4500000000007</v>
      </c>
      <c r="U2706" t="s">
        <v>7553</v>
      </c>
      <c r="V2706" t="s">
        <v>9408</v>
      </c>
      <c r="W2706" t="s">
        <v>423</v>
      </c>
    </row>
    <row r="2707" spans="1:23" hidden="1" x14ac:dyDescent="0.2">
      <c r="A2707">
        <v>2012</v>
      </c>
      <c r="B2707" t="s">
        <v>304</v>
      </c>
      <c r="C2707" s="733">
        <v>40953</v>
      </c>
      <c r="D27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07" t="s">
        <v>478</v>
      </c>
      <c r="F2707" t="s">
        <v>2136</v>
      </c>
      <c r="G2707" t="s">
        <v>6831</v>
      </c>
      <c r="H2707">
        <v>35553</v>
      </c>
      <c r="I2707" t="s">
        <v>423</v>
      </c>
      <c r="J2707" t="s">
        <v>2936</v>
      </c>
      <c r="K2707" t="s">
        <v>425</v>
      </c>
      <c r="L2707" t="s">
        <v>2145</v>
      </c>
      <c r="M2707">
        <v>604</v>
      </c>
      <c r="N2707">
        <v>40.21</v>
      </c>
      <c r="O2707">
        <v>12589.35</v>
      </c>
      <c r="P2707">
        <v>0</v>
      </c>
      <c r="Q2707">
        <v>12589.35</v>
      </c>
      <c r="R2707">
        <v>2014.3</v>
      </c>
      <c r="S2707">
        <v>503.57</v>
      </c>
      <c r="T2707">
        <v>14100.08</v>
      </c>
      <c r="U2707" t="s">
        <v>7553</v>
      </c>
      <c r="V2707" t="s">
        <v>9409</v>
      </c>
      <c r="W2707" t="s">
        <v>423</v>
      </c>
    </row>
    <row r="2708" spans="1:23" hidden="1" x14ac:dyDescent="0.2">
      <c r="A2708">
        <v>2012</v>
      </c>
      <c r="B2708" t="s">
        <v>304</v>
      </c>
      <c r="C2708" s="733">
        <v>40941</v>
      </c>
      <c r="D27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08" t="s">
        <v>478</v>
      </c>
      <c r="F2708" t="s">
        <v>2136</v>
      </c>
      <c r="G2708" t="s">
        <v>3180</v>
      </c>
      <c r="H2708">
        <v>35242</v>
      </c>
      <c r="I2708" t="s">
        <v>423</v>
      </c>
      <c r="J2708" t="s">
        <v>2936</v>
      </c>
      <c r="K2708" t="s">
        <v>425</v>
      </c>
      <c r="L2708" t="s">
        <v>2145</v>
      </c>
      <c r="M2708">
        <v>604</v>
      </c>
      <c r="N2708">
        <v>51.78</v>
      </c>
      <c r="O2708">
        <v>16211.8</v>
      </c>
      <c r="P2708">
        <v>0</v>
      </c>
      <c r="Q2708">
        <v>16211.8</v>
      </c>
      <c r="R2708">
        <v>2593.89</v>
      </c>
      <c r="S2708">
        <v>648.47</v>
      </c>
      <c r="T2708">
        <v>18157.22</v>
      </c>
      <c r="U2708" t="s">
        <v>2580</v>
      </c>
      <c r="V2708" t="s">
        <v>9409</v>
      </c>
      <c r="W2708" t="s">
        <v>423</v>
      </c>
    </row>
    <row r="2709" spans="1:23" hidden="1" x14ac:dyDescent="0.2">
      <c r="A2709">
        <v>2012</v>
      </c>
      <c r="B2709" t="s">
        <v>303</v>
      </c>
      <c r="C2709" s="733">
        <v>40922</v>
      </c>
      <c r="D27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09" t="s">
        <v>478</v>
      </c>
      <c r="F2709" t="s">
        <v>2136</v>
      </c>
      <c r="G2709" t="s">
        <v>6821</v>
      </c>
      <c r="H2709">
        <v>34537</v>
      </c>
      <c r="I2709" t="s">
        <v>423</v>
      </c>
      <c r="J2709" t="s">
        <v>2936</v>
      </c>
      <c r="K2709" t="s">
        <v>425</v>
      </c>
      <c r="L2709" t="s">
        <v>2145</v>
      </c>
      <c r="M2709">
        <v>604</v>
      </c>
      <c r="N2709">
        <v>23.16</v>
      </c>
      <c r="O2709">
        <v>7251.16</v>
      </c>
      <c r="P2709">
        <v>0</v>
      </c>
      <c r="Q2709">
        <v>7251.16</v>
      </c>
      <c r="R2709">
        <v>1160.19</v>
      </c>
      <c r="S2709">
        <v>290.05</v>
      </c>
      <c r="T2709">
        <v>8121.3</v>
      </c>
      <c r="U2709" t="s">
        <v>2927</v>
      </c>
      <c r="V2709" t="s">
        <v>9408</v>
      </c>
      <c r="W2709" t="s">
        <v>423</v>
      </c>
    </row>
    <row r="2710" spans="1:23" hidden="1" x14ac:dyDescent="0.2">
      <c r="A2710">
        <v>2012</v>
      </c>
      <c r="B2710" t="s">
        <v>304</v>
      </c>
      <c r="C2710" s="733">
        <v>40961</v>
      </c>
      <c r="D27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10" t="s">
        <v>478</v>
      </c>
      <c r="F2710" t="s">
        <v>2136</v>
      </c>
      <c r="G2710" t="s">
        <v>8361</v>
      </c>
      <c r="H2710">
        <v>35939</v>
      </c>
      <c r="I2710" t="s">
        <v>423</v>
      </c>
      <c r="J2710" t="s">
        <v>2936</v>
      </c>
      <c r="K2710" t="s">
        <v>425</v>
      </c>
      <c r="L2710" t="s">
        <v>2145</v>
      </c>
      <c r="M2710">
        <v>604</v>
      </c>
      <c r="N2710">
        <v>24.75</v>
      </c>
      <c r="O2710">
        <v>7748.98</v>
      </c>
      <c r="P2710">
        <v>0</v>
      </c>
      <c r="Q2710">
        <v>7748.98</v>
      </c>
      <c r="R2710">
        <v>1239.8399999999999</v>
      </c>
      <c r="S2710">
        <v>309.95999999999998</v>
      </c>
      <c r="T2710">
        <v>8678.86</v>
      </c>
      <c r="V2710" t="s">
        <v>9408</v>
      </c>
      <c r="W2710" t="s">
        <v>423</v>
      </c>
    </row>
    <row r="2711" spans="1:23" hidden="1" x14ac:dyDescent="0.2">
      <c r="A2711">
        <v>2012</v>
      </c>
      <c r="B2711" t="s">
        <v>303</v>
      </c>
      <c r="C2711" s="733">
        <v>40925</v>
      </c>
      <c r="D27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11" t="s">
        <v>478</v>
      </c>
      <c r="F2711" t="s">
        <v>2136</v>
      </c>
      <c r="G2711" t="s">
        <v>6830</v>
      </c>
      <c r="H2711">
        <v>34565</v>
      </c>
      <c r="I2711" t="s">
        <v>423</v>
      </c>
      <c r="J2711" t="s">
        <v>4270</v>
      </c>
      <c r="K2711" t="s">
        <v>425</v>
      </c>
      <c r="L2711" t="s">
        <v>2145</v>
      </c>
      <c r="M2711">
        <v>560</v>
      </c>
      <c r="N2711">
        <v>23.84</v>
      </c>
      <c r="O2711">
        <v>7616.88</v>
      </c>
      <c r="P2711">
        <v>0</v>
      </c>
      <c r="Q2711">
        <v>7616.88</v>
      </c>
      <c r="R2711">
        <v>1218.7</v>
      </c>
      <c r="S2711">
        <v>304.68</v>
      </c>
      <c r="T2711">
        <v>8530.9</v>
      </c>
      <c r="U2711" t="s">
        <v>2927</v>
      </c>
      <c r="V2711" t="s">
        <v>9409</v>
      </c>
      <c r="W2711" t="s">
        <v>423</v>
      </c>
    </row>
    <row r="2712" spans="1:23" hidden="1" x14ac:dyDescent="0.2">
      <c r="A2712">
        <v>2012</v>
      </c>
      <c r="B2712" t="s">
        <v>303</v>
      </c>
      <c r="C2712" s="733">
        <v>40910</v>
      </c>
      <c r="D27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12" t="s">
        <v>478</v>
      </c>
      <c r="F2712" t="s">
        <v>2136</v>
      </c>
      <c r="G2712" t="s">
        <v>6820</v>
      </c>
      <c r="H2712">
        <v>34104</v>
      </c>
      <c r="I2712" t="s">
        <v>423</v>
      </c>
      <c r="J2712" t="s">
        <v>2936</v>
      </c>
      <c r="K2712" t="s">
        <v>425</v>
      </c>
      <c r="L2712" t="s">
        <v>2145</v>
      </c>
      <c r="M2712">
        <v>604</v>
      </c>
      <c r="N2712">
        <v>49.81</v>
      </c>
      <c r="O2712">
        <v>6565.95</v>
      </c>
      <c r="P2712">
        <v>7392.5374460000003</v>
      </c>
      <c r="Q2712">
        <v>13958.487445999999</v>
      </c>
      <c r="R2712">
        <v>2233.3579909999999</v>
      </c>
      <c r="S2712">
        <v>558.33949800000005</v>
      </c>
      <c r="T2712">
        <v>15633.505939000001</v>
      </c>
      <c r="U2712" t="s">
        <v>5788</v>
      </c>
      <c r="V2712" t="s">
        <v>9409</v>
      </c>
      <c r="W2712" t="s">
        <v>423</v>
      </c>
    </row>
    <row r="2713" spans="1:23" hidden="1" x14ac:dyDescent="0.2">
      <c r="A2713">
        <v>2012</v>
      </c>
      <c r="B2713" t="s">
        <v>304</v>
      </c>
      <c r="C2713" s="733">
        <v>40960</v>
      </c>
      <c r="D27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13" t="s">
        <v>485</v>
      </c>
      <c r="F2713" t="s">
        <v>2065</v>
      </c>
      <c r="G2713" t="s">
        <v>8226</v>
      </c>
      <c r="H2713">
        <v>42210</v>
      </c>
      <c r="I2713" t="s">
        <v>423</v>
      </c>
      <c r="J2713" t="s">
        <v>2189</v>
      </c>
      <c r="K2713" t="s">
        <v>2183</v>
      </c>
      <c r="L2713" t="s">
        <v>2184</v>
      </c>
      <c r="M2713">
        <v>720</v>
      </c>
      <c r="N2713">
        <v>25.65</v>
      </c>
      <c r="O2713">
        <v>11385.78</v>
      </c>
      <c r="P2713">
        <v>0</v>
      </c>
      <c r="Q2713">
        <v>11385.78</v>
      </c>
      <c r="R2713">
        <v>1821.72</v>
      </c>
      <c r="S2713">
        <v>455.43</v>
      </c>
      <c r="T2713">
        <v>12752.07</v>
      </c>
      <c r="U2713" t="s">
        <v>9411</v>
      </c>
      <c r="V2713" t="s">
        <v>9408</v>
      </c>
      <c r="W2713" t="s">
        <v>423</v>
      </c>
    </row>
    <row r="2714" spans="1:23" hidden="1" x14ac:dyDescent="0.2">
      <c r="A2714">
        <v>2012</v>
      </c>
      <c r="B2714" t="s">
        <v>304</v>
      </c>
      <c r="C2714" s="733">
        <v>40949</v>
      </c>
      <c r="D27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14" t="s">
        <v>478</v>
      </c>
      <c r="F2714" t="s">
        <v>2622</v>
      </c>
      <c r="G2714" t="s">
        <v>6212</v>
      </c>
      <c r="H2714">
        <v>35535</v>
      </c>
      <c r="I2714" t="s">
        <v>423</v>
      </c>
      <c r="J2714" t="s">
        <v>2629</v>
      </c>
      <c r="K2714" t="s">
        <v>2625</v>
      </c>
      <c r="L2714" t="s">
        <v>2626</v>
      </c>
      <c r="M2714">
        <v>33</v>
      </c>
      <c r="N2714">
        <v>26.28</v>
      </c>
      <c r="O2714">
        <v>3065.3</v>
      </c>
      <c r="P2714">
        <v>0</v>
      </c>
      <c r="Q2714">
        <v>3065.3</v>
      </c>
      <c r="R2714">
        <v>490.45</v>
      </c>
      <c r="S2714">
        <v>122.61</v>
      </c>
      <c r="T2714">
        <v>3433.14</v>
      </c>
      <c r="U2714" t="s">
        <v>7548</v>
      </c>
      <c r="V2714" t="s">
        <v>9408</v>
      </c>
      <c r="W2714" t="s">
        <v>423</v>
      </c>
    </row>
    <row r="2715" spans="1:23" hidden="1" x14ac:dyDescent="0.2">
      <c r="A2715">
        <v>2012</v>
      </c>
      <c r="B2715" t="s">
        <v>304</v>
      </c>
      <c r="C2715" s="733">
        <v>40947.393472222226</v>
      </c>
      <c r="D27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15" t="s">
        <v>478</v>
      </c>
      <c r="F2715" t="s">
        <v>2622</v>
      </c>
      <c r="G2715" t="s">
        <v>6210</v>
      </c>
      <c r="H2715">
        <v>35409</v>
      </c>
      <c r="I2715" t="s">
        <v>423</v>
      </c>
      <c r="J2715" t="s">
        <v>2629</v>
      </c>
      <c r="K2715" t="s">
        <v>2625</v>
      </c>
      <c r="L2715" t="s">
        <v>2626</v>
      </c>
      <c r="M2715">
        <v>33</v>
      </c>
      <c r="N2715">
        <v>25.14</v>
      </c>
      <c r="O2715">
        <v>2932.33</v>
      </c>
      <c r="P2715">
        <v>0</v>
      </c>
      <c r="Q2715">
        <v>2932.33</v>
      </c>
      <c r="R2715">
        <v>469.17</v>
      </c>
      <c r="S2715">
        <v>117.29</v>
      </c>
      <c r="T2715">
        <v>3284.21</v>
      </c>
      <c r="U2715" t="s">
        <v>2652</v>
      </c>
      <c r="V2715" t="s">
        <v>9408</v>
      </c>
      <c r="W2715" t="s">
        <v>423</v>
      </c>
    </row>
    <row r="2716" spans="1:23" hidden="1" x14ac:dyDescent="0.2">
      <c r="A2716">
        <v>2012</v>
      </c>
      <c r="B2716" t="s">
        <v>303</v>
      </c>
      <c r="C2716" s="733">
        <v>40928</v>
      </c>
      <c r="D27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16" t="s">
        <v>485</v>
      </c>
      <c r="F2716" t="s">
        <v>2065</v>
      </c>
      <c r="G2716" t="s">
        <v>6497</v>
      </c>
      <c r="H2716">
        <v>39793</v>
      </c>
      <c r="I2716" t="s">
        <v>423</v>
      </c>
      <c r="J2716" t="s">
        <v>2189</v>
      </c>
      <c r="K2716" t="s">
        <v>2183</v>
      </c>
      <c r="L2716" t="s">
        <v>2184</v>
      </c>
      <c r="M2716">
        <v>720</v>
      </c>
      <c r="N2716">
        <v>25.41</v>
      </c>
      <c r="O2716">
        <v>11279.24</v>
      </c>
      <c r="P2716">
        <v>0</v>
      </c>
      <c r="Q2716">
        <v>11279.24</v>
      </c>
      <c r="R2716">
        <v>1804.68</v>
      </c>
      <c r="S2716">
        <v>451.17</v>
      </c>
      <c r="T2716">
        <v>12632.75</v>
      </c>
      <c r="U2716" t="s">
        <v>7554</v>
      </c>
      <c r="V2716" t="s">
        <v>9408</v>
      </c>
      <c r="W2716" t="s">
        <v>423</v>
      </c>
    </row>
    <row r="2717" spans="1:23" hidden="1" x14ac:dyDescent="0.2">
      <c r="A2717">
        <v>2012</v>
      </c>
      <c r="B2717" t="s">
        <v>304</v>
      </c>
      <c r="C2717" s="733">
        <v>40963</v>
      </c>
      <c r="D27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17" t="s">
        <v>485</v>
      </c>
      <c r="F2717" t="s">
        <v>2065</v>
      </c>
      <c r="G2717" t="s">
        <v>8493</v>
      </c>
      <c r="H2717">
        <v>42432</v>
      </c>
      <c r="I2717" t="s">
        <v>423</v>
      </c>
      <c r="J2717" t="s">
        <v>2189</v>
      </c>
      <c r="K2717" t="s">
        <v>2183</v>
      </c>
      <c r="L2717" t="s">
        <v>2184</v>
      </c>
      <c r="M2717">
        <v>720</v>
      </c>
      <c r="N2717">
        <v>24.12</v>
      </c>
      <c r="O2717">
        <v>10706.63</v>
      </c>
      <c r="P2717">
        <v>0</v>
      </c>
      <c r="Q2717">
        <v>10706.63</v>
      </c>
      <c r="R2717">
        <v>1713.06</v>
      </c>
      <c r="S2717">
        <v>428.27</v>
      </c>
      <c r="T2717">
        <v>11991.42</v>
      </c>
      <c r="U2717" t="s">
        <v>9411</v>
      </c>
      <c r="V2717" t="s">
        <v>9408</v>
      </c>
      <c r="W2717" t="s">
        <v>423</v>
      </c>
    </row>
    <row r="2718" spans="1:23" hidden="1" x14ac:dyDescent="0.2">
      <c r="A2718">
        <v>2012</v>
      </c>
      <c r="B2718" t="s">
        <v>303</v>
      </c>
      <c r="C2718" s="733">
        <v>40932</v>
      </c>
      <c r="D27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18" t="s">
        <v>485</v>
      </c>
      <c r="F2718" t="s">
        <v>2084</v>
      </c>
      <c r="G2718" t="s">
        <v>5844</v>
      </c>
      <c r="H2718">
        <v>40361</v>
      </c>
      <c r="I2718" t="s">
        <v>423</v>
      </c>
      <c r="J2718" t="s">
        <v>2813</v>
      </c>
      <c r="K2718" t="s">
        <v>2814</v>
      </c>
      <c r="L2718" t="s">
        <v>2815</v>
      </c>
      <c r="M2718">
        <v>365</v>
      </c>
      <c r="N2718">
        <v>29.940999999999999</v>
      </c>
      <c r="O2718">
        <v>8059.52</v>
      </c>
      <c r="P2718">
        <v>0</v>
      </c>
      <c r="Q2718">
        <v>8059.52</v>
      </c>
      <c r="R2718">
        <v>1289.52</v>
      </c>
      <c r="S2718">
        <v>322.38</v>
      </c>
      <c r="T2718">
        <v>9026.66</v>
      </c>
      <c r="U2718" t="s">
        <v>2826</v>
      </c>
      <c r="V2718" t="s">
        <v>9408</v>
      </c>
      <c r="W2718" t="s">
        <v>423</v>
      </c>
    </row>
    <row r="2719" spans="1:23" hidden="1" x14ac:dyDescent="0.2">
      <c r="A2719">
        <v>2012</v>
      </c>
      <c r="B2719" t="s">
        <v>303</v>
      </c>
      <c r="C2719" s="733">
        <v>40926</v>
      </c>
      <c r="D27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19" t="s">
        <v>485</v>
      </c>
      <c r="F2719" t="s">
        <v>2084</v>
      </c>
      <c r="G2719" t="s">
        <v>6153</v>
      </c>
      <c r="H2719">
        <v>40058</v>
      </c>
      <c r="I2719" t="s">
        <v>423</v>
      </c>
      <c r="J2719" t="s">
        <v>2813</v>
      </c>
      <c r="K2719" t="s">
        <v>2814</v>
      </c>
      <c r="L2719" t="s">
        <v>2815</v>
      </c>
      <c r="M2719">
        <v>365</v>
      </c>
      <c r="N2719">
        <v>23.667000000000002</v>
      </c>
      <c r="O2719">
        <v>6370.68</v>
      </c>
      <c r="P2719">
        <v>0</v>
      </c>
      <c r="Q2719">
        <v>6370.68</v>
      </c>
      <c r="R2719">
        <v>1019.31</v>
      </c>
      <c r="S2719">
        <v>254.83</v>
      </c>
      <c r="T2719">
        <v>7135.16</v>
      </c>
      <c r="U2719" t="s">
        <v>2826</v>
      </c>
      <c r="V2719" t="s">
        <v>9408</v>
      </c>
      <c r="W2719" t="s">
        <v>423</v>
      </c>
    </row>
    <row r="2720" spans="1:23" hidden="1" x14ac:dyDescent="0.2">
      <c r="A2720">
        <v>2012</v>
      </c>
      <c r="B2720" t="s">
        <v>303</v>
      </c>
      <c r="C2720" s="733">
        <v>40932</v>
      </c>
      <c r="D27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20" t="s">
        <v>485</v>
      </c>
      <c r="F2720" t="s">
        <v>2084</v>
      </c>
      <c r="G2720" t="s">
        <v>5843</v>
      </c>
      <c r="H2720">
        <v>40630</v>
      </c>
      <c r="I2720" t="s">
        <v>423</v>
      </c>
      <c r="J2720" t="s">
        <v>2813</v>
      </c>
      <c r="K2720" t="s">
        <v>2814</v>
      </c>
      <c r="L2720" t="s">
        <v>2815</v>
      </c>
      <c r="M2720">
        <v>365</v>
      </c>
      <c r="N2720">
        <v>30.044</v>
      </c>
      <c r="O2720">
        <v>8087.24</v>
      </c>
      <c r="P2720">
        <v>0</v>
      </c>
      <c r="Q2720">
        <v>8087.24</v>
      </c>
      <c r="R2720">
        <v>1293.96</v>
      </c>
      <c r="S2720">
        <v>323.49</v>
      </c>
      <c r="T2720">
        <v>9057.7099999999991</v>
      </c>
      <c r="U2720" t="s">
        <v>2826</v>
      </c>
      <c r="V2720" t="s">
        <v>9408</v>
      </c>
      <c r="W2720" t="s">
        <v>423</v>
      </c>
    </row>
    <row r="2721" spans="1:23" hidden="1" x14ac:dyDescent="0.2">
      <c r="A2721">
        <v>2012</v>
      </c>
      <c r="B2721" t="s">
        <v>303</v>
      </c>
      <c r="C2721" s="733">
        <v>40926</v>
      </c>
      <c r="D27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21" t="s">
        <v>485</v>
      </c>
      <c r="F2721" t="s">
        <v>2084</v>
      </c>
      <c r="G2721" t="s">
        <v>6151</v>
      </c>
      <c r="H2721">
        <v>40200</v>
      </c>
      <c r="I2721" t="s">
        <v>423</v>
      </c>
      <c r="J2721" t="s">
        <v>2813</v>
      </c>
      <c r="K2721" t="s">
        <v>2814</v>
      </c>
      <c r="L2721" t="s">
        <v>2815</v>
      </c>
      <c r="M2721">
        <v>365</v>
      </c>
      <c r="N2721">
        <v>23.898</v>
      </c>
      <c r="O2721">
        <v>6432.86</v>
      </c>
      <c r="P2721">
        <v>0</v>
      </c>
      <c r="Q2721">
        <v>6432.86</v>
      </c>
      <c r="R2721">
        <v>1029.26</v>
      </c>
      <c r="S2721">
        <v>257.31</v>
      </c>
      <c r="T2721">
        <v>7204.81</v>
      </c>
      <c r="U2721" t="s">
        <v>2826</v>
      </c>
      <c r="V2721" t="s">
        <v>9408</v>
      </c>
      <c r="W2721" t="s">
        <v>423</v>
      </c>
    </row>
    <row r="2722" spans="1:23" hidden="1" x14ac:dyDescent="0.2">
      <c r="A2722">
        <v>2012</v>
      </c>
      <c r="B2722" t="s">
        <v>303</v>
      </c>
      <c r="C2722" s="733">
        <v>40938</v>
      </c>
      <c r="D27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22" t="s">
        <v>485</v>
      </c>
      <c r="F2722" t="s">
        <v>2084</v>
      </c>
      <c r="G2722" t="s">
        <v>6152</v>
      </c>
      <c r="H2722">
        <v>40804</v>
      </c>
      <c r="I2722" t="s">
        <v>423</v>
      </c>
      <c r="J2722" t="s">
        <v>2813</v>
      </c>
      <c r="K2722" t="s">
        <v>2814</v>
      </c>
      <c r="L2722" t="s">
        <v>2815</v>
      </c>
      <c r="M2722">
        <v>365</v>
      </c>
      <c r="N2722">
        <v>24.009</v>
      </c>
      <c r="O2722">
        <v>6462.74</v>
      </c>
      <c r="P2722">
        <v>0</v>
      </c>
      <c r="Q2722">
        <v>6462.74</v>
      </c>
      <c r="R2722">
        <v>1034.04</v>
      </c>
      <c r="S2722">
        <v>258.51</v>
      </c>
      <c r="T2722">
        <v>7238.27</v>
      </c>
      <c r="U2722" t="s">
        <v>2826</v>
      </c>
      <c r="V2722" t="s">
        <v>9408</v>
      </c>
      <c r="W2722" t="s">
        <v>423</v>
      </c>
    </row>
    <row r="2723" spans="1:23" hidden="1" x14ac:dyDescent="0.2">
      <c r="A2723">
        <v>2012</v>
      </c>
      <c r="B2723" t="s">
        <v>304</v>
      </c>
      <c r="C2723" s="733">
        <v>40949</v>
      </c>
      <c r="D27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23" t="s">
        <v>485</v>
      </c>
      <c r="F2723" t="s">
        <v>2084</v>
      </c>
      <c r="G2723" t="s">
        <v>6146</v>
      </c>
      <c r="H2723">
        <v>41229</v>
      </c>
      <c r="I2723" t="s">
        <v>423</v>
      </c>
      <c r="J2723" t="s">
        <v>2813</v>
      </c>
      <c r="K2723" t="s">
        <v>2814</v>
      </c>
      <c r="L2723" t="s">
        <v>2815</v>
      </c>
      <c r="M2723">
        <v>365</v>
      </c>
      <c r="N2723">
        <v>23.722000000000001</v>
      </c>
      <c r="O2723">
        <v>6385.49</v>
      </c>
      <c r="P2723">
        <v>0</v>
      </c>
      <c r="Q2723">
        <v>6385.49</v>
      </c>
      <c r="R2723">
        <v>702.4</v>
      </c>
      <c r="S2723">
        <v>255.42</v>
      </c>
      <c r="T2723">
        <v>6832.47</v>
      </c>
      <c r="U2723" t="s">
        <v>7527</v>
      </c>
      <c r="V2723" t="s">
        <v>9408</v>
      </c>
      <c r="W2723" t="s">
        <v>423</v>
      </c>
    </row>
    <row r="2724" spans="1:23" hidden="1" x14ac:dyDescent="0.2">
      <c r="A2724">
        <v>2012</v>
      </c>
      <c r="B2724" t="s">
        <v>303</v>
      </c>
      <c r="C2724" s="733">
        <v>40932</v>
      </c>
      <c r="D27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24" t="s">
        <v>485</v>
      </c>
      <c r="F2724" t="s">
        <v>2084</v>
      </c>
      <c r="G2724" t="s">
        <v>6147</v>
      </c>
      <c r="H2724">
        <v>40441</v>
      </c>
      <c r="I2724" t="s">
        <v>423</v>
      </c>
      <c r="J2724" t="s">
        <v>2813</v>
      </c>
      <c r="K2724" t="s">
        <v>2814</v>
      </c>
      <c r="L2724" t="s">
        <v>2815</v>
      </c>
      <c r="M2724">
        <v>365</v>
      </c>
      <c r="N2724">
        <v>30.012</v>
      </c>
      <c r="O2724">
        <v>8078.63</v>
      </c>
      <c r="P2724">
        <v>0</v>
      </c>
      <c r="Q2724">
        <v>8078.63</v>
      </c>
      <c r="R2724">
        <v>1292.58</v>
      </c>
      <c r="S2724">
        <v>323.14999999999998</v>
      </c>
      <c r="T2724">
        <v>9048.06</v>
      </c>
      <c r="U2724" t="s">
        <v>2826</v>
      </c>
      <c r="V2724" t="s">
        <v>9408</v>
      </c>
      <c r="W2724" t="s">
        <v>423</v>
      </c>
    </row>
    <row r="2725" spans="1:23" hidden="1" x14ac:dyDescent="0.2">
      <c r="A2725">
        <v>2012</v>
      </c>
      <c r="B2725" t="s">
        <v>304</v>
      </c>
      <c r="C2725" s="733">
        <v>40940</v>
      </c>
      <c r="D27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25" t="s">
        <v>485</v>
      </c>
      <c r="F2725" t="s">
        <v>2084</v>
      </c>
      <c r="G2725" t="s">
        <v>5845</v>
      </c>
      <c r="H2725">
        <v>41144</v>
      </c>
      <c r="I2725" t="s">
        <v>423</v>
      </c>
      <c r="J2725" t="s">
        <v>2813</v>
      </c>
      <c r="K2725" t="s">
        <v>2814</v>
      </c>
      <c r="L2725" t="s">
        <v>2815</v>
      </c>
      <c r="M2725">
        <v>365</v>
      </c>
      <c r="N2725">
        <v>24.120999999999999</v>
      </c>
      <c r="O2725">
        <v>6492.89</v>
      </c>
      <c r="P2725">
        <v>0</v>
      </c>
      <c r="Q2725">
        <v>6492.89</v>
      </c>
      <c r="R2725">
        <v>1038.8599999999999</v>
      </c>
      <c r="S2725">
        <v>259.72000000000003</v>
      </c>
      <c r="T2725">
        <v>7272.03</v>
      </c>
      <c r="U2725" t="s">
        <v>8522</v>
      </c>
      <c r="V2725" t="s">
        <v>9408</v>
      </c>
      <c r="W2725" t="s">
        <v>423</v>
      </c>
    </row>
    <row r="2726" spans="1:23" hidden="1" x14ac:dyDescent="0.2">
      <c r="A2726">
        <v>2012</v>
      </c>
      <c r="B2726" t="s">
        <v>304</v>
      </c>
      <c r="C2726" s="733">
        <v>40949</v>
      </c>
      <c r="D27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26" t="s">
        <v>485</v>
      </c>
      <c r="F2726" t="s">
        <v>2084</v>
      </c>
      <c r="G2726" t="s">
        <v>5846</v>
      </c>
      <c r="H2726">
        <v>41453</v>
      </c>
      <c r="I2726" t="s">
        <v>423</v>
      </c>
      <c r="J2726" t="s">
        <v>2813</v>
      </c>
      <c r="K2726" t="s">
        <v>2814</v>
      </c>
      <c r="L2726" t="s">
        <v>2815</v>
      </c>
      <c r="M2726">
        <v>365</v>
      </c>
      <c r="N2726">
        <v>24.373999999999999</v>
      </c>
      <c r="O2726">
        <v>6560.99</v>
      </c>
      <c r="P2726">
        <v>0</v>
      </c>
      <c r="Q2726">
        <v>6560.99</v>
      </c>
      <c r="R2726">
        <v>721.71</v>
      </c>
      <c r="S2726">
        <v>262.44</v>
      </c>
      <c r="T2726">
        <v>7020.26</v>
      </c>
      <c r="U2726" t="s">
        <v>7527</v>
      </c>
      <c r="V2726" t="s">
        <v>9408</v>
      </c>
      <c r="W2726" t="s">
        <v>423</v>
      </c>
    </row>
    <row r="2727" spans="1:23" hidden="1" x14ac:dyDescent="0.2">
      <c r="A2727">
        <v>2012</v>
      </c>
      <c r="B2727" t="s">
        <v>303</v>
      </c>
      <c r="C2727" s="733">
        <v>40932</v>
      </c>
      <c r="D27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27" t="s">
        <v>485</v>
      </c>
      <c r="F2727" t="s">
        <v>2084</v>
      </c>
      <c r="G2727" t="s">
        <v>6150</v>
      </c>
      <c r="H2727">
        <v>40690</v>
      </c>
      <c r="I2727" t="s">
        <v>423</v>
      </c>
      <c r="J2727" t="s">
        <v>2813</v>
      </c>
      <c r="K2727" t="s">
        <v>2814</v>
      </c>
      <c r="L2727" t="s">
        <v>2815</v>
      </c>
      <c r="M2727">
        <v>365</v>
      </c>
      <c r="N2727">
        <v>29.728000000000002</v>
      </c>
      <c r="O2727">
        <v>8002.18</v>
      </c>
      <c r="P2727">
        <v>0</v>
      </c>
      <c r="Q2727">
        <v>8002.18</v>
      </c>
      <c r="R2727">
        <v>1280.3499999999999</v>
      </c>
      <c r="S2727">
        <v>320.08999999999997</v>
      </c>
      <c r="T2727">
        <v>8962.44</v>
      </c>
      <c r="U2727" t="s">
        <v>2826</v>
      </c>
      <c r="V2727" t="s">
        <v>9408</v>
      </c>
      <c r="W2727" t="s">
        <v>423</v>
      </c>
    </row>
    <row r="2728" spans="1:23" hidden="1" x14ac:dyDescent="0.2">
      <c r="A2728">
        <v>2012</v>
      </c>
      <c r="B2728" t="s">
        <v>303</v>
      </c>
      <c r="C2728" s="733">
        <v>40938</v>
      </c>
      <c r="D27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28" t="s">
        <v>485</v>
      </c>
      <c r="F2728" t="s">
        <v>2084</v>
      </c>
      <c r="G2728" t="s">
        <v>5850</v>
      </c>
      <c r="H2728">
        <v>39906</v>
      </c>
      <c r="I2728" t="s">
        <v>423</v>
      </c>
      <c r="J2728" t="s">
        <v>2813</v>
      </c>
      <c r="K2728" t="s">
        <v>2814</v>
      </c>
      <c r="L2728" t="s">
        <v>2815</v>
      </c>
      <c r="M2728">
        <v>365</v>
      </c>
      <c r="N2728">
        <v>24.263999999999999</v>
      </c>
      <c r="O2728">
        <v>6531.38</v>
      </c>
      <c r="P2728">
        <v>0</v>
      </c>
      <c r="Q2728">
        <v>6531.38</v>
      </c>
      <c r="R2728">
        <v>1045.02</v>
      </c>
      <c r="S2728">
        <v>261.26</v>
      </c>
      <c r="T2728">
        <v>7315.14</v>
      </c>
      <c r="U2728" t="s">
        <v>2826</v>
      </c>
      <c r="V2728" t="s">
        <v>9408</v>
      </c>
      <c r="W2728" t="s">
        <v>423</v>
      </c>
    </row>
    <row r="2729" spans="1:23" hidden="1" x14ac:dyDescent="0.2">
      <c r="A2729">
        <v>2012</v>
      </c>
      <c r="B2729" t="s">
        <v>304</v>
      </c>
      <c r="C2729" s="733">
        <v>40952</v>
      </c>
      <c r="D27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29" t="s">
        <v>485</v>
      </c>
      <c r="F2729" t="s">
        <v>2084</v>
      </c>
      <c r="G2729" t="s">
        <v>5851</v>
      </c>
      <c r="H2729">
        <v>41277</v>
      </c>
      <c r="I2729" t="s">
        <v>423</v>
      </c>
      <c r="J2729" t="s">
        <v>2813</v>
      </c>
      <c r="K2729" t="s">
        <v>2814</v>
      </c>
      <c r="L2729" t="s">
        <v>2815</v>
      </c>
      <c r="M2729">
        <v>365</v>
      </c>
      <c r="N2729">
        <v>23.937999999999999</v>
      </c>
      <c r="O2729">
        <v>6443.63</v>
      </c>
      <c r="P2729">
        <v>0</v>
      </c>
      <c r="Q2729">
        <v>6443.63</v>
      </c>
      <c r="R2729">
        <v>708.8</v>
      </c>
      <c r="S2729">
        <v>257.75</v>
      </c>
      <c r="T2729">
        <v>6894.68</v>
      </c>
      <c r="U2729" t="s">
        <v>7527</v>
      </c>
      <c r="V2729" t="s">
        <v>9408</v>
      </c>
      <c r="W2729" t="s">
        <v>423</v>
      </c>
    </row>
    <row r="2730" spans="1:23" hidden="1" x14ac:dyDescent="0.2">
      <c r="A2730">
        <v>2012</v>
      </c>
      <c r="B2730" t="s">
        <v>303</v>
      </c>
      <c r="C2730" s="733">
        <v>40912</v>
      </c>
      <c r="D27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30" t="s">
        <v>485</v>
      </c>
      <c r="F2730" t="s">
        <v>2084</v>
      </c>
      <c r="G2730" t="s">
        <v>5842</v>
      </c>
      <c r="H2730">
        <v>39675</v>
      </c>
      <c r="I2730" t="s">
        <v>423</v>
      </c>
      <c r="J2730" t="s">
        <v>2813</v>
      </c>
      <c r="K2730" t="s">
        <v>2814</v>
      </c>
      <c r="L2730" t="s">
        <v>2815</v>
      </c>
      <c r="M2730">
        <v>365</v>
      </c>
      <c r="N2730">
        <v>23.58</v>
      </c>
      <c r="O2730">
        <v>2672.32</v>
      </c>
      <c r="P2730">
        <v>3008.7383650000002</v>
      </c>
      <c r="Q2730">
        <v>5681.0583649999999</v>
      </c>
      <c r="R2730">
        <v>908.96933799999999</v>
      </c>
      <c r="S2730">
        <v>227.242335</v>
      </c>
      <c r="T2730">
        <v>6362.7853679999998</v>
      </c>
      <c r="U2730" t="s">
        <v>2846</v>
      </c>
      <c r="V2730" t="s">
        <v>9408</v>
      </c>
      <c r="W2730" t="s">
        <v>423</v>
      </c>
    </row>
    <row r="2731" spans="1:23" hidden="1" x14ac:dyDescent="0.2">
      <c r="A2731">
        <v>2012</v>
      </c>
      <c r="B2731" t="s">
        <v>303</v>
      </c>
      <c r="C2731" s="733">
        <v>40932</v>
      </c>
      <c r="D27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31" t="s">
        <v>485</v>
      </c>
      <c r="F2731" t="s">
        <v>2084</v>
      </c>
      <c r="G2731" t="s">
        <v>5840</v>
      </c>
      <c r="H2731">
        <v>40628</v>
      </c>
      <c r="I2731" t="s">
        <v>423</v>
      </c>
      <c r="J2731" t="s">
        <v>2813</v>
      </c>
      <c r="K2731" t="s">
        <v>2814</v>
      </c>
      <c r="L2731" t="s">
        <v>2815</v>
      </c>
      <c r="M2731">
        <v>365</v>
      </c>
      <c r="N2731">
        <v>23.645</v>
      </c>
      <c r="O2731">
        <v>6364.76</v>
      </c>
      <c r="P2731">
        <v>0</v>
      </c>
      <c r="Q2731">
        <v>6364.76</v>
      </c>
      <c r="R2731">
        <v>1018.36</v>
      </c>
      <c r="S2731">
        <v>254.59</v>
      </c>
      <c r="T2731">
        <v>7128.53</v>
      </c>
      <c r="U2731" t="s">
        <v>8522</v>
      </c>
      <c r="V2731" t="s">
        <v>9408</v>
      </c>
      <c r="W2731" t="s">
        <v>423</v>
      </c>
    </row>
    <row r="2732" spans="1:23" x14ac:dyDescent="0.2">
      <c r="A2732">
        <v>2012</v>
      </c>
      <c r="B2732" t="s">
        <v>304</v>
      </c>
      <c r="C2732" s="733">
        <v>40967</v>
      </c>
      <c r="D27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32" t="s">
        <v>485</v>
      </c>
      <c r="F2732" t="s">
        <v>2084</v>
      </c>
      <c r="G2732" t="s">
        <v>8955</v>
      </c>
      <c r="H2732">
        <v>42558</v>
      </c>
      <c r="I2732" t="s">
        <v>423</v>
      </c>
      <c r="J2732" t="s">
        <v>2813</v>
      </c>
      <c r="K2732" t="s">
        <v>2814</v>
      </c>
      <c r="L2732" t="s">
        <v>2815</v>
      </c>
      <c r="M2732">
        <v>365</v>
      </c>
      <c r="N2732">
        <v>23.908999999999999</v>
      </c>
      <c r="O2732">
        <v>6435.82</v>
      </c>
      <c r="P2732">
        <v>0</v>
      </c>
      <c r="Q2732">
        <v>6435.82</v>
      </c>
      <c r="R2732">
        <v>707.94</v>
      </c>
      <c r="S2732">
        <v>257.43</v>
      </c>
      <c r="T2732">
        <v>6886.33</v>
      </c>
      <c r="V2732" t="s">
        <v>9408</v>
      </c>
      <c r="W2732" t="s">
        <v>423</v>
      </c>
    </row>
    <row r="2733" spans="1:23" x14ac:dyDescent="0.2">
      <c r="A2733">
        <v>2012</v>
      </c>
      <c r="B2733" t="s">
        <v>304</v>
      </c>
      <c r="C2733" s="733">
        <v>40967</v>
      </c>
      <c r="D27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33" t="s">
        <v>485</v>
      </c>
      <c r="F2733" t="s">
        <v>2084</v>
      </c>
      <c r="G2733" t="s">
        <v>8957</v>
      </c>
      <c r="H2733">
        <v>42555</v>
      </c>
      <c r="I2733" t="s">
        <v>423</v>
      </c>
      <c r="J2733" t="s">
        <v>2813</v>
      </c>
      <c r="K2733" t="s">
        <v>2814</v>
      </c>
      <c r="L2733" t="s">
        <v>2815</v>
      </c>
      <c r="M2733">
        <v>365</v>
      </c>
      <c r="N2733">
        <v>23.882999999999999</v>
      </c>
      <c r="O2733">
        <v>6428.83</v>
      </c>
      <c r="P2733">
        <v>0</v>
      </c>
      <c r="Q2733">
        <v>6428.83</v>
      </c>
      <c r="R2733">
        <v>707.17</v>
      </c>
      <c r="S2733">
        <v>257.14999999999998</v>
      </c>
      <c r="T2733">
        <v>6878.85</v>
      </c>
      <c r="V2733" t="s">
        <v>9408</v>
      </c>
      <c r="W2733" t="s">
        <v>423</v>
      </c>
    </row>
    <row r="2734" spans="1:23" hidden="1" x14ac:dyDescent="0.2">
      <c r="A2734">
        <v>2012</v>
      </c>
      <c r="B2734" t="s">
        <v>304</v>
      </c>
      <c r="C2734" s="733">
        <v>40949</v>
      </c>
      <c r="D27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34" t="s">
        <v>485</v>
      </c>
      <c r="F2734" t="s">
        <v>2084</v>
      </c>
      <c r="G2734" t="s">
        <v>5849</v>
      </c>
      <c r="H2734">
        <v>41228</v>
      </c>
      <c r="I2734" t="s">
        <v>423</v>
      </c>
      <c r="J2734" t="s">
        <v>2813</v>
      </c>
      <c r="K2734" t="s">
        <v>2814</v>
      </c>
      <c r="L2734" t="s">
        <v>2815</v>
      </c>
      <c r="M2734">
        <v>365</v>
      </c>
      <c r="N2734">
        <v>24.373000000000001</v>
      </c>
      <c r="O2734">
        <v>6560.72</v>
      </c>
      <c r="P2734">
        <v>0</v>
      </c>
      <c r="Q2734">
        <v>6560.72</v>
      </c>
      <c r="R2734">
        <v>721.68</v>
      </c>
      <c r="S2734">
        <v>262.43</v>
      </c>
      <c r="T2734">
        <v>7019.97</v>
      </c>
      <c r="U2734" t="s">
        <v>7527</v>
      </c>
      <c r="V2734" t="s">
        <v>9408</v>
      </c>
      <c r="W2734" t="s">
        <v>423</v>
      </c>
    </row>
    <row r="2735" spans="1:23" hidden="1" x14ac:dyDescent="0.2">
      <c r="A2735">
        <v>2012</v>
      </c>
      <c r="B2735" t="s">
        <v>304</v>
      </c>
      <c r="C2735" s="733">
        <v>40966</v>
      </c>
      <c r="D27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35" t="s">
        <v>485</v>
      </c>
      <c r="F2735" t="s">
        <v>2065</v>
      </c>
      <c r="G2735" t="s">
        <v>8821</v>
      </c>
      <c r="H2735">
        <v>42627</v>
      </c>
      <c r="I2735" t="s">
        <v>423</v>
      </c>
      <c r="J2735" t="s">
        <v>5260</v>
      </c>
      <c r="K2735" t="s">
        <v>2102</v>
      </c>
      <c r="L2735" t="s">
        <v>2115</v>
      </c>
      <c r="M2735">
        <v>832</v>
      </c>
      <c r="N2735">
        <v>23.54</v>
      </c>
      <c r="O2735">
        <v>11745.75</v>
      </c>
      <c r="P2735">
        <v>0</v>
      </c>
      <c r="Q2735">
        <v>11745.75</v>
      </c>
      <c r="R2735">
        <v>1879.32</v>
      </c>
      <c r="S2735">
        <v>469.83</v>
      </c>
      <c r="T2735">
        <v>13155.24</v>
      </c>
      <c r="V2735" t="s">
        <v>9408</v>
      </c>
      <c r="W2735" t="s">
        <v>423</v>
      </c>
    </row>
    <row r="2736" spans="1:23" hidden="1" x14ac:dyDescent="0.2">
      <c r="A2736">
        <v>2012</v>
      </c>
      <c r="B2736" t="s">
        <v>304</v>
      </c>
      <c r="C2736" s="733">
        <v>40960</v>
      </c>
      <c r="D27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36" t="s">
        <v>485</v>
      </c>
      <c r="F2736" t="s">
        <v>2084</v>
      </c>
      <c r="G2736" t="s">
        <v>8093</v>
      </c>
      <c r="H2736">
        <v>41913</v>
      </c>
      <c r="I2736" t="s">
        <v>423</v>
      </c>
      <c r="J2736" t="s">
        <v>2813</v>
      </c>
      <c r="K2736" t="s">
        <v>2814</v>
      </c>
      <c r="L2736" t="s">
        <v>2815</v>
      </c>
      <c r="M2736">
        <v>365</v>
      </c>
      <c r="N2736">
        <v>24.308</v>
      </c>
      <c r="O2736">
        <v>6543.23</v>
      </c>
      <c r="P2736">
        <v>0</v>
      </c>
      <c r="Q2736">
        <v>6543.23</v>
      </c>
      <c r="R2736">
        <v>719.76</v>
      </c>
      <c r="S2736">
        <v>261.73</v>
      </c>
      <c r="T2736">
        <v>7001.26</v>
      </c>
      <c r="U2736" t="s">
        <v>8877</v>
      </c>
      <c r="V2736" t="s">
        <v>9408</v>
      </c>
      <c r="W2736" t="s">
        <v>423</v>
      </c>
    </row>
    <row r="2737" spans="1:23" x14ac:dyDescent="0.2">
      <c r="A2737">
        <v>2012</v>
      </c>
      <c r="B2737" t="s">
        <v>304</v>
      </c>
      <c r="C2737" s="733">
        <v>40967</v>
      </c>
      <c r="D27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37" t="s">
        <v>485</v>
      </c>
      <c r="F2737" t="s">
        <v>2084</v>
      </c>
      <c r="G2737" t="s">
        <v>8961</v>
      </c>
      <c r="H2737">
        <v>42275</v>
      </c>
      <c r="I2737" t="s">
        <v>423</v>
      </c>
      <c r="J2737" t="s">
        <v>2813</v>
      </c>
      <c r="K2737" t="s">
        <v>2814</v>
      </c>
      <c r="L2737" t="s">
        <v>2815</v>
      </c>
      <c r="M2737">
        <v>365</v>
      </c>
      <c r="N2737">
        <v>23.984000000000002</v>
      </c>
      <c r="O2737">
        <v>6456.01</v>
      </c>
      <c r="P2737">
        <v>0</v>
      </c>
      <c r="Q2737">
        <v>6456.01</v>
      </c>
      <c r="R2737">
        <v>710.16</v>
      </c>
      <c r="S2737">
        <v>258.24</v>
      </c>
      <c r="T2737">
        <v>6907.93</v>
      </c>
      <c r="U2737" t="s">
        <v>8877</v>
      </c>
      <c r="V2737" t="s">
        <v>9408</v>
      </c>
      <c r="W2737" t="s">
        <v>423</v>
      </c>
    </row>
    <row r="2738" spans="1:23" hidden="1" x14ac:dyDescent="0.2">
      <c r="A2738">
        <v>2012</v>
      </c>
      <c r="B2738" t="s">
        <v>303</v>
      </c>
      <c r="C2738" s="733">
        <v>40932</v>
      </c>
      <c r="D27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38" t="s">
        <v>485</v>
      </c>
      <c r="F2738" t="s">
        <v>2084</v>
      </c>
      <c r="G2738" t="s">
        <v>5839</v>
      </c>
      <c r="H2738">
        <v>40694</v>
      </c>
      <c r="I2738" t="s">
        <v>423</v>
      </c>
      <c r="J2738" t="s">
        <v>2813</v>
      </c>
      <c r="K2738" t="s">
        <v>2814</v>
      </c>
      <c r="L2738" t="s">
        <v>2815</v>
      </c>
      <c r="M2738">
        <v>365</v>
      </c>
      <c r="N2738">
        <v>26.17</v>
      </c>
      <c r="O2738">
        <v>7044.44</v>
      </c>
      <c r="P2738">
        <v>0</v>
      </c>
      <c r="Q2738">
        <v>7044.44</v>
      </c>
      <c r="R2738">
        <v>1127.1099999999999</v>
      </c>
      <c r="S2738">
        <v>281.77999999999997</v>
      </c>
      <c r="T2738">
        <v>7889.77</v>
      </c>
      <c r="U2738" t="s">
        <v>8522</v>
      </c>
      <c r="V2738" t="s">
        <v>9408</v>
      </c>
      <c r="W2738" t="s">
        <v>423</v>
      </c>
    </row>
    <row r="2739" spans="1:23" hidden="1" x14ac:dyDescent="0.2">
      <c r="A2739">
        <v>2012</v>
      </c>
      <c r="B2739" t="s">
        <v>303</v>
      </c>
      <c r="C2739" s="733">
        <v>40929</v>
      </c>
      <c r="D27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39" t="s">
        <v>505</v>
      </c>
      <c r="F2739" t="s">
        <v>1915</v>
      </c>
      <c r="G2739" t="s">
        <v>6723</v>
      </c>
      <c r="H2739">
        <v>22061</v>
      </c>
      <c r="I2739" t="s">
        <v>1979</v>
      </c>
      <c r="J2739" t="s">
        <v>4254</v>
      </c>
      <c r="K2739" t="s">
        <v>1918</v>
      </c>
      <c r="L2739" t="s">
        <v>1919</v>
      </c>
      <c r="M2739">
        <v>2819</v>
      </c>
      <c r="N2739">
        <v>50.06</v>
      </c>
      <c r="O2739">
        <v>58340.42</v>
      </c>
      <c r="P2739">
        <v>0</v>
      </c>
      <c r="Q2739">
        <v>58340.42</v>
      </c>
      <c r="R2739">
        <v>9334.4699999999993</v>
      </c>
      <c r="S2739">
        <v>2333.62</v>
      </c>
      <c r="T2739">
        <v>65341.27</v>
      </c>
      <c r="U2739" t="s">
        <v>1936</v>
      </c>
      <c r="V2739" t="s">
        <v>9409</v>
      </c>
      <c r="W2739" t="s">
        <v>1979</v>
      </c>
    </row>
    <row r="2740" spans="1:23" hidden="1" x14ac:dyDescent="0.2">
      <c r="A2740">
        <v>2012</v>
      </c>
      <c r="B2740" t="s">
        <v>305</v>
      </c>
      <c r="C2740" s="733">
        <v>40970</v>
      </c>
      <c r="D2740" s="733" t="str">
        <f>CHOOSE(MONTH(Tabla_sqldatos_bonampakdb_Bon_v_ingresos2012[[#This Row],[fecha_guia]]),"Enero","Febrero","Marzo","Abril","Mayo","Junio","Julio","Agosto","Septiembre","Octubre","Noviembre","Diciembre")</f>
        <v>Marzo</v>
      </c>
      <c r="E2740" t="s">
        <v>478</v>
      </c>
      <c r="F2740" t="s">
        <v>2136</v>
      </c>
      <c r="G2740" t="s">
        <v>9713</v>
      </c>
      <c r="H2740">
        <v>36250</v>
      </c>
      <c r="I2740" t="s">
        <v>423</v>
      </c>
      <c r="J2740" t="s">
        <v>2936</v>
      </c>
      <c r="K2740" t="s">
        <v>425</v>
      </c>
      <c r="L2740" t="s">
        <v>2145</v>
      </c>
      <c r="M2740">
        <v>604</v>
      </c>
      <c r="N2740">
        <v>38.36</v>
      </c>
      <c r="O2740">
        <v>12010.13</v>
      </c>
      <c r="P2740">
        <v>0</v>
      </c>
      <c r="Q2740">
        <v>12010.13</v>
      </c>
      <c r="R2740">
        <v>1921.62</v>
      </c>
      <c r="S2740">
        <v>480.41</v>
      </c>
      <c r="T2740">
        <v>13451.34</v>
      </c>
      <c r="V2740" t="s">
        <v>9409</v>
      </c>
      <c r="W2740" t="s">
        <v>423</v>
      </c>
    </row>
    <row r="2741" spans="1:23" hidden="1" x14ac:dyDescent="0.2">
      <c r="A2741">
        <v>2012</v>
      </c>
      <c r="B2741" t="s">
        <v>304</v>
      </c>
      <c r="C2741" s="733">
        <v>40953</v>
      </c>
      <c r="D27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41" t="s">
        <v>478</v>
      </c>
      <c r="F2741" t="s">
        <v>2136</v>
      </c>
      <c r="G2741" t="s">
        <v>3179</v>
      </c>
      <c r="H2741">
        <v>35659</v>
      </c>
      <c r="I2741" t="s">
        <v>423</v>
      </c>
      <c r="J2741" t="s">
        <v>2936</v>
      </c>
      <c r="K2741" t="s">
        <v>425</v>
      </c>
      <c r="L2741" t="s">
        <v>2145</v>
      </c>
      <c r="M2741">
        <v>604</v>
      </c>
      <c r="N2741">
        <v>44.2</v>
      </c>
      <c r="O2741">
        <v>13838.58</v>
      </c>
      <c r="P2741">
        <v>0</v>
      </c>
      <c r="Q2741">
        <v>13838.58</v>
      </c>
      <c r="R2741">
        <v>2214.17</v>
      </c>
      <c r="S2741">
        <v>553.54</v>
      </c>
      <c r="T2741">
        <v>15499.21</v>
      </c>
      <c r="U2741" t="s">
        <v>7553</v>
      </c>
      <c r="V2741" t="s">
        <v>9409</v>
      </c>
      <c r="W2741" t="s">
        <v>423</v>
      </c>
    </row>
    <row r="2742" spans="1:23" hidden="1" x14ac:dyDescent="0.2">
      <c r="A2742">
        <v>2012</v>
      </c>
      <c r="B2742" t="s">
        <v>303</v>
      </c>
      <c r="C2742" s="733">
        <v>40928</v>
      </c>
      <c r="D27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42" t="s">
        <v>485</v>
      </c>
      <c r="F2742" t="s">
        <v>2065</v>
      </c>
      <c r="G2742" t="s">
        <v>3198</v>
      </c>
      <c r="H2742">
        <v>39748</v>
      </c>
      <c r="I2742" t="s">
        <v>423</v>
      </c>
      <c r="J2742" t="s">
        <v>2182</v>
      </c>
      <c r="K2742" t="s">
        <v>2183</v>
      </c>
      <c r="L2742" t="s">
        <v>2184</v>
      </c>
      <c r="M2742">
        <v>62</v>
      </c>
      <c r="N2742">
        <v>51.2</v>
      </c>
      <c r="O2742">
        <v>7584.77</v>
      </c>
      <c r="P2742">
        <v>0</v>
      </c>
      <c r="Q2742">
        <v>7584.77</v>
      </c>
      <c r="R2742">
        <v>1213.56</v>
      </c>
      <c r="S2742">
        <v>303.39</v>
      </c>
      <c r="T2742">
        <v>8494.94</v>
      </c>
      <c r="U2742" t="s">
        <v>7554</v>
      </c>
      <c r="V2742" t="s">
        <v>9409</v>
      </c>
      <c r="W2742" t="s">
        <v>423</v>
      </c>
    </row>
    <row r="2743" spans="1:23" hidden="1" x14ac:dyDescent="0.2">
      <c r="A2743">
        <v>2012</v>
      </c>
      <c r="B2743" t="s">
        <v>304</v>
      </c>
      <c r="C2743" s="733">
        <v>40941</v>
      </c>
      <c r="D27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43" t="s">
        <v>485</v>
      </c>
      <c r="F2743" t="s">
        <v>2065</v>
      </c>
      <c r="G2743" t="s">
        <v>2810</v>
      </c>
      <c r="H2743">
        <v>41251</v>
      </c>
      <c r="I2743" t="s">
        <v>424</v>
      </c>
      <c r="J2743" t="s">
        <v>2114</v>
      </c>
      <c r="K2743" t="s">
        <v>2102</v>
      </c>
      <c r="L2743" t="s">
        <v>2115</v>
      </c>
      <c r="M2743">
        <v>500</v>
      </c>
      <c r="N2743">
        <v>54</v>
      </c>
      <c r="O2743">
        <v>10009.44</v>
      </c>
      <c r="P2743">
        <v>0</v>
      </c>
      <c r="Q2743">
        <v>10009.44</v>
      </c>
      <c r="R2743">
        <v>1601.51</v>
      </c>
      <c r="S2743">
        <v>400.38</v>
      </c>
      <c r="T2743">
        <v>11210.57</v>
      </c>
      <c r="U2743" t="s">
        <v>8871</v>
      </c>
      <c r="V2743" t="s">
        <v>9409</v>
      </c>
      <c r="W2743" t="s">
        <v>424</v>
      </c>
    </row>
    <row r="2744" spans="1:23" hidden="1" x14ac:dyDescent="0.2">
      <c r="A2744">
        <v>2012</v>
      </c>
      <c r="B2744" t="s">
        <v>303</v>
      </c>
      <c r="C2744" s="733">
        <v>40927</v>
      </c>
      <c r="D27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44" t="s">
        <v>485</v>
      </c>
      <c r="F2744" t="s">
        <v>2065</v>
      </c>
      <c r="G2744" t="s">
        <v>3176</v>
      </c>
      <c r="H2744">
        <v>39747</v>
      </c>
      <c r="I2744" t="s">
        <v>423</v>
      </c>
      <c r="J2744" t="s">
        <v>2114</v>
      </c>
      <c r="K2744" t="s">
        <v>2102</v>
      </c>
      <c r="L2744" t="s">
        <v>2115</v>
      </c>
      <c r="M2744">
        <v>500</v>
      </c>
      <c r="N2744">
        <v>51.83</v>
      </c>
      <c r="O2744">
        <v>17427.84</v>
      </c>
      <c r="P2744">
        <v>0</v>
      </c>
      <c r="Q2744">
        <v>17427.84</v>
      </c>
      <c r="R2744">
        <v>2788.45</v>
      </c>
      <c r="S2744">
        <v>697.11</v>
      </c>
      <c r="T2744">
        <v>19519.18</v>
      </c>
      <c r="U2744" t="s">
        <v>2108</v>
      </c>
      <c r="V2744" t="s">
        <v>9409</v>
      </c>
      <c r="W2744" t="s">
        <v>423</v>
      </c>
    </row>
    <row r="2745" spans="1:23" hidden="1" x14ac:dyDescent="0.2">
      <c r="A2745">
        <v>2012</v>
      </c>
      <c r="B2745" t="s">
        <v>304</v>
      </c>
      <c r="C2745" s="733">
        <v>40946</v>
      </c>
      <c r="D27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45" t="s">
        <v>485</v>
      </c>
      <c r="F2745" t="s">
        <v>2065</v>
      </c>
      <c r="G2745" t="s">
        <v>3177</v>
      </c>
      <c r="H2745">
        <v>41366</v>
      </c>
      <c r="I2745" t="s">
        <v>424</v>
      </c>
      <c r="J2745" t="s">
        <v>2135</v>
      </c>
      <c r="K2745" t="s">
        <v>2102</v>
      </c>
      <c r="L2745" t="s">
        <v>2115</v>
      </c>
      <c r="M2745">
        <v>494</v>
      </c>
      <c r="N2745">
        <v>54</v>
      </c>
      <c r="O2745">
        <v>11375.64</v>
      </c>
      <c r="P2745">
        <v>0</v>
      </c>
      <c r="Q2745">
        <v>11375.64</v>
      </c>
      <c r="R2745">
        <v>1820.1</v>
      </c>
      <c r="S2745">
        <v>455.03</v>
      </c>
      <c r="T2745">
        <v>12740.71</v>
      </c>
      <c r="U2745" t="s">
        <v>7461</v>
      </c>
      <c r="V2745" t="s">
        <v>9409</v>
      </c>
      <c r="W2745" t="s">
        <v>424</v>
      </c>
    </row>
    <row r="2746" spans="1:23" hidden="1" x14ac:dyDescent="0.2">
      <c r="A2746">
        <v>2012</v>
      </c>
      <c r="B2746" t="s">
        <v>303</v>
      </c>
      <c r="C2746" s="733">
        <v>40921</v>
      </c>
      <c r="D27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46" t="s">
        <v>485</v>
      </c>
      <c r="F2746" t="s">
        <v>2065</v>
      </c>
      <c r="G2746" t="s">
        <v>3178</v>
      </c>
      <c r="H2746">
        <v>40245</v>
      </c>
      <c r="I2746" t="s">
        <v>423</v>
      </c>
      <c r="J2746" t="s">
        <v>2135</v>
      </c>
      <c r="K2746" t="s">
        <v>2102</v>
      </c>
      <c r="L2746" t="s">
        <v>2115</v>
      </c>
      <c r="M2746">
        <v>494</v>
      </c>
      <c r="N2746">
        <v>51.25</v>
      </c>
      <c r="O2746">
        <v>17232.810000000001</v>
      </c>
      <c r="P2746">
        <v>0</v>
      </c>
      <c r="Q2746">
        <v>17232.810000000001</v>
      </c>
      <c r="R2746">
        <v>2757.25</v>
      </c>
      <c r="S2746">
        <v>689.31</v>
      </c>
      <c r="T2746">
        <v>19300.75</v>
      </c>
      <c r="U2746" t="s">
        <v>2106</v>
      </c>
      <c r="V2746" t="s">
        <v>9409</v>
      </c>
      <c r="W2746" t="s">
        <v>423</v>
      </c>
    </row>
    <row r="2747" spans="1:23" hidden="1" x14ac:dyDescent="0.2">
      <c r="A2747">
        <v>2012</v>
      </c>
      <c r="B2747" t="s">
        <v>303</v>
      </c>
      <c r="C2747" s="733">
        <v>40922</v>
      </c>
      <c r="D27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47" t="s">
        <v>505</v>
      </c>
      <c r="F2747" t="s">
        <v>1915</v>
      </c>
      <c r="G2747" t="s">
        <v>6713</v>
      </c>
      <c r="H2747">
        <v>21946</v>
      </c>
      <c r="I2747" t="s">
        <v>423</v>
      </c>
      <c r="J2747" t="s">
        <v>4155</v>
      </c>
      <c r="K2747" t="s">
        <v>1918</v>
      </c>
      <c r="L2747" t="s">
        <v>1919</v>
      </c>
      <c r="M2747">
        <v>650</v>
      </c>
      <c r="N2747">
        <v>50.17</v>
      </c>
      <c r="O2747">
        <v>21575.61</v>
      </c>
      <c r="P2747">
        <v>0</v>
      </c>
      <c r="Q2747">
        <v>21575.61</v>
      </c>
      <c r="R2747">
        <v>3452.1</v>
      </c>
      <c r="S2747">
        <v>863.02</v>
      </c>
      <c r="T2747">
        <v>24164.69</v>
      </c>
      <c r="U2747" t="s">
        <v>1931</v>
      </c>
      <c r="V2747" t="s">
        <v>9409</v>
      </c>
      <c r="W2747" t="s">
        <v>423</v>
      </c>
    </row>
    <row r="2748" spans="1:23" hidden="1" x14ac:dyDescent="0.2">
      <c r="A2748">
        <v>2012</v>
      </c>
      <c r="B2748" t="s">
        <v>303</v>
      </c>
      <c r="C2748" s="733">
        <v>40924</v>
      </c>
      <c r="D27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48" t="s">
        <v>505</v>
      </c>
      <c r="F2748" t="s">
        <v>1915</v>
      </c>
      <c r="G2748" t="s">
        <v>6711</v>
      </c>
      <c r="H2748">
        <v>22009</v>
      </c>
      <c r="I2748" t="s">
        <v>423</v>
      </c>
      <c r="J2748" t="s">
        <v>3207</v>
      </c>
      <c r="K2748" t="s">
        <v>1918</v>
      </c>
      <c r="L2748" t="s">
        <v>1919</v>
      </c>
      <c r="M2748">
        <v>334</v>
      </c>
      <c r="N2748">
        <v>49.94</v>
      </c>
      <c r="O2748">
        <v>13790.43</v>
      </c>
      <c r="P2748">
        <v>0</v>
      </c>
      <c r="Q2748">
        <v>13790.43</v>
      </c>
      <c r="R2748">
        <v>2206.4699999999998</v>
      </c>
      <c r="S2748">
        <v>551.62</v>
      </c>
      <c r="T2748">
        <v>15445.28</v>
      </c>
      <c r="U2748" t="s">
        <v>8778</v>
      </c>
      <c r="V2748" t="s">
        <v>9409</v>
      </c>
      <c r="W2748" t="s">
        <v>423</v>
      </c>
    </row>
    <row r="2749" spans="1:23" hidden="1" x14ac:dyDescent="0.2">
      <c r="A2749">
        <v>2012</v>
      </c>
      <c r="B2749" t="s">
        <v>303</v>
      </c>
      <c r="C2749" s="733">
        <v>40927</v>
      </c>
      <c r="D27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49" t="s">
        <v>485</v>
      </c>
      <c r="F2749" t="s">
        <v>2065</v>
      </c>
      <c r="G2749" t="s">
        <v>5651</v>
      </c>
      <c r="H2749">
        <v>39766</v>
      </c>
      <c r="I2749" t="s">
        <v>423</v>
      </c>
      <c r="J2749" t="s">
        <v>3419</v>
      </c>
      <c r="K2749" t="s">
        <v>2183</v>
      </c>
      <c r="L2749" t="s">
        <v>2184</v>
      </c>
      <c r="M2749">
        <v>80</v>
      </c>
      <c r="N2749">
        <v>15.41</v>
      </c>
      <c r="O2749">
        <v>1739.33</v>
      </c>
      <c r="P2749">
        <v>0</v>
      </c>
      <c r="Q2749">
        <v>1739.33</v>
      </c>
      <c r="R2749">
        <v>278.29000000000002</v>
      </c>
      <c r="S2749">
        <v>69.569999999999993</v>
      </c>
      <c r="T2749">
        <v>1948.05</v>
      </c>
      <c r="U2749" t="s">
        <v>2187</v>
      </c>
      <c r="V2749" t="s">
        <v>9408</v>
      </c>
      <c r="W2749" t="s">
        <v>423</v>
      </c>
    </row>
    <row r="2750" spans="1:23" x14ac:dyDescent="0.2">
      <c r="A2750">
        <v>2012</v>
      </c>
      <c r="B2750" t="s">
        <v>304</v>
      </c>
      <c r="C2750" s="733">
        <v>40967</v>
      </c>
      <c r="D27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50" t="s">
        <v>485</v>
      </c>
      <c r="F2750" t="s">
        <v>2065</v>
      </c>
      <c r="G2750" t="s">
        <v>8974</v>
      </c>
      <c r="H2750">
        <v>42712</v>
      </c>
      <c r="I2750" t="s">
        <v>423</v>
      </c>
      <c r="J2750" t="s">
        <v>3419</v>
      </c>
      <c r="K2750" t="s">
        <v>2183</v>
      </c>
      <c r="L2750" t="s">
        <v>2184</v>
      </c>
      <c r="M2750">
        <v>80</v>
      </c>
      <c r="N2750">
        <v>51.79</v>
      </c>
      <c r="O2750">
        <v>5845.54</v>
      </c>
      <c r="P2750">
        <v>0</v>
      </c>
      <c r="Q2750">
        <v>5845.54</v>
      </c>
      <c r="R2750">
        <v>935.29</v>
      </c>
      <c r="S2750">
        <v>233.82</v>
      </c>
      <c r="T2750">
        <v>6547.01</v>
      </c>
      <c r="V2750" t="s">
        <v>9409</v>
      </c>
      <c r="W2750" t="s">
        <v>423</v>
      </c>
    </row>
    <row r="2751" spans="1:23" hidden="1" x14ac:dyDescent="0.2">
      <c r="A2751">
        <v>2012</v>
      </c>
      <c r="B2751" t="s">
        <v>303</v>
      </c>
      <c r="C2751" s="733">
        <v>40934</v>
      </c>
      <c r="D27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51" t="s">
        <v>485</v>
      </c>
      <c r="F2751" t="s">
        <v>2065</v>
      </c>
      <c r="G2751" t="s">
        <v>2797</v>
      </c>
      <c r="H2751">
        <v>40810</v>
      </c>
      <c r="I2751" t="s">
        <v>423</v>
      </c>
      <c r="J2751" t="s">
        <v>2114</v>
      </c>
      <c r="K2751" t="s">
        <v>2102</v>
      </c>
      <c r="L2751" t="s">
        <v>2115</v>
      </c>
      <c r="M2751">
        <v>500</v>
      </c>
      <c r="N2751">
        <v>52.54</v>
      </c>
      <c r="O2751">
        <v>17666.580000000002</v>
      </c>
      <c r="P2751">
        <v>0</v>
      </c>
      <c r="Q2751">
        <v>17666.580000000002</v>
      </c>
      <c r="R2751">
        <v>2826.65</v>
      </c>
      <c r="S2751">
        <v>706.66</v>
      </c>
      <c r="T2751">
        <v>19786.57</v>
      </c>
      <c r="U2751" t="s">
        <v>2110</v>
      </c>
      <c r="V2751" t="s">
        <v>9409</v>
      </c>
      <c r="W2751" t="s">
        <v>423</v>
      </c>
    </row>
    <row r="2752" spans="1:23" hidden="1" x14ac:dyDescent="0.2">
      <c r="A2752">
        <v>2012</v>
      </c>
      <c r="B2752" t="s">
        <v>304</v>
      </c>
      <c r="C2752" s="733">
        <v>40954</v>
      </c>
      <c r="D27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52" t="s">
        <v>485</v>
      </c>
      <c r="F2752" t="s">
        <v>2065</v>
      </c>
      <c r="G2752" t="s">
        <v>7469</v>
      </c>
      <c r="H2752">
        <v>41935</v>
      </c>
      <c r="I2752" t="s">
        <v>424</v>
      </c>
      <c r="J2752" t="s">
        <v>2114</v>
      </c>
      <c r="K2752" t="s">
        <v>2102</v>
      </c>
      <c r="L2752" t="s">
        <v>2115</v>
      </c>
      <c r="M2752">
        <v>500</v>
      </c>
      <c r="N2752">
        <v>54</v>
      </c>
      <c r="O2752">
        <v>10009.44</v>
      </c>
      <c r="P2752">
        <v>0</v>
      </c>
      <c r="Q2752">
        <v>10009.44</v>
      </c>
      <c r="R2752">
        <v>1601.51</v>
      </c>
      <c r="S2752">
        <v>400.38</v>
      </c>
      <c r="T2752">
        <v>11210.57</v>
      </c>
      <c r="U2752" t="s">
        <v>8871</v>
      </c>
      <c r="V2752" t="s">
        <v>9409</v>
      </c>
      <c r="W2752" t="s">
        <v>424</v>
      </c>
    </row>
    <row r="2753" spans="1:23" hidden="1" x14ac:dyDescent="0.2">
      <c r="A2753">
        <v>2012</v>
      </c>
      <c r="B2753" t="s">
        <v>303</v>
      </c>
      <c r="C2753" s="733">
        <v>40935</v>
      </c>
      <c r="D27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53" t="s">
        <v>485</v>
      </c>
      <c r="F2753" t="s">
        <v>2065</v>
      </c>
      <c r="G2753" t="s">
        <v>3194</v>
      </c>
      <c r="H2753">
        <v>40966</v>
      </c>
      <c r="I2753" t="s">
        <v>423</v>
      </c>
      <c r="J2753" t="s">
        <v>2182</v>
      </c>
      <c r="K2753" t="s">
        <v>2183</v>
      </c>
      <c r="L2753" t="s">
        <v>2184</v>
      </c>
      <c r="M2753">
        <v>62</v>
      </c>
      <c r="N2753">
        <v>15.96</v>
      </c>
      <c r="O2753">
        <v>1801.41</v>
      </c>
      <c r="P2753">
        <v>0</v>
      </c>
      <c r="Q2753">
        <v>1801.41</v>
      </c>
      <c r="R2753">
        <v>288.22000000000003</v>
      </c>
      <c r="S2753">
        <v>72.06</v>
      </c>
      <c r="T2753">
        <v>2017.57</v>
      </c>
      <c r="U2753" t="s">
        <v>2187</v>
      </c>
      <c r="V2753" t="s">
        <v>9408</v>
      </c>
      <c r="W2753" t="s">
        <v>423</v>
      </c>
    </row>
    <row r="2754" spans="1:23" hidden="1" x14ac:dyDescent="0.2">
      <c r="A2754">
        <v>2012</v>
      </c>
      <c r="B2754" t="s">
        <v>303</v>
      </c>
      <c r="C2754" s="733">
        <v>40926</v>
      </c>
      <c r="D27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54" t="s">
        <v>505</v>
      </c>
      <c r="F2754" t="s">
        <v>1915</v>
      </c>
      <c r="G2754" t="s">
        <v>6143</v>
      </c>
      <c r="H2754">
        <v>22066</v>
      </c>
      <c r="I2754" t="s">
        <v>423</v>
      </c>
      <c r="J2754" t="s">
        <v>3207</v>
      </c>
      <c r="K2754" t="s">
        <v>1918</v>
      </c>
      <c r="L2754" t="s">
        <v>1919</v>
      </c>
      <c r="M2754">
        <v>334</v>
      </c>
      <c r="N2754">
        <v>51.7</v>
      </c>
      <c r="O2754">
        <v>14276.44</v>
      </c>
      <c r="P2754">
        <v>0</v>
      </c>
      <c r="Q2754">
        <v>14276.44</v>
      </c>
      <c r="R2754">
        <v>2284.23</v>
      </c>
      <c r="S2754">
        <v>571.05999999999995</v>
      </c>
      <c r="T2754">
        <v>15989.61</v>
      </c>
      <c r="U2754" t="s">
        <v>8778</v>
      </c>
      <c r="V2754" t="s">
        <v>9409</v>
      </c>
      <c r="W2754" t="s">
        <v>423</v>
      </c>
    </row>
    <row r="2755" spans="1:23" hidden="1" x14ac:dyDescent="0.2">
      <c r="A2755">
        <v>2012</v>
      </c>
      <c r="B2755" t="s">
        <v>304</v>
      </c>
      <c r="C2755" s="733">
        <v>40947</v>
      </c>
      <c r="D27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55" t="s">
        <v>505</v>
      </c>
      <c r="F2755" t="s">
        <v>1915</v>
      </c>
      <c r="G2755" t="s">
        <v>6144</v>
      </c>
      <c r="H2755">
        <v>22535</v>
      </c>
      <c r="I2755" t="s">
        <v>423</v>
      </c>
      <c r="J2755" t="s">
        <v>3207</v>
      </c>
      <c r="K2755" t="s">
        <v>1918</v>
      </c>
      <c r="L2755" t="s">
        <v>1919</v>
      </c>
      <c r="M2755">
        <v>334</v>
      </c>
      <c r="N2755">
        <v>53.7</v>
      </c>
      <c r="O2755">
        <v>14828.72</v>
      </c>
      <c r="P2755">
        <v>0</v>
      </c>
      <c r="Q2755">
        <v>14828.72</v>
      </c>
      <c r="R2755">
        <v>2372.59</v>
      </c>
      <c r="S2755">
        <v>593.15</v>
      </c>
      <c r="T2755">
        <v>16608.16</v>
      </c>
      <c r="U2755" t="s">
        <v>1924</v>
      </c>
      <c r="V2755" t="s">
        <v>9409</v>
      </c>
      <c r="W2755" t="s">
        <v>423</v>
      </c>
    </row>
    <row r="2756" spans="1:23" hidden="1" x14ac:dyDescent="0.2">
      <c r="A2756">
        <v>2012</v>
      </c>
      <c r="B2756" t="s">
        <v>303</v>
      </c>
      <c r="C2756" s="733">
        <v>40934</v>
      </c>
      <c r="D27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56" t="s">
        <v>485</v>
      </c>
      <c r="F2756" t="s">
        <v>2065</v>
      </c>
      <c r="G2756" t="s">
        <v>7012</v>
      </c>
      <c r="H2756">
        <v>40817</v>
      </c>
      <c r="I2756" t="s">
        <v>423</v>
      </c>
      <c r="J2756" t="s">
        <v>2345</v>
      </c>
      <c r="K2756" t="s">
        <v>2102</v>
      </c>
      <c r="L2756" t="s">
        <v>2115</v>
      </c>
      <c r="M2756">
        <v>426</v>
      </c>
      <c r="N2756">
        <v>50.25</v>
      </c>
      <c r="O2756">
        <v>16896.560000000001</v>
      </c>
      <c r="P2756">
        <v>0</v>
      </c>
      <c r="Q2756">
        <v>16896.560000000001</v>
      </c>
      <c r="R2756">
        <v>2703.45</v>
      </c>
      <c r="S2756">
        <v>675.86</v>
      </c>
      <c r="T2756">
        <v>18924.150000000001</v>
      </c>
      <c r="U2756" t="s">
        <v>2110</v>
      </c>
      <c r="V2756" t="s">
        <v>9409</v>
      </c>
      <c r="W2756" t="s">
        <v>423</v>
      </c>
    </row>
    <row r="2757" spans="1:23" hidden="1" x14ac:dyDescent="0.2">
      <c r="A2757">
        <v>2012</v>
      </c>
      <c r="B2757" t="s">
        <v>303</v>
      </c>
      <c r="C2757" s="733">
        <v>40939</v>
      </c>
      <c r="D27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57" t="s">
        <v>485</v>
      </c>
      <c r="F2757" t="s">
        <v>2065</v>
      </c>
      <c r="G2757" t="s">
        <v>5025</v>
      </c>
      <c r="H2757">
        <v>41165</v>
      </c>
      <c r="I2757" t="s">
        <v>423</v>
      </c>
      <c r="J2757" t="s">
        <v>3204</v>
      </c>
      <c r="K2757" t="s">
        <v>2183</v>
      </c>
      <c r="L2757" t="s">
        <v>2184</v>
      </c>
      <c r="M2757">
        <v>80</v>
      </c>
      <c r="N2757">
        <v>16.07</v>
      </c>
      <c r="O2757">
        <v>1813.82</v>
      </c>
      <c r="P2757">
        <v>0</v>
      </c>
      <c r="Q2757">
        <v>1813.82</v>
      </c>
      <c r="R2757">
        <v>290.20999999999998</v>
      </c>
      <c r="S2757">
        <v>72.55</v>
      </c>
      <c r="T2757">
        <v>2031.48</v>
      </c>
      <c r="U2757" t="s">
        <v>2192</v>
      </c>
      <c r="V2757" t="s">
        <v>9408</v>
      </c>
      <c r="W2757" t="s">
        <v>423</v>
      </c>
    </row>
    <row r="2758" spans="1:23" hidden="1" x14ac:dyDescent="0.2">
      <c r="A2758">
        <v>2012</v>
      </c>
      <c r="B2758" t="s">
        <v>303</v>
      </c>
      <c r="C2758" s="733">
        <v>40932</v>
      </c>
      <c r="D27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58" t="s">
        <v>505</v>
      </c>
      <c r="F2758" t="s">
        <v>1915</v>
      </c>
      <c r="G2758" t="s">
        <v>6709</v>
      </c>
      <c r="H2758">
        <v>22180</v>
      </c>
      <c r="I2758" t="s">
        <v>423</v>
      </c>
      <c r="J2758" t="s">
        <v>1945</v>
      </c>
      <c r="K2758" t="s">
        <v>1918</v>
      </c>
      <c r="L2758" t="s">
        <v>1919</v>
      </c>
      <c r="M2758">
        <v>949</v>
      </c>
      <c r="N2758">
        <v>49.9</v>
      </c>
      <c r="O2758">
        <v>37331.69</v>
      </c>
      <c r="P2758">
        <v>0</v>
      </c>
      <c r="Q2758">
        <v>37331.69</v>
      </c>
      <c r="R2758">
        <v>5973.07</v>
      </c>
      <c r="S2758">
        <v>1493.27</v>
      </c>
      <c r="T2758">
        <v>41811.49</v>
      </c>
      <c r="V2758" t="s">
        <v>9409</v>
      </c>
      <c r="W2758" t="s">
        <v>423</v>
      </c>
    </row>
    <row r="2759" spans="1:23" hidden="1" x14ac:dyDescent="0.2">
      <c r="A2759">
        <v>2012</v>
      </c>
      <c r="B2759" t="s">
        <v>305</v>
      </c>
      <c r="C2759" s="733">
        <v>40973</v>
      </c>
      <c r="D2759" s="733" t="str">
        <f>CHOOSE(MONTH(Tabla_sqldatos_bonampakdb_Bon_v_ingresos2012[[#This Row],[fecha_guia]]),"Enero","Febrero","Marzo","Abril","Mayo","Junio","Julio","Agosto","Septiembre","Octubre","Noviembre","Diciembre")</f>
        <v>Marzo</v>
      </c>
      <c r="E2759" t="s">
        <v>505</v>
      </c>
      <c r="F2759" t="s">
        <v>1915</v>
      </c>
      <c r="G2759" t="s">
        <v>9714</v>
      </c>
      <c r="H2759">
        <v>23174</v>
      </c>
      <c r="I2759" t="s">
        <v>423</v>
      </c>
      <c r="J2759" t="s">
        <v>3207</v>
      </c>
      <c r="K2759" t="s">
        <v>1918</v>
      </c>
      <c r="L2759" t="s">
        <v>1919</v>
      </c>
      <c r="M2759">
        <v>334</v>
      </c>
      <c r="N2759">
        <v>49.58</v>
      </c>
      <c r="O2759">
        <v>13691.02</v>
      </c>
      <c r="P2759">
        <v>0</v>
      </c>
      <c r="Q2759">
        <v>13691.02</v>
      </c>
      <c r="R2759">
        <v>2190.56</v>
      </c>
      <c r="S2759">
        <v>547.64</v>
      </c>
      <c r="T2759">
        <v>15333.94</v>
      </c>
      <c r="V2759" t="s">
        <v>9409</v>
      </c>
      <c r="W2759" t="s">
        <v>423</v>
      </c>
    </row>
    <row r="2760" spans="1:23" hidden="1" x14ac:dyDescent="0.2">
      <c r="A2760">
        <v>2012</v>
      </c>
      <c r="B2760" t="s">
        <v>304</v>
      </c>
      <c r="C2760" s="733">
        <v>40955</v>
      </c>
      <c r="D27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60" t="s">
        <v>505</v>
      </c>
      <c r="F2760" t="s">
        <v>1915</v>
      </c>
      <c r="G2760" t="s">
        <v>7644</v>
      </c>
      <c r="H2760">
        <v>22766</v>
      </c>
      <c r="I2760" t="s">
        <v>423</v>
      </c>
      <c r="J2760" t="s">
        <v>3207</v>
      </c>
      <c r="K2760" t="s">
        <v>1918</v>
      </c>
      <c r="L2760" t="s">
        <v>1919</v>
      </c>
      <c r="M2760">
        <v>334</v>
      </c>
      <c r="N2760">
        <v>49.93</v>
      </c>
      <c r="O2760">
        <v>13787.67</v>
      </c>
      <c r="P2760">
        <v>0</v>
      </c>
      <c r="Q2760">
        <v>13787.67</v>
      </c>
      <c r="R2760">
        <v>2206.0300000000002</v>
      </c>
      <c r="S2760">
        <v>551.51</v>
      </c>
      <c r="T2760">
        <v>15442.19</v>
      </c>
      <c r="U2760" t="s">
        <v>7529</v>
      </c>
      <c r="V2760" t="s">
        <v>9409</v>
      </c>
      <c r="W2760" t="s">
        <v>423</v>
      </c>
    </row>
    <row r="2761" spans="1:23" hidden="1" x14ac:dyDescent="0.2">
      <c r="A2761">
        <v>2012</v>
      </c>
      <c r="B2761" t="s">
        <v>303</v>
      </c>
      <c r="C2761" s="733">
        <v>40928</v>
      </c>
      <c r="D27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61" t="s">
        <v>505</v>
      </c>
      <c r="F2761" t="s">
        <v>1915</v>
      </c>
      <c r="G2761" t="s">
        <v>6145</v>
      </c>
      <c r="H2761">
        <v>22120</v>
      </c>
      <c r="I2761" t="s">
        <v>423</v>
      </c>
      <c r="J2761" t="s">
        <v>3207</v>
      </c>
      <c r="K2761" t="s">
        <v>1918</v>
      </c>
      <c r="L2761" t="s">
        <v>1919</v>
      </c>
      <c r="M2761">
        <v>334</v>
      </c>
      <c r="N2761">
        <v>25.19</v>
      </c>
      <c r="O2761">
        <v>6955.97</v>
      </c>
      <c r="P2761">
        <v>0</v>
      </c>
      <c r="Q2761">
        <v>6955.97</v>
      </c>
      <c r="R2761">
        <v>1112.95</v>
      </c>
      <c r="S2761">
        <v>278.24</v>
      </c>
      <c r="T2761">
        <v>7790.68</v>
      </c>
      <c r="U2761" t="s">
        <v>8778</v>
      </c>
      <c r="V2761" t="s">
        <v>9408</v>
      </c>
      <c r="W2761" t="s">
        <v>423</v>
      </c>
    </row>
    <row r="2762" spans="1:23" hidden="1" x14ac:dyDescent="0.2">
      <c r="A2762">
        <v>2012</v>
      </c>
      <c r="B2762" t="s">
        <v>303</v>
      </c>
      <c r="C2762" s="733">
        <v>40929</v>
      </c>
      <c r="D27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62" t="s">
        <v>505</v>
      </c>
      <c r="F2762" t="s">
        <v>1915</v>
      </c>
      <c r="G2762" t="s">
        <v>6710</v>
      </c>
      <c r="H2762">
        <v>22117</v>
      </c>
      <c r="I2762" t="s">
        <v>423</v>
      </c>
      <c r="J2762" t="s">
        <v>1945</v>
      </c>
      <c r="K2762" t="s">
        <v>1918</v>
      </c>
      <c r="L2762" t="s">
        <v>1919</v>
      </c>
      <c r="M2762">
        <v>949</v>
      </c>
      <c r="N2762">
        <v>50.03</v>
      </c>
      <c r="O2762">
        <v>37428.94</v>
      </c>
      <c r="P2762">
        <v>0</v>
      </c>
      <c r="Q2762">
        <v>37428.94</v>
      </c>
      <c r="R2762">
        <v>5988.63</v>
      </c>
      <c r="S2762">
        <v>1497.16</v>
      </c>
      <c r="T2762">
        <v>41920.410000000003</v>
      </c>
      <c r="U2762" t="s">
        <v>8778</v>
      </c>
      <c r="V2762" t="s">
        <v>9409</v>
      </c>
      <c r="W2762" t="s">
        <v>423</v>
      </c>
    </row>
    <row r="2763" spans="1:23" hidden="1" x14ac:dyDescent="0.2">
      <c r="A2763">
        <v>2012</v>
      </c>
      <c r="B2763" t="s">
        <v>303</v>
      </c>
      <c r="C2763" s="733">
        <v>40935</v>
      </c>
      <c r="D27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63" t="s">
        <v>485</v>
      </c>
      <c r="F2763" t="s">
        <v>2065</v>
      </c>
      <c r="G2763" t="s">
        <v>3199</v>
      </c>
      <c r="H2763">
        <v>39872</v>
      </c>
      <c r="I2763" t="s">
        <v>423</v>
      </c>
      <c r="J2763" t="s">
        <v>2182</v>
      </c>
      <c r="K2763" t="s">
        <v>2183</v>
      </c>
      <c r="L2763" t="s">
        <v>2184</v>
      </c>
      <c r="M2763">
        <v>62</v>
      </c>
      <c r="N2763">
        <v>51.16</v>
      </c>
      <c r="O2763">
        <v>7578.84</v>
      </c>
      <c r="P2763">
        <v>0</v>
      </c>
      <c r="Q2763">
        <v>7578.84</v>
      </c>
      <c r="R2763">
        <v>1212.6099999999999</v>
      </c>
      <c r="S2763">
        <v>303.14999999999998</v>
      </c>
      <c r="T2763">
        <v>8488.2999999999993</v>
      </c>
      <c r="U2763" t="s">
        <v>2187</v>
      </c>
      <c r="V2763" t="s">
        <v>9409</v>
      </c>
      <c r="W2763" t="s">
        <v>423</v>
      </c>
    </row>
    <row r="2764" spans="1:23" hidden="1" x14ac:dyDescent="0.2">
      <c r="A2764">
        <v>2012</v>
      </c>
      <c r="B2764" t="s">
        <v>304</v>
      </c>
      <c r="C2764" s="733">
        <v>40941</v>
      </c>
      <c r="D27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64" t="s">
        <v>478</v>
      </c>
      <c r="F2764" t="s">
        <v>3358</v>
      </c>
      <c r="G2764" t="s">
        <v>3478</v>
      </c>
      <c r="H2764">
        <v>35208</v>
      </c>
      <c r="I2764" t="s">
        <v>423</v>
      </c>
      <c r="J2764" t="s">
        <v>3360</v>
      </c>
      <c r="K2764" t="s">
        <v>483</v>
      </c>
      <c r="L2764" t="s">
        <v>3361</v>
      </c>
      <c r="M2764">
        <v>49</v>
      </c>
      <c r="N2764">
        <v>17.940000000000001</v>
      </c>
      <c r="O2764">
        <v>2024.89</v>
      </c>
      <c r="P2764">
        <v>0</v>
      </c>
      <c r="Q2764">
        <v>2024.89</v>
      </c>
      <c r="R2764">
        <v>323.98</v>
      </c>
      <c r="S2764">
        <v>81</v>
      </c>
      <c r="T2764">
        <v>2267.87</v>
      </c>
      <c r="U2764" t="s">
        <v>3362</v>
      </c>
      <c r="V2764" t="s">
        <v>9408</v>
      </c>
      <c r="W2764" t="s">
        <v>423</v>
      </c>
    </row>
    <row r="2765" spans="1:23" hidden="1" x14ac:dyDescent="0.2">
      <c r="A2765">
        <v>2012</v>
      </c>
      <c r="B2765" t="s">
        <v>304</v>
      </c>
      <c r="C2765" s="733">
        <v>40966</v>
      </c>
      <c r="D27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65" t="s">
        <v>485</v>
      </c>
      <c r="F2765" t="s">
        <v>2065</v>
      </c>
      <c r="G2765" t="s">
        <v>8790</v>
      </c>
      <c r="H2765">
        <v>42623</v>
      </c>
      <c r="I2765" t="s">
        <v>423</v>
      </c>
      <c r="J2765" t="s">
        <v>5479</v>
      </c>
      <c r="K2765" t="s">
        <v>2102</v>
      </c>
      <c r="L2765" t="s">
        <v>2115</v>
      </c>
      <c r="M2765">
        <v>979</v>
      </c>
      <c r="N2765">
        <v>25.93</v>
      </c>
      <c r="O2765">
        <v>13901.85</v>
      </c>
      <c r="P2765">
        <v>0</v>
      </c>
      <c r="Q2765">
        <v>13901.85</v>
      </c>
      <c r="R2765">
        <v>2224.3000000000002</v>
      </c>
      <c r="S2765">
        <v>556.07000000000005</v>
      </c>
      <c r="T2765">
        <v>15570.08</v>
      </c>
      <c r="V2765" t="s">
        <v>9409</v>
      </c>
      <c r="W2765" t="s">
        <v>423</v>
      </c>
    </row>
    <row r="2766" spans="1:23" hidden="1" x14ac:dyDescent="0.2">
      <c r="A2766">
        <v>2012</v>
      </c>
      <c r="B2766" t="s">
        <v>304</v>
      </c>
      <c r="C2766" s="733">
        <v>40947.412453703706</v>
      </c>
      <c r="D27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66" t="s">
        <v>478</v>
      </c>
      <c r="F2766" t="s">
        <v>2622</v>
      </c>
      <c r="G2766" t="s">
        <v>4213</v>
      </c>
      <c r="H2766">
        <v>35418</v>
      </c>
      <c r="I2766" t="s">
        <v>423</v>
      </c>
      <c r="J2766" t="s">
        <v>2629</v>
      </c>
      <c r="K2766" t="s">
        <v>2625</v>
      </c>
      <c r="L2766" t="s">
        <v>2626</v>
      </c>
      <c r="M2766">
        <v>33</v>
      </c>
      <c r="N2766">
        <v>23.8</v>
      </c>
      <c r="O2766">
        <v>2776.03</v>
      </c>
      <c r="P2766">
        <v>0</v>
      </c>
      <c r="Q2766">
        <v>2776.03</v>
      </c>
      <c r="R2766">
        <v>444.17</v>
      </c>
      <c r="S2766">
        <v>111.04</v>
      </c>
      <c r="T2766">
        <v>3109.16</v>
      </c>
      <c r="U2766" t="s">
        <v>2652</v>
      </c>
      <c r="V2766" t="s">
        <v>9408</v>
      </c>
      <c r="W2766" t="s">
        <v>423</v>
      </c>
    </row>
    <row r="2767" spans="1:23" hidden="1" x14ac:dyDescent="0.2">
      <c r="A2767">
        <v>2012</v>
      </c>
      <c r="B2767" t="s">
        <v>304</v>
      </c>
      <c r="C2767" s="733">
        <v>40960</v>
      </c>
      <c r="D27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67" t="s">
        <v>478</v>
      </c>
      <c r="F2767" t="s">
        <v>2136</v>
      </c>
      <c r="G2767" t="s">
        <v>8329</v>
      </c>
      <c r="H2767">
        <v>35888</v>
      </c>
      <c r="I2767" t="s">
        <v>423</v>
      </c>
      <c r="J2767" t="s">
        <v>2629</v>
      </c>
      <c r="K2767" t="s">
        <v>2625</v>
      </c>
      <c r="L2767" t="s">
        <v>2626</v>
      </c>
      <c r="M2767">
        <v>33</v>
      </c>
      <c r="N2767">
        <v>23.02</v>
      </c>
      <c r="O2767">
        <v>2685.05</v>
      </c>
      <c r="P2767">
        <v>0</v>
      </c>
      <c r="Q2767">
        <v>2685.05</v>
      </c>
      <c r="R2767">
        <v>429.61</v>
      </c>
      <c r="S2767">
        <v>107.4</v>
      </c>
      <c r="T2767">
        <v>3007.26</v>
      </c>
      <c r="U2767" t="s">
        <v>8267</v>
      </c>
      <c r="V2767" t="s">
        <v>9408</v>
      </c>
      <c r="W2767" t="s">
        <v>423</v>
      </c>
    </row>
    <row r="2768" spans="1:23" hidden="1" x14ac:dyDescent="0.2">
      <c r="A2768">
        <v>2012</v>
      </c>
      <c r="B2768" t="s">
        <v>303</v>
      </c>
      <c r="C2768" s="733">
        <v>40935</v>
      </c>
      <c r="D27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68" t="s">
        <v>485</v>
      </c>
      <c r="F2768" t="s">
        <v>2065</v>
      </c>
      <c r="G2768" t="s">
        <v>3154</v>
      </c>
      <c r="H2768">
        <v>39879</v>
      </c>
      <c r="I2768" t="s">
        <v>423</v>
      </c>
      <c r="J2768" t="s">
        <v>2186</v>
      </c>
      <c r="K2768" t="s">
        <v>2183</v>
      </c>
      <c r="L2768" t="s">
        <v>2184</v>
      </c>
      <c r="M2768">
        <v>19</v>
      </c>
      <c r="N2768">
        <v>15.79</v>
      </c>
      <c r="O2768">
        <v>1782.22</v>
      </c>
      <c r="P2768">
        <v>0</v>
      </c>
      <c r="Q2768">
        <v>1782.22</v>
      </c>
      <c r="R2768">
        <v>285.14999999999998</v>
      </c>
      <c r="S2768">
        <v>71.290000000000006</v>
      </c>
      <c r="T2768">
        <v>1996.08</v>
      </c>
      <c r="U2768" t="s">
        <v>2187</v>
      </c>
      <c r="V2768" t="s">
        <v>9408</v>
      </c>
      <c r="W2768" t="s">
        <v>423</v>
      </c>
    </row>
    <row r="2769" spans="1:23" hidden="1" x14ac:dyDescent="0.2">
      <c r="A2769">
        <v>2012</v>
      </c>
      <c r="B2769" t="s">
        <v>303</v>
      </c>
      <c r="C2769" s="733">
        <v>40939</v>
      </c>
      <c r="D27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69" t="s">
        <v>485</v>
      </c>
      <c r="F2769" t="s">
        <v>2065</v>
      </c>
      <c r="G2769" t="s">
        <v>3166</v>
      </c>
      <c r="H2769">
        <v>41169</v>
      </c>
      <c r="I2769" t="s">
        <v>423</v>
      </c>
      <c r="J2769" t="s">
        <v>2186</v>
      </c>
      <c r="K2769" t="s">
        <v>2183</v>
      </c>
      <c r="L2769" t="s">
        <v>2184</v>
      </c>
      <c r="M2769">
        <v>19</v>
      </c>
      <c r="N2769">
        <v>16.21</v>
      </c>
      <c r="O2769">
        <v>1829.62</v>
      </c>
      <c r="P2769">
        <v>0</v>
      </c>
      <c r="Q2769">
        <v>1829.62</v>
      </c>
      <c r="R2769">
        <v>292.74</v>
      </c>
      <c r="S2769">
        <v>73.180000000000007</v>
      </c>
      <c r="T2769">
        <v>2049.1799999999998</v>
      </c>
      <c r="U2769" t="s">
        <v>2192</v>
      </c>
      <c r="V2769" t="s">
        <v>9408</v>
      </c>
      <c r="W2769" t="s">
        <v>423</v>
      </c>
    </row>
    <row r="2770" spans="1:23" hidden="1" x14ac:dyDescent="0.2">
      <c r="A2770">
        <v>2012</v>
      </c>
      <c r="B2770" t="s">
        <v>304</v>
      </c>
      <c r="C2770" s="733">
        <v>40956.433831018519</v>
      </c>
      <c r="D27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70" t="s">
        <v>485</v>
      </c>
      <c r="F2770" t="s">
        <v>2065</v>
      </c>
      <c r="G2770" t="s">
        <v>7913</v>
      </c>
      <c r="H2770">
        <v>42115</v>
      </c>
      <c r="I2770" t="s">
        <v>423</v>
      </c>
      <c r="J2770" t="s">
        <v>2186</v>
      </c>
      <c r="K2770" t="s">
        <v>2183</v>
      </c>
      <c r="L2770" t="s">
        <v>2184</v>
      </c>
      <c r="M2770">
        <v>19</v>
      </c>
      <c r="N2770">
        <v>15.83</v>
      </c>
      <c r="O2770">
        <v>1786.73</v>
      </c>
      <c r="P2770">
        <v>0</v>
      </c>
      <c r="Q2770">
        <v>1786.73</v>
      </c>
      <c r="R2770">
        <v>285.88</v>
      </c>
      <c r="S2770">
        <v>71.47</v>
      </c>
      <c r="T2770">
        <v>2001.14</v>
      </c>
      <c r="U2770" t="s">
        <v>8048</v>
      </c>
      <c r="V2770" t="s">
        <v>9408</v>
      </c>
      <c r="W2770" t="s">
        <v>423</v>
      </c>
    </row>
    <row r="2771" spans="1:23" hidden="1" x14ac:dyDescent="0.2">
      <c r="A2771">
        <v>2012</v>
      </c>
      <c r="B2771" t="s">
        <v>304</v>
      </c>
      <c r="C2771" s="733">
        <v>40966</v>
      </c>
      <c r="D27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71" t="s">
        <v>478</v>
      </c>
      <c r="F2771" t="s">
        <v>2136</v>
      </c>
      <c r="G2771" t="s">
        <v>9000</v>
      </c>
      <c r="H2771">
        <v>36014</v>
      </c>
      <c r="I2771" t="s">
        <v>423</v>
      </c>
      <c r="J2771" t="s">
        <v>2629</v>
      </c>
      <c r="K2771" t="s">
        <v>2625</v>
      </c>
      <c r="L2771" t="s">
        <v>2626</v>
      </c>
      <c r="M2771">
        <v>33</v>
      </c>
      <c r="N2771">
        <v>22.67</v>
      </c>
      <c r="O2771">
        <v>2644.23</v>
      </c>
      <c r="P2771">
        <v>0</v>
      </c>
      <c r="Q2771">
        <v>2644.23</v>
      </c>
      <c r="R2771">
        <v>423.08</v>
      </c>
      <c r="S2771">
        <v>105.77</v>
      </c>
      <c r="T2771">
        <v>2961.54</v>
      </c>
      <c r="U2771" t="s">
        <v>9428</v>
      </c>
      <c r="V2771" t="s">
        <v>9408</v>
      </c>
      <c r="W2771" t="s">
        <v>423</v>
      </c>
    </row>
    <row r="2772" spans="1:23" hidden="1" x14ac:dyDescent="0.2">
      <c r="A2772">
        <v>2012</v>
      </c>
      <c r="B2772" t="s">
        <v>304</v>
      </c>
      <c r="C2772" s="733">
        <v>40940</v>
      </c>
      <c r="D27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72" t="s">
        <v>478</v>
      </c>
      <c r="F2772" t="s">
        <v>2136</v>
      </c>
      <c r="G2772" t="s">
        <v>5281</v>
      </c>
      <c r="H2772">
        <v>35194</v>
      </c>
      <c r="I2772" t="s">
        <v>423</v>
      </c>
      <c r="J2772" t="s">
        <v>4791</v>
      </c>
      <c r="K2772" t="s">
        <v>425</v>
      </c>
      <c r="L2772" t="s">
        <v>2145</v>
      </c>
      <c r="M2772">
        <v>139</v>
      </c>
      <c r="N2772">
        <v>25.77</v>
      </c>
      <c r="O2772">
        <v>4304.1099999999997</v>
      </c>
      <c r="P2772">
        <v>0</v>
      </c>
      <c r="Q2772">
        <v>4304.1099999999997</v>
      </c>
      <c r="R2772">
        <v>688.66</v>
      </c>
      <c r="S2772">
        <v>172.16</v>
      </c>
      <c r="T2772">
        <v>4820.6099999999997</v>
      </c>
      <c r="V2772" t="s">
        <v>9408</v>
      </c>
      <c r="W2772" t="s">
        <v>423</v>
      </c>
    </row>
    <row r="2773" spans="1:23" hidden="1" x14ac:dyDescent="0.2">
      <c r="A2773">
        <v>2012</v>
      </c>
      <c r="B2773" t="s">
        <v>303</v>
      </c>
      <c r="C2773" s="733">
        <v>40918</v>
      </c>
      <c r="D27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73" t="s">
        <v>478</v>
      </c>
      <c r="F2773" t="s">
        <v>2136</v>
      </c>
      <c r="G2773" t="s">
        <v>5282</v>
      </c>
      <c r="H2773">
        <v>34374</v>
      </c>
      <c r="I2773" t="s">
        <v>423</v>
      </c>
      <c r="J2773" t="s">
        <v>4791</v>
      </c>
      <c r="K2773" t="s">
        <v>425</v>
      </c>
      <c r="L2773" t="s">
        <v>2145</v>
      </c>
      <c r="M2773">
        <v>139</v>
      </c>
      <c r="N2773">
        <v>26.08</v>
      </c>
      <c r="O2773">
        <v>4355.88</v>
      </c>
      <c r="P2773">
        <v>0</v>
      </c>
      <c r="Q2773">
        <v>4355.88</v>
      </c>
      <c r="R2773">
        <v>696.94</v>
      </c>
      <c r="S2773">
        <v>174.24</v>
      </c>
      <c r="T2773">
        <v>4878.58</v>
      </c>
      <c r="U2773" t="s">
        <v>2350</v>
      </c>
      <c r="V2773" t="s">
        <v>9408</v>
      </c>
      <c r="W2773" t="s">
        <v>423</v>
      </c>
    </row>
    <row r="2774" spans="1:23" hidden="1" x14ac:dyDescent="0.2">
      <c r="A2774">
        <v>2012</v>
      </c>
      <c r="B2774" t="s">
        <v>303</v>
      </c>
      <c r="C2774" s="733">
        <v>40924</v>
      </c>
      <c r="D27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74" t="s">
        <v>478</v>
      </c>
      <c r="F2774" t="s">
        <v>2136</v>
      </c>
      <c r="G2774" t="s">
        <v>5283</v>
      </c>
      <c r="H2774">
        <v>34569</v>
      </c>
      <c r="I2774" t="s">
        <v>423</v>
      </c>
      <c r="J2774" t="s">
        <v>4791</v>
      </c>
      <c r="K2774" t="s">
        <v>425</v>
      </c>
      <c r="L2774" t="s">
        <v>2145</v>
      </c>
      <c r="M2774">
        <v>139</v>
      </c>
      <c r="N2774">
        <v>24.41</v>
      </c>
      <c r="O2774">
        <v>4076.96</v>
      </c>
      <c r="P2774">
        <v>0</v>
      </c>
      <c r="Q2774">
        <v>4076.96</v>
      </c>
      <c r="R2774">
        <v>652.30999999999995</v>
      </c>
      <c r="S2774">
        <v>163.08000000000001</v>
      </c>
      <c r="T2774">
        <v>4566.1899999999996</v>
      </c>
      <c r="U2774" t="s">
        <v>2146</v>
      </c>
      <c r="V2774" t="s">
        <v>9408</v>
      </c>
      <c r="W2774" t="s">
        <v>423</v>
      </c>
    </row>
    <row r="2775" spans="1:23" hidden="1" x14ac:dyDescent="0.2">
      <c r="A2775">
        <v>2012</v>
      </c>
      <c r="B2775" t="s">
        <v>304</v>
      </c>
      <c r="C2775" s="733">
        <v>40959</v>
      </c>
      <c r="D27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75" t="s">
        <v>478</v>
      </c>
      <c r="F2775" t="s">
        <v>2136</v>
      </c>
      <c r="G2775" t="s">
        <v>8146</v>
      </c>
      <c r="H2775">
        <v>35776</v>
      </c>
      <c r="I2775" t="s">
        <v>423</v>
      </c>
      <c r="J2775" t="s">
        <v>4285</v>
      </c>
      <c r="K2775" t="s">
        <v>425</v>
      </c>
      <c r="L2775" t="s">
        <v>2145</v>
      </c>
      <c r="M2775">
        <v>110</v>
      </c>
      <c r="N2775">
        <v>24.23</v>
      </c>
      <c r="O2775">
        <v>4046.89</v>
      </c>
      <c r="P2775">
        <v>0</v>
      </c>
      <c r="Q2775">
        <v>4046.89</v>
      </c>
      <c r="R2775">
        <v>647.5</v>
      </c>
      <c r="S2775">
        <v>161.88</v>
      </c>
      <c r="T2775">
        <v>4532.51</v>
      </c>
      <c r="U2775" t="s">
        <v>8252</v>
      </c>
      <c r="V2775" t="s">
        <v>9409</v>
      </c>
      <c r="W2775" t="s">
        <v>423</v>
      </c>
    </row>
    <row r="2776" spans="1:23" hidden="1" x14ac:dyDescent="0.2">
      <c r="A2776">
        <v>2012</v>
      </c>
      <c r="B2776" t="s">
        <v>304</v>
      </c>
      <c r="C2776" s="733">
        <v>40943.640115740738</v>
      </c>
      <c r="D27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76" t="s">
        <v>485</v>
      </c>
      <c r="F2776" t="s">
        <v>2054</v>
      </c>
      <c r="G2776" t="s">
        <v>2080</v>
      </c>
      <c r="H2776">
        <v>10334</v>
      </c>
      <c r="I2776" t="s">
        <v>423</v>
      </c>
      <c r="J2776" t="s">
        <v>2072</v>
      </c>
      <c r="K2776" t="s">
        <v>2057</v>
      </c>
      <c r="L2776" t="s">
        <v>2058</v>
      </c>
      <c r="M2776">
        <v>406</v>
      </c>
      <c r="N2776">
        <v>46.93</v>
      </c>
      <c r="O2776">
        <v>12825.03</v>
      </c>
      <c r="P2776">
        <v>0</v>
      </c>
      <c r="Q2776">
        <v>12825.03</v>
      </c>
      <c r="R2776">
        <v>2052</v>
      </c>
      <c r="S2776">
        <v>513</v>
      </c>
      <c r="T2776">
        <v>14364.03</v>
      </c>
      <c r="U2776" t="s">
        <v>2075</v>
      </c>
      <c r="V2776" t="s">
        <v>9409</v>
      </c>
      <c r="W2776" t="s">
        <v>423</v>
      </c>
    </row>
    <row r="2777" spans="1:23" hidden="1" x14ac:dyDescent="0.2">
      <c r="A2777">
        <v>2012</v>
      </c>
      <c r="B2777" t="s">
        <v>303</v>
      </c>
      <c r="C2777" s="733">
        <v>40939</v>
      </c>
      <c r="D27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77" t="s">
        <v>485</v>
      </c>
      <c r="F2777" t="s">
        <v>2054</v>
      </c>
      <c r="G2777" t="s">
        <v>2071</v>
      </c>
      <c r="H2777">
        <v>10019</v>
      </c>
      <c r="I2777" t="s">
        <v>423</v>
      </c>
      <c r="J2777" t="s">
        <v>2072</v>
      </c>
      <c r="K2777" t="s">
        <v>2057</v>
      </c>
      <c r="L2777" t="s">
        <v>2058</v>
      </c>
      <c r="M2777">
        <v>406</v>
      </c>
      <c r="N2777">
        <v>23.3</v>
      </c>
      <c r="O2777">
        <v>6367.42</v>
      </c>
      <c r="P2777">
        <v>0</v>
      </c>
      <c r="Q2777">
        <v>6367.42</v>
      </c>
      <c r="R2777">
        <v>1018.79</v>
      </c>
      <c r="S2777">
        <v>254.7</v>
      </c>
      <c r="T2777">
        <v>7131.51</v>
      </c>
      <c r="U2777" t="s">
        <v>2073</v>
      </c>
      <c r="V2777" t="s">
        <v>9409</v>
      </c>
      <c r="W2777" t="s">
        <v>423</v>
      </c>
    </row>
    <row r="2778" spans="1:23" hidden="1" x14ac:dyDescent="0.2">
      <c r="A2778">
        <v>2012</v>
      </c>
      <c r="B2778" t="s">
        <v>303</v>
      </c>
      <c r="C2778" s="733">
        <v>40931</v>
      </c>
      <c r="D27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78" t="s">
        <v>485</v>
      </c>
      <c r="F2778" t="s">
        <v>2054</v>
      </c>
      <c r="G2778" t="s">
        <v>2076</v>
      </c>
      <c r="H2778">
        <v>10179</v>
      </c>
      <c r="I2778" t="s">
        <v>423</v>
      </c>
      <c r="J2778" t="s">
        <v>2072</v>
      </c>
      <c r="K2778" t="s">
        <v>2057</v>
      </c>
      <c r="L2778" t="s">
        <v>2058</v>
      </c>
      <c r="M2778">
        <v>406</v>
      </c>
      <c r="N2778">
        <v>23.87</v>
      </c>
      <c r="O2778">
        <v>6523.19</v>
      </c>
      <c r="P2778">
        <v>0</v>
      </c>
      <c r="Q2778">
        <v>6523.19</v>
      </c>
      <c r="R2778">
        <v>1043.71</v>
      </c>
      <c r="S2778">
        <v>260.93</v>
      </c>
      <c r="T2778">
        <v>7305.97</v>
      </c>
      <c r="U2778" t="s">
        <v>2077</v>
      </c>
      <c r="V2778" t="s">
        <v>9409</v>
      </c>
      <c r="W2778" t="s">
        <v>423</v>
      </c>
    </row>
    <row r="2779" spans="1:23" hidden="1" x14ac:dyDescent="0.2">
      <c r="A2779">
        <v>2012</v>
      </c>
      <c r="B2779" t="s">
        <v>303</v>
      </c>
      <c r="C2779" s="733">
        <v>40927.726793981485</v>
      </c>
      <c r="D27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79" t="s">
        <v>485</v>
      </c>
      <c r="F2779" t="s">
        <v>2054</v>
      </c>
      <c r="G2779" t="s">
        <v>2074</v>
      </c>
      <c r="H2779">
        <v>10136</v>
      </c>
      <c r="I2779" t="s">
        <v>423</v>
      </c>
      <c r="J2779" t="s">
        <v>2072</v>
      </c>
      <c r="K2779" t="s">
        <v>2057</v>
      </c>
      <c r="L2779" t="s">
        <v>2058</v>
      </c>
      <c r="M2779">
        <v>406</v>
      </c>
      <c r="N2779">
        <v>46.77</v>
      </c>
      <c r="O2779">
        <v>12781.31</v>
      </c>
      <c r="P2779">
        <v>0</v>
      </c>
      <c r="Q2779">
        <v>12781.31</v>
      </c>
      <c r="R2779">
        <v>2045.01</v>
      </c>
      <c r="S2779">
        <v>511.25</v>
      </c>
      <c r="T2779">
        <v>14315.07</v>
      </c>
      <c r="U2779" t="s">
        <v>2075</v>
      </c>
      <c r="V2779" t="s">
        <v>9409</v>
      </c>
      <c r="W2779" t="s">
        <v>423</v>
      </c>
    </row>
    <row r="2780" spans="1:23" hidden="1" x14ac:dyDescent="0.2">
      <c r="A2780">
        <v>2012</v>
      </c>
      <c r="B2780" t="s">
        <v>304</v>
      </c>
      <c r="C2780" s="733">
        <v>40943.588414351849</v>
      </c>
      <c r="D27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80" t="s">
        <v>485</v>
      </c>
      <c r="F2780" t="s">
        <v>2054</v>
      </c>
      <c r="G2780" t="s">
        <v>2093</v>
      </c>
      <c r="H2780">
        <v>10324</v>
      </c>
      <c r="I2780" t="s">
        <v>423</v>
      </c>
      <c r="J2780" t="s">
        <v>2072</v>
      </c>
      <c r="K2780" t="s">
        <v>2057</v>
      </c>
      <c r="L2780" t="s">
        <v>2058</v>
      </c>
      <c r="M2780">
        <v>406</v>
      </c>
      <c r="N2780">
        <v>47.41</v>
      </c>
      <c r="O2780">
        <v>12956.2</v>
      </c>
      <c r="P2780">
        <v>0</v>
      </c>
      <c r="Q2780">
        <v>12956.2</v>
      </c>
      <c r="R2780">
        <v>2072.9899999999998</v>
      </c>
      <c r="S2780">
        <v>518.25</v>
      </c>
      <c r="T2780">
        <v>14510.94</v>
      </c>
      <c r="U2780" t="s">
        <v>2075</v>
      </c>
      <c r="V2780" t="s">
        <v>9409</v>
      </c>
      <c r="W2780" t="s">
        <v>423</v>
      </c>
    </row>
    <row r="2781" spans="1:23" hidden="1" x14ac:dyDescent="0.2">
      <c r="A2781">
        <v>2012</v>
      </c>
      <c r="B2781" t="s">
        <v>303</v>
      </c>
      <c r="C2781" s="733">
        <v>40919</v>
      </c>
      <c r="D27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81" t="s">
        <v>485</v>
      </c>
      <c r="F2781" t="s">
        <v>2054</v>
      </c>
      <c r="G2781" t="s">
        <v>2095</v>
      </c>
      <c r="H2781">
        <v>9967</v>
      </c>
      <c r="I2781" t="s">
        <v>423</v>
      </c>
      <c r="J2781" t="s">
        <v>2072</v>
      </c>
      <c r="K2781" t="s">
        <v>2057</v>
      </c>
      <c r="L2781" t="s">
        <v>2058</v>
      </c>
      <c r="M2781">
        <v>406</v>
      </c>
      <c r="N2781">
        <v>47.83</v>
      </c>
      <c r="O2781">
        <v>13070.98</v>
      </c>
      <c r="P2781">
        <v>0</v>
      </c>
      <c r="Q2781">
        <v>13070.98</v>
      </c>
      <c r="R2781">
        <v>2091.36</v>
      </c>
      <c r="S2781">
        <v>522.84</v>
      </c>
      <c r="T2781">
        <v>14639.5</v>
      </c>
      <c r="U2781" t="s">
        <v>2070</v>
      </c>
      <c r="V2781" t="s">
        <v>9409</v>
      </c>
      <c r="W2781" t="s">
        <v>423</v>
      </c>
    </row>
    <row r="2782" spans="1:23" hidden="1" x14ac:dyDescent="0.2">
      <c r="A2782">
        <v>2012</v>
      </c>
      <c r="B2782" t="s">
        <v>303</v>
      </c>
      <c r="C2782" s="733">
        <v>40927</v>
      </c>
      <c r="D27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82" t="s">
        <v>505</v>
      </c>
      <c r="F2782" t="s">
        <v>1915</v>
      </c>
      <c r="G2782" t="s">
        <v>3412</v>
      </c>
      <c r="H2782">
        <v>22086</v>
      </c>
      <c r="I2782" t="s">
        <v>423</v>
      </c>
      <c r="J2782" t="s">
        <v>1943</v>
      </c>
      <c r="K2782" t="s">
        <v>1918</v>
      </c>
      <c r="L2782" t="s">
        <v>1919</v>
      </c>
      <c r="M2782">
        <v>319</v>
      </c>
      <c r="N2782">
        <v>53.65</v>
      </c>
      <c r="O2782">
        <v>15732.33</v>
      </c>
      <c r="P2782">
        <v>0</v>
      </c>
      <c r="Q2782">
        <v>15732.33</v>
      </c>
      <c r="R2782">
        <v>2517.17</v>
      </c>
      <c r="S2782">
        <v>629.29</v>
      </c>
      <c r="T2782">
        <v>17620.21</v>
      </c>
      <c r="U2782" t="s">
        <v>1936</v>
      </c>
      <c r="V2782" t="s">
        <v>9409</v>
      </c>
      <c r="W2782" t="s">
        <v>423</v>
      </c>
    </row>
    <row r="2783" spans="1:23" hidden="1" x14ac:dyDescent="0.2">
      <c r="A2783">
        <v>2012</v>
      </c>
      <c r="B2783" t="s">
        <v>304</v>
      </c>
      <c r="C2783" s="733">
        <v>40950.458796296298</v>
      </c>
      <c r="D27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83" t="s">
        <v>485</v>
      </c>
      <c r="F2783" t="s">
        <v>2054</v>
      </c>
      <c r="G2783" t="s">
        <v>2081</v>
      </c>
      <c r="H2783">
        <v>10382</v>
      </c>
      <c r="I2783" t="s">
        <v>423</v>
      </c>
      <c r="J2783" t="s">
        <v>2072</v>
      </c>
      <c r="K2783" t="s">
        <v>2057</v>
      </c>
      <c r="L2783" t="s">
        <v>2058</v>
      </c>
      <c r="M2783">
        <v>406</v>
      </c>
      <c r="N2783">
        <v>46.25</v>
      </c>
      <c r="O2783">
        <v>12639.2</v>
      </c>
      <c r="P2783">
        <v>0</v>
      </c>
      <c r="Q2783">
        <v>12639.2</v>
      </c>
      <c r="R2783">
        <v>1390.31</v>
      </c>
      <c r="S2783">
        <v>505.57</v>
      </c>
      <c r="T2783">
        <v>13523.94</v>
      </c>
      <c r="U2783" t="s">
        <v>2082</v>
      </c>
      <c r="V2783" t="s">
        <v>9409</v>
      </c>
      <c r="W2783" t="s">
        <v>423</v>
      </c>
    </row>
    <row r="2784" spans="1:23" hidden="1" x14ac:dyDescent="0.2">
      <c r="A2784">
        <v>2012</v>
      </c>
      <c r="B2784" t="s">
        <v>304</v>
      </c>
      <c r="C2784" s="733">
        <v>40950.445057870369</v>
      </c>
      <c r="D27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84" t="s">
        <v>485</v>
      </c>
      <c r="F2784" t="s">
        <v>2054</v>
      </c>
      <c r="G2784" t="s">
        <v>4935</v>
      </c>
      <c r="H2784">
        <v>10385</v>
      </c>
      <c r="I2784" t="s">
        <v>423</v>
      </c>
      <c r="J2784" t="s">
        <v>2072</v>
      </c>
      <c r="K2784" t="s">
        <v>2057</v>
      </c>
      <c r="L2784" t="s">
        <v>2058</v>
      </c>
      <c r="M2784">
        <v>406</v>
      </c>
      <c r="N2784">
        <v>23.74</v>
      </c>
      <c r="O2784">
        <v>6487.67</v>
      </c>
      <c r="P2784">
        <v>0</v>
      </c>
      <c r="Q2784">
        <v>6487.67</v>
      </c>
      <c r="R2784">
        <v>713.64</v>
      </c>
      <c r="S2784">
        <v>259.51</v>
      </c>
      <c r="T2784">
        <v>6941.8</v>
      </c>
      <c r="U2784" t="s">
        <v>2082</v>
      </c>
      <c r="V2784" t="s">
        <v>9408</v>
      </c>
      <c r="W2784" t="s">
        <v>423</v>
      </c>
    </row>
    <row r="2785" spans="1:23" hidden="1" x14ac:dyDescent="0.2">
      <c r="A2785">
        <v>2012</v>
      </c>
      <c r="B2785" t="s">
        <v>303</v>
      </c>
      <c r="C2785" s="733">
        <v>40938.766724537039</v>
      </c>
      <c r="D27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85" t="s">
        <v>485</v>
      </c>
      <c r="F2785" t="s">
        <v>2054</v>
      </c>
      <c r="G2785" t="s">
        <v>4936</v>
      </c>
      <c r="H2785">
        <v>10260</v>
      </c>
      <c r="I2785" t="s">
        <v>423</v>
      </c>
      <c r="J2785" t="s">
        <v>2072</v>
      </c>
      <c r="K2785" t="s">
        <v>2057</v>
      </c>
      <c r="L2785" t="s">
        <v>2058</v>
      </c>
      <c r="M2785">
        <v>406</v>
      </c>
      <c r="N2785">
        <v>46.21</v>
      </c>
      <c r="O2785">
        <v>12628.27</v>
      </c>
      <c r="P2785">
        <v>0</v>
      </c>
      <c r="Q2785">
        <v>12628.27</v>
      </c>
      <c r="R2785">
        <v>2020.52</v>
      </c>
      <c r="S2785">
        <v>505.13</v>
      </c>
      <c r="T2785">
        <v>14143.66</v>
      </c>
      <c r="U2785" t="s">
        <v>2075</v>
      </c>
      <c r="V2785" t="s">
        <v>9409</v>
      </c>
      <c r="W2785" t="s">
        <v>423</v>
      </c>
    </row>
    <row r="2786" spans="1:23" hidden="1" x14ac:dyDescent="0.2">
      <c r="A2786">
        <v>2012</v>
      </c>
      <c r="B2786" t="s">
        <v>304</v>
      </c>
      <c r="C2786" s="733">
        <v>40956</v>
      </c>
      <c r="D27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86" t="s">
        <v>485</v>
      </c>
      <c r="F2786" t="s">
        <v>2054</v>
      </c>
      <c r="G2786" t="s">
        <v>7978</v>
      </c>
      <c r="H2786">
        <v>42165</v>
      </c>
      <c r="I2786" t="s">
        <v>423</v>
      </c>
      <c r="J2786" t="s">
        <v>4091</v>
      </c>
      <c r="K2786" t="s">
        <v>2051</v>
      </c>
      <c r="L2786" t="s">
        <v>2052</v>
      </c>
      <c r="M2786">
        <v>1092</v>
      </c>
      <c r="N2786">
        <v>25.05</v>
      </c>
      <c r="O2786">
        <v>14616.68</v>
      </c>
      <c r="P2786">
        <v>0</v>
      </c>
      <c r="Q2786">
        <v>14616.68</v>
      </c>
      <c r="R2786">
        <v>2338.67</v>
      </c>
      <c r="S2786">
        <v>584.66999999999996</v>
      </c>
      <c r="T2786">
        <v>16370.68</v>
      </c>
      <c r="U2786" t="s">
        <v>8257</v>
      </c>
      <c r="V2786" t="s">
        <v>9408</v>
      </c>
      <c r="W2786" t="s">
        <v>423</v>
      </c>
    </row>
    <row r="2787" spans="1:23" hidden="1" x14ac:dyDescent="0.2">
      <c r="A2787">
        <v>2012</v>
      </c>
      <c r="B2787" t="s">
        <v>303</v>
      </c>
      <c r="C2787" s="733">
        <v>40924</v>
      </c>
      <c r="D27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87" t="s">
        <v>485</v>
      </c>
      <c r="F2787" t="s">
        <v>2054</v>
      </c>
      <c r="G2787" t="s">
        <v>2094</v>
      </c>
      <c r="H2787">
        <v>10087</v>
      </c>
      <c r="I2787" t="s">
        <v>423</v>
      </c>
      <c r="J2787" t="s">
        <v>2072</v>
      </c>
      <c r="K2787" t="s">
        <v>2057</v>
      </c>
      <c r="L2787" t="s">
        <v>2058</v>
      </c>
      <c r="M2787">
        <v>406</v>
      </c>
      <c r="N2787">
        <v>30.1</v>
      </c>
      <c r="O2787">
        <v>8225.73</v>
      </c>
      <c r="P2787">
        <v>0</v>
      </c>
      <c r="Q2787">
        <v>8225.73</v>
      </c>
      <c r="R2787">
        <v>1316.12</v>
      </c>
      <c r="S2787">
        <v>329.03</v>
      </c>
      <c r="T2787">
        <v>9212.82</v>
      </c>
      <c r="U2787" t="s">
        <v>2059</v>
      </c>
      <c r="V2787" t="s">
        <v>9408</v>
      </c>
      <c r="W2787" t="s">
        <v>423</v>
      </c>
    </row>
    <row r="2788" spans="1:23" hidden="1" x14ac:dyDescent="0.2">
      <c r="A2788">
        <v>2012</v>
      </c>
      <c r="B2788" t="s">
        <v>304</v>
      </c>
      <c r="C2788" s="733">
        <v>40961.515694444446</v>
      </c>
      <c r="D27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88" t="s">
        <v>485</v>
      </c>
      <c r="F2788" t="s">
        <v>2054</v>
      </c>
      <c r="G2788" t="s">
        <v>8352</v>
      </c>
      <c r="H2788">
        <v>10507</v>
      </c>
      <c r="I2788" t="s">
        <v>423</v>
      </c>
      <c r="J2788" t="s">
        <v>2072</v>
      </c>
      <c r="K2788" t="s">
        <v>2057</v>
      </c>
      <c r="L2788" t="s">
        <v>2058</v>
      </c>
      <c r="M2788">
        <v>406</v>
      </c>
      <c r="N2788">
        <v>45.88</v>
      </c>
      <c r="O2788">
        <v>12538.09</v>
      </c>
      <c r="P2788">
        <v>0</v>
      </c>
      <c r="Q2788">
        <v>12538.09</v>
      </c>
      <c r="R2788">
        <v>1379.19</v>
      </c>
      <c r="S2788">
        <v>501.52</v>
      </c>
      <c r="T2788">
        <v>13415.76</v>
      </c>
      <c r="U2788" t="s">
        <v>8864</v>
      </c>
      <c r="V2788" t="s">
        <v>9409</v>
      </c>
      <c r="W2788" t="s">
        <v>423</v>
      </c>
    </row>
    <row r="2789" spans="1:23" hidden="1" x14ac:dyDescent="0.2">
      <c r="A2789">
        <v>2012</v>
      </c>
      <c r="B2789" t="s">
        <v>303</v>
      </c>
      <c r="C2789" s="733">
        <v>40934</v>
      </c>
      <c r="D27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89" t="s">
        <v>505</v>
      </c>
      <c r="F2789" t="s">
        <v>1915</v>
      </c>
      <c r="G2789" t="s">
        <v>4196</v>
      </c>
      <c r="H2789">
        <v>22261</v>
      </c>
      <c r="I2789" t="s">
        <v>423</v>
      </c>
      <c r="J2789" t="s">
        <v>1943</v>
      </c>
      <c r="K2789" t="s">
        <v>1918</v>
      </c>
      <c r="L2789" t="s">
        <v>1919</v>
      </c>
      <c r="M2789">
        <v>319</v>
      </c>
      <c r="N2789">
        <v>54.13</v>
      </c>
      <c r="O2789">
        <v>15873.08</v>
      </c>
      <c r="P2789">
        <v>0</v>
      </c>
      <c r="Q2789">
        <v>15873.08</v>
      </c>
      <c r="R2789">
        <v>2539.69</v>
      </c>
      <c r="S2789">
        <v>634.91999999999996</v>
      </c>
      <c r="T2789">
        <v>17777.849999999999</v>
      </c>
      <c r="U2789" t="s">
        <v>1926</v>
      </c>
      <c r="V2789" t="s">
        <v>9409</v>
      </c>
      <c r="W2789" t="s">
        <v>423</v>
      </c>
    </row>
    <row r="2790" spans="1:23" hidden="1" x14ac:dyDescent="0.2">
      <c r="A2790">
        <v>2012</v>
      </c>
      <c r="B2790" t="s">
        <v>304</v>
      </c>
      <c r="C2790" s="733">
        <v>40940</v>
      </c>
      <c r="D27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90" t="s">
        <v>505</v>
      </c>
      <c r="F2790" t="s">
        <v>1915</v>
      </c>
      <c r="G2790" t="s">
        <v>4197</v>
      </c>
      <c r="H2790">
        <v>22380</v>
      </c>
      <c r="I2790" t="s">
        <v>423</v>
      </c>
      <c r="J2790" t="s">
        <v>1943</v>
      </c>
      <c r="K2790" t="s">
        <v>1918</v>
      </c>
      <c r="L2790" t="s">
        <v>1919</v>
      </c>
      <c r="M2790">
        <v>319</v>
      </c>
      <c r="N2790">
        <v>54.2</v>
      </c>
      <c r="O2790">
        <v>15893.61</v>
      </c>
      <c r="P2790">
        <v>0</v>
      </c>
      <c r="Q2790">
        <v>15893.61</v>
      </c>
      <c r="R2790">
        <v>2542.98</v>
      </c>
      <c r="S2790">
        <v>635.74</v>
      </c>
      <c r="T2790">
        <v>17800.849999999999</v>
      </c>
      <c r="U2790" t="s">
        <v>1926</v>
      </c>
      <c r="V2790" t="s">
        <v>9409</v>
      </c>
      <c r="W2790" t="s">
        <v>423</v>
      </c>
    </row>
    <row r="2791" spans="1:23" hidden="1" x14ac:dyDescent="0.2">
      <c r="A2791">
        <v>2012</v>
      </c>
      <c r="B2791" t="s">
        <v>305</v>
      </c>
      <c r="C2791" s="733">
        <v>40970</v>
      </c>
      <c r="D2791" s="733" t="str">
        <f>CHOOSE(MONTH(Tabla_sqldatos_bonampakdb_Bon_v_ingresos2012[[#This Row],[fecha_guia]]),"Enero","Febrero","Marzo","Abril","Mayo","Junio","Julio","Agosto","Septiembre","Octubre","Noviembre","Diciembre")</f>
        <v>Marzo</v>
      </c>
      <c r="E2791" t="s">
        <v>505</v>
      </c>
      <c r="F2791" t="s">
        <v>1915</v>
      </c>
      <c r="G2791" t="s">
        <v>9715</v>
      </c>
      <c r="H2791">
        <v>23142</v>
      </c>
      <c r="I2791" t="s">
        <v>423</v>
      </c>
      <c r="J2791" t="s">
        <v>1943</v>
      </c>
      <c r="K2791" t="s">
        <v>1918</v>
      </c>
      <c r="L2791" t="s">
        <v>1919</v>
      </c>
      <c r="M2791">
        <v>319</v>
      </c>
      <c r="N2791">
        <v>54.24</v>
      </c>
      <c r="O2791">
        <v>15905.34</v>
      </c>
      <c r="P2791">
        <v>0</v>
      </c>
      <c r="Q2791">
        <v>15905.34</v>
      </c>
      <c r="R2791">
        <v>2544.85</v>
      </c>
      <c r="S2791">
        <v>636.21</v>
      </c>
      <c r="T2791">
        <v>17813.98</v>
      </c>
      <c r="V2791" t="s">
        <v>9409</v>
      </c>
      <c r="W2791" t="s">
        <v>423</v>
      </c>
    </row>
    <row r="2792" spans="1:23" hidden="1" x14ac:dyDescent="0.2">
      <c r="A2792">
        <v>2012</v>
      </c>
      <c r="B2792" t="s">
        <v>303</v>
      </c>
      <c r="C2792" s="733">
        <v>40914.862638888888</v>
      </c>
      <c r="D27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92" t="s">
        <v>505</v>
      </c>
      <c r="F2792" t="s">
        <v>1915</v>
      </c>
      <c r="G2792" t="s">
        <v>4195</v>
      </c>
      <c r="H2792">
        <v>21793</v>
      </c>
      <c r="I2792" t="s">
        <v>423</v>
      </c>
      <c r="J2792" t="s">
        <v>1943</v>
      </c>
      <c r="K2792" t="s">
        <v>1918</v>
      </c>
      <c r="L2792" t="s">
        <v>1919</v>
      </c>
      <c r="M2792">
        <v>319</v>
      </c>
      <c r="N2792">
        <v>60.36</v>
      </c>
      <c r="O2792">
        <v>17699.97</v>
      </c>
      <c r="P2792">
        <v>0</v>
      </c>
      <c r="Q2792">
        <v>17699.97</v>
      </c>
      <c r="R2792">
        <v>2831.99</v>
      </c>
      <c r="S2792">
        <v>708</v>
      </c>
      <c r="T2792">
        <v>19823.96</v>
      </c>
      <c r="U2792" t="s">
        <v>1931</v>
      </c>
      <c r="V2792" t="s">
        <v>9409</v>
      </c>
      <c r="W2792" t="s">
        <v>423</v>
      </c>
    </row>
    <row r="2793" spans="1:23" x14ac:dyDescent="0.2">
      <c r="A2793">
        <v>2012</v>
      </c>
      <c r="B2793" t="s">
        <v>304</v>
      </c>
      <c r="C2793" s="733">
        <v>40967</v>
      </c>
      <c r="D27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93" t="s">
        <v>485</v>
      </c>
      <c r="F2793" t="s">
        <v>2048</v>
      </c>
      <c r="G2793" t="s">
        <v>9154</v>
      </c>
      <c r="H2793">
        <v>42592</v>
      </c>
      <c r="I2793" t="s">
        <v>423</v>
      </c>
      <c r="J2793" t="s">
        <v>4091</v>
      </c>
      <c r="K2793" t="s">
        <v>2051</v>
      </c>
      <c r="L2793" t="s">
        <v>2052</v>
      </c>
      <c r="M2793">
        <v>1092</v>
      </c>
      <c r="N2793">
        <v>27.5</v>
      </c>
      <c r="O2793">
        <v>16046.25</v>
      </c>
      <c r="P2793">
        <v>0</v>
      </c>
      <c r="Q2793">
        <v>16046.25</v>
      </c>
      <c r="R2793">
        <v>2567.4</v>
      </c>
      <c r="S2793">
        <v>641.85</v>
      </c>
      <c r="T2793">
        <v>17971.8</v>
      </c>
      <c r="V2793" t="s">
        <v>9408</v>
      </c>
      <c r="W2793" t="s">
        <v>423</v>
      </c>
    </row>
    <row r="2794" spans="1:23" hidden="1" x14ac:dyDescent="0.2">
      <c r="A2794">
        <v>2012</v>
      </c>
      <c r="B2794" t="s">
        <v>304</v>
      </c>
      <c r="C2794" s="733">
        <v>40953</v>
      </c>
      <c r="D27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94" t="s">
        <v>485</v>
      </c>
      <c r="F2794" t="s">
        <v>2065</v>
      </c>
      <c r="G2794" t="s">
        <v>4850</v>
      </c>
      <c r="H2794">
        <v>41884</v>
      </c>
      <c r="I2794" t="s">
        <v>423</v>
      </c>
      <c r="J2794" t="s">
        <v>4091</v>
      </c>
      <c r="K2794" t="s">
        <v>2051</v>
      </c>
      <c r="L2794" t="s">
        <v>2052</v>
      </c>
      <c r="M2794">
        <v>1092</v>
      </c>
      <c r="N2794">
        <v>25.15</v>
      </c>
      <c r="O2794">
        <v>14675.02</v>
      </c>
      <c r="P2794">
        <v>0</v>
      </c>
      <c r="Q2794">
        <v>14675.02</v>
      </c>
      <c r="R2794">
        <v>2348</v>
      </c>
      <c r="S2794">
        <v>587</v>
      </c>
      <c r="T2794">
        <v>16436.02</v>
      </c>
      <c r="U2794" t="s">
        <v>8257</v>
      </c>
      <c r="V2794" t="s">
        <v>9409</v>
      </c>
      <c r="W2794" t="s">
        <v>423</v>
      </c>
    </row>
    <row r="2795" spans="1:23" hidden="1" x14ac:dyDescent="0.2">
      <c r="A2795">
        <v>2012</v>
      </c>
      <c r="B2795" t="s">
        <v>304</v>
      </c>
      <c r="C2795" s="733">
        <v>40957.44358796296</v>
      </c>
      <c r="D27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95" t="s">
        <v>485</v>
      </c>
      <c r="F2795" t="s">
        <v>2054</v>
      </c>
      <c r="G2795" t="s">
        <v>7807</v>
      </c>
      <c r="H2795">
        <v>10463</v>
      </c>
      <c r="I2795" t="s">
        <v>423</v>
      </c>
      <c r="J2795" t="s">
        <v>2072</v>
      </c>
      <c r="K2795" t="s">
        <v>2057</v>
      </c>
      <c r="L2795" t="s">
        <v>2058</v>
      </c>
      <c r="M2795">
        <v>406</v>
      </c>
      <c r="N2795">
        <v>46.87</v>
      </c>
      <c r="O2795">
        <v>12808.63</v>
      </c>
      <c r="P2795">
        <v>0</v>
      </c>
      <c r="Q2795">
        <v>12808.63</v>
      </c>
      <c r="R2795">
        <v>1408.95</v>
      </c>
      <c r="S2795">
        <v>512.35</v>
      </c>
      <c r="T2795">
        <v>13705.23</v>
      </c>
      <c r="U2795" t="s">
        <v>8047</v>
      </c>
      <c r="V2795" t="s">
        <v>9409</v>
      </c>
      <c r="W2795" t="s">
        <v>423</v>
      </c>
    </row>
    <row r="2796" spans="1:23" hidden="1" x14ac:dyDescent="0.2">
      <c r="A2796">
        <v>2012</v>
      </c>
      <c r="B2796" t="s">
        <v>303</v>
      </c>
      <c r="C2796" s="733">
        <v>40920.57912037037</v>
      </c>
      <c r="D27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96" t="s">
        <v>485</v>
      </c>
      <c r="F2796" t="s">
        <v>2054</v>
      </c>
      <c r="G2796" t="s">
        <v>3675</v>
      </c>
      <c r="H2796">
        <v>10048</v>
      </c>
      <c r="I2796" t="s">
        <v>423</v>
      </c>
      <c r="J2796" t="s">
        <v>2072</v>
      </c>
      <c r="K2796" t="s">
        <v>2057</v>
      </c>
      <c r="L2796" t="s">
        <v>2058</v>
      </c>
      <c r="M2796">
        <v>406</v>
      </c>
      <c r="N2796">
        <v>47.08</v>
      </c>
      <c r="O2796">
        <v>12866.02</v>
      </c>
      <c r="P2796">
        <v>0</v>
      </c>
      <c r="Q2796">
        <v>12866.02</v>
      </c>
      <c r="R2796">
        <v>2058.56</v>
      </c>
      <c r="S2796">
        <v>514.64</v>
      </c>
      <c r="T2796">
        <v>14409.94</v>
      </c>
      <c r="U2796" t="s">
        <v>2059</v>
      </c>
      <c r="V2796" t="s">
        <v>9409</v>
      </c>
      <c r="W2796" t="s">
        <v>423</v>
      </c>
    </row>
    <row r="2797" spans="1:23" hidden="1" x14ac:dyDescent="0.2">
      <c r="A2797">
        <v>2012</v>
      </c>
      <c r="B2797" t="s">
        <v>304</v>
      </c>
      <c r="C2797" s="733">
        <v>40952.475104166668</v>
      </c>
      <c r="D27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97" t="s">
        <v>485</v>
      </c>
      <c r="F2797" t="s">
        <v>2054</v>
      </c>
      <c r="G2797" t="s">
        <v>3674</v>
      </c>
      <c r="H2797">
        <v>10408</v>
      </c>
      <c r="I2797" t="s">
        <v>423</v>
      </c>
      <c r="J2797" t="s">
        <v>2072</v>
      </c>
      <c r="K2797" t="s">
        <v>2057</v>
      </c>
      <c r="L2797" t="s">
        <v>2058</v>
      </c>
      <c r="M2797">
        <v>406</v>
      </c>
      <c r="N2797">
        <v>24.22</v>
      </c>
      <c r="O2797">
        <v>6618.84</v>
      </c>
      <c r="P2797">
        <v>0</v>
      </c>
      <c r="Q2797">
        <v>6618.84</v>
      </c>
      <c r="R2797">
        <v>728.07</v>
      </c>
      <c r="S2797">
        <v>264.75</v>
      </c>
      <c r="T2797">
        <v>7082.16</v>
      </c>
      <c r="U2797" t="s">
        <v>8047</v>
      </c>
      <c r="V2797" t="s">
        <v>9409</v>
      </c>
      <c r="W2797" t="s">
        <v>423</v>
      </c>
    </row>
    <row r="2798" spans="1:23" hidden="1" x14ac:dyDescent="0.2">
      <c r="A2798">
        <v>2012</v>
      </c>
      <c r="B2798" t="s">
        <v>303</v>
      </c>
      <c r="C2798" s="733">
        <v>40939</v>
      </c>
      <c r="D27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798" t="s">
        <v>505</v>
      </c>
      <c r="F2798" t="s">
        <v>1915</v>
      </c>
      <c r="G2798" t="s">
        <v>3509</v>
      </c>
      <c r="H2798">
        <v>21698</v>
      </c>
      <c r="I2798" t="s">
        <v>423</v>
      </c>
      <c r="J2798" t="s">
        <v>1943</v>
      </c>
      <c r="K2798" t="s">
        <v>1918</v>
      </c>
      <c r="L2798" t="s">
        <v>1919</v>
      </c>
      <c r="M2798">
        <v>319</v>
      </c>
      <c r="N2798">
        <v>60.58</v>
      </c>
      <c r="O2798">
        <v>17764.48</v>
      </c>
      <c r="P2798">
        <v>0</v>
      </c>
      <c r="Q2798">
        <v>17764.48</v>
      </c>
      <c r="R2798">
        <v>2842.32</v>
      </c>
      <c r="S2798">
        <v>710.58</v>
      </c>
      <c r="T2798">
        <v>19896.22</v>
      </c>
      <c r="U2798" t="s">
        <v>1936</v>
      </c>
      <c r="V2798" t="s">
        <v>9409</v>
      </c>
      <c r="W2798" t="s">
        <v>423</v>
      </c>
    </row>
    <row r="2799" spans="1:23" hidden="1" x14ac:dyDescent="0.2">
      <c r="A2799">
        <v>2012</v>
      </c>
      <c r="B2799" t="s">
        <v>304</v>
      </c>
      <c r="C2799" s="733">
        <v>40952</v>
      </c>
      <c r="D27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799" t="s">
        <v>505</v>
      </c>
      <c r="F2799" t="s">
        <v>1915</v>
      </c>
      <c r="G2799" t="s">
        <v>3508</v>
      </c>
      <c r="H2799">
        <v>22664</v>
      </c>
      <c r="I2799" t="s">
        <v>423</v>
      </c>
      <c r="J2799" t="s">
        <v>1943</v>
      </c>
      <c r="K2799" t="s">
        <v>1918</v>
      </c>
      <c r="L2799" t="s">
        <v>1919</v>
      </c>
      <c r="M2799">
        <v>319</v>
      </c>
      <c r="N2799">
        <v>53.9</v>
      </c>
      <c r="O2799">
        <v>15805.64</v>
      </c>
      <c r="P2799">
        <v>0</v>
      </c>
      <c r="Q2799">
        <v>15805.64</v>
      </c>
      <c r="R2799">
        <v>2528.9</v>
      </c>
      <c r="S2799">
        <v>632.23</v>
      </c>
      <c r="T2799">
        <v>17702.310000000001</v>
      </c>
      <c r="U2799" t="s">
        <v>7522</v>
      </c>
      <c r="V2799" t="s">
        <v>9409</v>
      </c>
      <c r="W2799" t="s">
        <v>423</v>
      </c>
    </row>
    <row r="2800" spans="1:23" hidden="1" x14ac:dyDescent="0.2">
      <c r="A2800">
        <v>2012</v>
      </c>
      <c r="B2800" t="s">
        <v>303</v>
      </c>
      <c r="C2800" s="733">
        <v>40919</v>
      </c>
      <c r="D28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00" t="s">
        <v>485</v>
      </c>
      <c r="F2800" t="s">
        <v>2054</v>
      </c>
      <c r="G2800" t="s">
        <v>4849</v>
      </c>
      <c r="H2800">
        <v>9989</v>
      </c>
      <c r="I2800" t="s">
        <v>423</v>
      </c>
      <c r="J2800" t="s">
        <v>2072</v>
      </c>
      <c r="K2800" t="s">
        <v>2057</v>
      </c>
      <c r="L2800" t="s">
        <v>2058</v>
      </c>
      <c r="M2800">
        <v>406</v>
      </c>
      <c r="N2800">
        <v>23.31</v>
      </c>
      <c r="O2800">
        <v>6370.16</v>
      </c>
      <c r="P2800">
        <v>0</v>
      </c>
      <c r="Q2800">
        <v>6370.16</v>
      </c>
      <c r="R2800">
        <v>1019.23</v>
      </c>
      <c r="S2800">
        <v>254.81</v>
      </c>
      <c r="T2800">
        <v>7134.58</v>
      </c>
      <c r="U2800" t="s">
        <v>2070</v>
      </c>
      <c r="V2800" t="s">
        <v>9409</v>
      </c>
      <c r="W2800" t="s">
        <v>423</v>
      </c>
    </row>
    <row r="2801" spans="1:23" hidden="1" x14ac:dyDescent="0.2">
      <c r="A2801">
        <v>2012</v>
      </c>
      <c r="B2801" t="s">
        <v>303</v>
      </c>
      <c r="C2801" s="733">
        <v>40924</v>
      </c>
      <c r="D28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01" t="s">
        <v>485</v>
      </c>
      <c r="F2801" t="s">
        <v>2065</v>
      </c>
      <c r="G2801" t="s">
        <v>4823</v>
      </c>
      <c r="H2801">
        <v>40249</v>
      </c>
      <c r="I2801" t="s">
        <v>423</v>
      </c>
      <c r="J2801" t="s">
        <v>3972</v>
      </c>
      <c r="K2801" t="s">
        <v>2183</v>
      </c>
      <c r="L2801" t="s">
        <v>2184</v>
      </c>
      <c r="M2801">
        <v>184</v>
      </c>
      <c r="N2801">
        <v>51.27</v>
      </c>
      <c r="O2801">
        <v>9121.9599999999991</v>
      </c>
      <c r="P2801">
        <v>0</v>
      </c>
      <c r="Q2801">
        <v>9121.9599999999991</v>
      </c>
      <c r="R2801">
        <v>1459.51</v>
      </c>
      <c r="S2801">
        <v>364.88</v>
      </c>
      <c r="T2801">
        <v>10216.59</v>
      </c>
      <c r="U2801" t="s">
        <v>7554</v>
      </c>
      <c r="V2801" t="s">
        <v>9409</v>
      </c>
      <c r="W2801" t="s">
        <v>423</v>
      </c>
    </row>
    <row r="2802" spans="1:23" hidden="1" x14ac:dyDescent="0.2">
      <c r="A2802">
        <v>2012</v>
      </c>
      <c r="B2802" t="s">
        <v>304</v>
      </c>
      <c r="C2802" s="733">
        <v>40942</v>
      </c>
      <c r="D28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02" t="s">
        <v>485</v>
      </c>
      <c r="F2802" t="s">
        <v>2065</v>
      </c>
      <c r="G2802" t="s">
        <v>4826</v>
      </c>
      <c r="H2802">
        <v>41357</v>
      </c>
      <c r="I2802" t="s">
        <v>423</v>
      </c>
      <c r="J2802" t="s">
        <v>3972</v>
      </c>
      <c r="K2802" t="s">
        <v>2183</v>
      </c>
      <c r="L2802" t="s">
        <v>2184</v>
      </c>
      <c r="M2802">
        <v>184</v>
      </c>
      <c r="N2802">
        <v>26.5</v>
      </c>
      <c r="O2802">
        <v>4714.88</v>
      </c>
      <c r="P2802">
        <v>0</v>
      </c>
      <c r="Q2802">
        <v>4714.88</v>
      </c>
      <c r="R2802">
        <v>754.38</v>
      </c>
      <c r="S2802">
        <v>188.6</v>
      </c>
      <c r="T2802">
        <v>5280.66</v>
      </c>
      <c r="U2802" t="s">
        <v>2192</v>
      </c>
      <c r="V2802" t="s">
        <v>9408</v>
      </c>
      <c r="W2802" t="s">
        <v>423</v>
      </c>
    </row>
    <row r="2803" spans="1:23" hidden="1" x14ac:dyDescent="0.2">
      <c r="A2803">
        <v>2012</v>
      </c>
      <c r="B2803" t="s">
        <v>303</v>
      </c>
      <c r="C2803" s="733">
        <v>40928</v>
      </c>
      <c r="D28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03" t="s">
        <v>485</v>
      </c>
      <c r="F2803" t="s">
        <v>2065</v>
      </c>
      <c r="G2803" t="s">
        <v>4824</v>
      </c>
      <c r="H2803">
        <v>40594</v>
      </c>
      <c r="I2803" t="s">
        <v>423</v>
      </c>
      <c r="J2803" t="s">
        <v>3972</v>
      </c>
      <c r="K2803" t="s">
        <v>2183</v>
      </c>
      <c r="L2803" t="s">
        <v>2184</v>
      </c>
      <c r="M2803">
        <v>184</v>
      </c>
      <c r="N2803">
        <v>51.98</v>
      </c>
      <c r="O2803">
        <v>9248.2800000000007</v>
      </c>
      <c r="P2803">
        <v>0</v>
      </c>
      <c r="Q2803">
        <v>9248.2800000000007</v>
      </c>
      <c r="R2803">
        <v>1479.73</v>
      </c>
      <c r="S2803">
        <v>369.93</v>
      </c>
      <c r="T2803">
        <v>10358.08</v>
      </c>
      <c r="U2803" t="s">
        <v>2187</v>
      </c>
      <c r="V2803" t="s">
        <v>9409</v>
      </c>
      <c r="W2803" t="s">
        <v>423</v>
      </c>
    </row>
    <row r="2804" spans="1:23" hidden="1" x14ac:dyDescent="0.2">
      <c r="A2804">
        <v>2012</v>
      </c>
      <c r="B2804" t="s">
        <v>304</v>
      </c>
      <c r="C2804" s="733">
        <v>40952</v>
      </c>
      <c r="D28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04" t="s">
        <v>505</v>
      </c>
      <c r="F2804" t="s">
        <v>1915</v>
      </c>
      <c r="G2804" t="s">
        <v>3511</v>
      </c>
      <c r="H2804">
        <v>22666</v>
      </c>
      <c r="I2804" t="s">
        <v>423</v>
      </c>
      <c r="J2804" t="s">
        <v>1943</v>
      </c>
      <c r="K2804" t="s">
        <v>1918</v>
      </c>
      <c r="L2804" t="s">
        <v>1919</v>
      </c>
      <c r="M2804">
        <v>319</v>
      </c>
      <c r="N2804">
        <v>26.83</v>
      </c>
      <c r="O2804">
        <v>7867.63</v>
      </c>
      <c r="P2804">
        <v>0</v>
      </c>
      <c r="Q2804">
        <v>7867.63</v>
      </c>
      <c r="R2804">
        <v>1258.82</v>
      </c>
      <c r="S2804">
        <v>314.70999999999998</v>
      </c>
      <c r="T2804">
        <v>8811.74</v>
      </c>
      <c r="U2804" t="s">
        <v>7522</v>
      </c>
      <c r="V2804" t="s">
        <v>9408</v>
      </c>
      <c r="W2804" t="s">
        <v>423</v>
      </c>
    </row>
    <row r="2805" spans="1:23" hidden="1" x14ac:dyDescent="0.2">
      <c r="A2805">
        <v>2012</v>
      </c>
      <c r="B2805" t="s">
        <v>304</v>
      </c>
      <c r="C2805" s="733">
        <v>40941</v>
      </c>
      <c r="D28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05" t="s">
        <v>505</v>
      </c>
      <c r="F2805" t="s">
        <v>1915</v>
      </c>
      <c r="G2805" t="s">
        <v>3499</v>
      </c>
      <c r="H2805">
        <v>22433</v>
      </c>
      <c r="I2805" t="s">
        <v>423</v>
      </c>
      <c r="J2805" t="s">
        <v>1943</v>
      </c>
      <c r="K2805" t="s">
        <v>1918</v>
      </c>
      <c r="L2805" t="s">
        <v>1919</v>
      </c>
      <c r="M2805">
        <v>319</v>
      </c>
      <c r="N2805">
        <v>53.91</v>
      </c>
      <c r="O2805">
        <v>15808.57</v>
      </c>
      <c r="P2805">
        <v>0</v>
      </c>
      <c r="Q2805">
        <v>15808.57</v>
      </c>
      <c r="R2805">
        <v>2529.37</v>
      </c>
      <c r="S2805">
        <v>632.34</v>
      </c>
      <c r="T2805">
        <v>17705.599999999999</v>
      </c>
      <c r="U2805" t="s">
        <v>1926</v>
      </c>
      <c r="V2805" t="s">
        <v>9409</v>
      </c>
      <c r="W2805" t="s">
        <v>423</v>
      </c>
    </row>
    <row r="2806" spans="1:23" hidden="1" x14ac:dyDescent="0.2">
      <c r="A2806">
        <v>2012</v>
      </c>
      <c r="B2806" t="s">
        <v>303</v>
      </c>
      <c r="C2806" s="733">
        <v>40935</v>
      </c>
      <c r="D28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06" t="s">
        <v>485</v>
      </c>
      <c r="F2806" t="s">
        <v>2136</v>
      </c>
      <c r="G2806" t="s">
        <v>4825</v>
      </c>
      <c r="H2806">
        <v>40826</v>
      </c>
      <c r="I2806" t="s">
        <v>423</v>
      </c>
      <c r="J2806" t="s">
        <v>3972</v>
      </c>
      <c r="K2806" t="s">
        <v>2183</v>
      </c>
      <c r="L2806" t="s">
        <v>2115</v>
      </c>
      <c r="M2806">
        <v>184</v>
      </c>
      <c r="N2806">
        <v>27.18</v>
      </c>
      <c r="O2806">
        <v>4835.87</v>
      </c>
      <c r="P2806">
        <v>0</v>
      </c>
      <c r="Q2806">
        <v>4835.87</v>
      </c>
      <c r="R2806">
        <v>773.74</v>
      </c>
      <c r="S2806">
        <v>193.43</v>
      </c>
      <c r="T2806">
        <v>5416.18</v>
      </c>
      <c r="U2806" t="s">
        <v>2187</v>
      </c>
      <c r="V2806" t="s">
        <v>9408</v>
      </c>
      <c r="W2806" t="s">
        <v>423</v>
      </c>
    </row>
    <row r="2807" spans="1:23" hidden="1" x14ac:dyDescent="0.2">
      <c r="A2807">
        <v>2012</v>
      </c>
      <c r="B2807" t="s">
        <v>303</v>
      </c>
      <c r="C2807" s="733">
        <v>40939</v>
      </c>
      <c r="D28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07" t="s">
        <v>505</v>
      </c>
      <c r="F2807" t="s">
        <v>1915</v>
      </c>
      <c r="G2807" t="s">
        <v>3510</v>
      </c>
      <c r="H2807">
        <v>22367</v>
      </c>
      <c r="I2807" t="s">
        <v>423</v>
      </c>
      <c r="J2807" t="s">
        <v>1943</v>
      </c>
      <c r="K2807" t="s">
        <v>1918</v>
      </c>
      <c r="L2807" t="s">
        <v>1919</v>
      </c>
      <c r="M2807">
        <v>319</v>
      </c>
      <c r="N2807">
        <v>26.37</v>
      </c>
      <c r="O2807">
        <v>7732.74</v>
      </c>
      <c r="P2807">
        <v>0</v>
      </c>
      <c r="Q2807">
        <v>7732.74</v>
      </c>
      <c r="R2807">
        <v>1237.24</v>
      </c>
      <c r="S2807">
        <v>309.31</v>
      </c>
      <c r="T2807">
        <v>8660.67</v>
      </c>
      <c r="U2807" t="s">
        <v>1926</v>
      </c>
      <c r="V2807" t="s">
        <v>9408</v>
      </c>
      <c r="W2807" t="s">
        <v>423</v>
      </c>
    </row>
    <row r="2808" spans="1:23" hidden="1" x14ac:dyDescent="0.2">
      <c r="A2808">
        <v>2012</v>
      </c>
      <c r="B2808" t="s">
        <v>304</v>
      </c>
      <c r="C2808" s="733">
        <v>40949</v>
      </c>
      <c r="D28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08" t="s">
        <v>478</v>
      </c>
      <c r="F2808" t="s">
        <v>2136</v>
      </c>
      <c r="G2808" t="s">
        <v>5734</v>
      </c>
      <c r="H2808">
        <v>35515</v>
      </c>
      <c r="I2808" t="s">
        <v>423</v>
      </c>
      <c r="J2808" t="s">
        <v>5735</v>
      </c>
      <c r="K2808" t="s">
        <v>425</v>
      </c>
      <c r="L2808" t="s">
        <v>2145</v>
      </c>
      <c r="M2808">
        <v>193</v>
      </c>
      <c r="N2808">
        <v>23.06</v>
      </c>
      <c r="O2808">
        <v>4097.99</v>
      </c>
      <c r="P2808">
        <v>0</v>
      </c>
      <c r="Q2808">
        <v>4097.99</v>
      </c>
      <c r="R2808">
        <v>655.68</v>
      </c>
      <c r="S2808">
        <v>163.92</v>
      </c>
      <c r="T2808">
        <v>4589.75</v>
      </c>
      <c r="U2808" t="s">
        <v>7553</v>
      </c>
      <c r="V2808" t="s">
        <v>9408</v>
      </c>
      <c r="W2808" t="s">
        <v>423</v>
      </c>
    </row>
    <row r="2809" spans="1:23" hidden="1" x14ac:dyDescent="0.2">
      <c r="A2809">
        <v>2012</v>
      </c>
      <c r="B2809" t="s">
        <v>304</v>
      </c>
      <c r="C2809" s="733">
        <v>40964</v>
      </c>
      <c r="D28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09" t="s">
        <v>505</v>
      </c>
      <c r="F2809" t="s">
        <v>1915</v>
      </c>
      <c r="G2809" t="s">
        <v>8722</v>
      </c>
      <c r="H2809">
        <v>23017</v>
      </c>
      <c r="I2809" t="s">
        <v>423</v>
      </c>
      <c r="J2809" t="s">
        <v>1943</v>
      </c>
      <c r="K2809" t="s">
        <v>1918</v>
      </c>
      <c r="L2809" t="s">
        <v>1919</v>
      </c>
      <c r="M2809">
        <v>319</v>
      </c>
      <c r="N2809">
        <v>28.49</v>
      </c>
      <c r="O2809">
        <v>8354.41</v>
      </c>
      <c r="P2809">
        <v>0</v>
      </c>
      <c r="Q2809">
        <v>8354.41</v>
      </c>
      <c r="R2809">
        <v>1336.71</v>
      </c>
      <c r="S2809">
        <v>334.18</v>
      </c>
      <c r="T2809">
        <v>9356.94</v>
      </c>
      <c r="U2809" t="s">
        <v>9415</v>
      </c>
      <c r="V2809" t="s">
        <v>9408</v>
      </c>
      <c r="W2809" t="s">
        <v>423</v>
      </c>
    </row>
    <row r="2810" spans="1:23" hidden="1" x14ac:dyDescent="0.2">
      <c r="A2810">
        <v>2012</v>
      </c>
      <c r="B2810" t="s">
        <v>305</v>
      </c>
      <c r="C2810" s="733">
        <v>40970</v>
      </c>
      <c r="D2810" s="733" t="str">
        <f>CHOOSE(MONTH(Tabla_sqldatos_bonampakdb_Bon_v_ingresos2012[[#This Row],[fecha_guia]]),"Enero","Febrero","Marzo","Abril","Mayo","Junio","Julio","Agosto","Septiembre","Octubre","Noviembre","Diciembre")</f>
        <v>Marzo</v>
      </c>
      <c r="E2810" t="s">
        <v>505</v>
      </c>
      <c r="F2810" t="s">
        <v>1915</v>
      </c>
      <c r="G2810" t="s">
        <v>9716</v>
      </c>
      <c r="H2810">
        <v>23133</v>
      </c>
      <c r="I2810" t="s">
        <v>423</v>
      </c>
      <c r="J2810" t="s">
        <v>1943</v>
      </c>
      <c r="K2810" t="s">
        <v>1918</v>
      </c>
      <c r="L2810" t="s">
        <v>1919</v>
      </c>
      <c r="M2810">
        <v>319</v>
      </c>
      <c r="N2810">
        <v>54.23</v>
      </c>
      <c r="O2810">
        <v>15902.41</v>
      </c>
      <c r="P2810">
        <v>0</v>
      </c>
      <c r="Q2810">
        <v>15902.41</v>
      </c>
      <c r="R2810">
        <v>2544.38</v>
      </c>
      <c r="S2810">
        <v>636.1</v>
      </c>
      <c r="T2810">
        <v>17810.689999999999</v>
      </c>
      <c r="V2810" t="s">
        <v>9409</v>
      </c>
      <c r="W2810" t="s">
        <v>423</v>
      </c>
    </row>
    <row r="2811" spans="1:23" hidden="1" x14ac:dyDescent="0.2">
      <c r="A2811">
        <v>2012</v>
      </c>
      <c r="B2811" t="s">
        <v>305</v>
      </c>
      <c r="C2811" s="733">
        <v>40970</v>
      </c>
      <c r="D2811" s="733" t="str">
        <f>CHOOSE(MONTH(Tabla_sqldatos_bonampakdb_Bon_v_ingresos2012[[#This Row],[fecha_guia]]),"Enero","Febrero","Marzo","Abril","Mayo","Junio","Julio","Agosto","Septiembre","Octubre","Noviembre","Diciembre")</f>
        <v>Marzo</v>
      </c>
      <c r="E2811" t="s">
        <v>485</v>
      </c>
      <c r="F2811" t="s">
        <v>2065</v>
      </c>
      <c r="G2811" t="s">
        <v>9597</v>
      </c>
      <c r="H2811">
        <v>42880</v>
      </c>
      <c r="I2811" t="s">
        <v>423</v>
      </c>
      <c r="J2811" t="s">
        <v>2126</v>
      </c>
      <c r="K2811" t="s">
        <v>2102</v>
      </c>
      <c r="L2811" t="s">
        <v>2115</v>
      </c>
      <c r="M2811">
        <v>930</v>
      </c>
      <c r="N2811">
        <v>26.35</v>
      </c>
      <c r="O2811">
        <v>15469.56</v>
      </c>
      <c r="P2811">
        <v>0</v>
      </c>
      <c r="Q2811">
        <v>15469.56</v>
      </c>
      <c r="R2811">
        <v>2475.13</v>
      </c>
      <c r="S2811">
        <v>618.78</v>
      </c>
      <c r="T2811">
        <v>17325.91</v>
      </c>
      <c r="V2811" t="s">
        <v>9408</v>
      </c>
      <c r="W2811" t="s">
        <v>423</v>
      </c>
    </row>
    <row r="2812" spans="1:23" hidden="1" x14ac:dyDescent="0.2">
      <c r="A2812">
        <v>2012</v>
      </c>
      <c r="B2812" t="s">
        <v>303</v>
      </c>
      <c r="C2812" s="733">
        <v>40934</v>
      </c>
      <c r="D28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12" t="s">
        <v>485</v>
      </c>
      <c r="F2812" t="s">
        <v>2065</v>
      </c>
      <c r="G2812" t="s">
        <v>3007</v>
      </c>
      <c r="H2812">
        <v>40788</v>
      </c>
      <c r="I2812" t="s">
        <v>423</v>
      </c>
      <c r="J2812" t="s">
        <v>2126</v>
      </c>
      <c r="K2812" t="s">
        <v>2102</v>
      </c>
      <c r="L2812" t="s">
        <v>2115</v>
      </c>
      <c r="M2812">
        <v>930</v>
      </c>
      <c r="N2812">
        <v>49.84</v>
      </c>
      <c r="O2812">
        <v>29260.07</v>
      </c>
      <c r="P2812">
        <v>0</v>
      </c>
      <c r="Q2812">
        <v>29260.07</v>
      </c>
      <c r="R2812">
        <v>4681.6099999999997</v>
      </c>
      <c r="S2812">
        <v>1170.4000000000001</v>
      </c>
      <c r="T2812">
        <v>32771.279999999999</v>
      </c>
      <c r="U2812" t="s">
        <v>2110</v>
      </c>
      <c r="V2812" t="s">
        <v>9409</v>
      </c>
      <c r="W2812" t="s">
        <v>423</v>
      </c>
    </row>
    <row r="2813" spans="1:23" hidden="1" x14ac:dyDescent="0.2">
      <c r="A2813">
        <v>2012</v>
      </c>
      <c r="B2813" t="s">
        <v>303</v>
      </c>
      <c r="C2813" s="733">
        <v>40928</v>
      </c>
      <c r="D28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13" t="s">
        <v>485</v>
      </c>
      <c r="F2813" t="s">
        <v>2065</v>
      </c>
      <c r="G2813" t="s">
        <v>5752</v>
      </c>
      <c r="H2813">
        <v>40498</v>
      </c>
      <c r="I2813" t="s">
        <v>423</v>
      </c>
      <c r="J2813" t="s">
        <v>2126</v>
      </c>
      <c r="K2813" t="s">
        <v>2102</v>
      </c>
      <c r="L2813" t="s">
        <v>2115</v>
      </c>
      <c r="M2813">
        <v>930</v>
      </c>
      <c r="N2813">
        <v>25.04</v>
      </c>
      <c r="O2813">
        <v>14700.48</v>
      </c>
      <c r="P2813">
        <v>0</v>
      </c>
      <c r="Q2813">
        <v>14700.48</v>
      </c>
      <c r="R2813">
        <v>2352.08</v>
      </c>
      <c r="S2813">
        <v>588.02</v>
      </c>
      <c r="T2813">
        <v>16464.54</v>
      </c>
      <c r="U2813" t="s">
        <v>2108</v>
      </c>
      <c r="V2813" t="s">
        <v>9409</v>
      </c>
      <c r="W2813" t="s">
        <v>423</v>
      </c>
    </row>
    <row r="2814" spans="1:23" hidden="1" x14ac:dyDescent="0.2">
      <c r="A2814">
        <v>2012</v>
      </c>
      <c r="B2814" t="s">
        <v>303</v>
      </c>
      <c r="C2814" s="733">
        <v>40936</v>
      </c>
      <c r="D28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14" t="s">
        <v>478</v>
      </c>
      <c r="F2814" t="s">
        <v>2136</v>
      </c>
      <c r="G2814" t="s">
        <v>4422</v>
      </c>
      <c r="H2814">
        <v>34535</v>
      </c>
      <c r="I2814" t="s">
        <v>423</v>
      </c>
      <c r="J2814" t="s">
        <v>3480</v>
      </c>
      <c r="K2814" t="s">
        <v>3481</v>
      </c>
      <c r="L2814" t="s">
        <v>3482</v>
      </c>
      <c r="M2814">
        <v>75</v>
      </c>
      <c r="N2814">
        <v>21.495000000000001</v>
      </c>
      <c r="O2814">
        <v>2426.14</v>
      </c>
      <c r="P2814">
        <v>0</v>
      </c>
      <c r="Q2814">
        <v>2426.14</v>
      </c>
      <c r="R2814">
        <v>388.18</v>
      </c>
      <c r="S2814">
        <v>97.05</v>
      </c>
      <c r="T2814">
        <v>2717.27</v>
      </c>
      <c r="U2814" t="s">
        <v>3784</v>
      </c>
      <c r="V2814" t="s">
        <v>9408</v>
      </c>
      <c r="W2814" t="s">
        <v>423</v>
      </c>
    </row>
    <row r="2815" spans="1:23" hidden="1" x14ac:dyDescent="0.2">
      <c r="A2815">
        <v>2012</v>
      </c>
      <c r="B2815" t="s">
        <v>304</v>
      </c>
      <c r="C2815" s="733">
        <v>40967.370856481481</v>
      </c>
      <c r="D28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15" t="s">
        <v>478</v>
      </c>
      <c r="F2815" t="s">
        <v>2136</v>
      </c>
      <c r="G2815" t="s">
        <v>9155</v>
      </c>
      <c r="H2815">
        <v>36088</v>
      </c>
      <c r="I2815" t="s">
        <v>423</v>
      </c>
      <c r="J2815" t="s">
        <v>3480</v>
      </c>
      <c r="K2815" t="s">
        <v>3481</v>
      </c>
      <c r="L2815" t="s">
        <v>3482</v>
      </c>
      <c r="M2815">
        <v>75</v>
      </c>
      <c r="N2815">
        <v>24.47</v>
      </c>
      <c r="O2815">
        <v>2761.93</v>
      </c>
      <c r="P2815">
        <v>0</v>
      </c>
      <c r="Q2815">
        <v>2761.93</v>
      </c>
      <c r="R2815">
        <v>441.91</v>
      </c>
      <c r="S2815">
        <v>110.48</v>
      </c>
      <c r="T2815">
        <v>3093.36</v>
      </c>
      <c r="U2815" t="s">
        <v>9462</v>
      </c>
      <c r="V2815" t="s">
        <v>9408</v>
      </c>
      <c r="W2815" t="s">
        <v>423</v>
      </c>
    </row>
    <row r="2816" spans="1:23" hidden="1" x14ac:dyDescent="0.2">
      <c r="A2816">
        <v>2012</v>
      </c>
      <c r="B2816" t="s">
        <v>303</v>
      </c>
      <c r="C2816" s="733">
        <v>40938</v>
      </c>
      <c r="D28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16" t="s">
        <v>485</v>
      </c>
      <c r="F2816" t="s">
        <v>2065</v>
      </c>
      <c r="G2816" t="s">
        <v>3485</v>
      </c>
      <c r="H2816">
        <v>41056</v>
      </c>
      <c r="I2816" t="s">
        <v>423</v>
      </c>
      <c r="J2816" t="s">
        <v>2126</v>
      </c>
      <c r="K2816" t="s">
        <v>2102</v>
      </c>
      <c r="L2816" t="s">
        <v>2184</v>
      </c>
      <c r="M2816">
        <v>930</v>
      </c>
      <c r="N2816">
        <v>52.48</v>
      </c>
      <c r="O2816">
        <v>30809.96</v>
      </c>
      <c r="P2816">
        <v>0</v>
      </c>
      <c r="Q2816">
        <v>30809.96</v>
      </c>
      <c r="R2816">
        <v>4929.59</v>
      </c>
      <c r="S2816">
        <v>1232.4000000000001</v>
      </c>
      <c r="T2816">
        <v>34507.15</v>
      </c>
      <c r="U2816" t="s">
        <v>2110</v>
      </c>
      <c r="V2816" t="s">
        <v>9409</v>
      </c>
      <c r="W2816" t="s">
        <v>423</v>
      </c>
    </row>
    <row r="2817" spans="1:23" hidden="1" x14ac:dyDescent="0.2">
      <c r="A2817">
        <v>2012</v>
      </c>
      <c r="B2817" t="s">
        <v>304</v>
      </c>
      <c r="C2817" s="733">
        <v>40953</v>
      </c>
      <c r="D28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17" t="s">
        <v>485</v>
      </c>
      <c r="F2817" t="s">
        <v>3450</v>
      </c>
      <c r="G2817" t="s">
        <v>4231</v>
      </c>
      <c r="H2817">
        <v>41812</v>
      </c>
      <c r="I2817" t="s">
        <v>423</v>
      </c>
      <c r="J2817" t="s">
        <v>3462</v>
      </c>
      <c r="K2817" t="s">
        <v>3453</v>
      </c>
      <c r="L2817" t="s">
        <v>3454</v>
      </c>
      <c r="M2817">
        <v>425</v>
      </c>
      <c r="N2817">
        <v>56.13</v>
      </c>
      <c r="O2817">
        <v>15662.52</v>
      </c>
      <c r="P2817">
        <v>0</v>
      </c>
      <c r="Q2817">
        <v>15662.52</v>
      </c>
      <c r="R2817">
        <v>2506</v>
      </c>
      <c r="S2817">
        <v>626.5</v>
      </c>
      <c r="T2817">
        <v>17542.02</v>
      </c>
      <c r="U2817" t="s">
        <v>7533</v>
      </c>
      <c r="V2817" t="s">
        <v>9409</v>
      </c>
      <c r="W2817" t="s">
        <v>423</v>
      </c>
    </row>
    <row r="2818" spans="1:23" hidden="1" x14ac:dyDescent="0.2">
      <c r="A2818">
        <v>2012</v>
      </c>
      <c r="B2818" t="s">
        <v>303</v>
      </c>
      <c r="C2818" s="733">
        <v>40927</v>
      </c>
      <c r="D28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18" t="s">
        <v>485</v>
      </c>
      <c r="F2818" t="s">
        <v>2065</v>
      </c>
      <c r="G2818" t="s">
        <v>3008</v>
      </c>
      <c r="H2818">
        <v>39786</v>
      </c>
      <c r="I2818" t="s">
        <v>423</v>
      </c>
      <c r="J2818" t="s">
        <v>2126</v>
      </c>
      <c r="K2818" t="s">
        <v>2102</v>
      </c>
      <c r="L2818" t="s">
        <v>2115</v>
      </c>
      <c r="M2818">
        <v>930</v>
      </c>
      <c r="N2818">
        <v>26.28</v>
      </c>
      <c r="O2818">
        <v>15428.46</v>
      </c>
      <c r="P2818">
        <v>0</v>
      </c>
      <c r="Q2818">
        <v>15428.46</v>
      </c>
      <c r="R2818">
        <v>2468.5500000000002</v>
      </c>
      <c r="S2818">
        <v>617.14</v>
      </c>
      <c r="T2818">
        <v>17279.87</v>
      </c>
      <c r="U2818" t="s">
        <v>2108</v>
      </c>
      <c r="V2818" t="s">
        <v>9408</v>
      </c>
      <c r="W2818" t="s">
        <v>423</v>
      </c>
    </row>
    <row r="2819" spans="1:23" hidden="1" x14ac:dyDescent="0.2">
      <c r="A2819">
        <v>2012</v>
      </c>
      <c r="B2819" t="s">
        <v>304</v>
      </c>
      <c r="C2819" s="733">
        <v>40956</v>
      </c>
      <c r="D28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19" t="s">
        <v>485</v>
      </c>
      <c r="F2819" t="s">
        <v>2065</v>
      </c>
      <c r="G2819" t="s">
        <v>7826</v>
      </c>
      <c r="H2819">
        <v>42058</v>
      </c>
      <c r="I2819" t="s">
        <v>423</v>
      </c>
      <c r="J2819" t="s">
        <v>2126</v>
      </c>
      <c r="K2819" t="s">
        <v>2102</v>
      </c>
      <c r="L2819" t="s">
        <v>2115</v>
      </c>
      <c r="M2819">
        <v>930</v>
      </c>
      <c r="N2819">
        <v>50.23</v>
      </c>
      <c r="O2819">
        <v>29489.03</v>
      </c>
      <c r="P2819">
        <v>0</v>
      </c>
      <c r="Q2819">
        <v>29489.03</v>
      </c>
      <c r="R2819">
        <v>4718.24</v>
      </c>
      <c r="S2819">
        <v>1179.56</v>
      </c>
      <c r="T2819">
        <v>33027.71</v>
      </c>
      <c r="U2819" t="s">
        <v>8883</v>
      </c>
      <c r="V2819" t="s">
        <v>9409</v>
      </c>
      <c r="W2819" t="s">
        <v>423</v>
      </c>
    </row>
    <row r="2820" spans="1:23" hidden="1" x14ac:dyDescent="0.2">
      <c r="A2820">
        <v>2012</v>
      </c>
      <c r="B2820" t="s">
        <v>303</v>
      </c>
      <c r="C2820" s="733">
        <v>40927.665949074071</v>
      </c>
      <c r="D28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20" t="s">
        <v>485</v>
      </c>
      <c r="F2820" t="s">
        <v>2054</v>
      </c>
      <c r="G2820" t="s">
        <v>3546</v>
      </c>
      <c r="H2820">
        <v>10130</v>
      </c>
      <c r="I2820" t="s">
        <v>423</v>
      </c>
      <c r="J2820" t="s">
        <v>2056</v>
      </c>
      <c r="K2820" t="s">
        <v>2057</v>
      </c>
      <c r="L2820" t="s">
        <v>2058</v>
      </c>
      <c r="M2820">
        <v>19</v>
      </c>
      <c r="N2820">
        <v>23.13</v>
      </c>
      <c r="O2820">
        <v>2610.6799999999998</v>
      </c>
      <c r="P2820">
        <v>0</v>
      </c>
      <c r="Q2820">
        <v>2610.6799999999998</v>
      </c>
      <c r="R2820">
        <v>417.71</v>
      </c>
      <c r="S2820">
        <v>104.43</v>
      </c>
      <c r="T2820">
        <v>2923.96</v>
      </c>
      <c r="U2820" t="s">
        <v>2077</v>
      </c>
      <c r="V2820" t="s">
        <v>9408</v>
      </c>
      <c r="W2820" t="s">
        <v>423</v>
      </c>
    </row>
    <row r="2821" spans="1:23" x14ac:dyDescent="0.2">
      <c r="A2821">
        <v>2012</v>
      </c>
      <c r="B2821" t="s">
        <v>304</v>
      </c>
      <c r="C2821" s="733">
        <v>40967</v>
      </c>
      <c r="D28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21" t="s">
        <v>485</v>
      </c>
      <c r="F2821" t="s">
        <v>2065</v>
      </c>
      <c r="G2821" t="s">
        <v>9220</v>
      </c>
      <c r="H2821">
        <v>42705</v>
      </c>
      <c r="I2821" t="s">
        <v>423</v>
      </c>
      <c r="J2821" t="s">
        <v>2050</v>
      </c>
      <c r="K2821" t="s">
        <v>2051</v>
      </c>
      <c r="L2821" t="s">
        <v>2052</v>
      </c>
      <c r="M2821">
        <v>90</v>
      </c>
      <c r="N2821">
        <v>28</v>
      </c>
      <c r="O2821">
        <v>3928.68</v>
      </c>
      <c r="P2821">
        <v>0</v>
      </c>
      <c r="Q2821">
        <v>3928.68</v>
      </c>
      <c r="R2821">
        <v>628.59</v>
      </c>
      <c r="S2821">
        <v>157.15</v>
      </c>
      <c r="T2821">
        <v>4400.12</v>
      </c>
      <c r="V2821" t="s">
        <v>9408</v>
      </c>
      <c r="W2821" t="s">
        <v>423</v>
      </c>
    </row>
    <row r="2822" spans="1:23" hidden="1" x14ac:dyDescent="0.2">
      <c r="A2822">
        <v>2012</v>
      </c>
      <c r="B2822" t="s">
        <v>304</v>
      </c>
      <c r="C2822" s="733">
        <v>40954</v>
      </c>
      <c r="D28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22" t="s">
        <v>485</v>
      </c>
      <c r="F2822" t="s">
        <v>2065</v>
      </c>
      <c r="G2822" t="s">
        <v>7507</v>
      </c>
      <c r="H2822">
        <v>41999</v>
      </c>
      <c r="I2822" t="s">
        <v>423</v>
      </c>
      <c r="J2822" t="s">
        <v>2050</v>
      </c>
      <c r="K2822" t="s">
        <v>2051</v>
      </c>
      <c r="L2822" t="s">
        <v>2052</v>
      </c>
      <c r="M2822">
        <v>90</v>
      </c>
      <c r="N2822">
        <v>43.3</v>
      </c>
      <c r="O2822">
        <v>6075.42</v>
      </c>
      <c r="P2822">
        <v>0</v>
      </c>
      <c r="Q2822">
        <v>6075.42</v>
      </c>
      <c r="R2822">
        <v>972.07</v>
      </c>
      <c r="S2822">
        <v>243.02</v>
      </c>
      <c r="T2822">
        <v>6804.47</v>
      </c>
      <c r="U2822" t="s">
        <v>8780</v>
      </c>
      <c r="V2822" t="s">
        <v>9409</v>
      </c>
      <c r="W2822" t="s">
        <v>423</v>
      </c>
    </row>
    <row r="2823" spans="1:23" hidden="1" x14ac:dyDescent="0.2">
      <c r="A2823">
        <v>2012</v>
      </c>
      <c r="B2823" t="s">
        <v>303</v>
      </c>
      <c r="C2823" s="733">
        <v>40924.552824074075</v>
      </c>
      <c r="D28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23" t="s">
        <v>485</v>
      </c>
      <c r="F2823" t="s">
        <v>2054</v>
      </c>
      <c r="G2823" t="s">
        <v>3565</v>
      </c>
      <c r="H2823">
        <v>10077</v>
      </c>
      <c r="I2823" t="s">
        <v>423</v>
      </c>
      <c r="J2823" t="s">
        <v>2056</v>
      </c>
      <c r="K2823" t="s">
        <v>2057</v>
      </c>
      <c r="L2823" t="s">
        <v>2058</v>
      </c>
      <c r="M2823">
        <v>19</v>
      </c>
      <c r="N2823">
        <v>47.33</v>
      </c>
      <c r="O2823">
        <v>5342.14</v>
      </c>
      <c r="P2823">
        <v>0</v>
      </c>
      <c r="Q2823">
        <v>5342.14</v>
      </c>
      <c r="R2823">
        <v>854.74</v>
      </c>
      <c r="S2823">
        <v>213.69</v>
      </c>
      <c r="T2823">
        <v>5983.19</v>
      </c>
      <c r="U2823" t="s">
        <v>2059</v>
      </c>
      <c r="V2823" t="s">
        <v>9409</v>
      </c>
      <c r="W2823" t="s">
        <v>423</v>
      </c>
    </row>
    <row r="2824" spans="1:23" hidden="1" x14ac:dyDescent="0.2">
      <c r="A2824">
        <v>2012</v>
      </c>
      <c r="B2824" t="s">
        <v>303</v>
      </c>
      <c r="C2824" s="733">
        <v>40938.562442129631</v>
      </c>
      <c r="D28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24" t="s">
        <v>485</v>
      </c>
      <c r="F2824" t="s">
        <v>2054</v>
      </c>
      <c r="G2824" t="s">
        <v>4544</v>
      </c>
      <c r="H2824">
        <v>10257</v>
      </c>
      <c r="I2824" t="s">
        <v>423</v>
      </c>
      <c r="J2824" t="s">
        <v>4545</v>
      </c>
      <c r="K2824" t="s">
        <v>2057</v>
      </c>
      <c r="L2824" t="s">
        <v>2058</v>
      </c>
      <c r="M2824">
        <v>144</v>
      </c>
      <c r="N2824">
        <v>22.67</v>
      </c>
      <c r="O2824">
        <v>3624.71</v>
      </c>
      <c r="P2824">
        <v>0</v>
      </c>
      <c r="Q2824">
        <v>3624.71</v>
      </c>
      <c r="R2824">
        <v>579.95000000000005</v>
      </c>
      <c r="S2824">
        <v>144.99</v>
      </c>
      <c r="T2824">
        <v>4059.67</v>
      </c>
      <c r="U2824" t="s">
        <v>2073</v>
      </c>
      <c r="V2824" t="s">
        <v>9408</v>
      </c>
      <c r="W2824" t="s">
        <v>423</v>
      </c>
    </row>
    <row r="2825" spans="1:23" hidden="1" x14ac:dyDescent="0.2">
      <c r="A2825">
        <v>2012</v>
      </c>
      <c r="B2825" t="s">
        <v>304</v>
      </c>
      <c r="C2825" s="733">
        <v>40960</v>
      </c>
      <c r="D28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25" t="s">
        <v>485</v>
      </c>
      <c r="F2825" t="s">
        <v>2048</v>
      </c>
      <c r="G2825" t="s">
        <v>8194</v>
      </c>
      <c r="H2825">
        <v>42345</v>
      </c>
      <c r="I2825" t="s">
        <v>423</v>
      </c>
      <c r="J2825" t="s">
        <v>2050</v>
      </c>
      <c r="K2825" t="s">
        <v>2051</v>
      </c>
      <c r="L2825" t="s">
        <v>2052</v>
      </c>
      <c r="M2825">
        <v>90</v>
      </c>
      <c r="N2825">
        <v>52.6</v>
      </c>
      <c r="O2825">
        <v>7380.31</v>
      </c>
      <c r="P2825">
        <v>0</v>
      </c>
      <c r="Q2825">
        <v>7380.31</v>
      </c>
      <c r="R2825">
        <v>1180.8499999999999</v>
      </c>
      <c r="S2825">
        <v>295.20999999999998</v>
      </c>
      <c r="T2825">
        <v>8265.9500000000007</v>
      </c>
      <c r="U2825" t="s">
        <v>8780</v>
      </c>
      <c r="V2825" t="s">
        <v>9409</v>
      </c>
      <c r="W2825" t="s">
        <v>423</v>
      </c>
    </row>
    <row r="2826" spans="1:23" hidden="1" x14ac:dyDescent="0.2">
      <c r="A2826">
        <v>2012</v>
      </c>
      <c r="B2826" t="s">
        <v>305</v>
      </c>
      <c r="C2826" s="733">
        <v>40970</v>
      </c>
      <c r="D2826" s="733" t="str">
        <f>CHOOSE(MONTH(Tabla_sqldatos_bonampakdb_Bon_v_ingresos2012[[#This Row],[fecha_guia]]),"Enero","Febrero","Marzo","Abril","Mayo","Junio","Julio","Agosto","Septiembre","Octubre","Noviembre","Diciembre")</f>
        <v>Marzo</v>
      </c>
      <c r="E2826" t="s">
        <v>485</v>
      </c>
      <c r="F2826" t="s">
        <v>2065</v>
      </c>
      <c r="G2826" t="s">
        <v>9547</v>
      </c>
      <c r="H2826">
        <v>42766</v>
      </c>
      <c r="I2826" t="s">
        <v>423</v>
      </c>
      <c r="J2826" t="s">
        <v>5471</v>
      </c>
      <c r="K2826" t="s">
        <v>2183</v>
      </c>
      <c r="L2826" t="s">
        <v>2184</v>
      </c>
      <c r="M2826">
        <v>690</v>
      </c>
      <c r="N2826">
        <v>26.51</v>
      </c>
      <c r="O2826">
        <v>11767.52</v>
      </c>
      <c r="P2826">
        <v>0</v>
      </c>
      <c r="Q2826">
        <v>11767.52</v>
      </c>
      <c r="R2826">
        <v>1882.8</v>
      </c>
      <c r="S2826">
        <v>470.7</v>
      </c>
      <c r="T2826">
        <v>13179.62</v>
      </c>
      <c r="V2826" t="s">
        <v>9408</v>
      </c>
      <c r="W2826" t="s">
        <v>423</v>
      </c>
    </row>
    <row r="2827" spans="1:23" hidden="1" x14ac:dyDescent="0.2">
      <c r="A2827">
        <v>2012</v>
      </c>
      <c r="B2827" t="s">
        <v>304</v>
      </c>
      <c r="C2827" s="733">
        <v>40953</v>
      </c>
      <c r="D28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27" t="s">
        <v>485</v>
      </c>
      <c r="F2827" t="s">
        <v>2084</v>
      </c>
      <c r="G2827" t="s">
        <v>3704</v>
      </c>
      <c r="H2827">
        <v>41720</v>
      </c>
      <c r="I2827" t="s">
        <v>423</v>
      </c>
      <c r="J2827" t="s">
        <v>2813</v>
      </c>
      <c r="K2827" t="s">
        <v>2814</v>
      </c>
      <c r="L2827" t="s">
        <v>2815</v>
      </c>
      <c r="M2827">
        <v>365</v>
      </c>
      <c r="N2827">
        <v>24.189</v>
      </c>
      <c r="O2827">
        <v>6511.2</v>
      </c>
      <c r="P2827">
        <v>0</v>
      </c>
      <c r="Q2827">
        <v>6511.2</v>
      </c>
      <c r="R2827">
        <v>716.23</v>
      </c>
      <c r="S2827">
        <v>260.45</v>
      </c>
      <c r="T2827">
        <v>6966.98</v>
      </c>
      <c r="U2827" t="s">
        <v>7527</v>
      </c>
      <c r="V2827" t="s">
        <v>9408</v>
      </c>
      <c r="W2827" t="s">
        <v>423</v>
      </c>
    </row>
    <row r="2828" spans="1:23" x14ac:dyDescent="0.2">
      <c r="A2828">
        <v>2012</v>
      </c>
      <c r="B2828" t="s">
        <v>304</v>
      </c>
      <c r="C2828" s="733">
        <v>40967</v>
      </c>
      <c r="D28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28" t="s">
        <v>485</v>
      </c>
      <c r="F2828" t="s">
        <v>2084</v>
      </c>
      <c r="G2828" t="s">
        <v>8923</v>
      </c>
      <c r="H2828">
        <v>42398</v>
      </c>
      <c r="I2828" t="s">
        <v>423</v>
      </c>
      <c r="J2828" t="s">
        <v>2813</v>
      </c>
      <c r="K2828" t="s">
        <v>2814</v>
      </c>
      <c r="L2828" t="s">
        <v>2815</v>
      </c>
      <c r="M2828">
        <v>365</v>
      </c>
      <c r="N2828">
        <v>23.81</v>
      </c>
      <c r="O2828">
        <v>6409.18</v>
      </c>
      <c r="P2828">
        <v>0</v>
      </c>
      <c r="Q2828">
        <v>6409.18</v>
      </c>
      <c r="R2828">
        <v>705.01</v>
      </c>
      <c r="S2828">
        <v>256.37</v>
      </c>
      <c r="T2828">
        <v>6857.82</v>
      </c>
      <c r="U2828" t="s">
        <v>8877</v>
      </c>
      <c r="V2828" t="s">
        <v>9408</v>
      </c>
      <c r="W2828" t="s">
        <v>423</v>
      </c>
    </row>
    <row r="2829" spans="1:23" hidden="1" x14ac:dyDescent="0.2">
      <c r="A2829">
        <v>2012</v>
      </c>
      <c r="B2829" t="s">
        <v>303</v>
      </c>
      <c r="C2829" s="733">
        <v>40912</v>
      </c>
      <c r="D28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29" t="s">
        <v>485</v>
      </c>
      <c r="F2829" t="s">
        <v>2084</v>
      </c>
      <c r="G2829" t="s">
        <v>3701</v>
      </c>
      <c r="H2829">
        <v>39475</v>
      </c>
      <c r="I2829" t="s">
        <v>423</v>
      </c>
      <c r="J2829" t="s">
        <v>2813</v>
      </c>
      <c r="K2829" t="s">
        <v>2814</v>
      </c>
      <c r="L2829" t="s">
        <v>2815</v>
      </c>
      <c r="M2829">
        <v>365</v>
      </c>
      <c r="N2829">
        <v>24.010999999999999</v>
      </c>
      <c r="O2829">
        <v>2721.17</v>
      </c>
      <c r="P2829">
        <v>3063.7380910000002</v>
      </c>
      <c r="Q2829">
        <v>5784.9080910000002</v>
      </c>
      <c r="R2829">
        <v>925.58529499999997</v>
      </c>
      <c r="S2829">
        <v>231.39632399999999</v>
      </c>
      <c r="T2829">
        <v>6479.0970619999998</v>
      </c>
      <c r="U2829" t="s">
        <v>2846</v>
      </c>
      <c r="V2829" t="s">
        <v>9408</v>
      </c>
      <c r="W2829" t="s">
        <v>423</v>
      </c>
    </row>
    <row r="2830" spans="1:23" hidden="1" x14ac:dyDescent="0.2">
      <c r="A2830">
        <v>2012</v>
      </c>
      <c r="B2830" t="s">
        <v>304</v>
      </c>
      <c r="C2830" s="733">
        <v>40940</v>
      </c>
      <c r="D28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30" t="s">
        <v>485</v>
      </c>
      <c r="F2830" t="s">
        <v>2084</v>
      </c>
      <c r="G2830" t="s">
        <v>3700</v>
      </c>
      <c r="H2830">
        <v>40891</v>
      </c>
      <c r="I2830" t="s">
        <v>423</v>
      </c>
      <c r="J2830" t="s">
        <v>2813</v>
      </c>
      <c r="K2830" t="s">
        <v>2814</v>
      </c>
      <c r="L2830" t="s">
        <v>2815</v>
      </c>
      <c r="M2830">
        <v>365</v>
      </c>
      <c r="N2830">
        <v>23.573</v>
      </c>
      <c r="O2830">
        <v>6345.38</v>
      </c>
      <c r="P2830">
        <v>0</v>
      </c>
      <c r="Q2830">
        <v>6345.38</v>
      </c>
      <c r="R2830">
        <v>1015.26</v>
      </c>
      <c r="S2830">
        <v>253.82</v>
      </c>
      <c r="T2830">
        <v>7106.82</v>
      </c>
      <c r="U2830" t="s">
        <v>8522</v>
      </c>
      <c r="V2830" t="s">
        <v>9408</v>
      </c>
      <c r="W2830" t="s">
        <v>423</v>
      </c>
    </row>
    <row r="2831" spans="1:23" hidden="1" x14ac:dyDescent="0.2">
      <c r="A2831">
        <v>2012</v>
      </c>
      <c r="B2831" t="s">
        <v>303</v>
      </c>
      <c r="C2831" s="733">
        <v>40939</v>
      </c>
      <c r="D28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31" t="s">
        <v>485</v>
      </c>
      <c r="F2831" t="s">
        <v>2084</v>
      </c>
      <c r="G2831" t="s">
        <v>3705</v>
      </c>
      <c r="H2831">
        <v>40718</v>
      </c>
      <c r="I2831" t="s">
        <v>423</v>
      </c>
      <c r="J2831" t="s">
        <v>2813</v>
      </c>
      <c r="K2831" t="s">
        <v>2814</v>
      </c>
      <c r="L2831" t="s">
        <v>2815</v>
      </c>
      <c r="M2831">
        <v>365</v>
      </c>
      <c r="N2831">
        <v>24.395</v>
      </c>
      <c r="O2831">
        <v>6566.65</v>
      </c>
      <c r="P2831">
        <v>0</v>
      </c>
      <c r="Q2831">
        <v>6566.65</v>
      </c>
      <c r="R2831">
        <v>1050.6600000000001</v>
      </c>
      <c r="S2831">
        <v>262.67</v>
      </c>
      <c r="T2831">
        <v>7354.64</v>
      </c>
      <c r="U2831" t="s">
        <v>8522</v>
      </c>
      <c r="V2831" t="s">
        <v>9408</v>
      </c>
      <c r="W2831" t="s">
        <v>423</v>
      </c>
    </row>
    <row r="2832" spans="1:23" hidden="1" x14ac:dyDescent="0.2">
      <c r="A2832">
        <v>2012</v>
      </c>
      <c r="B2832" t="s">
        <v>303</v>
      </c>
      <c r="C2832" s="733">
        <v>40932</v>
      </c>
      <c r="D28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32" t="s">
        <v>485</v>
      </c>
      <c r="F2832" t="s">
        <v>2084</v>
      </c>
      <c r="G2832" t="s">
        <v>3710</v>
      </c>
      <c r="H2832">
        <v>40491</v>
      </c>
      <c r="I2832" t="s">
        <v>423</v>
      </c>
      <c r="J2832" t="s">
        <v>2813</v>
      </c>
      <c r="K2832" t="s">
        <v>2814</v>
      </c>
      <c r="L2832" t="s">
        <v>2815</v>
      </c>
      <c r="M2832">
        <v>365</v>
      </c>
      <c r="N2832">
        <v>23.623999999999999</v>
      </c>
      <c r="O2832">
        <v>6359.11</v>
      </c>
      <c r="P2832">
        <v>0</v>
      </c>
      <c r="Q2832">
        <v>6359.11</v>
      </c>
      <c r="R2832">
        <v>1017.46</v>
      </c>
      <c r="S2832">
        <v>254.36</v>
      </c>
      <c r="T2832">
        <v>7122.21</v>
      </c>
      <c r="U2832" t="s">
        <v>2826</v>
      </c>
      <c r="V2832" t="s">
        <v>9408</v>
      </c>
      <c r="W2832" t="s">
        <v>423</v>
      </c>
    </row>
    <row r="2833" spans="1:23" hidden="1" x14ac:dyDescent="0.2">
      <c r="A2833">
        <v>2012</v>
      </c>
      <c r="B2833" t="s">
        <v>304</v>
      </c>
      <c r="C2833" s="733">
        <v>40940</v>
      </c>
      <c r="D28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33" t="s">
        <v>485</v>
      </c>
      <c r="F2833" t="s">
        <v>2084</v>
      </c>
      <c r="G2833" t="s">
        <v>3702</v>
      </c>
      <c r="H2833">
        <v>40895</v>
      </c>
      <c r="I2833" t="s">
        <v>423</v>
      </c>
      <c r="J2833" t="s">
        <v>2813</v>
      </c>
      <c r="K2833" t="s">
        <v>2814</v>
      </c>
      <c r="L2833" t="s">
        <v>2815</v>
      </c>
      <c r="M2833">
        <v>365</v>
      </c>
      <c r="N2833">
        <v>23.928999999999998</v>
      </c>
      <c r="O2833">
        <v>6441.21</v>
      </c>
      <c r="P2833">
        <v>0</v>
      </c>
      <c r="Q2833">
        <v>6441.21</v>
      </c>
      <c r="R2833">
        <v>1030.5899999999999</v>
      </c>
      <c r="S2833">
        <v>257.64999999999998</v>
      </c>
      <c r="T2833">
        <v>7214.15</v>
      </c>
      <c r="U2833" t="s">
        <v>2826</v>
      </c>
      <c r="V2833" t="s">
        <v>9408</v>
      </c>
      <c r="W2833" t="s">
        <v>423</v>
      </c>
    </row>
    <row r="2834" spans="1:23" x14ac:dyDescent="0.2">
      <c r="A2834">
        <v>2012</v>
      </c>
      <c r="B2834" t="s">
        <v>304</v>
      </c>
      <c r="C2834" s="733">
        <v>40967</v>
      </c>
      <c r="D28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34" t="s">
        <v>485</v>
      </c>
      <c r="F2834" t="s">
        <v>2084</v>
      </c>
      <c r="G2834" t="s">
        <v>8924</v>
      </c>
      <c r="H2834">
        <v>42401</v>
      </c>
      <c r="I2834" t="s">
        <v>423</v>
      </c>
      <c r="J2834" t="s">
        <v>2813</v>
      </c>
      <c r="K2834" t="s">
        <v>2814</v>
      </c>
      <c r="L2834" t="s">
        <v>2815</v>
      </c>
      <c r="M2834">
        <v>365</v>
      </c>
      <c r="N2834">
        <v>23.933</v>
      </c>
      <c r="O2834">
        <v>6442.28</v>
      </c>
      <c r="P2834">
        <v>0</v>
      </c>
      <c r="Q2834">
        <v>6442.28</v>
      </c>
      <c r="R2834">
        <v>708.65</v>
      </c>
      <c r="S2834">
        <v>257.69</v>
      </c>
      <c r="T2834">
        <v>6893.24</v>
      </c>
      <c r="U2834" t="s">
        <v>8877</v>
      </c>
      <c r="V2834" t="s">
        <v>9408</v>
      </c>
      <c r="W2834" t="s">
        <v>423</v>
      </c>
    </row>
    <row r="2835" spans="1:23" x14ac:dyDescent="0.2">
      <c r="A2835">
        <v>2012</v>
      </c>
      <c r="B2835" t="s">
        <v>304</v>
      </c>
      <c r="C2835" s="733">
        <v>40967</v>
      </c>
      <c r="D28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35" t="s">
        <v>485</v>
      </c>
      <c r="F2835" t="s">
        <v>2084</v>
      </c>
      <c r="G2835" t="s">
        <v>8925</v>
      </c>
      <c r="H2835">
        <v>42641</v>
      </c>
      <c r="I2835" t="s">
        <v>423</v>
      </c>
      <c r="J2835" t="s">
        <v>2813</v>
      </c>
      <c r="K2835" t="s">
        <v>2814</v>
      </c>
      <c r="L2835" t="s">
        <v>2815</v>
      </c>
      <c r="M2835">
        <v>365</v>
      </c>
      <c r="N2835">
        <v>23.916</v>
      </c>
      <c r="O2835">
        <v>6437.71</v>
      </c>
      <c r="P2835">
        <v>0</v>
      </c>
      <c r="Q2835">
        <v>6437.71</v>
      </c>
      <c r="R2835">
        <v>708.15</v>
      </c>
      <c r="S2835">
        <v>257.51</v>
      </c>
      <c r="T2835">
        <v>6888.35</v>
      </c>
      <c r="V2835" t="s">
        <v>9408</v>
      </c>
      <c r="W2835" t="s">
        <v>423</v>
      </c>
    </row>
    <row r="2836" spans="1:23" x14ac:dyDescent="0.2">
      <c r="A2836">
        <v>2012</v>
      </c>
      <c r="B2836" t="s">
        <v>304</v>
      </c>
      <c r="C2836" s="733">
        <v>40968</v>
      </c>
      <c r="D28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36" t="s">
        <v>485</v>
      </c>
      <c r="F2836" t="s">
        <v>2084</v>
      </c>
      <c r="G2836" t="s">
        <v>9461</v>
      </c>
      <c r="H2836">
        <v>41779</v>
      </c>
      <c r="I2836" t="s">
        <v>423</v>
      </c>
      <c r="J2836" t="s">
        <v>2813</v>
      </c>
      <c r="K2836" t="s">
        <v>2814</v>
      </c>
      <c r="L2836" t="s">
        <v>2815</v>
      </c>
      <c r="M2836">
        <v>365</v>
      </c>
      <c r="N2836">
        <v>24.373000000000001</v>
      </c>
      <c r="O2836">
        <v>6560.72</v>
      </c>
      <c r="P2836">
        <v>0</v>
      </c>
      <c r="Q2836">
        <v>6560.72</v>
      </c>
      <c r="R2836">
        <v>721.68</v>
      </c>
      <c r="S2836">
        <v>262.43</v>
      </c>
      <c r="T2836">
        <v>7019.97</v>
      </c>
      <c r="V2836" t="s">
        <v>9408</v>
      </c>
      <c r="W2836" t="s">
        <v>423</v>
      </c>
    </row>
    <row r="2837" spans="1:23" hidden="1" x14ac:dyDescent="0.2">
      <c r="A2837">
        <v>2012</v>
      </c>
      <c r="B2837" t="s">
        <v>304</v>
      </c>
      <c r="C2837" s="733">
        <v>40949</v>
      </c>
      <c r="D28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37" t="s">
        <v>485</v>
      </c>
      <c r="F2837" t="s">
        <v>2084</v>
      </c>
      <c r="G2837" t="s">
        <v>3703</v>
      </c>
      <c r="H2837">
        <v>41194</v>
      </c>
      <c r="I2837" t="s">
        <v>423</v>
      </c>
      <c r="J2837" t="s">
        <v>2813</v>
      </c>
      <c r="K2837" t="s">
        <v>2814</v>
      </c>
      <c r="L2837" t="s">
        <v>2815</v>
      </c>
      <c r="M2837">
        <v>365</v>
      </c>
      <c r="N2837">
        <v>23.78</v>
      </c>
      <c r="O2837">
        <v>6401.1</v>
      </c>
      <c r="P2837">
        <v>0</v>
      </c>
      <c r="Q2837">
        <v>6401.1</v>
      </c>
      <c r="R2837">
        <v>704.12</v>
      </c>
      <c r="S2837">
        <v>256.04000000000002</v>
      </c>
      <c r="T2837">
        <v>6849.18</v>
      </c>
      <c r="U2837" t="s">
        <v>7527</v>
      </c>
      <c r="V2837" t="s">
        <v>9408</v>
      </c>
      <c r="W2837" t="s">
        <v>423</v>
      </c>
    </row>
    <row r="2838" spans="1:23" hidden="1" x14ac:dyDescent="0.2">
      <c r="A2838">
        <v>2012</v>
      </c>
      <c r="B2838" t="s">
        <v>304</v>
      </c>
      <c r="C2838" s="733">
        <v>40949</v>
      </c>
      <c r="D28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38" t="s">
        <v>485</v>
      </c>
      <c r="F2838" t="s">
        <v>2084</v>
      </c>
      <c r="G2838" t="s">
        <v>3714</v>
      </c>
      <c r="H2838">
        <v>41403</v>
      </c>
      <c r="I2838" t="s">
        <v>423</v>
      </c>
      <c r="J2838" t="s">
        <v>2813</v>
      </c>
      <c r="K2838" t="s">
        <v>2814</v>
      </c>
      <c r="L2838" t="s">
        <v>2815</v>
      </c>
      <c r="M2838">
        <v>365</v>
      </c>
      <c r="N2838">
        <v>24.466000000000001</v>
      </c>
      <c r="O2838">
        <v>6585.76</v>
      </c>
      <c r="P2838">
        <v>0</v>
      </c>
      <c r="Q2838">
        <v>6585.76</v>
      </c>
      <c r="R2838">
        <v>724.43</v>
      </c>
      <c r="S2838">
        <v>263.43</v>
      </c>
      <c r="T2838">
        <v>7046.76</v>
      </c>
      <c r="U2838" t="s">
        <v>7527</v>
      </c>
      <c r="V2838" t="s">
        <v>9408</v>
      </c>
      <c r="W2838" t="s">
        <v>423</v>
      </c>
    </row>
    <row r="2839" spans="1:23" hidden="1" x14ac:dyDescent="0.2">
      <c r="A2839">
        <v>2012</v>
      </c>
      <c r="B2839" t="s">
        <v>304</v>
      </c>
      <c r="C2839" s="733">
        <v>40953</v>
      </c>
      <c r="D28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39" t="s">
        <v>485</v>
      </c>
      <c r="F2839" t="s">
        <v>2084</v>
      </c>
      <c r="G2839" t="s">
        <v>3713</v>
      </c>
      <c r="H2839">
        <v>41629</v>
      </c>
      <c r="I2839" t="s">
        <v>423</v>
      </c>
      <c r="J2839" t="s">
        <v>2813</v>
      </c>
      <c r="K2839" t="s">
        <v>2814</v>
      </c>
      <c r="L2839" t="s">
        <v>2815</v>
      </c>
      <c r="M2839">
        <v>365</v>
      </c>
      <c r="N2839">
        <v>24.940999999999999</v>
      </c>
      <c r="O2839">
        <v>6713.62</v>
      </c>
      <c r="P2839">
        <v>0</v>
      </c>
      <c r="Q2839">
        <v>6713.62</v>
      </c>
      <c r="R2839">
        <v>738.5</v>
      </c>
      <c r="S2839">
        <v>268.54000000000002</v>
      </c>
      <c r="T2839">
        <v>7183.58</v>
      </c>
      <c r="U2839" t="s">
        <v>7527</v>
      </c>
      <c r="V2839" t="s">
        <v>9408</v>
      </c>
      <c r="W2839" t="s">
        <v>423</v>
      </c>
    </row>
    <row r="2840" spans="1:23" hidden="1" x14ac:dyDescent="0.2">
      <c r="A2840">
        <v>2012</v>
      </c>
      <c r="B2840" t="s">
        <v>303</v>
      </c>
      <c r="C2840" s="733">
        <v>40932</v>
      </c>
      <c r="D28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40" t="s">
        <v>485</v>
      </c>
      <c r="F2840" t="s">
        <v>2084</v>
      </c>
      <c r="G2840" t="s">
        <v>3709</v>
      </c>
      <c r="H2840">
        <v>40495</v>
      </c>
      <c r="I2840" t="s">
        <v>423</v>
      </c>
      <c r="J2840" t="s">
        <v>2813</v>
      </c>
      <c r="K2840" t="s">
        <v>2814</v>
      </c>
      <c r="L2840" t="s">
        <v>2815</v>
      </c>
      <c r="M2840">
        <v>365</v>
      </c>
      <c r="N2840">
        <v>23.477</v>
      </c>
      <c r="O2840">
        <v>6319.54</v>
      </c>
      <c r="P2840">
        <v>0</v>
      </c>
      <c r="Q2840">
        <v>6319.54</v>
      </c>
      <c r="R2840">
        <v>1011.13</v>
      </c>
      <c r="S2840">
        <v>252.78</v>
      </c>
      <c r="T2840">
        <v>7077.89</v>
      </c>
      <c r="U2840" t="s">
        <v>2826</v>
      </c>
      <c r="V2840" t="s">
        <v>9408</v>
      </c>
      <c r="W2840" t="s">
        <v>423</v>
      </c>
    </row>
    <row r="2841" spans="1:23" hidden="1" x14ac:dyDescent="0.2">
      <c r="A2841">
        <v>2012</v>
      </c>
      <c r="B2841" t="s">
        <v>304</v>
      </c>
      <c r="C2841" s="733">
        <v>40949</v>
      </c>
      <c r="D28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41" t="s">
        <v>485</v>
      </c>
      <c r="F2841" t="s">
        <v>2084</v>
      </c>
      <c r="G2841" t="s">
        <v>3699</v>
      </c>
      <c r="H2841">
        <v>41421</v>
      </c>
      <c r="I2841" t="s">
        <v>423</v>
      </c>
      <c r="J2841" t="s">
        <v>2813</v>
      </c>
      <c r="K2841" t="s">
        <v>2814</v>
      </c>
      <c r="L2841" t="s">
        <v>2815</v>
      </c>
      <c r="M2841">
        <v>365</v>
      </c>
      <c r="N2841">
        <v>23.905999999999999</v>
      </c>
      <c r="O2841">
        <v>6435.02</v>
      </c>
      <c r="P2841">
        <v>0</v>
      </c>
      <c r="Q2841">
        <v>6435.02</v>
      </c>
      <c r="R2841">
        <v>707.85</v>
      </c>
      <c r="S2841">
        <v>257.39999999999998</v>
      </c>
      <c r="T2841">
        <v>6885.47</v>
      </c>
      <c r="U2841" t="s">
        <v>7527</v>
      </c>
      <c r="V2841" t="s">
        <v>9408</v>
      </c>
      <c r="W2841" t="s">
        <v>423</v>
      </c>
    </row>
    <row r="2842" spans="1:23" hidden="1" x14ac:dyDescent="0.2">
      <c r="A2842">
        <v>2012</v>
      </c>
      <c r="B2842" t="s">
        <v>303</v>
      </c>
      <c r="C2842" s="733">
        <v>40912</v>
      </c>
      <c r="D28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42" t="s">
        <v>485</v>
      </c>
      <c r="F2842" t="s">
        <v>2084</v>
      </c>
      <c r="G2842" t="s">
        <v>3708</v>
      </c>
      <c r="H2842">
        <v>39472</v>
      </c>
      <c r="I2842" t="s">
        <v>423</v>
      </c>
      <c r="J2842" t="s">
        <v>2813</v>
      </c>
      <c r="K2842" t="s">
        <v>2814</v>
      </c>
      <c r="L2842" t="s">
        <v>2815</v>
      </c>
      <c r="M2842">
        <v>365</v>
      </c>
      <c r="N2842">
        <v>24.337</v>
      </c>
      <c r="O2842">
        <v>2758.11</v>
      </c>
      <c r="P2842">
        <v>3105.3284680000002</v>
      </c>
      <c r="Q2842">
        <v>5863.4384680000003</v>
      </c>
      <c r="R2842">
        <v>938.15015500000004</v>
      </c>
      <c r="S2842">
        <v>234.53753900000001</v>
      </c>
      <c r="T2842">
        <v>6567.0510839999997</v>
      </c>
      <c r="U2842" t="s">
        <v>2846</v>
      </c>
      <c r="V2842" t="s">
        <v>9408</v>
      </c>
      <c r="W2842" t="s">
        <v>423</v>
      </c>
    </row>
    <row r="2843" spans="1:23" hidden="1" x14ac:dyDescent="0.2">
      <c r="A2843">
        <v>2012</v>
      </c>
      <c r="B2843" t="s">
        <v>304</v>
      </c>
      <c r="C2843" s="733">
        <v>40966</v>
      </c>
      <c r="D28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43" t="s">
        <v>485</v>
      </c>
      <c r="F2843" t="s">
        <v>2065</v>
      </c>
      <c r="G2843" t="s">
        <v>8809</v>
      </c>
      <c r="H2843">
        <v>42538</v>
      </c>
      <c r="I2843" t="s">
        <v>423</v>
      </c>
      <c r="J2843" t="s">
        <v>5260</v>
      </c>
      <c r="K2843" t="s">
        <v>2102</v>
      </c>
      <c r="L2843" t="s">
        <v>2115</v>
      </c>
      <c r="M2843">
        <v>832</v>
      </c>
      <c r="N2843">
        <v>50.83</v>
      </c>
      <c r="O2843">
        <v>25362.65</v>
      </c>
      <c r="P2843">
        <v>0</v>
      </c>
      <c r="Q2843">
        <v>25362.65</v>
      </c>
      <c r="R2843">
        <v>4058.02</v>
      </c>
      <c r="S2843">
        <v>1014.51</v>
      </c>
      <c r="T2843">
        <v>28406.16</v>
      </c>
      <c r="V2843" t="s">
        <v>9409</v>
      </c>
      <c r="W2843" t="s">
        <v>423</v>
      </c>
    </row>
    <row r="2844" spans="1:23" hidden="1" x14ac:dyDescent="0.2">
      <c r="A2844">
        <v>2012</v>
      </c>
      <c r="B2844" t="s">
        <v>303</v>
      </c>
      <c r="C2844" s="733">
        <v>40926</v>
      </c>
      <c r="D28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44" t="s">
        <v>485</v>
      </c>
      <c r="F2844" t="s">
        <v>2084</v>
      </c>
      <c r="G2844" t="s">
        <v>3711</v>
      </c>
      <c r="H2844">
        <v>40121</v>
      </c>
      <c r="I2844" t="s">
        <v>423</v>
      </c>
      <c r="J2844" t="s">
        <v>2813</v>
      </c>
      <c r="K2844" t="s">
        <v>2814</v>
      </c>
      <c r="L2844" t="s">
        <v>2815</v>
      </c>
      <c r="M2844">
        <v>365</v>
      </c>
      <c r="N2844">
        <v>24.045000000000002</v>
      </c>
      <c r="O2844">
        <v>6472.43</v>
      </c>
      <c r="P2844">
        <v>0</v>
      </c>
      <c r="Q2844">
        <v>6472.43</v>
      </c>
      <c r="R2844">
        <v>1035.5899999999999</v>
      </c>
      <c r="S2844">
        <v>258.89999999999998</v>
      </c>
      <c r="T2844">
        <v>7249.12</v>
      </c>
      <c r="U2844" t="s">
        <v>2826</v>
      </c>
      <c r="V2844" t="s">
        <v>9408</v>
      </c>
      <c r="W2844" t="s">
        <v>423</v>
      </c>
    </row>
    <row r="2845" spans="1:23" hidden="1" x14ac:dyDescent="0.2">
      <c r="A2845">
        <v>2012</v>
      </c>
      <c r="B2845" t="s">
        <v>303</v>
      </c>
      <c r="C2845" s="733">
        <v>40926</v>
      </c>
      <c r="D28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45" t="s">
        <v>485</v>
      </c>
      <c r="F2845" t="s">
        <v>2084</v>
      </c>
      <c r="G2845" t="s">
        <v>3712</v>
      </c>
      <c r="H2845">
        <v>40260</v>
      </c>
      <c r="I2845" t="s">
        <v>423</v>
      </c>
      <c r="J2845" t="s">
        <v>2813</v>
      </c>
      <c r="K2845" t="s">
        <v>2814</v>
      </c>
      <c r="L2845" t="s">
        <v>2815</v>
      </c>
      <c r="M2845">
        <v>365</v>
      </c>
      <c r="N2845">
        <v>23.643000000000001</v>
      </c>
      <c r="O2845">
        <v>6364.22</v>
      </c>
      <c r="P2845">
        <v>0</v>
      </c>
      <c r="Q2845">
        <v>6364.22</v>
      </c>
      <c r="R2845">
        <v>1018.28</v>
      </c>
      <c r="S2845">
        <v>254.57</v>
      </c>
      <c r="T2845">
        <v>7127.93</v>
      </c>
      <c r="U2845" t="s">
        <v>2824</v>
      </c>
      <c r="V2845" t="s">
        <v>9408</v>
      </c>
      <c r="W2845" t="s">
        <v>423</v>
      </c>
    </row>
    <row r="2846" spans="1:23" hidden="1" x14ac:dyDescent="0.2">
      <c r="A2846">
        <v>2012</v>
      </c>
      <c r="B2846" t="s">
        <v>304</v>
      </c>
      <c r="C2846" s="733">
        <v>40959</v>
      </c>
      <c r="D28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46" t="s">
        <v>478</v>
      </c>
      <c r="F2846" t="s">
        <v>2136</v>
      </c>
      <c r="G2846" t="s">
        <v>8198</v>
      </c>
      <c r="H2846">
        <v>35615</v>
      </c>
      <c r="I2846" t="s">
        <v>423</v>
      </c>
      <c r="J2846" t="s">
        <v>4270</v>
      </c>
      <c r="K2846" t="s">
        <v>425</v>
      </c>
      <c r="L2846" t="s">
        <v>2145</v>
      </c>
      <c r="M2846">
        <v>560</v>
      </c>
      <c r="N2846">
        <v>26.86</v>
      </c>
      <c r="O2846">
        <v>8581.77</v>
      </c>
      <c r="P2846">
        <v>0</v>
      </c>
      <c r="Q2846">
        <v>8581.77</v>
      </c>
      <c r="R2846">
        <v>1373.08</v>
      </c>
      <c r="S2846">
        <v>343.27</v>
      </c>
      <c r="T2846">
        <v>9611.58</v>
      </c>
      <c r="U2846" t="s">
        <v>8312</v>
      </c>
      <c r="V2846" t="s">
        <v>9408</v>
      </c>
      <c r="W2846" t="s">
        <v>423</v>
      </c>
    </row>
    <row r="2847" spans="1:23" hidden="1" x14ac:dyDescent="0.2">
      <c r="A2847">
        <v>2012</v>
      </c>
      <c r="B2847" t="s">
        <v>304</v>
      </c>
      <c r="C2847" s="733">
        <v>40966</v>
      </c>
      <c r="D28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47" t="s">
        <v>478</v>
      </c>
      <c r="F2847" t="s">
        <v>2136</v>
      </c>
      <c r="G2847" t="s">
        <v>8891</v>
      </c>
      <c r="H2847">
        <v>36027</v>
      </c>
      <c r="I2847" t="s">
        <v>423</v>
      </c>
      <c r="J2847" t="s">
        <v>4270</v>
      </c>
      <c r="K2847" t="s">
        <v>425</v>
      </c>
      <c r="L2847" t="s">
        <v>2145</v>
      </c>
      <c r="M2847">
        <v>560</v>
      </c>
      <c r="N2847">
        <v>22.08</v>
      </c>
      <c r="O2847">
        <v>7054.56</v>
      </c>
      <c r="P2847">
        <v>0</v>
      </c>
      <c r="Q2847">
        <v>7054.56</v>
      </c>
      <c r="R2847">
        <v>1128.73</v>
      </c>
      <c r="S2847">
        <v>282.18</v>
      </c>
      <c r="T2847">
        <v>7901.11</v>
      </c>
      <c r="U2847" t="s">
        <v>9457</v>
      </c>
      <c r="V2847" t="s">
        <v>9409</v>
      </c>
      <c r="W2847" t="s">
        <v>423</v>
      </c>
    </row>
    <row r="2848" spans="1:23" hidden="1" x14ac:dyDescent="0.2">
      <c r="A2848">
        <v>2012</v>
      </c>
      <c r="B2848" t="s">
        <v>303</v>
      </c>
      <c r="C2848" s="733">
        <v>40915</v>
      </c>
      <c r="D28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48" t="s">
        <v>505</v>
      </c>
      <c r="F2848" t="s">
        <v>1915</v>
      </c>
      <c r="G2848" t="s">
        <v>6521</v>
      </c>
      <c r="H2848">
        <v>21773</v>
      </c>
      <c r="I2848" t="s">
        <v>423</v>
      </c>
      <c r="J2848" t="s">
        <v>1917</v>
      </c>
      <c r="K2848" t="s">
        <v>1918</v>
      </c>
      <c r="L2848" t="s">
        <v>1919</v>
      </c>
      <c r="M2848">
        <v>267</v>
      </c>
      <c r="N2848">
        <v>25.08</v>
      </c>
      <c r="O2848">
        <v>2374.0700000000002</v>
      </c>
      <c r="P2848">
        <v>2672.9416719999999</v>
      </c>
      <c r="Q2848">
        <v>5047.0116719999996</v>
      </c>
      <c r="R2848">
        <v>807.52186800000004</v>
      </c>
      <c r="S2848">
        <v>201.88046700000001</v>
      </c>
      <c r="T2848">
        <v>5652.6530730000004</v>
      </c>
      <c r="U2848" t="s">
        <v>1920</v>
      </c>
      <c r="V2848" t="s">
        <v>9408</v>
      </c>
      <c r="W2848" t="s">
        <v>423</v>
      </c>
    </row>
    <row r="2849" spans="1:23" hidden="1" x14ac:dyDescent="0.2">
      <c r="A2849">
        <v>2012</v>
      </c>
      <c r="B2849" t="s">
        <v>303</v>
      </c>
      <c r="C2849" s="733">
        <v>40912</v>
      </c>
      <c r="D28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49" t="s">
        <v>505</v>
      </c>
      <c r="F2849" t="s">
        <v>1915</v>
      </c>
      <c r="G2849" t="s">
        <v>6589</v>
      </c>
      <c r="H2849">
        <v>21716</v>
      </c>
      <c r="I2849" t="s">
        <v>424</v>
      </c>
      <c r="J2849" t="s">
        <v>1917</v>
      </c>
      <c r="K2849" t="s">
        <v>1918</v>
      </c>
      <c r="L2849" t="s">
        <v>1919</v>
      </c>
      <c r="M2849">
        <v>267</v>
      </c>
      <c r="N2849">
        <v>27</v>
      </c>
      <c r="O2849">
        <v>2636.97</v>
      </c>
      <c r="P2849">
        <v>1515.4402889999999</v>
      </c>
      <c r="Q2849">
        <v>4152.4102890000004</v>
      </c>
      <c r="R2849">
        <v>664.38564599999995</v>
      </c>
      <c r="S2849">
        <v>166.09641199999999</v>
      </c>
      <c r="T2849">
        <v>4650.6995230000002</v>
      </c>
      <c r="V2849" t="s">
        <v>9408</v>
      </c>
      <c r="W2849" t="s">
        <v>424</v>
      </c>
    </row>
    <row r="2850" spans="1:23" hidden="1" x14ac:dyDescent="0.2">
      <c r="A2850">
        <v>2012</v>
      </c>
      <c r="B2850" t="s">
        <v>303</v>
      </c>
      <c r="C2850" s="733">
        <v>40939</v>
      </c>
      <c r="D28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50" t="s">
        <v>485</v>
      </c>
      <c r="F2850" t="s">
        <v>2065</v>
      </c>
      <c r="G2850" t="s">
        <v>5991</v>
      </c>
      <c r="H2850">
        <v>39999</v>
      </c>
      <c r="I2850" t="s">
        <v>423</v>
      </c>
      <c r="J2850" t="s">
        <v>2186</v>
      </c>
      <c r="K2850" t="s">
        <v>2183</v>
      </c>
      <c r="L2850" t="s">
        <v>2184</v>
      </c>
      <c r="M2850">
        <v>19</v>
      </c>
      <c r="N2850">
        <v>15.83</v>
      </c>
      <c r="O2850">
        <v>1786.73</v>
      </c>
      <c r="P2850">
        <v>0</v>
      </c>
      <c r="Q2850">
        <v>1786.73</v>
      </c>
      <c r="R2850">
        <v>285.88</v>
      </c>
      <c r="S2850">
        <v>71.47</v>
      </c>
      <c r="T2850">
        <v>2001.14</v>
      </c>
      <c r="U2850" t="s">
        <v>2187</v>
      </c>
      <c r="V2850" t="s">
        <v>9408</v>
      </c>
      <c r="W2850" t="s">
        <v>423</v>
      </c>
    </row>
    <row r="2851" spans="1:23" hidden="1" x14ac:dyDescent="0.2">
      <c r="A2851">
        <v>2012</v>
      </c>
      <c r="B2851" t="s">
        <v>304</v>
      </c>
      <c r="C2851" s="733">
        <v>40948.452650462961</v>
      </c>
      <c r="D28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51" t="s">
        <v>485</v>
      </c>
      <c r="F2851" t="s">
        <v>2065</v>
      </c>
      <c r="G2851" t="s">
        <v>5766</v>
      </c>
      <c r="H2851">
        <v>41619</v>
      </c>
      <c r="I2851" t="s">
        <v>423</v>
      </c>
      <c r="J2851" t="s">
        <v>2186</v>
      </c>
      <c r="K2851" t="s">
        <v>2183</v>
      </c>
      <c r="L2851" t="s">
        <v>2184</v>
      </c>
      <c r="M2851">
        <v>19</v>
      </c>
      <c r="N2851">
        <v>16.260000000000002</v>
      </c>
      <c r="O2851">
        <v>1835.27</v>
      </c>
      <c r="P2851">
        <v>0</v>
      </c>
      <c r="Q2851">
        <v>1835.27</v>
      </c>
      <c r="R2851">
        <v>293.64</v>
      </c>
      <c r="S2851">
        <v>73.41</v>
      </c>
      <c r="T2851">
        <v>2055.5</v>
      </c>
      <c r="U2851" t="s">
        <v>2192</v>
      </c>
      <c r="V2851" t="s">
        <v>9408</v>
      </c>
      <c r="W2851" t="s">
        <v>423</v>
      </c>
    </row>
    <row r="2852" spans="1:23" hidden="1" x14ac:dyDescent="0.2">
      <c r="A2852">
        <v>2012</v>
      </c>
      <c r="B2852" t="s">
        <v>304</v>
      </c>
      <c r="C2852" s="733">
        <v>40948</v>
      </c>
      <c r="D28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52" t="s">
        <v>485</v>
      </c>
      <c r="F2852" t="s">
        <v>2065</v>
      </c>
      <c r="G2852" t="s">
        <v>5412</v>
      </c>
      <c r="H2852">
        <v>41600</v>
      </c>
      <c r="I2852" t="s">
        <v>423</v>
      </c>
      <c r="J2852" t="s">
        <v>2186</v>
      </c>
      <c r="K2852" t="s">
        <v>2183</v>
      </c>
      <c r="L2852" t="s">
        <v>2184</v>
      </c>
      <c r="M2852">
        <v>19</v>
      </c>
      <c r="N2852">
        <v>15.71</v>
      </c>
      <c r="O2852">
        <v>1773.19</v>
      </c>
      <c r="P2852">
        <v>0</v>
      </c>
      <c r="Q2852">
        <v>1773.19</v>
      </c>
      <c r="R2852">
        <v>283.70999999999998</v>
      </c>
      <c r="S2852">
        <v>70.930000000000007</v>
      </c>
      <c r="T2852">
        <v>1985.97</v>
      </c>
      <c r="U2852" t="s">
        <v>2192</v>
      </c>
      <c r="V2852" t="s">
        <v>9408</v>
      </c>
      <c r="W2852" t="s">
        <v>423</v>
      </c>
    </row>
    <row r="2853" spans="1:23" hidden="1" x14ac:dyDescent="0.2">
      <c r="A2853">
        <v>2012</v>
      </c>
      <c r="B2853" t="s">
        <v>304</v>
      </c>
      <c r="C2853" s="733">
        <v>40959</v>
      </c>
      <c r="D28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53" t="s">
        <v>485</v>
      </c>
      <c r="F2853" t="s">
        <v>2065</v>
      </c>
      <c r="G2853" t="s">
        <v>8157</v>
      </c>
      <c r="H2853">
        <v>42228</v>
      </c>
      <c r="I2853" t="s">
        <v>423</v>
      </c>
      <c r="J2853" t="s">
        <v>2189</v>
      </c>
      <c r="K2853" t="s">
        <v>2183</v>
      </c>
      <c r="L2853" t="s">
        <v>2184</v>
      </c>
      <c r="M2853">
        <v>720</v>
      </c>
      <c r="N2853">
        <v>26.75</v>
      </c>
      <c r="O2853">
        <v>11874.06</v>
      </c>
      <c r="P2853">
        <v>0</v>
      </c>
      <c r="Q2853">
        <v>11874.06</v>
      </c>
      <c r="R2853">
        <v>1899.85</v>
      </c>
      <c r="S2853">
        <v>474.96</v>
      </c>
      <c r="T2853">
        <v>13298.95</v>
      </c>
      <c r="U2853" t="s">
        <v>9411</v>
      </c>
      <c r="V2853" t="s">
        <v>9408</v>
      </c>
      <c r="W2853" t="s">
        <v>423</v>
      </c>
    </row>
    <row r="2854" spans="1:23" hidden="1" x14ac:dyDescent="0.2">
      <c r="A2854">
        <v>2012</v>
      </c>
      <c r="B2854" t="s">
        <v>304</v>
      </c>
      <c r="C2854" s="733">
        <v>40960</v>
      </c>
      <c r="D28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54" t="s">
        <v>478</v>
      </c>
      <c r="F2854" t="s">
        <v>2136</v>
      </c>
      <c r="G2854" t="s">
        <v>8320</v>
      </c>
      <c r="H2854">
        <v>35820</v>
      </c>
      <c r="I2854" t="s">
        <v>423</v>
      </c>
      <c r="J2854" t="s">
        <v>3789</v>
      </c>
      <c r="K2854" t="s">
        <v>3481</v>
      </c>
      <c r="L2854" t="s">
        <v>3482</v>
      </c>
      <c r="M2854">
        <v>27</v>
      </c>
      <c r="N2854">
        <v>30.145</v>
      </c>
      <c r="O2854">
        <v>3402.47</v>
      </c>
      <c r="P2854">
        <v>0</v>
      </c>
      <c r="Q2854">
        <v>3402.47</v>
      </c>
      <c r="R2854">
        <v>544.39</v>
      </c>
      <c r="S2854">
        <v>136.1</v>
      </c>
      <c r="T2854">
        <v>3810.76</v>
      </c>
      <c r="U2854" t="s">
        <v>8277</v>
      </c>
      <c r="V2854" t="s">
        <v>9408</v>
      </c>
      <c r="W2854" t="s">
        <v>423</v>
      </c>
    </row>
    <row r="2855" spans="1:23" hidden="1" x14ac:dyDescent="0.2">
      <c r="A2855">
        <v>2012</v>
      </c>
      <c r="B2855" t="s">
        <v>303</v>
      </c>
      <c r="C2855" s="733">
        <v>40910</v>
      </c>
      <c r="D28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55" t="s">
        <v>478</v>
      </c>
      <c r="F2855" t="s">
        <v>2622</v>
      </c>
      <c r="G2855" t="s">
        <v>3382</v>
      </c>
      <c r="H2855">
        <v>34170</v>
      </c>
      <c r="I2855" t="s">
        <v>423</v>
      </c>
      <c r="J2855" t="s">
        <v>2629</v>
      </c>
      <c r="K2855" t="s">
        <v>2625</v>
      </c>
      <c r="L2855" t="s">
        <v>2626</v>
      </c>
      <c r="M2855">
        <v>33</v>
      </c>
      <c r="N2855">
        <v>25.97</v>
      </c>
      <c r="O2855">
        <v>1452.24</v>
      </c>
      <c r="P2855">
        <v>1259.019468</v>
      </c>
      <c r="Q2855">
        <v>2711.2594680000002</v>
      </c>
      <c r="R2855">
        <v>433.80151499999999</v>
      </c>
      <c r="S2855">
        <v>108.450379</v>
      </c>
      <c r="T2855">
        <v>3036.610604</v>
      </c>
      <c r="U2855" t="s">
        <v>2660</v>
      </c>
      <c r="V2855" t="s">
        <v>9408</v>
      </c>
      <c r="W2855" t="s">
        <v>423</v>
      </c>
    </row>
    <row r="2856" spans="1:23" hidden="1" x14ac:dyDescent="0.2">
      <c r="A2856">
        <v>2012</v>
      </c>
      <c r="B2856" t="s">
        <v>303</v>
      </c>
      <c r="C2856" s="733">
        <v>40926.706388888888</v>
      </c>
      <c r="D28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56" t="s">
        <v>478</v>
      </c>
      <c r="F2856" t="s">
        <v>2622</v>
      </c>
      <c r="G2856" t="s">
        <v>3378</v>
      </c>
      <c r="H2856">
        <v>34688</v>
      </c>
      <c r="I2856" t="s">
        <v>423</v>
      </c>
      <c r="J2856" t="s">
        <v>2629</v>
      </c>
      <c r="K2856" t="s">
        <v>2625</v>
      </c>
      <c r="L2856" t="s">
        <v>2626</v>
      </c>
      <c r="M2856">
        <v>33</v>
      </c>
      <c r="N2856">
        <v>24.92</v>
      </c>
      <c r="O2856">
        <v>2906.67</v>
      </c>
      <c r="P2856">
        <v>0</v>
      </c>
      <c r="Q2856">
        <v>2906.67</v>
      </c>
      <c r="R2856">
        <v>465.07</v>
      </c>
      <c r="S2856">
        <v>116.27</v>
      </c>
      <c r="T2856">
        <v>3255.47</v>
      </c>
      <c r="U2856" t="s">
        <v>2627</v>
      </c>
      <c r="V2856" t="s">
        <v>9408</v>
      </c>
      <c r="W2856" t="s">
        <v>423</v>
      </c>
    </row>
    <row r="2857" spans="1:23" hidden="1" x14ac:dyDescent="0.2">
      <c r="A2857">
        <v>2012</v>
      </c>
      <c r="B2857" t="s">
        <v>303</v>
      </c>
      <c r="C2857" s="733">
        <v>40926.746122685188</v>
      </c>
      <c r="D28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57" t="s">
        <v>478</v>
      </c>
      <c r="F2857" t="s">
        <v>2622</v>
      </c>
      <c r="G2857" t="s">
        <v>3379</v>
      </c>
      <c r="H2857">
        <v>34694</v>
      </c>
      <c r="I2857" t="s">
        <v>423</v>
      </c>
      <c r="J2857" t="s">
        <v>2629</v>
      </c>
      <c r="K2857" t="s">
        <v>2625</v>
      </c>
      <c r="L2857" t="s">
        <v>2626</v>
      </c>
      <c r="M2857">
        <v>33</v>
      </c>
      <c r="N2857">
        <v>24.38</v>
      </c>
      <c r="O2857">
        <v>2843.68</v>
      </c>
      <c r="P2857">
        <v>0</v>
      </c>
      <c r="Q2857">
        <v>2843.68</v>
      </c>
      <c r="R2857">
        <v>454.99</v>
      </c>
      <c r="S2857">
        <v>113.75</v>
      </c>
      <c r="T2857">
        <v>3184.92</v>
      </c>
      <c r="U2857" t="s">
        <v>2635</v>
      </c>
      <c r="V2857" t="s">
        <v>9408</v>
      </c>
      <c r="W2857" t="s">
        <v>423</v>
      </c>
    </row>
    <row r="2858" spans="1:23" hidden="1" x14ac:dyDescent="0.2">
      <c r="A2858">
        <v>2012</v>
      </c>
      <c r="B2858" t="s">
        <v>304</v>
      </c>
      <c r="C2858" s="733">
        <v>40966</v>
      </c>
      <c r="D28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58" t="s">
        <v>478</v>
      </c>
      <c r="F2858" t="s">
        <v>2136</v>
      </c>
      <c r="G2858" t="s">
        <v>9209</v>
      </c>
      <c r="H2858">
        <v>35957</v>
      </c>
      <c r="I2858" t="s">
        <v>423</v>
      </c>
      <c r="J2858" t="s">
        <v>2144</v>
      </c>
      <c r="K2858" t="s">
        <v>425</v>
      </c>
      <c r="L2858" t="s">
        <v>2145</v>
      </c>
      <c r="M2858">
        <v>1354</v>
      </c>
      <c r="N2858">
        <v>41.1</v>
      </c>
      <c r="O2858">
        <v>37269.07</v>
      </c>
      <c r="P2858">
        <v>0</v>
      </c>
      <c r="Q2858">
        <v>37269.07</v>
      </c>
      <c r="R2858">
        <v>5963.05</v>
      </c>
      <c r="S2858">
        <v>1490.76</v>
      </c>
      <c r="T2858">
        <v>41741.360000000001</v>
      </c>
      <c r="U2858" t="s">
        <v>9430</v>
      </c>
      <c r="V2858" t="s">
        <v>9409</v>
      </c>
      <c r="W2858" t="s">
        <v>423</v>
      </c>
    </row>
    <row r="2859" spans="1:23" hidden="1" x14ac:dyDescent="0.2">
      <c r="A2859">
        <v>2012</v>
      </c>
      <c r="B2859" t="s">
        <v>304</v>
      </c>
      <c r="C2859" s="733">
        <v>40948</v>
      </c>
      <c r="D28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59" t="s">
        <v>478</v>
      </c>
      <c r="F2859" t="s">
        <v>2136</v>
      </c>
      <c r="G2859" t="s">
        <v>6602</v>
      </c>
      <c r="H2859">
        <v>35357</v>
      </c>
      <c r="I2859" t="s">
        <v>423</v>
      </c>
      <c r="J2859" t="s">
        <v>2144</v>
      </c>
      <c r="K2859" t="s">
        <v>425</v>
      </c>
      <c r="L2859" t="s">
        <v>2145</v>
      </c>
      <c r="M2859">
        <v>1354</v>
      </c>
      <c r="N2859">
        <v>45.79</v>
      </c>
      <c r="O2859">
        <v>41521.910000000003</v>
      </c>
      <c r="P2859">
        <v>0</v>
      </c>
      <c r="Q2859">
        <v>41521.910000000003</v>
      </c>
      <c r="R2859">
        <v>6643.51</v>
      </c>
      <c r="S2859">
        <v>1660.88</v>
      </c>
      <c r="T2859">
        <v>46504.54</v>
      </c>
      <c r="U2859" t="s">
        <v>3115</v>
      </c>
      <c r="V2859" t="s">
        <v>9409</v>
      </c>
      <c r="W2859" t="s">
        <v>423</v>
      </c>
    </row>
    <row r="2860" spans="1:23" hidden="1" x14ac:dyDescent="0.2">
      <c r="A2860">
        <v>2012</v>
      </c>
      <c r="B2860" t="s">
        <v>304</v>
      </c>
      <c r="C2860" s="733">
        <v>40966</v>
      </c>
      <c r="D28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60" t="s">
        <v>478</v>
      </c>
      <c r="F2860" t="s">
        <v>2136</v>
      </c>
      <c r="G2860" t="s">
        <v>9123</v>
      </c>
      <c r="H2860">
        <v>35962</v>
      </c>
      <c r="I2860" t="s">
        <v>423</v>
      </c>
      <c r="J2860" t="s">
        <v>2144</v>
      </c>
      <c r="K2860" t="s">
        <v>425</v>
      </c>
      <c r="L2860" t="s">
        <v>2145</v>
      </c>
      <c r="M2860">
        <v>1354</v>
      </c>
      <c r="N2860">
        <v>43.91</v>
      </c>
      <c r="O2860">
        <v>39817.15</v>
      </c>
      <c r="P2860">
        <v>0</v>
      </c>
      <c r="Q2860">
        <v>39817.15</v>
      </c>
      <c r="R2860">
        <v>6370.74</v>
      </c>
      <c r="S2860">
        <v>1592.69</v>
      </c>
      <c r="T2860">
        <v>44595.199999999997</v>
      </c>
      <c r="U2860" t="s">
        <v>9430</v>
      </c>
      <c r="V2860" t="s">
        <v>9409</v>
      </c>
      <c r="W2860" t="s">
        <v>423</v>
      </c>
    </row>
    <row r="2861" spans="1:23" hidden="1" x14ac:dyDescent="0.2">
      <c r="A2861">
        <v>2012</v>
      </c>
      <c r="B2861" t="s">
        <v>303</v>
      </c>
      <c r="C2861" s="733">
        <v>40919</v>
      </c>
      <c r="D28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61" t="s">
        <v>478</v>
      </c>
      <c r="F2861" t="s">
        <v>2136</v>
      </c>
      <c r="G2861" t="s">
        <v>6989</v>
      </c>
      <c r="H2861">
        <v>34403</v>
      </c>
      <c r="I2861" t="s">
        <v>423</v>
      </c>
      <c r="J2861" t="s">
        <v>5475</v>
      </c>
      <c r="K2861" t="s">
        <v>425</v>
      </c>
      <c r="L2861" t="s">
        <v>2145</v>
      </c>
      <c r="M2861">
        <v>981</v>
      </c>
      <c r="N2861">
        <v>47.7</v>
      </c>
      <c r="O2861">
        <v>21019</v>
      </c>
      <c r="P2861">
        <v>0</v>
      </c>
      <c r="Q2861">
        <v>21019</v>
      </c>
      <c r="R2861">
        <v>3363.04</v>
      </c>
      <c r="S2861">
        <v>840.76</v>
      </c>
      <c r="T2861">
        <v>23541.279999999999</v>
      </c>
      <c r="U2861" t="s">
        <v>2350</v>
      </c>
      <c r="V2861" t="s">
        <v>9409</v>
      </c>
      <c r="W2861" t="s">
        <v>423</v>
      </c>
    </row>
    <row r="2862" spans="1:23" hidden="1" x14ac:dyDescent="0.2">
      <c r="A2862">
        <v>2012</v>
      </c>
      <c r="B2862" t="s">
        <v>303</v>
      </c>
      <c r="C2862" s="733">
        <v>40915</v>
      </c>
      <c r="D28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62" t="s">
        <v>478</v>
      </c>
      <c r="F2862" t="s">
        <v>2136</v>
      </c>
      <c r="G2862" t="s">
        <v>6987</v>
      </c>
      <c r="H2862">
        <v>34232</v>
      </c>
      <c r="I2862" t="s">
        <v>423</v>
      </c>
      <c r="J2862" t="s">
        <v>5475</v>
      </c>
      <c r="K2862" t="s">
        <v>425</v>
      </c>
      <c r="L2862" t="s">
        <v>2145</v>
      </c>
      <c r="M2862">
        <v>981</v>
      </c>
      <c r="N2862">
        <v>50.38</v>
      </c>
      <c r="O2862">
        <v>22199.95</v>
      </c>
      <c r="P2862">
        <v>0</v>
      </c>
      <c r="Q2862">
        <v>22199.95</v>
      </c>
      <c r="R2862">
        <v>3551.99</v>
      </c>
      <c r="S2862">
        <v>888</v>
      </c>
      <c r="T2862">
        <v>24863.94</v>
      </c>
      <c r="U2862" t="s">
        <v>2352</v>
      </c>
      <c r="V2862" t="s">
        <v>9409</v>
      </c>
      <c r="W2862" t="s">
        <v>423</v>
      </c>
    </row>
    <row r="2863" spans="1:23" hidden="1" x14ac:dyDescent="0.2">
      <c r="A2863">
        <v>2012</v>
      </c>
      <c r="B2863" t="s">
        <v>303</v>
      </c>
      <c r="C2863" s="733">
        <v>40927</v>
      </c>
      <c r="D28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63" t="s">
        <v>478</v>
      </c>
      <c r="F2863" t="s">
        <v>2136</v>
      </c>
      <c r="G2863" t="s">
        <v>6988</v>
      </c>
      <c r="H2863">
        <v>34621</v>
      </c>
      <c r="I2863" t="s">
        <v>423</v>
      </c>
      <c r="J2863" t="s">
        <v>5475</v>
      </c>
      <c r="K2863" t="s">
        <v>425</v>
      </c>
      <c r="L2863" t="s">
        <v>2145</v>
      </c>
      <c r="M2863">
        <v>981</v>
      </c>
      <c r="N2863">
        <v>55.77</v>
      </c>
      <c r="O2863">
        <v>24575.05</v>
      </c>
      <c r="P2863">
        <v>0</v>
      </c>
      <c r="Q2863">
        <v>24575.05</v>
      </c>
      <c r="R2863">
        <v>3932.01</v>
      </c>
      <c r="S2863">
        <v>983</v>
      </c>
      <c r="T2863">
        <v>27524.06</v>
      </c>
      <c r="U2863" t="s">
        <v>2146</v>
      </c>
      <c r="V2863" t="s">
        <v>9409</v>
      </c>
      <c r="W2863" t="s">
        <v>423</v>
      </c>
    </row>
    <row r="2864" spans="1:23" hidden="1" x14ac:dyDescent="0.2">
      <c r="A2864">
        <v>2012</v>
      </c>
      <c r="B2864" t="s">
        <v>304</v>
      </c>
      <c r="C2864" s="733">
        <v>40961</v>
      </c>
      <c r="D28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64" t="s">
        <v>478</v>
      </c>
      <c r="F2864" t="s">
        <v>2136</v>
      </c>
      <c r="G2864" t="s">
        <v>8379</v>
      </c>
      <c r="H2864">
        <v>35729</v>
      </c>
      <c r="I2864" t="s">
        <v>423</v>
      </c>
      <c r="J2864" t="s">
        <v>2936</v>
      </c>
      <c r="K2864" t="s">
        <v>425</v>
      </c>
      <c r="L2864" t="s">
        <v>2145</v>
      </c>
      <c r="M2864">
        <v>604</v>
      </c>
      <c r="N2864">
        <v>23.3</v>
      </c>
      <c r="O2864">
        <v>7295</v>
      </c>
      <c r="P2864">
        <v>0</v>
      </c>
      <c r="Q2864">
        <v>7295</v>
      </c>
      <c r="R2864">
        <v>1167.2</v>
      </c>
      <c r="S2864">
        <v>291.8</v>
      </c>
      <c r="T2864">
        <v>8170.4</v>
      </c>
      <c r="U2864" t="s">
        <v>9457</v>
      </c>
      <c r="V2864" t="s">
        <v>9408</v>
      </c>
      <c r="W2864" t="s">
        <v>423</v>
      </c>
    </row>
    <row r="2865" spans="1:23" hidden="1" x14ac:dyDescent="0.2">
      <c r="A2865">
        <v>2012</v>
      </c>
      <c r="B2865" t="s">
        <v>304</v>
      </c>
      <c r="C2865" s="733">
        <v>40955</v>
      </c>
      <c r="D28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65" t="s">
        <v>478</v>
      </c>
      <c r="F2865" t="s">
        <v>2136</v>
      </c>
      <c r="G2865" t="s">
        <v>7787</v>
      </c>
      <c r="H2865">
        <v>35500</v>
      </c>
      <c r="I2865" t="s">
        <v>423</v>
      </c>
      <c r="J2865" t="s">
        <v>2936</v>
      </c>
      <c r="K2865" t="s">
        <v>425</v>
      </c>
      <c r="L2865" t="s">
        <v>2145</v>
      </c>
      <c r="M2865">
        <v>604</v>
      </c>
      <c r="N2865">
        <v>45.75</v>
      </c>
      <c r="O2865">
        <v>14323.87</v>
      </c>
      <c r="P2865">
        <v>0</v>
      </c>
      <c r="Q2865">
        <v>14323.87</v>
      </c>
      <c r="R2865">
        <v>2291.8200000000002</v>
      </c>
      <c r="S2865">
        <v>572.95000000000005</v>
      </c>
      <c r="T2865">
        <v>16042.74</v>
      </c>
      <c r="U2865" t="s">
        <v>7553</v>
      </c>
      <c r="V2865" t="s">
        <v>9409</v>
      </c>
      <c r="W2865" t="s">
        <v>423</v>
      </c>
    </row>
    <row r="2866" spans="1:23" hidden="1" x14ac:dyDescent="0.2">
      <c r="A2866">
        <v>2012</v>
      </c>
      <c r="B2866" t="s">
        <v>303</v>
      </c>
      <c r="C2866" s="733">
        <v>40922</v>
      </c>
      <c r="D28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66" t="s">
        <v>478</v>
      </c>
      <c r="F2866" t="s">
        <v>2136</v>
      </c>
      <c r="G2866" t="s">
        <v>4127</v>
      </c>
      <c r="H2866">
        <v>34509</v>
      </c>
      <c r="I2866" t="s">
        <v>423</v>
      </c>
      <c r="J2866" t="s">
        <v>2936</v>
      </c>
      <c r="K2866" t="s">
        <v>425</v>
      </c>
      <c r="L2866" t="s">
        <v>2145</v>
      </c>
      <c r="M2866">
        <v>604</v>
      </c>
      <c r="N2866">
        <v>26.42</v>
      </c>
      <c r="O2866">
        <v>8271.84</v>
      </c>
      <c r="P2866">
        <v>0</v>
      </c>
      <c r="Q2866">
        <v>8271.84</v>
      </c>
      <c r="R2866">
        <v>1323.49</v>
      </c>
      <c r="S2866">
        <v>330.87</v>
      </c>
      <c r="T2866">
        <v>9264.4599999999991</v>
      </c>
      <c r="U2866" t="s">
        <v>2927</v>
      </c>
      <c r="V2866" t="s">
        <v>9408</v>
      </c>
      <c r="W2866" t="s">
        <v>423</v>
      </c>
    </row>
    <row r="2867" spans="1:23" hidden="1" x14ac:dyDescent="0.2">
      <c r="A2867">
        <v>2012</v>
      </c>
      <c r="B2867" t="s">
        <v>304</v>
      </c>
      <c r="C2867" s="733">
        <v>40942</v>
      </c>
      <c r="D28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67" t="s">
        <v>478</v>
      </c>
      <c r="F2867" t="s">
        <v>2136</v>
      </c>
      <c r="G2867" t="s">
        <v>6595</v>
      </c>
      <c r="H2867">
        <v>35266</v>
      </c>
      <c r="I2867" t="s">
        <v>423</v>
      </c>
      <c r="J2867" t="s">
        <v>2936</v>
      </c>
      <c r="K2867" t="s">
        <v>425</v>
      </c>
      <c r="L2867" t="s">
        <v>2145</v>
      </c>
      <c r="M2867">
        <v>604</v>
      </c>
      <c r="N2867">
        <v>27.35</v>
      </c>
      <c r="O2867">
        <v>8563.01</v>
      </c>
      <c r="P2867">
        <v>0</v>
      </c>
      <c r="Q2867">
        <v>8563.01</v>
      </c>
      <c r="R2867">
        <v>1370.08</v>
      </c>
      <c r="S2867">
        <v>342.52</v>
      </c>
      <c r="T2867">
        <v>9590.57</v>
      </c>
      <c r="U2867" t="s">
        <v>2938</v>
      </c>
      <c r="V2867" t="s">
        <v>9409</v>
      </c>
      <c r="W2867" t="s">
        <v>423</v>
      </c>
    </row>
    <row r="2868" spans="1:23" hidden="1" x14ac:dyDescent="0.2">
      <c r="A2868">
        <v>2012</v>
      </c>
      <c r="B2868" t="s">
        <v>304</v>
      </c>
      <c r="C2868" s="733">
        <v>40953</v>
      </c>
      <c r="D28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68" t="s">
        <v>478</v>
      </c>
      <c r="F2868" t="s">
        <v>4128</v>
      </c>
      <c r="G2868" t="s">
        <v>4129</v>
      </c>
      <c r="H2868">
        <v>35560</v>
      </c>
      <c r="I2868" t="s">
        <v>423</v>
      </c>
      <c r="J2868" t="s">
        <v>2936</v>
      </c>
      <c r="K2868" t="s">
        <v>425</v>
      </c>
      <c r="L2868" t="s">
        <v>2145</v>
      </c>
      <c r="M2868">
        <v>604</v>
      </c>
      <c r="N2868">
        <v>30.34</v>
      </c>
      <c r="O2868">
        <v>9499.15</v>
      </c>
      <c r="P2868">
        <v>0</v>
      </c>
      <c r="Q2868">
        <v>9499.15</v>
      </c>
      <c r="R2868">
        <v>1519.86</v>
      </c>
      <c r="S2868">
        <v>379.97</v>
      </c>
      <c r="T2868">
        <v>10639.04</v>
      </c>
      <c r="U2868" t="s">
        <v>7553</v>
      </c>
      <c r="V2868" t="s">
        <v>9408</v>
      </c>
      <c r="W2868" t="s">
        <v>423</v>
      </c>
    </row>
    <row r="2869" spans="1:23" hidden="1" x14ac:dyDescent="0.2">
      <c r="A2869">
        <v>2012</v>
      </c>
      <c r="B2869" t="s">
        <v>305</v>
      </c>
      <c r="C2869" s="733">
        <v>40970</v>
      </c>
      <c r="D2869" s="733" t="str">
        <f>CHOOSE(MONTH(Tabla_sqldatos_bonampakdb_Bon_v_ingresos2012[[#This Row],[fecha_guia]]),"Enero","Febrero","Marzo","Abril","Mayo","Junio","Julio","Agosto","Septiembre","Octubre","Noviembre","Diciembre")</f>
        <v>Marzo</v>
      </c>
      <c r="E2869" t="s">
        <v>478</v>
      </c>
      <c r="F2869" t="s">
        <v>2622</v>
      </c>
      <c r="G2869" t="s">
        <v>9717</v>
      </c>
      <c r="H2869">
        <v>36254</v>
      </c>
      <c r="I2869" t="s">
        <v>423</v>
      </c>
      <c r="J2869" t="s">
        <v>2936</v>
      </c>
      <c r="K2869" t="s">
        <v>425</v>
      </c>
      <c r="L2869" t="s">
        <v>2145</v>
      </c>
      <c r="M2869">
        <v>604</v>
      </c>
      <c r="N2869">
        <v>24.81</v>
      </c>
      <c r="O2869">
        <v>7767.76</v>
      </c>
      <c r="P2869">
        <v>0</v>
      </c>
      <c r="Q2869">
        <v>7767.76</v>
      </c>
      <c r="R2869">
        <v>1242.8399999999999</v>
      </c>
      <c r="S2869">
        <v>310.70999999999998</v>
      </c>
      <c r="T2869">
        <v>8699.89</v>
      </c>
      <c r="V2869" t="s">
        <v>9408</v>
      </c>
      <c r="W2869" t="s">
        <v>423</v>
      </c>
    </row>
    <row r="2870" spans="1:23" hidden="1" x14ac:dyDescent="0.2">
      <c r="A2870">
        <v>2012</v>
      </c>
      <c r="B2870" t="s">
        <v>304</v>
      </c>
      <c r="C2870" s="733">
        <v>40946</v>
      </c>
      <c r="D28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70" t="s">
        <v>478</v>
      </c>
      <c r="F2870" t="s">
        <v>2136</v>
      </c>
      <c r="G2870" t="s">
        <v>6601</v>
      </c>
      <c r="H2870">
        <v>35354</v>
      </c>
      <c r="I2870" t="s">
        <v>423</v>
      </c>
      <c r="J2870" t="s">
        <v>2936</v>
      </c>
      <c r="K2870" t="s">
        <v>425</v>
      </c>
      <c r="L2870" t="s">
        <v>2145</v>
      </c>
      <c r="M2870">
        <v>604</v>
      </c>
      <c r="N2870">
        <v>22.02</v>
      </c>
      <c r="O2870">
        <v>6894.24</v>
      </c>
      <c r="P2870">
        <v>0</v>
      </c>
      <c r="Q2870">
        <v>6894.24</v>
      </c>
      <c r="R2870">
        <v>1103.08</v>
      </c>
      <c r="S2870">
        <v>275.77</v>
      </c>
      <c r="T2870">
        <v>7721.55</v>
      </c>
      <c r="U2870" t="s">
        <v>3115</v>
      </c>
      <c r="V2870" t="s">
        <v>9408</v>
      </c>
      <c r="W2870" t="s">
        <v>423</v>
      </c>
    </row>
    <row r="2871" spans="1:23" hidden="1" x14ac:dyDescent="0.2">
      <c r="A2871">
        <v>2012</v>
      </c>
      <c r="B2871" t="s">
        <v>303</v>
      </c>
      <c r="C2871" s="733">
        <v>40935</v>
      </c>
      <c r="D28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71" t="s">
        <v>478</v>
      </c>
      <c r="F2871" t="s">
        <v>2136</v>
      </c>
      <c r="G2871" t="s">
        <v>6597</v>
      </c>
      <c r="H2871">
        <v>34975</v>
      </c>
      <c r="I2871" t="s">
        <v>423</v>
      </c>
      <c r="J2871" t="s">
        <v>4270</v>
      </c>
      <c r="K2871" t="s">
        <v>425</v>
      </c>
      <c r="L2871" t="s">
        <v>2145</v>
      </c>
      <c r="M2871">
        <v>560</v>
      </c>
      <c r="N2871">
        <v>24.63</v>
      </c>
      <c r="O2871">
        <v>7992.44</v>
      </c>
      <c r="P2871">
        <v>0</v>
      </c>
      <c r="Q2871">
        <v>7992.44</v>
      </c>
      <c r="R2871">
        <v>1278.79</v>
      </c>
      <c r="S2871">
        <v>319.7</v>
      </c>
      <c r="T2871">
        <v>8951.5300000000007</v>
      </c>
      <c r="U2871" t="s">
        <v>2580</v>
      </c>
      <c r="V2871" t="s">
        <v>9409</v>
      </c>
      <c r="W2871" t="s">
        <v>423</v>
      </c>
    </row>
    <row r="2872" spans="1:23" hidden="1" x14ac:dyDescent="0.2">
      <c r="A2872">
        <v>2012</v>
      </c>
      <c r="B2872" t="s">
        <v>304</v>
      </c>
      <c r="C2872" s="733">
        <v>40949</v>
      </c>
      <c r="D28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72" t="s">
        <v>478</v>
      </c>
      <c r="F2872" t="s">
        <v>2136</v>
      </c>
      <c r="G2872" t="s">
        <v>6600</v>
      </c>
      <c r="H2872">
        <v>35503</v>
      </c>
      <c r="I2872" t="s">
        <v>423</v>
      </c>
      <c r="J2872" t="s">
        <v>4270</v>
      </c>
      <c r="K2872" t="s">
        <v>425</v>
      </c>
      <c r="L2872" t="s">
        <v>2145</v>
      </c>
      <c r="M2872">
        <v>560</v>
      </c>
      <c r="N2872">
        <v>22.9</v>
      </c>
      <c r="O2872">
        <v>7431.05</v>
      </c>
      <c r="P2872">
        <v>0</v>
      </c>
      <c r="Q2872">
        <v>7431.05</v>
      </c>
      <c r="R2872">
        <v>1188.97</v>
      </c>
      <c r="S2872">
        <v>297.24</v>
      </c>
      <c r="T2872">
        <v>8322.7800000000007</v>
      </c>
      <c r="U2872" t="s">
        <v>7553</v>
      </c>
      <c r="V2872" t="s">
        <v>9408</v>
      </c>
      <c r="W2872" t="s">
        <v>423</v>
      </c>
    </row>
    <row r="2873" spans="1:23" hidden="1" x14ac:dyDescent="0.2">
      <c r="A2873">
        <v>2012</v>
      </c>
      <c r="B2873" t="s">
        <v>304</v>
      </c>
      <c r="C2873" s="733">
        <v>40941</v>
      </c>
      <c r="D28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73" t="s">
        <v>478</v>
      </c>
      <c r="F2873" t="s">
        <v>3358</v>
      </c>
      <c r="G2873" t="s">
        <v>5013</v>
      </c>
      <c r="H2873">
        <v>35211</v>
      </c>
      <c r="I2873" t="s">
        <v>423</v>
      </c>
      <c r="J2873" t="s">
        <v>4396</v>
      </c>
      <c r="K2873" t="s">
        <v>4397</v>
      </c>
      <c r="L2873" t="s">
        <v>4398</v>
      </c>
      <c r="M2873">
        <v>112</v>
      </c>
      <c r="N2873">
        <v>27.52</v>
      </c>
      <c r="O2873">
        <v>3106.18</v>
      </c>
      <c r="P2873">
        <v>0</v>
      </c>
      <c r="Q2873">
        <v>3106.18</v>
      </c>
      <c r="R2873">
        <v>496.99</v>
      </c>
      <c r="S2873">
        <v>124.25</v>
      </c>
      <c r="T2873">
        <v>3478.92</v>
      </c>
      <c r="U2873" t="s">
        <v>4399</v>
      </c>
      <c r="V2873" t="s">
        <v>9408</v>
      </c>
      <c r="W2873" t="s">
        <v>423</v>
      </c>
    </row>
    <row r="2874" spans="1:23" hidden="1" x14ac:dyDescent="0.2">
      <c r="A2874">
        <v>2012</v>
      </c>
      <c r="B2874" t="s">
        <v>303</v>
      </c>
      <c r="C2874" s="733">
        <v>40911</v>
      </c>
      <c r="D28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74" t="s">
        <v>505</v>
      </c>
      <c r="F2874" t="s">
        <v>1915</v>
      </c>
      <c r="G2874" t="s">
        <v>6712</v>
      </c>
      <c r="H2874">
        <v>21708</v>
      </c>
      <c r="I2874" t="s">
        <v>423</v>
      </c>
      <c r="J2874" t="s">
        <v>4153</v>
      </c>
      <c r="K2874" t="s">
        <v>1918</v>
      </c>
      <c r="L2874" t="s">
        <v>1919</v>
      </c>
      <c r="M2874">
        <v>850</v>
      </c>
      <c r="N2874">
        <v>25.36</v>
      </c>
      <c r="O2874">
        <v>6671.69</v>
      </c>
      <c r="P2874">
        <v>7511.589054</v>
      </c>
      <c r="Q2874">
        <v>14183.279054000001</v>
      </c>
      <c r="R2874">
        <v>2269.3246490000001</v>
      </c>
      <c r="S2874">
        <v>567.33116199999995</v>
      </c>
      <c r="T2874">
        <v>15885.272541</v>
      </c>
      <c r="U2874" t="s">
        <v>1920</v>
      </c>
      <c r="V2874" t="s">
        <v>9408</v>
      </c>
      <c r="W2874" t="s">
        <v>423</v>
      </c>
    </row>
    <row r="2875" spans="1:23" hidden="1" x14ac:dyDescent="0.2">
      <c r="A2875">
        <v>2012</v>
      </c>
      <c r="B2875" t="s">
        <v>305</v>
      </c>
      <c r="C2875" s="733">
        <v>40969</v>
      </c>
      <c r="D2875" s="733" t="str">
        <f>CHOOSE(MONTH(Tabla_sqldatos_bonampakdb_Bon_v_ingresos2012[[#This Row],[fecha_guia]]),"Enero","Febrero","Marzo","Abril","Mayo","Junio","Julio","Agosto","Septiembre","Octubre","Noviembre","Diciembre")</f>
        <v>Marzo</v>
      </c>
      <c r="E2875" t="s">
        <v>505</v>
      </c>
      <c r="F2875" t="s">
        <v>1915</v>
      </c>
      <c r="G2875" t="s">
        <v>9623</v>
      </c>
      <c r="H2875">
        <v>23063</v>
      </c>
      <c r="I2875" t="s">
        <v>423</v>
      </c>
      <c r="J2875" t="s">
        <v>4153</v>
      </c>
      <c r="K2875" t="s">
        <v>1918</v>
      </c>
      <c r="L2875" t="s">
        <v>1919</v>
      </c>
      <c r="M2875">
        <v>850</v>
      </c>
      <c r="N2875">
        <v>49.85</v>
      </c>
      <c r="O2875">
        <v>31149.27</v>
      </c>
      <c r="P2875">
        <v>0</v>
      </c>
      <c r="Q2875">
        <v>31149.27</v>
      </c>
      <c r="R2875">
        <v>4983.88</v>
      </c>
      <c r="S2875">
        <v>1245.97</v>
      </c>
      <c r="T2875">
        <v>34887.18</v>
      </c>
      <c r="V2875" t="s">
        <v>9409</v>
      </c>
      <c r="W2875" t="s">
        <v>423</v>
      </c>
    </row>
    <row r="2876" spans="1:23" hidden="1" x14ac:dyDescent="0.2">
      <c r="A2876">
        <v>2012</v>
      </c>
      <c r="B2876" t="s">
        <v>303</v>
      </c>
      <c r="C2876" s="733">
        <v>40939</v>
      </c>
      <c r="D28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76" t="s">
        <v>505</v>
      </c>
      <c r="F2876" t="s">
        <v>1915</v>
      </c>
      <c r="G2876" t="s">
        <v>6848</v>
      </c>
      <c r="H2876">
        <v>21645</v>
      </c>
      <c r="I2876" t="s">
        <v>423</v>
      </c>
      <c r="J2876" t="s">
        <v>4153</v>
      </c>
      <c r="K2876" t="s">
        <v>1918</v>
      </c>
      <c r="L2876" t="s">
        <v>1919</v>
      </c>
      <c r="M2876">
        <v>850</v>
      </c>
      <c r="N2876">
        <v>25.25</v>
      </c>
      <c r="O2876">
        <v>15777.72</v>
      </c>
      <c r="P2876">
        <v>0</v>
      </c>
      <c r="Q2876">
        <v>15777.72</v>
      </c>
      <c r="R2876">
        <v>2524.4299999999998</v>
      </c>
      <c r="S2876">
        <v>631.11</v>
      </c>
      <c r="T2876">
        <v>17671.04</v>
      </c>
      <c r="U2876" t="s">
        <v>1936</v>
      </c>
      <c r="V2876" t="s">
        <v>9408</v>
      </c>
      <c r="W2876" t="s">
        <v>423</v>
      </c>
    </row>
    <row r="2877" spans="1:23" hidden="1" x14ac:dyDescent="0.2">
      <c r="A2877">
        <v>2012</v>
      </c>
      <c r="B2877" t="s">
        <v>304</v>
      </c>
      <c r="C2877" s="733">
        <v>40947.583043981482</v>
      </c>
      <c r="D28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77" t="s">
        <v>478</v>
      </c>
      <c r="F2877" t="s">
        <v>3358</v>
      </c>
      <c r="G2877" t="s">
        <v>5014</v>
      </c>
      <c r="H2877">
        <v>35444</v>
      </c>
      <c r="I2877" t="s">
        <v>423</v>
      </c>
      <c r="J2877" t="s">
        <v>4396</v>
      </c>
      <c r="K2877" t="s">
        <v>4397</v>
      </c>
      <c r="L2877" t="s">
        <v>4398</v>
      </c>
      <c r="M2877">
        <v>112</v>
      </c>
      <c r="N2877">
        <v>27.46</v>
      </c>
      <c r="O2877">
        <v>3099.41</v>
      </c>
      <c r="P2877">
        <v>0</v>
      </c>
      <c r="Q2877">
        <v>3099.41</v>
      </c>
      <c r="R2877">
        <v>495.91</v>
      </c>
      <c r="S2877">
        <v>123.98</v>
      </c>
      <c r="T2877">
        <v>3471.34</v>
      </c>
      <c r="U2877" t="s">
        <v>4503</v>
      </c>
      <c r="V2877" t="s">
        <v>9408</v>
      </c>
      <c r="W2877" t="s">
        <v>423</v>
      </c>
    </row>
    <row r="2878" spans="1:23" hidden="1" x14ac:dyDescent="0.2">
      <c r="A2878">
        <v>2012</v>
      </c>
      <c r="B2878" t="s">
        <v>304</v>
      </c>
      <c r="C2878" s="733">
        <v>40956</v>
      </c>
      <c r="D28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78" t="s">
        <v>478</v>
      </c>
      <c r="F2878" t="s">
        <v>2622</v>
      </c>
      <c r="G2878" t="s">
        <v>7934</v>
      </c>
      <c r="H2878">
        <v>35786</v>
      </c>
      <c r="I2878" t="s">
        <v>423</v>
      </c>
      <c r="J2878" t="s">
        <v>4396</v>
      </c>
      <c r="K2878" t="s">
        <v>4397</v>
      </c>
      <c r="L2878" t="s">
        <v>4398</v>
      </c>
      <c r="M2878">
        <v>112</v>
      </c>
      <c r="N2878">
        <v>24.734999999999999</v>
      </c>
      <c r="O2878">
        <v>2791.84</v>
      </c>
      <c r="P2878">
        <v>0</v>
      </c>
      <c r="Q2878">
        <v>2791.84</v>
      </c>
      <c r="R2878">
        <v>446.69</v>
      </c>
      <c r="S2878">
        <v>111.67</v>
      </c>
      <c r="T2878">
        <v>3126.86</v>
      </c>
      <c r="U2878" t="s">
        <v>8384</v>
      </c>
      <c r="V2878" t="s">
        <v>9408</v>
      </c>
      <c r="W2878" t="s">
        <v>423</v>
      </c>
    </row>
    <row r="2879" spans="1:23" hidden="1" x14ac:dyDescent="0.2">
      <c r="A2879">
        <v>2012</v>
      </c>
      <c r="B2879" t="s">
        <v>304</v>
      </c>
      <c r="C2879" s="733">
        <v>40956</v>
      </c>
      <c r="D28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79" t="s">
        <v>478</v>
      </c>
      <c r="F2879" t="s">
        <v>2622</v>
      </c>
      <c r="G2879" t="s">
        <v>7982</v>
      </c>
      <c r="H2879">
        <v>35789</v>
      </c>
      <c r="I2879" t="s">
        <v>423</v>
      </c>
      <c r="J2879" t="s">
        <v>4396</v>
      </c>
      <c r="K2879" t="s">
        <v>4397</v>
      </c>
      <c r="L2879" t="s">
        <v>4398</v>
      </c>
      <c r="M2879">
        <v>112</v>
      </c>
      <c r="N2879">
        <v>23.414999999999999</v>
      </c>
      <c r="O2879">
        <v>2642.85</v>
      </c>
      <c r="P2879">
        <v>0</v>
      </c>
      <c r="Q2879">
        <v>2642.85</v>
      </c>
      <c r="R2879">
        <v>422.86</v>
      </c>
      <c r="S2879">
        <v>105.71</v>
      </c>
      <c r="T2879">
        <v>2960</v>
      </c>
      <c r="U2879" t="s">
        <v>8384</v>
      </c>
      <c r="V2879" t="s">
        <v>9408</v>
      </c>
      <c r="W2879" t="s">
        <v>423</v>
      </c>
    </row>
    <row r="2880" spans="1:23" hidden="1" x14ac:dyDescent="0.2">
      <c r="A2880">
        <v>2012</v>
      </c>
      <c r="B2880" t="s">
        <v>304</v>
      </c>
      <c r="C2880" s="733">
        <v>40956</v>
      </c>
      <c r="D28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80" t="s">
        <v>478</v>
      </c>
      <c r="F2880" t="s">
        <v>2622</v>
      </c>
      <c r="G2880" t="s">
        <v>7962</v>
      </c>
      <c r="H2880">
        <v>35783</v>
      </c>
      <c r="I2880" t="s">
        <v>423</v>
      </c>
      <c r="J2880" t="s">
        <v>4396</v>
      </c>
      <c r="K2880" t="s">
        <v>4397</v>
      </c>
      <c r="L2880" t="s">
        <v>4398</v>
      </c>
      <c r="M2880">
        <v>112</v>
      </c>
      <c r="N2880">
        <v>20.57</v>
      </c>
      <c r="O2880">
        <v>2321.7399999999998</v>
      </c>
      <c r="P2880">
        <v>0</v>
      </c>
      <c r="Q2880">
        <v>2321.7399999999998</v>
      </c>
      <c r="R2880">
        <v>371.48</v>
      </c>
      <c r="S2880">
        <v>92.87</v>
      </c>
      <c r="T2880">
        <v>2600.35</v>
      </c>
      <c r="U2880" t="s">
        <v>8384</v>
      </c>
      <c r="V2880" t="s">
        <v>9408</v>
      </c>
      <c r="W2880" t="s">
        <v>423</v>
      </c>
    </row>
    <row r="2881" spans="1:23" hidden="1" x14ac:dyDescent="0.2">
      <c r="A2881">
        <v>2012</v>
      </c>
      <c r="B2881" t="s">
        <v>303</v>
      </c>
      <c r="C2881" s="733">
        <v>40934</v>
      </c>
      <c r="D28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81" t="s">
        <v>478</v>
      </c>
      <c r="F2881" t="s">
        <v>4128</v>
      </c>
      <c r="G2881" t="s">
        <v>5015</v>
      </c>
      <c r="H2881">
        <v>34919</v>
      </c>
      <c r="I2881" t="s">
        <v>423</v>
      </c>
      <c r="J2881" t="s">
        <v>4396</v>
      </c>
      <c r="K2881" t="s">
        <v>4397</v>
      </c>
      <c r="L2881" t="s">
        <v>4398</v>
      </c>
      <c r="M2881">
        <v>112</v>
      </c>
      <c r="N2881">
        <v>30</v>
      </c>
      <c r="O2881">
        <v>3386.1</v>
      </c>
      <c r="P2881">
        <v>0</v>
      </c>
      <c r="Q2881">
        <v>3386.1</v>
      </c>
      <c r="R2881">
        <v>541.78</v>
      </c>
      <c r="S2881">
        <v>135.44</v>
      </c>
      <c r="T2881">
        <v>3792.44</v>
      </c>
      <c r="U2881" t="s">
        <v>7540</v>
      </c>
      <c r="V2881" t="s">
        <v>9408</v>
      </c>
      <c r="W2881" t="s">
        <v>423</v>
      </c>
    </row>
    <row r="2882" spans="1:23" hidden="1" x14ac:dyDescent="0.2">
      <c r="A2882">
        <v>2012</v>
      </c>
      <c r="B2882" t="s">
        <v>303</v>
      </c>
      <c r="C2882" s="733">
        <v>40933</v>
      </c>
      <c r="D28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82" t="s">
        <v>505</v>
      </c>
      <c r="F2882" t="s">
        <v>1915</v>
      </c>
      <c r="G2882" t="s">
        <v>6847</v>
      </c>
      <c r="H2882">
        <v>22177</v>
      </c>
      <c r="I2882" t="s">
        <v>423</v>
      </c>
      <c r="J2882" t="s">
        <v>4153</v>
      </c>
      <c r="K2882" t="s">
        <v>1918</v>
      </c>
      <c r="L2882" t="s">
        <v>1919</v>
      </c>
      <c r="M2882">
        <v>850</v>
      </c>
      <c r="N2882">
        <v>49.46</v>
      </c>
      <c r="O2882">
        <v>30905.58</v>
      </c>
      <c r="P2882">
        <v>0</v>
      </c>
      <c r="Q2882">
        <v>30905.58</v>
      </c>
      <c r="R2882">
        <v>4944.8900000000003</v>
      </c>
      <c r="S2882">
        <v>1236.22</v>
      </c>
      <c r="T2882">
        <v>34614.25</v>
      </c>
      <c r="V2882" t="s">
        <v>9409</v>
      </c>
      <c r="W2882" t="s">
        <v>423</v>
      </c>
    </row>
    <row r="2883" spans="1:23" hidden="1" x14ac:dyDescent="0.2">
      <c r="A2883">
        <v>2012</v>
      </c>
      <c r="B2883" t="s">
        <v>304</v>
      </c>
      <c r="C2883" s="733">
        <v>40964</v>
      </c>
      <c r="D28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83" t="s">
        <v>505</v>
      </c>
      <c r="F2883" t="s">
        <v>1915</v>
      </c>
      <c r="G2883" t="s">
        <v>8750</v>
      </c>
      <c r="H2883">
        <v>22943</v>
      </c>
      <c r="I2883" t="s">
        <v>423</v>
      </c>
      <c r="J2883" t="s">
        <v>4153</v>
      </c>
      <c r="K2883" t="s">
        <v>1918</v>
      </c>
      <c r="L2883" t="s">
        <v>1919</v>
      </c>
      <c r="M2883">
        <v>850</v>
      </c>
      <c r="N2883">
        <v>49.96</v>
      </c>
      <c r="O2883">
        <v>31218.01</v>
      </c>
      <c r="P2883">
        <v>0</v>
      </c>
      <c r="Q2883">
        <v>31218.01</v>
      </c>
      <c r="R2883">
        <v>4994.88</v>
      </c>
      <c r="S2883">
        <v>1248.72</v>
      </c>
      <c r="T2883">
        <v>34964.17</v>
      </c>
      <c r="U2883" t="s">
        <v>9415</v>
      </c>
      <c r="V2883" t="s">
        <v>9409</v>
      </c>
      <c r="W2883" t="s">
        <v>423</v>
      </c>
    </row>
    <row r="2884" spans="1:23" hidden="1" x14ac:dyDescent="0.2">
      <c r="A2884">
        <v>2012</v>
      </c>
      <c r="B2884" t="s">
        <v>304</v>
      </c>
      <c r="C2884" s="733">
        <v>40956</v>
      </c>
      <c r="D28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84" t="s">
        <v>505</v>
      </c>
      <c r="F2884" t="s">
        <v>1915</v>
      </c>
      <c r="G2884" t="s">
        <v>7528</v>
      </c>
      <c r="H2884">
        <v>22764</v>
      </c>
      <c r="I2884" t="s">
        <v>423</v>
      </c>
      <c r="J2884" t="s">
        <v>4153</v>
      </c>
      <c r="K2884" t="s">
        <v>1918</v>
      </c>
      <c r="L2884" t="s">
        <v>1919</v>
      </c>
      <c r="M2884">
        <v>850</v>
      </c>
      <c r="N2884">
        <v>50.17</v>
      </c>
      <c r="O2884">
        <v>31349.23</v>
      </c>
      <c r="P2884">
        <v>0</v>
      </c>
      <c r="Q2884">
        <v>31349.23</v>
      </c>
      <c r="R2884">
        <v>5015.88</v>
      </c>
      <c r="S2884">
        <v>1253.97</v>
      </c>
      <c r="T2884">
        <v>35111.14</v>
      </c>
      <c r="U2884" t="s">
        <v>7529</v>
      </c>
      <c r="V2884" t="s">
        <v>9409</v>
      </c>
      <c r="W2884" t="s">
        <v>423</v>
      </c>
    </row>
    <row r="2885" spans="1:23" hidden="1" x14ac:dyDescent="0.2">
      <c r="A2885">
        <v>2012</v>
      </c>
      <c r="B2885" t="s">
        <v>304</v>
      </c>
      <c r="C2885" s="733">
        <v>40942</v>
      </c>
      <c r="D28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85" t="s">
        <v>478</v>
      </c>
      <c r="F2885" t="s">
        <v>2136</v>
      </c>
      <c r="G2885" t="s">
        <v>6844</v>
      </c>
      <c r="H2885">
        <v>35259</v>
      </c>
      <c r="I2885" t="s">
        <v>423</v>
      </c>
      <c r="J2885" t="s">
        <v>4294</v>
      </c>
      <c r="K2885" t="s">
        <v>425</v>
      </c>
      <c r="L2885" t="s">
        <v>2145</v>
      </c>
      <c r="M2885">
        <v>1089</v>
      </c>
      <c r="N2885">
        <v>48.31</v>
      </c>
      <c r="O2885">
        <v>24385.439999999999</v>
      </c>
      <c r="P2885">
        <v>0</v>
      </c>
      <c r="Q2885">
        <v>24385.439999999999</v>
      </c>
      <c r="R2885">
        <v>3901.67</v>
      </c>
      <c r="S2885">
        <v>975.42</v>
      </c>
      <c r="T2885">
        <v>27311.69</v>
      </c>
      <c r="U2885" t="s">
        <v>3115</v>
      </c>
      <c r="V2885" t="s">
        <v>9409</v>
      </c>
      <c r="W2885" t="s">
        <v>423</v>
      </c>
    </row>
    <row r="2886" spans="1:23" x14ac:dyDescent="0.2">
      <c r="A2886">
        <v>2012</v>
      </c>
      <c r="B2886" t="s">
        <v>304</v>
      </c>
      <c r="C2886" s="733">
        <v>40967</v>
      </c>
      <c r="D28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86" t="s">
        <v>485</v>
      </c>
      <c r="F2886" t="s">
        <v>2065</v>
      </c>
      <c r="G2886" t="s">
        <v>9160</v>
      </c>
      <c r="H2886">
        <v>41983</v>
      </c>
      <c r="I2886" t="s">
        <v>423</v>
      </c>
      <c r="J2886" t="s">
        <v>3355</v>
      </c>
      <c r="K2886" t="s">
        <v>2814</v>
      </c>
      <c r="L2886" t="s">
        <v>2815</v>
      </c>
      <c r="M2886">
        <v>417</v>
      </c>
      <c r="N2886">
        <v>24.562999999999999</v>
      </c>
      <c r="O2886">
        <v>6815.5</v>
      </c>
      <c r="P2886">
        <v>0</v>
      </c>
      <c r="Q2886">
        <v>6815.5</v>
      </c>
      <c r="R2886">
        <v>749.7</v>
      </c>
      <c r="S2886">
        <v>272.62</v>
      </c>
      <c r="T2886">
        <v>7292.58</v>
      </c>
      <c r="U2886" t="s">
        <v>8877</v>
      </c>
      <c r="V2886" t="s">
        <v>9408</v>
      </c>
      <c r="W2886" t="s">
        <v>423</v>
      </c>
    </row>
    <row r="2887" spans="1:23" hidden="1" x14ac:dyDescent="0.2">
      <c r="A2887">
        <v>2012</v>
      </c>
      <c r="B2887" t="s">
        <v>304</v>
      </c>
      <c r="C2887" s="733">
        <v>40948</v>
      </c>
      <c r="D28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87" t="s">
        <v>485</v>
      </c>
      <c r="F2887" t="s">
        <v>3450</v>
      </c>
      <c r="G2887" t="s">
        <v>5020</v>
      </c>
      <c r="H2887">
        <v>41463</v>
      </c>
      <c r="I2887" t="s">
        <v>423</v>
      </c>
      <c r="J2887" t="s">
        <v>3952</v>
      </c>
      <c r="K2887" t="s">
        <v>3953</v>
      </c>
      <c r="L2887" t="s">
        <v>3454</v>
      </c>
      <c r="M2887">
        <v>54</v>
      </c>
      <c r="N2887">
        <v>26.31</v>
      </c>
      <c r="O2887">
        <v>2969.61</v>
      </c>
      <c r="P2887">
        <v>0</v>
      </c>
      <c r="Q2887">
        <v>2969.61</v>
      </c>
      <c r="R2887">
        <v>475.14</v>
      </c>
      <c r="S2887">
        <v>118.78</v>
      </c>
      <c r="T2887">
        <v>3325.97</v>
      </c>
      <c r="U2887" t="s">
        <v>3455</v>
      </c>
      <c r="V2887" t="s">
        <v>9408</v>
      </c>
      <c r="W2887" t="s">
        <v>423</v>
      </c>
    </row>
    <row r="2888" spans="1:23" hidden="1" x14ac:dyDescent="0.2">
      <c r="A2888">
        <v>2012</v>
      </c>
      <c r="B2888" t="s">
        <v>303</v>
      </c>
      <c r="C2888" s="733">
        <v>40931</v>
      </c>
      <c r="D28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88" t="s">
        <v>485</v>
      </c>
      <c r="F2888" t="s">
        <v>3450</v>
      </c>
      <c r="G2888" t="s">
        <v>5018</v>
      </c>
      <c r="H2888">
        <v>40123</v>
      </c>
      <c r="I2888" t="s">
        <v>423</v>
      </c>
      <c r="J2888" t="s">
        <v>3952</v>
      </c>
      <c r="K2888" t="s">
        <v>3953</v>
      </c>
      <c r="L2888" t="s">
        <v>3454</v>
      </c>
      <c r="M2888">
        <v>54</v>
      </c>
      <c r="N2888">
        <v>27.79</v>
      </c>
      <c r="O2888">
        <v>3136.66</v>
      </c>
      <c r="P2888">
        <v>0</v>
      </c>
      <c r="Q2888">
        <v>3136.66</v>
      </c>
      <c r="R2888">
        <v>501.87</v>
      </c>
      <c r="S2888">
        <v>125.47</v>
      </c>
      <c r="T2888">
        <v>3513.06</v>
      </c>
      <c r="U2888" t="s">
        <v>3459</v>
      </c>
      <c r="V2888" t="s">
        <v>9408</v>
      </c>
      <c r="W2888" t="s">
        <v>423</v>
      </c>
    </row>
    <row r="2889" spans="1:23" hidden="1" x14ac:dyDescent="0.2">
      <c r="A2889">
        <v>2012</v>
      </c>
      <c r="B2889" t="s">
        <v>303</v>
      </c>
      <c r="C2889" s="733">
        <v>40931</v>
      </c>
      <c r="D28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89" t="s">
        <v>485</v>
      </c>
      <c r="F2889" t="s">
        <v>3450</v>
      </c>
      <c r="G2889" t="s">
        <v>5019</v>
      </c>
      <c r="H2889">
        <v>40126</v>
      </c>
      <c r="I2889" t="s">
        <v>423</v>
      </c>
      <c r="J2889" t="s">
        <v>3952</v>
      </c>
      <c r="K2889" t="s">
        <v>3953</v>
      </c>
      <c r="L2889" t="s">
        <v>3454</v>
      </c>
      <c r="M2889">
        <v>54</v>
      </c>
      <c r="N2889">
        <v>29.03</v>
      </c>
      <c r="O2889">
        <v>3276.62</v>
      </c>
      <c r="P2889">
        <v>0</v>
      </c>
      <c r="Q2889">
        <v>3276.62</v>
      </c>
      <c r="R2889">
        <v>524.26</v>
      </c>
      <c r="S2889">
        <v>131.06</v>
      </c>
      <c r="T2889">
        <v>3669.82</v>
      </c>
      <c r="U2889" t="s">
        <v>3459</v>
      </c>
      <c r="V2889" t="s">
        <v>9408</v>
      </c>
      <c r="W2889" t="s">
        <v>423</v>
      </c>
    </row>
    <row r="2890" spans="1:23" hidden="1" x14ac:dyDescent="0.2">
      <c r="A2890">
        <v>2012</v>
      </c>
      <c r="B2890" t="s">
        <v>303</v>
      </c>
      <c r="C2890" s="733">
        <v>40917</v>
      </c>
      <c r="D28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90" t="s">
        <v>478</v>
      </c>
      <c r="F2890" t="s">
        <v>2136</v>
      </c>
      <c r="G2890" t="s">
        <v>6843</v>
      </c>
      <c r="H2890">
        <v>34277</v>
      </c>
      <c r="I2890" t="s">
        <v>423</v>
      </c>
      <c r="J2890" t="s">
        <v>5522</v>
      </c>
      <c r="K2890" t="s">
        <v>425</v>
      </c>
      <c r="L2890" t="s">
        <v>2145</v>
      </c>
      <c r="M2890">
        <v>1413</v>
      </c>
      <c r="N2890">
        <v>25.63</v>
      </c>
      <c r="O2890">
        <v>16407.3</v>
      </c>
      <c r="P2890">
        <v>0</v>
      </c>
      <c r="Q2890">
        <v>16407.3</v>
      </c>
      <c r="R2890">
        <v>2625.17</v>
      </c>
      <c r="S2890">
        <v>656.29</v>
      </c>
      <c r="T2890">
        <v>18376.18</v>
      </c>
      <c r="U2890" t="s">
        <v>2355</v>
      </c>
      <c r="V2890" t="s">
        <v>9408</v>
      </c>
      <c r="W2890" t="s">
        <v>423</v>
      </c>
    </row>
    <row r="2891" spans="1:23" hidden="1" x14ac:dyDescent="0.2">
      <c r="A2891">
        <v>2012</v>
      </c>
      <c r="B2891" t="s">
        <v>304</v>
      </c>
      <c r="C2891" s="733">
        <v>40947.581585648149</v>
      </c>
      <c r="D28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91" t="s">
        <v>478</v>
      </c>
      <c r="F2891" t="s">
        <v>3358</v>
      </c>
      <c r="G2891" t="s">
        <v>5021</v>
      </c>
      <c r="H2891">
        <v>35440</v>
      </c>
      <c r="I2891" t="s">
        <v>423</v>
      </c>
      <c r="J2891" t="s">
        <v>5022</v>
      </c>
      <c r="K2891" t="s">
        <v>4397</v>
      </c>
      <c r="L2891" t="s">
        <v>4398</v>
      </c>
      <c r="M2891">
        <v>478</v>
      </c>
      <c r="N2891">
        <v>20.954999999999998</v>
      </c>
      <c r="O2891">
        <v>6919.34</v>
      </c>
      <c r="P2891">
        <v>0</v>
      </c>
      <c r="Q2891">
        <v>6919.34</v>
      </c>
      <c r="R2891">
        <v>1107.0899999999999</v>
      </c>
      <c r="S2891">
        <v>276.77</v>
      </c>
      <c r="T2891">
        <v>7749.66</v>
      </c>
      <c r="U2891" t="s">
        <v>4503</v>
      </c>
      <c r="V2891" t="s">
        <v>9408</v>
      </c>
      <c r="W2891" t="s">
        <v>423</v>
      </c>
    </row>
    <row r="2892" spans="1:23" hidden="1" x14ac:dyDescent="0.2">
      <c r="A2892">
        <v>2012</v>
      </c>
      <c r="B2892" t="s">
        <v>303</v>
      </c>
      <c r="C2892" s="733">
        <v>40924</v>
      </c>
      <c r="D28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92" t="s">
        <v>505</v>
      </c>
      <c r="F2892" t="s">
        <v>1915</v>
      </c>
      <c r="G2892" t="s">
        <v>6718</v>
      </c>
      <c r="H2892">
        <v>21940</v>
      </c>
      <c r="I2892" t="s">
        <v>423</v>
      </c>
      <c r="J2892" t="s">
        <v>4153</v>
      </c>
      <c r="K2892" t="s">
        <v>1918</v>
      </c>
      <c r="L2892" t="s">
        <v>1919</v>
      </c>
      <c r="M2892">
        <v>850</v>
      </c>
      <c r="N2892">
        <v>50.91</v>
      </c>
      <c r="O2892">
        <v>31811.62</v>
      </c>
      <c r="P2892">
        <v>0</v>
      </c>
      <c r="Q2892">
        <v>31811.62</v>
      </c>
      <c r="R2892">
        <v>5089.8599999999997</v>
      </c>
      <c r="S2892">
        <v>1272.46</v>
      </c>
      <c r="T2892">
        <v>35629.019999999997</v>
      </c>
      <c r="U2892" t="s">
        <v>1931</v>
      </c>
      <c r="V2892" t="s">
        <v>9409</v>
      </c>
      <c r="W2892" t="s">
        <v>423</v>
      </c>
    </row>
    <row r="2893" spans="1:23" hidden="1" x14ac:dyDescent="0.2">
      <c r="A2893">
        <v>2012</v>
      </c>
      <c r="B2893" t="s">
        <v>303</v>
      </c>
      <c r="C2893" s="733">
        <v>40929</v>
      </c>
      <c r="D28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93" t="s">
        <v>505</v>
      </c>
      <c r="F2893" t="s">
        <v>1915</v>
      </c>
      <c r="G2893" t="s">
        <v>6720</v>
      </c>
      <c r="H2893">
        <v>22123</v>
      </c>
      <c r="I2893" t="s">
        <v>423</v>
      </c>
      <c r="J2893" t="s">
        <v>4153</v>
      </c>
      <c r="K2893" t="s">
        <v>1918</v>
      </c>
      <c r="L2893" t="s">
        <v>1919</v>
      </c>
      <c r="M2893">
        <v>850</v>
      </c>
      <c r="N2893">
        <v>25.14</v>
      </c>
      <c r="O2893">
        <v>15708.98</v>
      </c>
      <c r="P2893">
        <v>0</v>
      </c>
      <c r="Q2893">
        <v>15708.98</v>
      </c>
      <c r="R2893">
        <v>2513.44</v>
      </c>
      <c r="S2893">
        <v>628.36</v>
      </c>
      <c r="T2893">
        <v>17594.060000000001</v>
      </c>
      <c r="U2893" t="s">
        <v>1936</v>
      </c>
      <c r="V2893" t="s">
        <v>9408</v>
      </c>
      <c r="W2893" t="s">
        <v>423</v>
      </c>
    </row>
    <row r="2894" spans="1:23" hidden="1" x14ac:dyDescent="0.2">
      <c r="A2894">
        <v>2012</v>
      </c>
      <c r="B2894" t="s">
        <v>303</v>
      </c>
      <c r="C2894" s="733">
        <v>40915</v>
      </c>
      <c r="D28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94" t="s">
        <v>505</v>
      </c>
      <c r="F2894" t="s">
        <v>1915</v>
      </c>
      <c r="G2894" t="s">
        <v>6719</v>
      </c>
      <c r="H2894">
        <v>21825</v>
      </c>
      <c r="I2894" t="s">
        <v>423</v>
      </c>
      <c r="J2894" t="s">
        <v>4153</v>
      </c>
      <c r="K2894" t="s">
        <v>1918</v>
      </c>
      <c r="L2894" t="s">
        <v>1919</v>
      </c>
      <c r="M2894">
        <v>850</v>
      </c>
      <c r="N2894">
        <v>24.59</v>
      </c>
      <c r="O2894">
        <v>6469.12</v>
      </c>
      <c r="P2894">
        <v>7283.5175170000002</v>
      </c>
      <c r="Q2894">
        <v>13752.637516999999</v>
      </c>
      <c r="R2894">
        <v>2200.4220030000001</v>
      </c>
      <c r="S2894">
        <v>550.105501</v>
      </c>
      <c r="T2894">
        <v>15402.954019000001</v>
      </c>
      <c r="U2894" t="s">
        <v>1931</v>
      </c>
      <c r="V2894" t="s">
        <v>9408</v>
      </c>
      <c r="W2894" t="s">
        <v>423</v>
      </c>
    </row>
    <row r="2895" spans="1:23" hidden="1" x14ac:dyDescent="0.2">
      <c r="A2895">
        <v>2012</v>
      </c>
      <c r="B2895" t="s">
        <v>304</v>
      </c>
      <c r="C2895" s="733">
        <v>40942</v>
      </c>
      <c r="D28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895" t="s">
        <v>485</v>
      </c>
      <c r="F2895" t="s">
        <v>2065</v>
      </c>
      <c r="G2895" t="s">
        <v>2802</v>
      </c>
      <c r="H2895">
        <v>41345</v>
      </c>
      <c r="I2895" t="s">
        <v>423</v>
      </c>
      <c r="J2895" t="s">
        <v>2139</v>
      </c>
      <c r="K2895" t="s">
        <v>2102</v>
      </c>
      <c r="L2895" t="s">
        <v>2115</v>
      </c>
      <c r="M2895">
        <v>543</v>
      </c>
      <c r="N2895">
        <v>50.26</v>
      </c>
      <c r="O2895">
        <v>16899.919999999998</v>
      </c>
      <c r="P2895">
        <v>0</v>
      </c>
      <c r="Q2895">
        <v>16899.919999999998</v>
      </c>
      <c r="R2895">
        <v>2703.99</v>
      </c>
      <c r="S2895">
        <v>676</v>
      </c>
      <c r="T2895">
        <v>18927.91</v>
      </c>
      <c r="U2895" t="s">
        <v>8051</v>
      </c>
      <c r="V2895" t="s">
        <v>9409</v>
      </c>
      <c r="W2895" t="s">
        <v>423</v>
      </c>
    </row>
    <row r="2896" spans="1:23" hidden="1" x14ac:dyDescent="0.2">
      <c r="A2896">
        <v>2012</v>
      </c>
      <c r="B2896" t="s">
        <v>303</v>
      </c>
      <c r="C2896" s="733">
        <v>40934</v>
      </c>
      <c r="D28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96" t="s">
        <v>485</v>
      </c>
      <c r="F2896" t="s">
        <v>2065</v>
      </c>
      <c r="G2896" t="s">
        <v>2809</v>
      </c>
      <c r="H2896">
        <v>40809</v>
      </c>
      <c r="I2896" t="s">
        <v>423</v>
      </c>
      <c r="J2896" t="s">
        <v>2139</v>
      </c>
      <c r="K2896" t="s">
        <v>2102</v>
      </c>
      <c r="L2896" t="s">
        <v>2115</v>
      </c>
      <c r="M2896">
        <v>543</v>
      </c>
      <c r="N2896">
        <v>52.91</v>
      </c>
      <c r="O2896">
        <v>17790.990000000002</v>
      </c>
      <c r="P2896">
        <v>0</v>
      </c>
      <c r="Q2896">
        <v>17790.990000000002</v>
      </c>
      <c r="R2896">
        <v>2846.56</v>
      </c>
      <c r="S2896">
        <v>711.64</v>
      </c>
      <c r="T2896">
        <v>19925.91</v>
      </c>
      <c r="U2896" t="s">
        <v>2110</v>
      </c>
      <c r="V2896" t="s">
        <v>9409</v>
      </c>
      <c r="W2896" t="s">
        <v>423</v>
      </c>
    </row>
    <row r="2897" spans="1:23" hidden="1" x14ac:dyDescent="0.2">
      <c r="A2897">
        <v>2012</v>
      </c>
      <c r="B2897" t="s">
        <v>303</v>
      </c>
      <c r="C2897" s="733">
        <v>40931</v>
      </c>
      <c r="D28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97" t="s">
        <v>485</v>
      </c>
      <c r="F2897" t="s">
        <v>2065</v>
      </c>
      <c r="G2897" t="s">
        <v>2808</v>
      </c>
      <c r="H2897">
        <v>40517</v>
      </c>
      <c r="I2897" t="s">
        <v>423</v>
      </c>
      <c r="J2897" t="s">
        <v>2139</v>
      </c>
      <c r="K2897" t="s">
        <v>2102</v>
      </c>
      <c r="L2897" t="s">
        <v>2115</v>
      </c>
      <c r="M2897">
        <v>543</v>
      </c>
      <c r="N2897">
        <v>52.09</v>
      </c>
      <c r="O2897">
        <v>17515.259999999998</v>
      </c>
      <c r="P2897">
        <v>0</v>
      </c>
      <c r="Q2897">
        <v>17515.259999999998</v>
      </c>
      <c r="R2897">
        <v>2802.44</v>
      </c>
      <c r="S2897">
        <v>700.61</v>
      </c>
      <c r="T2897">
        <v>19617.09</v>
      </c>
      <c r="U2897" t="s">
        <v>2108</v>
      </c>
      <c r="V2897" t="s">
        <v>9409</v>
      </c>
      <c r="W2897" t="s">
        <v>423</v>
      </c>
    </row>
    <row r="2898" spans="1:23" hidden="1" x14ac:dyDescent="0.2">
      <c r="A2898">
        <v>2012</v>
      </c>
      <c r="B2898" t="s">
        <v>303</v>
      </c>
      <c r="C2898" s="733">
        <v>40939.439618055556</v>
      </c>
      <c r="D28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98" t="s">
        <v>485</v>
      </c>
      <c r="F2898" t="s">
        <v>2065</v>
      </c>
      <c r="G2898" t="s">
        <v>3188</v>
      </c>
      <c r="H2898">
        <v>41171</v>
      </c>
      <c r="I2898" t="s">
        <v>423</v>
      </c>
      <c r="J2898" t="s">
        <v>2196</v>
      </c>
      <c r="K2898" t="s">
        <v>2183</v>
      </c>
      <c r="L2898" t="s">
        <v>2184</v>
      </c>
      <c r="M2898">
        <v>10</v>
      </c>
      <c r="N2898">
        <v>28.55</v>
      </c>
      <c r="O2898">
        <v>3222.44</v>
      </c>
      <c r="P2898">
        <v>0</v>
      </c>
      <c r="Q2898">
        <v>3222.44</v>
      </c>
      <c r="R2898">
        <v>515.59</v>
      </c>
      <c r="S2898">
        <v>128.9</v>
      </c>
      <c r="T2898">
        <v>3609.13</v>
      </c>
      <c r="U2898" t="s">
        <v>2192</v>
      </c>
      <c r="V2898" t="s">
        <v>9408</v>
      </c>
      <c r="W2898" t="s">
        <v>423</v>
      </c>
    </row>
    <row r="2899" spans="1:23" hidden="1" x14ac:dyDescent="0.2">
      <c r="A2899">
        <v>2012</v>
      </c>
      <c r="B2899" t="s">
        <v>303</v>
      </c>
      <c r="C2899" s="733">
        <v>40926</v>
      </c>
      <c r="D28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899" t="s">
        <v>485</v>
      </c>
      <c r="F2899" t="s">
        <v>2065</v>
      </c>
      <c r="G2899" t="s">
        <v>3187</v>
      </c>
      <c r="H2899">
        <v>40479</v>
      </c>
      <c r="I2899" t="s">
        <v>423</v>
      </c>
      <c r="J2899" t="s">
        <v>2196</v>
      </c>
      <c r="K2899" t="s">
        <v>2183</v>
      </c>
      <c r="L2899" t="s">
        <v>2184</v>
      </c>
      <c r="M2899">
        <v>10</v>
      </c>
      <c r="N2899">
        <v>23.56</v>
      </c>
      <c r="O2899">
        <v>2659.22</v>
      </c>
      <c r="P2899">
        <v>0</v>
      </c>
      <c r="Q2899">
        <v>2659.22</v>
      </c>
      <c r="R2899">
        <v>425.47</v>
      </c>
      <c r="S2899">
        <v>106.37</v>
      </c>
      <c r="T2899">
        <v>2978.32</v>
      </c>
      <c r="U2899" t="s">
        <v>7554</v>
      </c>
      <c r="V2899" t="s">
        <v>9408</v>
      </c>
      <c r="W2899" t="s">
        <v>423</v>
      </c>
    </row>
    <row r="2900" spans="1:23" hidden="1" x14ac:dyDescent="0.2">
      <c r="A2900">
        <v>2012</v>
      </c>
      <c r="B2900" t="s">
        <v>303</v>
      </c>
      <c r="C2900" s="733">
        <v>40936</v>
      </c>
      <c r="D29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00" t="s">
        <v>478</v>
      </c>
      <c r="F2900" t="s">
        <v>2136</v>
      </c>
      <c r="G2900" t="s">
        <v>4340</v>
      </c>
      <c r="H2900">
        <v>34839</v>
      </c>
      <c r="I2900" t="s">
        <v>423</v>
      </c>
      <c r="J2900" t="s">
        <v>3789</v>
      </c>
      <c r="K2900" t="s">
        <v>3481</v>
      </c>
      <c r="L2900" t="s">
        <v>3482</v>
      </c>
      <c r="M2900">
        <v>27</v>
      </c>
      <c r="N2900">
        <v>20.87</v>
      </c>
      <c r="O2900">
        <v>2355.6</v>
      </c>
      <c r="P2900">
        <v>0</v>
      </c>
      <c r="Q2900">
        <v>2355.6</v>
      </c>
      <c r="R2900">
        <v>376.9</v>
      </c>
      <c r="S2900">
        <v>94.22</v>
      </c>
      <c r="T2900">
        <v>2638.28</v>
      </c>
      <c r="U2900" t="s">
        <v>3784</v>
      </c>
      <c r="V2900" t="s">
        <v>9408</v>
      </c>
      <c r="W2900" t="s">
        <v>423</v>
      </c>
    </row>
    <row r="2901" spans="1:23" hidden="1" x14ac:dyDescent="0.2">
      <c r="A2901">
        <v>2012</v>
      </c>
      <c r="B2901" t="s">
        <v>303</v>
      </c>
      <c r="C2901" s="733">
        <v>40938.926203703704</v>
      </c>
      <c r="D29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01" t="s">
        <v>478</v>
      </c>
      <c r="F2901" t="s">
        <v>2622</v>
      </c>
      <c r="G2901" t="s">
        <v>2896</v>
      </c>
      <c r="H2901">
        <v>35083</v>
      </c>
      <c r="I2901" t="s">
        <v>423</v>
      </c>
      <c r="J2901" t="s">
        <v>2629</v>
      </c>
      <c r="K2901" t="s">
        <v>2625</v>
      </c>
      <c r="L2901" t="s">
        <v>2626</v>
      </c>
      <c r="M2901">
        <v>33</v>
      </c>
      <c r="N2901">
        <v>24.042999999999999</v>
      </c>
      <c r="O2901">
        <v>2804.38</v>
      </c>
      <c r="P2901">
        <v>0</v>
      </c>
      <c r="Q2901">
        <v>2804.38</v>
      </c>
      <c r="R2901">
        <v>448.7</v>
      </c>
      <c r="S2901">
        <v>112.18</v>
      </c>
      <c r="T2901">
        <v>3140.9</v>
      </c>
      <c r="U2901" t="s">
        <v>2648</v>
      </c>
      <c r="V2901" t="s">
        <v>9408</v>
      </c>
      <c r="W2901" t="s">
        <v>423</v>
      </c>
    </row>
    <row r="2902" spans="1:23" hidden="1" x14ac:dyDescent="0.2">
      <c r="A2902">
        <v>2012</v>
      </c>
      <c r="B2902" t="s">
        <v>304</v>
      </c>
      <c r="C2902" s="733">
        <v>40967.453020833331</v>
      </c>
      <c r="D29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02" t="s">
        <v>478</v>
      </c>
      <c r="F2902" t="s">
        <v>2622</v>
      </c>
      <c r="G2902" t="s">
        <v>9048</v>
      </c>
      <c r="H2902">
        <v>36099</v>
      </c>
      <c r="I2902" t="s">
        <v>423</v>
      </c>
      <c r="J2902" t="s">
        <v>2629</v>
      </c>
      <c r="K2902" t="s">
        <v>2625</v>
      </c>
      <c r="L2902" t="s">
        <v>2626</v>
      </c>
      <c r="M2902">
        <v>33</v>
      </c>
      <c r="N2902">
        <v>25.96</v>
      </c>
      <c r="O2902">
        <v>3027.97</v>
      </c>
      <c r="P2902">
        <v>0</v>
      </c>
      <c r="Q2902">
        <v>3027.97</v>
      </c>
      <c r="R2902">
        <v>484.48</v>
      </c>
      <c r="S2902">
        <v>121.12</v>
      </c>
      <c r="T2902">
        <v>3391.33</v>
      </c>
      <c r="U2902" t="s">
        <v>9428</v>
      </c>
      <c r="V2902" t="s">
        <v>9408</v>
      </c>
      <c r="W2902" t="s">
        <v>423</v>
      </c>
    </row>
    <row r="2903" spans="1:23" hidden="1" x14ac:dyDescent="0.2">
      <c r="A2903">
        <v>2012</v>
      </c>
      <c r="B2903" t="s">
        <v>304</v>
      </c>
      <c r="C2903" s="733">
        <v>40954</v>
      </c>
      <c r="D29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03" t="s">
        <v>478</v>
      </c>
      <c r="F2903" t="s">
        <v>2622</v>
      </c>
      <c r="G2903" t="s">
        <v>7612</v>
      </c>
      <c r="H2903">
        <v>35602</v>
      </c>
      <c r="I2903" t="s">
        <v>423</v>
      </c>
      <c r="J2903" t="s">
        <v>2629</v>
      </c>
      <c r="K2903" t="s">
        <v>2625</v>
      </c>
      <c r="L2903" t="s">
        <v>2626</v>
      </c>
      <c r="M2903">
        <v>33</v>
      </c>
      <c r="N2903">
        <v>25.64</v>
      </c>
      <c r="O2903">
        <v>2990.65</v>
      </c>
      <c r="P2903">
        <v>0</v>
      </c>
      <c r="Q2903">
        <v>2990.65</v>
      </c>
      <c r="R2903">
        <v>478.5</v>
      </c>
      <c r="S2903">
        <v>119.63</v>
      </c>
      <c r="T2903">
        <v>3349.52</v>
      </c>
      <c r="U2903" t="s">
        <v>7548</v>
      </c>
      <c r="V2903" t="s">
        <v>9408</v>
      </c>
      <c r="W2903" t="s">
        <v>423</v>
      </c>
    </row>
    <row r="2904" spans="1:23" hidden="1" x14ac:dyDescent="0.2">
      <c r="A2904">
        <v>2012</v>
      </c>
      <c r="B2904" t="s">
        <v>304</v>
      </c>
      <c r="C2904" s="733">
        <v>40966</v>
      </c>
      <c r="D29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04" t="s">
        <v>478</v>
      </c>
      <c r="F2904" t="s">
        <v>2136</v>
      </c>
      <c r="G2904" t="s">
        <v>9049</v>
      </c>
      <c r="H2904">
        <v>35905</v>
      </c>
      <c r="I2904" t="s">
        <v>423</v>
      </c>
      <c r="J2904" t="s">
        <v>4282</v>
      </c>
      <c r="K2904" t="s">
        <v>425</v>
      </c>
      <c r="L2904" t="s">
        <v>2145</v>
      </c>
      <c r="M2904">
        <v>1405</v>
      </c>
      <c r="N2904">
        <v>43.35</v>
      </c>
      <c r="O2904">
        <v>43758.36</v>
      </c>
      <c r="P2904">
        <v>0</v>
      </c>
      <c r="Q2904">
        <v>43758.36</v>
      </c>
      <c r="R2904">
        <v>7001.34</v>
      </c>
      <c r="S2904">
        <v>1750.33</v>
      </c>
      <c r="T2904">
        <v>49009.37</v>
      </c>
      <c r="U2904" t="s">
        <v>9430</v>
      </c>
      <c r="V2904" t="s">
        <v>9409</v>
      </c>
      <c r="W2904" t="s">
        <v>423</v>
      </c>
    </row>
    <row r="2905" spans="1:23" hidden="1" x14ac:dyDescent="0.2">
      <c r="A2905">
        <v>2012</v>
      </c>
      <c r="B2905" t="s">
        <v>305</v>
      </c>
      <c r="C2905" s="733">
        <v>40969</v>
      </c>
      <c r="D2905" s="733" t="str">
        <f>CHOOSE(MONTH(Tabla_sqldatos_bonampakdb_Bon_v_ingresos2012[[#This Row],[fecha_guia]]),"Enero","Febrero","Marzo","Abril","Mayo","Junio","Julio","Agosto","Septiembre","Octubre","Noviembre","Diciembre")</f>
        <v>Marzo</v>
      </c>
      <c r="E2905" t="s">
        <v>478</v>
      </c>
      <c r="F2905" t="s">
        <v>2136</v>
      </c>
      <c r="G2905" t="s">
        <v>9636</v>
      </c>
      <c r="H2905">
        <v>36022</v>
      </c>
      <c r="I2905" t="s">
        <v>423</v>
      </c>
      <c r="J2905" t="s">
        <v>2144</v>
      </c>
      <c r="K2905" t="s">
        <v>425</v>
      </c>
      <c r="L2905" t="s">
        <v>2145</v>
      </c>
      <c r="M2905">
        <v>1354</v>
      </c>
      <c r="N2905">
        <v>42.91</v>
      </c>
      <c r="O2905">
        <v>38910.36</v>
      </c>
      <c r="P2905">
        <v>0</v>
      </c>
      <c r="Q2905">
        <v>38910.36</v>
      </c>
      <c r="R2905">
        <v>6225.66</v>
      </c>
      <c r="S2905">
        <v>1556.41</v>
      </c>
      <c r="T2905">
        <v>43579.61</v>
      </c>
      <c r="V2905" t="s">
        <v>9409</v>
      </c>
      <c r="W2905" t="s">
        <v>423</v>
      </c>
    </row>
    <row r="2906" spans="1:23" hidden="1" x14ac:dyDescent="0.2">
      <c r="A2906">
        <v>2012</v>
      </c>
      <c r="B2906" t="s">
        <v>304</v>
      </c>
      <c r="C2906" s="733">
        <v>40956</v>
      </c>
      <c r="D29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06" t="s">
        <v>478</v>
      </c>
      <c r="F2906" t="s">
        <v>2136</v>
      </c>
      <c r="G2906" t="s">
        <v>7885</v>
      </c>
      <c r="H2906">
        <v>35677</v>
      </c>
      <c r="I2906" t="s">
        <v>423</v>
      </c>
      <c r="J2906" t="s">
        <v>2144</v>
      </c>
      <c r="K2906" t="s">
        <v>425</v>
      </c>
      <c r="L2906" t="s">
        <v>2145</v>
      </c>
      <c r="M2906">
        <v>1354</v>
      </c>
      <c r="N2906">
        <v>20.62</v>
      </c>
      <c r="O2906">
        <v>18698.009999999998</v>
      </c>
      <c r="P2906">
        <v>0</v>
      </c>
      <c r="Q2906">
        <v>18698.009999999998</v>
      </c>
      <c r="R2906">
        <v>2991.68</v>
      </c>
      <c r="S2906">
        <v>747.92</v>
      </c>
      <c r="T2906">
        <v>20941.77</v>
      </c>
      <c r="U2906" t="s">
        <v>9455</v>
      </c>
      <c r="V2906" t="s">
        <v>9408</v>
      </c>
      <c r="W2906" t="s">
        <v>423</v>
      </c>
    </row>
    <row r="2907" spans="1:23" hidden="1" x14ac:dyDescent="0.2">
      <c r="A2907">
        <v>2012</v>
      </c>
      <c r="B2907" t="s">
        <v>303</v>
      </c>
      <c r="C2907" s="733">
        <v>40913</v>
      </c>
      <c r="D29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07" t="s">
        <v>478</v>
      </c>
      <c r="F2907" t="s">
        <v>2136</v>
      </c>
      <c r="G2907" t="s">
        <v>3734</v>
      </c>
      <c r="H2907">
        <v>34110</v>
      </c>
      <c r="I2907" t="s">
        <v>423</v>
      </c>
      <c r="J2907" t="s">
        <v>2144</v>
      </c>
      <c r="K2907" t="s">
        <v>425</v>
      </c>
      <c r="L2907" t="s">
        <v>2145</v>
      </c>
      <c r="M2907">
        <v>1354</v>
      </c>
      <c r="N2907">
        <v>46.76</v>
      </c>
      <c r="O2907">
        <v>11900.42</v>
      </c>
      <c r="P2907">
        <v>26050.971414</v>
      </c>
      <c r="Q2907">
        <v>37951.391413999998</v>
      </c>
      <c r="R2907">
        <v>6072.2226259999998</v>
      </c>
      <c r="S2907">
        <v>1518.0556570000001</v>
      </c>
      <c r="T2907">
        <v>42505.558383000003</v>
      </c>
      <c r="U2907" t="s">
        <v>3118</v>
      </c>
      <c r="V2907" t="s">
        <v>9409</v>
      </c>
      <c r="W2907" t="s">
        <v>423</v>
      </c>
    </row>
    <row r="2908" spans="1:23" hidden="1" x14ac:dyDescent="0.2">
      <c r="A2908">
        <v>2012</v>
      </c>
      <c r="B2908" t="s">
        <v>303</v>
      </c>
      <c r="C2908" s="733">
        <v>40921</v>
      </c>
      <c r="D29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08" t="s">
        <v>478</v>
      </c>
      <c r="F2908" t="s">
        <v>2136</v>
      </c>
      <c r="G2908" t="s">
        <v>5232</v>
      </c>
      <c r="H2908">
        <v>34408</v>
      </c>
      <c r="I2908" t="s">
        <v>423</v>
      </c>
      <c r="J2908" t="s">
        <v>2144</v>
      </c>
      <c r="K2908" t="s">
        <v>425</v>
      </c>
      <c r="L2908" t="s">
        <v>2145</v>
      </c>
      <c r="M2908">
        <v>1354</v>
      </c>
      <c r="N2908">
        <v>53.89</v>
      </c>
      <c r="O2908">
        <v>48866.91</v>
      </c>
      <c r="P2908">
        <v>0</v>
      </c>
      <c r="Q2908">
        <v>48866.91</v>
      </c>
      <c r="R2908">
        <v>7818.71</v>
      </c>
      <c r="S2908">
        <v>1954.68</v>
      </c>
      <c r="T2908">
        <v>54730.94</v>
      </c>
      <c r="U2908" t="s">
        <v>2350</v>
      </c>
      <c r="V2908" t="s">
        <v>9409</v>
      </c>
      <c r="W2908" t="s">
        <v>423</v>
      </c>
    </row>
    <row r="2909" spans="1:23" hidden="1" x14ac:dyDescent="0.2">
      <c r="A2909">
        <v>2012</v>
      </c>
      <c r="B2909" t="s">
        <v>304</v>
      </c>
      <c r="C2909" s="733">
        <v>40946</v>
      </c>
      <c r="D29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09" t="s">
        <v>485</v>
      </c>
      <c r="F2909" t="s">
        <v>2048</v>
      </c>
      <c r="G2909" t="s">
        <v>4745</v>
      </c>
      <c r="H2909">
        <v>41480</v>
      </c>
      <c r="I2909" t="s">
        <v>423</v>
      </c>
      <c r="J2909" t="s">
        <v>4093</v>
      </c>
      <c r="K2909" t="s">
        <v>2051</v>
      </c>
      <c r="L2909" t="s">
        <v>2052</v>
      </c>
      <c r="M2909">
        <v>647</v>
      </c>
      <c r="N2909">
        <v>26.05</v>
      </c>
      <c r="O2909">
        <v>9855.5</v>
      </c>
      <c r="P2909">
        <v>0</v>
      </c>
      <c r="Q2909">
        <v>9855.5</v>
      </c>
      <c r="R2909">
        <v>1576.88</v>
      </c>
      <c r="S2909">
        <v>394.22</v>
      </c>
      <c r="T2909">
        <v>11038.16</v>
      </c>
      <c r="U2909" t="s">
        <v>7568</v>
      </c>
      <c r="V2909" t="s">
        <v>9408</v>
      </c>
      <c r="W2909" t="s">
        <v>423</v>
      </c>
    </row>
    <row r="2910" spans="1:23" hidden="1" x14ac:dyDescent="0.2">
      <c r="A2910">
        <v>2012</v>
      </c>
      <c r="B2910" t="s">
        <v>303</v>
      </c>
      <c r="C2910" s="733">
        <v>40927</v>
      </c>
      <c r="D29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10" t="s">
        <v>478</v>
      </c>
      <c r="F2910" t="s">
        <v>2136</v>
      </c>
      <c r="G2910" t="s">
        <v>5474</v>
      </c>
      <c r="H2910">
        <v>34568</v>
      </c>
      <c r="I2910" t="s">
        <v>423</v>
      </c>
      <c r="J2910" t="s">
        <v>5475</v>
      </c>
      <c r="K2910" t="s">
        <v>425</v>
      </c>
      <c r="L2910" t="s">
        <v>2145</v>
      </c>
      <c r="M2910">
        <v>981</v>
      </c>
      <c r="N2910">
        <v>45.08</v>
      </c>
      <c r="O2910">
        <v>19864.5</v>
      </c>
      <c r="P2910">
        <v>0</v>
      </c>
      <c r="Q2910">
        <v>19864.5</v>
      </c>
      <c r="R2910">
        <v>3178.32</v>
      </c>
      <c r="S2910">
        <v>794.58</v>
      </c>
      <c r="T2910">
        <v>22248.240000000002</v>
      </c>
      <c r="U2910" t="s">
        <v>2146</v>
      </c>
      <c r="V2910" t="s">
        <v>9409</v>
      </c>
      <c r="W2910" t="s">
        <v>423</v>
      </c>
    </row>
    <row r="2911" spans="1:23" hidden="1" x14ac:dyDescent="0.2">
      <c r="A2911">
        <v>2012</v>
      </c>
      <c r="B2911" t="s">
        <v>303</v>
      </c>
      <c r="C2911" s="733">
        <v>40924</v>
      </c>
      <c r="D29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11" t="s">
        <v>505</v>
      </c>
      <c r="F2911" t="s">
        <v>1915</v>
      </c>
      <c r="G2911" t="s">
        <v>5257</v>
      </c>
      <c r="H2911">
        <v>21988</v>
      </c>
      <c r="I2911" t="s">
        <v>423</v>
      </c>
      <c r="J2911" t="s">
        <v>4262</v>
      </c>
      <c r="K2911" t="s">
        <v>1918</v>
      </c>
      <c r="L2911" t="s">
        <v>1919</v>
      </c>
      <c r="M2911">
        <v>845</v>
      </c>
      <c r="N2911">
        <v>53.8</v>
      </c>
      <c r="O2911">
        <v>27276.6</v>
      </c>
      <c r="P2911">
        <v>0</v>
      </c>
      <c r="Q2911">
        <v>27276.6</v>
      </c>
      <c r="R2911">
        <v>4364.26</v>
      </c>
      <c r="S2911">
        <v>1091.06</v>
      </c>
      <c r="T2911">
        <v>30549.8</v>
      </c>
      <c r="U2911" t="s">
        <v>1936</v>
      </c>
      <c r="V2911" t="s">
        <v>9409</v>
      </c>
      <c r="W2911" t="s">
        <v>423</v>
      </c>
    </row>
    <row r="2912" spans="1:23" hidden="1" x14ac:dyDescent="0.2">
      <c r="A2912">
        <v>2012</v>
      </c>
      <c r="B2912" t="s">
        <v>303</v>
      </c>
      <c r="C2912" s="733">
        <v>40927</v>
      </c>
      <c r="D29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12" t="s">
        <v>478</v>
      </c>
      <c r="F2912" t="s">
        <v>2136</v>
      </c>
      <c r="G2912" t="s">
        <v>3743</v>
      </c>
      <c r="H2912">
        <v>34563</v>
      </c>
      <c r="I2912" t="s">
        <v>423</v>
      </c>
      <c r="J2912" t="s">
        <v>2936</v>
      </c>
      <c r="K2912" t="s">
        <v>425</v>
      </c>
      <c r="L2912" t="s">
        <v>2145</v>
      </c>
      <c r="M2912">
        <v>604</v>
      </c>
      <c r="N2912">
        <v>24.31</v>
      </c>
      <c r="O2912">
        <v>7611.22</v>
      </c>
      <c r="P2912">
        <v>0</v>
      </c>
      <c r="Q2912">
        <v>7611.22</v>
      </c>
      <c r="R2912">
        <v>1217.79</v>
      </c>
      <c r="S2912">
        <v>304.45</v>
      </c>
      <c r="T2912">
        <v>8524.56</v>
      </c>
      <c r="U2912" t="s">
        <v>2927</v>
      </c>
      <c r="V2912" t="s">
        <v>9408</v>
      </c>
      <c r="W2912" t="s">
        <v>423</v>
      </c>
    </row>
    <row r="2913" spans="1:23" hidden="1" x14ac:dyDescent="0.2">
      <c r="A2913">
        <v>2012</v>
      </c>
      <c r="B2913" t="s">
        <v>303</v>
      </c>
      <c r="C2913" s="733">
        <v>40934</v>
      </c>
      <c r="D29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13" t="s">
        <v>478</v>
      </c>
      <c r="F2913" t="s">
        <v>2136</v>
      </c>
      <c r="G2913" t="s">
        <v>5045</v>
      </c>
      <c r="H2913">
        <v>34915</v>
      </c>
      <c r="I2913" t="s">
        <v>423</v>
      </c>
      <c r="J2913" t="s">
        <v>2936</v>
      </c>
      <c r="K2913" t="s">
        <v>425</v>
      </c>
      <c r="L2913" t="s">
        <v>2626</v>
      </c>
      <c r="M2913">
        <v>604</v>
      </c>
      <c r="N2913">
        <v>49.69</v>
      </c>
      <c r="O2913">
        <v>15557.44</v>
      </c>
      <c r="P2913">
        <v>0</v>
      </c>
      <c r="Q2913">
        <v>15557.44</v>
      </c>
      <c r="R2913">
        <v>2489.19</v>
      </c>
      <c r="S2913">
        <v>622.29999999999995</v>
      </c>
      <c r="T2913">
        <v>17424.330000000002</v>
      </c>
      <c r="U2913" t="s">
        <v>2355</v>
      </c>
      <c r="V2913" t="s">
        <v>9409</v>
      </c>
      <c r="W2913" t="s">
        <v>423</v>
      </c>
    </row>
    <row r="2914" spans="1:23" hidden="1" x14ac:dyDescent="0.2">
      <c r="A2914">
        <v>2012</v>
      </c>
      <c r="B2914" t="s">
        <v>303</v>
      </c>
      <c r="C2914" s="733">
        <v>40913</v>
      </c>
      <c r="D29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14" t="s">
        <v>478</v>
      </c>
      <c r="F2914" t="s">
        <v>2136</v>
      </c>
      <c r="G2914" t="s">
        <v>3839</v>
      </c>
      <c r="H2914">
        <v>34236</v>
      </c>
      <c r="I2914" t="s">
        <v>423</v>
      </c>
      <c r="J2914" t="s">
        <v>2936</v>
      </c>
      <c r="K2914" t="s">
        <v>425</v>
      </c>
      <c r="L2914" t="s">
        <v>2145</v>
      </c>
      <c r="M2914">
        <v>604</v>
      </c>
      <c r="N2914">
        <v>27.83</v>
      </c>
      <c r="O2914">
        <v>3668.55</v>
      </c>
      <c r="P2914">
        <v>4130.3837599999997</v>
      </c>
      <c r="Q2914">
        <v>7798.9337599999999</v>
      </c>
      <c r="R2914">
        <v>1247.8294020000001</v>
      </c>
      <c r="S2914">
        <v>311.95735000000002</v>
      </c>
      <c r="T2914">
        <v>8734.8058120000005</v>
      </c>
      <c r="U2914" t="s">
        <v>3323</v>
      </c>
      <c r="V2914" t="s">
        <v>9408</v>
      </c>
      <c r="W2914" t="s">
        <v>423</v>
      </c>
    </row>
    <row r="2915" spans="1:23" hidden="1" x14ac:dyDescent="0.2">
      <c r="A2915">
        <v>2012</v>
      </c>
      <c r="B2915" t="s">
        <v>303</v>
      </c>
      <c r="C2915" s="733">
        <v>40920</v>
      </c>
      <c r="D29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15" t="s">
        <v>478</v>
      </c>
      <c r="F2915" t="s">
        <v>2136</v>
      </c>
      <c r="G2915" t="s">
        <v>3840</v>
      </c>
      <c r="H2915">
        <v>34446</v>
      </c>
      <c r="I2915" t="s">
        <v>423</v>
      </c>
      <c r="J2915" t="s">
        <v>2936</v>
      </c>
      <c r="K2915" t="s">
        <v>425</v>
      </c>
      <c r="L2915" t="s">
        <v>2145</v>
      </c>
      <c r="M2915">
        <v>604</v>
      </c>
      <c r="N2915">
        <v>22.53</v>
      </c>
      <c r="O2915">
        <v>7053.92</v>
      </c>
      <c r="P2915">
        <v>0</v>
      </c>
      <c r="Q2915">
        <v>7053.92</v>
      </c>
      <c r="R2915">
        <v>1128.6300000000001</v>
      </c>
      <c r="S2915">
        <v>282.16000000000003</v>
      </c>
      <c r="T2915">
        <v>7900.39</v>
      </c>
      <c r="U2915" t="s">
        <v>2927</v>
      </c>
      <c r="V2915" t="s">
        <v>9408</v>
      </c>
      <c r="W2915" t="s">
        <v>423</v>
      </c>
    </row>
    <row r="2916" spans="1:23" hidden="1" x14ac:dyDescent="0.2">
      <c r="A2916">
        <v>2012</v>
      </c>
      <c r="B2916" t="s">
        <v>304</v>
      </c>
      <c r="C2916" s="733">
        <v>40946</v>
      </c>
      <c r="D29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16" t="s">
        <v>478</v>
      </c>
      <c r="F2916" t="s">
        <v>2136</v>
      </c>
      <c r="G2916" t="s">
        <v>5229</v>
      </c>
      <c r="H2916">
        <v>35318</v>
      </c>
      <c r="I2916" t="s">
        <v>423</v>
      </c>
      <c r="J2916" t="s">
        <v>2936</v>
      </c>
      <c r="K2916" t="s">
        <v>425</v>
      </c>
      <c r="L2916" t="s">
        <v>2145</v>
      </c>
      <c r="M2916">
        <v>604</v>
      </c>
      <c r="N2916">
        <v>24.19</v>
      </c>
      <c r="O2916">
        <v>7573.65</v>
      </c>
      <c r="P2916">
        <v>0</v>
      </c>
      <c r="Q2916">
        <v>7573.65</v>
      </c>
      <c r="R2916">
        <v>1211.78</v>
      </c>
      <c r="S2916">
        <v>302.95</v>
      </c>
      <c r="T2916">
        <v>8482.48</v>
      </c>
      <c r="U2916" t="s">
        <v>2938</v>
      </c>
      <c r="V2916" t="s">
        <v>9408</v>
      </c>
      <c r="W2916" t="s">
        <v>423</v>
      </c>
    </row>
    <row r="2917" spans="1:23" hidden="1" x14ac:dyDescent="0.2">
      <c r="A2917">
        <v>2012</v>
      </c>
      <c r="B2917" t="s">
        <v>303</v>
      </c>
      <c r="C2917" s="733">
        <v>40934</v>
      </c>
      <c r="D29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17" t="s">
        <v>478</v>
      </c>
      <c r="F2917" t="s">
        <v>2622</v>
      </c>
      <c r="G2917" t="s">
        <v>5054</v>
      </c>
      <c r="H2917">
        <v>34992</v>
      </c>
      <c r="I2917" t="s">
        <v>423</v>
      </c>
      <c r="J2917" t="s">
        <v>2936</v>
      </c>
      <c r="K2917" t="s">
        <v>425</v>
      </c>
      <c r="L2917" t="s">
        <v>2145</v>
      </c>
      <c r="M2917">
        <v>604</v>
      </c>
      <c r="N2917">
        <v>50.87</v>
      </c>
      <c r="O2917">
        <v>15926.89</v>
      </c>
      <c r="P2917">
        <v>0</v>
      </c>
      <c r="Q2917">
        <v>15926.89</v>
      </c>
      <c r="R2917">
        <v>2548.3000000000002</v>
      </c>
      <c r="S2917">
        <v>637.08000000000004</v>
      </c>
      <c r="T2917">
        <v>17838.11</v>
      </c>
      <c r="U2917" t="s">
        <v>2355</v>
      </c>
      <c r="V2917" t="s">
        <v>9409</v>
      </c>
      <c r="W2917" t="s">
        <v>423</v>
      </c>
    </row>
    <row r="2918" spans="1:23" hidden="1" x14ac:dyDescent="0.2">
      <c r="A2918">
        <v>2012</v>
      </c>
      <c r="B2918" t="s">
        <v>303</v>
      </c>
      <c r="C2918" s="733">
        <v>40935</v>
      </c>
      <c r="D29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18" t="s">
        <v>478</v>
      </c>
      <c r="F2918" t="s">
        <v>2136</v>
      </c>
      <c r="G2918" t="s">
        <v>5046</v>
      </c>
      <c r="H2918">
        <v>34975</v>
      </c>
      <c r="I2918" t="s">
        <v>423</v>
      </c>
      <c r="J2918" t="s">
        <v>4270</v>
      </c>
      <c r="K2918" t="s">
        <v>425</v>
      </c>
      <c r="L2918" t="s">
        <v>2145</v>
      </c>
      <c r="M2918">
        <v>560</v>
      </c>
      <c r="N2918">
        <v>25.41</v>
      </c>
      <c r="O2918">
        <v>8118.5</v>
      </c>
      <c r="P2918">
        <v>0</v>
      </c>
      <c r="Q2918">
        <v>8118.5</v>
      </c>
      <c r="R2918">
        <v>1298.96</v>
      </c>
      <c r="S2918">
        <v>324.74</v>
      </c>
      <c r="T2918">
        <v>9092.7199999999993</v>
      </c>
      <c r="U2918" t="s">
        <v>2580</v>
      </c>
      <c r="V2918" t="s">
        <v>9409</v>
      </c>
      <c r="W2918" t="s">
        <v>423</v>
      </c>
    </row>
    <row r="2919" spans="1:23" hidden="1" x14ac:dyDescent="0.2">
      <c r="A2919">
        <v>2012</v>
      </c>
      <c r="B2919" t="s">
        <v>304</v>
      </c>
      <c r="C2919" s="733">
        <v>40963</v>
      </c>
      <c r="D29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19" t="s">
        <v>478</v>
      </c>
      <c r="F2919" t="s">
        <v>2136</v>
      </c>
      <c r="G2919" t="s">
        <v>9239</v>
      </c>
      <c r="H2919">
        <v>35976</v>
      </c>
      <c r="I2919" t="s">
        <v>423</v>
      </c>
      <c r="J2919" t="s">
        <v>4270</v>
      </c>
      <c r="K2919" t="s">
        <v>425</v>
      </c>
      <c r="L2919" t="s">
        <v>2145</v>
      </c>
      <c r="M2919">
        <v>560</v>
      </c>
      <c r="N2919">
        <v>25.61</v>
      </c>
      <c r="O2919">
        <v>8182.4</v>
      </c>
      <c r="P2919">
        <v>0</v>
      </c>
      <c r="Q2919">
        <v>8182.4</v>
      </c>
      <c r="R2919">
        <v>1309.18</v>
      </c>
      <c r="S2919">
        <v>327.3</v>
      </c>
      <c r="T2919">
        <v>9164.2800000000007</v>
      </c>
      <c r="U2919" t="s">
        <v>9457</v>
      </c>
      <c r="V2919" t="s">
        <v>9408</v>
      </c>
      <c r="W2919" t="s">
        <v>423</v>
      </c>
    </row>
    <row r="2920" spans="1:23" hidden="1" x14ac:dyDescent="0.2">
      <c r="A2920">
        <v>2012</v>
      </c>
      <c r="B2920" t="s">
        <v>304</v>
      </c>
      <c r="C2920" s="733">
        <v>40961</v>
      </c>
      <c r="D29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20" t="s">
        <v>478</v>
      </c>
      <c r="F2920" t="s">
        <v>2136</v>
      </c>
      <c r="G2920" t="s">
        <v>8334</v>
      </c>
      <c r="H2920">
        <v>34512</v>
      </c>
      <c r="I2920" t="s">
        <v>424</v>
      </c>
      <c r="J2920" t="s">
        <v>3329</v>
      </c>
      <c r="K2920" t="s">
        <v>425</v>
      </c>
      <c r="L2920" t="s">
        <v>2145</v>
      </c>
      <c r="M2920">
        <v>596</v>
      </c>
      <c r="N2920">
        <v>29.25</v>
      </c>
      <c r="O2920">
        <v>6834.56</v>
      </c>
      <c r="P2920">
        <v>0</v>
      </c>
      <c r="Q2920">
        <v>6834.56</v>
      </c>
      <c r="R2920">
        <v>1093.53</v>
      </c>
      <c r="S2920">
        <v>273.38</v>
      </c>
      <c r="T2920">
        <v>7654.71</v>
      </c>
      <c r="U2920" t="s">
        <v>8510</v>
      </c>
      <c r="V2920" t="s">
        <v>9408</v>
      </c>
      <c r="W2920" t="s">
        <v>424</v>
      </c>
    </row>
    <row r="2921" spans="1:23" hidden="1" x14ac:dyDescent="0.2">
      <c r="A2921">
        <v>2012</v>
      </c>
      <c r="B2921" t="s">
        <v>304</v>
      </c>
      <c r="C2921" s="733">
        <v>40946</v>
      </c>
      <c r="D29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21" t="s">
        <v>478</v>
      </c>
      <c r="F2921" t="s">
        <v>2136</v>
      </c>
      <c r="G2921" t="s">
        <v>5053</v>
      </c>
      <c r="H2921">
        <v>35352</v>
      </c>
      <c r="I2921" t="s">
        <v>423</v>
      </c>
      <c r="J2921" t="s">
        <v>4270</v>
      </c>
      <c r="K2921" t="s">
        <v>425</v>
      </c>
      <c r="L2921" t="s">
        <v>2145</v>
      </c>
      <c r="M2921">
        <v>560</v>
      </c>
      <c r="N2921">
        <v>26.5</v>
      </c>
      <c r="O2921">
        <v>8466.75</v>
      </c>
      <c r="P2921">
        <v>0</v>
      </c>
      <c r="Q2921">
        <v>8466.75</v>
      </c>
      <c r="R2921">
        <v>1354.68</v>
      </c>
      <c r="S2921">
        <v>338.67</v>
      </c>
      <c r="T2921">
        <v>9482.76</v>
      </c>
      <c r="U2921" t="s">
        <v>2938</v>
      </c>
      <c r="V2921" t="s">
        <v>9408</v>
      </c>
      <c r="W2921" t="s">
        <v>423</v>
      </c>
    </row>
    <row r="2922" spans="1:23" hidden="1" x14ac:dyDescent="0.2">
      <c r="A2922">
        <v>2012</v>
      </c>
      <c r="B2922" t="s">
        <v>303</v>
      </c>
      <c r="C2922" s="733">
        <v>40925</v>
      </c>
      <c r="D29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22" t="s">
        <v>478</v>
      </c>
      <c r="F2922" t="s">
        <v>2136</v>
      </c>
      <c r="G2922" t="s">
        <v>5052</v>
      </c>
      <c r="H2922">
        <v>34565</v>
      </c>
      <c r="I2922" t="s">
        <v>423</v>
      </c>
      <c r="J2922" t="s">
        <v>4270</v>
      </c>
      <c r="K2922" t="s">
        <v>425</v>
      </c>
      <c r="L2922" t="s">
        <v>2145</v>
      </c>
      <c r="M2922">
        <v>560</v>
      </c>
      <c r="N2922">
        <v>25.09</v>
      </c>
      <c r="O2922">
        <v>8141.7</v>
      </c>
      <c r="P2922">
        <v>0</v>
      </c>
      <c r="Q2922">
        <v>8141.7</v>
      </c>
      <c r="R2922">
        <v>1302.67</v>
      </c>
      <c r="S2922">
        <v>325.67</v>
      </c>
      <c r="T2922">
        <v>9118.7000000000007</v>
      </c>
      <c r="U2922" t="s">
        <v>2355</v>
      </c>
      <c r="V2922" t="s">
        <v>9409</v>
      </c>
      <c r="W2922" t="s">
        <v>423</v>
      </c>
    </row>
    <row r="2923" spans="1:23" hidden="1" x14ac:dyDescent="0.2">
      <c r="A2923">
        <v>2012</v>
      </c>
      <c r="B2923" t="s">
        <v>304</v>
      </c>
      <c r="C2923" s="733">
        <v>40954</v>
      </c>
      <c r="D29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23" t="s">
        <v>505</v>
      </c>
      <c r="F2923" t="s">
        <v>1915</v>
      </c>
      <c r="G2923" t="s">
        <v>7500</v>
      </c>
      <c r="H2923">
        <v>22757</v>
      </c>
      <c r="I2923" t="s">
        <v>423</v>
      </c>
      <c r="J2923" t="s">
        <v>5042</v>
      </c>
      <c r="K2923" t="s">
        <v>1918</v>
      </c>
      <c r="L2923" t="s">
        <v>1919</v>
      </c>
      <c r="M2923">
        <v>29</v>
      </c>
      <c r="N2923">
        <v>27.24</v>
      </c>
      <c r="O2923">
        <v>2630.84</v>
      </c>
      <c r="P2923">
        <v>0</v>
      </c>
      <c r="Q2923">
        <v>2630.84</v>
      </c>
      <c r="R2923">
        <v>420.93</v>
      </c>
      <c r="S2923">
        <v>105.23</v>
      </c>
      <c r="T2923">
        <v>2946.54</v>
      </c>
      <c r="U2923" t="s">
        <v>7529</v>
      </c>
      <c r="V2923" t="s">
        <v>9408</v>
      </c>
      <c r="W2923" t="s">
        <v>423</v>
      </c>
    </row>
    <row r="2924" spans="1:23" hidden="1" x14ac:dyDescent="0.2">
      <c r="A2924">
        <v>2012</v>
      </c>
      <c r="B2924" t="s">
        <v>304</v>
      </c>
      <c r="C2924" s="733">
        <v>40949.615937499999</v>
      </c>
      <c r="D29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24" t="s">
        <v>505</v>
      </c>
      <c r="F2924" t="s">
        <v>1915</v>
      </c>
      <c r="G2924" t="s">
        <v>5250</v>
      </c>
      <c r="H2924">
        <v>22630</v>
      </c>
      <c r="I2924" t="s">
        <v>423</v>
      </c>
      <c r="J2924" t="s">
        <v>5251</v>
      </c>
      <c r="K2924" t="s">
        <v>1918</v>
      </c>
      <c r="L2924" t="s">
        <v>1919</v>
      </c>
      <c r="M2924">
        <v>307</v>
      </c>
      <c r="N2924">
        <v>25.07</v>
      </c>
      <c r="O2924">
        <v>5636.74</v>
      </c>
      <c r="P2924">
        <v>0</v>
      </c>
      <c r="Q2924">
        <v>5636.74</v>
      </c>
      <c r="R2924">
        <v>901.88</v>
      </c>
      <c r="S2924">
        <v>225.47</v>
      </c>
      <c r="T2924">
        <v>6313.15</v>
      </c>
      <c r="U2924" t="s">
        <v>7522</v>
      </c>
      <c r="V2924" t="s">
        <v>9408</v>
      </c>
      <c r="W2924" t="s">
        <v>423</v>
      </c>
    </row>
    <row r="2925" spans="1:23" hidden="1" x14ac:dyDescent="0.2">
      <c r="A2925">
        <v>2012</v>
      </c>
      <c r="B2925" t="s">
        <v>304</v>
      </c>
      <c r="C2925" s="733">
        <v>40942</v>
      </c>
      <c r="D29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25" t="s">
        <v>478</v>
      </c>
      <c r="F2925" t="s">
        <v>2136</v>
      </c>
      <c r="G2925" t="s">
        <v>3742</v>
      </c>
      <c r="H2925">
        <v>35266</v>
      </c>
      <c r="I2925" t="s">
        <v>423</v>
      </c>
      <c r="J2925" t="s">
        <v>2936</v>
      </c>
      <c r="K2925" t="s">
        <v>425</v>
      </c>
      <c r="L2925" t="s">
        <v>2145</v>
      </c>
      <c r="M2925">
        <v>604</v>
      </c>
      <c r="N2925">
        <v>27.09</v>
      </c>
      <c r="O2925">
        <v>8481.61</v>
      </c>
      <c r="P2925">
        <v>0</v>
      </c>
      <c r="Q2925">
        <v>8481.61</v>
      </c>
      <c r="R2925">
        <v>1357.06</v>
      </c>
      <c r="S2925">
        <v>339.26</v>
      </c>
      <c r="T2925">
        <v>9499.41</v>
      </c>
      <c r="U2925" t="s">
        <v>3115</v>
      </c>
      <c r="V2925" t="s">
        <v>9409</v>
      </c>
      <c r="W2925" t="s">
        <v>423</v>
      </c>
    </row>
    <row r="2926" spans="1:23" hidden="1" x14ac:dyDescent="0.2">
      <c r="A2926">
        <v>2012</v>
      </c>
      <c r="B2926" t="s">
        <v>304</v>
      </c>
      <c r="C2926" s="733">
        <v>40966</v>
      </c>
      <c r="D29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26" t="s">
        <v>478</v>
      </c>
      <c r="F2926" t="s">
        <v>2136</v>
      </c>
      <c r="G2926" t="s">
        <v>9240</v>
      </c>
      <c r="H2926">
        <v>36046</v>
      </c>
      <c r="I2926" t="s">
        <v>423</v>
      </c>
      <c r="J2926" t="s">
        <v>2936</v>
      </c>
      <c r="K2926" t="s">
        <v>425</v>
      </c>
      <c r="L2926" t="s">
        <v>2145</v>
      </c>
      <c r="M2926">
        <v>604</v>
      </c>
      <c r="N2926">
        <v>45.19</v>
      </c>
      <c r="O2926">
        <v>14148.54</v>
      </c>
      <c r="P2926">
        <v>0</v>
      </c>
      <c r="Q2926">
        <v>14148.54</v>
      </c>
      <c r="R2926">
        <v>2263.77</v>
      </c>
      <c r="S2926">
        <v>565.94000000000005</v>
      </c>
      <c r="T2926">
        <v>15846.37</v>
      </c>
      <c r="U2926" t="s">
        <v>9430</v>
      </c>
      <c r="V2926" t="s">
        <v>9409</v>
      </c>
      <c r="W2926" t="s">
        <v>423</v>
      </c>
    </row>
    <row r="2927" spans="1:23" hidden="1" x14ac:dyDescent="0.2">
      <c r="A2927">
        <v>2012</v>
      </c>
      <c r="B2927" t="s">
        <v>304</v>
      </c>
      <c r="C2927" s="733">
        <v>40952.477893518517</v>
      </c>
      <c r="D29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27" t="s">
        <v>485</v>
      </c>
      <c r="F2927" t="s">
        <v>2054</v>
      </c>
      <c r="G2927" t="s">
        <v>3539</v>
      </c>
      <c r="H2927">
        <v>10409</v>
      </c>
      <c r="I2927" t="s">
        <v>423</v>
      </c>
      <c r="J2927" t="s">
        <v>2098</v>
      </c>
      <c r="K2927" t="s">
        <v>2057</v>
      </c>
      <c r="L2927" t="s">
        <v>2058</v>
      </c>
      <c r="M2927">
        <v>565</v>
      </c>
      <c r="N2927">
        <v>23.65</v>
      </c>
      <c r="O2927">
        <v>7994.17</v>
      </c>
      <c r="P2927">
        <v>0</v>
      </c>
      <c r="Q2927">
        <v>7994.17</v>
      </c>
      <c r="R2927">
        <v>879.36</v>
      </c>
      <c r="S2927">
        <v>319.77</v>
      </c>
      <c r="T2927">
        <v>8553.76</v>
      </c>
      <c r="U2927" t="s">
        <v>8047</v>
      </c>
      <c r="V2927" t="s">
        <v>9408</v>
      </c>
      <c r="W2927" t="s">
        <v>423</v>
      </c>
    </row>
    <row r="2928" spans="1:23" hidden="1" x14ac:dyDescent="0.2">
      <c r="A2928">
        <v>2012</v>
      </c>
      <c r="B2928" t="s">
        <v>304</v>
      </c>
      <c r="C2928" s="733">
        <v>40962</v>
      </c>
      <c r="D29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28" t="s">
        <v>485</v>
      </c>
      <c r="F2928" t="s">
        <v>2054</v>
      </c>
      <c r="G2928" t="s">
        <v>8664</v>
      </c>
      <c r="H2928">
        <v>10531</v>
      </c>
      <c r="I2928" t="s">
        <v>423</v>
      </c>
      <c r="J2928" t="s">
        <v>2098</v>
      </c>
      <c r="K2928" t="s">
        <v>2057</v>
      </c>
      <c r="L2928" t="s">
        <v>2058</v>
      </c>
      <c r="M2928">
        <v>565</v>
      </c>
      <c r="N2928">
        <v>29.71</v>
      </c>
      <c r="O2928">
        <v>10042.57</v>
      </c>
      <c r="P2928">
        <v>0</v>
      </c>
      <c r="Q2928">
        <v>10042.57</v>
      </c>
      <c r="R2928">
        <v>1104.68</v>
      </c>
      <c r="S2928">
        <v>401.7</v>
      </c>
      <c r="T2928">
        <v>10745.55</v>
      </c>
      <c r="U2928" t="s">
        <v>8864</v>
      </c>
      <c r="V2928" t="s">
        <v>9408</v>
      </c>
      <c r="W2928" t="s">
        <v>423</v>
      </c>
    </row>
    <row r="2929" spans="1:23" hidden="1" x14ac:dyDescent="0.2">
      <c r="A2929">
        <v>2012</v>
      </c>
      <c r="B2929" t="s">
        <v>304</v>
      </c>
      <c r="C2929" s="733">
        <v>40960</v>
      </c>
      <c r="D29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29" t="s">
        <v>485</v>
      </c>
      <c r="F2929" t="s">
        <v>2084</v>
      </c>
      <c r="G2929" t="s">
        <v>8155</v>
      </c>
      <c r="H2929">
        <v>41911</v>
      </c>
      <c r="I2929" t="s">
        <v>423</v>
      </c>
      <c r="J2929" t="s">
        <v>2836</v>
      </c>
      <c r="K2929" t="s">
        <v>2814</v>
      </c>
      <c r="L2929" t="s">
        <v>2815</v>
      </c>
      <c r="M2929">
        <v>70</v>
      </c>
      <c r="N2929">
        <v>24.39</v>
      </c>
      <c r="O2929">
        <v>2752.9</v>
      </c>
      <c r="P2929">
        <v>0</v>
      </c>
      <c r="Q2929">
        <v>2752.9</v>
      </c>
      <c r="R2929">
        <v>302.82</v>
      </c>
      <c r="S2929">
        <v>110.12</v>
      </c>
      <c r="T2929">
        <v>2945.6</v>
      </c>
      <c r="U2929" t="s">
        <v>8877</v>
      </c>
      <c r="V2929" t="s">
        <v>9408</v>
      </c>
      <c r="W2929" t="s">
        <v>423</v>
      </c>
    </row>
    <row r="2930" spans="1:23" hidden="1" x14ac:dyDescent="0.2">
      <c r="A2930">
        <v>2012</v>
      </c>
      <c r="B2930" t="s">
        <v>303</v>
      </c>
      <c r="C2930" s="733">
        <v>40935.47550925926</v>
      </c>
      <c r="D29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30" t="s">
        <v>485</v>
      </c>
      <c r="F2930" t="s">
        <v>2054</v>
      </c>
      <c r="G2930" t="s">
        <v>3865</v>
      </c>
      <c r="H2930">
        <v>10230</v>
      </c>
      <c r="I2930" t="s">
        <v>423</v>
      </c>
      <c r="J2930" t="s">
        <v>2098</v>
      </c>
      <c r="K2930" t="s">
        <v>2057</v>
      </c>
      <c r="L2930" t="s">
        <v>2058</v>
      </c>
      <c r="M2930">
        <v>565</v>
      </c>
      <c r="N2930">
        <v>44.85</v>
      </c>
      <c r="O2930">
        <v>15160.2</v>
      </c>
      <c r="P2930">
        <v>0</v>
      </c>
      <c r="Q2930">
        <v>15160.2</v>
      </c>
      <c r="R2930">
        <v>2425.63</v>
      </c>
      <c r="S2930">
        <v>606.41</v>
      </c>
      <c r="T2930">
        <v>16979.419999999998</v>
      </c>
      <c r="U2930" t="s">
        <v>2073</v>
      </c>
      <c r="V2930" t="s">
        <v>9409</v>
      </c>
      <c r="W2930" t="s">
        <v>423</v>
      </c>
    </row>
    <row r="2931" spans="1:23" hidden="1" x14ac:dyDescent="0.2">
      <c r="A2931">
        <v>2012</v>
      </c>
      <c r="B2931" t="s">
        <v>303</v>
      </c>
      <c r="C2931" s="733">
        <v>40935</v>
      </c>
      <c r="D29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31" t="s">
        <v>485</v>
      </c>
      <c r="F2931" t="s">
        <v>2054</v>
      </c>
      <c r="G2931" t="s">
        <v>5349</v>
      </c>
      <c r="H2931">
        <v>10233</v>
      </c>
      <c r="I2931" t="s">
        <v>423</v>
      </c>
      <c r="J2931" t="s">
        <v>2098</v>
      </c>
      <c r="K2931" t="s">
        <v>2057</v>
      </c>
      <c r="L2931" t="s">
        <v>2058</v>
      </c>
      <c r="M2931">
        <v>565</v>
      </c>
      <c r="N2931">
        <v>24.86</v>
      </c>
      <c r="O2931">
        <v>8403.18</v>
      </c>
      <c r="P2931">
        <v>0</v>
      </c>
      <c r="Q2931">
        <v>8403.18</v>
      </c>
      <c r="R2931">
        <v>1344.51</v>
      </c>
      <c r="S2931">
        <v>336.13</v>
      </c>
      <c r="T2931">
        <v>9411.56</v>
      </c>
      <c r="U2931" t="s">
        <v>2073</v>
      </c>
      <c r="V2931" t="s">
        <v>9408</v>
      </c>
      <c r="W2931" t="s">
        <v>423</v>
      </c>
    </row>
    <row r="2932" spans="1:23" hidden="1" x14ac:dyDescent="0.2">
      <c r="A2932">
        <v>2012</v>
      </c>
      <c r="B2932" t="s">
        <v>304</v>
      </c>
      <c r="C2932" s="733">
        <v>40952.495763888888</v>
      </c>
      <c r="D29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32" t="s">
        <v>485</v>
      </c>
      <c r="F2932" t="s">
        <v>2054</v>
      </c>
      <c r="G2932" t="s">
        <v>3540</v>
      </c>
      <c r="H2932">
        <v>10410</v>
      </c>
      <c r="I2932" t="s">
        <v>423</v>
      </c>
      <c r="J2932" t="s">
        <v>2098</v>
      </c>
      <c r="K2932" t="s">
        <v>2057</v>
      </c>
      <c r="L2932" t="s">
        <v>2058</v>
      </c>
      <c r="M2932">
        <v>565</v>
      </c>
      <c r="N2932">
        <v>45.96</v>
      </c>
      <c r="O2932">
        <v>15535.4</v>
      </c>
      <c r="P2932">
        <v>0</v>
      </c>
      <c r="Q2932">
        <v>15535.4</v>
      </c>
      <c r="R2932">
        <v>1708.89</v>
      </c>
      <c r="S2932">
        <v>621.41999999999996</v>
      </c>
      <c r="T2932">
        <v>16622.87</v>
      </c>
      <c r="U2932" t="s">
        <v>8047</v>
      </c>
      <c r="V2932" t="s">
        <v>9409</v>
      </c>
      <c r="W2932" t="s">
        <v>423</v>
      </c>
    </row>
    <row r="2933" spans="1:23" hidden="1" x14ac:dyDescent="0.2">
      <c r="A2933">
        <v>2012</v>
      </c>
      <c r="B2933" t="s">
        <v>304</v>
      </c>
      <c r="C2933" s="733">
        <v>40947.526932870373</v>
      </c>
      <c r="D29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33" t="s">
        <v>485</v>
      </c>
      <c r="F2933" t="s">
        <v>2054</v>
      </c>
      <c r="G2933" t="s">
        <v>6069</v>
      </c>
      <c r="H2933">
        <v>10350</v>
      </c>
      <c r="I2933" t="s">
        <v>423</v>
      </c>
      <c r="J2933" t="s">
        <v>2098</v>
      </c>
      <c r="K2933" t="s">
        <v>2057</v>
      </c>
      <c r="L2933" t="s">
        <v>2058</v>
      </c>
      <c r="M2933">
        <v>565</v>
      </c>
      <c r="N2933">
        <v>25.6</v>
      </c>
      <c r="O2933">
        <v>8653.31</v>
      </c>
      <c r="P2933">
        <v>0</v>
      </c>
      <c r="Q2933">
        <v>8653.31</v>
      </c>
      <c r="R2933">
        <v>951.86</v>
      </c>
      <c r="S2933">
        <v>346.13</v>
      </c>
      <c r="T2933">
        <v>9259.0400000000009</v>
      </c>
      <c r="U2933" t="s">
        <v>2082</v>
      </c>
      <c r="V2933" t="s">
        <v>9408</v>
      </c>
      <c r="W2933" t="s">
        <v>423</v>
      </c>
    </row>
    <row r="2934" spans="1:23" hidden="1" x14ac:dyDescent="0.2">
      <c r="A2934">
        <v>2012</v>
      </c>
      <c r="B2934" t="s">
        <v>304</v>
      </c>
      <c r="C2934" s="733">
        <v>40957.433969907404</v>
      </c>
      <c r="D29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34" t="s">
        <v>485</v>
      </c>
      <c r="F2934" t="s">
        <v>2054</v>
      </c>
      <c r="G2934" t="s">
        <v>7584</v>
      </c>
      <c r="H2934">
        <v>10469</v>
      </c>
      <c r="I2934" t="s">
        <v>423</v>
      </c>
      <c r="J2934" t="s">
        <v>2098</v>
      </c>
      <c r="K2934" t="s">
        <v>2057</v>
      </c>
      <c r="L2934" t="s">
        <v>2058</v>
      </c>
      <c r="M2934">
        <v>565</v>
      </c>
      <c r="N2934">
        <v>46.97</v>
      </c>
      <c r="O2934">
        <v>15876.8</v>
      </c>
      <c r="P2934">
        <v>0</v>
      </c>
      <c r="Q2934">
        <v>15876.8</v>
      </c>
      <c r="R2934">
        <v>1746.45</v>
      </c>
      <c r="S2934">
        <v>635.07000000000005</v>
      </c>
      <c r="T2934">
        <v>16988.18</v>
      </c>
      <c r="U2934" t="s">
        <v>8047</v>
      </c>
      <c r="V2934" t="s">
        <v>9409</v>
      </c>
      <c r="W2934" t="s">
        <v>423</v>
      </c>
    </row>
    <row r="2935" spans="1:23" hidden="1" x14ac:dyDescent="0.2">
      <c r="A2935">
        <v>2012</v>
      </c>
      <c r="B2935" t="s">
        <v>303</v>
      </c>
      <c r="C2935" s="733">
        <v>40929.431550925925</v>
      </c>
      <c r="D29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35" t="s">
        <v>485</v>
      </c>
      <c r="F2935" t="s">
        <v>2054</v>
      </c>
      <c r="G2935" t="s">
        <v>5346</v>
      </c>
      <c r="H2935">
        <v>10166</v>
      </c>
      <c r="I2935" t="s">
        <v>423</v>
      </c>
      <c r="J2935" t="s">
        <v>2098</v>
      </c>
      <c r="K2935" t="s">
        <v>2057</v>
      </c>
      <c r="L2935" t="s">
        <v>2058</v>
      </c>
      <c r="M2935">
        <v>565</v>
      </c>
      <c r="N2935">
        <v>47.57</v>
      </c>
      <c r="O2935">
        <v>16079.61</v>
      </c>
      <c r="P2935">
        <v>0</v>
      </c>
      <c r="Q2935">
        <v>16079.61</v>
      </c>
      <c r="R2935">
        <v>2572.7399999999998</v>
      </c>
      <c r="S2935">
        <v>643.17999999999995</v>
      </c>
      <c r="T2935">
        <v>18009.169999999998</v>
      </c>
      <c r="U2935" t="s">
        <v>2077</v>
      </c>
      <c r="V2935" t="s">
        <v>9409</v>
      </c>
      <c r="W2935" t="s">
        <v>423</v>
      </c>
    </row>
    <row r="2936" spans="1:23" hidden="1" x14ac:dyDescent="0.2">
      <c r="A2936">
        <v>2012</v>
      </c>
      <c r="B2936" t="s">
        <v>303</v>
      </c>
      <c r="C2936" s="733">
        <v>40935.455868055556</v>
      </c>
      <c r="D29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36" t="s">
        <v>485</v>
      </c>
      <c r="F2936" t="s">
        <v>2054</v>
      </c>
      <c r="G2936" t="s">
        <v>5348</v>
      </c>
      <c r="H2936">
        <v>10228</v>
      </c>
      <c r="I2936" t="s">
        <v>423</v>
      </c>
      <c r="J2936" t="s">
        <v>2098</v>
      </c>
      <c r="K2936" t="s">
        <v>2057</v>
      </c>
      <c r="L2936" t="s">
        <v>2058</v>
      </c>
      <c r="M2936">
        <v>565</v>
      </c>
      <c r="N2936">
        <v>46</v>
      </c>
      <c r="O2936">
        <v>15548.92</v>
      </c>
      <c r="P2936">
        <v>0</v>
      </c>
      <c r="Q2936">
        <v>15548.92</v>
      </c>
      <c r="R2936">
        <v>2487.83</v>
      </c>
      <c r="S2936">
        <v>621.96</v>
      </c>
      <c r="T2936">
        <v>17414.79</v>
      </c>
      <c r="U2936" t="s">
        <v>2073</v>
      </c>
      <c r="V2936" t="s">
        <v>9409</v>
      </c>
      <c r="W2936" t="s">
        <v>423</v>
      </c>
    </row>
    <row r="2937" spans="1:23" hidden="1" x14ac:dyDescent="0.2">
      <c r="A2937">
        <v>2012</v>
      </c>
      <c r="B2937" t="s">
        <v>303</v>
      </c>
      <c r="C2937" s="733">
        <v>40926.508009259262</v>
      </c>
      <c r="D29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37" t="s">
        <v>485</v>
      </c>
      <c r="F2937" t="s">
        <v>2054</v>
      </c>
      <c r="G2937" t="s">
        <v>6073</v>
      </c>
      <c r="H2937">
        <v>10113</v>
      </c>
      <c r="I2937" t="s">
        <v>423</v>
      </c>
      <c r="J2937" t="s">
        <v>4560</v>
      </c>
      <c r="K2937" t="s">
        <v>2057</v>
      </c>
      <c r="L2937" t="s">
        <v>2058</v>
      </c>
      <c r="M2937">
        <v>403</v>
      </c>
      <c r="N2937">
        <v>30.28</v>
      </c>
      <c r="O2937">
        <v>8274.92</v>
      </c>
      <c r="P2937">
        <v>0</v>
      </c>
      <c r="Q2937">
        <v>8274.92</v>
      </c>
      <c r="R2937">
        <v>1323.99</v>
      </c>
      <c r="S2937">
        <v>331</v>
      </c>
      <c r="T2937">
        <v>9267.91</v>
      </c>
      <c r="U2937" t="s">
        <v>2077</v>
      </c>
      <c r="V2937" t="s">
        <v>9408</v>
      </c>
      <c r="W2937" t="s">
        <v>423</v>
      </c>
    </row>
    <row r="2938" spans="1:23" hidden="1" x14ac:dyDescent="0.2">
      <c r="A2938">
        <v>2012</v>
      </c>
      <c r="B2938" t="s">
        <v>303</v>
      </c>
      <c r="C2938" s="733">
        <v>40925.569525462961</v>
      </c>
      <c r="D29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38" t="s">
        <v>485</v>
      </c>
      <c r="F2938" t="s">
        <v>2054</v>
      </c>
      <c r="G2938" t="s">
        <v>5347</v>
      </c>
      <c r="H2938">
        <v>10100</v>
      </c>
      <c r="I2938" t="s">
        <v>423</v>
      </c>
      <c r="J2938" t="s">
        <v>2098</v>
      </c>
      <c r="K2938" t="s">
        <v>2057</v>
      </c>
      <c r="L2938" t="s">
        <v>2058</v>
      </c>
      <c r="M2938">
        <v>565</v>
      </c>
      <c r="N2938">
        <v>47</v>
      </c>
      <c r="O2938">
        <v>15886.94</v>
      </c>
      <c r="P2938">
        <v>0</v>
      </c>
      <c r="Q2938">
        <v>15886.94</v>
      </c>
      <c r="R2938">
        <v>2541.91</v>
      </c>
      <c r="S2938">
        <v>635.48</v>
      </c>
      <c r="T2938">
        <v>17793.37</v>
      </c>
      <c r="U2938" t="s">
        <v>2077</v>
      </c>
      <c r="V2938" t="s">
        <v>9409</v>
      </c>
      <c r="W2938" t="s">
        <v>423</v>
      </c>
    </row>
    <row r="2939" spans="1:23" hidden="1" x14ac:dyDescent="0.2">
      <c r="A2939">
        <v>2012</v>
      </c>
      <c r="B2939" t="s">
        <v>304</v>
      </c>
      <c r="C2939" s="733">
        <v>40940</v>
      </c>
      <c r="D29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39" t="s">
        <v>485</v>
      </c>
      <c r="F2939" t="s">
        <v>2099</v>
      </c>
      <c r="G2939" t="s">
        <v>4693</v>
      </c>
      <c r="H2939">
        <v>41224</v>
      </c>
      <c r="I2939" t="s">
        <v>423</v>
      </c>
      <c r="J2939" t="s">
        <v>2101</v>
      </c>
      <c r="K2939" t="s">
        <v>2102</v>
      </c>
      <c r="L2939" t="s">
        <v>2103</v>
      </c>
      <c r="M2939">
        <v>119</v>
      </c>
      <c r="N2939">
        <v>52.24</v>
      </c>
      <c r="O2939">
        <v>8762.2199999999993</v>
      </c>
      <c r="P2939">
        <v>0</v>
      </c>
      <c r="Q2939">
        <v>8762.2199999999993</v>
      </c>
      <c r="R2939">
        <v>1401.95</v>
      </c>
      <c r="S2939">
        <v>350.49</v>
      </c>
      <c r="T2939">
        <v>9813.68</v>
      </c>
      <c r="U2939" t="s">
        <v>2110</v>
      </c>
      <c r="V2939" t="s">
        <v>9409</v>
      </c>
      <c r="W2939" t="s">
        <v>423</v>
      </c>
    </row>
    <row r="2940" spans="1:23" hidden="1" x14ac:dyDescent="0.2">
      <c r="A2940">
        <v>2012</v>
      </c>
      <c r="B2940" t="s">
        <v>304</v>
      </c>
      <c r="C2940" s="733">
        <v>40941</v>
      </c>
      <c r="D29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40" t="s">
        <v>485</v>
      </c>
      <c r="F2940" t="s">
        <v>2065</v>
      </c>
      <c r="G2940" t="s">
        <v>7100</v>
      </c>
      <c r="H2940">
        <v>41288</v>
      </c>
      <c r="I2940" t="s">
        <v>423</v>
      </c>
      <c r="J2940" t="s">
        <v>2101</v>
      </c>
      <c r="K2940" t="s">
        <v>2102</v>
      </c>
      <c r="L2940" t="s">
        <v>2103</v>
      </c>
      <c r="M2940">
        <v>119</v>
      </c>
      <c r="N2940">
        <v>31.86</v>
      </c>
      <c r="O2940">
        <v>5343.88</v>
      </c>
      <c r="P2940">
        <v>0</v>
      </c>
      <c r="Q2940">
        <v>5343.88</v>
      </c>
      <c r="R2940">
        <v>855.02</v>
      </c>
      <c r="S2940">
        <v>213.76</v>
      </c>
      <c r="T2940">
        <v>5985.14</v>
      </c>
      <c r="V2940" t="s">
        <v>9408</v>
      </c>
      <c r="W2940" t="s">
        <v>423</v>
      </c>
    </row>
    <row r="2941" spans="1:23" hidden="1" x14ac:dyDescent="0.2">
      <c r="A2941">
        <v>2012</v>
      </c>
      <c r="B2941" t="s">
        <v>304</v>
      </c>
      <c r="C2941" s="733">
        <v>40968</v>
      </c>
      <c r="D29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41" t="s">
        <v>478</v>
      </c>
      <c r="F2941" t="s">
        <v>2136</v>
      </c>
      <c r="G2941" t="s">
        <v>9536</v>
      </c>
      <c r="H2941">
        <v>36081</v>
      </c>
      <c r="I2941" t="s">
        <v>423</v>
      </c>
      <c r="J2941" t="s">
        <v>5384</v>
      </c>
      <c r="K2941" t="s">
        <v>425</v>
      </c>
      <c r="L2941" t="s">
        <v>2145</v>
      </c>
      <c r="M2941">
        <v>1472</v>
      </c>
      <c r="N2941">
        <v>24.12</v>
      </c>
      <c r="O2941">
        <v>17228.669999999998</v>
      </c>
      <c r="P2941">
        <v>0</v>
      </c>
      <c r="Q2941">
        <v>17228.669999999998</v>
      </c>
      <c r="R2941">
        <v>2756.59</v>
      </c>
      <c r="S2941">
        <v>689.15</v>
      </c>
      <c r="T2941">
        <v>19296.11</v>
      </c>
      <c r="U2941" t="s">
        <v>9430</v>
      </c>
      <c r="V2941" t="s">
        <v>9408</v>
      </c>
      <c r="W2941" t="s">
        <v>423</v>
      </c>
    </row>
    <row r="2942" spans="1:23" hidden="1" x14ac:dyDescent="0.2">
      <c r="A2942">
        <v>2012</v>
      </c>
      <c r="B2942" t="s">
        <v>304</v>
      </c>
      <c r="C2942" s="733">
        <v>40947</v>
      </c>
      <c r="D29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42" t="s">
        <v>478</v>
      </c>
      <c r="F2942" t="s">
        <v>2142</v>
      </c>
      <c r="G2942" t="s">
        <v>7099</v>
      </c>
      <c r="H2942">
        <v>35319</v>
      </c>
      <c r="I2942" t="s">
        <v>423</v>
      </c>
      <c r="J2942" t="s">
        <v>5384</v>
      </c>
      <c r="K2942" t="s">
        <v>425</v>
      </c>
      <c r="L2942" t="s">
        <v>2145</v>
      </c>
      <c r="M2942">
        <v>1472</v>
      </c>
      <c r="N2942">
        <v>49.67</v>
      </c>
      <c r="O2942">
        <v>35478.78</v>
      </c>
      <c r="P2942">
        <v>0</v>
      </c>
      <c r="Q2942">
        <v>35478.78</v>
      </c>
      <c r="R2942">
        <v>5676.61</v>
      </c>
      <c r="S2942">
        <v>1419.15</v>
      </c>
      <c r="T2942">
        <v>39736.239999999998</v>
      </c>
      <c r="U2942" t="s">
        <v>9455</v>
      </c>
      <c r="V2942" t="s">
        <v>9409</v>
      </c>
      <c r="W2942" t="s">
        <v>423</v>
      </c>
    </row>
    <row r="2943" spans="1:23" hidden="1" x14ac:dyDescent="0.2">
      <c r="A2943">
        <v>2012</v>
      </c>
      <c r="B2943" t="s">
        <v>304</v>
      </c>
      <c r="C2943" s="733">
        <v>40942.509305555555</v>
      </c>
      <c r="D29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43" t="s">
        <v>485</v>
      </c>
      <c r="F2943" t="s">
        <v>2065</v>
      </c>
      <c r="G2943" t="s">
        <v>7101</v>
      </c>
      <c r="H2943">
        <v>41387</v>
      </c>
      <c r="I2943" t="s">
        <v>423</v>
      </c>
      <c r="J2943" t="s">
        <v>2101</v>
      </c>
      <c r="K2943" t="s">
        <v>2102</v>
      </c>
      <c r="L2943" t="s">
        <v>2103</v>
      </c>
      <c r="M2943">
        <v>119</v>
      </c>
      <c r="N2943">
        <v>52.68</v>
      </c>
      <c r="O2943">
        <v>8836.02</v>
      </c>
      <c r="P2943">
        <v>0</v>
      </c>
      <c r="Q2943">
        <v>8836.02</v>
      </c>
      <c r="R2943">
        <v>1413.76</v>
      </c>
      <c r="S2943">
        <v>353.44</v>
      </c>
      <c r="T2943">
        <v>9896.34</v>
      </c>
      <c r="U2943" t="s">
        <v>7462</v>
      </c>
      <c r="V2943" t="s">
        <v>9409</v>
      </c>
      <c r="W2943" t="s">
        <v>423</v>
      </c>
    </row>
    <row r="2944" spans="1:23" hidden="1" x14ac:dyDescent="0.2">
      <c r="A2944">
        <v>2012</v>
      </c>
      <c r="B2944" t="s">
        <v>303</v>
      </c>
      <c r="C2944" s="733">
        <v>40934</v>
      </c>
      <c r="D29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44" t="s">
        <v>478</v>
      </c>
      <c r="F2944" t="s">
        <v>2136</v>
      </c>
      <c r="G2944" t="s">
        <v>4698</v>
      </c>
      <c r="H2944">
        <v>34811</v>
      </c>
      <c r="I2944" t="s">
        <v>423</v>
      </c>
      <c r="J2944" t="s">
        <v>4699</v>
      </c>
      <c r="K2944" t="s">
        <v>425</v>
      </c>
      <c r="L2944" t="s">
        <v>2145</v>
      </c>
      <c r="M2944">
        <v>555</v>
      </c>
      <c r="N2944">
        <v>22.34</v>
      </c>
      <c r="O2944">
        <v>7137.63</v>
      </c>
      <c r="P2944">
        <v>0</v>
      </c>
      <c r="Q2944">
        <v>7137.63</v>
      </c>
      <c r="R2944">
        <v>1142.02</v>
      </c>
      <c r="S2944">
        <v>285.51</v>
      </c>
      <c r="T2944">
        <v>7994.14</v>
      </c>
      <c r="U2944" t="s">
        <v>2355</v>
      </c>
      <c r="V2944" t="s">
        <v>9408</v>
      </c>
      <c r="W2944" t="s">
        <v>423</v>
      </c>
    </row>
    <row r="2945" spans="1:23" hidden="1" x14ac:dyDescent="0.2">
      <c r="A2945">
        <v>2012</v>
      </c>
      <c r="B2945" t="s">
        <v>304</v>
      </c>
      <c r="C2945" s="733">
        <v>40942</v>
      </c>
      <c r="D29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45" t="s">
        <v>478</v>
      </c>
      <c r="F2945" t="s">
        <v>2136</v>
      </c>
      <c r="G2945" t="s">
        <v>7104</v>
      </c>
      <c r="H2945">
        <v>35270</v>
      </c>
      <c r="I2945" t="s">
        <v>423</v>
      </c>
      <c r="J2945" t="s">
        <v>5249</v>
      </c>
      <c r="K2945" t="s">
        <v>425</v>
      </c>
      <c r="L2945" t="s">
        <v>2145</v>
      </c>
      <c r="M2945">
        <v>134</v>
      </c>
      <c r="N2945">
        <v>49.47</v>
      </c>
      <c r="O2945">
        <v>9003.0499999999993</v>
      </c>
      <c r="P2945">
        <v>0</v>
      </c>
      <c r="Q2945">
        <v>9003.0499999999993</v>
      </c>
      <c r="R2945">
        <v>1440.49</v>
      </c>
      <c r="S2945">
        <v>360.12</v>
      </c>
      <c r="T2945">
        <v>10083.42</v>
      </c>
      <c r="V2945" t="s">
        <v>9409</v>
      </c>
      <c r="W2945" t="s">
        <v>423</v>
      </c>
    </row>
    <row r="2946" spans="1:23" hidden="1" x14ac:dyDescent="0.2">
      <c r="A2946">
        <v>2012</v>
      </c>
      <c r="B2946" t="s">
        <v>304</v>
      </c>
      <c r="C2946" s="733">
        <v>40964</v>
      </c>
      <c r="D29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46" t="s">
        <v>505</v>
      </c>
      <c r="F2946" t="s">
        <v>1915</v>
      </c>
      <c r="G2946" t="s">
        <v>8743</v>
      </c>
      <c r="H2946">
        <v>22995</v>
      </c>
      <c r="I2946" t="s">
        <v>423</v>
      </c>
      <c r="J2946" t="s">
        <v>4259</v>
      </c>
      <c r="K2946" t="s">
        <v>1918</v>
      </c>
      <c r="L2946" t="s">
        <v>1919</v>
      </c>
      <c r="M2946">
        <v>467</v>
      </c>
      <c r="N2946">
        <v>27.29</v>
      </c>
      <c r="O2946">
        <v>8469.18</v>
      </c>
      <c r="P2946">
        <v>0</v>
      </c>
      <c r="Q2946">
        <v>8469.18</v>
      </c>
      <c r="R2946">
        <v>1355.07</v>
      </c>
      <c r="S2946">
        <v>338.77</v>
      </c>
      <c r="T2946">
        <v>9485.48</v>
      </c>
      <c r="U2946" t="s">
        <v>9415</v>
      </c>
      <c r="V2946" t="s">
        <v>9408</v>
      </c>
      <c r="W2946" t="s">
        <v>423</v>
      </c>
    </row>
    <row r="2947" spans="1:23" hidden="1" x14ac:dyDescent="0.2">
      <c r="A2947">
        <v>2012</v>
      </c>
      <c r="B2947" t="s">
        <v>303</v>
      </c>
      <c r="C2947" s="733">
        <v>40939</v>
      </c>
      <c r="D29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47" t="s">
        <v>505</v>
      </c>
      <c r="F2947" t="s">
        <v>1915</v>
      </c>
      <c r="G2947" t="s">
        <v>6932</v>
      </c>
      <c r="H2947">
        <v>22354</v>
      </c>
      <c r="I2947" t="s">
        <v>423</v>
      </c>
      <c r="J2947" t="s">
        <v>4259</v>
      </c>
      <c r="K2947" t="s">
        <v>1918</v>
      </c>
      <c r="L2947" t="s">
        <v>1919</v>
      </c>
      <c r="M2947">
        <v>467</v>
      </c>
      <c r="N2947">
        <v>53.37</v>
      </c>
      <c r="O2947">
        <v>16562.849999999999</v>
      </c>
      <c r="P2947">
        <v>0</v>
      </c>
      <c r="Q2947">
        <v>16562.849999999999</v>
      </c>
      <c r="R2947">
        <v>2650.06</v>
      </c>
      <c r="S2947">
        <v>662.51</v>
      </c>
      <c r="T2947">
        <v>18550.400000000001</v>
      </c>
      <c r="U2947" t="s">
        <v>1926</v>
      </c>
      <c r="V2947" t="s">
        <v>9409</v>
      </c>
      <c r="W2947" t="s">
        <v>423</v>
      </c>
    </row>
    <row r="2948" spans="1:23" hidden="1" x14ac:dyDescent="0.2">
      <c r="A2948">
        <v>2012</v>
      </c>
      <c r="B2948" t="s">
        <v>303</v>
      </c>
      <c r="C2948" s="733">
        <v>40938</v>
      </c>
      <c r="D29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48" t="s">
        <v>505</v>
      </c>
      <c r="F2948" t="s">
        <v>1915</v>
      </c>
      <c r="G2948" t="s">
        <v>6930</v>
      </c>
      <c r="H2948">
        <v>22346</v>
      </c>
      <c r="I2948" t="s">
        <v>423</v>
      </c>
      <c r="J2948" t="s">
        <v>4259</v>
      </c>
      <c r="K2948" t="s">
        <v>1918</v>
      </c>
      <c r="L2948" t="s">
        <v>1919</v>
      </c>
      <c r="M2948">
        <v>467</v>
      </c>
      <c r="N2948">
        <v>52.97</v>
      </c>
      <c r="O2948">
        <v>16438.71</v>
      </c>
      <c r="P2948">
        <v>0</v>
      </c>
      <c r="Q2948">
        <v>16438.71</v>
      </c>
      <c r="R2948">
        <v>2630.19</v>
      </c>
      <c r="S2948">
        <v>657.55</v>
      </c>
      <c r="T2948">
        <v>18411.349999999999</v>
      </c>
      <c r="U2948" t="s">
        <v>1936</v>
      </c>
      <c r="V2948" t="s">
        <v>9409</v>
      </c>
      <c r="W2948" t="s">
        <v>423</v>
      </c>
    </row>
    <row r="2949" spans="1:23" hidden="1" x14ac:dyDescent="0.2">
      <c r="A2949">
        <v>2012</v>
      </c>
      <c r="B2949" t="s">
        <v>303</v>
      </c>
      <c r="C2949" s="733">
        <v>40928</v>
      </c>
      <c r="D29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49" t="s">
        <v>505</v>
      </c>
      <c r="F2949" t="s">
        <v>1915</v>
      </c>
      <c r="G2949" t="s">
        <v>6931</v>
      </c>
      <c r="H2949">
        <v>22108</v>
      </c>
      <c r="I2949" t="s">
        <v>423</v>
      </c>
      <c r="J2949" t="s">
        <v>4259</v>
      </c>
      <c r="K2949" t="s">
        <v>1918</v>
      </c>
      <c r="L2949" t="s">
        <v>1919</v>
      </c>
      <c r="M2949">
        <v>467</v>
      </c>
      <c r="N2949">
        <v>24.31</v>
      </c>
      <c r="O2949">
        <v>7544.37</v>
      </c>
      <c r="P2949">
        <v>0</v>
      </c>
      <c r="Q2949">
        <v>7544.37</v>
      </c>
      <c r="R2949">
        <v>1207.0999999999999</v>
      </c>
      <c r="S2949">
        <v>301.77</v>
      </c>
      <c r="T2949">
        <v>8449.7000000000007</v>
      </c>
      <c r="U2949" t="s">
        <v>8778</v>
      </c>
      <c r="V2949" t="s">
        <v>9408</v>
      </c>
      <c r="W2949" t="s">
        <v>423</v>
      </c>
    </row>
    <row r="2950" spans="1:23" hidden="1" x14ac:dyDescent="0.2">
      <c r="A2950">
        <v>2012</v>
      </c>
      <c r="B2950" t="s">
        <v>303</v>
      </c>
      <c r="C2950" s="733">
        <v>40938</v>
      </c>
      <c r="D29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50" t="s">
        <v>485</v>
      </c>
      <c r="F2950" t="s">
        <v>2065</v>
      </c>
      <c r="G2950" t="s">
        <v>2829</v>
      </c>
      <c r="H2950">
        <v>40800</v>
      </c>
      <c r="I2950" t="s">
        <v>423</v>
      </c>
      <c r="J2950" t="s">
        <v>2813</v>
      </c>
      <c r="K2950" t="s">
        <v>2814</v>
      </c>
      <c r="L2950" t="s">
        <v>2815</v>
      </c>
      <c r="M2950">
        <v>365</v>
      </c>
      <c r="N2950">
        <v>24.283999999999999</v>
      </c>
      <c r="O2950">
        <v>6536.77</v>
      </c>
      <c r="P2950">
        <v>0</v>
      </c>
      <c r="Q2950">
        <v>6536.77</v>
      </c>
      <c r="R2950">
        <v>1045.8800000000001</v>
      </c>
      <c r="S2950">
        <v>261.47000000000003</v>
      </c>
      <c r="T2950">
        <v>7321.18</v>
      </c>
      <c r="U2950" t="s">
        <v>8522</v>
      </c>
      <c r="V2950" t="s">
        <v>9408</v>
      </c>
      <c r="W2950" t="s">
        <v>423</v>
      </c>
    </row>
    <row r="2951" spans="1:23" hidden="1" x14ac:dyDescent="0.2">
      <c r="A2951">
        <v>2012</v>
      </c>
      <c r="B2951" t="s">
        <v>304</v>
      </c>
      <c r="C2951" s="733">
        <v>40957</v>
      </c>
      <c r="D29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51" t="s">
        <v>505</v>
      </c>
      <c r="F2951" t="s">
        <v>1915</v>
      </c>
      <c r="G2951" t="s">
        <v>7727</v>
      </c>
      <c r="H2951">
        <v>22822</v>
      </c>
      <c r="I2951" t="s">
        <v>423</v>
      </c>
      <c r="J2951" t="s">
        <v>4760</v>
      </c>
      <c r="K2951" t="s">
        <v>1918</v>
      </c>
      <c r="L2951" t="s">
        <v>1919</v>
      </c>
      <c r="M2951">
        <v>444</v>
      </c>
      <c r="N2951">
        <v>26.25</v>
      </c>
      <c r="O2951">
        <v>8146.42</v>
      </c>
      <c r="P2951">
        <v>0</v>
      </c>
      <c r="Q2951">
        <v>8146.42</v>
      </c>
      <c r="R2951">
        <v>1303.43</v>
      </c>
      <c r="S2951">
        <v>325.86</v>
      </c>
      <c r="T2951">
        <v>9123.99</v>
      </c>
      <c r="U2951" t="s">
        <v>8491</v>
      </c>
      <c r="V2951" t="s">
        <v>9408</v>
      </c>
      <c r="W2951" t="s">
        <v>423</v>
      </c>
    </row>
    <row r="2952" spans="1:23" hidden="1" x14ac:dyDescent="0.2">
      <c r="A2952">
        <v>2012</v>
      </c>
      <c r="B2952" t="s">
        <v>304</v>
      </c>
      <c r="C2952" s="733">
        <v>40960</v>
      </c>
      <c r="D29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52" t="s">
        <v>485</v>
      </c>
      <c r="F2952" t="s">
        <v>2065</v>
      </c>
      <c r="G2952" t="s">
        <v>8123</v>
      </c>
      <c r="H2952">
        <v>42245</v>
      </c>
      <c r="I2952" t="s">
        <v>423</v>
      </c>
      <c r="J2952" t="s">
        <v>3054</v>
      </c>
      <c r="K2952" t="s">
        <v>2183</v>
      </c>
      <c r="L2952" t="s">
        <v>2184</v>
      </c>
      <c r="M2952">
        <v>43</v>
      </c>
      <c r="N2952">
        <v>16.190000000000001</v>
      </c>
      <c r="O2952">
        <v>1827.37</v>
      </c>
      <c r="P2952">
        <v>0</v>
      </c>
      <c r="Q2952">
        <v>1827.37</v>
      </c>
      <c r="R2952">
        <v>292.38</v>
      </c>
      <c r="S2952">
        <v>73.09</v>
      </c>
      <c r="T2952">
        <v>2046.66</v>
      </c>
      <c r="U2952" t="s">
        <v>9411</v>
      </c>
      <c r="V2952" t="s">
        <v>9408</v>
      </c>
      <c r="W2952" t="s">
        <v>423</v>
      </c>
    </row>
    <row r="2953" spans="1:23" hidden="1" x14ac:dyDescent="0.2">
      <c r="A2953">
        <v>2012</v>
      </c>
      <c r="B2953" t="s">
        <v>303</v>
      </c>
      <c r="C2953" s="733">
        <v>40926</v>
      </c>
      <c r="D29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53" t="s">
        <v>505</v>
      </c>
      <c r="F2953" t="s">
        <v>1915</v>
      </c>
      <c r="G2953" t="s">
        <v>2017</v>
      </c>
      <c r="H2953">
        <v>22051</v>
      </c>
      <c r="I2953" t="s">
        <v>424</v>
      </c>
      <c r="J2953" t="s">
        <v>1954</v>
      </c>
      <c r="K2953" t="s">
        <v>1918</v>
      </c>
      <c r="L2953" t="s">
        <v>1919</v>
      </c>
      <c r="M2953">
        <v>303</v>
      </c>
      <c r="N2953">
        <v>30</v>
      </c>
      <c r="O2953">
        <v>2314.83</v>
      </c>
      <c r="P2953">
        <v>1330.309653</v>
      </c>
      <c r="Q2953">
        <v>3645.1396530000002</v>
      </c>
      <c r="R2953">
        <v>583.22234400000002</v>
      </c>
      <c r="S2953">
        <v>145.80558600000001</v>
      </c>
      <c r="T2953">
        <v>4082.556411</v>
      </c>
      <c r="U2953" t="s">
        <v>8778</v>
      </c>
      <c r="V2953" t="s">
        <v>9408</v>
      </c>
      <c r="W2953" t="s">
        <v>424</v>
      </c>
    </row>
    <row r="2954" spans="1:23" hidden="1" x14ac:dyDescent="0.2">
      <c r="A2954">
        <v>2012</v>
      </c>
      <c r="B2954" t="s">
        <v>304</v>
      </c>
      <c r="C2954" s="733">
        <v>40964</v>
      </c>
      <c r="D29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54" t="s">
        <v>505</v>
      </c>
      <c r="F2954" t="s">
        <v>1915</v>
      </c>
      <c r="G2954" t="s">
        <v>8740</v>
      </c>
      <c r="H2954">
        <v>22999</v>
      </c>
      <c r="I2954" t="s">
        <v>424</v>
      </c>
      <c r="J2954" t="s">
        <v>1954</v>
      </c>
      <c r="K2954" t="s">
        <v>1918</v>
      </c>
      <c r="L2954" t="s">
        <v>1919</v>
      </c>
      <c r="M2954">
        <v>303</v>
      </c>
      <c r="N2954">
        <v>30</v>
      </c>
      <c r="O2954">
        <v>2314.83</v>
      </c>
      <c r="P2954">
        <v>1330.309653</v>
      </c>
      <c r="Q2954">
        <v>3645.1396530000002</v>
      </c>
      <c r="R2954">
        <v>583.22234400000002</v>
      </c>
      <c r="S2954">
        <v>145.80558600000001</v>
      </c>
      <c r="T2954">
        <v>4082.556411</v>
      </c>
      <c r="V2954" t="s">
        <v>9408</v>
      </c>
      <c r="W2954" t="s">
        <v>424</v>
      </c>
    </row>
    <row r="2955" spans="1:23" hidden="1" x14ac:dyDescent="0.2">
      <c r="A2955">
        <v>2012</v>
      </c>
      <c r="B2955" t="s">
        <v>304</v>
      </c>
      <c r="C2955" s="733">
        <v>40966</v>
      </c>
      <c r="D29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55" t="s">
        <v>485</v>
      </c>
      <c r="F2955" t="s">
        <v>2065</v>
      </c>
      <c r="G2955" t="s">
        <v>8827</v>
      </c>
      <c r="H2955">
        <v>42666</v>
      </c>
      <c r="I2955" t="s">
        <v>423</v>
      </c>
      <c r="J2955" t="s">
        <v>3280</v>
      </c>
      <c r="K2955" t="s">
        <v>2183</v>
      </c>
      <c r="L2955" t="s">
        <v>2184</v>
      </c>
      <c r="M2955">
        <v>1020</v>
      </c>
      <c r="N2955">
        <v>48.98</v>
      </c>
      <c r="O2955">
        <v>27207.9</v>
      </c>
      <c r="P2955">
        <v>0</v>
      </c>
      <c r="Q2955">
        <v>27207.9</v>
      </c>
      <c r="R2955">
        <v>4353.26</v>
      </c>
      <c r="S2955">
        <v>1088.32</v>
      </c>
      <c r="T2955">
        <v>30472.84</v>
      </c>
      <c r="V2955" t="s">
        <v>9409</v>
      </c>
      <c r="W2955" t="s">
        <v>423</v>
      </c>
    </row>
    <row r="2956" spans="1:23" hidden="1" x14ac:dyDescent="0.2">
      <c r="A2956">
        <v>2012</v>
      </c>
      <c r="B2956" t="s">
        <v>303</v>
      </c>
      <c r="C2956" s="733">
        <v>40926</v>
      </c>
      <c r="D29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56" t="s">
        <v>485</v>
      </c>
      <c r="F2956" t="s">
        <v>2065</v>
      </c>
      <c r="G2956" t="s">
        <v>3978</v>
      </c>
      <c r="H2956">
        <v>40482</v>
      </c>
      <c r="I2956" t="s">
        <v>423</v>
      </c>
      <c r="J2956" t="s">
        <v>3054</v>
      </c>
      <c r="K2956" t="s">
        <v>2183</v>
      </c>
      <c r="L2956" t="s">
        <v>2184</v>
      </c>
      <c r="M2956">
        <v>43</v>
      </c>
      <c r="N2956">
        <v>15.94</v>
      </c>
      <c r="O2956">
        <v>1799.15</v>
      </c>
      <c r="P2956">
        <v>0</v>
      </c>
      <c r="Q2956">
        <v>1799.15</v>
      </c>
      <c r="R2956">
        <v>287.86</v>
      </c>
      <c r="S2956">
        <v>71.97</v>
      </c>
      <c r="T2956">
        <v>2015.04</v>
      </c>
      <c r="U2956" t="s">
        <v>7554</v>
      </c>
      <c r="V2956" t="s">
        <v>9408</v>
      </c>
      <c r="W2956" t="s">
        <v>423</v>
      </c>
    </row>
    <row r="2957" spans="1:23" hidden="1" x14ac:dyDescent="0.2">
      <c r="A2957">
        <v>2012</v>
      </c>
      <c r="B2957" t="s">
        <v>303</v>
      </c>
      <c r="C2957" s="733">
        <v>40915</v>
      </c>
      <c r="D29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57" t="s">
        <v>505</v>
      </c>
      <c r="F2957" t="s">
        <v>1915</v>
      </c>
      <c r="G2957" t="s">
        <v>4264</v>
      </c>
      <c r="H2957">
        <v>21761</v>
      </c>
      <c r="I2957" t="s">
        <v>424</v>
      </c>
      <c r="J2957" t="s">
        <v>1954</v>
      </c>
      <c r="K2957" t="s">
        <v>1918</v>
      </c>
      <c r="L2957" t="s">
        <v>1919</v>
      </c>
      <c r="M2957">
        <v>303</v>
      </c>
      <c r="N2957">
        <v>30</v>
      </c>
      <c r="O2957">
        <v>2314.83</v>
      </c>
      <c r="P2957">
        <v>1330.309653</v>
      </c>
      <c r="Q2957">
        <v>3645.1396530000002</v>
      </c>
      <c r="R2957">
        <v>583.22234400000002</v>
      </c>
      <c r="S2957">
        <v>145.80558600000001</v>
      </c>
      <c r="T2957">
        <v>4082.556411</v>
      </c>
      <c r="U2957" t="s">
        <v>1920</v>
      </c>
      <c r="V2957" t="s">
        <v>9408</v>
      </c>
      <c r="W2957" t="s">
        <v>424</v>
      </c>
    </row>
    <row r="2958" spans="1:23" hidden="1" x14ac:dyDescent="0.2">
      <c r="A2958">
        <v>2012</v>
      </c>
      <c r="B2958" t="s">
        <v>303</v>
      </c>
      <c r="C2958" s="733">
        <v>40933</v>
      </c>
      <c r="D29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58" t="s">
        <v>485</v>
      </c>
      <c r="F2958" t="s">
        <v>2048</v>
      </c>
      <c r="G2958" t="s">
        <v>2673</v>
      </c>
      <c r="H2958">
        <v>40857</v>
      </c>
      <c r="I2958" t="s">
        <v>423</v>
      </c>
      <c r="J2958" t="s">
        <v>2050</v>
      </c>
      <c r="K2958" t="s">
        <v>2051</v>
      </c>
      <c r="L2958" t="s">
        <v>2052</v>
      </c>
      <c r="M2958">
        <v>90</v>
      </c>
      <c r="N2958">
        <v>49.45</v>
      </c>
      <c r="O2958">
        <v>6938.33</v>
      </c>
      <c r="P2958">
        <v>0</v>
      </c>
      <c r="Q2958">
        <v>6938.33</v>
      </c>
      <c r="R2958">
        <v>1110.1300000000001</v>
      </c>
      <c r="S2958">
        <v>277.52999999999997</v>
      </c>
      <c r="T2958">
        <v>7770.93</v>
      </c>
      <c r="U2958" t="s">
        <v>2053</v>
      </c>
      <c r="V2958" t="s">
        <v>9409</v>
      </c>
      <c r="W2958" t="s">
        <v>423</v>
      </c>
    </row>
    <row r="2959" spans="1:23" hidden="1" x14ac:dyDescent="0.2">
      <c r="A2959">
        <v>2012</v>
      </c>
      <c r="B2959" t="s">
        <v>303</v>
      </c>
      <c r="C2959" s="733">
        <v>40931</v>
      </c>
      <c r="D29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59" t="s">
        <v>485</v>
      </c>
      <c r="F2959" t="s">
        <v>2054</v>
      </c>
      <c r="G2959" t="s">
        <v>2691</v>
      </c>
      <c r="H2959">
        <v>40736</v>
      </c>
      <c r="I2959" t="s">
        <v>423</v>
      </c>
      <c r="J2959" t="s">
        <v>2171</v>
      </c>
      <c r="K2959" t="s">
        <v>2051</v>
      </c>
      <c r="L2959" t="s">
        <v>2052</v>
      </c>
      <c r="M2959">
        <v>57</v>
      </c>
      <c r="N2959">
        <v>27.8</v>
      </c>
      <c r="O2959">
        <v>3900.62</v>
      </c>
      <c r="P2959">
        <v>0</v>
      </c>
      <c r="Q2959">
        <v>3900.62</v>
      </c>
      <c r="R2959">
        <v>624.1</v>
      </c>
      <c r="S2959">
        <v>156.02000000000001</v>
      </c>
      <c r="T2959">
        <v>4368.7</v>
      </c>
      <c r="U2959" t="s">
        <v>2053</v>
      </c>
      <c r="V2959" t="s">
        <v>9408</v>
      </c>
      <c r="W2959" t="s">
        <v>423</v>
      </c>
    </row>
    <row r="2960" spans="1:23" hidden="1" x14ac:dyDescent="0.2">
      <c r="A2960">
        <v>2012</v>
      </c>
      <c r="B2960" t="s">
        <v>304</v>
      </c>
      <c r="C2960" s="733">
        <v>40946</v>
      </c>
      <c r="D29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60" t="s">
        <v>485</v>
      </c>
      <c r="F2960" t="s">
        <v>2054</v>
      </c>
      <c r="G2960" t="s">
        <v>2690</v>
      </c>
      <c r="H2960">
        <v>41494</v>
      </c>
      <c r="I2960" t="s">
        <v>423</v>
      </c>
      <c r="J2960" t="s">
        <v>2171</v>
      </c>
      <c r="K2960" t="s">
        <v>2051</v>
      </c>
      <c r="L2960" t="s">
        <v>2052</v>
      </c>
      <c r="M2960">
        <v>57</v>
      </c>
      <c r="N2960">
        <v>55.35</v>
      </c>
      <c r="O2960">
        <v>7766.16</v>
      </c>
      <c r="P2960">
        <v>0</v>
      </c>
      <c r="Q2960">
        <v>7766.16</v>
      </c>
      <c r="R2960">
        <v>1242.5899999999999</v>
      </c>
      <c r="S2960">
        <v>310.64999999999998</v>
      </c>
      <c r="T2960">
        <v>8698.1</v>
      </c>
      <c r="U2960" t="s">
        <v>7568</v>
      </c>
      <c r="V2960" t="s">
        <v>9409</v>
      </c>
      <c r="W2960" t="s">
        <v>423</v>
      </c>
    </row>
    <row r="2961" spans="1:23" hidden="1" x14ac:dyDescent="0.2">
      <c r="A2961">
        <v>2012</v>
      </c>
      <c r="B2961" t="s">
        <v>303</v>
      </c>
      <c r="C2961" s="733">
        <v>40933</v>
      </c>
      <c r="D29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61" t="s">
        <v>485</v>
      </c>
      <c r="F2961" t="s">
        <v>2054</v>
      </c>
      <c r="G2961" t="s">
        <v>2969</v>
      </c>
      <c r="H2961">
        <v>40863</v>
      </c>
      <c r="I2961" t="s">
        <v>423</v>
      </c>
      <c r="J2961" t="s">
        <v>2050</v>
      </c>
      <c r="K2961" t="s">
        <v>2051</v>
      </c>
      <c r="L2961" t="s">
        <v>2052</v>
      </c>
      <c r="M2961">
        <v>90</v>
      </c>
      <c r="N2961">
        <v>26.8</v>
      </c>
      <c r="O2961">
        <v>3760.31</v>
      </c>
      <c r="P2961">
        <v>0</v>
      </c>
      <c r="Q2961">
        <v>3760.31</v>
      </c>
      <c r="R2961">
        <v>601.65</v>
      </c>
      <c r="S2961">
        <v>150.41</v>
      </c>
      <c r="T2961">
        <v>4211.55</v>
      </c>
      <c r="U2961" t="s">
        <v>2053</v>
      </c>
      <c r="V2961" t="s">
        <v>9408</v>
      </c>
      <c r="W2961" t="s">
        <v>423</v>
      </c>
    </row>
    <row r="2962" spans="1:23" hidden="1" x14ac:dyDescent="0.2">
      <c r="A2962">
        <v>2012</v>
      </c>
      <c r="B2962" t="s">
        <v>304</v>
      </c>
      <c r="C2962" s="733">
        <v>40941</v>
      </c>
      <c r="D29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62" t="s">
        <v>485</v>
      </c>
      <c r="F2962" t="s">
        <v>2065</v>
      </c>
      <c r="G2962" t="s">
        <v>2675</v>
      </c>
      <c r="H2962">
        <v>41323</v>
      </c>
      <c r="I2962" t="s">
        <v>423</v>
      </c>
      <c r="J2962" t="s">
        <v>2050</v>
      </c>
      <c r="K2962" t="s">
        <v>2051</v>
      </c>
      <c r="L2962" t="s">
        <v>2052</v>
      </c>
      <c r="M2962">
        <v>90</v>
      </c>
      <c r="N2962">
        <v>28.55</v>
      </c>
      <c r="O2962">
        <v>4005.85</v>
      </c>
      <c r="P2962">
        <v>0</v>
      </c>
      <c r="Q2962">
        <v>4005.85</v>
      </c>
      <c r="R2962">
        <v>640.94000000000005</v>
      </c>
      <c r="S2962">
        <v>160.22999999999999</v>
      </c>
      <c r="T2962">
        <v>4486.5600000000004</v>
      </c>
      <c r="U2962" t="s">
        <v>2067</v>
      </c>
      <c r="V2962" t="s">
        <v>9408</v>
      </c>
      <c r="W2962" t="s">
        <v>423</v>
      </c>
    </row>
    <row r="2963" spans="1:23" hidden="1" x14ac:dyDescent="0.2">
      <c r="A2963">
        <v>2012</v>
      </c>
      <c r="B2963" t="s">
        <v>304</v>
      </c>
      <c r="C2963" s="733">
        <v>40941</v>
      </c>
      <c r="D29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63" t="s">
        <v>485</v>
      </c>
      <c r="F2963" t="s">
        <v>2048</v>
      </c>
      <c r="G2963" t="s">
        <v>4071</v>
      </c>
      <c r="H2963">
        <v>41329</v>
      </c>
      <c r="I2963" t="s">
        <v>423</v>
      </c>
      <c r="J2963" t="s">
        <v>2050</v>
      </c>
      <c r="K2963" t="s">
        <v>2051</v>
      </c>
      <c r="L2963" t="s">
        <v>2052</v>
      </c>
      <c r="M2963">
        <v>90</v>
      </c>
      <c r="N2963">
        <v>26.6</v>
      </c>
      <c r="O2963">
        <v>3732.25</v>
      </c>
      <c r="P2963">
        <v>0</v>
      </c>
      <c r="Q2963">
        <v>3732.25</v>
      </c>
      <c r="R2963">
        <v>597.16</v>
      </c>
      <c r="S2963">
        <v>149.29</v>
      </c>
      <c r="T2963">
        <v>4180.12</v>
      </c>
      <c r="U2963" t="s">
        <v>2067</v>
      </c>
      <c r="V2963" t="s">
        <v>9408</v>
      </c>
      <c r="W2963" t="s">
        <v>423</v>
      </c>
    </row>
    <row r="2964" spans="1:23" x14ac:dyDescent="0.2">
      <c r="A2964">
        <v>2012</v>
      </c>
      <c r="B2964" t="s">
        <v>304</v>
      </c>
      <c r="C2964" s="733">
        <v>40967</v>
      </c>
      <c r="D29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64" t="s">
        <v>485</v>
      </c>
      <c r="F2964" t="s">
        <v>2054</v>
      </c>
      <c r="G2964" t="s">
        <v>9012</v>
      </c>
      <c r="H2964">
        <v>10563</v>
      </c>
      <c r="I2964" t="s">
        <v>423</v>
      </c>
      <c r="J2964" t="s">
        <v>2056</v>
      </c>
      <c r="K2964" t="s">
        <v>2057</v>
      </c>
      <c r="L2964" t="s">
        <v>2058</v>
      </c>
      <c r="M2964">
        <v>19</v>
      </c>
      <c r="N2964">
        <v>23.92</v>
      </c>
      <c r="O2964">
        <v>2699.85</v>
      </c>
      <c r="P2964">
        <v>0</v>
      </c>
      <c r="Q2964">
        <v>2699.85</v>
      </c>
      <c r="R2964">
        <v>296.98</v>
      </c>
      <c r="S2964">
        <v>107.99</v>
      </c>
      <c r="T2964">
        <v>2888.84</v>
      </c>
      <c r="V2964" t="s">
        <v>9408</v>
      </c>
      <c r="W2964" t="s">
        <v>423</v>
      </c>
    </row>
    <row r="2965" spans="1:23" hidden="1" x14ac:dyDescent="0.2">
      <c r="A2965">
        <v>2012</v>
      </c>
      <c r="B2965" t="s">
        <v>303</v>
      </c>
      <c r="C2965" s="733">
        <v>40939.500162037039</v>
      </c>
      <c r="D29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65" t="s">
        <v>485</v>
      </c>
      <c r="F2965" t="s">
        <v>2054</v>
      </c>
      <c r="G2965" t="s">
        <v>2672</v>
      </c>
      <c r="H2965">
        <v>10266</v>
      </c>
      <c r="I2965" t="s">
        <v>423</v>
      </c>
      <c r="J2965" t="s">
        <v>2056</v>
      </c>
      <c r="K2965" t="s">
        <v>2057</v>
      </c>
      <c r="L2965" t="s">
        <v>2058</v>
      </c>
      <c r="M2965">
        <v>19</v>
      </c>
      <c r="N2965">
        <v>47.66</v>
      </c>
      <c r="O2965">
        <v>5379.38</v>
      </c>
      <c r="P2965">
        <v>0</v>
      </c>
      <c r="Q2965">
        <v>5379.38</v>
      </c>
      <c r="R2965">
        <v>860.7</v>
      </c>
      <c r="S2965">
        <v>215.18</v>
      </c>
      <c r="T2965">
        <v>6024.9</v>
      </c>
      <c r="U2965" t="s">
        <v>2073</v>
      </c>
      <c r="V2965" t="s">
        <v>9409</v>
      </c>
      <c r="W2965" t="s">
        <v>423</v>
      </c>
    </row>
    <row r="2966" spans="1:23" hidden="1" x14ac:dyDescent="0.2">
      <c r="A2966">
        <v>2012</v>
      </c>
      <c r="B2966" t="s">
        <v>304</v>
      </c>
      <c r="C2966" s="733">
        <v>40961.521249999998</v>
      </c>
      <c r="D29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66" t="s">
        <v>485</v>
      </c>
      <c r="F2966" t="s">
        <v>2054</v>
      </c>
      <c r="G2966" t="s">
        <v>8430</v>
      </c>
      <c r="H2966">
        <v>10508</v>
      </c>
      <c r="I2966" t="s">
        <v>423</v>
      </c>
      <c r="J2966" t="s">
        <v>2056</v>
      </c>
      <c r="K2966" t="s">
        <v>2057</v>
      </c>
      <c r="L2966" t="s">
        <v>2058</v>
      </c>
      <c r="M2966">
        <v>19</v>
      </c>
      <c r="N2966">
        <v>46.26</v>
      </c>
      <c r="O2966">
        <v>5221.37</v>
      </c>
      <c r="P2966">
        <v>0</v>
      </c>
      <c r="Q2966">
        <v>5221.37</v>
      </c>
      <c r="R2966">
        <v>574.35</v>
      </c>
      <c r="S2966">
        <v>208.85</v>
      </c>
      <c r="T2966">
        <v>5586.87</v>
      </c>
      <c r="U2966" t="s">
        <v>8864</v>
      </c>
      <c r="V2966" t="s">
        <v>9409</v>
      </c>
      <c r="W2966" t="s">
        <v>423</v>
      </c>
    </row>
    <row r="2967" spans="1:23" hidden="1" x14ac:dyDescent="0.2">
      <c r="A2967">
        <v>2012</v>
      </c>
      <c r="B2967" t="s">
        <v>303</v>
      </c>
      <c r="C2967" s="733">
        <v>40931</v>
      </c>
      <c r="D29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67" t="s">
        <v>485</v>
      </c>
      <c r="F2967" t="s">
        <v>2048</v>
      </c>
      <c r="G2967" t="s">
        <v>2671</v>
      </c>
      <c r="H2967">
        <v>40733</v>
      </c>
      <c r="I2967" t="s">
        <v>423</v>
      </c>
      <c r="J2967" t="s">
        <v>2050</v>
      </c>
      <c r="K2967" t="s">
        <v>2051</v>
      </c>
      <c r="L2967" t="s">
        <v>2052</v>
      </c>
      <c r="M2967">
        <v>90</v>
      </c>
      <c r="N2967">
        <v>53.25</v>
      </c>
      <c r="O2967">
        <v>7471.51</v>
      </c>
      <c r="P2967">
        <v>0</v>
      </c>
      <c r="Q2967">
        <v>7471.51</v>
      </c>
      <c r="R2967">
        <v>1195.44</v>
      </c>
      <c r="S2967">
        <v>298.86</v>
      </c>
      <c r="T2967">
        <v>8368.09</v>
      </c>
      <c r="U2967" t="s">
        <v>2053</v>
      </c>
      <c r="V2967" t="s">
        <v>9409</v>
      </c>
      <c r="W2967" t="s">
        <v>423</v>
      </c>
    </row>
    <row r="2968" spans="1:23" hidden="1" x14ac:dyDescent="0.2">
      <c r="A2968">
        <v>2012</v>
      </c>
      <c r="B2968" t="s">
        <v>303</v>
      </c>
      <c r="C2968" s="733">
        <v>40924.745821759258</v>
      </c>
      <c r="D29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68" t="s">
        <v>485</v>
      </c>
      <c r="F2968" t="s">
        <v>2054</v>
      </c>
      <c r="G2968" t="s">
        <v>2676</v>
      </c>
      <c r="H2968">
        <v>10086</v>
      </c>
      <c r="I2968" t="s">
        <v>423</v>
      </c>
      <c r="J2968" t="s">
        <v>2056</v>
      </c>
      <c r="K2968" t="s">
        <v>2057</v>
      </c>
      <c r="L2968" t="s">
        <v>2058</v>
      </c>
      <c r="M2968">
        <v>19</v>
      </c>
      <c r="N2968">
        <v>46.7</v>
      </c>
      <c r="O2968">
        <v>5271.03</v>
      </c>
      <c r="P2968">
        <v>0</v>
      </c>
      <c r="Q2968">
        <v>5271.03</v>
      </c>
      <c r="R2968">
        <v>843.36</v>
      </c>
      <c r="S2968">
        <v>210.84</v>
      </c>
      <c r="T2968">
        <v>5903.55</v>
      </c>
      <c r="U2968" t="s">
        <v>2059</v>
      </c>
      <c r="V2968" t="s">
        <v>9409</v>
      </c>
      <c r="W2968" t="s">
        <v>423</v>
      </c>
    </row>
    <row r="2969" spans="1:23" hidden="1" x14ac:dyDescent="0.2">
      <c r="A2969">
        <v>2012</v>
      </c>
      <c r="B2969" t="s">
        <v>304</v>
      </c>
      <c r="C2969" s="733">
        <v>40943.641469907408</v>
      </c>
      <c r="D29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69" t="s">
        <v>485</v>
      </c>
      <c r="F2969" t="s">
        <v>2054</v>
      </c>
      <c r="G2969" t="s">
        <v>2678</v>
      </c>
      <c r="H2969">
        <v>10332</v>
      </c>
      <c r="I2969" t="s">
        <v>423</v>
      </c>
      <c r="J2969" t="s">
        <v>2056</v>
      </c>
      <c r="K2969" t="s">
        <v>2057</v>
      </c>
      <c r="L2969" t="s">
        <v>2058</v>
      </c>
      <c r="M2969">
        <v>19</v>
      </c>
      <c r="N2969">
        <v>24.09</v>
      </c>
      <c r="O2969">
        <v>2719.04</v>
      </c>
      <c r="P2969">
        <v>0</v>
      </c>
      <c r="Q2969">
        <v>2719.04</v>
      </c>
      <c r="R2969">
        <v>435.05</v>
      </c>
      <c r="S2969">
        <v>108.76</v>
      </c>
      <c r="T2969">
        <v>3045.33</v>
      </c>
      <c r="U2969" t="s">
        <v>2075</v>
      </c>
      <c r="V2969" t="s">
        <v>9408</v>
      </c>
      <c r="W2969" t="s">
        <v>423</v>
      </c>
    </row>
    <row r="2970" spans="1:23" hidden="1" x14ac:dyDescent="0.2">
      <c r="A2970">
        <v>2012</v>
      </c>
      <c r="B2970" t="s">
        <v>304</v>
      </c>
      <c r="C2970" s="733">
        <v>40954.707881944443</v>
      </c>
      <c r="D29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70" t="s">
        <v>485</v>
      </c>
      <c r="F2970" t="s">
        <v>2054</v>
      </c>
      <c r="G2970" t="s">
        <v>7578</v>
      </c>
      <c r="H2970">
        <v>10446</v>
      </c>
      <c r="I2970" t="s">
        <v>423</v>
      </c>
      <c r="J2970" t="s">
        <v>2056</v>
      </c>
      <c r="K2970" t="s">
        <v>2057</v>
      </c>
      <c r="L2970" t="s">
        <v>2058</v>
      </c>
      <c r="M2970">
        <v>19</v>
      </c>
      <c r="N2970">
        <v>24.09</v>
      </c>
      <c r="O2970">
        <v>2719.04</v>
      </c>
      <c r="P2970">
        <v>0</v>
      </c>
      <c r="Q2970">
        <v>2719.04</v>
      </c>
      <c r="R2970">
        <v>299.08999999999997</v>
      </c>
      <c r="S2970">
        <v>108.76</v>
      </c>
      <c r="T2970">
        <v>2909.37</v>
      </c>
      <c r="U2970" t="s">
        <v>8047</v>
      </c>
      <c r="V2970" t="s">
        <v>9408</v>
      </c>
      <c r="W2970" t="s">
        <v>423</v>
      </c>
    </row>
    <row r="2971" spans="1:23" hidden="1" x14ac:dyDescent="0.2">
      <c r="A2971">
        <v>2012</v>
      </c>
      <c r="B2971" t="s">
        <v>303</v>
      </c>
      <c r="C2971" s="733">
        <v>40933.651921296296</v>
      </c>
      <c r="D29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71" t="s">
        <v>485</v>
      </c>
      <c r="F2971" t="s">
        <v>2054</v>
      </c>
      <c r="G2971" t="s">
        <v>4076</v>
      </c>
      <c r="H2971">
        <v>10205</v>
      </c>
      <c r="I2971" t="s">
        <v>423</v>
      </c>
      <c r="J2971" t="s">
        <v>2056</v>
      </c>
      <c r="K2971" t="s">
        <v>2057</v>
      </c>
      <c r="L2971" t="s">
        <v>2058</v>
      </c>
      <c r="M2971">
        <v>19</v>
      </c>
      <c r="N2971">
        <v>24.16</v>
      </c>
      <c r="O2971">
        <v>2726.94</v>
      </c>
      <c r="P2971">
        <v>0</v>
      </c>
      <c r="Q2971">
        <v>2726.94</v>
      </c>
      <c r="R2971">
        <v>436.31</v>
      </c>
      <c r="S2971">
        <v>109.08</v>
      </c>
      <c r="T2971">
        <v>3054.17</v>
      </c>
      <c r="U2971" t="s">
        <v>2073</v>
      </c>
      <c r="V2971" t="s">
        <v>9408</v>
      </c>
      <c r="W2971" t="s">
        <v>423</v>
      </c>
    </row>
    <row r="2972" spans="1:23" hidden="1" x14ac:dyDescent="0.2">
      <c r="A2972">
        <v>2012</v>
      </c>
      <c r="B2972" t="s">
        <v>304</v>
      </c>
      <c r="C2972" s="733">
        <v>40966.535000000003</v>
      </c>
      <c r="D29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72" t="s">
        <v>485</v>
      </c>
      <c r="F2972" t="s">
        <v>2054</v>
      </c>
      <c r="G2972" t="s">
        <v>9028</v>
      </c>
      <c r="H2972">
        <v>10569</v>
      </c>
      <c r="I2972" t="s">
        <v>423</v>
      </c>
      <c r="J2972" t="s">
        <v>2056</v>
      </c>
      <c r="K2972" t="s">
        <v>2057</v>
      </c>
      <c r="L2972" t="s">
        <v>2058</v>
      </c>
      <c r="M2972">
        <v>19</v>
      </c>
      <c r="N2972">
        <v>22.96</v>
      </c>
      <c r="O2972">
        <v>2591.5</v>
      </c>
      <c r="P2972">
        <v>0</v>
      </c>
      <c r="Q2972">
        <v>2591.5</v>
      </c>
      <c r="R2972">
        <v>285.06</v>
      </c>
      <c r="S2972">
        <v>103.66</v>
      </c>
      <c r="T2972">
        <v>2772.9</v>
      </c>
      <c r="U2972" t="s">
        <v>8864</v>
      </c>
      <c r="V2972" t="s">
        <v>9408</v>
      </c>
      <c r="W2972" t="s">
        <v>423</v>
      </c>
    </row>
    <row r="2973" spans="1:23" x14ac:dyDescent="0.2">
      <c r="A2973">
        <v>2012</v>
      </c>
      <c r="B2973" t="s">
        <v>304</v>
      </c>
      <c r="C2973" s="733">
        <v>40967</v>
      </c>
      <c r="D29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73" t="s">
        <v>485</v>
      </c>
      <c r="F2973" t="s">
        <v>2048</v>
      </c>
      <c r="G2973" t="s">
        <v>9013</v>
      </c>
      <c r="H2973">
        <v>42607</v>
      </c>
      <c r="I2973" t="s">
        <v>423</v>
      </c>
      <c r="J2973" t="s">
        <v>2171</v>
      </c>
      <c r="K2973" t="s">
        <v>2051</v>
      </c>
      <c r="L2973" t="s">
        <v>2052</v>
      </c>
      <c r="M2973">
        <v>57</v>
      </c>
      <c r="N2973">
        <v>28.9</v>
      </c>
      <c r="O2973">
        <v>4054.96</v>
      </c>
      <c r="P2973">
        <v>0</v>
      </c>
      <c r="Q2973">
        <v>4054.96</v>
      </c>
      <c r="R2973">
        <v>648.79</v>
      </c>
      <c r="S2973">
        <v>162.19999999999999</v>
      </c>
      <c r="T2973">
        <v>4541.55</v>
      </c>
      <c r="V2973" t="s">
        <v>9408</v>
      </c>
      <c r="W2973" t="s">
        <v>423</v>
      </c>
    </row>
    <row r="2974" spans="1:23" hidden="1" x14ac:dyDescent="0.2">
      <c r="A2974">
        <v>2012</v>
      </c>
      <c r="B2974" t="s">
        <v>304</v>
      </c>
      <c r="C2974" s="733">
        <v>40954</v>
      </c>
      <c r="D29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74" t="s">
        <v>485</v>
      </c>
      <c r="F2974" t="s">
        <v>2065</v>
      </c>
      <c r="G2974" t="s">
        <v>7967</v>
      </c>
      <c r="H2974">
        <v>42019</v>
      </c>
      <c r="I2974" t="s">
        <v>423</v>
      </c>
      <c r="J2974" t="s">
        <v>2171</v>
      </c>
      <c r="K2974" t="s">
        <v>2051</v>
      </c>
      <c r="L2974" t="s">
        <v>2052</v>
      </c>
      <c r="M2974">
        <v>57</v>
      </c>
      <c r="N2974">
        <v>24</v>
      </c>
      <c r="O2974">
        <v>3367.44</v>
      </c>
      <c r="P2974">
        <v>0</v>
      </c>
      <c r="Q2974">
        <v>3367.44</v>
      </c>
      <c r="R2974">
        <v>538.79</v>
      </c>
      <c r="S2974">
        <v>134.69999999999999</v>
      </c>
      <c r="T2974">
        <v>3771.53</v>
      </c>
      <c r="U2974" t="s">
        <v>8780</v>
      </c>
      <c r="V2974" t="s">
        <v>9408</v>
      </c>
      <c r="W2974" t="s">
        <v>423</v>
      </c>
    </row>
    <row r="2975" spans="1:23" hidden="1" x14ac:dyDescent="0.2">
      <c r="A2975">
        <v>2012</v>
      </c>
      <c r="B2975" t="s">
        <v>303</v>
      </c>
      <c r="C2975" s="733">
        <v>40938.523275462961</v>
      </c>
      <c r="D29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75" t="s">
        <v>485</v>
      </c>
      <c r="F2975" t="s">
        <v>2048</v>
      </c>
      <c r="G2975" t="s">
        <v>2674</v>
      </c>
      <c r="H2975">
        <v>41102</v>
      </c>
      <c r="I2975" t="s">
        <v>423</v>
      </c>
      <c r="J2975" t="s">
        <v>2050</v>
      </c>
      <c r="K2975" t="s">
        <v>2051</v>
      </c>
      <c r="L2975" t="s">
        <v>2052</v>
      </c>
      <c r="M2975">
        <v>90</v>
      </c>
      <c r="N2975">
        <v>49.65</v>
      </c>
      <c r="O2975">
        <v>6966.39</v>
      </c>
      <c r="P2975">
        <v>0</v>
      </c>
      <c r="Q2975">
        <v>6966.39</v>
      </c>
      <c r="R2975">
        <v>1114.6199999999999</v>
      </c>
      <c r="S2975">
        <v>278.66000000000003</v>
      </c>
      <c r="T2975">
        <v>7802.35</v>
      </c>
      <c r="U2975" t="s">
        <v>2064</v>
      </c>
      <c r="V2975" t="s">
        <v>9409</v>
      </c>
      <c r="W2975" t="s">
        <v>423</v>
      </c>
    </row>
    <row r="2976" spans="1:23" hidden="1" x14ac:dyDescent="0.2">
      <c r="A2976">
        <v>2012</v>
      </c>
      <c r="B2976" t="s">
        <v>303</v>
      </c>
      <c r="C2976" s="733">
        <v>40924</v>
      </c>
      <c r="D29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76" t="s">
        <v>485</v>
      </c>
      <c r="F2976" t="s">
        <v>2048</v>
      </c>
      <c r="G2976" t="s">
        <v>2686</v>
      </c>
      <c r="H2976">
        <v>40405</v>
      </c>
      <c r="I2976" t="s">
        <v>423</v>
      </c>
      <c r="J2976" t="s">
        <v>2050</v>
      </c>
      <c r="K2976" t="s">
        <v>2051</v>
      </c>
      <c r="L2976" t="s">
        <v>2052</v>
      </c>
      <c r="M2976">
        <v>90</v>
      </c>
      <c r="N2976">
        <v>25.3</v>
      </c>
      <c r="O2976">
        <v>3549.84</v>
      </c>
      <c r="P2976">
        <v>0</v>
      </c>
      <c r="Q2976">
        <v>3549.84</v>
      </c>
      <c r="R2976">
        <v>567.97</v>
      </c>
      <c r="S2976">
        <v>141.99</v>
      </c>
      <c r="T2976">
        <v>3975.82</v>
      </c>
      <c r="U2976" t="s">
        <v>2062</v>
      </c>
      <c r="V2976" t="s">
        <v>9408</v>
      </c>
      <c r="W2976" t="s">
        <v>423</v>
      </c>
    </row>
    <row r="2977" spans="1:23" hidden="1" x14ac:dyDescent="0.2">
      <c r="A2977">
        <v>2012</v>
      </c>
      <c r="B2977" t="s">
        <v>304</v>
      </c>
      <c r="C2977" s="733">
        <v>40963</v>
      </c>
      <c r="D29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77" t="s">
        <v>485</v>
      </c>
      <c r="F2977" t="s">
        <v>2065</v>
      </c>
      <c r="G2977" t="s">
        <v>8718</v>
      </c>
      <c r="H2977">
        <v>42616</v>
      </c>
      <c r="I2977" t="s">
        <v>423</v>
      </c>
      <c r="J2977" t="s">
        <v>2050</v>
      </c>
      <c r="K2977" t="s">
        <v>2051</v>
      </c>
      <c r="L2977" t="s">
        <v>2052</v>
      </c>
      <c r="M2977">
        <v>90</v>
      </c>
      <c r="N2977">
        <v>51.65</v>
      </c>
      <c r="O2977">
        <v>7247.01</v>
      </c>
      <c r="P2977">
        <v>0</v>
      </c>
      <c r="Q2977">
        <v>7247.01</v>
      </c>
      <c r="R2977">
        <v>1159.52</v>
      </c>
      <c r="S2977">
        <v>289.88</v>
      </c>
      <c r="T2977">
        <v>8116.65</v>
      </c>
      <c r="V2977" t="s">
        <v>9409</v>
      </c>
      <c r="W2977" t="s">
        <v>423</v>
      </c>
    </row>
    <row r="2978" spans="1:23" hidden="1" x14ac:dyDescent="0.2">
      <c r="A2978">
        <v>2012</v>
      </c>
      <c r="B2978" t="s">
        <v>303</v>
      </c>
      <c r="C2978" s="733">
        <v>40924</v>
      </c>
      <c r="D29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78" t="s">
        <v>485</v>
      </c>
      <c r="F2978" t="s">
        <v>2054</v>
      </c>
      <c r="G2978" t="s">
        <v>2684</v>
      </c>
      <c r="H2978">
        <v>10095</v>
      </c>
      <c r="I2978" t="s">
        <v>423</v>
      </c>
      <c r="J2978" t="s">
        <v>2056</v>
      </c>
      <c r="K2978" t="s">
        <v>2057</v>
      </c>
      <c r="L2978" t="s">
        <v>2058</v>
      </c>
      <c r="M2978">
        <v>19</v>
      </c>
      <c r="N2978">
        <v>21.96</v>
      </c>
      <c r="O2978">
        <v>2478.63</v>
      </c>
      <c r="P2978">
        <v>0</v>
      </c>
      <c r="Q2978">
        <v>2478.63</v>
      </c>
      <c r="R2978">
        <v>396.58</v>
      </c>
      <c r="S2978">
        <v>99.15</v>
      </c>
      <c r="T2978">
        <v>2776.06</v>
      </c>
      <c r="U2978" t="s">
        <v>2059</v>
      </c>
      <c r="V2978" t="s">
        <v>9408</v>
      </c>
      <c r="W2978" t="s">
        <v>423</v>
      </c>
    </row>
    <row r="2979" spans="1:23" hidden="1" x14ac:dyDescent="0.2">
      <c r="A2979">
        <v>2012</v>
      </c>
      <c r="B2979" t="s">
        <v>304</v>
      </c>
      <c r="C2979" s="733">
        <v>40950.566817129627</v>
      </c>
      <c r="D29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79" t="s">
        <v>485</v>
      </c>
      <c r="F2979" t="s">
        <v>2054</v>
      </c>
      <c r="G2979" t="s">
        <v>2685</v>
      </c>
      <c r="H2979">
        <v>10393</v>
      </c>
      <c r="I2979" t="s">
        <v>423</v>
      </c>
      <c r="J2979" t="s">
        <v>2056</v>
      </c>
      <c r="K2979" t="s">
        <v>2057</v>
      </c>
      <c r="L2979" t="s">
        <v>2058</v>
      </c>
      <c r="M2979">
        <v>19</v>
      </c>
      <c r="N2979">
        <v>23.94</v>
      </c>
      <c r="O2979">
        <v>2702.11</v>
      </c>
      <c r="P2979">
        <v>0</v>
      </c>
      <c r="Q2979">
        <v>2702.11</v>
      </c>
      <c r="R2979">
        <v>297.23</v>
      </c>
      <c r="S2979">
        <v>108.08</v>
      </c>
      <c r="T2979">
        <v>2891.26</v>
      </c>
      <c r="U2979" t="s">
        <v>8047</v>
      </c>
      <c r="V2979" t="s">
        <v>9408</v>
      </c>
      <c r="W2979" t="s">
        <v>423</v>
      </c>
    </row>
    <row r="2980" spans="1:23" hidden="1" x14ac:dyDescent="0.2">
      <c r="A2980">
        <v>2012</v>
      </c>
      <c r="B2980" t="s">
        <v>304</v>
      </c>
      <c r="C2980" s="733">
        <v>40952</v>
      </c>
      <c r="D29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80" t="s">
        <v>485</v>
      </c>
      <c r="F2980" t="s">
        <v>2054</v>
      </c>
      <c r="G2980" t="s">
        <v>2970</v>
      </c>
      <c r="H2980">
        <v>10384</v>
      </c>
      <c r="I2980" t="s">
        <v>423</v>
      </c>
      <c r="J2980" t="s">
        <v>2056</v>
      </c>
      <c r="K2980" t="s">
        <v>2057</v>
      </c>
      <c r="L2980" t="s">
        <v>2058</v>
      </c>
      <c r="M2980">
        <v>19</v>
      </c>
      <c r="N2980">
        <v>48.09</v>
      </c>
      <c r="O2980">
        <v>5427.92</v>
      </c>
      <c r="P2980">
        <v>0</v>
      </c>
      <c r="Q2980">
        <v>5427.92</v>
      </c>
      <c r="R2980">
        <v>597.07000000000005</v>
      </c>
      <c r="S2980">
        <v>217.12</v>
      </c>
      <c r="T2980">
        <v>5807.87</v>
      </c>
      <c r="U2980" t="s">
        <v>2082</v>
      </c>
      <c r="V2980" t="s">
        <v>9408</v>
      </c>
      <c r="W2980" t="s">
        <v>423</v>
      </c>
    </row>
    <row r="2981" spans="1:23" hidden="1" x14ac:dyDescent="0.2">
      <c r="A2981">
        <v>2012</v>
      </c>
      <c r="B2981" t="s">
        <v>303</v>
      </c>
      <c r="C2981" s="733">
        <v>40926</v>
      </c>
      <c r="D29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81" t="s">
        <v>485</v>
      </c>
      <c r="F2981" t="s">
        <v>2084</v>
      </c>
      <c r="G2981" t="s">
        <v>5841</v>
      </c>
      <c r="H2981">
        <v>40206</v>
      </c>
      <c r="I2981" t="s">
        <v>423</v>
      </c>
      <c r="J2981" t="s">
        <v>2813</v>
      </c>
      <c r="K2981" t="s">
        <v>2814</v>
      </c>
      <c r="L2981" t="s">
        <v>2815</v>
      </c>
      <c r="M2981">
        <v>365</v>
      </c>
      <c r="N2981">
        <v>23.765999999999998</v>
      </c>
      <c r="O2981">
        <v>6397.33</v>
      </c>
      <c r="P2981">
        <v>0</v>
      </c>
      <c r="Q2981">
        <v>6397.33</v>
      </c>
      <c r="R2981">
        <v>1023.57</v>
      </c>
      <c r="S2981">
        <v>255.89</v>
      </c>
      <c r="T2981">
        <v>7165.01</v>
      </c>
      <c r="U2981" t="s">
        <v>2824</v>
      </c>
      <c r="V2981" t="s">
        <v>9408</v>
      </c>
      <c r="W2981" t="s">
        <v>423</v>
      </c>
    </row>
    <row r="2982" spans="1:23" x14ac:dyDescent="0.2">
      <c r="A2982">
        <v>2012</v>
      </c>
      <c r="B2982" t="s">
        <v>304</v>
      </c>
      <c r="C2982" s="733">
        <v>40967</v>
      </c>
      <c r="D29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82" t="s">
        <v>485</v>
      </c>
      <c r="F2982" t="s">
        <v>2065</v>
      </c>
      <c r="G2982" t="s">
        <v>8956</v>
      </c>
      <c r="H2982">
        <v>42560</v>
      </c>
      <c r="I2982" t="s">
        <v>423</v>
      </c>
      <c r="J2982" t="s">
        <v>2813</v>
      </c>
      <c r="K2982" t="s">
        <v>2814</v>
      </c>
      <c r="L2982" t="s">
        <v>2815</v>
      </c>
      <c r="M2982">
        <v>365</v>
      </c>
      <c r="N2982">
        <v>23.893999999999998</v>
      </c>
      <c r="O2982">
        <v>6431.79</v>
      </c>
      <c r="P2982">
        <v>0</v>
      </c>
      <c r="Q2982">
        <v>6431.79</v>
      </c>
      <c r="R2982">
        <v>707.5</v>
      </c>
      <c r="S2982">
        <v>257.27</v>
      </c>
      <c r="T2982">
        <v>6882.02</v>
      </c>
      <c r="V2982" t="s">
        <v>9408</v>
      </c>
      <c r="W2982" t="s">
        <v>423</v>
      </c>
    </row>
    <row r="2983" spans="1:23" hidden="1" x14ac:dyDescent="0.2">
      <c r="A2983">
        <v>2012</v>
      </c>
      <c r="B2983" t="s">
        <v>303</v>
      </c>
      <c r="C2983" s="733">
        <v>40912</v>
      </c>
      <c r="D29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83" t="s">
        <v>478</v>
      </c>
      <c r="F2983" t="s">
        <v>2136</v>
      </c>
      <c r="G2983" t="s">
        <v>7185</v>
      </c>
      <c r="H2983">
        <v>34081</v>
      </c>
      <c r="I2983" t="s">
        <v>423</v>
      </c>
      <c r="J2983" t="s">
        <v>5249</v>
      </c>
      <c r="K2983" t="s">
        <v>425</v>
      </c>
      <c r="L2983" t="s">
        <v>2145</v>
      </c>
      <c r="M2983">
        <v>134</v>
      </c>
      <c r="N2983">
        <v>45.59</v>
      </c>
      <c r="O2983">
        <v>3493.11</v>
      </c>
      <c r="P2983">
        <v>3932.857618</v>
      </c>
      <c r="Q2983">
        <v>7425.9676179999997</v>
      </c>
      <c r="R2983">
        <v>1188.1548190000001</v>
      </c>
      <c r="S2983">
        <v>297.03870499999999</v>
      </c>
      <c r="T2983">
        <v>8317.0837319999991</v>
      </c>
      <c r="U2983" t="s">
        <v>2350</v>
      </c>
      <c r="V2983" t="s">
        <v>9409</v>
      </c>
      <c r="W2983" t="s">
        <v>423</v>
      </c>
    </row>
    <row r="2984" spans="1:23" hidden="1" x14ac:dyDescent="0.2">
      <c r="A2984">
        <v>2012</v>
      </c>
      <c r="B2984" t="s">
        <v>303</v>
      </c>
      <c r="C2984" s="733">
        <v>40921</v>
      </c>
      <c r="D29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84" t="s">
        <v>478</v>
      </c>
      <c r="F2984" t="s">
        <v>2136</v>
      </c>
      <c r="G2984" t="s">
        <v>7183</v>
      </c>
      <c r="H2984">
        <v>34478</v>
      </c>
      <c r="I2984" t="s">
        <v>423</v>
      </c>
      <c r="J2984" t="s">
        <v>4699</v>
      </c>
      <c r="K2984" t="s">
        <v>425</v>
      </c>
      <c r="L2984" t="s">
        <v>2145</v>
      </c>
      <c r="M2984">
        <v>555</v>
      </c>
      <c r="N2984">
        <v>53.42</v>
      </c>
      <c r="O2984">
        <v>17067.689999999999</v>
      </c>
      <c r="P2984">
        <v>0</v>
      </c>
      <c r="Q2984">
        <v>17067.689999999999</v>
      </c>
      <c r="R2984">
        <v>2730.83</v>
      </c>
      <c r="S2984">
        <v>682.71</v>
      </c>
      <c r="T2984">
        <v>19115.810000000001</v>
      </c>
      <c r="U2984" t="s">
        <v>2355</v>
      </c>
      <c r="V2984" t="s">
        <v>9409</v>
      </c>
      <c r="W2984" t="s">
        <v>423</v>
      </c>
    </row>
    <row r="2985" spans="1:23" hidden="1" x14ac:dyDescent="0.2">
      <c r="A2985">
        <v>2012</v>
      </c>
      <c r="B2985" t="s">
        <v>304</v>
      </c>
      <c r="C2985" s="733">
        <v>40966</v>
      </c>
      <c r="D29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85" t="s">
        <v>485</v>
      </c>
      <c r="F2985" t="s">
        <v>2065</v>
      </c>
      <c r="G2985" t="s">
        <v>8822</v>
      </c>
      <c r="H2985">
        <v>42629</v>
      </c>
      <c r="I2985" t="s">
        <v>423</v>
      </c>
      <c r="J2985" t="s">
        <v>5260</v>
      </c>
      <c r="K2985" t="s">
        <v>2102</v>
      </c>
      <c r="L2985" t="s">
        <v>2115</v>
      </c>
      <c r="M2985">
        <v>832</v>
      </c>
      <c r="N2985">
        <v>51.03</v>
      </c>
      <c r="O2985">
        <v>25462.44</v>
      </c>
      <c r="P2985">
        <v>0</v>
      </c>
      <c r="Q2985">
        <v>25462.44</v>
      </c>
      <c r="R2985">
        <v>4073.99</v>
      </c>
      <c r="S2985">
        <v>1018.5</v>
      </c>
      <c r="T2985">
        <v>28517.93</v>
      </c>
      <c r="V2985" t="s">
        <v>9409</v>
      </c>
      <c r="W2985" t="s">
        <v>423</v>
      </c>
    </row>
    <row r="2986" spans="1:23" hidden="1" x14ac:dyDescent="0.2">
      <c r="A2986">
        <v>2012</v>
      </c>
      <c r="B2986" t="s">
        <v>303</v>
      </c>
      <c r="C2986" s="733">
        <v>40934</v>
      </c>
      <c r="D29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86" t="s">
        <v>478</v>
      </c>
      <c r="F2986" t="s">
        <v>2136</v>
      </c>
      <c r="G2986" t="s">
        <v>7186</v>
      </c>
      <c r="H2986">
        <v>34944</v>
      </c>
      <c r="I2986" t="s">
        <v>423</v>
      </c>
      <c r="J2986" t="s">
        <v>5249</v>
      </c>
      <c r="K2986" t="s">
        <v>425</v>
      </c>
      <c r="L2986" t="s">
        <v>2145</v>
      </c>
      <c r="M2986">
        <v>134</v>
      </c>
      <c r="N2986">
        <v>52.52</v>
      </c>
      <c r="O2986">
        <v>9558.11</v>
      </c>
      <c r="P2986">
        <v>0</v>
      </c>
      <c r="Q2986">
        <v>9558.11</v>
      </c>
      <c r="R2986">
        <v>1529.3</v>
      </c>
      <c r="S2986">
        <v>382.32</v>
      </c>
      <c r="T2986">
        <v>10705.09</v>
      </c>
      <c r="U2986" t="s">
        <v>2150</v>
      </c>
      <c r="V2986" t="s">
        <v>9409</v>
      </c>
      <c r="W2986" t="s">
        <v>423</v>
      </c>
    </row>
    <row r="2987" spans="1:23" hidden="1" x14ac:dyDescent="0.2">
      <c r="A2987">
        <v>2012</v>
      </c>
      <c r="B2987" t="s">
        <v>303</v>
      </c>
      <c r="C2987" s="733">
        <v>40918</v>
      </c>
      <c r="D29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87" t="s">
        <v>478</v>
      </c>
      <c r="F2987" t="s">
        <v>2136</v>
      </c>
      <c r="G2987" t="s">
        <v>7184</v>
      </c>
      <c r="H2987">
        <v>34344</v>
      </c>
      <c r="I2987" t="s">
        <v>423</v>
      </c>
      <c r="J2987" t="s">
        <v>4699</v>
      </c>
      <c r="K2987" t="s">
        <v>425</v>
      </c>
      <c r="L2987" t="s">
        <v>2145</v>
      </c>
      <c r="M2987">
        <v>555</v>
      </c>
      <c r="N2987">
        <v>51.91</v>
      </c>
      <c r="O2987">
        <v>16585.240000000002</v>
      </c>
      <c r="P2987">
        <v>0</v>
      </c>
      <c r="Q2987">
        <v>16585.240000000002</v>
      </c>
      <c r="R2987">
        <v>2653.64</v>
      </c>
      <c r="S2987">
        <v>663.41</v>
      </c>
      <c r="T2987">
        <v>18575.47</v>
      </c>
      <c r="U2987" t="s">
        <v>2355</v>
      </c>
      <c r="V2987" t="s">
        <v>9409</v>
      </c>
      <c r="W2987" t="s">
        <v>423</v>
      </c>
    </row>
    <row r="2988" spans="1:23" hidden="1" x14ac:dyDescent="0.2">
      <c r="A2988">
        <v>2012</v>
      </c>
      <c r="B2988" t="s">
        <v>304</v>
      </c>
      <c r="C2988" s="733">
        <v>40959</v>
      </c>
      <c r="D29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88" t="s">
        <v>485</v>
      </c>
      <c r="F2988" t="s">
        <v>2065</v>
      </c>
      <c r="G2988" t="s">
        <v>7981</v>
      </c>
      <c r="H2988">
        <v>42059</v>
      </c>
      <c r="I2988" t="s">
        <v>423</v>
      </c>
      <c r="J2988" t="s">
        <v>2139</v>
      </c>
      <c r="K2988" t="s">
        <v>2102</v>
      </c>
      <c r="L2988" t="s">
        <v>2184</v>
      </c>
      <c r="M2988">
        <v>543</v>
      </c>
      <c r="N2988">
        <v>50.99</v>
      </c>
      <c r="O2988">
        <v>17145.39</v>
      </c>
      <c r="P2988">
        <v>0</v>
      </c>
      <c r="Q2988">
        <v>17145.39</v>
      </c>
      <c r="R2988">
        <v>2743.26</v>
      </c>
      <c r="S2988">
        <v>685.82</v>
      </c>
      <c r="T2988">
        <v>19202.830000000002</v>
      </c>
      <c r="V2988" t="s">
        <v>9409</v>
      </c>
      <c r="W2988" t="s">
        <v>423</v>
      </c>
    </row>
    <row r="2989" spans="1:23" hidden="1" x14ac:dyDescent="0.2">
      <c r="A2989">
        <v>2012</v>
      </c>
      <c r="B2989" t="s">
        <v>304</v>
      </c>
      <c r="C2989" s="733">
        <v>40956</v>
      </c>
      <c r="D29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89" t="s">
        <v>485</v>
      </c>
      <c r="F2989" t="s">
        <v>2065</v>
      </c>
      <c r="G2989" t="s">
        <v>7985</v>
      </c>
      <c r="H2989">
        <v>42028</v>
      </c>
      <c r="I2989" t="s">
        <v>423</v>
      </c>
      <c r="J2989" t="s">
        <v>2139</v>
      </c>
      <c r="K2989" t="s">
        <v>2102</v>
      </c>
      <c r="L2989" t="s">
        <v>2115</v>
      </c>
      <c r="M2989">
        <v>543</v>
      </c>
      <c r="N2989">
        <v>46.38</v>
      </c>
      <c r="O2989">
        <v>15595.28</v>
      </c>
      <c r="P2989">
        <v>0</v>
      </c>
      <c r="Q2989">
        <v>15595.28</v>
      </c>
      <c r="R2989">
        <v>2495.2399999999998</v>
      </c>
      <c r="S2989">
        <v>623.80999999999995</v>
      </c>
      <c r="T2989">
        <v>17466.71</v>
      </c>
      <c r="U2989" t="s">
        <v>8883</v>
      </c>
      <c r="V2989" t="s">
        <v>9409</v>
      </c>
      <c r="W2989" t="s">
        <v>423</v>
      </c>
    </row>
    <row r="2990" spans="1:23" hidden="1" x14ac:dyDescent="0.2">
      <c r="A2990">
        <v>2012</v>
      </c>
      <c r="B2990" t="s">
        <v>303</v>
      </c>
      <c r="C2990" s="733">
        <v>40938</v>
      </c>
      <c r="D29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90" t="s">
        <v>485</v>
      </c>
      <c r="F2990" t="s">
        <v>2065</v>
      </c>
      <c r="G2990" t="s">
        <v>3761</v>
      </c>
      <c r="H2990">
        <v>40955</v>
      </c>
      <c r="I2990" t="s">
        <v>423</v>
      </c>
      <c r="J2990" t="s">
        <v>2139</v>
      </c>
      <c r="K2990" t="s">
        <v>2102</v>
      </c>
      <c r="L2990" t="s">
        <v>2115</v>
      </c>
      <c r="M2990">
        <v>543</v>
      </c>
      <c r="N2990">
        <v>52.69</v>
      </c>
      <c r="O2990">
        <v>17717.009999999998</v>
      </c>
      <c r="P2990">
        <v>0</v>
      </c>
      <c r="Q2990">
        <v>17717.009999999998</v>
      </c>
      <c r="R2990">
        <v>2834.72</v>
      </c>
      <c r="S2990">
        <v>708.68</v>
      </c>
      <c r="T2990">
        <v>19843.05</v>
      </c>
      <c r="U2990" t="s">
        <v>2110</v>
      </c>
      <c r="V2990" t="s">
        <v>9409</v>
      </c>
      <c r="W2990" t="s">
        <v>423</v>
      </c>
    </row>
    <row r="2991" spans="1:23" hidden="1" x14ac:dyDescent="0.2">
      <c r="A2991">
        <v>2012</v>
      </c>
      <c r="B2991" t="s">
        <v>303</v>
      </c>
      <c r="C2991" s="733">
        <v>40935</v>
      </c>
      <c r="D29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91" t="s">
        <v>485</v>
      </c>
      <c r="F2991" t="s">
        <v>2065</v>
      </c>
      <c r="G2991" t="s">
        <v>3760</v>
      </c>
      <c r="H2991">
        <v>40816</v>
      </c>
      <c r="I2991" t="s">
        <v>423</v>
      </c>
      <c r="J2991" t="s">
        <v>2139</v>
      </c>
      <c r="K2991" t="s">
        <v>2102</v>
      </c>
      <c r="L2991" t="s">
        <v>2115</v>
      </c>
      <c r="M2991">
        <v>543</v>
      </c>
      <c r="N2991">
        <v>54.32</v>
      </c>
      <c r="O2991">
        <v>18265.099999999999</v>
      </c>
      <c r="P2991">
        <v>0</v>
      </c>
      <c r="Q2991">
        <v>18265.099999999999</v>
      </c>
      <c r="R2991">
        <v>2922.42</v>
      </c>
      <c r="S2991">
        <v>730.6</v>
      </c>
      <c r="T2991">
        <v>20456.919999999998</v>
      </c>
      <c r="U2991" t="s">
        <v>2110</v>
      </c>
      <c r="V2991" t="s">
        <v>9409</v>
      </c>
      <c r="W2991" t="s">
        <v>423</v>
      </c>
    </row>
    <row r="2992" spans="1:23" hidden="1" x14ac:dyDescent="0.2">
      <c r="A2992">
        <v>2012</v>
      </c>
      <c r="B2992" t="s">
        <v>303</v>
      </c>
      <c r="C2992" s="733">
        <v>40935</v>
      </c>
      <c r="D29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92" t="s">
        <v>478</v>
      </c>
      <c r="F2992" t="s">
        <v>2622</v>
      </c>
      <c r="G2992" t="s">
        <v>6953</v>
      </c>
      <c r="H2992">
        <v>34945</v>
      </c>
      <c r="I2992" t="s">
        <v>423</v>
      </c>
      <c r="J2992" t="s">
        <v>4285</v>
      </c>
      <c r="K2992" t="s">
        <v>425</v>
      </c>
      <c r="L2992" t="s">
        <v>2145</v>
      </c>
      <c r="M2992">
        <v>110</v>
      </c>
      <c r="N2992">
        <v>24.41</v>
      </c>
      <c r="O2992">
        <v>3972.73</v>
      </c>
      <c r="P2992">
        <v>0</v>
      </c>
      <c r="Q2992">
        <v>3972.73</v>
      </c>
      <c r="R2992">
        <v>635.64</v>
      </c>
      <c r="S2992">
        <v>158.91</v>
      </c>
      <c r="T2992">
        <v>4449.46</v>
      </c>
      <c r="U2992" t="s">
        <v>2580</v>
      </c>
      <c r="V2992" t="s">
        <v>9408</v>
      </c>
      <c r="W2992" t="s">
        <v>423</v>
      </c>
    </row>
    <row r="2993" spans="1:23" hidden="1" x14ac:dyDescent="0.2">
      <c r="A2993">
        <v>2012</v>
      </c>
      <c r="B2993" t="s">
        <v>303</v>
      </c>
      <c r="C2993" s="733">
        <v>40917</v>
      </c>
      <c r="D29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93" t="s">
        <v>478</v>
      </c>
      <c r="F2993" t="s">
        <v>2136</v>
      </c>
      <c r="G2993" t="s">
        <v>6954</v>
      </c>
      <c r="H2993">
        <v>34254</v>
      </c>
      <c r="I2993" t="s">
        <v>423</v>
      </c>
      <c r="J2993" t="s">
        <v>4285</v>
      </c>
      <c r="K2993" t="s">
        <v>425</v>
      </c>
      <c r="L2993" t="s">
        <v>2145</v>
      </c>
      <c r="M2993">
        <v>110</v>
      </c>
      <c r="N2993">
        <v>26.82</v>
      </c>
      <c r="O2993">
        <v>4364.96</v>
      </c>
      <c r="P2993">
        <v>0</v>
      </c>
      <c r="Q2993">
        <v>4364.96</v>
      </c>
      <c r="R2993">
        <v>698.39</v>
      </c>
      <c r="S2993">
        <v>174.6</v>
      </c>
      <c r="T2993">
        <v>4888.75</v>
      </c>
      <c r="U2993" t="s">
        <v>2150</v>
      </c>
      <c r="V2993" t="s">
        <v>9408</v>
      </c>
      <c r="W2993" t="s">
        <v>423</v>
      </c>
    </row>
    <row r="2994" spans="1:23" hidden="1" x14ac:dyDescent="0.2">
      <c r="A2994">
        <v>2012</v>
      </c>
      <c r="B2994" t="s">
        <v>304</v>
      </c>
      <c r="C2994" s="733">
        <v>40946</v>
      </c>
      <c r="D29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94" t="s">
        <v>485</v>
      </c>
      <c r="F2994" t="s">
        <v>2065</v>
      </c>
      <c r="G2994" t="s">
        <v>5634</v>
      </c>
      <c r="H2994">
        <v>41417</v>
      </c>
      <c r="I2994" t="s">
        <v>423</v>
      </c>
      <c r="J2994" t="s">
        <v>2196</v>
      </c>
      <c r="K2994" t="s">
        <v>2183</v>
      </c>
      <c r="L2994" t="s">
        <v>2184</v>
      </c>
      <c r="M2994">
        <v>10</v>
      </c>
      <c r="N2994">
        <v>48.58</v>
      </c>
      <c r="O2994">
        <v>5483.22</v>
      </c>
      <c r="P2994">
        <v>0</v>
      </c>
      <c r="Q2994">
        <v>5483.22</v>
      </c>
      <c r="R2994">
        <v>877.32</v>
      </c>
      <c r="S2994">
        <v>219.33</v>
      </c>
      <c r="T2994">
        <v>6141.21</v>
      </c>
      <c r="U2994" t="s">
        <v>2192</v>
      </c>
      <c r="V2994" t="s">
        <v>9409</v>
      </c>
      <c r="W2994" t="s">
        <v>423</v>
      </c>
    </row>
    <row r="2995" spans="1:23" hidden="1" x14ac:dyDescent="0.2">
      <c r="A2995">
        <v>2012</v>
      </c>
      <c r="B2995" t="s">
        <v>303</v>
      </c>
      <c r="C2995" s="733">
        <v>40925</v>
      </c>
      <c r="D29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95" t="s">
        <v>485</v>
      </c>
      <c r="F2995" t="s">
        <v>2065</v>
      </c>
      <c r="G2995" t="s">
        <v>5827</v>
      </c>
      <c r="H2995">
        <v>40304</v>
      </c>
      <c r="I2995" t="s">
        <v>423</v>
      </c>
      <c r="J2995" t="s">
        <v>2196</v>
      </c>
      <c r="K2995" t="s">
        <v>2183</v>
      </c>
      <c r="L2995" t="s">
        <v>2184</v>
      </c>
      <c r="M2995">
        <v>10</v>
      </c>
      <c r="N2995">
        <v>25.64</v>
      </c>
      <c r="O2995">
        <v>2893.99</v>
      </c>
      <c r="P2995">
        <v>0</v>
      </c>
      <c r="Q2995">
        <v>2893.99</v>
      </c>
      <c r="R2995">
        <v>463.04</v>
      </c>
      <c r="S2995">
        <v>115.76</v>
      </c>
      <c r="T2995">
        <v>3241.27</v>
      </c>
      <c r="U2995" t="s">
        <v>2187</v>
      </c>
      <c r="V2995" t="s">
        <v>9408</v>
      </c>
      <c r="W2995" t="s">
        <v>423</v>
      </c>
    </row>
    <row r="2996" spans="1:23" hidden="1" x14ac:dyDescent="0.2">
      <c r="A2996">
        <v>2012</v>
      </c>
      <c r="B2996" t="s">
        <v>303</v>
      </c>
      <c r="C2996" s="733">
        <v>40921</v>
      </c>
      <c r="D29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96" t="s">
        <v>485</v>
      </c>
      <c r="F2996" t="s">
        <v>2065</v>
      </c>
      <c r="G2996" t="s">
        <v>5828</v>
      </c>
      <c r="H2996">
        <v>40196</v>
      </c>
      <c r="I2996" t="s">
        <v>423</v>
      </c>
      <c r="J2996" t="s">
        <v>2196</v>
      </c>
      <c r="K2996" t="s">
        <v>2183</v>
      </c>
      <c r="L2996" t="s">
        <v>2184</v>
      </c>
      <c r="M2996">
        <v>10</v>
      </c>
      <c r="N2996">
        <v>24.72</v>
      </c>
      <c r="O2996">
        <v>2790.15</v>
      </c>
      <c r="P2996">
        <v>0</v>
      </c>
      <c r="Q2996">
        <v>2790.15</v>
      </c>
      <c r="R2996">
        <v>446.42</v>
      </c>
      <c r="S2996">
        <v>111.61</v>
      </c>
      <c r="T2996">
        <v>3124.96</v>
      </c>
      <c r="U2996" t="s">
        <v>7520</v>
      </c>
      <c r="V2996" t="s">
        <v>9408</v>
      </c>
      <c r="W2996" t="s">
        <v>423</v>
      </c>
    </row>
    <row r="2997" spans="1:23" x14ac:dyDescent="0.2">
      <c r="A2997">
        <v>2012</v>
      </c>
      <c r="B2997" t="s">
        <v>304</v>
      </c>
      <c r="C2997" s="733">
        <v>40967</v>
      </c>
      <c r="D29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2997" t="s">
        <v>485</v>
      </c>
      <c r="F2997" t="s">
        <v>2065</v>
      </c>
      <c r="G2997" t="s">
        <v>9093</v>
      </c>
      <c r="H2997">
        <v>42710</v>
      </c>
      <c r="I2997" t="s">
        <v>423</v>
      </c>
      <c r="J2997" t="s">
        <v>2196</v>
      </c>
      <c r="K2997" t="s">
        <v>2183</v>
      </c>
      <c r="L2997" t="s">
        <v>2184</v>
      </c>
      <c r="M2997">
        <v>10</v>
      </c>
      <c r="N2997">
        <v>26.45</v>
      </c>
      <c r="O2997">
        <v>2985.41</v>
      </c>
      <c r="P2997">
        <v>0</v>
      </c>
      <c r="Q2997">
        <v>2985.41</v>
      </c>
      <c r="R2997">
        <v>477.67</v>
      </c>
      <c r="S2997">
        <v>119.42</v>
      </c>
      <c r="T2997">
        <v>3343.66</v>
      </c>
      <c r="V2997" t="s">
        <v>9408</v>
      </c>
      <c r="W2997" t="s">
        <v>423</v>
      </c>
    </row>
    <row r="2998" spans="1:23" hidden="1" x14ac:dyDescent="0.2">
      <c r="A2998">
        <v>2012</v>
      </c>
      <c r="B2998" t="s">
        <v>303</v>
      </c>
      <c r="C2998" s="733">
        <v>40927</v>
      </c>
      <c r="D29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98" t="s">
        <v>485</v>
      </c>
      <c r="F2998" t="s">
        <v>2065</v>
      </c>
      <c r="G2998" t="s">
        <v>5647</v>
      </c>
      <c r="H2998">
        <v>40480</v>
      </c>
      <c r="I2998" t="s">
        <v>423</v>
      </c>
      <c r="J2998" t="s">
        <v>2196</v>
      </c>
      <c r="K2998" t="s">
        <v>2183</v>
      </c>
      <c r="L2998" t="s">
        <v>2184</v>
      </c>
      <c r="M2998">
        <v>10</v>
      </c>
      <c r="N2998">
        <v>49.98</v>
      </c>
      <c r="O2998">
        <v>5641.24</v>
      </c>
      <c r="P2998">
        <v>0</v>
      </c>
      <c r="Q2998">
        <v>5641.24</v>
      </c>
      <c r="R2998">
        <v>902.6</v>
      </c>
      <c r="S2998">
        <v>225.65</v>
      </c>
      <c r="T2998">
        <v>6318.19</v>
      </c>
      <c r="U2998" t="s">
        <v>7554</v>
      </c>
      <c r="V2998" t="s">
        <v>9409</v>
      </c>
      <c r="W2998" t="s">
        <v>423</v>
      </c>
    </row>
    <row r="2999" spans="1:23" hidden="1" x14ac:dyDescent="0.2">
      <c r="A2999">
        <v>2012</v>
      </c>
      <c r="B2999" t="s">
        <v>303</v>
      </c>
      <c r="C2999" s="733">
        <v>40928</v>
      </c>
      <c r="D29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2999" t="s">
        <v>485</v>
      </c>
      <c r="F2999" t="s">
        <v>2065</v>
      </c>
      <c r="G2999" t="s">
        <v>3762</v>
      </c>
      <c r="H2999">
        <v>40476</v>
      </c>
      <c r="I2999" t="s">
        <v>423</v>
      </c>
      <c r="J2999" t="s">
        <v>2139</v>
      </c>
      <c r="K2999" t="s">
        <v>2102</v>
      </c>
      <c r="L2999" t="s">
        <v>2115</v>
      </c>
      <c r="M2999">
        <v>543</v>
      </c>
      <c r="N2999">
        <v>53.95</v>
      </c>
      <c r="O2999">
        <v>18140.689999999999</v>
      </c>
      <c r="P2999">
        <v>0</v>
      </c>
      <c r="Q2999">
        <v>18140.689999999999</v>
      </c>
      <c r="R2999">
        <v>2902.51</v>
      </c>
      <c r="S2999">
        <v>725.63</v>
      </c>
      <c r="T2999">
        <v>20317.57</v>
      </c>
      <c r="U2999" t="s">
        <v>2108</v>
      </c>
      <c r="V2999" t="s">
        <v>9409</v>
      </c>
      <c r="W2999" t="s">
        <v>423</v>
      </c>
    </row>
    <row r="3000" spans="1:23" hidden="1" x14ac:dyDescent="0.2">
      <c r="A3000">
        <v>2012</v>
      </c>
      <c r="B3000" t="s">
        <v>303</v>
      </c>
      <c r="C3000" s="733">
        <v>40919</v>
      </c>
      <c r="D30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00" t="s">
        <v>478</v>
      </c>
      <c r="F3000" t="s">
        <v>2136</v>
      </c>
      <c r="G3000" t="s">
        <v>6786</v>
      </c>
      <c r="H3000">
        <v>34415</v>
      </c>
      <c r="I3000" t="s">
        <v>423</v>
      </c>
      <c r="J3000" t="s">
        <v>4791</v>
      </c>
      <c r="K3000" t="s">
        <v>425</v>
      </c>
      <c r="L3000" t="s">
        <v>2145</v>
      </c>
      <c r="M3000">
        <v>139</v>
      </c>
      <c r="N3000">
        <v>24.37</v>
      </c>
      <c r="O3000">
        <v>3966.22</v>
      </c>
      <c r="P3000">
        <v>0</v>
      </c>
      <c r="Q3000">
        <v>3966.22</v>
      </c>
      <c r="R3000">
        <v>634.59</v>
      </c>
      <c r="S3000">
        <v>158.65</v>
      </c>
      <c r="T3000">
        <v>4442.16</v>
      </c>
      <c r="U3000" t="s">
        <v>2352</v>
      </c>
      <c r="V3000" t="s">
        <v>9409</v>
      </c>
      <c r="W3000" t="s">
        <v>423</v>
      </c>
    </row>
    <row r="3001" spans="1:23" hidden="1" x14ac:dyDescent="0.2">
      <c r="A3001">
        <v>2012</v>
      </c>
      <c r="B3001" t="s">
        <v>304</v>
      </c>
      <c r="C3001" s="733">
        <v>40948</v>
      </c>
      <c r="D30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01" t="s">
        <v>485</v>
      </c>
      <c r="F3001" t="s">
        <v>2065</v>
      </c>
      <c r="G3001" t="s">
        <v>5635</v>
      </c>
      <c r="H3001">
        <v>41610</v>
      </c>
      <c r="I3001" t="s">
        <v>423</v>
      </c>
      <c r="J3001" t="s">
        <v>2196</v>
      </c>
      <c r="K3001" t="s">
        <v>2183</v>
      </c>
      <c r="L3001" t="s">
        <v>2184</v>
      </c>
      <c r="M3001">
        <v>10</v>
      </c>
      <c r="N3001">
        <v>16.100000000000001</v>
      </c>
      <c r="O3001">
        <v>1817.21</v>
      </c>
      <c r="P3001">
        <v>0</v>
      </c>
      <c r="Q3001">
        <v>1817.21</v>
      </c>
      <c r="R3001">
        <v>290.75</v>
      </c>
      <c r="S3001">
        <v>72.69</v>
      </c>
      <c r="T3001">
        <v>2035.27</v>
      </c>
      <c r="U3001" t="s">
        <v>2192</v>
      </c>
      <c r="V3001" t="s">
        <v>9408</v>
      </c>
      <c r="W3001" t="s">
        <v>423</v>
      </c>
    </row>
    <row r="3002" spans="1:23" hidden="1" x14ac:dyDescent="0.2">
      <c r="A3002">
        <v>2012</v>
      </c>
      <c r="B3002" t="s">
        <v>303</v>
      </c>
      <c r="C3002" s="733">
        <v>40928</v>
      </c>
      <c r="D30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02" t="s">
        <v>485</v>
      </c>
      <c r="F3002" t="s">
        <v>2065</v>
      </c>
      <c r="G3002" t="s">
        <v>5636</v>
      </c>
      <c r="H3002">
        <v>40607</v>
      </c>
      <c r="I3002" t="s">
        <v>423</v>
      </c>
      <c r="J3002" t="s">
        <v>2196</v>
      </c>
      <c r="K3002" t="s">
        <v>2183</v>
      </c>
      <c r="L3002" t="s">
        <v>2184</v>
      </c>
      <c r="M3002">
        <v>10</v>
      </c>
      <c r="N3002">
        <v>16.03</v>
      </c>
      <c r="O3002">
        <v>1809.31</v>
      </c>
      <c r="P3002">
        <v>0</v>
      </c>
      <c r="Q3002">
        <v>1809.31</v>
      </c>
      <c r="R3002">
        <v>289.49</v>
      </c>
      <c r="S3002">
        <v>72.37</v>
      </c>
      <c r="T3002">
        <v>2026.43</v>
      </c>
      <c r="U3002" t="s">
        <v>7554</v>
      </c>
      <c r="V3002" t="s">
        <v>9408</v>
      </c>
      <c r="W3002" t="s">
        <v>423</v>
      </c>
    </row>
    <row r="3003" spans="1:23" x14ac:dyDescent="0.2">
      <c r="A3003">
        <v>2012</v>
      </c>
      <c r="B3003" t="s">
        <v>304</v>
      </c>
      <c r="C3003" s="733">
        <v>40968</v>
      </c>
      <c r="D30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03" t="s">
        <v>485</v>
      </c>
      <c r="F3003" t="s">
        <v>2065</v>
      </c>
      <c r="G3003" t="s">
        <v>9092</v>
      </c>
      <c r="H3003">
        <v>42848</v>
      </c>
      <c r="I3003" t="s">
        <v>423</v>
      </c>
      <c r="J3003" t="s">
        <v>2196</v>
      </c>
      <c r="K3003" t="s">
        <v>2183</v>
      </c>
      <c r="L3003" t="s">
        <v>2184</v>
      </c>
      <c r="M3003">
        <v>10</v>
      </c>
      <c r="N3003">
        <v>15.55</v>
      </c>
      <c r="O3003">
        <v>1755.13</v>
      </c>
      <c r="P3003">
        <v>0</v>
      </c>
      <c r="Q3003">
        <v>1755.13</v>
      </c>
      <c r="R3003">
        <v>280.82</v>
      </c>
      <c r="S3003">
        <v>70.209999999999994</v>
      </c>
      <c r="T3003">
        <v>1965.74</v>
      </c>
      <c r="V3003" t="s">
        <v>9408</v>
      </c>
      <c r="W3003" t="s">
        <v>423</v>
      </c>
    </row>
    <row r="3004" spans="1:23" hidden="1" x14ac:dyDescent="0.2">
      <c r="A3004">
        <v>2012</v>
      </c>
      <c r="B3004" t="s">
        <v>303</v>
      </c>
      <c r="C3004" s="733">
        <v>40938</v>
      </c>
      <c r="D30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04" t="s">
        <v>485</v>
      </c>
      <c r="F3004" t="s">
        <v>2065</v>
      </c>
      <c r="G3004" t="s">
        <v>5633</v>
      </c>
      <c r="H3004">
        <v>41086</v>
      </c>
      <c r="I3004" t="s">
        <v>423</v>
      </c>
      <c r="J3004" t="s">
        <v>2196</v>
      </c>
      <c r="K3004" t="s">
        <v>2183</v>
      </c>
      <c r="L3004" t="s">
        <v>2184</v>
      </c>
      <c r="M3004">
        <v>10</v>
      </c>
      <c r="N3004">
        <v>15.59</v>
      </c>
      <c r="O3004">
        <v>1759.64</v>
      </c>
      <c r="P3004">
        <v>0</v>
      </c>
      <c r="Q3004">
        <v>1759.64</v>
      </c>
      <c r="R3004">
        <v>281.54000000000002</v>
      </c>
      <c r="S3004">
        <v>70.39</v>
      </c>
      <c r="T3004">
        <v>1970.79</v>
      </c>
      <c r="U3004" t="s">
        <v>2187</v>
      </c>
      <c r="V3004" t="s">
        <v>9408</v>
      </c>
      <c r="W3004" t="s">
        <v>423</v>
      </c>
    </row>
    <row r="3005" spans="1:23" hidden="1" x14ac:dyDescent="0.2">
      <c r="A3005">
        <v>2012</v>
      </c>
      <c r="B3005" t="s">
        <v>304</v>
      </c>
      <c r="C3005" s="733">
        <v>40948</v>
      </c>
      <c r="D30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05" t="s">
        <v>485</v>
      </c>
      <c r="F3005" t="s">
        <v>2065</v>
      </c>
      <c r="G3005" t="s">
        <v>5648</v>
      </c>
      <c r="H3005">
        <v>41602</v>
      </c>
      <c r="I3005" t="s">
        <v>423</v>
      </c>
      <c r="J3005" t="s">
        <v>2196</v>
      </c>
      <c r="K3005" t="s">
        <v>2183</v>
      </c>
      <c r="L3005" t="s">
        <v>2184</v>
      </c>
      <c r="M3005">
        <v>10</v>
      </c>
      <c r="N3005">
        <v>15.53</v>
      </c>
      <c r="O3005">
        <v>1752.87</v>
      </c>
      <c r="P3005">
        <v>0</v>
      </c>
      <c r="Q3005">
        <v>1752.87</v>
      </c>
      <c r="R3005">
        <v>280.45999999999998</v>
      </c>
      <c r="S3005">
        <v>70.11</v>
      </c>
      <c r="T3005">
        <v>1963.22</v>
      </c>
      <c r="U3005" t="s">
        <v>2192</v>
      </c>
      <c r="V3005" t="s">
        <v>9408</v>
      </c>
      <c r="W3005" t="s">
        <v>423</v>
      </c>
    </row>
    <row r="3006" spans="1:23" hidden="1" x14ac:dyDescent="0.2">
      <c r="A3006">
        <v>2012</v>
      </c>
      <c r="B3006" t="s">
        <v>304</v>
      </c>
      <c r="C3006" s="733">
        <v>40948</v>
      </c>
      <c r="D30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06" t="s">
        <v>485</v>
      </c>
      <c r="F3006" t="s">
        <v>2065</v>
      </c>
      <c r="G3006" t="s">
        <v>5650</v>
      </c>
      <c r="H3006">
        <v>41599</v>
      </c>
      <c r="I3006" t="s">
        <v>423</v>
      </c>
      <c r="J3006" t="s">
        <v>2196</v>
      </c>
      <c r="K3006" t="s">
        <v>2183</v>
      </c>
      <c r="L3006" t="s">
        <v>2184</v>
      </c>
      <c r="M3006">
        <v>10</v>
      </c>
      <c r="N3006">
        <v>15.55</v>
      </c>
      <c r="O3006">
        <v>1755.13</v>
      </c>
      <c r="P3006">
        <v>0</v>
      </c>
      <c r="Q3006">
        <v>1755.13</v>
      </c>
      <c r="R3006">
        <v>280.82</v>
      </c>
      <c r="S3006">
        <v>70.209999999999994</v>
      </c>
      <c r="T3006">
        <v>1965.74</v>
      </c>
      <c r="U3006" t="s">
        <v>2192</v>
      </c>
      <c r="V3006" t="s">
        <v>9408</v>
      </c>
      <c r="W3006" t="s">
        <v>423</v>
      </c>
    </row>
    <row r="3007" spans="1:23" hidden="1" x14ac:dyDescent="0.2">
      <c r="A3007">
        <v>2012</v>
      </c>
      <c r="B3007" t="s">
        <v>303</v>
      </c>
      <c r="C3007" s="733">
        <v>40922</v>
      </c>
      <c r="D30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07" t="s">
        <v>478</v>
      </c>
      <c r="F3007" t="s">
        <v>2136</v>
      </c>
      <c r="G3007" t="s">
        <v>3484</v>
      </c>
      <c r="H3007">
        <v>34471</v>
      </c>
      <c r="I3007" t="s">
        <v>423</v>
      </c>
      <c r="J3007" t="s">
        <v>3326</v>
      </c>
      <c r="K3007" t="s">
        <v>425</v>
      </c>
      <c r="L3007" t="s">
        <v>2145</v>
      </c>
      <c r="M3007">
        <v>1218</v>
      </c>
      <c r="N3007">
        <v>21.61</v>
      </c>
      <c r="O3007">
        <v>11832.12</v>
      </c>
      <c r="P3007">
        <v>0</v>
      </c>
      <c r="Q3007">
        <v>11832.12</v>
      </c>
      <c r="R3007">
        <v>1893.14</v>
      </c>
      <c r="S3007">
        <v>473.28</v>
      </c>
      <c r="T3007">
        <v>13251.98</v>
      </c>
      <c r="V3007" t="s">
        <v>9408</v>
      </c>
      <c r="W3007" t="s">
        <v>423</v>
      </c>
    </row>
    <row r="3008" spans="1:23" hidden="1" x14ac:dyDescent="0.2">
      <c r="A3008">
        <v>2012</v>
      </c>
      <c r="B3008" t="s">
        <v>304</v>
      </c>
      <c r="C3008" s="733">
        <v>40956</v>
      </c>
      <c r="D30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08" t="s">
        <v>478</v>
      </c>
      <c r="F3008" t="s">
        <v>2136</v>
      </c>
      <c r="G3008" t="s">
        <v>7889</v>
      </c>
      <c r="H3008">
        <v>35683</v>
      </c>
      <c r="I3008" t="s">
        <v>423</v>
      </c>
      <c r="J3008" t="s">
        <v>3326</v>
      </c>
      <c r="K3008" t="s">
        <v>425</v>
      </c>
      <c r="L3008" t="s">
        <v>2145</v>
      </c>
      <c r="M3008">
        <v>1218</v>
      </c>
      <c r="N3008">
        <v>24.14</v>
      </c>
      <c r="O3008">
        <v>13217.37</v>
      </c>
      <c r="P3008">
        <v>0</v>
      </c>
      <c r="Q3008">
        <v>13217.37</v>
      </c>
      <c r="R3008">
        <v>2114.7800000000002</v>
      </c>
      <c r="S3008">
        <v>528.69000000000005</v>
      </c>
      <c r="T3008">
        <v>14803.46</v>
      </c>
      <c r="U3008" t="s">
        <v>8510</v>
      </c>
      <c r="V3008" t="s">
        <v>9408</v>
      </c>
      <c r="W3008" t="s">
        <v>423</v>
      </c>
    </row>
    <row r="3009" spans="1:23" hidden="1" x14ac:dyDescent="0.2">
      <c r="A3009">
        <v>2012</v>
      </c>
      <c r="B3009" t="s">
        <v>304</v>
      </c>
      <c r="C3009" s="733">
        <v>40966</v>
      </c>
      <c r="D30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09" t="s">
        <v>485</v>
      </c>
      <c r="F3009" t="s">
        <v>2099</v>
      </c>
      <c r="G3009" t="s">
        <v>9248</v>
      </c>
      <c r="H3009">
        <v>42703</v>
      </c>
      <c r="I3009" t="s">
        <v>423</v>
      </c>
      <c r="J3009" t="s">
        <v>2101</v>
      </c>
      <c r="K3009" t="s">
        <v>2102</v>
      </c>
      <c r="L3009" t="s">
        <v>2103</v>
      </c>
      <c r="M3009">
        <v>119</v>
      </c>
      <c r="N3009">
        <v>51.58</v>
      </c>
      <c r="O3009">
        <v>8651.51</v>
      </c>
      <c r="P3009">
        <v>0</v>
      </c>
      <c r="Q3009">
        <v>8651.51</v>
      </c>
      <c r="R3009">
        <v>1384.24</v>
      </c>
      <c r="S3009">
        <v>346.06</v>
      </c>
      <c r="T3009">
        <v>9689.69</v>
      </c>
      <c r="U3009" t="s">
        <v>8883</v>
      </c>
      <c r="V3009" t="s">
        <v>9409</v>
      </c>
      <c r="W3009" t="s">
        <v>423</v>
      </c>
    </row>
    <row r="3010" spans="1:23" hidden="1" x14ac:dyDescent="0.2">
      <c r="A3010">
        <v>2012</v>
      </c>
      <c r="B3010" t="s">
        <v>303</v>
      </c>
      <c r="C3010" s="733">
        <v>40938</v>
      </c>
      <c r="D30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10" t="s">
        <v>485</v>
      </c>
      <c r="F3010" t="s">
        <v>2099</v>
      </c>
      <c r="G3010" t="s">
        <v>5733</v>
      </c>
      <c r="H3010">
        <v>41132</v>
      </c>
      <c r="I3010" t="s">
        <v>423</v>
      </c>
      <c r="J3010" t="s">
        <v>2101</v>
      </c>
      <c r="K3010" t="s">
        <v>2102</v>
      </c>
      <c r="L3010" t="s">
        <v>2103</v>
      </c>
      <c r="M3010">
        <v>119</v>
      </c>
      <c r="N3010">
        <v>24.98</v>
      </c>
      <c r="O3010">
        <v>4189.8999999999996</v>
      </c>
      <c r="P3010">
        <v>0</v>
      </c>
      <c r="Q3010">
        <v>4189.8999999999996</v>
      </c>
      <c r="R3010">
        <v>670.38</v>
      </c>
      <c r="S3010">
        <v>167.6</v>
      </c>
      <c r="T3010">
        <v>4692.68</v>
      </c>
      <c r="U3010" t="s">
        <v>2110</v>
      </c>
      <c r="V3010" t="s">
        <v>9408</v>
      </c>
      <c r="W3010" t="s">
        <v>423</v>
      </c>
    </row>
    <row r="3011" spans="1:23" hidden="1" x14ac:dyDescent="0.2">
      <c r="A3011">
        <v>2012</v>
      </c>
      <c r="B3011" t="s">
        <v>303</v>
      </c>
      <c r="C3011" s="733">
        <v>40935</v>
      </c>
      <c r="D30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11" t="s">
        <v>485</v>
      </c>
      <c r="F3011" t="s">
        <v>2099</v>
      </c>
      <c r="G3011" t="s">
        <v>5732</v>
      </c>
      <c r="H3011">
        <v>41010</v>
      </c>
      <c r="I3011" t="s">
        <v>423</v>
      </c>
      <c r="J3011" t="s">
        <v>2101</v>
      </c>
      <c r="K3011" t="s">
        <v>2102</v>
      </c>
      <c r="L3011" t="s">
        <v>2103</v>
      </c>
      <c r="M3011">
        <v>119</v>
      </c>
      <c r="N3011">
        <v>24.25</v>
      </c>
      <c r="O3011">
        <v>4067.45</v>
      </c>
      <c r="P3011">
        <v>0</v>
      </c>
      <c r="Q3011">
        <v>4067.45</v>
      </c>
      <c r="R3011">
        <v>650.79</v>
      </c>
      <c r="S3011">
        <v>162.69999999999999</v>
      </c>
      <c r="T3011">
        <v>4555.54</v>
      </c>
      <c r="U3011" t="s">
        <v>2110</v>
      </c>
      <c r="V3011" t="s">
        <v>9408</v>
      </c>
      <c r="W3011" t="s">
        <v>423</v>
      </c>
    </row>
    <row r="3012" spans="1:23" hidden="1" x14ac:dyDescent="0.2">
      <c r="A3012">
        <v>2012</v>
      </c>
      <c r="B3012" t="s">
        <v>304</v>
      </c>
      <c r="C3012" s="733">
        <v>40947.501122685186</v>
      </c>
      <c r="D30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12" t="s">
        <v>485</v>
      </c>
      <c r="F3012" t="s">
        <v>2054</v>
      </c>
      <c r="G3012" t="s">
        <v>4835</v>
      </c>
      <c r="H3012">
        <v>10351</v>
      </c>
      <c r="I3012" t="s">
        <v>423</v>
      </c>
      <c r="J3012" t="s">
        <v>2098</v>
      </c>
      <c r="K3012" t="s">
        <v>2057</v>
      </c>
      <c r="L3012" t="s">
        <v>2058</v>
      </c>
      <c r="M3012">
        <v>565</v>
      </c>
      <c r="N3012">
        <v>47.2</v>
      </c>
      <c r="O3012">
        <v>15954.54</v>
      </c>
      <c r="P3012">
        <v>0</v>
      </c>
      <c r="Q3012">
        <v>15954.54</v>
      </c>
      <c r="R3012">
        <v>1755</v>
      </c>
      <c r="S3012">
        <v>638.17999999999995</v>
      </c>
      <c r="T3012">
        <v>17071.36</v>
      </c>
      <c r="U3012" t="s">
        <v>2082</v>
      </c>
      <c r="V3012" t="s">
        <v>9409</v>
      </c>
      <c r="W3012" t="s">
        <v>423</v>
      </c>
    </row>
    <row r="3013" spans="1:23" hidden="1" x14ac:dyDescent="0.2">
      <c r="A3013">
        <v>2012</v>
      </c>
      <c r="B3013" t="s">
        <v>303</v>
      </c>
      <c r="C3013" s="733">
        <v>40925</v>
      </c>
      <c r="D30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13" t="s">
        <v>485</v>
      </c>
      <c r="F3013" t="s">
        <v>2099</v>
      </c>
      <c r="G3013" t="s">
        <v>3000</v>
      </c>
      <c r="H3013">
        <v>40464</v>
      </c>
      <c r="I3013" t="s">
        <v>423</v>
      </c>
      <c r="J3013" t="s">
        <v>2101</v>
      </c>
      <c r="K3013" t="s">
        <v>2102</v>
      </c>
      <c r="L3013" t="s">
        <v>2103</v>
      </c>
      <c r="M3013">
        <v>119</v>
      </c>
      <c r="N3013">
        <v>25.54</v>
      </c>
      <c r="O3013">
        <v>4283.82</v>
      </c>
      <c r="P3013">
        <v>0</v>
      </c>
      <c r="Q3013">
        <v>4283.82</v>
      </c>
      <c r="R3013">
        <v>685.41</v>
      </c>
      <c r="S3013">
        <v>171.35</v>
      </c>
      <c r="T3013">
        <v>4797.88</v>
      </c>
      <c r="U3013" t="s">
        <v>2106</v>
      </c>
      <c r="V3013" t="s">
        <v>9408</v>
      </c>
      <c r="W3013" t="s">
        <v>423</v>
      </c>
    </row>
    <row r="3014" spans="1:23" hidden="1" x14ac:dyDescent="0.2">
      <c r="A3014">
        <v>2012</v>
      </c>
      <c r="B3014" t="s">
        <v>303</v>
      </c>
      <c r="C3014" s="733">
        <v>40926</v>
      </c>
      <c r="D30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14" t="s">
        <v>485</v>
      </c>
      <c r="F3014" t="s">
        <v>2084</v>
      </c>
      <c r="G3014" t="s">
        <v>4252</v>
      </c>
      <c r="H3014">
        <v>40119</v>
      </c>
      <c r="I3014" t="s">
        <v>423</v>
      </c>
      <c r="J3014" t="s">
        <v>2836</v>
      </c>
      <c r="K3014" t="s">
        <v>2814</v>
      </c>
      <c r="L3014" t="s">
        <v>2815</v>
      </c>
      <c r="M3014">
        <v>70</v>
      </c>
      <c r="N3014">
        <v>23.785</v>
      </c>
      <c r="O3014">
        <v>2684.61</v>
      </c>
      <c r="P3014">
        <v>0</v>
      </c>
      <c r="Q3014">
        <v>2684.61</v>
      </c>
      <c r="R3014">
        <v>429.54</v>
      </c>
      <c r="S3014">
        <v>107.38</v>
      </c>
      <c r="T3014">
        <v>3006.77</v>
      </c>
      <c r="U3014" t="s">
        <v>2826</v>
      </c>
      <c r="V3014" t="s">
        <v>9408</v>
      </c>
      <c r="W3014" t="s">
        <v>423</v>
      </c>
    </row>
    <row r="3015" spans="1:23" hidden="1" x14ac:dyDescent="0.2">
      <c r="A3015">
        <v>2012</v>
      </c>
      <c r="B3015" t="s">
        <v>304</v>
      </c>
      <c r="C3015" s="733">
        <v>40963.433321759258</v>
      </c>
      <c r="D30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15" t="s">
        <v>485</v>
      </c>
      <c r="F3015" t="s">
        <v>2054</v>
      </c>
      <c r="G3015" t="s">
        <v>8729</v>
      </c>
      <c r="H3015">
        <v>10533</v>
      </c>
      <c r="I3015" t="s">
        <v>423</v>
      </c>
      <c r="J3015" t="s">
        <v>2098</v>
      </c>
      <c r="K3015" t="s">
        <v>2057</v>
      </c>
      <c r="L3015" t="s">
        <v>2058</v>
      </c>
      <c r="M3015">
        <v>565</v>
      </c>
      <c r="N3015">
        <v>44.96</v>
      </c>
      <c r="O3015">
        <v>15197.38</v>
      </c>
      <c r="P3015">
        <v>0</v>
      </c>
      <c r="Q3015">
        <v>15197.38</v>
      </c>
      <c r="R3015">
        <v>1671.71</v>
      </c>
      <c r="S3015">
        <v>607.9</v>
      </c>
      <c r="T3015">
        <v>16261.19</v>
      </c>
      <c r="U3015" t="s">
        <v>8864</v>
      </c>
      <c r="V3015" t="s">
        <v>9409</v>
      </c>
      <c r="W3015" t="s">
        <v>423</v>
      </c>
    </row>
    <row r="3016" spans="1:23" hidden="1" x14ac:dyDescent="0.2">
      <c r="A3016">
        <v>2012</v>
      </c>
      <c r="B3016" t="s">
        <v>303</v>
      </c>
      <c r="C3016" s="733">
        <v>40931</v>
      </c>
      <c r="D30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16" t="s">
        <v>485</v>
      </c>
      <c r="F3016" t="s">
        <v>2054</v>
      </c>
      <c r="G3016" t="s">
        <v>4845</v>
      </c>
      <c r="H3016">
        <v>10173</v>
      </c>
      <c r="I3016" t="s">
        <v>423</v>
      </c>
      <c r="J3016" t="s">
        <v>4733</v>
      </c>
      <c r="K3016" t="s">
        <v>2057</v>
      </c>
      <c r="L3016" t="s">
        <v>2058</v>
      </c>
      <c r="M3016">
        <v>184</v>
      </c>
      <c r="N3016">
        <v>23.46</v>
      </c>
      <c r="O3016">
        <v>7929.95</v>
      </c>
      <c r="P3016">
        <v>0</v>
      </c>
      <c r="Q3016">
        <v>7929.95</v>
      </c>
      <c r="R3016">
        <v>1268.79</v>
      </c>
      <c r="S3016">
        <v>317.2</v>
      </c>
      <c r="T3016">
        <v>8881.5400000000009</v>
      </c>
      <c r="U3016" t="s">
        <v>2077</v>
      </c>
      <c r="V3016" t="s">
        <v>9408</v>
      </c>
      <c r="W3016" t="s">
        <v>423</v>
      </c>
    </row>
    <row r="3017" spans="1:23" hidden="1" x14ac:dyDescent="0.2">
      <c r="A3017">
        <v>2012</v>
      </c>
      <c r="B3017" t="s">
        <v>303</v>
      </c>
      <c r="C3017" s="733">
        <v>40924</v>
      </c>
      <c r="D30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17" t="s">
        <v>485</v>
      </c>
      <c r="F3017" t="s">
        <v>2054</v>
      </c>
      <c r="G3017" t="s">
        <v>4844</v>
      </c>
      <c r="H3017">
        <v>10009</v>
      </c>
      <c r="I3017" t="s">
        <v>423</v>
      </c>
      <c r="J3017" t="s">
        <v>4733</v>
      </c>
      <c r="K3017" t="s">
        <v>2057</v>
      </c>
      <c r="L3017" t="s">
        <v>2058</v>
      </c>
      <c r="M3017">
        <v>184</v>
      </c>
      <c r="N3017">
        <v>22.91</v>
      </c>
      <c r="O3017">
        <v>7744.04</v>
      </c>
      <c r="P3017">
        <v>0</v>
      </c>
      <c r="Q3017">
        <v>7744.04</v>
      </c>
      <c r="R3017">
        <v>1239.05</v>
      </c>
      <c r="S3017">
        <v>309.76</v>
      </c>
      <c r="T3017">
        <v>8673.33</v>
      </c>
      <c r="U3017" t="s">
        <v>2059</v>
      </c>
      <c r="V3017" t="s">
        <v>9408</v>
      </c>
      <c r="W3017" t="s">
        <v>423</v>
      </c>
    </row>
    <row r="3018" spans="1:23" hidden="1" x14ac:dyDescent="0.2">
      <c r="A3018">
        <v>2012</v>
      </c>
      <c r="B3018" t="s">
        <v>304</v>
      </c>
      <c r="C3018" s="733">
        <v>40948</v>
      </c>
      <c r="D30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18" t="s">
        <v>485</v>
      </c>
      <c r="F3018" t="s">
        <v>2054</v>
      </c>
      <c r="G3018" t="s">
        <v>3685</v>
      </c>
      <c r="H3018">
        <v>10357</v>
      </c>
      <c r="I3018" t="s">
        <v>423</v>
      </c>
      <c r="J3018" t="s">
        <v>2098</v>
      </c>
      <c r="K3018" t="s">
        <v>2057</v>
      </c>
      <c r="L3018" t="s">
        <v>2058</v>
      </c>
      <c r="M3018">
        <v>565</v>
      </c>
      <c r="N3018">
        <v>46.47</v>
      </c>
      <c r="O3018">
        <v>15707.79</v>
      </c>
      <c r="P3018">
        <v>0</v>
      </c>
      <c r="Q3018">
        <v>15707.79</v>
      </c>
      <c r="R3018">
        <v>1727.86</v>
      </c>
      <c r="S3018">
        <v>628.30999999999995</v>
      </c>
      <c r="T3018">
        <v>16807.34</v>
      </c>
      <c r="U3018" t="s">
        <v>2082</v>
      </c>
      <c r="V3018" t="s">
        <v>9409</v>
      </c>
      <c r="W3018" t="s">
        <v>423</v>
      </c>
    </row>
    <row r="3019" spans="1:23" x14ac:dyDescent="0.2">
      <c r="A3019">
        <v>2012</v>
      </c>
      <c r="B3019" t="s">
        <v>304</v>
      </c>
      <c r="C3019" s="733">
        <v>40967.419178240743</v>
      </c>
      <c r="D30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19" t="s">
        <v>485</v>
      </c>
      <c r="F3019" t="s">
        <v>2054</v>
      </c>
      <c r="G3019" t="s">
        <v>9249</v>
      </c>
      <c r="H3019">
        <v>10590</v>
      </c>
      <c r="I3019" t="s">
        <v>423</v>
      </c>
      <c r="J3019" t="s">
        <v>4733</v>
      </c>
      <c r="K3019" t="s">
        <v>2057</v>
      </c>
      <c r="L3019" t="s">
        <v>2058</v>
      </c>
      <c r="M3019">
        <v>184</v>
      </c>
      <c r="N3019">
        <v>23.8</v>
      </c>
      <c r="O3019">
        <v>8044.88</v>
      </c>
      <c r="P3019">
        <v>0</v>
      </c>
      <c r="Q3019">
        <v>8044.88</v>
      </c>
      <c r="R3019">
        <v>884.94</v>
      </c>
      <c r="S3019">
        <v>321.8</v>
      </c>
      <c r="T3019">
        <v>8608.02</v>
      </c>
      <c r="V3019" t="s">
        <v>9408</v>
      </c>
      <c r="W3019" t="s">
        <v>423</v>
      </c>
    </row>
    <row r="3020" spans="1:23" hidden="1" x14ac:dyDescent="0.2">
      <c r="A3020">
        <v>2012</v>
      </c>
      <c r="B3020" t="s">
        <v>303</v>
      </c>
      <c r="C3020" s="733">
        <v>40931</v>
      </c>
      <c r="D30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20" t="s">
        <v>485</v>
      </c>
      <c r="F3020" t="s">
        <v>2054</v>
      </c>
      <c r="G3020" t="s">
        <v>5151</v>
      </c>
      <c r="H3020">
        <v>10165</v>
      </c>
      <c r="I3020" t="s">
        <v>423</v>
      </c>
      <c r="J3020" t="s">
        <v>4560</v>
      </c>
      <c r="K3020" t="s">
        <v>2057</v>
      </c>
      <c r="L3020" t="s">
        <v>2058</v>
      </c>
      <c r="M3020">
        <v>403</v>
      </c>
      <c r="N3020">
        <v>23.23</v>
      </c>
      <c r="O3020">
        <v>6348.29</v>
      </c>
      <c r="P3020">
        <v>0</v>
      </c>
      <c r="Q3020">
        <v>6348.29</v>
      </c>
      <c r="R3020">
        <v>1015.73</v>
      </c>
      <c r="S3020">
        <v>253.93</v>
      </c>
      <c r="T3020">
        <v>7110.09</v>
      </c>
      <c r="U3020" t="s">
        <v>2077</v>
      </c>
      <c r="V3020" t="s">
        <v>9409</v>
      </c>
      <c r="W3020" t="s">
        <v>423</v>
      </c>
    </row>
    <row r="3021" spans="1:23" hidden="1" x14ac:dyDescent="0.2">
      <c r="A3021">
        <v>2012</v>
      </c>
      <c r="B3021" t="s">
        <v>304</v>
      </c>
      <c r="C3021" s="733">
        <v>40963</v>
      </c>
      <c r="D30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21" t="s">
        <v>485</v>
      </c>
      <c r="F3021" t="s">
        <v>2099</v>
      </c>
      <c r="G3021" t="s">
        <v>8730</v>
      </c>
      <c r="H3021">
        <v>42583</v>
      </c>
      <c r="I3021" t="s">
        <v>423</v>
      </c>
      <c r="J3021" t="s">
        <v>2101</v>
      </c>
      <c r="K3021" t="s">
        <v>2102</v>
      </c>
      <c r="L3021" t="s">
        <v>2103</v>
      </c>
      <c r="M3021">
        <v>119</v>
      </c>
      <c r="N3021">
        <v>24.68</v>
      </c>
      <c r="O3021">
        <v>4139.58</v>
      </c>
      <c r="P3021">
        <v>0</v>
      </c>
      <c r="Q3021">
        <v>4139.58</v>
      </c>
      <c r="R3021">
        <v>662.33</v>
      </c>
      <c r="S3021">
        <v>165.58</v>
      </c>
      <c r="T3021">
        <v>4636.33</v>
      </c>
      <c r="U3021" t="s">
        <v>8883</v>
      </c>
      <c r="V3021" t="s">
        <v>9408</v>
      </c>
      <c r="W3021" t="s">
        <v>423</v>
      </c>
    </row>
    <row r="3022" spans="1:23" hidden="1" x14ac:dyDescent="0.2">
      <c r="A3022">
        <v>2012</v>
      </c>
      <c r="B3022" t="s">
        <v>304</v>
      </c>
      <c r="C3022" s="733">
        <v>40962</v>
      </c>
      <c r="D30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22" t="s">
        <v>478</v>
      </c>
      <c r="F3022" t="s">
        <v>2136</v>
      </c>
      <c r="G3022" t="s">
        <v>8667</v>
      </c>
      <c r="H3022">
        <v>35951</v>
      </c>
      <c r="I3022" t="s">
        <v>423</v>
      </c>
      <c r="J3022" t="s">
        <v>5384</v>
      </c>
      <c r="K3022" t="s">
        <v>425</v>
      </c>
      <c r="L3022" t="s">
        <v>2145</v>
      </c>
      <c r="M3022">
        <v>1472</v>
      </c>
      <c r="N3022">
        <v>24.08</v>
      </c>
      <c r="O3022">
        <v>17200.099999999999</v>
      </c>
      <c r="P3022">
        <v>0</v>
      </c>
      <c r="Q3022">
        <v>17200.099999999999</v>
      </c>
      <c r="R3022">
        <v>2752.02</v>
      </c>
      <c r="S3022">
        <v>688</v>
      </c>
      <c r="T3022">
        <v>19264.12</v>
      </c>
      <c r="U3022" t="s">
        <v>9430</v>
      </c>
      <c r="V3022" t="s">
        <v>9408</v>
      </c>
      <c r="W3022" t="s">
        <v>423</v>
      </c>
    </row>
    <row r="3023" spans="1:23" hidden="1" x14ac:dyDescent="0.2">
      <c r="A3023">
        <v>2012</v>
      </c>
      <c r="B3023" t="s">
        <v>303</v>
      </c>
      <c r="C3023" s="733">
        <v>40935</v>
      </c>
      <c r="D30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23" t="s">
        <v>485</v>
      </c>
      <c r="F3023" t="s">
        <v>2054</v>
      </c>
      <c r="G3023" t="s">
        <v>3686</v>
      </c>
      <c r="H3023">
        <v>10219</v>
      </c>
      <c r="I3023" t="s">
        <v>423</v>
      </c>
      <c r="J3023" t="s">
        <v>2098</v>
      </c>
      <c r="K3023" t="s">
        <v>2057</v>
      </c>
      <c r="L3023" t="s">
        <v>2058</v>
      </c>
      <c r="M3023">
        <v>565</v>
      </c>
      <c r="N3023">
        <v>46.1</v>
      </c>
      <c r="O3023">
        <v>15582.72</v>
      </c>
      <c r="P3023">
        <v>0</v>
      </c>
      <c r="Q3023">
        <v>15582.72</v>
      </c>
      <c r="R3023">
        <v>2493.2399999999998</v>
      </c>
      <c r="S3023">
        <v>623.30999999999995</v>
      </c>
      <c r="T3023">
        <v>17452.650000000001</v>
      </c>
      <c r="U3023" t="s">
        <v>2073</v>
      </c>
      <c r="V3023" t="s">
        <v>9409</v>
      </c>
      <c r="W3023" t="s">
        <v>423</v>
      </c>
    </row>
    <row r="3024" spans="1:23" hidden="1" x14ac:dyDescent="0.2">
      <c r="A3024">
        <v>2012</v>
      </c>
      <c r="B3024" t="s">
        <v>304</v>
      </c>
      <c r="C3024" s="733">
        <v>40946</v>
      </c>
      <c r="D30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24" t="s">
        <v>485</v>
      </c>
      <c r="F3024" t="s">
        <v>2054</v>
      </c>
      <c r="G3024" t="s">
        <v>4846</v>
      </c>
      <c r="H3024">
        <v>10294</v>
      </c>
      <c r="I3024" t="s">
        <v>423</v>
      </c>
      <c r="J3024" t="s">
        <v>4045</v>
      </c>
      <c r="K3024" t="s">
        <v>2057</v>
      </c>
      <c r="L3024" t="s">
        <v>2058</v>
      </c>
      <c r="M3024">
        <v>0</v>
      </c>
      <c r="N3024">
        <v>23.73</v>
      </c>
      <c r="O3024">
        <v>8021.21</v>
      </c>
      <c r="P3024">
        <v>0</v>
      </c>
      <c r="Q3024">
        <v>8021.21</v>
      </c>
      <c r="R3024">
        <v>1283.3900000000001</v>
      </c>
      <c r="S3024">
        <v>320.85000000000002</v>
      </c>
      <c r="T3024">
        <v>8983.75</v>
      </c>
      <c r="U3024" t="s">
        <v>2075</v>
      </c>
      <c r="V3024" t="s">
        <v>9408</v>
      </c>
      <c r="W3024" t="s">
        <v>423</v>
      </c>
    </row>
    <row r="3025" spans="1:23" hidden="1" x14ac:dyDescent="0.2">
      <c r="A3025">
        <v>2012</v>
      </c>
      <c r="B3025" t="s">
        <v>303</v>
      </c>
      <c r="C3025" s="733">
        <v>40914</v>
      </c>
      <c r="D30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25" t="s">
        <v>505</v>
      </c>
      <c r="F3025" t="s">
        <v>1915</v>
      </c>
      <c r="G3025" t="s">
        <v>4655</v>
      </c>
      <c r="H3025">
        <v>20286</v>
      </c>
      <c r="I3025" t="s">
        <v>423</v>
      </c>
      <c r="J3025" t="s">
        <v>4656</v>
      </c>
      <c r="K3025" t="s">
        <v>4657</v>
      </c>
      <c r="L3025" t="s">
        <v>4658</v>
      </c>
      <c r="M3025">
        <v>1750</v>
      </c>
      <c r="N3025">
        <v>54.24</v>
      </c>
      <c r="O3025">
        <v>18802.830000000002</v>
      </c>
      <c r="P3025">
        <v>21169.918269000002</v>
      </c>
      <c r="Q3025">
        <v>39972.748269000003</v>
      </c>
      <c r="R3025">
        <v>6395.6397230000002</v>
      </c>
      <c r="S3025">
        <v>1598.9099309999999</v>
      </c>
      <c r="T3025">
        <v>44769.478061000002</v>
      </c>
      <c r="U3025" t="s">
        <v>4659</v>
      </c>
      <c r="V3025" t="s">
        <v>9409</v>
      </c>
      <c r="W3025" t="s">
        <v>423</v>
      </c>
    </row>
    <row r="3026" spans="1:23" hidden="1" x14ac:dyDescent="0.2">
      <c r="A3026">
        <v>2012</v>
      </c>
      <c r="B3026" t="s">
        <v>304</v>
      </c>
      <c r="C3026" s="733">
        <v>40940</v>
      </c>
      <c r="D30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26" t="s">
        <v>485</v>
      </c>
      <c r="F3026" t="s">
        <v>2065</v>
      </c>
      <c r="G3026" t="s">
        <v>3025</v>
      </c>
      <c r="H3026">
        <v>41095</v>
      </c>
      <c r="I3026" t="s">
        <v>423</v>
      </c>
      <c r="J3026" t="s">
        <v>3026</v>
      </c>
      <c r="K3026" t="s">
        <v>2102</v>
      </c>
      <c r="L3026" t="s">
        <v>2115</v>
      </c>
      <c r="M3026">
        <v>130</v>
      </c>
      <c r="N3026">
        <v>29.4</v>
      </c>
      <c r="O3026">
        <v>4931.26</v>
      </c>
      <c r="P3026">
        <v>0</v>
      </c>
      <c r="Q3026">
        <v>4931.26</v>
      </c>
      <c r="R3026">
        <v>789</v>
      </c>
      <c r="S3026">
        <v>197.25</v>
      </c>
      <c r="T3026">
        <v>5523.01</v>
      </c>
      <c r="U3026" t="s">
        <v>2110</v>
      </c>
      <c r="V3026" t="s">
        <v>9408</v>
      </c>
      <c r="W3026" t="s">
        <v>423</v>
      </c>
    </row>
    <row r="3027" spans="1:23" hidden="1" x14ac:dyDescent="0.2">
      <c r="A3027">
        <v>2012</v>
      </c>
      <c r="B3027" t="s">
        <v>304</v>
      </c>
      <c r="C3027" s="733">
        <v>40961</v>
      </c>
      <c r="D30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27" t="s">
        <v>505</v>
      </c>
      <c r="F3027" t="s">
        <v>1915</v>
      </c>
      <c r="G3027" t="s">
        <v>8346</v>
      </c>
      <c r="H3027">
        <v>22904</v>
      </c>
      <c r="I3027" t="s">
        <v>424</v>
      </c>
      <c r="J3027" t="s">
        <v>7165</v>
      </c>
      <c r="K3027" t="s">
        <v>1918</v>
      </c>
      <c r="L3027" t="s">
        <v>1919</v>
      </c>
      <c r="M3027">
        <v>859</v>
      </c>
      <c r="N3027">
        <v>30</v>
      </c>
      <c r="O3027">
        <v>10942.2</v>
      </c>
      <c r="P3027">
        <v>0</v>
      </c>
      <c r="Q3027">
        <v>10942.2</v>
      </c>
      <c r="R3027">
        <v>1750.75</v>
      </c>
      <c r="S3027">
        <v>437.69</v>
      </c>
      <c r="T3027">
        <v>12255.26</v>
      </c>
      <c r="U3027" t="s">
        <v>8491</v>
      </c>
      <c r="V3027" t="s">
        <v>9408</v>
      </c>
      <c r="W3027" t="s">
        <v>424</v>
      </c>
    </row>
    <row r="3028" spans="1:23" hidden="1" x14ac:dyDescent="0.2">
      <c r="A3028">
        <v>2012</v>
      </c>
      <c r="B3028" t="s">
        <v>304</v>
      </c>
      <c r="C3028" s="733">
        <v>40957</v>
      </c>
      <c r="D30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28" t="s">
        <v>505</v>
      </c>
      <c r="F3028" t="s">
        <v>1915</v>
      </c>
      <c r="G3028" t="s">
        <v>7853</v>
      </c>
      <c r="H3028">
        <v>22785</v>
      </c>
      <c r="I3028" t="s">
        <v>1979</v>
      </c>
      <c r="J3028" t="s">
        <v>5363</v>
      </c>
      <c r="K3028" t="s">
        <v>1918</v>
      </c>
      <c r="L3028" t="s">
        <v>1919</v>
      </c>
      <c r="M3028">
        <v>856</v>
      </c>
      <c r="N3028">
        <v>50.05</v>
      </c>
      <c r="O3028">
        <v>25375.35</v>
      </c>
      <c r="P3028">
        <v>0</v>
      </c>
      <c r="Q3028">
        <v>25375.35</v>
      </c>
      <c r="R3028">
        <v>4060.06</v>
      </c>
      <c r="S3028">
        <v>1015.01</v>
      </c>
      <c r="T3028">
        <v>28420.400000000001</v>
      </c>
      <c r="U3028" t="s">
        <v>8491</v>
      </c>
      <c r="V3028" t="s">
        <v>9409</v>
      </c>
      <c r="W3028" t="s">
        <v>1979</v>
      </c>
    </row>
    <row r="3029" spans="1:23" hidden="1" x14ac:dyDescent="0.2">
      <c r="A3029">
        <v>2012</v>
      </c>
      <c r="B3029" t="s">
        <v>304</v>
      </c>
      <c r="C3029" s="733">
        <v>40948</v>
      </c>
      <c r="D30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29" t="s">
        <v>478</v>
      </c>
      <c r="F3029" t="s">
        <v>2136</v>
      </c>
      <c r="G3029" t="s">
        <v>5741</v>
      </c>
      <c r="H3029">
        <v>35330</v>
      </c>
      <c r="I3029" t="s">
        <v>423</v>
      </c>
      <c r="J3029" t="s">
        <v>5249</v>
      </c>
      <c r="K3029" t="s">
        <v>425</v>
      </c>
      <c r="L3029" t="s">
        <v>2145</v>
      </c>
      <c r="M3029">
        <v>134</v>
      </c>
      <c r="N3029">
        <v>50.25</v>
      </c>
      <c r="O3029">
        <v>9145</v>
      </c>
      <c r="P3029">
        <v>0</v>
      </c>
      <c r="Q3029">
        <v>9145</v>
      </c>
      <c r="R3029">
        <v>1463.2</v>
      </c>
      <c r="S3029">
        <v>365.8</v>
      </c>
      <c r="T3029">
        <v>10242.4</v>
      </c>
      <c r="U3029" t="s">
        <v>3115</v>
      </c>
      <c r="V3029" t="s">
        <v>9409</v>
      </c>
      <c r="W3029" t="s">
        <v>423</v>
      </c>
    </row>
    <row r="3030" spans="1:23" hidden="1" x14ac:dyDescent="0.2">
      <c r="A3030">
        <v>2012</v>
      </c>
      <c r="B3030" t="s">
        <v>303</v>
      </c>
      <c r="C3030" s="733">
        <v>40913</v>
      </c>
      <c r="D30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30" t="s">
        <v>505</v>
      </c>
      <c r="F3030" t="s">
        <v>1915</v>
      </c>
      <c r="G3030" t="s">
        <v>5517</v>
      </c>
      <c r="H3030">
        <v>21723</v>
      </c>
      <c r="I3030" t="s">
        <v>423</v>
      </c>
      <c r="J3030" t="s">
        <v>4259</v>
      </c>
      <c r="K3030" t="s">
        <v>1918</v>
      </c>
      <c r="L3030" t="s">
        <v>1919</v>
      </c>
      <c r="M3030">
        <v>467</v>
      </c>
      <c r="N3030">
        <v>26.9</v>
      </c>
      <c r="O3030">
        <v>3514.69</v>
      </c>
      <c r="P3030">
        <v>3957.1543240000001</v>
      </c>
      <c r="Q3030">
        <v>7471.8443239999997</v>
      </c>
      <c r="R3030">
        <v>1195.4950920000001</v>
      </c>
      <c r="S3030">
        <v>298.87377300000003</v>
      </c>
      <c r="T3030">
        <v>8368.4656429999995</v>
      </c>
      <c r="U3030" t="s">
        <v>8869</v>
      </c>
      <c r="V3030" t="s">
        <v>9408</v>
      </c>
      <c r="W3030" t="s">
        <v>423</v>
      </c>
    </row>
    <row r="3031" spans="1:23" hidden="1" x14ac:dyDescent="0.2">
      <c r="A3031">
        <v>2012</v>
      </c>
      <c r="B3031" t="s">
        <v>304</v>
      </c>
      <c r="C3031" s="733">
        <v>40960</v>
      </c>
      <c r="D30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31" t="s">
        <v>505</v>
      </c>
      <c r="F3031" t="s">
        <v>1915</v>
      </c>
      <c r="G3031" t="s">
        <v>8337</v>
      </c>
      <c r="H3031">
        <v>22900</v>
      </c>
      <c r="I3031" t="s">
        <v>423</v>
      </c>
      <c r="J3031" t="s">
        <v>4259</v>
      </c>
      <c r="K3031" t="s">
        <v>1918</v>
      </c>
      <c r="L3031" t="s">
        <v>1919</v>
      </c>
      <c r="M3031">
        <v>467</v>
      </c>
      <c r="N3031">
        <v>27</v>
      </c>
      <c r="O3031">
        <v>8379.18</v>
      </c>
      <c r="P3031">
        <v>0</v>
      </c>
      <c r="Q3031">
        <v>8379.18</v>
      </c>
      <c r="R3031">
        <v>1340.67</v>
      </c>
      <c r="S3031">
        <v>335.17</v>
      </c>
      <c r="T3031">
        <v>9384.68</v>
      </c>
      <c r="U3031" t="s">
        <v>8491</v>
      </c>
      <c r="V3031" t="s">
        <v>9408</v>
      </c>
      <c r="W3031" t="s">
        <v>423</v>
      </c>
    </row>
    <row r="3032" spans="1:23" hidden="1" x14ac:dyDescent="0.2">
      <c r="A3032">
        <v>2012</v>
      </c>
      <c r="B3032" t="s">
        <v>304</v>
      </c>
      <c r="C3032" s="733">
        <v>40941</v>
      </c>
      <c r="D30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32" t="s">
        <v>505</v>
      </c>
      <c r="F3032" t="s">
        <v>1915</v>
      </c>
      <c r="G3032" t="s">
        <v>5516</v>
      </c>
      <c r="H3032">
        <v>22428</v>
      </c>
      <c r="I3032" t="s">
        <v>423</v>
      </c>
      <c r="J3032" t="s">
        <v>4259</v>
      </c>
      <c r="K3032" t="s">
        <v>1918</v>
      </c>
      <c r="L3032" t="s">
        <v>1919</v>
      </c>
      <c r="M3032">
        <v>467</v>
      </c>
      <c r="N3032">
        <v>26.85</v>
      </c>
      <c r="O3032">
        <v>8332.6299999999992</v>
      </c>
      <c r="P3032">
        <v>0</v>
      </c>
      <c r="Q3032">
        <v>8332.6299999999992</v>
      </c>
      <c r="R3032">
        <v>1333.22</v>
      </c>
      <c r="S3032">
        <v>333.31</v>
      </c>
      <c r="T3032">
        <v>9332.5400000000009</v>
      </c>
      <c r="U3032" t="s">
        <v>1926</v>
      </c>
      <c r="V3032" t="s">
        <v>9408</v>
      </c>
      <c r="W3032" t="s">
        <v>423</v>
      </c>
    </row>
    <row r="3033" spans="1:23" hidden="1" x14ac:dyDescent="0.2">
      <c r="A3033">
        <v>2012</v>
      </c>
      <c r="B3033" t="s">
        <v>303</v>
      </c>
      <c r="C3033" s="733">
        <v>40913</v>
      </c>
      <c r="D30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33" t="s">
        <v>505</v>
      </c>
      <c r="F3033" t="s">
        <v>2136</v>
      </c>
      <c r="G3033" t="s">
        <v>4232</v>
      </c>
      <c r="H3033">
        <v>14614</v>
      </c>
      <c r="I3033" t="s">
        <v>4233</v>
      </c>
      <c r="J3033" t="s">
        <v>4234</v>
      </c>
      <c r="K3033" t="s">
        <v>422</v>
      </c>
      <c r="L3033" t="s">
        <v>1919</v>
      </c>
      <c r="M3033">
        <v>2271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V3033" t="s">
        <v>9408</v>
      </c>
      <c r="W3033" t="s">
        <v>4233</v>
      </c>
    </row>
    <row r="3034" spans="1:23" hidden="1" x14ac:dyDescent="0.2">
      <c r="A3034">
        <v>2012</v>
      </c>
      <c r="B3034" t="s">
        <v>304</v>
      </c>
      <c r="C3034" s="733">
        <v>40966</v>
      </c>
      <c r="D30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34" t="s">
        <v>485</v>
      </c>
      <c r="F3034" t="s">
        <v>2065</v>
      </c>
      <c r="G3034" t="s">
        <v>8806</v>
      </c>
      <c r="H3034">
        <v>42650</v>
      </c>
      <c r="I3034" t="s">
        <v>423</v>
      </c>
      <c r="J3034" t="s">
        <v>2189</v>
      </c>
      <c r="K3034" t="s">
        <v>2183</v>
      </c>
      <c r="L3034" t="s">
        <v>2184</v>
      </c>
      <c r="M3034">
        <v>720</v>
      </c>
      <c r="N3034">
        <v>26.56</v>
      </c>
      <c r="O3034">
        <v>11789.72</v>
      </c>
      <c r="P3034">
        <v>0</v>
      </c>
      <c r="Q3034">
        <v>11789.72</v>
      </c>
      <c r="R3034">
        <v>1886.35</v>
      </c>
      <c r="S3034">
        <v>471.59</v>
      </c>
      <c r="T3034">
        <v>13204.48</v>
      </c>
      <c r="V3034" t="s">
        <v>9408</v>
      </c>
      <c r="W3034" t="s">
        <v>423</v>
      </c>
    </row>
    <row r="3035" spans="1:23" x14ac:dyDescent="0.2">
      <c r="A3035">
        <v>2012</v>
      </c>
      <c r="B3035" t="s">
        <v>304</v>
      </c>
      <c r="C3035" s="733">
        <v>40967</v>
      </c>
      <c r="D30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35" t="s">
        <v>485</v>
      </c>
      <c r="F3035" t="s">
        <v>2065</v>
      </c>
      <c r="G3035" t="s">
        <v>8995</v>
      </c>
      <c r="H3035">
        <v>42653</v>
      </c>
      <c r="I3035" t="s">
        <v>423</v>
      </c>
      <c r="J3035" t="s">
        <v>2189</v>
      </c>
      <c r="K3035" t="s">
        <v>2183</v>
      </c>
      <c r="L3035" t="s">
        <v>2184</v>
      </c>
      <c r="M3035">
        <v>720</v>
      </c>
      <c r="N3035">
        <v>27.97</v>
      </c>
      <c r="O3035">
        <v>12415.6</v>
      </c>
      <c r="P3035">
        <v>0</v>
      </c>
      <c r="Q3035">
        <v>12415.6</v>
      </c>
      <c r="R3035">
        <v>1986.5</v>
      </c>
      <c r="S3035">
        <v>496.62</v>
      </c>
      <c r="T3035">
        <v>13905.48</v>
      </c>
      <c r="V3035" t="s">
        <v>9408</v>
      </c>
      <c r="W3035" t="s">
        <v>423</v>
      </c>
    </row>
    <row r="3036" spans="1:23" hidden="1" x14ac:dyDescent="0.2">
      <c r="A3036">
        <v>2012</v>
      </c>
      <c r="B3036" t="s">
        <v>303</v>
      </c>
      <c r="C3036" s="733">
        <v>40926</v>
      </c>
      <c r="D30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36" t="s">
        <v>485</v>
      </c>
      <c r="F3036" t="s">
        <v>2065</v>
      </c>
      <c r="G3036" t="s">
        <v>3339</v>
      </c>
      <c r="H3036">
        <v>40324</v>
      </c>
      <c r="I3036" t="s">
        <v>423</v>
      </c>
      <c r="J3036" t="s">
        <v>2189</v>
      </c>
      <c r="K3036" t="s">
        <v>2183</v>
      </c>
      <c r="L3036" t="s">
        <v>2184</v>
      </c>
      <c r="M3036">
        <v>720</v>
      </c>
      <c r="N3036">
        <v>24.01</v>
      </c>
      <c r="O3036">
        <v>10657.8</v>
      </c>
      <c r="P3036">
        <v>0</v>
      </c>
      <c r="Q3036">
        <v>10657.8</v>
      </c>
      <c r="R3036">
        <v>1705.25</v>
      </c>
      <c r="S3036">
        <v>426.31</v>
      </c>
      <c r="T3036">
        <v>11936.74</v>
      </c>
      <c r="U3036" t="s">
        <v>7554</v>
      </c>
      <c r="V3036" t="s">
        <v>9408</v>
      </c>
      <c r="W3036" t="s">
        <v>423</v>
      </c>
    </row>
    <row r="3037" spans="1:23" hidden="1" x14ac:dyDescent="0.2">
      <c r="A3037">
        <v>2012</v>
      </c>
      <c r="B3037" t="s">
        <v>304</v>
      </c>
      <c r="C3037" s="733">
        <v>40940</v>
      </c>
      <c r="D30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37" t="s">
        <v>485</v>
      </c>
      <c r="F3037" t="s">
        <v>2065</v>
      </c>
      <c r="G3037" t="s">
        <v>5820</v>
      </c>
      <c r="H3037">
        <v>40101</v>
      </c>
      <c r="I3037" t="s">
        <v>423</v>
      </c>
      <c r="J3037" t="s">
        <v>2189</v>
      </c>
      <c r="K3037" t="s">
        <v>2183</v>
      </c>
      <c r="L3037" t="s">
        <v>2184</v>
      </c>
      <c r="M3037">
        <v>720</v>
      </c>
      <c r="N3037">
        <v>25.87</v>
      </c>
      <c r="O3037">
        <v>11483.43</v>
      </c>
      <c r="P3037">
        <v>0</v>
      </c>
      <c r="Q3037">
        <v>11483.43</v>
      </c>
      <c r="R3037">
        <v>1837.35</v>
      </c>
      <c r="S3037">
        <v>459.34</v>
      </c>
      <c r="T3037">
        <v>12861.44</v>
      </c>
      <c r="U3037" t="s">
        <v>2187</v>
      </c>
      <c r="V3037" t="s">
        <v>9408</v>
      </c>
      <c r="W3037" t="s">
        <v>423</v>
      </c>
    </row>
    <row r="3038" spans="1:23" hidden="1" x14ac:dyDescent="0.2">
      <c r="A3038">
        <v>2012</v>
      </c>
      <c r="B3038" t="s">
        <v>304</v>
      </c>
      <c r="C3038" s="733">
        <v>40956</v>
      </c>
      <c r="D30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38" t="s">
        <v>478</v>
      </c>
      <c r="F3038" t="s">
        <v>2136</v>
      </c>
      <c r="G3038" t="s">
        <v>7581</v>
      </c>
      <c r="H3038">
        <v>35681</v>
      </c>
      <c r="I3038" t="s">
        <v>423</v>
      </c>
      <c r="J3038" t="s">
        <v>4285</v>
      </c>
      <c r="K3038" t="s">
        <v>425</v>
      </c>
      <c r="L3038" t="s">
        <v>2145</v>
      </c>
      <c r="M3038">
        <v>110</v>
      </c>
      <c r="N3038">
        <v>20.98</v>
      </c>
      <c r="O3038">
        <v>3504.08</v>
      </c>
      <c r="P3038">
        <v>0</v>
      </c>
      <c r="Q3038">
        <v>3504.08</v>
      </c>
      <c r="R3038">
        <v>560.65</v>
      </c>
      <c r="S3038">
        <v>140.16</v>
      </c>
      <c r="T3038">
        <v>3924.57</v>
      </c>
      <c r="U3038" t="s">
        <v>8252</v>
      </c>
      <c r="V3038" t="s">
        <v>9409</v>
      </c>
      <c r="W3038" t="s">
        <v>423</v>
      </c>
    </row>
    <row r="3039" spans="1:23" hidden="1" x14ac:dyDescent="0.2">
      <c r="A3039">
        <v>2012</v>
      </c>
      <c r="B3039" t="s">
        <v>303</v>
      </c>
      <c r="C3039" s="733">
        <v>40921</v>
      </c>
      <c r="D30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39" t="s">
        <v>485</v>
      </c>
      <c r="F3039" t="s">
        <v>2065</v>
      </c>
      <c r="G3039" t="s">
        <v>6895</v>
      </c>
      <c r="H3039">
        <v>40046</v>
      </c>
      <c r="I3039" t="s">
        <v>423</v>
      </c>
      <c r="J3039" t="s">
        <v>2141</v>
      </c>
      <c r="K3039" t="s">
        <v>2102</v>
      </c>
      <c r="L3039" t="s">
        <v>2184</v>
      </c>
      <c r="M3039">
        <v>113</v>
      </c>
      <c r="N3039">
        <v>49.99</v>
      </c>
      <c r="O3039">
        <v>8032.39</v>
      </c>
      <c r="P3039">
        <v>0</v>
      </c>
      <c r="Q3039">
        <v>8032.39</v>
      </c>
      <c r="R3039">
        <v>1285.18</v>
      </c>
      <c r="S3039">
        <v>321.3</v>
      </c>
      <c r="T3039">
        <v>8996.27</v>
      </c>
      <c r="U3039" t="s">
        <v>2106</v>
      </c>
      <c r="V3039" t="s">
        <v>9409</v>
      </c>
      <c r="W3039" t="s">
        <v>423</v>
      </c>
    </row>
    <row r="3040" spans="1:23" hidden="1" x14ac:dyDescent="0.2">
      <c r="A3040">
        <v>2012</v>
      </c>
      <c r="B3040" t="s">
        <v>303</v>
      </c>
      <c r="C3040" s="733">
        <v>40912</v>
      </c>
      <c r="D30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40" t="s">
        <v>478</v>
      </c>
      <c r="F3040" t="s">
        <v>2136</v>
      </c>
      <c r="G3040" t="s">
        <v>6894</v>
      </c>
      <c r="H3040">
        <v>34122</v>
      </c>
      <c r="I3040" t="s">
        <v>423</v>
      </c>
      <c r="J3040" t="s">
        <v>4791</v>
      </c>
      <c r="K3040" t="s">
        <v>425</v>
      </c>
      <c r="L3040" t="s">
        <v>2145</v>
      </c>
      <c r="M3040">
        <v>139</v>
      </c>
      <c r="N3040">
        <v>27.3</v>
      </c>
      <c r="O3040">
        <v>1919.74</v>
      </c>
      <c r="P3040">
        <v>2161.4160689999999</v>
      </c>
      <c r="Q3040">
        <v>4081.1560690000001</v>
      </c>
      <c r="R3040">
        <v>652.98497099999997</v>
      </c>
      <c r="S3040">
        <v>163.24624299999999</v>
      </c>
      <c r="T3040">
        <v>4570.8947969999999</v>
      </c>
      <c r="U3040" t="s">
        <v>3118</v>
      </c>
      <c r="V3040" t="s">
        <v>9408</v>
      </c>
      <c r="W3040" t="s">
        <v>423</v>
      </c>
    </row>
    <row r="3041" spans="1:23" hidden="1" x14ac:dyDescent="0.2">
      <c r="A3041">
        <v>2012</v>
      </c>
      <c r="B3041" t="s">
        <v>304</v>
      </c>
      <c r="C3041" s="733">
        <v>40961</v>
      </c>
      <c r="D30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41" t="s">
        <v>485</v>
      </c>
      <c r="F3041" t="s">
        <v>2065</v>
      </c>
      <c r="G3041" t="s">
        <v>8287</v>
      </c>
      <c r="H3041">
        <v>42308</v>
      </c>
      <c r="I3041" t="s">
        <v>423</v>
      </c>
      <c r="J3041" t="s">
        <v>2189</v>
      </c>
      <c r="K3041" t="s">
        <v>2183</v>
      </c>
      <c r="L3041" t="s">
        <v>2184</v>
      </c>
      <c r="M3041">
        <v>720</v>
      </c>
      <c r="N3041">
        <v>24.5</v>
      </c>
      <c r="O3041">
        <v>10875.3</v>
      </c>
      <c r="P3041">
        <v>0</v>
      </c>
      <c r="Q3041">
        <v>10875.3</v>
      </c>
      <c r="R3041">
        <v>1740.05</v>
      </c>
      <c r="S3041">
        <v>435.01</v>
      </c>
      <c r="T3041">
        <v>12180.34</v>
      </c>
      <c r="U3041" t="s">
        <v>9411</v>
      </c>
      <c r="V3041" t="s">
        <v>9408</v>
      </c>
      <c r="W3041" t="s">
        <v>423</v>
      </c>
    </row>
    <row r="3042" spans="1:23" hidden="1" x14ac:dyDescent="0.2">
      <c r="A3042">
        <v>2012</v>
      </c>
      <c r="B3042" t="s">
        <v>304</v>
      </c>
      <c r="C3042" s="733">
        <v>40962</v>
      </c>
      <c r="D30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42" t="s">
        <v>485</v>
      </c>
      <c r="F3042" t="s">
        <v>2065</v>
      </c>
      <c r="G3042" t="s">
        <v>8538</v>
      </c>
      <c r="H3042">
        <v>42403</v>
      </c>
      <c r="I3042" t="s">
        <v>423</v>
      </c>
      <c r="J3042" t="s">
        <v>2189</v>
      </c>
      <c r="K3042" t="s">
        <v>2183</v>
      </c>
      <c r="L3042" t="s">
        <v>2184</v>
      </c>
      <c r="M3042">
        <v>720</v>
      </c>
      <c r="N3042">
        <v>25.28</v>
      </c>
      <c r="O3042">
        <v>11221.54</v>
      </c>
      <c r="P3042">
        <v>0</v>
      </c>
      <c r="Q3042">
        <v>11221.54</v>
      </c>
      <c r="R3042">
        <v>1795.45</v>
      </c>
      <c r="S3042">
        <v>448.86</v>
      </c>
      <c r="T3042">
        <v>12568.13</v>
      </c>
      <c r="U3042" t="s">
        <v>9411</v>
      </c>
      <c r="V3042" t="s">
        <v>9408</v>
      </c>
      <c r="W3042" t="s">
        <v>423</v>
      </c>
    </row>
    <row r="3043" spans="1:23" hidden="1" x14ac:dyDescent="0.2">
      <c r="A3043">
        <v>2012</v>
      </c>
      <c r="B3043" t="s">
        <v>303</v>
      </c>
      <c r="C3043" s="733">
        <v>40926</v>
      </c>
      <c r="D30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43" t="s">
        <v>485</v>
      </c>
      <c r="F3043" t="s">
        <v>2065</v>
      </c>
      <c r="G3043" t="s">
        <v>6273</v>
      </c>
      <c r="H3043">
        <v>39682</v>
      </c>
      <c r="I3043" t="s">
        <v>423</v>
      </c>
      <c r="J3043" t="s">
        <v>2114</v>
      </c>
      <c r="K3043" t="s">
        <v>2102</v>
      </c>
      <c r="L3043" t="s">
        <v>2115</v>
      </c>
      <c r="M3043">
        <v>500</v>
      </c>
      <c r="N3043">
        <v>49.11</v>
      </c>
      <c r="O3043">
        <v>16513.240000000002</v>
      </c>
      <c r="P3043">
        <v>0</v>
      </c>
      <c r="Q3043">
        <v>16513.240000000002</v>
      </c>
      <c r="R3043">
        <v>2642.12</v>
      </c>
      <c r="S3043">
        <v>660.53</v>
      </c>
      <c r="T3043">
        <v>18494.830000000002</v>
      </c>
      <c r="U3043" t="s">
        <v>2106</v>
      </c>
      <c r="V3043" t="s">
        <v>9409</v>
      </c>
      <c r="W3043" t="s">
        <v>423</v>
      </c>
    </row>
    <row r="3044" spans="1:23" hidden="1" x14ac:dyDescent="0.2">
      <c r="A3044">
        <v>2012</v>
      </c>
      <c r="B3044" t="s">
        <v>303</v>
      </c>
      <c r="C3044" s="733">
        <v>40926</v>
      </c>
      <c r="D30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44" t="s">
        <v>485</v>
      </c>
      <c r="F3044" t="s">
        <v>2065</v>
      </c>
      <c r="G3044" t="s">
        <v>6274</v>
      </c>
      <c r="H3044">
        <v>39679</v>
      </c>
      <c r="I3044" t="s">
        <v>423</v>
      </c>
      <c r="J3044" t="s">
        <v>5868</v>
      </c>
      <c r="K3044" t="s">
        <v>2102</v>
      </c>
      <c r="L3044" t="s">
        <v>2115</v>
      </c>
      <c r="M3044">
        <v>500</v>
      </c>
      <c r="N3044">
        <v>52.66</v>
      </c>
      <c r="O3044">
        <v>17706.919999999998</v>
      </c>
      <c r="P3044">
        <v>0</v>
      </c>
      <c r="Q3044">
        <v>17706.919999999998</v>
      </c>
      <c r="R3044">
        <v>2833.11</v>
      </c>
      <c r="S3044">
        <v>708.28</v>
      </c>
      <c r="T3044">
        <v>19831.75</v>
      </c>
      <c r="U3044" t="s">
        <v>8051</v>
      </c>
      <c r="V3044" t="s">
        <v>9409</v>
      </c>
      <c r="W3044" t="s">
        <v>423</v>
      </c>
    </row>
    <row r="3045" spans="1:23" hidden="1" x14ac:dyDescent="0.2">
      <c r="A3045">
        <v>2012</v>
      </c>
      <c r="B3045" t="s">
        <v>304</v>
      </c>
      <c r="C3045" s="733">
        <v>40942</v>
      </c>
      <c r="D30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45" t="s">
        <v>485</v>
      </c>
      <c r="F3045" t="s">
        <v>2065</v>
      </c>
      <c r="G3045" t="s">
        <v>3349</v>
      </c>
      <c r="H3045">
        <v>40047</v>
      </c>
      <c r="I3045" t="s">
        <v>423</v>
      </c>
      <c r="J3045" t="s">
        <v>2196</v>
      </c>
      <c r="K3045" t="s">
        <v>2183</v>
      </c>
      <c r="L3045" t="s">
        <v>2184</v>
      </c>
      <c r="M3045">
        <v>10</v>
      </c>
      <c r="N3045">
        <v>52.69</v>
      </c>
      <c r="O3045">
        <v>5947.12</v>
      </c>
      <c r="P3045">
        <v>0</v>
      </c>
      <c r="Q3045">
        <v>5947.12</v>
      </c>
      <c r="R3045">
        <v>951.54</v>
      </c>
      <c r="S3045">
        <v>237.88</v>
      </c>
      <c r="T3045">
        <v>6660.78</v>
      </c>
      <c r="U3045" t="s">
        <v>2192</v>
      </c>
      <c r="V3045" t="s">
        <v>9409</v>
      </c>
      <c r="W3045" t="s">
        <v>423</v>
      </c>
    </row>
    <row r="3046" spans="1:23" hidden="1" x14ac:dyDescent="0.2">
      <c r="A3046">
        <v>2012</v>
      </c>
      <c r="B3046" t="s">
        <v>303</v>
      </c>
      <c r="C3046" s="733">
        <v>40935</v>
      </c>
      <c r="D30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46" t="s">
        <v>478</v>
      </c>
      <c r="F3046" t="s">
        <v>2136</v>
      </c>
      <c r="G3046" t="s">
        <v>6550</v>
      </c>
      <c r="H3046">
        <v>35002</v>
      </c>
      <c r="I3046" t="s">
        <v>423</v>
      </c>
      <c r="J3046" t="s">
        <v>4285</v>
      </c>
      <c r="K3046" t="s">
        <v>425</v>
      </c>
      <c r="L3046" t="s">
        <v>2145</v>
      </c>
      <c r="M3046">
        <v>110</v>
      </c>
      <c r="N3046">
        <v>21.87</v>
      </c>
      <c r="O3046">
        <v>3559.34</v>
      </c>
      <c r="P3046">
        <v>0</v>
      </c>
      <c r="Q3046">
        <v>3559.34</v>
      </c>
      <c r="R3046">
        <v>569.49</v>
      </c>
      <c r="S3046">
        <v>142.37</v>
      </c>
      <c r="T3046">
        <v>3986.46</v>
      </c>
      <c r="U3046" t="s">
        <v>2580</v>
      </c>
      <c r="V3046" t="s">
        <v>9408</v>
      </c>
      <c r="W3046" t="s">
        <v>423</v>
      </c>
    </row>
    <row r="3047" spans="1:23" hidden="1" x14ac:dyDescent="0.2">
      <c r="A3047">
        <v>2012</v>
      </c>
      <c r="B3047" t="s">
        <v>303</v>
      </c>
      <c r="C3047" s="733">
        <v>40926</v>
      </c>
      <c r="D30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47" t="s">
        <v>478</v>
      </c>
      <c r="F3047" t="s">
        <v>2136</v>
      </c>
      <c r="G3047" t="s">
        <v>6551</v>
      </c>
      <c r="H3047">
        <v>34639</v>
      </c>
      <c r="I3047" t="s">
        <v>423</v>
      </c>
      <c r="J3047" t="s">
        <v>4285</v>
      </c>
      <c r="K3047" t="s">
        <v>425</v>
      </c>
      <c r="L3047" t="s">
        <v>2145</v>
      </c>
      <c r="M3047">
        <v>110</v>
      </c>
      <c r="N3047">
        <v>29.64</v>
      </c>
      <c r="O3047">
        <v>4823.91</v>
      </c>
      <c r="P3047">
        <v>0</v>
      </c>
      <c r="Q3047">
        <v>4823.91</v>
      </c>
      <c r="R3047">
        <v>771.83</v>
      </c>
      <c r="S3047">
        <v>192.96</v>
      </c>
      <c r="T3047">
        <v>5402.78</v>
      </c>
      <c r="U3047" t="s">
        <v>2927</v>
      </c>
      <c r="V3047" t="s">
        <v>9408</v>
      </c>
      <c r="W3047" t="s">
        <v>423</v>
      </c>
    </row>
    <row r="3048" spans="1:23" hidden="1" x14ac:dyDescent="0.2">
      <c r="A3048">
        <v>2012</v>
      </c>
      <c r="B3048" t="s">
        <v>303</v>
      </c>
      <c r="C3048" s="733">
        <v>40931</v>
      </c>
      <c r="D30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48" t="s">
        <v>485</v>
      </c>
      <c r="F3048" t="s">
        <v>2065</v>
      </c>
      <c r="G3048" t="s">
        <v>3351</v>
      </c>
      <c r="H3048">
        <v>40725</v>
      </c>
      <c r="I3048" t="s">
        <v>423</v>
      </c>
      <c r="J3048" t="s">
        <v>2196</v>
      </c>
      <c r="K3048" t="s">
        <v>2183</v>
      </c>
      <c r="L3048" t="s">
        <v>2184</v>
      </c>
      <c r="M3048">
        <v>10</v>
      </c>
      <c r="N3048">
        <v>26.67</v>
      </c>
      <c r="O3048">
        <v>3010.24</v>
      </c>
      <c r="P3048">
        <v>0</v>
      </c>
      <c r="Q3048">
        <v>3010.24</v>
      </c>
      <c r="R3048">
        <v>481.64</v>
      </c>
      <c r="S3048">
        <v>120.41</v>
      </c>
      <c r="T3048">
        <v>3371.47</v>
      </c>
      <c r="U3048" t="s">
        <v>2187</v>
      </c>
      <c r="V3048" t="s">
        <v>9408</v>
      </c>
      <c r="W3048" t="s">
        <v>423</v>
      </c>
    </row>
    <row r="3049" spans="1:23" hidden="1" x14ac:dyDescent="0.2">
      <c r="A3049">
        <v>2012</v>
      </c>
      <c r="B3049" t="s">
        <v>305</v>
      </c>
      <c r="C3049" s="733">
        <v>40969.439131944448</v>
      </c>
      <c r="D3049" s="733" t="str">
        <f>CHOOSE(MONTH(Tabla_sqldatos_bonampakdb_Bon_v_ingresos2012[[#This Row],[fecha_guia]]),"Enero","Febrero","Marzo","Abril","Mayo","Junio","Julio","Agosto","Septiembre","Octubre","Noviembre","Diciembre")</f>
        <v>Marzo</v>
      </c>
      <c r="E3049" t="s">
        <v>485</v>
      </c>
      <c r="F3049" t="s">
        <v>2065</v>
      </c>
      <c r="G3049" t="s">
        <v>9487</v>
      </c>
      <c r="H3049">
        <v>42901</v>
      </c>
      <c r="I3049" t="s">
        <v>423</v>
      </c>
      <c r="J3049" t="s">
        <v>2196</v>
      </c>
      <c r="K3049" t="s">
        <v>2183</v>
      </c>
      <c r="L3049" t="s">
        <v>2184</v>
      </c>
      <c r="M3049">
        <v>10</v>
      </c>
      <c r="N3049">
        <v>26.51</v>
      </c>
      <c r="O3049">
        <v>2992.18</v>
      </c>
      <c r="P3049">
        <v>0</v>
      </c>
      <c r="Q3049">
        <v>2992.18</v>
      </c>
      <c r="R3049">
        <v>478.75</v>
      </c>
      <c r="S3049">
        <v>119.69</v>
      </c>
      <c r="T3049">
        <v>3351.24</v>
      </c>
      <c r="V3049" t="s">
        <v>9408</v>
      </c>
      <c r="W3049" t="s">
        <v>423</v>
      </c>
    </row>
    <row r="3050" spans="1:23" hidden="1" x14ac:dyDescent="0.2">
      <c r="A3050">
        <v>2012</v>
      </c>
      <c r="B3050" t="s">
        <v>303</v>
      </c>
      <c r="C3050" s="733">
        <v>40931.541273148148</v>
      </c>
      <c r="D30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50" t="s">
        <v>485</v>
      </c>
      <c r="F3050" t="s">
        <v>2065</v>
      </c>
      <c r="G3050" t="s">
        <v>3350</v>
      </c>
      <c r="H3050">
        <v>40724</v>
      </c>
      <c r="I3050" t="s">
        <v>423</v>
      </c>
      <c r="J3050" t="s">
        <v>2196</v>
      </c>
      <c r="K3050" t="s">
        <v>2183</v>
      </c>
      <c r="L3050" t="s">
        <v>2184</v>
      </c>
      <c r="M3050">
        <v>10</v>
      </c>
      <c r="N3050">
        <v>27.03</v>
      </c>
      <c r="O3050">
        <v>3050.88</v>
      </c>
      <c r="P3050">
        <v>0</v>
      </c>
      <c r="Q3050">
        <v>3050.88</v>
      </c>
      <c r="R3050">
        <v>488.14</v>
      </c>
      <c r="S3050">
        <v>122.04</v>
      </c>
      <c r="T3050">
        <v>3416.98</v>
      </c>
      <c r="U3050" t="s">
        <v>2187</v>
      </c>
      <c r="V3050" t="s">
        <v>9408</v>
      </c>
      <c r="W3050" t="s">
        <v>423</v>
      </c>
    </row>
    <row r="3051" spans="1:23" hidden="1" x14ac:dyDescent="0.2">
      <c r="A3051">
        <v>2012</v>
      </c>
      <c r="B3051" t="s">
        <v>303</v>
      </c>
      <c r="C3051" s="733">
        <v>40920</v>
      </c>
      <c r="D30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51" t="s">
        <v>485</v>
      </c>
      <c r="F3051" t="s">
        <v>2065</v>
      </c>
      <c r="G3051" t="s">
        <v>4565</v>
      </c>
      <c r="H3051">
        <v>40107</v>
      </c>
      <c r="I3051" t="s">
        <v>423</v>
      </c>
      <c r="J3051" t="s">
        <v>2196</v>
      </c>
      <c r="K3051" t="s">
        <v>2183</v>
      </c>
      <c r="L3051" t="s">
        <v>2184</v>
      </c>
      <c r="M3051">
        <v>10</v>
      </c>
      <c r="N3051">
        <v>25.11</v>
      </c>
      <c r="O3051">
        <v>2834.17</v>
      </c>
      <c r="P3051">
        <v>0</v>
      </c>
      <c r="Q3051">
        <v>2834.17</v>
      </c>
      <c r="R3051">
        <v>453.47</v>
      </c>
      <c r="S3051">
        <v>113.37</v>
      </c>
      <c r="T3051">
        <v>3174.27</v>
      </c>
      <c r="U3051" t="s">
        <v>7587</v>
      </c>
      <c r="V3051" t="s">
        <v>9408</v>
      </c>
      <c r="W3051" t="s">
        <v>423</v>
      </c>
    </row>
    <row r="3052" spans="1:23" hidden="1" x14ac:dyDescent="0.2">
      <c r="A3052">
        <v>2012</v>
      </c>
      <c r="B3052" t="s">
        <v>303</v>
      </c>
      <c r="C3052" s="733">
        <v>40927</v>
      </c>
      <c r="D30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52" t="s">
        <v>485</v>
      </c>
      <c r="F3052" t="s">
        <v>2065</v>
      </c>
      <c r="G3052" t="s">
        <v>3345</v>
      </c>
      <c r="H3052">
        <v>39757</v>
      </c>
      <c r="I3052" t="s">
        <v>423</v>
      </c>
      <c r="J3052" t="s">
        <v>2196</v>
      </c>
      <c r="K3052" t="s">
        <v>2183</v>
      </c>
      <c r="L3052" t="s">
        <v>2115</v>
      </c>
      <c r="M3052">
        <v>10</v>
      </c>
      <c r="N3052">
        <v>48.96</v>
      </c>
      <c r="O3052">
        <v>5526.12</v>
      </c>
      <c r="P3052">
        <v>0</v>
      </c>
      <c r="Q3052">
        <v>5526.12</v>
      </c>
      <c r="R3052">
        <v>884.18</v>
      </c>
      <c r="S3052">
        <v>221.04</v>
      </c>
      <c r="T3052">
        <v>6189.26</v>
      </c>
      <c r="U3052" t="s">
        <v>2187</v>
      </c>
      <c r="V3052" t="s">
        <v>9409</v>
      </c>
      <c r="W3052" t="s">
        <v>423</v>
      </c>
    </row>
    <row r="3053" spans="1:23" hidden="1" x14ac:dyDescent="0.2">
      <c r="A3053">
        <v>2012</v>
      </c>
      <c r="B3053" t="s">
        <v>304</v>
      </c>
      <c r="C3053" s="733">
        <v>40962</v>
      </c>
      <c r="D30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53" t="s">
        <v>485</v>
      </c>
      <c r="F3053" t="s">
        <v>2065</v>
      </c>
      <c r="G3053" t="s">
        <v>8594</v>
      </c>
      <c r="H3053">
        <v>42380</v>
      </c>
      <c r="I3053" t="s">
        <v>423</v>
      </c>
      <c r="J3053" t="s">
        <v>2196</v>
      </c>
      <c r="K3053" t="s">
        <v>2183</v>
      </c>
      <c r="L3053" t="s">
        <v>2184</v>
      </c>
      <c r="M3053">
        <v>10</v>
      </c>
      <c r="N3053">
        <v>51.13</v>
      </c>
      <c r="O3053">
        <v>5771.04</v>
      </c>
      <c r="P3053">
        <v>0</v>
      </c>
      <c r="Q3053">
        <v>5771.04</v>
      </c>
      <c r="R3053">
        <v>923.37</v>
      </c>
      <c r="S3053">
        <v>230.84</v>
      </c>
      <c r="T3053">
        <v>6463.57</v>
      </c>
      <c r="U3053" t="s">
        <v>9411</v>
      </c>
      <c r="V3053" t="s">
        <v>9409</v>
      </c>
      <c r="W3053" t="s">
        <v>423</v>
      </c>
    </row>
    <row r="3054" spans="1:23" hidden="1" x14ac:dyDescent="0.2">
      <c r="A3054">
        <v>2012</v>
      </c>
      <c r="B3054" t="s">
        <v>303</v>
      </c>
      <c r="C3054" s="733">
        <v>40926</v>
      </c>
      <c r="D30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54" t="s">
        <v>485</v>
      </c>
      <c r="F3054" t="s">
        <v>2065</v>
      </c>
      <c r="G3054" t="s">
        <v>3336</v>
      </c>
      <c r="H3054">
        <v>40484</v>
      </c>
      <c r="I3054" t="s">
        <v>423</v>
      </c>
      <c r="J3054" t="s">
        <v>2196</v>
      </c>
      <c r="K3054" t="s">
        <v>2183</v>
      </c>
      <c r="L3054" t="s">
        <v>2184</v>
      </c>
      <c r="M3054">
        <v>10</v>
      </c>
      <c r="N3054">
        <v>15.64</v>
      </c>
      <c r="O3054">
        <v>1765.29</v>
      </c>
      <c r="P3054">
        <v>0</v>
      </c>
      <c r="Q3054">
        <v>1765.29</v>
      </c>
      <c r="R3054">
        <v>282.45</v>
      </c>
      <c r="S3054">
        <v>70.61</v>
      </c>
      <c r="T3054">
        <v>1977.13</v>
      </c>
      <c r="U3054" t="s">
        <v>7554</v>
      </c>
      <c r="V3054" t="s">
        <v>9408</v>
      </c>
      <c r="W3054" t="s">
        <v>423</v>
      </c>
    </row>
    <row r="3055" spans="1:23" hidden="1" x14ac:dyDescent="0.2">
      <c r="A3055">
        <v>2012</v>
      </c>
      <c r="B3055" t="s">
        <v>304</v>
      </c>
      <c r="C3055" s="733">
        <v>40956.636631944442</v>
      </c>
      <c r="D30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55" t="s">
        <v>478</v>
      </c>
      <c r="F3055" t="s">
        <v>2136</v>
      </c>
      <c r="G3055" t="s">
        <v>7697</v>
      </c>
      <c r="H3055">
        <v>35747</v>
      </c>
      <c r="I3055" t="s">
        <v>423</v>
      </c>
      <c r="J3055" t="s">
        <v>2148</v>
      </c>
      <c r="K3055" t="s">
        <v>425</v>
      </c>
      <c r="L3055" t="s">
        <v>2145</v>
      </c>
      <c r="M3055">
        <v>205</v>
      </c>
      <c r="N3055">
        <v>25.19</v>
      </c>
      <c r="O3055">
        <v>4996.9399999999996</v>
      </c>
      <c r="P3055">
        <v>0</v>
      </c>
      <c r="Q3055">
        <v>4996.9399999999996</v>
      </c>
      <c r="R3055">
        <v>799.51</v>
      </c>
      <c r="S3055">
        <v>199.88</v>
      </c>
      <c r="T3055">
        <v>5596.57</v>
      </c>
      <c r="U3055" t="s">
        <v>8510</v>
      </c>
      <c r="V3055" t="s">
        <v>9408</v>
      </c>
      <c r="W3055" t="s">
        <v>423</v>
      </c>
    </row>
    <row r="3056" spans="1:23" hidden="1" x14ac:dyDescent="0.2">
      <c r="A3056">
        <v>2012</v>
      </c>
      <c r="B3056" t="s">
        <v>304</v>
      </c>
      <c r="C3056" s="733">
        <v>40941</v>
      </c>
      <c r="D30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56" t="s">
        <v>485</v>
      </c>
      <c r="F3056" t="s">
        <v>2065</v>
      </c>
      <c r="G3056" t="s">
        <v>6272</v>
      </c>
      <c r="H3056">
        <v>40813</v>
      </c>
      <c r="I3056" t="s">
        <v>423</v>
      </c>
      <c r="J3056" t="s">
        <v>2139</v>
      </c>
      <c r="K3056" t="s">
        <v>2102</v>
      </c>
      <c r="L3056" t="s">
        <v>2115</v>
      </c>
      <c r="M3056">
        <v>543</v>
      </c>
      <c r="N3056">
        <v>51.1</v>
      </c>
      <c r="O3056">
        <v>17182.38</v>
      </c>
      <c r="P3056">
        <v>0</v>
      </c>
      <c r="Q3056">
        <v>17182.38</v>
      </c>
      <c r="R3056">
        <v>2749.18</v>
      </c>
      <c r="S3056">
        <v>687.3</v>
      </c>
      <c r="T3056">
        <v>19244.259999999998</v>
      </c>
      <c r="V3056" t="s">
        <v>9409</v>
      </c>
      <c r="W3056" t="s">
        <v>423</v>
      </c>
    </row>
    <row r="3057" spans="1:23" hidden="1" x14ac:dyDescent="0.2">
      <c r="A3057">
        <v>2012</v>
      </c>
      <c r="B3057" t="s">
        <v>304</v>
      </c>
      <c r="C3057" s="733">
        <v>40960</v>
      </c>
      <c r="D30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57" t="s">
        <v>485</v>
      </c>
      <c r="F3057" t="s">
        <v>2065</v>
      </c>
      <c r="G3057" t="s">
        <v>8130</v>
      </c>
      <c r="H3057">
        <v>42250</v>
      </c>
      <c r="I3057" t="s">
        <v>423</v>
      </c>
      <c r="J3057" t="s">
        <v>2196</v>
      </c>
      <c r="K3057" t="s">
        <v>2183</v>
      </c>
      <c r="L3057" t="s">
        <v>2184</v>
      </c>
      <c r="M3057">
        <v>10</v>
      </c>
      <c r="N3057">
        <v>16.46</v>
      </c>
      <c r="O3057">
        <v>1857.84</v>
      </c>
      <c r="P3057">
        <v>0</v>
      </c>
      <c r="Q3057">
        <v>1857.84</v>
      </c>
      <c r="R3057">
        <v>297.25</v>
      </c>
      <c r="S3057">
        <v>74.31</v>
      </c>
      <c r="T3057">
        <v>2080.7800000000002</v>
      </c>
      <c r="U3057" t="s">
        <v>9411</v>
      </c>
      <c r="V3057" t="s">
        <v>9408</v>
      </c>
      <c r="W3057" t="s">
        <v>423</v>
      </c>
    </row>
    <row r="3058" spans="1:23" hidden="1" x14ac:dyDescent="0.2">
      <c r="A3058">
        <v>2012</v>
      </c>
      <c r="B3058" t="s">
        <v>304</v>
      </c>
      <c r="C3058" s="733">
        <v>40960</v>
      </c>
      <c r="D30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58" t="s">
        <v>485</v>
      </c>
      <c r="F3058" t="s">
        <v>2065</v>
      </c>
      <c r="G3058" t="s">
        <v>8121</v>
      </c>
      <c r="H3058">
        <v>42253</v>
      </c>
      <c r="I3058" t="s">
        <v>423</v>
      </c>
      <c r="J3058" t="s">
        <v>2196</v>
      </c>
      <c r="K3058" t="s">
        <v>2183</v>
      </c>
      <c r="L3058" t="s">
        <v>2184</v>
      </c>
      <c r="M3058">
        <v>10</v>
      </c>
      <c r="N3058">
        <v>14.97</v>
      </c>
      <c r="O3058">
        <v>1689.66</v>
      </c>
      <c r="P3058">
        <v>0</v>
      </c>
      <c r="Q3058">
        <v>1689.66</v>
      </c>
      <c r="R3058">
        <v>270.35000000000002</v>
      </c>
      <c r="S3058">
        <v>67.59</v>
      </c>
      <c r="T3058">
        <v>1892.42</v>
      </c>
      <c r="U3058" t="s">
        <v>9411</v>
      </c>
      <c r="V3058" t="s">
        <v>9408</v>
      </c>
      <c r="W3058" t="s">
        <v>423</v>
      </c>
    </row>
    <row r="3059" spans="1:23" hidden="1" x14ac:dyDescent="0.2">
      <c r="A3059">
        <v>2012</v>
      </c>
      <c r="B3059" t="s">
        <v>303</v>
      </c>
      <c r="C3059" s="733">
        <v>40933</v>
      </c>
      <c r="D30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59" t="s">
        <v>485</v>
      </c>
      <c r="F3059" t="s">
        <v>2065</v>
      </c>
      <c r="G3059" t="s">
        <v>3335</v>
      </c>
      <c r="H3059">
        <v>40836</v>
      </c>
      <c r="I3059" t="s">
        <v>423</v>
      </c>
      <c r="J3059" t="s">
        <v>2196</v>
      </c>
      <c r="K3059" t="s">
        <v>2183</v>
      </c>
      <c r="L3059" t="s">
        <v>2184</v>
      </c>
      <c r="M3059">
        <v>10</v>
      </c>
      <c r="N3059">
        <v>15.87</v>
      </c>
      <c r="O3059">
        <v>1791.25</v>
      </c>
      <c r="P3059">
        <v>0</v>
      </c>
      <c r="Q3059">
        <v>1791.25</v>
      </c>
      <c r="R3059">
        <v>286.60000000000002</v>
      </c>
      <c r="S3059">
        <v>71.650000000000006</v>
      </c>
      <c r="T3059">
        <v>2006.2</v>
      </c>
      <c r="U3059" t="s">
        <v>2187</v>
      </c>
      <c r="V3059" t="s">
        <v>9408</v>
      </c>
      <c r="W3059" t="s">
        <v>423</v>
      </c>
    </row>
    <row r="3060" spans="1:23" hidden="1" x14ac:dyDescent="0.2">
      <c r="A3060">
        <v>2012</v>
      </c>
      <c r="B3060" t="s">
        <v>303</v>
      </c>
      <c r="C3060" s="733">
        <v>40933.645601851851</v>
      </c>
      <c r="D30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60" t="s">
        <v>485</v>
      </c>
      <c r="F3060" t="s">
        <v>2054</v>
      </c>
      <c r="G3060" t="s">
        <v>2083</v>
      </c>
      <c r="H3060">
        <v>10209</v>
      </c>
      <c r="I3060" t="s">
        <v>423</v>
      </c>
      <c r="J3060" t="s">
        <v>2072</v>
      </c>
      <c r="K3060" t="s">
        <v>2057</v>
      </c>
      <c r="L3060" t="s">
        <v>2058</v>
      </c>
      <c r="M3060">
        <v>406</v>
      </c>
      <c r="N3060">
        <v>44.02</v>
      </c>
      <c r="O3060">
        <v>12029.79</v>
      </c>
      <c r="P3060">
        <v>0</v>
      </c>
      <c r="Q3060">
        <v>12029.79</v>
      </c>
      <c r="R3060">
        <v>1924.77</v>
      </c>
      <c r="S3060">
        <v>481.19</v>
      </c>
      <c r="T3060">
        <v>13473.37</v>
      </c>
      <c r="U3060" t="s">
        <v>2073</v>
      </c>
      <c r="V3060" t="s">
        <v>9409</v>
      </c>
      <c r="W3060" t="s">
        <v>423</v>
      </c>
    </row>
    <row r="3061" spans="1:23" hidden="1" x14ac:dyDescent="0.2">
      <c r="A3061">
        <v>2012</v>
      </c>
      <c r="B3061" t="s">
        <v>303</v>
      </c>
      <c r="C3061" s="733">
        <v>40921</v>
      </c>
      <c r="D30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61" t="s">
        <v>485</v>
      </c>
      <c r="F3061" t="s">
        <v>2054</v>
      </c>
      <c r="G3061" t="s">
        <v>2096</v>
      </c>
      <c r="H3061">
        <v>10029</v>
      </c>
      <c r="I3061" t="s">
        <v>423</v>
      </c>
      <c r="J3061" t="s">
        <v>2072</v>
      </c>
      <c r="K3061" t="s">
        <v>2057</v>
      </c>
      <c r="L3061" t="s">
        <v>2058</v>
      </c>
      <c r="M3061">
        <v>406</v>
      </c>
      <c r="N3061">
        <v>24.96</v>
      </c>
      <c r="O3061">
        <v>6821.07</v>
      </c>
      <c r="P3061">
        <v>0</v>
      </c>
      <c r="Q3061">
        <v>6821.07</v>
      </c>
      <c r="R3061">
        <v>1091.3699999999999</v>
      </c>
      <c r="S3061">
        <v>272.83999999999997</v>
      </c>
      <c r="T3061">
        <v>7639.6</v>
      </c>
      <c r="U3061" t="s">
        <v>2059</v>
      </c>
      <c r="V3061" t="s">
        <v>9408</v>
      </c>
      <c r="W3061" t="s">
        <v>423</v>
      </c>
    </row>
    <row r="3062" spans="1:23" hidden="1" x14ac:dyDescent="0.2">
      <c r="A3062">
        <v>2012</v>
      </c>
      <c r="B3062" t="s">
        <v>303</v>
      </c>
      <c r="C3062" s="733">
        <v>40933</v>
      </c>
      <c r="D30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62" t="s">
        <v>485</v>
      </c>
      <c r="F3062" t="s">
        <v>2065</v>
      </c>
      <c r="G3062" t="s">
        <v>4923</v>
      </c>
      <c r="H3062">
        <v>40806</v>
      </c>
      <c r="I3062" t="s">
        <v>423</v>
      </c>
      <c r="J3062" t="s">
        <v>3972</v>
      </c>
      <c r="K3062" t="s">
        <v>2183</v>
      </c>
      <c r="L3062" t="s">
        <v>2184</v>
      </c>
      <c r="M3062">
        <v>184</v>
      </c>
      <c r="N3062">
        <v>26.89</v>
      </c>
      <c r="O3062">
        <v>4784.2700000000004</v>
      </c>
      <c r="P3062">
        <v>0</v>
      </c>
      <c r="Q3062">
        <v>4784.2700000000004</v>
      </c>
      <c r="R3062">
        <v>765.48</v>
      </c>
      <c r="S3062">
        <v>191.37</v>
      </c>
      <c r="T3062">
        <v>5358.38</v>
      </c>
      <c r="U3062" t="s">
        <v>2187</v>
      </c>
      <c r="V3062" t="s">
        <v>9408</v>
      </c>
      <c r="W3062" t="s">
        <v>423</v>
      </c>
    </row>
    <row r="3063" spans="1:23" x14ac:dyDescent="0.2">
      <c r="A3063">
        <v>2012</v>
      </c>
      <c r="B3063" t="s">
        <v>304</v>
      </c>
      <c r="C3063" s="733">
        <v>40968</v>
      </c>
      <c r="D30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63" t="s">
        <v>485</v>
      </c>
      <c r="F3063" t="s">
        <v>2065</v>
      </c>
      <c r="G3063" t="s">
        <v>9289</v>
      </c>
      <c r="H3063">
        <v>42759</v>
      </c>
      <c r="I3063" t="s">
        <v>423</v>
      </c>
      <c r="J3063" t="s">
        <v>3972</v>
      </c>
      <c r="K3063" t="s">
        <v>2183</v>
      </c>
      <c r="L3063" t="s">
        <v>2184</v>
      </c>
      <c r="M3063">
        <v>184</v>
      </c>
      <c r="N3063">
        <v>26.83</v>
      </c>
      <c r="O3063">
        <v>4773.59</v>
      </c>
      <c r="P3063">
        <v>0</v>
      </c>
      <c r="Q3063">
        <v>4773.59</v>
      </c>
      <c r="R3063">
        <v>763.77</v>
      </c>
      <c r="S3063">
        <v>190.94</v>
      </c>
      <c r="T3063">
        <v>5346.42</v>
      </c>
      <c r="V3063" t="s">
        <v>9408</v>
      </c>
      <c r="W3063" t="s">
        <v>423</v>
      </c>
    </row>
    <row r="3064" spans="1:23" hidden="1" x14ac:dyDescent="0.2">
      <c r="A3064">
        <v>2012</v>
      </c>
      <c r="B3064" t="s">
        <v>304</v>
      </c>
      <c r="C3064" s="733">
        <v>40955</v>
      </c>
      <c r="D30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64" t="s">
        <v>485</v>
      </c>
      <c r="F3064" t="s">
        <v>2065</v>
      </c>
      <c r="G3064" t="s">
        <v>7668</v>
      </c>
      <c r="H3064">
        <v>42055</v>
      </c>
      <c r="I3064" t="s">
        <v>423</v>
      </c>
      <c r="J3064" t="s">
        <v>3972</v>
      </c>
      <c r="K3064" t="s">
        <v>2183</v>
      </c>
      <c r="L3064" t="s">
        <v>2184</v>
      </c>
      <c r="M3064">
        <v>184</v>
      </c>
      <c r="N3064">
        <v>28.64</v>
      </c>
      <c r="O3064">
        <v>5095.63</v>
      </c>
      <c r="P3064">
        <v>0</v>
      </c>
      <c r="Q3064">
        <v>5095.63</v>
      </c>
      <c r="R3064">
        <v>815.3</v>
      </c>
      <c r="S3064">
        <v>203.83</v>
      </c>
      <c r="T3064">
        <v>5707.1</v>
      </c>
      <c r="U3064" t="s">
        <v>8048</v>
      </c>
      <c r="V3064" t="s">
        <v>9408</v>
      </c>
      <c r="W3064" t="s">
        <v>423</v>
      </c>
    </row>
    <row r="3065" spans="1:23" hidden="1" x14ac:dyDescent="0.2">
      <c r="A3065">
        <v>2012</v>
      </c>
      <c r="B3065" t="s">
        <v>303</v>
      </c>
      <c r="C3065" s="733">
        <v>40932</v>
      </c>
      <c r="D30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65" t="s">
        <v>485</v>
      </c>
      <c r="F3065" t="s">
        <v>2065</v>
      </c>
      <c r="G3065" t="s">
        <v>4922</v>
      </c>
      <c r="H3065">
        <v>40592</v>
      </c>
      <c r="I3065" t="s">
        <v>423</v>
      </c>
      <c r="J3065" t="s">
        <v>3972</v>
      </c>
      <c r="K3065" t="s">
        <v>2183</v>
      </c>
      <c r="L3065" t="s">
        <v>2184</v>
      </c>
      <c r="M3065">
        <v>184</v>
      </c>
      <c r="N3065">
        <v>25.81</v>
      </c>
      <c r="O3065">
        <v>4592.12</v>
      </c>
      <c r="P3065">
        <v>0</v>
      </c>
      <c r="Q3065">
        <v>4592.12</v>
      </c>
      <c r="R3065">
        <v>734.74</v>
      </c>
      <c r="S3065">
        <v>183.68</v>
      </c>
      <c r="T3065">
        <v>5143.18</v>
      </c>
      <c r="U3065" t="s">
        <v>2187</v>
      </c>
      <c r="V3065" t="s">
        <v>9408</v>
      </c>
      <c r="W3065" t="s">
        <v>423</v>
      </c>
    </row>
    <row r="3066" spans="1:23" hidden="1" x14ac:dyDescent="0.2">
      <c r="A3066">
        <v>2012</v>
      </c>
      <c r="B3066" t="s">
        <v>303</v>
      </c>
      <c r="C3066" s="733">
        <v>40910</v>
      </c>
      <c r="D30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66" t="s">
        <v>485</v>
      </c>
      <c r="F3066" t="s">
        <v>2065</v>
      </c>
      <c r="G3066" t="s">
        <v>4924</v>
      </c>
      <c r="H3066">
        <v>39491</v>
      </c>
      <c r="I3066" t="s">
        <v>423</v>
      </c>
      <c r="J3066" t="s">
        <v>4413</v>
      </c>
      <c r="K3066" t="s">
        <v>2183</v>
      </c>
      <c r="L3066" t="s">
        <v>2184</v>
      </c>
      <c r="M3066">
        <v>438</v>
      </c>
      <c r="N3066">
        <v>26.15</v>
      </c>
      <c r="O3066">
        <v>4887.17</v>
      </c>
      <c r="P3066">
        <v>5502.4158310000003</v>
      </c>
      <c r="Q3066">
        <v>10389.585831</v>
      </c>
      <c r="R3066">
        <v>1662.3337329999999</v>
      </c>
      <c r="S3066">
        <v>415.58343300000001</v>
      </c>
      <c r="T3066">
        <v>11636.336131</v>
      </c>
      <c r="U3066" t="s">
        <v>3038</v>
      </c>
      <c r="V3066" t="s">
        <v>9408</v>
      </c>
      <c r="W3066" t="s">
        <v>423</v>
      </c>
    </row>
    <row r="3067" spans="1:23" hidden="1" x14ac:dyDescent="0.2">
      <c r="A3067">
        <v>2012</v>
      </c>
      <c r="B3067" t="s">
        <v>303</v>
      </c>
      <c r="C3067" s="733">
        <v>40925</v>
      </c>
      <c r="D30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67" t="s">
        <v>505</v>
      </c>
      <c r="F3067" t="s">
        <v>1915</v>
      </c>
      <c r="G3067" t="s">
        <v>3403</v>
      </c>
      <c r="H3067">
        <v>22024</v>
      </c>
      <c r="I3067" t="s">
        <v>423</v>
      </c>
      <c r="J3067" t="s">
        <v>1943</v>
      </c>
      <c r="K3067" t="s">
        <v>1918</v>
      </c>
      <c r="L3067" t="s">
        <v>1919</v>
      </c>
      <c r="M3067">
        <v>319</v>
      </c>
      <c r="N3067">
        <v>54.43</v>
      </c>
      <c r="O3067">
        <v>15961.05</v>
      </c>
      <c r="P3067">
        <v>0</v>
      </c>
      <c r="Q3067">
        <v>15961.05</v>
      </c>
      <c r="R3067">
        <v>2553.77</v>
      </c>
      <c r="S3067">
        <v>638.44000000000005</v>
      </c>
      <c r="T3067">
        <v>17876.38</v>
      </c>
      <c r="U3067" t="s">
        <v>1931</v>
      </c>
      <c r="V3067" t="s">
        <v>9409</v>
      </c>
      <c r="W3067" t="s">
        <v>423</v>
      </c>
    </row>
    <row r="3068" spans="1:23" hidden="1" x14ac:dyDescent="0.2">
      <c r="A3068">
        <v>2012</v>
      </c>
      <c r="B3068" t="s">
        <v>304</v>
      </c>
      <c r="C3068" s="733">
        <v>40957</v>
      </c>
      <c r="D30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68" t="s">
        <v>505</v>
      </c>
      <c r="F3068" t="s">
        <v>1915</v>
      </c>
      <c r="G3068" t="s">
        <v>7955</v>
      </c>
      <c r="H3068">
        <v>22797</v>
      </c>
      <c r="I3068" t="s">
        <v>423</v>
      </c>
      <c r="J3068" t="s">
        <v>1943</v>
      </c>
      <c r="K3068" t="s">
        <v>1918</v>
      </c>
      <c r="L3068" t="s">
        <v>1919</v>
      </c>
      <c r="M3068">
        <v>319</v>
      </c>
      <c r="N3068">
        <v>52.3</v>
      </c>
      <c r="O3068">
        <v>15336.45</v>
      </c>
      <c r="P3068">
        <v>0</v>
      </c>
      <c r="Q3068">
        <v>15336.45</v>
      </c>
      <c r="R3068">
        <v>2453.83</v>
      </c>
      <c r="S3068">
        <v>613.46</v>
      </c>
      <c r="T3068">
        <v>17176.82</v>
      </c>
      <c r="U3068" t="s">
        <v>8491</v>
      </c>
      <c r="V3068" t="s">
        <v>9409</v>
      </c>
      <c r="W3068" t="s">
        <v>423</v>
      </c>
    </row>
    <row r="3069" spans="1:23" hidden="1" x14ac:dyDescent="0.2">
      <c r="A3069">
        <v>2012</v>
      </c>
      <c r="B3069" t="s">
        <v>304</v>
      </c>
      <c r="C3069" s="733">
        <v>40961</v>
      </c>
      <c r="D30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69" t="s">
        <v>505</v>
      </c>
      <c r="F3069" t="s">
        <v>1915</v>
      </c>
      <c r="G3069" t="s">
        <v>8353</v>
      </c>
      <c r="H3069">
        <v>22914</v>
      </c>
      <c r="I3069" t="s">
        <v>423</v>
      </c>
      <c r="J3069" t="s">
        <v>1943</v>
      </c>
      <c r="K3069" t="s">
        <v>1918</v>
      </c>
      <c r="L3069" t="s">
        <v>1919</v>
      </c>
      <c r="M3069">
        <v>319</v>
      </c>
      <c r="N3069">
        <v>54.08</v>
      </c>
      <c r="O3069">
        <v>15858.42</v>
      </c>
      <c r="P3069">
        <v>0</v>
      </c>
      <c r="Q3069">
        <v>15858.42</v>
      </c>
      <c r="R3069">
        <v>2537.35</v>
      </c>
      <c r="S3069">
        <v>634.34</v>
      </c>
      <c r="T3069">
        <v>17761.43</v>
      </c>
      <c r="U3069" t="s">
        <v>8491</v>
      </c>
      <c r="V3069" t="s">
        <v>9409</v>
      </c>
      <c r="W3069" t="s">
        <v>423</v>
      </c>
    </row>
    <row r="3070" spans="1:23" hidden="1" x14ac:dyDescent="0.2">
      <c r="A3070">
        <v>2012</v>
      </c>
      <c r="B3070" t="s">
        <v>304</v>
      </c>
      <c r="C3070" s="733">
        <v>40966</v>
      </c>
      <c r="D30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70" t="s">
        <v>505</v>
      </c>
      <c r="F3070" t="s">
        <v>1915</v>
      </c>
      <c r="G3070" t="s">
        <v>9290</v>
      </c>
      <c r="H3070">
        <v>23025</v>
      </c>
      <c r="I3070" t="s">
        <v>423</v>
      </c>
      <c r="J3070" t="s">
        <v>1943</v>
      </c>
      <c r="K3070" t="s">
        <v>1918</v>
      </c>
      <c r="L3070" t="s">
        <v>1919</v>
      </c>
      <c r="M3070">
        <v>319</v>
      </c>
      <c r="N3070">
        <v>26.94</v>
      </c>
      <c r="O3070">
        <v>7899.89</v>
      </c>
      <c r="P3070">
        <v>0</v>
      </c>
      <c r="Q3070">
        <v>7899.89</v>
      </c>
      <c r="R3070">
        <v>1263.98</v>
      </c>
      <c r="S3070">
        <v>316</v>
      </c>
      <c r="T3070">
        <v>8847.8700000000008</v>
      </c>
      <c r="U3070" t="s">
        <v>9415</v>
      </c>
      <c r="V3070" t="s">
        <v>9408</v>
      </c>
      <c r="W3070" t="s">
        <v>423</v>
      </c>
    </row>
    <row r="3071" spans="1:23" hidden="1" x14ac:dyDescent="0.2">
      <c r="A3071">
        <v>2012</v>
      </c>
      <c r="B3071" t="s">
        <v>304</v>
      </c>
      <c r="C3071" s="733">
        <v>40941</v>
      </c>
      <c r="D30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71" t="s">
        <v>485</v>
      </c>
      <c r="F3071" t="s">
        <v>2065</v>
      </c>
      <c r="G3071" t="s">
        <v>5279</v>
      </c>
      <c r="H3071">
        <v>39686</v>
      </c>
      <c r="I3071" t="s">
        <v>423</v>
      </c>
      <c r="J3071" t="s">
        <v>5280</v>
      </c>
      <c r="K3071" t="s">
        <v>2102</v>
      </c>
      <c r="L3071" t="s">
        <v>2115</v>
      </c>
      <c r="M3071">
        <v>634</v>
      </c>
      <c r="N3071">
        <v>51.16</v>
      </c>
      <c r="O3071">
        <v>21613.57</v>
      </c>
      <c r="P3071">
        <v>0</v>
      </c>
      <c r="Q3071">
        <v>21613.57</v>
      </c>
      <c r="R3071">
        <v>3458.17</v>
      </c>
      <c r="S3071">
        <v>864.54</v>
      </c>
      <c r="T3071">
        <v>24207.200000000001</v>
      </c>
      <c r="V3071" t="s">
        <v>9409</v>
      </c>
      <c r="W3071" t="s">
        <v>423</v>
      </c>
    </row>
    <row r="3072" spans="1:23" hidden="1" x14ac:dyDescent="0.2">
      <c r="A3072">
        <v>2012</v>
      </c>
      <c r="B3072" t="s">
        <v>304</v>
      </c>
      <c r="C3072" s="733">
        <v>40961</v>
      </c>
      <c r="D30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72" t="s">
        <v>505</v>
      </c>
      <c r="F3072" t="s">
        <v>2065</v>
      </c>
      <c r="G3072" t="s">
        <v>8260</v>
      </c>
      <c r="H3072">
        <v>22924</v>
      </c>
      <c r="I3072" t="s">
        <v>424</v>
      </c>
      <c r="J3072" t="s">
        <v>1917</v>
      </c>
      <c r="K3072" t="s">
        <v>1918</v>
      </c>
      <c r="L3072" t="s">
        <v>1919</v>
      </c>
      <c r="M3072">
        <v>267</v>
      </c>
      <c r="N3072">
        <v>30</v>
      </c>
      <c r="O3072">
        <v>4613.7</v>
      </c>
      <c r="P3072">
        <v>0</v>
      </c>
      <c r="Q3072">
        <v>4613.7</v>
      </c>
      <c r="R3072">
        <v>738.19</v>
      </c>
      <c r="S3072">
        <v>184.55</v>
      </c>
      <c r="T3072">
        <v>5167.34</v>
      </c>
      <c r="U3072" t="s">
        <v>8491</v>
      </c>
      <c r="V3072" t="s">
        <v>9408</v>
      </c>
      <c r="W3072" t="s">
        <v>424</v>
      </c>
    </row>
    <row r="3073" spans="1:23" hidden="1" x14ac:dyDescent="0.2">
      <c r="A3073">
        <v>2012</v>
      </c>
      <c r="B3073" t="s">
        <v>304</v>
      </c>
      <c r="C3073" s="733">
        <v>40952</v>
      </c>
      <c r="D30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73" t="s">
        <v>485</v>
      </c>
      <c r="F3073" t="s">
        <v>2065</v>
      </c>
      <c r="G3073" t="s">
        <v>5070</v>
      </c>
      <c r="H3073">
        <v>41719</v>
      </c>
      <c r="I3073" t="s">
        <v>423</v>
      </c>
      <c r="J3073" t="s">
        <v>4073</v>
      </c>
      <c r="K3073" t="s">
        <v>2051</v>
      </c>
      <c r="L3073" t="s">
        <v>2052</v>
      </c>
      <c r="M3073">
        <v>610</v>
      </c>
      <c r="N3073">
        <v>53</v>
      </c>
      <c r="O3073">
        <v>18787.97</v>
      </c>
      <c r="P3073">
        <v>0</v>
      </c>
      <c r="Q3073">
        <v>18787.97</v>
      </c>
      <c r="R3073">
        <v>3006.08</v>
      </c>
      <c r="S3073">
        <v>751.52</v>
      </c>
      <c r="T3073">
        <v>21042.53</v>
      </c>
      <c r="U3073" t="s">
        <v>8257</v>
      </c>
      <c r="V3073" t="s">
        <v>9409</v>
      </c>
      <c r="W3073" t="s">
        <v>423</v>
      </c>
    </row>
    <row r="3074" spans="1:23" hidden="1" x14ac:dyDescent="0.2">
      <c r="A3074">
        <v>2012</v>
      </c>
      <c r="B3074" t="s">
        <v>305</v>
      </c>
      <c r="C3074" s="733">
        <v>40970</v>
      </c>
      <c r="D3074" s="733" t="str">
        <f>CHOOSE(MONTH(Tabla_sqldatos_bonampakdb_Bon_v_ingresos2012[[#This Row],[fecha_guia]]),"Enero","Febrero","Marzo","Abril","Mayo","Junio","Julio","Agosto","Septiembre","Octubre","Noviembre","Diciembre")</f>
        <v>Marzo</v>
      </c>
      <c r="E3074" t="s">
        <v>485</v>
      </c>
      <c r="F3074" t="s">
        <v>2065</v>
      </c>
      <c r="G3074" t="s">
        <v>9718</v>
      </c>
      <c r="H3074">
        <v>42929</v>
      </c>
      <c r="I3074" t="s">
        <v>423</v>
      </c>
      <c r="J3074" t="s">
        <v>4073</v>
      </c>
      <c r="K3074" t="s">
        <v>2051</v>
      </c>
      <c r="L3074" t="s">
        <v>2052</v>
      </c>
      <c r="M3074">
        <v>610</v>
      </c>
      <c r="N3074">
        <v>27.7</v>
      </c>
      <c r="O3074">
        <v>9819.3700000000008</v>
      </c>
      <c r="P3074">
        <v>0</v>
      </c>
      <c r="Q3074">
        <v>9819.3700000000008</v>
      </c>
      <c r="R3074">
        <v>1571.1</v>
      </c>
      <c r="S3074">
        <v>392.77</v>
      </c>
      <c r="T3074">
        <v>10997.7</v>
      </c>
      <c r="V3074" t="s">
        <v>9408</v>
      </c>
      <c r="W3074" t="s">
        <v>423</v>
      </c>
    </row>
    <row r="3075" spans="1:23" hidden="1" x14ac:dyDescent="0.2">
      <c r="A3075">
        <v>2012</v>
      </c>
      <c r="B3075" t="s">
        <v>303</v>
      </c>
      <c r="C3075" s="733">
        <v>40928.624872685185</v>
      </c>
      <c r="D30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75" t="s">
        <v>505</v>
      </c>
      <c r="F3075" t="s">
        <v>1915</v>
      </c>
      <c r="G3075" t="s">
        <v>5559</v>
      </c>
      <c r="H3075">
        <v>22142</v>
      </c>
      <c r="I3075" t="s">
        <v>423</v>
      </c>
      <c r="J3075" t="s">
        <v>1917</v>
      </c>
      <c r="K3075" t="s">
        <v>1918</v>
      </c>
      <c r="L3075" t="s">
        <v>1919</v>
      </c>
      <c r="M3075">
        <v>267</v>
      </c>
      <c r="N3075">
        <v>25.04</v>
      </c>
      <c r="O3075">
        <v>5629.99</v>
      </c>
      <c r="P3075">
        <v>0</v>
      </c>
      <c r="Q3075">
        <v>5629.99</v>
      </c>
      <c r="R3075">
        <v>900.8</v>
      </c>
      <c r="S3075">
        <v>225.2</v>
      </c>
      <c r="T3075">
        <v>6305.59</v>
      </c>
      <c r="U3075" t="s">
        <v>1936</v>
      </c>
      <c r="V3075" t="s">
        <v>9408</v>
      </c>
      <c r="W3075" t="s">
        <v>423</v>
      </c>
    </row>
    <row r="3076" spans="1:23" hidden="1" x14ac:dyDescent="0.2">
      <c r="A3076">
        <v>2012</v>
      </c>
      <c r="B3076" t="s">
        <v>303</v>
      </c>
      <c r="C3076" s="733">
        <v>40922</v>
      </c>
      <c r="D30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76" t="s">
        <v>505</v>
      </c>
      <c r="F3076" t="s">
        <v>1915</v>
      </c>
      <c r="G3076" t="s">
        <v>3407</v>
      </c>
      <c r="H3076">
        <v>21973</v>
      </c>
      <c r="I3076" t="s">
        <v>1979</v>
      </c>
      <c r="J3076" t="s">
        <v>1917</v>
      </c>
      <c r="K3076" t="s">
        <v>1918</v>
      </c>
      <c r="L3076" t="s">
        <v>1919</v>
      </c>
      <c r="M3076">
        <v>267</v>
      </c>
      <c r="N3076">
        <v>50.01</v>
      </c>
      <c r="O3076">
        <v>11244.25</v>
      </c>
      <c r="P3076">
        <v>0</v>
      </c>
      <c r="Q3076">
        <v>11244.25</v>
      </c>
      <c r="R3076">
        <v>1799.08</v>
      </c>
      <c r="S3076">
        <v>449.77</v>
      </c>
      <c r="T3076">
        <v>12593.56</v>
      </c>
      <c r="U3076" t="s">
        <v>1931</v>
      </c>
      <c r="V3076" t="s">
        <v>9409</v>
      </c>
      <c r="W3076" t="s">
        <v>1979</v>
      </c>
    </row>
    <row r="3077" spans="1:23" x14ac:dyDescent="0.2">
      <c r="A3077">
        <v>2012</v>
      </c>
      <c r="B3077" t="s">
        <v>304</v>
      </c>
      <c r="C3077" s="733">
        <v>40968.534953703704</v>
      </c>
      <c r="D30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77" t="s">
        <v>485</v>
      </c>
      <c r="F3077" t="s">
        <v>2048</v>
      </c>
      <c r="G3077" t="s">
        <v>9566</v>
      </c>
      <c r="H3077">
        <v>42864</v>
      </c>
      <c r="I3077" t="s">
        <v>423</v>
      </c>
      <c r="J3077" t="s">
        <v>4073</v>
      </c>
      <c r="K3077" t="s">
        <v>2051</v>
      </c>
      <c r="L3077" t="s">
        <v>2052</v>
      </c>
      <c r="M3077">
        <v>610</v>
      </c>
      <c r="N3077">
        <v>30.15</v>
      </c>
      <c r="O3077">
        <v>10687.87</v>
      </c>
      <c r="P3077">
        <v>0</v>
      </c>
      <c r="Q3077">
        <v>10687.87</v>
      </c>
      <c r="R3077">
        <v>1710.06</v>
      </c>
      <c r="S3077">
        <v>427.51</v>
      </c>
      <c r="T3077">
        <v>11970.42</v>
      </c>
      <c r="V3077" t="s">
        <v>9408</v>
      </c>
      <c r="W3077" t="s">
        <v>423</v>
      </c>
    </row>
    <row r="3078" spans="1:23" hidden="1" x14ac:dyDescent="0.2">
      <c r="A3078">
        <v>2012</v>
      </c>
      <c r="B3078" t="s">
        <v>304</v>
      </c>
      <c r="C3078" s="733">
        <v>40942</v>
      </c>
      <c r="D30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78" t="s">
        <v>485</v>
      </c>
      <c r="F3078" t="s">
        <v>2065</v>
      </c>
      <c r="G3078" t="s">
        <v>3164</v>
      </c>
      <c r="H3078">
        <v>41290</v>
      </c>
      <c r="I3078" t="s">
        <v>423</v>
      </c>
      <c r="J3078" t="s">
        <v>3054</v>
      </c>
      <c r="K3078" t="s">
        <v>2183</v>
      </c>
      <c r="L3078" t="s">
        <v>2184</v>
      </c>
      <c r="M3078">
        <v>43</v>
      </c>
      <c r="N3078">
        <v>15.82</v>
      </c>
      <c r="O3078">
        <v>1785.6</v>
      </c>
      <c r="P3078">
        <v>0</v>
      </c>
      <c r="Q3078">
        <v>1785.6</v>
      </c>
      <c r="R3078">
        <v>285.7</v>
      </c>
      <c r="S3078">
        <v>71.42</v>
      </c>
      <c r="T3078">
        <v>1999.88</v>
      </c>
      <c r="U3078" t="s">
        <v>2192</v>
      </c>
      <c r="V3078" t="s">
        <v>9408</v>
      </c>
      <c r="W3078" t="s">
        <v>423</v>
      </c>
    </row>
    <row r="3079" spans="1:23" hidden="1" x14ac:dyDescent="0.2">
      <c r="A3079">
        <v>2012</v>
      </c>
      <c r="B3079" t="s">
        <v>304</v>
      </c>
      <c r="C3079" s="733">
        <v>40940</v>
      </c>
      <c r="D30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79" t="s">
        <v>485</v>
      </c>
      <c r="F3079" t="s">
        <v>2065</v>
      </c>
      <c r="G3079" t="s">
        <v>4928</v>
      </c>
      <c r="H3079">
        <v>41187</v>
      </c>
      <c r="I3079" t="s">
        <v>423</v>
      </c>
      <c r="J3079" t="s">
        <v>3054</v>
      </c>
      <c r="K3079" t="s">
        <v>2183</v>
      </c>
      <c r="L3079" t="s">
        <v>2184</v>
      </c>
      <c r="M3079">
        <v>43</v>
      </c>
      <c r="N3079">
        <v>14.93</v>
      </c>
      <c r="O3079">
        <v>1685.15</v>
      </c>
      <c r="P3079">
        <v>0</v>
      </c>
      <c r="Q3079">
        <v>1685.15</v>
      </c>
      <c r="R3079">
        <v>269.62</v>
      </c>
      <c r="S3079">
        <v>67.41</v>
      </c>
      <c r="T3079">
        <v>1887.36</v>
      </c>
      <c r="U3079" t="s">
        <v>2192</v>
      </c>
      <c r="V3079" t="s">
        <v>9408</v>
      </c>
      <c r="W3079" t="s">
        <v>423</v>
      </c>
    </row>
    <row r="3080" spans="1:23" hidden="1" x14ac:dyDescent="0.2">
      <c r="A3080">
        <v>2012</v>
      </c>
      <c r="B3080" t="s">
        <v>304</v>
      </c>
      <c r="C3080" s="733">
        <v>40942</v>
      </c>
      <c r="D30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80" t="s">
        <v>485</v>
      </c>
      <c r="F3080" t="s">
        <v>2065</v>
      </c>
      <c r="G3080" t="s">
        <v>3163</v>
      </c>
      <c r="H3080">
        <v>39700</v>
      </c>
      <c r="I3080" t="s">
        <v>423</v>
      </c>
      <c r="J3080" t="s">
        <v>3054</v>
      </c>
      <c r="K3080" t="s">
        <v>2183</v>
      </c>
      <c r="L3080" t="s">
        <v>2184</v>
      </c>
      <c r="M3080">
        <v>43</v>
      </c>
      <c r="N3080">
        <v>14.55</v>
      </c>
      <c r="O3080">
        <v>1642.26</v>
      </c>
      <c r="P3080">
        <v>0</v>
      </c>
      <c r="Q3080">
        <v>1642.26</v>
      </c>
      <c r="R3080">
        <v>262.76</v>
      </c>
      <c r="S3080">
        <v>65.69</v>
      </c>
      <c r="T3080">
        <v>1839.33</v>
      </c>
      <c r="U3080" t="s">
        <v>2192</v>
      </c>
      <c r="V3080" t="s">
        <v>9408</v>
      </c>
      <c r="W3080" t="s">
        <v>423</v>
      </c>
    </row>
    <row r="3081" spans="1:23" hidden="1" x14ac:dyDescent="0.2">
      <c r="A3081">
        <v>2012</v>
      </c>
      <c r="B3081" t="s">
        <v>303</v>
      </c>
      <c r="C3081" s="733">
        <v>40928</v>
      </c>
      <c r="D30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81" t="s">
        <v>478</v>
      </c>
      <c r="F3081" t="s">
        <v>2136</v>
      </c>
      <c r="G3081" t="s">
        <v>5694</v>
      </c>
      <c r="H3081">
        <v>34640</v>
      </c>
      <c r="I3081" t="s">
        <v>423</v>
      </c>
      <c r="J3081" t="s">
        <v>4632</v>
      </c>
      <c r="K3081" t="s">
        <v>425</v>
      </c>
      <c r="L3081" t="s">
        <v>2145</v>
      </c>
      <c r="M3081">
        <v>1395</v>
      </c>
      <c r="N3081">
        <v>44.6</v>
      </c>
      <c r="O3081">
        <v>40442.83</v>
      </c>
      <c r="P3081">
        <v>0</v>
      </c>
      <c r="Q3081">
        <v>40442.83</v>
      </c>
      <c r="R3081">
        <v>6470.85</v>
      </c>
      <c r="S3081">
        <v>1617.71</v>
      </c>
      <c r="T3081">
        <v>45295.97</v>
      </c>
      <c r="U3081" t="s">
        <v>3234</v>
      </c>
      <c r="V3081" t="s">
        <v>9409</v>
      </c>
      <c r="W3081" t="s">
        <v>423</v>
      </c>
    </row>
    <row r="3082" spans="1:23" hidden="1" x14ac:dyDescent="0.2">
      <c r="A3082">
        <v>2012</v>
      </c>
      <c r="B3082" t="s">
        <v>303</v>
      </c>
      <c r="C3082" s="733">
        <v>40934</v>
      </c>
      <c r="D30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82" t="s">
        <v>485</v>
      </c>
      <c r="F3082" t="s">
        <v>2065</v>
      </c>
      <c r="G3082" t="s">
        <v>5685</v>
      </c>
      <c r="H3082">
        <v>40912</v>
      </c>
      <c r="I3082" t="s">
        <v>423</v>
      </c>
      <c r="J3082" t="s">
        <v>4626</v>
      </c>
      <c r="K3082" t="s">
        <v>2102</v>
      </c>
      <c r="L3082" t="s">
        <v>2115</v>
      </c>
      <c r="M3082">
        <v>1457</v>
      </c>
      <c r="N3082">
        <v>24.25</v>
      </c>
      <c r="O3082">
        <v>17943.060000000001</v>
      </c>
      <c r="P3082">
        <v>0</v>
      </c>
      <c r="Q3082">
        <v>17943.060000000001</v>
      </c>
      <c r="R3082">
        <v>2870.89</v>
      </c>
      <c r="S3082">
        <v>717.72</v>
      </c>
      <c r="T3082">
        <v>20096.23</v>
      </c>
      <c r="U3082" t="s">
        <v>2110</v>
      </c>
      <c r="V3082" t="s">
        <v>9408</v>
      </c>
      <c r="W3082" t="s">
        <v>423</v>
      </c>
    </row>
    <row r="3083" spans="1:23" hidden="1" x14ac:dyDescent="0.2">
      <c r="A3083">
        <v>2012</v>
      </c>
      <c r="B3083" t="s">
        <v>303</v>
      </c>
      <c r="C3083" s="733">
        <v>40924</v>
      </c>
      <c r="D30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83" t="s">
        <v>485</v>
      </c>
      <c r="F3083" t="s">
        <v>2065</v>
      </c>
      <c r="G3083" t="s">
        <v>5686</v>
      </c>
      <c r="H3083">
        <v>40239</v>
      </c>
      <c r="I3083" t="s">
        <v>423</v>
      </c>
      <c r="J3083" t="s">
        <v>4626</v>
      </c>
      <c r="K3083" t="s">
        <v>2102</v>
      </c>
      <c r="L3083" t="s">
        <v>2115</v>
      </c>
      <c r="M3083">
        <v>1457</v>
      </c>
      <c r="N3083">
        <v>50.6</v>
      </c>
      <c r="O3083">
        <v>37439.949999999997</v>
      </c>
      <c r="P3083">
        <v>0</v>
      </c>
      <c r="Q3083">
        <v>37439.949999999997</v>
      </c>
      <c r="R3083">
        <v>5990.39</v>
      </c>
      <c r="S3083">
        <v>1497.6</v>
      </c>
      <c r="T3083">
        <v>41932.74</v>
      </c>
      <c r="U3083" t="s">
        <v>2106</v>
      </c>
      <c r="V3083" t="s">
        <v>9409</v>
      </c>
      <c r="W3083" t="s">
        <v>423</v>
      </c>
    </row>
    <row r="3084" spans="1:23" hidden="1" x14ac:dyDescent="0.2">
      <c r="A3084">
        <v>2012</v>
      </c>
      <c r="B3084" t="s">
        <v>303</v>
      </c>
      <c r="C3084" s="733">
        <v>40924</v>
      </c>
      <c r="D30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84" t="s">
        <v>485</v>
      </c>
      <c r="F3084" t="s">
        <v>2054</v>
      </c>
      <c r="G3084" t="s">
        <v>5055</v>
      </c>
      <c r="H3084">
        <v>40384</v>
      </c>
      <c r="I3084" t="s">
        <v>423</v>
      </c>
      <c r="J3084" t="s">
        <v>4073</v>
      </c>
      <c r="K3084" t="s">
        <v>2051</v>
      </c>
      <c r="L3084" t="s">
        <v>2052</v>
      </c>
      <c r="M3084">
        <v>610</v>
      </c>
      <c r="N3084">
        <v>57.7</v>
      </c>
      <c r="O3084">
        <v>20454.07</v>
      </c>
      <c r="P3084">
        <v>0</v>
      </c>
      <c r="Q3084">
        <v>20454.07</v>
      </c>
      <c r="R3084">
        <v>3272.65</v>
      </c>
      <c r="S3084">
        <v>818.16</v>
      </c>
      <c r="T3084">
        <v>22908.560000000001</v>
      </c>
      <c r="U3084" t="s">
        <v>2062</v>
      </c>
      <c r="V3084" t="s">
        <v>9409</v>
      </c>
      <c r="W3084" t="s">
        <v>423</v>
      </c>
    </row>
    <row r="3085" spans="1:23" hidden="1" x14ac:dyDescent="0.2">
      <c r="A3085">
        <v>2012</v>
      </c>
      <c r="B3085" t="s">
        <v>303</v>
      </c>
      <c r="C3085" s="733">
        <v>40922</v>
      </c>
      <c r="D30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85" t="s">
        <v>505</v>
      </c>
      <c r="F3085" t="s">
        <v>1915</v>
      </c>
      <c r="G3085" t="s">
        <v>5556</v>
      </c>
      <c r="H3085">
        <v>21968</v>
      </c>
      <c r="I3085" t="s">
        <v>424</v>
      </c>
      <c r="J3085" t="s">
        <v>1917</v>
      </c>
      <c r="K3085" t="s">
        <v>1918</v>
      </c>
      <c r="L3085" t="s">
        <v>1919</v>
      </c>
      <c r="M3085">
        <v>267</v>
      </c>
      <c r="N3085">
        <v>30</v>
      </c>
      <c r="O3085">
        <v>2929.97</v>
      </c>
      <c r="P3085">
        <v>1683.8244589999999</v>
      </c>
      <c r="Q3085">
        <v>4613.7944589999997</v>
      </c>
      <c r="R3085">
        <v>738.20711300000005</v>
      </c>
      <c r="S3085">
        <v>184.55177800000001</v>
      </c>
      <c r="T3085">
        <v>5167.4497940000001</v>
      </c>
      <c r="U3085" t="s">
        <v>1931</v>
      </c>
      <c r="V3085" t="s">
        <v>9408</v>
      </c>
      <c r="W3085" t="s">
        <v>424</v>
      </c>
    </row>
    <row r="3086" spans="1:23" hidden="1" x14ac:dyDescent="0.2">
      <c r="A3086">
        <v>2012</v>
      </c>
      <c r="B3086" t="s">
        <v>305</v>
      </c>
      <c r="C3086" s="733">
        <v>40970</v>
      </c>
      <c r="D3086" s="733" t="str">
        <f>CHOOSE(MONTH(Tabla_sqldatos_bonampakdb_Bon_v_ingresos2012[[#This Row],[fecha_guia]]),"Enero","Febrero","Marzo","Abril","Mayo","Junio","Julio","Agosto","Septiembre","Octubre","Noviembre","Diciembre")</f>
        <v>Marzo</v>
      </c>
      <c r="E3086" t="s">
        <v>505</v>
      </c>
      <c r="F3086" t="s">
        <v>1915</v>
      </c>
      <c r="G3086" t="s">
        <v>9580</v>
      </c>
      <c r="H3086">
        <v>23150</v>
      </c>
      <c r="I3086" t="s">
        <v>424</v>
      </c>
      <c r="J3086" t="s">
        <v>1954</v>
      </c>
      <c r="K3086" t="s">
        <v>1918</v>
      </c>
      <c r="L3086" t="s">
        <v>1919</v>
      </c>
      <c r="M3086">
        <v>303</v>
      </c>
      <c r="N3086">
        <v>27</v>
      </c>
      <c r="O3086">
        <v>5276.07</v>
      </c>
      <c r="P3086">
        <v>0</v>
      </c>
      <c r="Q3086">
        <v>5276.07</v>
      </c>
      <c r="R3086">
        <v>844.17</v>
      </c>
      <c r="S3086">
        <v>211.04</v>
      </c>
      <c r="T3086">
        <v>5909.2</v>
      </c>
      <c r="V3086" t="s">
        <v>9408</v>
      </c>
      <c r="W3086" t="s">
        <v>424</v>
      </c>
    </row>
    <row r="3087" spans="1:23" x14ac:dyDescent="0.2">
      <c r="A3087">
        <v>2012</v>
      </c>
      <c r="B3087" t="s">
        <v>304</v>
      </c>
      <c r="C3087" s="733">
        <v>40967</v>
      </c>
      <c r="D30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87" t="s">
        <v>485</v>
      </c>
      <c r="F3087" t="s">
        <v>2065</v>
      </c>
      <c r="G3087" t="s">
        <v>8919</v>
      </c>
      <c r="H3087">
        <v>42043</v>
      </c>
      <c r="I3087" t="s">
        <v>423</v>
      </c>
      <c r="J3087" t="s">
        <v>2813</v>
      </c>
      <c r="K3087" t="s">
        <v>2814</v>
      </c>
      <c r="L3087" t="s">
        <v>2815</v>
      </c>
      <c r="M3087">
        <v>365</v>
      </c>
      <c r="N3087">
        <v>23.843</v>
      </c>
      <c r="O3087">
        <v>6418.06</v>
      </c>
      <c r="P3087">
        <v>0</v>
      </c>
      <c r="Q3087">
        <v>6418.06</v>
      </c>
      <c r="R3087">
        <v>705.99</v>
      </c>
      <c r="S3087">
        <v>256.72000000000003</v>
      </c>
      <c r="T3087">
        <v>6867.33</v>
      </c>
      <c r="U3087" t="s">
        <v>8877</v>
      </c>
      <c r="V3087" t="s">
        <v>9408</v>
      </c>
      <c r="W3087" t="s">
        <v>423</v>
      </c>
    </row>
    <row r="3088" spans="1:23" hidden="1" x14ac:dyDescent="0.2">
      <c r="A3088">
        <v>2012</v>
      </c>
      <c r="B3088" t="s">
        <v>303</v>
      </c>
      <c r="C3088" s="733">
        <v>40932</v>
      </c>
      <c r="D30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88" t="s">
        <v>505</v>
      </c>
      <c r="F3088" t="s">
        <v>1915</v>
      </c>
      <c r="G3088" t="s">
        <v>3494</v>
      </c>
      <c r="H3088">
        <v>22200</v>
      </c>
      <c r="I3088" t="s">
        <v>424</v>
      </c>
      <c r="J3088" t="s">
        <v>1917</v>
      </c>
      <c r="K3088" t="s">
        <v>1918</v>
      </c>
      <c r="L3088" t="s">
        <v>1919</v>
      </c>
      <c r="M3088">
        <v>267</v>
      </c>
      <c r="N3088">
        <v>30</v>
      </c>
      <c r="O3088">
        <v>2929.97</v>
      </c>
      <c r="P3088">
        <v>1683.8244589999999</v>
      </c>
      <c r="Q3088">
        <v>4613.7944589999997</v>
      </c>
      <c r="R3088">
        <v>738.20711300000005</v>
      </c>
      <c r="S3088">
        <v>184.55177800000001</v>
      </c>
      <c r="T3088">
        <v>5167.4497940000001</v>
      </c>
      <c r="U3088" t="s">
        <v>1928</v>
      </c>
      <c r="V3088" t="s">
        <v>9408</v>
      </c>
      <c r="W3088" t="s">
        <v>424</v>
      </c>
    </row>
    <row r="3089" spans="1:23" hidden="1" x14ac:dyDescent="0.2">
      <c r="A3089">
        <v>2012</v>
      </c>
      <c r="B3089" t="s">
        <v>304</v>
      </c>
      <c r="C3089" s="733">
        <v>40953</v>
      </c>
      <c r="D30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89" t="s">
        <v>505</v>
      </c>
      <c r="F3089" t="s">
        <v>1915</v>
      </c>
      <c r="G3089" t="s">
        <v>3493</v>
      </c>
      <c r="H3089">
        <v>22724</v>
      </c>
      <c r="I3089" t="s">
        <v>424</v>
      </c>
      <c r="J3089" t="s">
        <v>1917</v>
      </c>
      <c r="K3089" t="s">
        <v>1918</v>
      </c>
      <c r="L3089" t="s">
        <v>1919</v>
      </c>
      <c r="M3089">
        <v>267</v>
      </c>
      <c r="N3089">
        <v>30</v>
      </c>
      <c r="O3089">
        <v>2929.97</v>
      </c>
      <c r="P3089">
        <v>1683.8244589999999</v>
      </c>
      <c r="Q3089">
        <v>4613.7944589999997</v>
      </c>
      <c r="R3089">
        <v>738.20711300000005</v>
      </c>
      <c r="S3089">
        <v>184.55177800000001</v>
      </c>
      <c r="T3089">
        <v>5167.4497940000001</v>
      </c>
      <c r="U3089" t="s">
        <v>7522</v>
      </c>
      <c r="V3089" t="s">
        <v>9408</v>
      </c>
      <c r="W3089" t="s">
        <v>424</v>
      </c>
    </row>
    <row r="3090" spans="1:23" hidden="1" x14ac:dyDescent="0.2">
      <c r="A3090">
        <v>2012</v>
      </c>
      <c r="B3090" t="s">
        <v>304</v>
      </c>
      <c r="C3090" s="733">
        <v>40960</v>
      </c>
      <c r="D30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90" t="s">
        <v>485</v>
      </c>
      <c r="F3090" t="s">
        <v>2048</v>
      </c>
      <c r="G3090" t="s">
        <v>8063</v>
      </c>
      <c r="H3090">
        <v>42299</v>
      </c>
      <c r="I3090" t="s">
        <v>423</v>
      </c>
      <c r="J3090" t="s">
        <v>4073</v>
      </c>
      <c r="K3090" t="s">
        <v>2051</v>
      </c>
      <c r="L3090" t="s">
        <v>2052</v>
      </c>
      <c r="M3090">
        <v>610</v>
      </c>
      <c r="N3090">
        <v>29.8</v>
      </c>
      <c r="O3090">
        <v>10563.8</v>
      </c>
      <c r="P3090">
        <v>0</v>
      </c>
      <c r="Q3090">
        <v>10563.8</v>
      </c>
      <c r="R3090">
        <v>1690.21</v>
      </c>
      <c r="S3090">
        <v>422.55</v>
      </c>
      <c r="T3090">
        <v>11831.46</v>
      </c>
      <c r="U3090" t="s">
        <v>8780</v>
      </c>
      <c r="V3090" t="s">
        <v>9408</v>
      </c>
      <c r="W3090" t="s">
        <v>423</v>
      </c>
    </row>
    <row r="3091" spans="1:23" hidden="1" x14ac:dyDescent="0.2">
      <c r="A3091">
        <v>2012</v>
      </c>
      <c r="B3091" t="s">
        <v>304</v>
      </c>
      <c r="C3091" s="733">
        <v>40948</v>
      </c>
      <c r="D30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91" t="s">
        <v>485</v>
      </c>
      <c r="F3091" t="s">
        <v>2048</v>
      </c>
      <c r="G3091" t="s">
        <v>5161</v>
      </c>
      <c r="H3091">
        <v>41647</v>
      </c>
      <c r="I3091" t="s">
        <v>423</v>
      </c>
      <c r="J3091" t="s">
        <v>4073</v>
      </c>
      <c r="K3091" t="s">
        <v>2051</v>
      </c>
      <c r="L3091" t="s">
        <v>2052</v>
      </c>
      <c r="M3091">
        <v>610</v>
      </c>
      <c r="N3091">
        <v>52.45</v>
      </c>
      <c r="O3091">
        <v>18593</v>
      </c>
      <c r="P3091">
        <v>0</v>
      </c>
      <c r="Q3091">
        <v>18593</v>
      </c>
      <c r="R3091">
        <v>2974.88</v>
      </c>
      <c r="S3091">
        <v>743.72</v>
      </c>
      <c r="T3091">
        <v>20824.16</v>
      </c>
      <c r="U3091" t="s">
        <v>8257</v>
      </c>
      <c r="V3091" t="s">
        <v>9409</v>
      </c>
      <c r="W3091" t="s">
        <v>423</v>
      </c>
    </row>
    <row r="3092" spans="1:23" hidden="1" x14ac:dyDescent="0.2">
      <c r="A3092">
        <v>2012</v>
      </c>
      <c r="B3092" t="s">
        <v>303</v>
      </c>
      <c r="C3092" s="733">
        <v>40932</v>
      </c>
      <c r="D30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92" t="s">
        <v>485</v>
      </c>
      <c r="F3092" t="s">
        <v>2048</v>
      </c>
      <c r="G3092" t="s">
        <v>5160</v>
      </c>
      <c r="H3092">
        <v>39824</v>
      </c>
      <c r="I3092" t="s">
        <v>423</v>
      </c>
      <c r="J3092" t="s">
        <v>4073</v>
      </c>
      <c r="K3092" t="s">
        <v>2051</v>
      </c>
      <c r="L3092" t="s">
        <v>2052</v>
      </c>
      <c r="M3092">
        <v>610</v>
      </c>
      <c r="N3092">
        <v>52.05</v>
      </c>
      <c r="O3092">
        <v>18451.2</v>
      </c>
      <c r="P3092">
        <v>0</v>
      </c>
      <c r="Q3092">
        <v>18451.2</v>
      </c>
      <c r="R3092">
        <v>2952.19</v>
      </c>
      <c r="S3092">
        <v>738.05</v>
      </c>
      <c r="T3092">
        <v>20665.34</v>
      </c>
      <c r="U3092" t="s">
        <v>2053</v>
      </c>
      <c r="V3092" t="s">
        <v>9409</v>
      </c>
      <c r="W3092" t="s">
        <v>423</v>
      </c>
    </row>
    <row r="3093" spans="1:23" hidden="1" x14ac:dyDescent="0.2">
      <c r="A3093">
        <v>2012</v>
      </c>
      <c r="B3093" t="s">
        <v>304</v>
      </c>
      <c r="C3093" s="733">
        <v>40941</v>
      </c>
      <c r="D30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93" t="s">
        <v>485</v>
      </c>
      <c r="F3093" t="s">
        <v>2065</v>
      </c>
      <c r="G3093" t="s">
        <v>4839</v>
      </c>
      <c r="H3093">
        <v>41305</v>
      </c>
      <c r="I3093" t="s">
        <v>423</v>
      </c>
      <c r="J3093" t="s">
        <v>4073</v>
      </c>
      <c r="K3093" t="s">
        <v>2051</v>
      </c>
      <c r="L3093" t="s">
        <v>2052</v>
      </c>
      <c r="M3093">
        <v>610</v>
      </c>
      <c r="N3093">
        <v>49.4</v>
      </c>
      <c r="O3093">
        <v>17511.810000000001</v>
      </c>
      <c r="P3093">
        <v>0</v>
      </c>
      <c r="Q3093">
        <v>17511.810000000001</v>
      </c>
      <c r="R3093">
        <v>2801.89</v>
      </c>
      <c r="S3093">
        <v>700.47</v>
      </c>
      <c r="T3093">
        <v>19613.23</v>
      </c>
      <c r="U3093" t="s">
        <v>2067</v>
      </c>
      <c r="V3093" t="s">
        <v>9409</v>
      </c>
      <c r="W3093" t="s">
        <v>423</v>
      </c>
    </row>
    <row r="3094" spans="1:23" hidden="1" x14ac:dyDescent="0.2">
      <c r="A3094">
        <v>2012</v>
      </c>
      <c r="B3094" t="s">
        <v>303</v>
      </c>
      <c r="C3094" s="733">
        <v>40924</v>
      </c>
      <c r="D30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94" t="s">
        <v>485</v>
      </c>
      <c r="F3094" t="s">
        <v>2065</v>
      </c>
      <c r="G3094" t="s">
        <v>3909</v>
      </c>
      <c r="H3094">
        <v>40345</v>
      </c>
      <c r="I3094" t="s">
        <v>423</v>
      </c>
      <c r="J3094" t="s">
        <v>3054</v>
      </c>
      <c r="K3094" t="s">
        <v>2183</v>
      </c>
      <c r="L3094" t="s">
        <v>2184</v>
      </c>
      <c r="M3094">
        <v>43</v>
      </c>
      <c r="N3094">
        <v>16.21</v>
      </c>
      <c r="O3094">
        <v>1829.62</v>
      </c>
      <c r="P3094">
        <v>0</v>
      </c>
      <c r="Q3094">
        <v>1829.62</v>
      </c>
      <c r="R3094">
        <v>292.74</v>
      </c>
      <c r="S3094">
        <v>73.180000000000007</v>
      </c>
      <c r="T3094">
        <v>2049.1799999999998</v>
      </c>
      <c r="U3094" t="s">
        <v>9411</v>
      </c>
      <c r="V3094" t="s">
        <v>9408</v>
      </c>
      <c r="W3094" t="s">
        <v>423</v>
      </c>
    </row>
    <row r="3095" spans="1:23" hidden="1" x14ac:dyDescent="0.2">
      <c r="A3095">
        <v>2012</v>
      </c>
      <c r="B3095" t="s">
        <v>304</v>
      </c>
      <c r="C3095" s="733">
        <v>40948</v>
      </c>
      <c r="D30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95" t="s">
        <v>485</v>
      </c>
      <c r="F3095" t="s">
        <v>2065</v>
      </c>
      <c r="G3095" t="s">
        <v>5918</v>
      </c>
      <c r="H3095">
        <v>41419</v>
      </c>
      <c r="I3095" t="s">
        <v>423</v>
      </c>
      <c r="J3095" t="s">
        <v>4626</v>
      </c>
      <c r="K3095" t="s">
        <v>2102</v>
      </c>
      <c r="L3095" t="s">
        <v>2115</v>
      </c>
      <c r="M3095">
        <v>1457</v>
      </c>
      <c r="N3095">
        <v>25.25</v>
      </c>
      <c r="O3095">
        <v>18682.98</v>
      </c>
      <c r="P3095">
        <v>0</v>
      </c>
      <c r="Q3095">
        <v>18682.98</v>
      </c>
      <c r="R3095">
        <v>2989.28</v>
      </c>
      <c r="S3095">
        <v>747.32</v>
      </c>
      <c r="T3095">
        <v>20924.939999999999</v>
      </c>
      <c r="U3095" t="s">
        <v>7462</v>
      </c>
      <c r="V3095" t="s">
        <v>9408</v>
      </c>
      <c r="W3095" t="s">
        <v>423</v>
      </c>
    </row>
    <row r="3096" spans="1:23" hidden="1" x14ac:dyDescent="0.2">
      <c r="A3096">
        <v>2012</v>
      </c>
      <c r="B3096" t="s">
        <v>304</v>
      </c>
      <c r="C3096" s="733">
        <v>40966</v>
      </c>
      <c r="D30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96" t="s">
        <v>478</v>
      </c>
      <c r="F3096" t="s">
        <v>2136</v>
      </c>
      <c r="G3096" t="s">
        <v>8868</v>
      </c>
      <c r="H3096">
        <v>36033</v>
      </c>
      <c r="I3096" t="s">
        <v>423</v>
      </c>
      <c r="J3096" t="s">
        <v>4270</v>
      </c>
      <c r="K3096" t="s">
        <v>425</v>
      </c>
      <c r="L3096" t="s">
        <v>2145</v>
      </c>
      <c r="M3096">
        <v>560</v>
      </c>
      <c r="N3096">
        <v>43.29</v>
      </c>
      <c r="O3096">
        <v>13831.16</v>
      </c>
      <c r="P3096">
        <v>0</v>
      </c>
      <c r="Q3096">
        <v>13831.16</v>
      </c>
      <c r="R3096">
        <v>2212.98</v>
      </c>
      <c r="S3096">
        <v>553.25</v>
      </c>
      <c r="T3096">
        <v>15490.89</v>
      </c>
      <c r="U3096" t="s">
        <v>9430</v>
      </c>
      <c r="V3096" t="s">
        <v>9409</v>
      </c>
      <c r="W3096" t="s">
        <v>423</v>
      </c>
    </row>
    <row r="3097" spans="1:23" hidden="1" x14ac:dyDescent="0.2">
      <c r="A3097">
        <v>2012</v>
      </c>
      <c r="B3097" t="s">
        <v>303</v>
      </c>
      <c r="C3097" s="733">
        <v>40933</v>
      </c>
      <c r="D30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97" t="s">
        <v>478</v>
      </c>
      <c r="F3097" t="s">
        <v>2142</v>
      </c>
      <c r="G3097" t="s">
        <v>5914</v>
      </c>
      <c r="H3097">
        <v>34930</v>
      </c>
      <c r="I3097" t="s">
        <v>423</v>
      </c>
      <c r="J3097" t="s">
        <v>4270</v>
      </c>
      <c r="K3097" t="s">
        <v>425</v>
      </c>
      <c r="L3097" t="s">
        <v>2145</v>
      </c>
      <c r="M3097">
        <v>560</v>
      </c>
      <c r="N3097">
        <v>23.84</v>
      </c>
      <c r="O3097">
        <v>7616.88</v>
      </c>
      <c r="P3097">
        <v>0</v>
      </c>
      <c r="Q3097">
        <v>7616.88</v>
      </c>
      <c r="R3097">
        <v>1218.7</v>
      </c>
      <c r="S3097">
        <v>304.68</v>
      </c>
      <c r="T3097">
        <v>8530.9</v>
      </c>
      <c r="U3097" t="s">
        <v>3234</v>
      </c>
      <c r="V3097" t="s">
        <v>9408</v>
      </c>
      <c r="W3097" t="s">
        <v>423</v>
      </c>
    </row>
    <row r="3098" spans="1:23" hidden="1" x14ac:dyDescent="0.2">
      <c r="A3098">
        <v>2012</v>
      </c>
      <c r="B3098" t="s">
        <v>303</v>
      </c>
      <c r="C3098" s="733">
        <v>40913</v>
      </c>
      <c r="D30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098" t="s">
        <v>478</v>
      </c>
      <c r="F3098" t="s">
        <v>2136</v>
      </c>
      <c r="G3098" t="s">
        <v>5912</v>
      </c>
      <c r="H3098">
        <v>34229</v>
      </c>
      <c r="I3098" t="s">
        <v>423</v>
      </c>
      <c r="J3098" t="s">
        <v>4270</v>
      </c>
      <c r="K3098" t="s">
        <v>425</v>
      </c>
      <c r="L3098" t="s">
        <v>2145</v>
      </c>
      <c r="M3098">
        <v>560</v>
      </c>
      <c r="N3098">
        <v>35.909999999999997</v>
      </c>
      <c r="O3098">
        <v>4830.6099999999997</v>
      </c>
      <c r="P3098">
        <v>5438.7354930000001</v>
      </c>
      <c r="Q3098">
        <v>10269.345493000001</v>
      </c>
      <c r="R3098">
        <v>1643.0952789999999</v>
      </c>
      <c r="S3098">
        <v>410.77382</v>
      </c>
      <c r="T3098">
        <v>11501.666952</v>
      </c>
      <c r="U3098" t="s">
        <v>2580</v>
      </c>
      <c r="V3098" t="s">
        <v>9408</v>
      </c>
      <c r="W3098" t="s">
        <v>423</v>
      </c>
    </row>
    <row r="3099" spans="1:23" hidden="1" x14ac:dyDescent="0.2">
      <c r="A3099">
        <v>2012</v>
      </c>
      <c r="B3099" t="s">
        <v>304</v>
      </c>
      <c r="C3099" s="733">
        <v>40948</v>
      </c>
      <c r="D30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099" t="s">
        <v>478</v>
      </c>
      <c r="F3099" t="s">
        <v>2136</v>
      </c>
      <c r="G3099" t="s">
        <v>5911</v>
      </c>
      <c r="H3099">
        <v>35437</v>
      </c>
      <c r="I3099" t="s">
        <v>423</v>
      </c>
      <c r="J3099" t="s">
        <v>4270</v>
      </c>
      <c r="K3099" t="s">
        <v>425</v>
      </c>
      <c r="L3099" t="s">
        <v>2145</v>
      </c>
      <c r="M3099">
        <v>560</v>
      </c>
      <c r="N3099">
        <v>25.33</v>
      </c>
      <c r="O3099">
        <v>8092.94</v>
      </c>
      <c r="P3099">
        <v>0</v>
      </c>
      <c r="Q3099">
        <v>8092.94</v>
      </c>
      <c r="R3099">
        <v>1294.8699999999999</v>
      </c>
      <c r="S3099">
        <v>323.72000000000003</v>
      </c>
      <c r="T3099">
        <v>9064.09</v>
      </c>
      <c r="U3099" t="s">
        <v>2938</v>
      </c>
      <c r="V3099" t="s">
        <v>9408</v>
      </c>
      <c r="W3099" t="s">
        <v>423</v>
      </c>
    </row>
    <row r="3100" spans="1:23" hidden="1" x14ac:dyDescent="0.2">
      <c r="A3100">
        <v>2012</v>
      </c>
      <c r="B3100" t="s">
        <v>305</v>
      </c>
      <c r="C3100" s="733">
        <v>40971</v>
      </c>
      <c r="D3100" s="733" t="str">
        <f>CHOOSE(MONTH(Tabla_sqldatos_bonampakdb_Bon_v_ingresos2012[[#This Row],[fecha_guia]]),"Enero","Febrero","Marzo","Abril","Mayo","Junio","Julio","Agosto","Septiembre","Octubre","Noviembre","Diciembre")</f>
        <v>Marzo</v>
      </c>
      <c r="E3100" t="s">
        <v>505</v>
      </c>
      <c r="F3100" t="s">
        <v>1915</v>
      </c>
      <c r="G3100" t="s">
        <v>9719</v>
      </c>
      <c r="H3100">
        <v>23193</v>
      </c>
      <c r="I3100" t="s">
        <v>424</v>
      </c>
      <c r="J3100" t="s">
        <v>1954</v>
      </c>
      <c r="K3100" t="s">
        <v>1918</v>
      </c>
      <c r="L3100" t="s">
        <v>1919</v>
      </c>
      <c r="M3100">
        <v>303</v>
      </c>
      <c r="N3100">
        <v>30</v>
      </c>
      <c r="O3100">
        <v>5862.3</v>
      </c>
      <c r="P3100">
        <v>0</v>
      </c>
      <c r="Q3100">
        <v>5862.3</v>
      </c>
      <c r="R3100">
        <v>937.97</v>
      </c>
      <c r="S3100">
        <v>234.49</v>
      </c>
      <c r="T3100">
        <v>6565.78</v>
      </c>
      <c r="V3100" t="s">
        <v>9408</v>
      </c>
      <c r="W3100" t="s">
        <v>424</v>
      </c>
    </row>
    <row r="3101" spans="1:23" hidden="1" x14ac:dyDescent="0.2">
      <c r="A3101">
        <v>2012</v>
      </c>
      <c r="B3101" t="s">
        <v>303</v>
      </c>
      <c r="C3101" s="733">
        <v>40913</v>
      </c>
      <c r="D31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01" t="s">
        <v>505</v>
      </c>
      <c r="F3101" t="s">
        <v>1915</v>
      </c>
      <c r="G3101" t="s">
        <v>3507</v>
      </c>
      <c r="H3101">
        <v>21726</v>
      </c>
      <c r="I3101" t="s">
        <v>423</v>
      </c>
      <c r="J3101" t="s">
        <v>1954</v>
      </c>
      <c r="K3101" t="s">
        <v>1918</v>
      </c>
      <c r="L3101" t="s">
        <v>1919</v>
      </c>
      <c r="M3101">
        <v>303</v>
      </c>
      <c r="N3101">
        <v>54.32</v>
      </c>
      <c r="O3101">
        <v>6314.24</v>
      </c>
      <c r="P3101">
        <v>7109.139674</v>
      </c>
      <c r="Q3101">
        <v>13423.379674</v>
      </c>
      <c r="R3101">
        <v>2147.7407480000002</v>
      </c>
      <c r="S3101">
        <v>536.93518700000004</v>
      </c>
      <c r="T3101">
        <v>15034.185235000001</v>
      </c>
      <c r="U3101" t="s">
        <v>8869</v>
      </c>
      <c r="V3101" t="s">
        <v>9409</v>
      </c>
      <c r="W3101" t="s">
        <v>423</v>
      </c>
    </row>
    <row r="3102" spans="1:23" hidden="1" x14ac:dyDescent="0.2">
      <c r="A3102">
        <v>2012</v>
      </c>
      <c r="B3102" t="s">
        <v>303</v>
      </c>
      <c r="C3102" s="733">
        <v>40910</v>
      </c>
      <c r="D31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02" t="s">
        <v>485</v>
      </c>
      <c r="F3102" t="s">
        <v>2065</v>
      </c>
      <c r="G3102" t="s">
        <v>4832</v>
      </c>
      <c r="H3102">
        <v>39202</v>
      </c>
      <c r="I3102" t="s">
        <v>423</v>
      </c>
      <c r="J3102" t="s">
        <v>4518</v>
      </c>
      <c r="K3102" t="s">
        <v>2183</v>
      </c>
      <c r="L3102" t="s">
        <v>2115</v>
      </c>
      <c r="M3102">
        <v>337</v>
      </c>
      <c r="N3102">
        <v>50.95</v>
      </c>
      <c r="O3102">
        <v>4758.22</v>
      </c>
      <c r="P3102">
        <v>5357.2323159999996</v>
      </c>
      <c r="Q3102">
        <v>10115.452316000001</v>
      </c>
      <c r="R3102">
        <v>1618.4723710000001</v>
      </c>
      <c r="S3102">
        <v>404.61809299999999</v>
      </c>
      <c r="T3102">
        <v>11329.306594</v>
      </c>
      <c r="U3102" t="s">
        <v>3038</v>
      </c>
      <c r="V3102" t="s">
        <v>9409</v>
      </c>
      <c r="W3102" t="s">
        <v>423</v>
      </c>
    </row>
    <row r="3103" spans="1:23" hidden="1" x14ac:dyDescent="0.2">
      <c r="A3103">
        <v>2012</v>
      </c>
      <c r="B3103" t="s">
        <v>304</v>
      </c>
      <c r="C3103" s="733">
        <v>40942</v>
      </c>
      <c r="D31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03" t="s">
        <v>485</v>
      </c>
      <c r="F3103" t="s">
        <v>2065</v>
      </c>
      <c r="G3103" t="s">
        <v>4834</v>
      </c>
      <c r="H3103">
        <v>39875</v>
      </c>
      <c r="I3103" t="s">
        <v>423</v>
      </c>
      <c r="J3103" t="s">
        <v>3054</v>
      </c>
      <c r="K3103" t="s">
        <v>2183</v>
      </c>
      <c r="L3103" t="s">
        <v>2184</v>
      </c>
      <c r="M3103">
        <v>43</v>
      </c>
      <c r="N3103">
        <v>15.97</v>
      </c>
      <c r="O3103">
        <v>1802.53</v>
      </c>
      <c r="P3103">
        <v>0</v>
      </c>
      <c r="Q3103">
        <v>1802.53</v>
      </c>
      <c r="R3103">
        <v>288.41000000000003</v>
      </c>
      <c r="S3103">
        <v>72.099999999999994</v>
      </c>
      <c r="T3103">
        <v>2018.84</v>
      </c>
      <c r="U3103" t="s">
        <v>2192</v>
      </c>
      <c r="V3103" t="s">
        <v>9408</v>
      </c>
      <c r="W3103" t="s">
        <v>423</v>
      </c>
    </row>
    <row r="3104" spans="1:23" hidden="1" x14ac:dyDescent="0.2">
      <c r="A3104">
        <v>2012</v>
      </c>
      <c r="B3104" t="s">
        <v>303</v>
      </c>
      <c r="C3104" s="733">
        <v>40928.454351851855</v>
      </c>
      <c r="D31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04" t="s">
        <v>505</v>
      </c>
      <c r="F3104" t="s">
        <v>1915</v>
      </c>
      <c r="G3104" t="s">
        <v>5321</v>
      </c>
      <c r="H3104">
        <v>22133</v>
      </c>
      <c r="I3104" t="s">
        <v>423</v>
      </c>
      <c r="J3104" t="s">
        <v>4760</v>
      </c>
      <c r="K3104" t="s">
        <v>1918</v>
      </c>
      <c r="L3104" t="s">
        <v>1919</v>
      </c>
      <c r="M3104">
        <v>444</v>
      </c>
      <c r="N3104">
        <v>25.15</v>
      </c>
      <c r="O3104">
        <v>7805.05</v>
      </c>
      <c r="P3104">
        <v>0</v>
      </c>
      <c r="Q3104">
        <v>7805.05</v>
      </c>
      <c r="R3104">
        <v>1248.81</v>
      </c>
      <c r="S3104">
        <v>312.2</v>
      </c>
      <c r="T3104">
        <v>8741.66</v>
      </c>
      <c r="U3104" t="s">
        <v>1936</v>
      </c>
      <c r="V3104" t="s">
        <v>9408</v>
      </c>
      <c r="W3104" t="s">
        <v>423</v>
      </c>
    </row>
    <row r="3105" spans="1:23" hidden="1" x14ac:dyDescent="0.2">
      <c r="A3105">
        <v>2012</v>
      </c>
      <c r="B3105" t="s">
        <v>303</v>
      </c>
      <c r="C3105" s="733">
        <v>40920</v>
      </c>
      <c r="D31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05" t="s">
        <v>485</v>
      </c>
      <c r="F3105" t="s">
        <v>2065</v>
      </c>
      <c r="G3105" t="s">
        <v>5916</v>
      </c>
      <c r="H3105">
        <v>40097</v>
      </c>
      <c r="I3105" t="s">
        <v>423</v>
      </c>
      <c r="J3105" t="s">
        <v>4626</v>
      </c>
      <c r="K3105" t="s">
        <v>2102</v>
      </c>
      <c r="L3105" t="s">
        <v>2115</v>
      </c>
      <c r="M3105">
        <v>1457</v>
      </c>
      <c r="N3105">
        <v>51.79</v>
      </c>
      <c r="O3105">
        <v>38320.46</v>
      </c>
      <c r="P3105">
        <v>0</v>
      </c>
      <c r="Q3105">
        <v>38320.46</v>
      </c>
      <c r="R3105">
        <v>6131.27</v>
      </c>
      <c r="S3105">
        <v>1532.82</v>
      </c>
      <c r="T3105">
        <v>42918.91</v>
      </c>
      <c r="U3105" t="s">
        <v>2106</v>
      </c>
      <c r="V3105" t="s">
        <v>9409</v>
      </c>
      <c r="W3105" t="s">
        <v>423</v>
      </c>
    </row>
    <row r="3106" spans="1:23" hidden="1" x14ac:dyDescent="0.2">
      <c r="A3106">
        <v>2012</v>
      </c>
      <c r="B3106" t="s">
        <v>303</v>
      </c>
      <c r="C3106" s="733">
        <v>40925</v>
      </c>
      <c r="D31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06" t="s">
        <v>505</v>
      </c>
      <c r="F3106" t="s">
        <v>1915</v>
      </c>
      <c r="G3106" t="s">
        <v>3496</v>
      </c>
      <c r="H3106">
        <v>22039</v>
      </c>
      <c r="I3106" t="s">
        <v>424</v>
      </c>
      <c r="J3106" t="s">
        <v>1917</v>
      </c>
      <c r="K3106" t="s">
        <v>1918</v>
      </c>
      <c r="L3106" t="s">
        <v>1919</v>
      </c>
      <c r="M3106">
        <v>267</v>
      </c>
      <c r="N3106">
        <v>27</v>
      </c>
      <c r="O3106">
        <v>2636.97</v>
      </c>
      <c r="P3106">
        <v>1515.4402889999999</v>
      </c>
      <c r="Q3106">
        <v>4152.4102890000004</v>
      </c>
      <c r="R3106">
        <v>664.38564599999995</v>
      </c>
      <c r="S3106">
        <v>166.09641199999999</v>
      </c>
      <c r="T3106">
        <v>4650.6995230000002</v>
      </c>
      <c r="U3106" t="s">
        <v>1931</v>
      </c>
      <c r="V3106" t="s">
        <v>9408</v>
      </c>
      <c r="W3106" t="s">
        <v>424</v>
      </c>
    </row>
    <row r="3107" spans="1:23" hidden="1" x14ac:dyDescent="0.2">
      <c r="A3107">
        <v>2012</v>
      </c>
      <c r="B3107" t="s">
        <v>303</v>
      </c>
      <c r="C3107" s="733">
        <v>40929</v>
      </c>
      <c r="D31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07" t="s">
        <v>505</v>
      </c>
      <c r="F3107" t="s">
        <v>1915</v>
      </c>
      <c r="G3107" t="s">
        <v>5727</v>
      </c>
      <c r="H3107">
        <v>22144</v>
      </c>
      <c r="I3107" t="s">
        <v>424</v>
      </c>
      <c r="J3107" t="s">
        <v>1954</v>
      </c>
      <c r="K3107" t="s">
        <v>1918</v>
      </c>
      <c r="L3107" t="s">
        <v>1919</v>
      </c>
      <c r="M3107">
        <v>303</v>
      </c>
      <c r="N3107">
        <v>27</v>
      </c>
      <c r="O3107">
        <v>2083.35</v>
      </c>
      <c r="P3107">
        <v>1197.2804120000001</v>
      </c>
      <c r="Q3107">
        <v>3280.630412</v>
      </c>
      <c r="R3107">
        <v>524.90086599999995</v>
      </c>
      <c r="S3107">
        <v>131.22521599999999</v>
      </c>
      <c r="T3107">
        <v>3674.3060620000001</v>
      </c>
      <c r="U3107" t="s">
        <v>8778</v>
      </c>
      <c r="V3107" t="s">
        <v>9408</v>
      </c>
      <c r="W3107" t="s">
        <v>424</v>
      </c>
    </row>
    <row r="3108" spans="1:23" hidden="1" x14ac:dyDescent="0.2">
      <c r="A3108">
        <v>2012</v>
      </c>
      <c r="B3108" t="s">
        <v>304</v>
      </c>
      <c r="C3108" s="733">
        <v>40961.935358796298</v>
      </c>
      <c r="D31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08" t="s">
        <v>505</v>
      </c>
      <c r="F3108" t="s">
        <v>1915</v>
      </c>
      <c r="G3108" t="s">
        <v>8398</v>
      </c>
      <c r="H3108">
        <v>22926</v>
      </c>
      <c r="I3108" t="s">
        <v>423</v>
      </c>
      <c r="J3108" t="s">
        <v>4259</v>
      </c>
      <c r="K3108" t="s">
        <v>1918</v>
      </c>
      <c r="L3108" t="s">
        <v>1919</v>
      </c>
      <c r="M3108">
        <v>467</v>
      </c>
      <c r="N3108">
        <v>24.58</v>
      </c>
      <c r="O3108">
        <v>7628.16</v>
      </c>
      <c r="P3108">
        <v>0</v>
      </c>
      <c r="Q3108">
        <v>7628.16</v>
      </c>
      <c r="R3108">
        <v>1220.51</v>
      </c>
      <c r="S3108">
        <v>305.13</v>
      </c>
      <c r="T3108">
        <v>8543.5400000000009</v>
      </c>
      <c r="U3108" t="s">
        <v>8491</v>
      </c>
      <c r="V3108" t="s">
        <v>9409</v>
      </c>
      <c r="W3108" t="s">
        <v>423</v>
      </c>
    </row>
    <row r="3109" spans="1:23" hidden="1" x14ac:dyDescent="0.2">
      <c r="A3109">
        <v>2012</v>
      </c>
      <c r="B3109" t="s">
        <v>304</v>
      </c>
      <c r="C3109" s="733">
        <v>40942</v>
      </c>
      <c r="D31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09" t="s">
        <v>485</v>
      </c>
      <c r="F3109" t="s">
        <v>2065</v>
      </c>
      <c r="G3109" t="s">
        <v>4833</v>
      </c>
      <c r="H3109">
        <v>41289</v>
      </c>
      <c r="I3109" t="s">
        <v>423</v>
      </c>
      <c r="J3109" t="s">
        <v>3054</v>
      </c>
      <c r="K3109" t="s">
        <v>2183</v>
      </c>
      <c r="L3109" t="s">
        <v>2184</v>
      </c>
      <c r="M3109">
        <v>43</v>
      </c>
      <c r="N3109">
        <v>15.2</v>
      </c>
      <c r="O3109">
        <v>1715.62</v>
      </c>
      <c r="P3109">
        <v>0</v>
      </c>
      <c r="Q3109">
        <v>1715.62</v>
      </c>
      <c r="R3109">
        <v>274.5</v>
      </c>
      <c r="S3109">
        <v>68.62</v>
      </c>
      <c r="T3109">
        <v>1921.5</v>
      </c>
      <c r="U3109" t="s">
        <v>2192</v>
      </c>
      <c r="V3109" t="s">
        <v>9408</v>
      </c>
      <c r="W3109" t="s">
        <v>423</v>
      </c>
    </row>
    <row r="3110" spans="1:23" hidden="1" x14ac:dyDescent="0.2">
      <c r="A3110">
        <v>2012</v>
      </c>
      <c r="B3110" t="s">
        <v>303</v>
      </c>
      <c r="C3110" s="733">
        <v>40912</v>
      </c>
      <c r="D31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10" t="s">
        <v>478</v>
      </c>
      <c r="F3110" t="s">
        <v>2136</v>
      </c>
      <c r="G3110" t="s">
        <v>5913</v>
      </c>
      <c r="H3110">
        <v>34066</v>
      </c>
      <c r="I3110" t="s">
        <v>423</v>
      </c>
      <c r="J3110" t="s">
        <v>4270</v>
      </c>
      <c r="K3110" t="s">
        <v>425</v>
      </c>
      <c r="L3110" t="s">
        <v>2145</v>
      </c>
      <c r="M3110">
        <v>560</v>
      </c>
      <c r="N3110">
        <v>34.65</v>
      </c>
      <c r="O3110">
        <v>4661.12</v>
      </c>
      <c r="P3110">
        <v>5247.9083970000002</v>
      </c>
      <c r="Q3110">
        <v>9909.028397</v>
      </c>
      <c r="R3110">
        <v>1585.4445430000001</v>
      </c>
      <c r="S3110">
        <v>396.36113599999999</v>
      </c>
      <c r="T3110">
        <v>11098.111804</v>
      </c>
      <c r="U3110" t="s">
        <v>5788</v>
      </c>
      <c r="V3110" t="s">
        <v>9408</v>
      </c>
      <c r="W3110" t="s">
        <v>423</v>
      </c>
    </row>
    <row r="3111" spans="1:23" hidden="1" x14ac:dyDescent="0.2">
      <c r="A3111">
        <v>2012</v>
      </c>
      <c r="B3111" t="s">
        <v>303</v>
      </c>
      <c r="C3111" s="733">
        <v>40932</v>
      </c>
      <c r="D31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11" t="s">
        <v>505</v>
      </c>
      <c r="F3111" t="s">
        <v>1915</v>
      </c>
      <c r="G3111" t="s">
        <v>5729</v>
      </c>
      <c r="H3111">
        <v>22197</v>
      </c>
      <c r="I3111" t="s">
        <v>424</v>
      </c>
      <c r="J3111" t="s">
        <v>1917</v>
      </c>
      <c r="K3111" t="s">
        <v>1918</v>
      </c>
      <c r="L3111" t="s">
        <v>1919</v>
      </c>
      <c r="M3111">
        <v>267</v>
      </c>
      <c r="N3111">
        <v>30</v>
      </c>
      <c r="O3111">
        <v>2929.97</v>
      </c>
      <c r="P3111">
        <v>1683.8244589999999</v>
      </c>
      <c r="Q3111">
        <v>4613.7944589999997</v>
      </c>
      <c r="R3111">
        <v>738.20711300000005</v>
      </c>
      <c r="S3111">
        <v>184.55177800000001</v>
      </c>
      <c r="T3111">
        <v>5167.4497940000001</v>
      </c>
      <c r="U3111" t="s">
        <v>1928</v>
      </c>
      <c r="V3111" t="s">
        <v>9408</v>
      </c>
      <c r="W3111" t="s">
        <v>424</v>
      </c>
    </row>
    <row r="3112" spans="1:23" hidden="1" x14ac:dyDescent="0.2">
      <c r="A3112">
        <v>2012</v>
      </c>
      <c r="B3112" t="s">
        <v>304</v>
      </c>
      <c r="C3112" s="733">
        <v>40949</v>
      </c>
      <c r="D31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12" t="s">
        <v>505</v>
      </c>
      <c r="F3112" t="s">
        <v>1915</v>
      </c>
      <c r="G3112" t="s">
        <v>5726</v>
      </c>
      <c r="H3112">
        <v>22608</v>
      </c>
      <c r="I3112" t="s">
        <v>423</v>
      </c>
      <c r="J3112" t="s">
        <v>4760</v>
      </c>
      <c r="K3112" t="s">
        <v>1918</v>
      </c>
      <c r="L3112" t="s">
        <v>1919</v>
      </c>
      <c r="M3112">
        <v>444</v>
      </c>
      <c r="N3112">
        <v>25.01</v>
      </c>
      <c r="O3112">
        <v>7761.6</v>
      </c>
      <c r="P3112">
        <v>0</v>
      </c>
      <c r="Q3112">
        <v>7761.6</v>
      </c>
      <c r="R3112">
        <v>1241.8599999999999</v>
      </c>
      <c r="S3112">
        <v>310.45999999999998</v>
      </c>
      <c r="T3112">
        <v>8693</v>
      </c>
      <c r="U3112" t="s">
        <v>7522</v>
      </c>
      <c r="V3112" t="s">
        <v>9408</v>
      </c>
      <c r="W3112" t="s">
        <v>423</v>
      </c>
    </row>
    <row r="3113" spans="1:23" hidden="1" x14ac:dyDescent="0.2">
      <c r="A3113">
        <v>2012</v>
      </c>
      <c r="B3113" t="s">
        <v>303</v>
      </c>
      <c r="C3113" s="733">
        <v>40919</v>
      </c>
      <c r="D31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13" t="s">
        <v>478</v>
      </c>
      <c r="F3113" t="s">
        <v>2136</v>
      </c>
      <c r="G3113" t="s">
        <v>5738</v>
      </c>
      <c r="H3113">
        <v>34418</v>
      </c>
      <c r="I3113" t="s">
        <v>423</v>
      </c>
      <c r="J3113" t="s">
        <v>4791</v>
      </c>
      <c r="K3113" t="s">
        <v>425</v>
      </c>
      <c r="L3113" t="s">
        <v>2145</v>
      </c>
      <c r="M3113">
        <v>139</v>
      </c>
      <c r="N3113">
        <v>20.97</v>
      </c>
      <c r="O3113">
        <v>3502.41</v>
      </c>
      <c r="P3113">
        <v>0</v>
      </c>
      <c r="Q3113">
        <v>3502.41</v>
      </c>
      <c r="R3113">
        <v>560.39</v>
      </c>
      <c r="S3113">
        <v>140.1</v>
      </c>
      <c r="T3113">
        <v>3922.7</v>
      </c>
      <c r="U3113" t="s">
        <v>2350</v>
      </c>
      <c r="V3113" t="s">
        <v>9408</v>
      </c>
      <c r="W3113" t="s">
        <v>423</v>
      </c>
    </row>
    <row r="3114" spans="1:23" hidden="1" x14ac:dyDescent="0.2">
      <c r="A3114">
        <v>2012</v>
      </c>
      <c r="B3114" t="s">
        <v>303</v>
      </c>
      <c r="C3114" s="733">
        <v>40921</v>
      </c>
      <c r="D31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14" t="s">
        <v>505</v>
      </c>
      <c r="F3114" t="s">
        <v>1915</v>
      </c>
      <c r="G3114" t="s">
        <v>2016</v>
      </c>
      <c r="H3114">
        <v>21870</v>
      </c>
      <c r="I3114" t="s">
        <v>424</v>
      </c>
      <c r="J3114" t="s">
        <v>1954</v>
      </c>
      <c r="K3114" t="s">
        <v>1918</v>
      </c>
      <c r="L3114" t="s">
        <v>1919</v>
      </c>
      <c r="M3114">
        <v>303</v>
      </c>
      <c r="N3114">
        <v>30</v>
      </c>
      <c r="O3114">
        <v>2314.83</v>
      </c>
      <c r="P3114">
        <v>1330.309653</v>
      </c>
      <c r="Q3114">
        <v>3645.1396530000002</v>
      </c>
      <c r="R3114">
        <v>583.22234400000002</v>
      </c>
      <c r="S3114">
        <v>145.80558600000001</v>
      </c>
      <c r="T3114">
        <v>4082.556411</v>
      </c>
      <c r="U3114" t="s">
        <v>1931</v>
      </c>
      <c r="V3114" t="s">
        <v>9408</v>
      </c>
      <c r="W3114" t="s">
        <v>424</v>
      </c>
    </row>
    <row r="3115" spans="1:23" hidden="1" x14ac:dyDescent="0.2">
      <c r="A3115">
        <v>2012</v>
      </c>
      <c r="B3115" t="s">
        <v>304</v>
      </c>
      <c r="C3115" s="733">
        <v>40948</v>
      </c>
      <c r="D31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15" t="s">
        <v>485</v>
      </c>
      <c r="F3115" t="s">
        <v>2065</v>
      </c>
      <c r="G3115" t="s">
        <v>4487</v>
      </c>
      <c r="H3115">
        <v>41601</v>
      </c>
      <c r="I3115" t="s">
        <v>423</v>
      </c>
      <c r="J3115" t="s">
        <v>3054</v>
      </c>
      <c r="K3115" t="s">
        <v>2183</v>
      </c>
      <c r="L3115" t="s">
        <v>2184</v>
      </c>
      <c r="M3115">
        <v>43</v>
      </c>
      <c r="N3115">
        <v>15.91</v>
      </c>
      <c r="O3115">
        <v>1795.76</v>
      </c>
      <c r="P3115">
        <v>0</v>
      </c>
      <c r="Q3115">
        <v>1795.76</v>
      </c>
      <c r="R3115">
        <v>287.32</v>
      </c>
      <c r="S3115">
        <v>71.83</v>
      </c>
      <c r="T3115">
        <v>2011.25</v>
      </c>
      <c r="U3115" t="s">
        <v>2192</v>
      </c>
      <c r="V3115" t="s">
        <v>9408</v>
      </c>
      <c r="W3115" t="s">
        <v>423</v>
      </c>
    </row>
    <row r="3116" spans="1:23" hidden="1" x14ac:dyDescent="0.2">
      <c r="A3116">
        <v>2012</v>
      </c>
      <c r="B3116" t="s">
        <v>303</v>
      </c>
      <c r="C3116" s="733">
        <v>40928</v>
      </c>
      <c r="D31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16" t="s">
        <v>485</v>
      </c>
      <c r="F3116" t="s">
        <v>2048</v>
      </c>
      <c r="G3116" t="s">
        <v>6081</v>
      </c>
      <c r="H3116">
        <v>40643</v>
      </c>
      <c r="I3116" t="s">
        <v>423</v>
      </c>
      <c r="J3116" t="s">
        <v>4770</v>
      </c>
      <c r="K3116" t="s">
        <v>2051</v>
      </c>
      <c r="L3116" t="s">
        <v>2052</v>
      </c>
      <c r="M3116">
        <v>599</v>
      </c>
      <c r="N3116">
        <v>24.6</v>
      </c>
      <c r="O3116">
        <v>8580.48</v>
      </c>
      <c r="P3116">
        <v>0</v>
      </c>
      <c r="Q3116">
        <v>8580.48</v>
      </c>
      <c r="R3116">
        <v>1372.88</v>
      </c>
      <c r="S3116">
        <v>343.22</v>
      </c>
      <c r="T3116">
        <v>9610.14</v>
      </c>
      <c r="U3116" t="s">
        <v>2062</v>
      </c>
      <c r="V3116" t="s">
        <v>9408</v>
      </c>
      <c r="W3116" t="s">
        <v>423</v>
      </c>
    </row>
    <row r="3117" spans="1:23" hidden="1" x14ac:dyDescent="0.2">
      <c r="A3117">
        <v>2012</v>
      </c>
      <c r="B3117" t="s">
        <v>304</v>
      </c>
      <c r="C3117" s="733">
        <v>40962</v>
      </c>
      <c r="D31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17" t="s">
        <v>478</v>
      </c>
      <c r="F3117" t="s">
        <v>3358</v>
      </c>
      <c r="G3117" t="s">
        <v>8530</v>
      </c>
      <c r="H3117">
        <v>35549</v>
      </c>
      <c r="I3117" t="s">
        <v>423</v>
      </c>
      <c r="J3117" t="s">
        <v>5024</v>
      </c>
      <c r="K3117" t="s">
        <v>4397</v>
      </c>
      <c r="L3117" t="s">
        <v>4398</v>
      </c>
      <c r="M3117">
        <v>770</v>
      </c>
      <c r="N3117">
        <v>24.41</v>
      </c>
      <c r="O3117">
        <v>8060.18</v>
      </c>
      <c r="P3117">
        <v>0</v>
      </c>
      <c r="Q3117">
        <v>8060.18</v>
      </c>
      <c r="R3117">
        <v>1289.6300000000001</v>
      </c>
      <c r="S3117">
        <v>322.41000000000003</v>
      </c>
      <c r="T3117">
        <v>9027.4</v>
      </c>
      <c r="U3117" t="s">
        <v>8982</v>
      </c>
      <c r="V3117" t="s">
        <v>9408</v>
      </c>
      <c r="W3117" t="s">
        <v>423</v>
      </c>
    </row>
    <row r="3118" spans="1:23" hidden="1" x14ac:dyDescent="0.2">
      <c r="A3118">
        <v>2012</v>
      </c>
      <c r="B3118" t="s">
        <v>303</v>
      </c>
      <c r="C3118" s="733">
        <v>40927</v>
      </c>
      <c r="D31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18" t="s">
        <v>478</v>
      </c>
      <c r="F3118" t="s">
        <v>4128</v>
      </c>
      <c r="G3118" t="s">
        <v>5331</v>
      </c>
      <c r="H3118">
        <v>34336</v>
      </c>
      <c r="I3118" t="s">
        <v>423</v>
      </c>
      <c r="J3118" t="s">
        <v>5024</v>
      </c>
      <c r="K3118" t="s">
        <v>4397</v>
      </c>
      <c r="L3118" t="s">
        <v>4398</v>
      </c>
      <c r="M3118">
        <v>770</v>
      </c>
      <c r="N3118">
        <v>24.055</v>
      </c>
      <c r="O3118">
        <v>7942.96</v>
      </c>
      <c r="P3118">
        <v>0</v>
      </c>
      <c r="Q3118">
        <v>7942.96</v>
      </c>
      <c r="R3118">
        <v>1270.8699999999999</v>
      </c>
      <c r="S3118">
        <v>317.72000000000003</v>
      </c>
      <c r="T3118">
        <v>8896.11</v>
      </c>
      <c r="U3118" t="s">
        <v>4404</v>
      </c>
      <c r="V3118" t="s">
        <v>9408</v>
      </c>
      <c r="W3118" t="s">
        <v>423</v>
      </c>
    </row>
    <row r="3119" spans="1:23" hidden="1" x14ac:dyDescent="0.2">
      <c r="A3119">
        <v>2012</v>
      </c>
      <c r="B3119" t="s">
        <v>303</v>
      </c>
      <c r="C3119" s="733">
        <v>40932</v>
      </c>
      <c r="D31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19" t="s">
        <v>505</v>
      </c>
      <c r="F3119" t="s">
        <v>1915</v>
      </c>
      <c r="G3119" t="s">
        <v>1990</v>
      </c>
      <c r="H3119">
        <v>22171</v>
      </c>
      <c r="I3119" t="s">
        <v>424</v>
      </c>
      <c r="J3119" t="s">
        <v>1917</v>
      </c>
      <c r="K3119" t="s">
        <v>1918</v>
      </c>
      <c r="L3119" t="s">
        <v>1919</v>
      </c>
      <c r="M3119">
        <v>267</v>
      </c>
      <c r="N3119">
        <v>30</v>
      </c>
      <c r="O3119">
        <v>2929.97</v>
      </c>
      <c r="P3119">
        <v>1683.8244589999999</v>
      </c>
      <c r="Q3119">
        <v>4613.7944589999997</v>
      </c>
      <c r="R3119">
        <v>738.20711300000005</v>
      </c>
      <c r="S3119">
        <v>184.55177800000001</v>
      </c>
      <c r="T3119">
        <v>5167.4497940000001</v>
      </c>
      <c r="U3119" t="s">
        <v>1928</v>
      </c>
      <c r="V3119" t="s">
        <v>9408</v>
      </c>
      <c r="W3119" t="s">
        <v>424</v>
      </c>
    </row>
    <row r="3120" spans="1:23" hidden="1" x14ac:dyDescent="0.2">
      <c r="A3120">
        <v>2012</v>
      </c>
      <c r="B3120" t="s">
        <v>303</v>
      </c>
      <c r="C3120" s="733">
        <v>40933</v>
      </c>
      <c r="D31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20" t="s">
        <v>505</v>
      </c>
      <c r="F3120" t="s">
        <v>2065</v>
      </c>
      <c r="G3120" t="s">
        <v>2004</v>
      </c>
      <c r="H3120">
        <v>22234</v>
      </c>
      <c r="I3120" t="s">
        <v>424</v>
      </c>
      <c r="J3120" t="s">
        <v>1917</v>
      </c>
      <c r="K3120" t="s">
        <v>1918</v>
      </c>
      <c r="L3120" t="s">
        <v>1919</v>
      </c>
      <c r="M3120">
        <v>267</v>
      </c>
      <c r="N3120">
        <v>30</v>
      </c>
      <c r="O3120">
        <v>2929.97</v>
      </c>
      <c r="P3120">
        <v>1683.8244589999999</v>
      </c>
      <c r="Q3120">
        <v>4613.7944589999997</v>
      </c>
      <c r="R3120">
        <v>738.20711300000005</v>
      </c>
      <c r="S3120">
        <v>184.55177800000001</v>
      </c>
      <c r="T3120">
        <v>5167.4497940000001</v>
      </c>
      <c r="U3120" t="s">
        <v>1928</v>
      </c>
      <c r="V3120" t="s">
        <v>9408</v>
      </c>
      <c r="W3120" t="s">
        <v>424</v>
      </c>
    </row>
    <row r="3121" spans="1:23" x14ac:dyDescent="0.2">
      <c r="A3121">
        <v>2012</v>
      </c>
      <c r="B3121" t="s">
        <v>304</v>
      </c>
      <c r="C3121" s="733">
        <v>40967</v>
      </c>
      <c r="D31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21" t="s">
        <v>485</v>
      </c>
      <c r="F3121" t="s">
        <v>2065</v>
      </c>
      <c r="G3121" t="s">
        <v>9035</v>
      </c>
      <c r="H3121">
        <v>42776</v>
      </c>
      <c r="I3121" t="s">
        <v>423</v>
      </c>
      <c r="J3121" t="s">
        <v>2186</v>
      </c>
      <c r="K3121" t="s">
        <v>4524</v>
      </c>
      <c r="L3121" t="s">
        <v>2184</v>
      </c>
      <c r="M3121">
        <v>19</v>
      </c>
      <c r="N3121">
        <v>15.54</v>
      </c>
      <c r="O3121">
        <v>1754</v>
      </c>
      <c r="P3121">
        <v>0</v>
      </c>
      <c r="Q3121">
        <v>1754</v>
      </c>
      <c r="R3121">
        <v>280.64</v>
      </c>
      <c r="S3121">
        <v>70.16</v>
      </c>
      <c r="T3121">
        <v>1964.48</v>
      </c>
      <c r="V3121" t="s">
        <v>9408</v>
      </c>
      <c r="W3121" t="s">
        <v>423</v>
      </c>
    </row>
    <row r="3122" spans="1:23" hidden="1" x14ac:dyDescent="0.2">
      <c r="A3122">
        <v>2012</v>
      </c>
      <c r="B3122" t="s">
        <v>304</v>
      </c>
      <c r="C3122" s="733">
        <v>40940</v>
      </c>
      <c r="D31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22" t="s">
        <v>485</v>
      </c>
      <c r="F3122" t="s">
        <v>2065</v>
      </c>
      <c r="G3122" t="s">
        <v>5344</v>
      </c>
      <c r="H3122">
        <v>40054</v>
      </c>
      <c r="I3122" t="s">
        <v>423</v>
      </c>
      <c r="J3122" t="s">
        <v>2186</v>
      </c>
      <c r="K3122" t="s">
        <v>4524</v>
      </c>
      <c r="L3122" t="s">
        <v>2184</v>
      </c>
      <c r="M3122">
        <v>19</v>
      </c>
      <c r="N3122">
        <v>16.61</v>
      </c>
      <c r="O3122">
        <v>1874.77</v>
      </c>
      <c r="P3122">
        <v>0</v>
      </c>
      <c r="Q3122">
        <v>1874.77</v>
      </c>
      <c r="R3122">
        <v>299.95999999999998</v>
      </c>
      <c r="S3122">
        <v>74.989999999999995</v>
      </c>
      <c r="T3122">
        <v>2099.7399999999998</v>
      </c>
      <c r="U3122" t="s">
        <v>2187</v>
      </c>
      <c r="V3122" t="s">
        <v>9408</v>
      </c>
      <c r="W3122" t="s">
        <v>423</v>
      </c>
    </row>
    <row r="3123" spans="1:23" hidden="1" x14ac:dyDescent="0.2">
      <c r="A3123">
        <v>2012</v>
      </c>
      <c r="B3123" t="s">
        <v>304</v>
      </c>
      <c r="C3123" s="733">
        <v>40968.772037037037</v>
      </c>
      <c r="D31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23" t="s">
        <v>478</v>
      </c>
      <c r="F3123" t="s">
        <v>2136</v>
      </c>
      <c r="G3123" t="s">
        <v>9447</v>
      </c>
      <c r="H3123">
        <v>36216</v>
      </c>
      <c r="I3123" t="s">
        <v>423</v>
      </c>
      <c r="J3123" t="s">
        <v>4270</v>
      </c>
      <c r="K3123" t="s">
        <v>425</v>
      </c>
      <c r="L3123" t="s">
        <v>2145</v>
      </c>
      <c r="M3123">
        <v>560</v>
      </c>
      <c r="N3123">
        <v>24.62</v>
      </c>
      <c r="O3123">
        <v>7866.09</v>
      </c>
      <c r="P3123">
        <v>0</v>
      </c>
      <c r="Q3123">
        <v>7866.09</v>
      </c>
      <c r="R3123">
        <v>1258.57</v>
      </c>
      <c r="S3123">
        <v>314.64</v>
      </c>
      <c r="T3123">
        <v>8810.02</v>
      </c>
      <c r="V3123" t="s">
        <v>9408</v>
      </c>
      <c r="W3123" t="s">
        <v>423</v>
      </c>
    </row>
    <row r="3124" spans="1:23" hidden="1" x14ac:dyDescent="0.2">
      <c r="A3124">
        <v>2012</v>
      </c>
      <c r="B3124" t="s">
        <v>304</v>
      </c>
      <c r="C3124" s="733">
        <v>40960</v>
      </c>
      <c r="D31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24" t="s">
        <v>485</v>
      </c>
      <c r="F3124" t="s">
        <v>2065</v>
      </c>
      <c r="G3124" t="s">
        <v>8078</v>
      </c>
      <c r="H3124">
        <v>42248</v>
      </c>
      <c r="I3124" t="s">
        <v>423</v>
      </c>
      <c r="J3124" t="s">
        <v>2186</v>
      </c>
      <c r="K3124" t="s">
        <v>2183</v>
      </c>
      <c r="L3124" t="s">
        <v>2184</v>
      </c>
      <c r="M3124">
        <v>19</v>
      </c>
      <c r="N3124">
        <v>15.28</v>
      </c>
      <c r="O3124">
        <v>1724.65</v>
      </c>
      <c r="P3124">
        <v>0</v>
      </c>
      <c r="Q3124">
        <v>1724.65</v>
      </c>
      <c r="R3124">
        <v>275.94</v>
      </c>
      <c r="S3124">
        <v>68.989999999999995</v>
      </c>
      <c r="T3124">
        <v>1931.6</v>
      </c>
      <c r="U3124" t="s">
        <v>9411</v>
      </c>
      <c r="V3124" t="s">
        <v>9408</v>
      </c>
      <c r="W3124" t="s">
        <v>423</v>
      </c>
    </row>
    <row r="3125" spans="1:23" hidden="1" x14ac:dyDescent="0.2">
      <c r="A3125">
        <v>2012</v>
      </c>
      <c r="B3125" t="s">
        <v>304</v>
      </c>
      <c r="C3125" s="733">
        <v>40940</v>
      </c>
      <c r="D31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25" t="s">
        <v>485</v>
      </c>
      <c r="F3125" t="s">
        <v>2065</v>
      </c>
      <c r="G3125" t="s">
        <v>4678</v>
      </c>
      <c r="H3125">
        <v>40112</v>
      </c>
      <c r="I3125" t="s">
        <v>423</v>
      </c>
      <c r="J3125" t="s">
        <v>2186</v>
      </c>
      <c r="K3125" t="s">
        <v>2183</v>
      </c>
      <c r="L3125" t="s">
        <v>2184</v>
      </c>
      <c r="M3125">
        <v>19</v>
      </c>
      <c r="N3125">
        <v>16.27</v>
      </c>
      <c r="O3125">
        <v>1836.39</v>
      </c>
      <c r="P3125">
        <v>0</v>
      </c>
      <c r="Q3125">
        <v>1836.39</v>
      </c>
      <c r="R3125">
        <v>293.82</v>
      </c>
      <c r="S3125">
        <v>73.459999999999994</v>
      </c>
      <c r="T3125">
        <v>2056.75</v>
      </c>
      <c r="U3125" t="s">
        <v>2187</v>
      </c>
      <c r="V3125" t="s">
        <v>9408</v>
      </c>
      <c r="W3125" t="s">
        <v>423</v>
      </c>
    </row>
    <row r="3126" spans="1:23" hidden="1" x14ac:dyDescent="0.2">
      <c r="A3126">
        <v>2012</v>
      </c>
      <c r="B3126" t="s">
        <v>304</v>
      </c>
      <c r="C3126" s="733">
        <v>40940</v>
      </c>
      <c r="D31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26" t="s">
        <v>485</v>
      </c>
      <c r="F3126" t="s">
        <v>2065</v>
      </c>
      <c r="G3126" t="s">
        <v>4480</v>
      </c>
      <c r="H3126">
        <v>40462</v>
      </c>
      <c r="I3126" t="s">
        <v>423</v>
      </c>
      <c r="J3126" t="s">
        <v>2186</v>
      </c>
      <c r="K3126" t="s">
        <v>2183</v>
      </c>
      <c r="L3126" t="s">
        <v>2184</v>
      </c>
      <c r="M3126">
        <v>19</v>
      </c>
      <c r="N3126">
        <v>16.29</v>
      </c>
      <c r="O3126">
        <v>1838.65</v>
      </c>
      <c r="P3126">
        <v>0</v>
      </c>
      <c r="Q3126">
        <v>1838.65</v>
      </c>
      <c r="R3126">
        <v>294.18</v>
      </c>
      <c r="S3126">
        <v>73.55</v>
      </c>
      <c r="T3126">
        <v>2059.2800000000002</v>
      </c>
      <c r="U3126" t="s">
        <v>2187</v>
      </c>
      <c r="V3126" t="s">
        <v>9408</v>
      </c>
      <c r="W3126" t="s">
        <v>423</v>
      </c>
    </row>
    <row r="3127" spans="1:23" hidden="1" x14ac:dyDescent="0.2">
      <c r="A3127">
        <v>2012</v>
      </c>
      <c r="B3127" t="s">
        <v>304</v>
      </c>
      <c r="C3127" s="733">
        <v>40948</v>
      </c>
      <c r="D31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27" t="s">
        <v>485</v>
      </c>
      <c r="F3127" t="s">
        <v>2065</v>
      </c>
      <c r="G3127" t="s">
        <v>4492</v>
      </c>
      <c r="H3127">
        <v>41604</v>
      </c>
      <c r="I3127" t="s">
        <v>423</v>
      </c>
      <c r="J3127" t="s">
        <v>2186</v>
      </c>
      <c r="K3127" t="s">
        <v>2183</v>
      </c>
      <c r="L3127" t="s">
        <v>2184</v>
      </c>
      <c r="M3127">
        <v>19</v>
      </c>
      <c r="N3127">
        <v>15.45</v>
      </c>
      <c r="O3127">
        <v>1743.84</v>
      </c>
      <c r="P3127">
        <v>0</v>
      </c>
      <c r="Q3127">
        <v>1743.84</v>
      </c>
      <c r="R3127">
        <v>279.01</v>
      </c>
      <c r="S3127">
        <v>69.75</v>
      </c>
      <c r="T3127">
        <v>1953.1</v>
      </c>
      <c r="U3127" t="s">
        <v>2192</v>
      </c>
      <c r="V3127" t="s">
        <v>9408</v>
      </c>
      <c r="W3127" t="s">
        <v>423</v>
      </c>
    </row>
    <row r="3128" spans="1:23" hidden="1" x14ac:dyDescent="0.2">
      <c r="A3128">
        <v>2012</v>
      </c>
      <c r="B3128" t="s">
        <v>304</v>
      </c>
      <c r="C3128" s="733">
        <v>40940</v>
      </c>
      <c r="D31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28" t="s">
        <v>485</v>
      </c>
      <c r="F3128" t="s">
        <v>2065</v>
      </c>
      <c r="G3128" t="s">
        <v>5338</v>
      </c>
      <c r="H3128">
        <v>39752</v>
      </c>
      <c r="I3128" t="s">
        <v>423</v>
      </c>
      <c r="J3128" t="s">
        <v>2189</v>
      </c>
      <c r="K3128" t="s">
        <v>2183</v>
      </c>
      <c r="L3128" t="s">
        <v>2184</v>
      </c>
      <c r="M3128">
        <v>720</v>
      </c>
      <c r="N3128">
        <v>25.91</v>
      </c>
      <c r="O3128">
        <v>11501.19</v>
      </c>
      <c r="P3128">
        <v>0</v>
      </c>
      <c r="Q3128">
        <v>11501.19</v>
      </c>
      <c r="R3128">
        <v>1840.19</v>
      </c>
      <c r="S3128">
        <v>460.05</v>
      </c>
      <c r="T3128">
        <v>12881.33</v>
      </c>
      <c r="U3128" t="s">
        <v>2192</v>
      </c>
      <c r="V3128" t="s">
        <v>9408</v>
      </c>
      <c r="W3128" t="s">
        <v>423</v>
      </c>
    </row>
    <row r="3129" spans="1:23" hidden="1" x14ac:dyDescent="0.2">
      <c r="A3129">
        <v>2012</v>
      </c>
      <c r="B3129" t="s">
        <v>304</v>
      </c>
      <c r="C3129" s="733">
        <v>40960</v>
      </c>
      <c r="D31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29" t="s">
        <v>478</v>
      </c>
      <c r="F3129" t="s">
        <v>2136</v>
      </c>
      <c r="G3129" t="s">
        <v>8276</v>
      </c>
      <c r="H3129">
        <v>35741</v>
      </c>
      <c r="I3129" t="s">
        <v>423</v>
      </c>
      <c r="J3129" t="s">
        <v>3480</v>
      </c>
      <c r="K3129" t="s">
        <v>3481</v>
      </c>
      <c r="L3129" t="s">
        <v>3482</v>
      </c>
      <c r="M3129">
        <v>75</v>
      </c>
      <c r="N3129">
        <v>26.87</v>
      </c>
      <c r="O3129">
        <v>3032.82</v>
      </c>
      <c r="P3129">
        <v>0</v>
      </c>
      <c r="Q3129">
        <v>3032.82</v>
      </c>
      <c r="R3129">
        <v>485.25</v>
      </c>
      <c r="S3129">
        <v>121.31</v>
      </c>
      <c r="T3129">
        <v>3396.76</v>
      </c>
      <c r="U3129" t="s">
        <v>8277</v>
      </c>
      <c r="V3129" t="s">
        <v>9408</v>
      </c>
      <c r="W3129" t="s">
        <v>423</v>
      </c>
    </row>
    <row r="3130" spans="1:23" hidden="1" x14ac:dyDescent="0.2">
      <c r="A3130">
        <v>2012</v>
      </c>
      <c r="B3130" t="s">
        <v>304</v>
      </c>
      <c r="C3130" s="733">
        <v>40967.458240740743</v>
      </c>
      <c r="D31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30" t="s">
        <v>478</v>
      </c>
      <c r="F3130" t="s">
        <v>2622</v>
      </c>
      <c r="G3130" t="s">
        <v>9041</v>
      </c>
      <c r="H3130">
        <v>36107</v>
      </c>
      <c r="I3130" t="s">
        <v>423</v>
      </c>
      <c r="J3130" t="s">
        <v>2629</v>
      </c>
      <c r="K3130" t="s">
        <v>2625</v>
      </c>
      <c r="L3130" t="s">
        <v>2626</v>
      </c>
      <c r="M3130">
        <v>33</v>
      </c>
      <c r="N3130">
        <v>26.84</v>
      </c>
      <c r="O3130">
        <v>3130.62</v>
      </c>
      <c r="P3130">
        <v>0</v>
      </c>
      <c r="Q3130">
        <v>3130.62</v>
      </c>
      <c r="R3130">
        <v>500.9</v>
      </c>
      <c r="S3130">
        <v>125.22</v>
      </c>
      <c r="T3130">
        <v>3506.3</v>
      </c>
      <c r="U3130" t="s">
        <v>9428</v>
      </c>
      <c r="V3130" t="s">
        <v>9408</v>
      </c>
      <c r="W3130" t="s">
        <v>423</v>
      </c>
    </row>
    <row r="3131" spans="1:23" hidden="1" x14ac:dyDescent="0.2">
      <c r="A3131">
        <v>2012</v>
      </c>
      <c r="B3131" t="s">
        <v>303</v>
      </c>
      <c r="C3131" s="733">
        <v>40926.744849537034</v>
      </c>
      <c r="D31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31" t="s">
        <v>478</v>
      </c>
      <c r="F3131" t="s">
        <v>2622</v>
      </c>
      <c r="G3131" t="s">
        <v>3884</v>
      </c>
      <c r="H3131">
        <v>34692</v>
      </c>
      <c r="I3131" t="s">
        <v>423</v>
      </c>
      <c r="J3131" t="s">
        <v>2629</v>
      </c>
      <c r="K3131" t="s">
        <v>2625</v>
      </c>
      <c r="L3131" t="s">
        <v>2626</v>
      </c>
      <c r="M3131">
        <v>33</v>
      </c>
      <c r="N3131">
        <v>25.94</v>
      </c>
      <c r="O3131">
        <v>3025.64</v>
      </c>
      <c r="P3131">
        <v>0</v>
      </c>
      <c r="Q3131">
        <v>3025.64</v>
      </c>
      <c r="R3131">
        <v>484.1</v>
      </c>
      <c r="S3131">
        <v>121.03</v>
      </c>
      <c r="T3131">
        <v>3388.71</v>
      </c>
      <c r="U3131" t="s">
        <v>2635</v>
      </c>
      <c r="V3131" t="s">
        <v>9408</v>
      </c>
      <c r="W3131" t="s">
        <v>423</v>
      </c>
    </row>
    <row r="3132" spans="1:23" hidden="1" x14ac:dyDescent="0.2">
      <c r="A3132">
        <v>2012</v>
      </c>
      <c r="B3132" t="s">
        <v>304</v>
      </c>
      <c r="C3132" s="733">
        <v>40942</v>
      </c>
      <c r="D31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32" t="s">
        <v>478</v>
      </c>
      <c r="F3132" t="s">
        <v>2136</v>
      </c>
      <c r="G3132" t="s">
        <v>4688</v>
      </c>
      <c r="H3132">
        <v>35042</v>
      </c>
      <c r="I3132" t="s">
        <v>423</v>
      </c>
      <c r="J3132" t="s">
        <v>2144</v>
      </c>
      <c r="K3132" t="s">
        <v>425</v>
      </c>
      <c r="L3132" t="s">
        <v>2145</v>
      </c>
      <c r="M3132">
        <v>1354</v>
      </c>
      <c r="N3132">
        <v>51.93</v>
      </c>
      <c r="O3132">
        <v>47089.599999999999</v>
      </c>
      <c r="P3132">
        <v>0</v>
      </c>
      <c r="Q3132">
        <v>47089.599999999999</v>
      </c>
      <c r="R3132">
        <v>7534.34</v>
      </c>
      <c r="S3132">
        <v>1883.58</v>
      </c>
      <c r="T3132">
        <v>52740.36</v>
      </c>
      <c r="U3132" t="s">
        <v>3115</v>
      </c>
      <c r="V3132" t="s">
        <v>9409</v>
      </c>
      <c r="W3132" t="s">
        <v>423</v>
      </c>
    </row>
    <row r="3133" spans="1:23" hidden="1" x14ac:dyDescent="0.2">
      <c r="A3133">
        <v>2012</v>
      </c>
      <c r="B3133" t="s">
        <v>303</v>
      </c>
      <c r="C3133" s="733">
        <v>40935</v>
      </c>
      <c r="D31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33" t="s">
        <v>505</v>
      </c>
      <c r="F3133" t="s">
        <v>1915</v>
      </c>
      <c r="G3133" t="s">
        <v>6933</v>
      </c>
      <c r="H3133">
        <v>22294</v>
      </c>
      <c r="I3133" t="s">
        <v>423</v>
      </c>
      <c r="J3133" t="s">
        <v>5606</v>
      </c>
      <c r="K3133" t="s">
        <v>1918</v>
      </c>
      <c r="L3133" t="s">
        <v>1919</v>
      </c>
      <c r="M3133">
        <v>383</v>
      </c>
      <c r="N3133">
        <v>25.36</v>
      </c>
      <c r="O3133">
        <v>7002.91</v>
      </c>
      <c r="P3133">
        <v>0</v>
      </c>
      <c r="Q3133">
        <v>7002.91</v>
      </c>
      <c r="R3133">
        <v>1120.47</v>
      </c>
      <c r="S3133">
        <v>280.12</v>
      </c>
      <c r="T3133">
        <v>7843.26</v>
      </c>
      <c r="U3133" t="s">
        <v>1926</v>
      </c>
      <c r="V3133" t="s">
        <v>9408</v>
      </c>
      <c r="W3133" t="s">
        <v>423</v>
      </c>
    </row>
    <row r="3134" spans="1:23" hidden="1" x14ac:dyDescent="0.2">
      <c r="A3134">
        <v>2012</v>
      </c>
      <c r="B3134" t="s">
        <v>303</v>
      </c>
      <c r="C3134" s="733">
        <v>40914.876388888886</v>
      </c>
      <c r="D31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34" t="s">
        <v>478</v>
      </c>
      <c r="F3134" t="s">
        <v>2622</v>
      </c>
      <c r="G3134" t="s">
        <v>3882</v>
      </c>
      <c r="H3134">
        <v>34292</v>
      </c>
      <c r="I3134" t="s">
        <v>423</v>
      </c>
      <c r="J3134" t="s">
        <v>2624</v>
      </c>
      <c r="K3134" t="s">
        <v>2625</v>
      </c>
      <c r="L3134" t="s">
        <v>2626</v>
      </c>
      <c r="M3134">
        <v>10</v>
      </c>
      <c r="N3134">
        <v>22.75</v>
      </c>
      <c r="O3134">
        <v>2567.34</v>
      </c>
      <c r="P3134">
        <v>0</v>
      </c>
      <c r="Q3134">
        <v>2567.34</v>
      </c>
      <c r="R3134">
        <v>410.77</v>
      </c>
      <c r="S3134">
        <v>102.69</v>
      </c>
      <c r="T3134">
        <v>2875.42</v>
      </c>
      <c r="U3134" t="s">
        <v>2635</v>
      </c>
      <c r="V3134" t="s">
        <v>9408</v>
      </c>
      <c r="W3134" t="s">
        <v>423</v>
      </c>
    </row>
    <row r="3135" spans="1:23" hidden="1" x14ac:dyDescent="0.2">
      <c r="A3135">
        <v>2012</v>
      </c>
      <c r="B3135" t="s">
        <v>303</v>
      </c>
      <c r="C3135" s="733">
        <v>40939.548819444448</v>
      </c>
      <c r="D31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35" t="s">
        <v>478</v>
      </c>
      <c r="F3135" t="s">
        <v>2622</v>
      </c>
      <c r="G3135" t="s">
        <v>3875</v>
      </c>
      <c r="H3135">
        <v>35150</v>
      </c>
      <c r="I3135" t="s">
        <v>423</v>
      </c>
      <c r="J3135" t="s">
        <v>2624</v>
      </c>
      <c r="K3135" t="s">
        <v>2625</v>
      </c>
      <c r="L3135" t="s">
        <v>2626</v>
      </c>
      <c r="M3135">
        <v>10</v>
      </c>
      <c r="N3135">
        <v>26.27</v>
      </c>
      <c r="O3135">
        <v>2964.57</v>
      </c>
      <c r="P3135">
        <v>0</v>
      </c>
      <c r="Q3135">
        <v>2964.57</v>
      </c>
      <c r="R3135">
        <v>474.33</v>
      </c>
      <c r="S3135">
        <v>118.58</v>
      </c>
      <c r="T3135">
        <v>3320.32</v>
      </c>
      <c r="U3135" t="s">
        <v>2648</v>
      </c>
      <c r="V3135" t="s">
        <v>9408</v>
      </c>
      <c r="W3135" t="s">
        <v>423</v>
      </c>
    </row>
    <row r="3136" spans="1:23" hidden="1" x14ac:dyDescent="0.2">
      <c r="A3136">
        <v>2012</v>
      </c>
      <c r="B3136" t="s">
        <v>303</v>
      </c>
      <c r="C3136" s="733">
        <v>40933</v>
      </c>
      <c r="D31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36" t="s">
        <v>478</v>
      </c>
      <c r="F3136" t="s">
        <v>2622</v>
      </c>
      <c r="G3136" t="s">
        <v>3876</v>
      </c>
      <c r="H3136">
        <v>34865</v>
      </c>
      <c r="I3136" t="s">
        <v>423</v>
      </c>
      <c r="J3136" t="s">
        <v>2624</v>
      </c>
      <c r="K3136" t="s">
        <v>2625</v>
      </c>
      <c r="L3136" t="s">
        <v>2626</v>
      </c>
      <c r="M3136">
        <v>10</v>
      </c>
      <c r="N3136">
        <v>25</v>
      </c>
      <c r="O3136">
        <v>2821.25</v>
      </c>
      <c r="P3136">
        <v>0</v>
      </c>
      <c r="Q3136">
        <v>2821.25</v>
      </c>
      <c r="R3136">
        <v>451.4</v>
      </c>
      <c r="S3136">
        <v>112.85</v>
      </c>
      <c r="T3136">
        <v>3159.8</v>
      </c>
      <c r="V3136" t="s">
        <v>9408</v>
      </c>
      <c r="W3136" t="s">
        <v>423</v>
      </c>
    </row>
    <row r="3137" spans="1:23" hidden="1" x14ac:dyDescent="0.2">
      <c r="A3137">
        <v>2012</v>
      </c>
      <c r="B3137" t="s">
        <v>303</v>
      </c>
      <c r="C3137" s="733">
        <v>40933</v>
      </c>
      <c r="D31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37" t="s">
        <v>478</v>
      </c>
      <c r="F3137" t="s">
        <v>2622</v>
      </c>
      <c r="G3137" t="s">
        <v>3873</v>
      </c>
      <c r="H3137">
        <v>34861</v>
      </c>
      <c r="I3137" t="s">
        <v>423</v>
      </c>
      <c r="J3137" t="s">
        <v>2624</v>
      </c>
      <c r="K3137" t="s">
        <v>2625</v>
      </c>
      <c r="L3137" t="s">
        <v>2626</v>
      </c>
      <c r="M3137">
        <v>10</v>
      </c>
      <c r="N3137">
        <v>24.13</v>
      </c>
      <c r="O3137">
        <v>2723.07</v>
      </c>
      <c r="P3137">
        <v>0</v>
      </c>
      <c r="Q3137">
        <v>2723.07</v>
      </c>
      <c r="R3137">
        <v>435.69</v>
      </c>
      <c r="S3137">
        <v>108.92</v>
      </c>
      <c r="T3137">
        <v>3049.84</v>
      </c>
      <c r="U3137" t="s">
        <v>2633</v>
      </c>
      <c r="V3137" t="s">
        <v>9408</v>
      </c>
      <c r="W3137" t="s">
        <v>423</v>
      </c>
    </row>
    <row r="3138" spans="1:23" hidden="1" x14ac:dyDescent="0.2">
      <c r="A3138">
        <v>2012</v>
      </c>
      <c r="B3138" t="s">
        <v>303</v>
      </c>
      <c r="C3138" s="733">
        <v>40918</v>
      </c>
      <c r="D31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38" t="s">
        <v>478</v>
      </c>
      <c r="F3138" t="s">
        <v>2136</v>
      </c>
      <c r="G3138" t="s">
        <v>3877</v>
      </c>
      <c r="H3138">
        <v>34368</v>
      </c>
      <c r="I3138" t="s">
        <v>423</v>
      </c>
      <c r="J3138" t="s">
        <v>2624</v>
      </c>
      <c r="K3138" t="s">
        <v>2625</v>
      </c>
      <c r="L3138" t="s">
        <v>2626</v>
      </c>
      <c r="M3138">
        <v>10</v>
      </c>
      <c r="N3138">
        <v>22.7</v>
      </c>
      <c r="O3138">
        <v>2561.6999999999998</v>
      </c>
      <c r="P3138">
        <v>0</v>
      </c>
      <c r="Q3138">
        <v>2561.6999999999998</v>
      </c>
      <c r="R3138">
        <v>409.87</v>
      </c>
      <c r="S3138">
        <v>102.47</v>
      </c>
      <c r="T3138">
        <v>2869.1</v>
      </c>
      <c r="V3138" t="s">
        <v>9408</v>
      </c>
      <c r="W3138" t="s">
        <v>423</v>
      </c>
    </row>
    <row r="3139" spans="1:23" hidden="1" x14ac:dyDescent="0.2">
      <c r="A3139">
        <v>2012</v>
      </c>
      <c r="B3139" t="s">
        <v>303</v>
      </c>
      <c r="C3139" s="733">
        <v>40910</v>
      </c>
      <c r="D31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39" t="s">
        <v>478</v>
      </c>
      <c r="F3139" t="s">
        <v>2622</v>
      </c>
      <c r="G3139" t="s">
        <v>3878</v>
      </c>
      <c r="H3139">
        <v>34171</v>
      </c>
      <c r="I3139" t="s">
        <v>423</v>
      </c>
      <c r="J3139" t="s">
        <v>2624</v>
      </c>
      <c r="K3139" t="s">
        <v>2625</v>
      </c>
      <c r="L3139" t="s">
        <v>2626</v>
      </c>
      <c r="M3139">
        <v>10</v>
      </c>
      <c r="N3139">
        <v>25.33</v>
      </c>
      <c r="O3139">
        <v>1203.68</v>
      </c>
      <c r="P3139">
        <v>1354.9825760000001</v>
      </c>
      <c r="Q3139">
        <v>2558.6625760000002</v>
      </c>
      <c r="R3139">
        <v>409.38601199999999</v>
      </c>
      <c r="S3139">
        <v>102.346503</v>
      </c>
      <c r="T3139">
        <v>2865.7020849999999</v>
      </c>
      <c r="U3139" t="s">
        <v>2660</v>
      </c>
      <c r="V3139" t="s">
        <v>9408</v>
      </c>
      <c r="W3139" t="s">
        <v>423</v>
      </c>
    </row>
    <row r="3140" spans="1:23" hidden="1" x14ac:dyDescent="0.2">
      <c r="A3140">
        <v>2012</v>
      </c>
      <c r="B3140" t="s">
        <v>303</v>
      </c>
      <c r="C3140" s="733">
        <v>40918</v>
      </c>
      <c r="D31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40" t="s">
        <v>478</v>
      </c>
      <c r="F3140" t="s">
        <v>2136</v>
      </c>
      <c r="G3140" t="s">
        <v>3889</v>
      </c>
      <c r="H3140">
        <v>34366</v>
      </c>
      <c r="I3140" t="s">
        <v>423</v>
      </c>
      <c r="J3140" t="s">
        <v>2668</v>
      </c>
      <c r="K3140" t="s">
        <v>2625</v>
      </c>
      <c r="L3140" t="s">
        <v>2626</v>
      </c>
      <c r="M3140">
        <v>76</v>
      </c>
      <c r="N3140">
        <v>22.35</v>
      </c>
      <c r="O3140">
        <v>2522.1999999999998</v>
      </c>
      <c r="P3140">
        <v>0</v>
      </c>
      <c r="Q3140">
        <v>2522.1999999999998</v>
      </c>
      <c r="R3140">
        <v>403.55</v>
      </c>
      <c r="S3140">
        <v>100.89</v>
      </c>
      <c r="T3140">
        <v>2824.86</v>
      </c>
      <c r="U3140" t="s">
        <v>2633</v>
      </c>
      <c r="V3140" t="s">
        <v>9408</v>
      </c>
      <c r="W3140" t="s">
        <v>423</v>
      </c>
    </row>
    <row r="3141" spans="1:23" hidden="1" x14ac:dyDescent="0.2">
      <c r="A3141">
        <v>2012</v>
      </c>
      <c r="B3141" t="s">
        <v>303</v>
      </c>
      <c r="C3141" s="733">
        <v>40921</v>
      </c>
      <c r="D31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41" t="s">
        <v>478</v>
      </c>
      <c r="F3141" t="s">
        <v>2136</v>
      </c>
      <c r="G3141" t="s">
        <v>5387</v>
      </c>
      <c r="H3141">
        <v>34455</v>
      </c>
      <c r="I3141" t="s">
        <v>423</v>
      </c>
      <c r="J3141" t="s">
        <v>4778</v>
      </c>
      <c r="K3141" t="s">
        <v>425</v>
      </c>
      <c r="L3141" t="s">
        <v>2145</v>
      </c>
      <c r="M3141">
        <v>652</v>
      </c>
      <c r="N3141">
        <v>23.64</v>
      </c>
      <c r="O3141">
        <v>7401.45</v>
      </c>
      <c r="P3141">
        <v>0</v>
      </c>
      <c r="Q3141">
        <v>7401.45</v>
      </c>
      <c r="R3141">
        <v>1184.23</v>
      </c>
      <c r="S3141">
        <v>296.06</v>
      </c>
      <c r="T3141">
        <v>8289.6200000000008</v>
      </c>
      <c r="U3141" t="s">
        <v>2350</v>
      </c>
      <c r="V3141" t="s">
        <v>9408</v>
      </c>
      <c r="W3141" t="s">
        <v>423</v>
      </c>
    </row>
    <row r="3142" spans="1:23" hidden="1" x14ac:dyDescent="0.2">
      <c r="A3142">
        <v>2012</v>
      </c>
      <c r="B3142" t="s">
        <v>304</v>
      </c>
      <c r="C3142" s="733">
        <v>40956</v>
      </c>
      <c r="D31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42" t="s">
        <v>478</v>
      </c>
      <c r="F3142" t="s">
        <v>2136</v>
      </c>
      <c r="G3142" t="s">
        <v>7797</v>
      </c>
      <c r="H3142">
        <v>35679</v>
      </c>
      <c r="I3142" t="s">
        <v>423</v>
      </c>
      <c r="J3142" t="s">
        <v>4270</v>
      </c>
      <c r="K3142" t="s">
        <v>425</v>
      </c>
      <c r="L3142" t="s">
        <v>2145</v>
      </c>
      <c r="M3142">
        <v>560</v>
      </c>
      <c r="N3142">
        <v>22.22</v>
      </c>
      <c r="O3142">
        <v>7099.29</v>
      </c>
      <c r="P3142">
        <v>0</v>
      </c>
      <c r="Q3142">
        <v>7099.29</v>
      </c>
      <c r="R3142">
        <v>1135.8900000000001</v>
      </c>
      <c r="S3142">
        <v>283.97000000000003</v>
      </c>
      <c r="T3142">
        <v>7951.21</v>
      </c>
      <c r="U3142" t="s">
        <v>8510</v>
      </c>
      <c r="V3142" t="s">
        <v>9408</v>
      </c>
      <c r="W3142" t="s">
        <v>423</v>
      </c>
    </row>
    <row r="3143" spans="1:23" hidden="1" x14ac:dyDescent="0.2">
      <c r="A3143">
        <v>2012</v>
      </c>
      <c r="B3143" t="s">
        <v>303</v>
      </c>
      <c r="C3143" s="733">
        <v>40913</v>
      </c>
      <c r="D31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43" t="s">
        <v>478</v>
      </c>
      <c r="F3143" t="s">
        <v>2136</v>
      </c>
      <c r="G3143" t="s">
        <v>6596</v>
      </c>
      <c r="H3143">
        <v>34231</v>
      </c>
      <c r="I3143" t="s">
        <v>423</v>
      </c>
      <c r="J3143" t="s">
        <v>4270</v>
      </c>
      <c r="K3143" t="s">
        <v>425</v>
      </c>
      <c r="L3143" t="s">
        <v>2145</v>
      </c>
      <c r="M3143">
        <v>560</v>
      </c>
      <c r="N3143">
        <v>26.06</v>
      </c>
      <c r="O3143">
        <v>3505.59</v>
      </c>
      <c r="P3143">
        <v>3946.9087249999998</v>
      </c>
      <c r="Q3143">
        <v>7452.4987250000004</v>
      </c>
      <c r="R3143">
        <v>1192.3997959999999</v>
      </c>
      <c r="S3143">
        <v>298.09994899999998</v>
      </c>
      <c r="T3143">
        <v>8346.7985719999997</v>
      </c>
      <c r="U3143" t="s">
        <v>3323</v>
      </c>
      <c r="V3143" t="s">
        <v>9408</v>
      </c>
      <c r="W3143" t="s">
        <v>423</v>
      </c>
    </row>
    <row r="3144" spans="1:23" hidden="1" x14ac:dyDescent="0.2">
      <c r="A3144">
        <v>2012</v>
      </c>
      <c r="B3144" t="s">
        <v>303</v>
      </c>
      <c r="C3144" s="733">
        <v>40928</v>
      </c>
      <c r="D31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44" t="s">
        <v>478</v>
      </c>
      <c r="F3144" t="s">
        <v>2136</v>
      </c>
      <c r="G3144" t="s">
        <v>5393</v>
      </c>
      <c r="H3144">
        <v>34748</v>
      </c>
      <c r="I3144" t="s">
        <v>423</v>
      </c>
      <c r="J3144" t="s">
        <v>3329</v>
      </c>
      <c r="K3144" t="s">
        <v>425</v>
      </c>
      <c r="L3144" t="s">
        <v>2145</v>
      </c>
      <c r="M3144">
        <v>596</v>
      </c>
      <c r="N3144">
        <v>24</v>
      </c>
      <c r="O3144">
        <v>7788</v>
      </c>
      <c r="P3144">
        <v>0</v>
      </c>
      <c r="Q3144">
        <v>7788</v>
      </c>
      <c r="R3144">
        <v>1246.08</v>
      </c>
      <c r="S3144">
        <v>311.52</v>
      </c>
      <c r="T3144">
        <v>8722.56</v>
      </c>
      <c r="U3144" t="s">
        <v>2355</v>
      </c>
      <c r="V3144" t="s">
        <v>9409</v>
      </c>
      <c r="W3144" t="s">
        <v>423</v>
      </c>
    </row>
    <row r="3145" spans="1:23" hidden="1" x14ac:dyDescent="0.2">
      <c r="A3145">
        <v>2012</v>
      </c>
      <c r="B3145" t="s">
        <v>304</v>
      </c>
      <c r="C3145" s="733">
        <v>40962</v>
      </c>
      <c r="D31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45" t="s">
        <v>478</v>
      </c>
      <c r="F3145" t="s">
        <v>2136</v>
      </c>
      <c r="G3145" t="s">
        <v>8592</v>
      </c>
      <c r="H3145">
        <v>35938</v>
      </c>
      <c r="I3145" t="s">
        <v>423</v>
      </c>
      <c r="J3145" t="s">
        <v>3329</v>
      </c>
      <c r="K3145" t="s">
        <v>425</v>
      </c>
      <c r="L3145" t="s">
        <v>2145</v>
      </c>
      <c r="M3145">
        <v>596</v>
      </c>
      <c r="N3145">
        <v>25.48</v>
      </c>
      <c r="O3145">
        <v>8140.86</v>
      </c>
      <c r="P3145">
        <v>0</v>
      </c>
      <c r="Q3145">
        <v>8140.86</v>
      </c>
      <c r="R3145">
        <v>1302.54</v>
      </c>
      <c r="S3145">
        <v>325.63</v>
      </c>
      <c r="T3145">
        <v>9117.77</v>
      </c>
      <c r="U3145" t="s">
        <v>9457</v>
      </c>
      <c r="V3145" t="s">
        <v>9408</v>
      </c>
      <c r="W3145" t="s">
        <v>423</v>
      </c>
    </row>
    <row r="3146" spans="1:23" hidden="1" x14ac:dyDescent="0.2">
      <c r="A3146">
        <v>2012</v>
      </c>
      <c r="B3146" t="s">
        <v>303</v>
      </c>
      <c r="C3146" s="733">
        <v>40931</v>
      </c>
      <c r="D31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46" t="s">
        <v>505</v>
      </c>
      <c r="F3146" t="s">
        <v>1915</v>
      </c>
      <c r="G3146" t="s">
        <v>6545</v>
      </c>
      <c r="H3146">
        <v>22188</v>
      </c>
      <c r="I3146" t="s">
        <v>423</v>
      </c>
      <c r="J3146" t="s">
        <v>6546</v>
      </c>
      <c r="K3146" t="s">
        <v>1918</v>
      </c>
      <c r="L3146" t="s">
        <v>1919</v>
      </c>
      <c r="M3146">
        <v>413</v>
      </c>
      <c r="N3146">
        <v>20.12</v>
      </c>
      <c r="O3146">
        <v>6357.52</v>
      </c>
      <c r="P3146">
        <v>0</v>
      </c>
      <c r="Q3146">
        <v>6357.52</v>
      </c>
      <c r="R3146">
        <v>1017.2</v>
      </c>
      <c r="S3146">
        <v>254.3</v>
      </c>
      <c r="T3146">
        <v>7120.42</v>
      </c>
      <c r="V3146" t="s">
        <v>9408</v>
      </c>
      <c r="W3146" t="s">
        <v>423</v>
      </c>
    </row>
    <row r="3147" spans="1:23" hidden="1" x14ac:dyDescent="0.2">
      <c r="A3147">
        <v>2012</v>
      </c>
      <c r="B3147" t="s">
        <v>303</v>
      </c>
      <c r="C3147" s="733">
        <v>40915</v>
      </c>
      <c r="D31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47" t="s">
        <v>505</v>
      </c>
      <c r="F3147" t="s">
        <v>1915</v>
      </c>
      <c r="G3147" t="s">
        <v>6544</v>
      </c>
      <c r="H3147">
        <v>21827</v>
      </c>
      <c r="I3147" t="s">
        <v>423</v>
      </c>
      <c r="J3147" t="s">
        <v>5251</v>
      </c>
      <c r="K3147" t="s">
        <v>1918</v>
      </c>
      <c r="L3147" t="s">
        <v>1919</v>
      </c>
      <c r="M3147">
        <v>307</v>
      </c>
      <c r="N3147">
        <v>24.98</v>
      </c>
      <c r="O3147">
        <v>2364.58</v>
      </c>
      <c r="P3147">
        <v>2662.2569760000001</v>
      </c>
      <c r="Q3147">
        <v>5026.8369759999996</v>
      </c>
      <c r="R3147">
        <v>804.29391599999997</v>
      </c>
      <c r="S3147">
        <v>201.07347899999999</v>
      </c>
      <c r="T3147">
        <v>5630.0574130000005</v>
      </c>
      <c r="U3147" t="s">
        <v>1931</v>
      </c>
      <c r="V3147" t="s">
        <v>9408</v>
      </c>
      <c r="W3147" t="s">
        <v>423</v>
      </c>
    </row>
    <row r="3148" spans="1:23" hidden="1" x14ac:dyDescent="0.2">
      <c r="A3148">
        <v>2012</v>
      </c>
      <c r="B3148" t="s">
        <v>305</v>
      </c>
      <c r="C3148" s="733">
        <v>40969</v>
      </c>
      <c r="D3148" s="733" t="str">
        <f>CHOOSE(MONTH(Tabla_sqldatos_bonampakdb_Bon_v_ingresos2012[[#This Row],[fecha_guia]]),"Enero","Febrero","Marzo","Abril","Mayo","Junio","Julio","Agosto","Septiembre","Octubre","Noviembre","Diciembre")</f>
        <v>Marzo</v>
      </c>
      <c r="E3148" t="s">
        <v>505</v>
      </c>
      <c r="F3148" t="s">
        <v>1915</v>
      </c>
      <c r="G3148" t="s">
        <v>9524</v>
      </c>
      <c r="H3148">
        <v>23125</v>
      </c>
      <c r="I3148" t="s">
        <v>423</v>
      </c>
      <c r="J3148" t="s">
        <v>5042</v>
      </c>
      <c r="K3148" t="s">
        <v>1918</v>
      </c>
      <c r="L3148" t="s">
        <v>1919</v>
      </c>
      <c r="M3148">
        <v>29</v>
      </c>
      <c r="N3148">
        <v>26.64</v>
      </c>
      <c r="O3148">
        <v>2572.89</v>
      </c>
      <c r="P3148">
        <v>0</v>
      </c>
      <c r="Q3148">
        <v>2572.89</v>
      </c>
      <c r="R3148">
        <v>411.66</v>
      </c>
      <c r="S3148">
        <v>102.92</v>
      </c>
      <c r="T3148">
        <v>2881.63</v>
      </c>
      <c r="V3148" t="s">
        <v>9408</v>
      </c>
      <c r="W3148" t="s">
        <v>423</v>
      </c>
    </row>
    <row r="3149" spans="1:23" hidden="1" x14ac:dyDescent="0.2">
      <c r="A3149">
        <v>2012</v>
      </c>
      <c r="B3149" t="s">
        <v>304</v>
      </c>
      <c r="C3149" s="733">
        <v>40960</v>
      </c>
      <c r="D31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49" t="s">
        <v>485</v>
      </c>
      <c r="F3149" t="s">
        <v>2065</v>
      </c>
      <c r="G3149" t="s">
        <v>8158</v>
      </c>
      <c r="H3149">
        <v>42235</v>
      </c>
      <c r="I3149" t="s">
        <v>423</v>
      </c>
      <c r="J3149" t="s">
        <v>3204</v>
      </c>
      <c r="K3149" t="s">
        <v>2183</v>
      </c>
      <c r="L3149" t="s">
        <v>2184</v>
      </c>
      <c r="M3149">
        <v>80</v>
      </c>
      <c r="N3149">
        <v>23.43</v>
      </c>
      <c r="O3149">
        <v>2644.54</v>
      </c>
      <c r="P3149">
        <v>0</v>
      </c>
      <c r="Q3149">
        <v>2644.54</v>
      </c>
      <c r="R3149">
        <v>423.13</v>
      </c>
      <c r="S3149">
        <v>105.78</v>
      </c>
      <c r="T3149">
        <v>2961.89</v>
      </c>
      <c r="U3149" t="s">
        <v>9411</v>
      </c>
      <c r="V3149" t="s">
        <v>9409</v>
      </c>
      <c r="W3149" t="s">
        <v>423</v>
      </c>
    </row>
    <row r="3150" spans="1:23" hidden="1" x14ac:dyDescent="0.2">
      <c r="A3150">
        <v>2012</v>
      </c>
      <c r="B3150" t="s">
        <v>303</v>
      </c>
      <c r="C3150" s="733">
        <v>40927</v>
      </c>
      <c r="D31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50" t="s">
        <v>485</v>
      </c>
      <c r="F3150" t="s">
        <v>2065</v>
      </c>
      <c r="G3150" t="s">
        <v>5994</v>
      </c>
      <c r="H3150">
        <v>39898</v>
      </c>
      <c r="I3150" t="s">
        <v>423</v>
      </c>
      <c r="J3150" t="s">
        <v>3419</v>
      </c>
      <c r="K3150" t="s">
        <v>2183</v>
      </c>
      <c r="L3150" t="s">
        <v>2184</v>
      </c>
      <c r="M3150">
        <v>80</v>
      </c>
      <c r="N3150">
        <v>52.82</v>
      </c>
      <c r="O3150">
        <v>5961.79</v>
      </c>
      <c r="P3150">
        <v>0</v>
      </c>
      <c r="Q3150">
        <v>5961.79</v>
      </c>
      <c r="R3150">
        <v>953.89</v>
      </c>
      <c r="S3150">
        <v>238.47</v>
      </c>
      <c r="T3150">
        <v>6677.21</v>
      </c>
      <c r="U3150" t="s">
        <v>9411</v>
      </c>
      <c r="V3150" t="s">
        <v>9409</v>
      </c>
      <c r="W3150" t="s">
        <v>423</v>
      </c>
    </row>
    <row r="3151" spans="1:23" hidden="1" x14ac:dyDescent="0.2">
      <c r="A3151">
        <v>2012</v>
      </c>
      <c r="B3151" t="s">
        <v>304</v>
      </c>
      <c r="C3151" s="733">
        <v>40955</v>
      </c>
      <c r="D31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51" t="s">
        <v>485</v>
      </c>
      <c r="F3151" t="s">
        <v>2065</v>
      </c>
      <c r="G3151" t="s">
        <v>7706</v>
      </c>
      <c r="H3151">
        <v>42030</v>
      </c>
      <c r="I3151" t="s">
        <v>423</v>
      </c>
      <c r="J3151" t="s">
        <v>2345</v>
      </c>
      <c r="K3151" t="s">
        <v>2102</v>
      </c>
      <c r="L3151" t="s">
        <v>2115</v>
      </c>
      <c r="M3151">
        <v>426</v>
      </c>
      <c r="N3151">
        <v>53.31</v>
      </c>
      <c r="O3151">
        <v>17925.490000000002</v>
      </c>
      <c r="P3151">
        <v>0</v>
      </c>
      <c r="Q3151">
        <v>17925.490000000002</v>
      </c>
      <c r="R3151">
        <v>2868.08</v>
      </c>
      <c r="S3151">
        <v>717.02</v>
      </c>
      <c r="T3151">
        <v>20076.55</v>
      </c>
      <c r="V3151" t="s">
        <v>9409</v>
      </c>
      <c r="W3151" t="s">
        <v>423</v>
      </c>
    </row>
    <row r="3152" spans="1:23" hidden="1" x14ac:dyDescent="0.2">
      <c r="A3152">
        <v>2012</v>
      </c>
      <c r="B3152" t="s">
        <v>304</v>
      </c>
      <c r="C3152" s="733">
        <v>40942</v>
      </c>
      <c r="D31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52" t="s">
        <v>485</v>
      </c>
      <c r="F3152" t="s">
        <v>2065</v>
      </c>
      <c r="G3152" t="s">
        <v>4114</v>
      </c>
      <c r="H3152">
        <v>41301</v>
      </c>
      <c r="I3152" t="s">
        <v>423</v>
      </c>
      <c r="J3152" t="s">
        <v>2114</v>
      </c>
      <c r="K3152" t="s">
        <v>2102</v>
      </c>
      <c r="L3152" t="s">
        <v>2115</v>
      </c>
      <c r="M3152">
        <v>500</v>
      </c>
      <c r="N3152">
        <v>54</v>
      </c>
      <c r="O3152">
        <v>18157.5</v>
      </c>
      <c r="P3152">
        <v>0</v>
      </c>
      <c r="Q3152">
        <v>18157.5</v>
      </c>
      <c r="R3152">
        <v>2905.2</v>
      </c>
      <c r="S3152">
        <v>726.3</v>
      </c>
      <c r="T3152">
        <v>20336.400000000001</v>
      </c>
      <c r="U3152" t="s">
        <v>8051</v>
      </c>
      <c r="V3152" t="s">
        <v>9409</v>
      </c>
      <c r="W3152" t="s">
        <v>423</v>
      </c>
    </row>
    <row r="3153" spans="1:23" hidden="1" x14ac:dyDescent="0.2">
      <c r="A3153">
        <v>2012</v>
      </c>
      <c r="B3153" t="s">
        <v>304</v>
      </c>
      <c r="C3153" s="733">
        <v>40941</v>
      </c>
      <c r="D31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53" t="s">
        <v>485</v>
      </c>
      <c r="F3153" t="s">
        <v>2065</v>
      </c>
      <c r="G3153" t="s">
        <v>5993</v>
      </c>
      <c r="H3153">
        <v>41287</v>
      </c>
      <c r="I3153" t="s">
        <v>423</v>
      </c>
      <c r="J3153" t="s">
        <v>3419</v>
      </c>
      <c r="K3153" t="s">
        <v>2183</v>
      </c>
      <c r="L3153" t="s">
        <v>2184</v>
      </c>
      <c r="M3153">
        <v>80</v>
      </c>
      <c r="N3153">
        <v>16.64</v>
      </c>
      <c r="O3153">
        <v>1878.16</v>
      </c>
      <c r="P3153">
        <v>0</v>
      </c>
      <c r="Q3153">
        <v>1878.16</v>
      </c>
      <c r="R3153">
        <v>300.51</v>
      </c>
      <c r="S3153">
        <v>75.13</v>
      </c>
      <c r="T3153">
        <v>2103.54</v>
      </c>
      <c r="U3153" t="s">
        <v>2192</v>
      </c>
      <c r="V3153" t="s">
        <v>9408</v>
      </c>
      <c r="W3153" t="s">
        <v>423</v>
      </c>
    </row>
    <row r="3154" spans="1:23" hidden="1" x14ac:dyDescent="0.2">
      <c r="A3154">
        <v>2012</v>
      </c>
      <c r="B3154" t="s">
        <v>304</v>
      </c>
      <c r="C3154" s="733">
        <v>40960</v>
      </c>
      <c r="D31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54" t="s">
        <v>485</v>
      </c>
      <c r="F3154" t="s">
        <v>2065</v>
      </c>
      <c r="G3154" t="s">
        <v>8179</v>
      </c>
      <c r="H3154">
        <v>42244</v>
      </c>
      <c r="I3154" t="s">
        <v>423</v>
      </c>
      <c r="J3154" t="s">
        <v>2182</v>
      </c>
      <c r="K3154" t="s">
        <v>2183</v>
      </c>
      <c r="L3154" t="s">
        <v>2184</v>
      </c>
      <c r="M3154">
        <v>62</v>
      </c>
      <c r="N3154">
        <v>16.95</v>
      </c>
      <c r="O3154">
        <v>2510.9699999999998</v>
      </c>
      <c r="P3154">
        <v>0</v>
      </c>
      <c r="Q3154">
        <v>2510.9699999999998</v>
      </c>
      <c r="R3154">
        <v>401.76</v>
      </c>
      <c r="S3154">
        <v>100.44</v>
      </c>
      <c r="T3154">
        <v>2812.29</v>
      </c>
      <c r="U3154" t="s">
        <v>9411</v>
      </c>
      <c r="V3154" t="s">
        <v>9408</v>
      </c>
      <c r="W3154" t="s">
        <v>423</v>
      </c>
    </row>
    <row r="3155" spans="1:23" hidden="1" x14ac:dyDescent="0.2">
      <c r="A3155">
        <v>2012</v>
      </c>
      <c r="B3155" t="s">
        <v>303</v>
      </c>
      <c r="C3155" s="733">
        <v>40927</v>
      </c>
      <c r="D31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55" t="s">
        <v>505</v>
      </c>
      <c r="F3155" t="s">
        <v>1915</v>
      </c>
      <c r="G3155" t="s">
        <v>6534</v>
      </c>
      <c r="H3155">
        <v>22016</v>
      </c>
      <c r="I3155" t="s">
        <v>423</v>
      </c>
      <c r="J3155" t="s">
        <v>4155</v>
      </c>
      <c r="K3155" t="s">
        <v>1918</v>
      </c>
      <c r="L3155" t="s">
        <v>1919</v>
      </c>
      <c r="M3155">
        <v>650</v>
      </c>
      <c r="N3155">
        <v>51.99</v>
      </c>
      <c r="O3155">
        <v>22358.3</v>
      </c>
      <c r="P3155">
        <v>0</v>
      </c>
      <c r="Q3155">
        <v>22358.3</v>
      </c>
      <c r="R3155">
        <v>3577.33</v>
      </c>
      <c r="S3155">
        <v>894.33</v>
      </c>
      <c r="T3155">
        <v>25041.3</v>
      </c>
      <c r="U3155" t="s">
        <v>1928</v>
      </c>
      <c r="V3155" t="s">
        <v>9409</v>
      </c>
      <c r="W3155" t="s">
        <v>423</v>
      </c>
    </row>
    <row r="3156" spans="1:23" hidden="1" x14ac:dyDescent="0.2">
      <c r="A3156">
        <v>2012</v>
      </c>
      <c r="B3156" t="s">
        <v>304</v>
      </c>
      <c r="C3156" s="733">
        <v>40960</v>
      </c>
      <c r="D31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56" t="s">
        <v>485</v>
      </c>
      <c r="F3156" t="s">
        <v>2065</v>
      </c>
      <c r="G3156" t="s">
        <v>7506</v>
      </c>
      <c r="H3156">
        <v>41978</v>
      </c>
      <c r="I3156" t="s">
        <v>423</v>
      </c>
      <c r="J3156" t="s">
        <v>3204</v>
      </c>
      <c r="K3156" t="s">
        <v>2183</v>
      </c>
      <c r="L3156" t="s">
        <v>2184</v>
      </c>
      <c r="M3156">
        <v>80</v>
      </c>
      <c r="N3156">
        <v>15.96</v>
      </c>
      <c r="O3156">
        <v>2364.31</v>
      </c>
      <c r="P3156">
        <v>0</v>
      </c>
      <c r="Q3156">
        <v>2364.31</v>
      </c>
      <c r="R3156">
        <v>378.29</v>
      </c>
      <c r="S3156">
        <v>94.57</v>
      </c>
      <c r="T3156">
        <v>2648.03</v>
      </c>
      <c r="U3156" t="s">
        <v>9411</v>
      </c>
      <c r="V3156" t="s">
        <v>9408</v>
      </c>
      <c r="W3156" t="s">
        <v>423</v>
      </c>
    </row>
    <row r="3157" spans="1:23" hidden="1" x14ac:dyDescent="0.2">
      <c r="A3157">
        <v>2012</v>
      </c>
      <c r="B3157" t="s">
        <v>303</v>
      </c>
      <c r="C3157" s="733">
        <v>40921</v>
      </c>
      <c r="D31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57" t="s">
        <v>485</v>
      </c>
      <c r="F3157" t="s">
        <v>2065</v>
      </c>
      <c r="G3157" t="s">
        <v>5762</v>
      </c>
      <c r="H3157">
        <v>40167</v>
      </c>
      <c r="I3157" t="s">
        <v>423</v>
      </c>
      <c r="J3157" t="s">
        <v>3147</v>
      </c>
      <c r="K3157" t="s">
        <v>2183</v>
      </c>
      <c r="L3157" t="s">
        <v>2184</v>
      </c>
      <c r="M3157">
        <v>528</v>
      </c>
      <c r="N3157">
        <v>52.91</v>
      </c>
      <c r="O3157">
        <v>16380.94</v>
      </c>
      <c r="P3157">
        <v>0</v>
      </c>
      <c r="Q3157">
        <v>16380.94</v>
      </c>
      <c r="R3157">
        <v>2620.9499999999998</v>
      </c>
      <c r="S3157">
        <v>655.24</v>
      </c>
      <c r="T3157">
        <v>18346.650000000001</v>
      </c>
      <c r="U3157" t="s">
        <v>7520</v>
      </c>
      <c r="V3157" t="s">
        <v>9409</v>
      </c>
      <c r="W3157" t="s">
        <v>423</v>
      </c>
    </row>
    <row r="3158" spans="1:23" hidden="1" x14ac:dyDescent="0.2">
      <c r="A3158">
        <v>2012</v>
      </c>
      <c r="B3158" t="s">
        <v>304</v>
      </c>
      <c r="C3158" s="733">
        <v>40960</v>
      </c>
      <c r="D31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58" t="s">
        <v>485</v>
      </c>
      <c r="F3158" t="s">
        <v>2065</v>
      </c>
      <c r="G3158" t="s">
        <v>8205</v>
      </c>
      <c r="H3158">
        <v>41921</v>
      </c>
      <c r="I3158" t="s">
        <v>423</v>
      </c>
      <c r="J3158" t="s">
        <v>3204</v>
      </c>
      <c r="K3158" t="s">
        <v>2183</v>
      </c>
      <c r="L3158" t="s">
        <v>2184</v>
      </c>
      <c r="M3158">
        <v>80</v>
      </c>
      <c r="N3158">
        <v>16.02</v>
      </c>
      <c r="O3158">
        <v>1808.18</v>
      </c>
      <c r="P3158">
        <v>0</v>
      </c>
      <c r="Q3158">
        <v>1808.18</v>
      </c>
      <c r="R3158">
        <v>289.31</v>
      </c>
      <c r="S3158">
        <v>72.33</v>
      </c>
      <c r="T3158">
        <v>2025.16</v>
      </c>
      <c r="U3158" t="s">
        <v>9411</v>
      </c>
      <c r="V3158" t="s">
        <v>9408</v>
      </c>
      <c r="W3158" t="s">
        <v>423</v>
      </c>
    </row>
    <row r="3159" spans="1:23" hidden="1" x14ac:dyDescent="0.2">
      <c r="A3159">
        <v>2012</v>
      </c>
      <c r="B3159" t="s">
        <v>303</v>
      </c>
      <c r="C3159" s="733">
        <v>40913</v>
      </c>
      <c r="D31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59" t="s">
        <v>485</v>
      </c>
      <c r="F3159" t="s">
        <v>2065</v>
      </c>
      <c r="G3159" t="s">
        <v>6000</v>
      </c>
      <c r="H3159">
        <v>39052</v>
      </c>
      <c r="I3159" t="s">
        <v>423</v>
      </c>
      <c r="J3159" t="s">
        <v>3204</v>
      </c>
      <c r="K3159" t="s">
        <v>2183</v>
      </c>
      <c r="L3159" t="s">
        <v>2184</v>
      </c>
      <c r="M3159">
        <v>80</v>
      </c>
      <c r="N3159">
        <v>11.3</v>
      </c>
      <c r="O3159">
        <v>536.98</v>
      </c>
      <c r="P3159">
        <v>604.58041200000002</v>
      </c>
      <c r="Q3159">
        <v>1141.560412</v>
      </c>
      <c r="R3159">
        <v>182.649666</v>
      </c>
      <c r="S3159">
        <v>45.662416</v>
      </c>
      <c r="T3159">
        <v>1278.5476619999999</v>
      </c>
      <c r="V3159" t="s">
        <v>9409</v>
      </c>
      <c r="W3159" t="s">
        <v>423</v>
      </c>
    </row>
    <row r="3160" spans="1:23" hidden="1" x14ac:dyDescent="0.2">
      <c r="A3160">
        <v>2012</v>
      </c>
      <c r="B3160" t="s">
        <v>303</v>
      </c>
      <c r="C3160" s="733">
        <v>40921</v>
      </c>
      <c r="D31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60" t="s">
        <v>505</v>
      </c>
      <c r="F3160" t="s">
        <v>1915</v>
      </c>
      <c r="G3160" t="s">
        <v>6525</v>
      </c>
      <c r="H3160">
        <v>21887</v>
      </c>
      <c r="I3160" t="s">
        <v>423</v>
      </c>
      <c r="J3160" t="s">
        <v>1945</v>
      </c>
      <c r="K3160" t="s">
        <v>1918</v>
      </c>
      <c r="L3160" t="s">
        <v>1919</v>
      </c>
      <c r="M3160">
        <v>949</v>
      </c>
      <c r="N3160">
        <v>25.12</v>
      </c>
      <c r="O3160">
        <v>14669.08</v>
      </c>
      <c r="P3160">
        <v>0</v>
      </c>
      <c r="Q3160">
        <v>14669.08</v>
      </c>
      <c r="R3160">
        <v>2347.0500000000002</v>
      </c>
      <c r="S3160">
        <v>586.76</v>
      </c>
      <c r="T3160">
        <v>16429.37</v>
      </c>
      <c r="U3160" t="s">
        <v>1931</v>
      </c>
      <c r="V3160" t="s">
        <v>9408</v>
      </c>
      <c r="W3160" t="s">
        <v>423</v>
      </c>
    </row>
    <row r="3161" spans="1:23" hidden="1" x14ac:dyDescent="0.2">
      <c r="A3161">
        <v>2012</v>
      </c>
      <c r="B3161" t="s">
        <v>304</v>
      </c>
      <c r="C3161" s="733">
        <v>40942.661898148152</v>
      </c>
      <c r="D31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61" t="s">
        <v>505</v>
      </c>
      <c r="F3161" t="s">
        <v>1915</v>
      </c>
      <c r="G3161" t="s">
        <v>6524</v>
      </c>
      <c r="H3161">
        <v>22479</v>
      </c>
      <c r="I3161" t="s">
        <v>423</v>
      </c>
      <c r="J3161" t="s">
        <v>3207</v>
      </c>
      <c r="K3161" t="s">
        <v>1918</v>
      </c>
      <c r="L3161" t="s">
        <v>1919</v>
      </c>
      <c r="M3161">
        <v>334</v>
      </c>
      <c r="N3161">
        <v>49.69</v>
      </c>
      <c r="O3161">
        <v>13721.4</v>
      </c>
      <c r="P3161">
        <v>0</v>
      </c>
      <c r="Q3161">
        <v>13721.4</v>
      </c>
      <c r="R3161">
        <v>2195.42</v>
      </c>
      <c r="S3161">
        <v>548.86</v>
      </c>
      <c r="T3161">
        <v>15367.96</v>
      </c>
      <c r="U3161" t="s">
        <v>1924</v>
      </c>
      <c r="V3161" t="s">
        <v>9409</v>
      </c>
      <c r="W3161" t="s">
        <v>423</v>
      </c>
    </row>
    <row r="3162" spans="1:23" hidden="1" x14ac:dyDescent="0.2">
      <c r="A3162">
        <v>2012</v>
      </c>
      <c r="B3162" t="s">
        <v>303</v>
      </c>
      <c r="C3162" s="733">
        <v>40934</v>
      </c>
      <c r="D31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62" t="s">
        <v>505</v>
      </c>
      <c r="F3162" t="s">
        <v>1915</v>
      </c>
      <c r="G3162" t="s">
        <v>6531</v>
      </c>
      <c r="H3162">
        <v>22243</v>
      </c>
      <c r="I3162" t="s">
        <v>423</v>
      </c>
      <c r="J3162" t="s">
        <v>3207</v>
      </c>
      <c r="K3162" t="s">
        <v>1918</v>
      </c>
      <c r="L3162" t="s">
        <v>1919</v>
      </c>
      <c r="M3162">
        <v>334</v>
      </c>
      <c r="N3162">
        <v>50.22</v>
      </c>
      <c r="O3162">
        <v>13867.75</v>
      </c>
      <c r="P3162">
        <v>0</v>
      </c>
      <c r="Q3162">
        <v>13867.75</v>
      </c>
      <c r="R3162">
        <v>2218.84</v>
      </c>
      <c r="S3162">
        <v>554.71</v>
      </c>
      <c r="T3162">
        <v>15531.88</v>
      </c>
      <c r="U3162" t="s">
        <v>1926</v>
      </c>
      <c r="V3162" t="s">
        <v>9409</v>
      </c>
      <c r="W3162" t="s">
        <v>423</v>
      </c>
    </row>
    <row r="3163" spans="1:23" hidden="1" x14ac:dyDescent="0.2">
      <c r="A3163">
        <v>2012</v>
      </c>
      <c r="B3163" t="s">
        <v>304</v>
      </c>
      <c r="C3163" s="733">
        <v>40952.584583333337</v>
      </c>
      <c r="D31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63" t="s">
        <v>478</v>
      </c>
      <c r="F3163" t="s">
        <v>3787</v>
      </c>
      <c r="G3163" t="s">
        <v>5779</v>
      </c>
      <c r="H3163">
        <v>35547</v>
      </c>
      <c r="I3163" t="s">
        <v>423</v>
      </c>
      <c r="J3163" t="s">
        <v>3797</v>
      </c>
      <c r="K3163" t="s">
        <v>3481</v>
      </c>
      <c r="L3163" t="s">
        <v>3482</v>
      </c>
      <c r="M3163">
        <v>266</v>
      </c>
      <c r="N3163">
        <v>28.8</v>
      </c>
      <c r="O3163">
        <v>6431.62</v>
      </c>
      <c r="P3163">
        <v>0</v>
      </c>
      <c r="Q3163">
        <v>6431.62</v>
      </c>
      <c r="R3163">
        <v>1029.06</v>
      </c>
      <c r="S3163">
        <v>257.26</v>
      </c>
      <c r="T3163">
        <v>7203.42</v>
      </c>
      <c r="U3163" t="s">
        <v>3483</v>
      </c>
      <c r="V3163" t="s">
        <v>9408</v>
      </c>
      <c r="W3163" t="s">
        <v>423</v>
      </c>
    </row>
    <row r="3164" spans="1:23" hidden="1" x14ac:dyDescent="0.2">
      <c r="A3164">
        <v>2012</v>
      </c>
      <c r="B3164" t="s">
        <v>303</v>
      </c>
      <c r="C3164" s="733">
        <v>40939</v>
      </c>
      <c r="D31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64" t="s">
        <v>485</v>
      </c>
      <c r="F3164" t="s">
        <v>2065</v>
      </c>
      <c r="G3164" t="s">
        <v>5760</v>
      </c>
      <c r="H3164">
        <v>41166</v>
      </c>
      <c r="I3164" t="s">
        <v>423</v>
      </c>
      <c r="J3164" t="s">
        <v>2182</v>
      </c>
      <c r="K3164" t="s">
        <v>2183</v>
      </c>
      <c r="L3164" t="s">
        <v>2184</v>
      </c>
      <c r="M3164">
        <v>62</v>
      </c>
      <c r="N3164">
        <v>15.51</v>
      </c>
      <c r="O3164">
        <v>2297.65</v>
      </c>
      <c r="P3164">
        <v>0</v>
      </c>
      <c r="Q3164">
        <v>2297.65</v>
      </c>
      <c r="R3164">
        <v>367.62</v>
      </c>
      <c r="S3164">
        <v>91.91</v>
      </c>
      <c r="T3164">
        <v>2573.36</v>
      </c>
      <c r="U3164" t="s">
        <v>2192</v>
      </c>
      <c r="V3164" t="s">
        <v>9408</v>
      </c>
      <c r="W3164" t="s">
        <v>423</v>
      </c>
    </row>
    <row r="3165" spans="1:23" hidden="1" x14ac:dyDescent="0.2">
      <c r="A3165">
        <v>2012</v>
      </c>
      <c r="B3165" t="s">
        <v>304</v>
      </c>
      <c r="C3165" s="733">
        <v>40940</v>
      </c>
      <c r="D31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65" t="s">
        <v>485</v>
      </c>
      <c r="F3165" t="s">
        <v>2065</v>
      </c>
      <c r="G3165" t="s">
        <v>5413</v>
      </c>
      <c r="H3165">
        <v>40111</v>
      </c>
      <c r="I3165" t="s">
        <v>423</v>
      </c>
      <c r="J3165" t="s">
        <v>2182</v>
      </c>
      <c r="K3165" t="s">
        <v>2183</v>
      </c>
      <c r="L3165" t="s">
        <v>2184</v>
      </c>
      <c r="M3165">
        <v>62</v>
      </c>
      <c r="N3165">
        <v>15.03</v>
      </c>
      <c r="O3165">
        <v>2226.54</v>
      </c>
      <c r="P3165">
        <v>0</v>
      </c>
      <c r="Q3165">
        <v>2226.54</v>
      </c>
      <c r="R3165">
        <v>356.25</v>
      </c>
      <c r="S3165">
        <v>89.06</v>
      </c>
      <c r="T3165">
        <v>2493.73</v>
      </c>
      <c r="U3165" t="s">
        <v>2187</v>
      </c>
      <c r="V3165" t="s">
        <v>9408</v>
      </c>
      <c r="W3165" t="s">
        <v>423</v>
      </c>
    </row>
    <row r="3166" spans="1:23" hidden="1" x14ac:dyDescent="0.2">
      <c r="A3166">
        <v>2012</v>
      </c>
      <c r="B3166" t="s">
        <v>304</v>
      </c>
      <c r="C3166" s="733">
        <v>40940</v>
      </c>
      <c r="D31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66" t="s">
        <v>485</v>
      </c>
      <c r="F3166" t="s">
        <v>2065</v>
      </c>
      <c r="G3166" t="s">
        <v>5414</v>
      </c>
      <c r="H3166">
        <v>39894</v>
      </c>
      <c r="I3166" t="s">
        <v>423</v>
      </c>
      <c r="J3166" t="s">
        <v>2182</v>
      </c>
      <c r="K3166" t="s">
        <v>2183</v>
      </c>
      <c r="L3166" t="s">
        <v>2184</v>
      </c>
      <c r="M3166">
        <v>62</v>
      </c>
      <c r="N3166">
        <v>25.13</v>
      </c>
      <c r="O3166">
        <v>3722.76</v>
      </c>
      <c r="P3166">
        <v>0</v>
      </c>
      <c r="Q3166">
        <v>3722.76</v>
      </c>
      <c r="R3166">
        <v>595.64</v>
      </c>
      <c r="S3166">
        <v>148.91</v>
      </c>
      <c r="T3166">
        <v>4169.49</v>
      </c>
      <c r="U3166" t="s">
        <v>2187</v>
      </c>
      <c r="V3166" t="s">
        <v>9409</v>
      </c>
      <c r="W3166" t="s">
        <v>423</v>
      </c>
    </row>
    <row r="3167" spans="1:23" hidden="1" x14ac:dyDescent="0.2">
      <c r="A3167">
        <v>2012</v>
      </c>
      <c r="B3167" t="s">
        <v>304</v>
      </c>
      <c r="C3167" s="733">
        <v>40962</v>
      </c>
      <c r="D31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67" t="s">
        <v>485</v>
      </c>
      <c r="F3167" t="s">
        <v>2065</v>
      </c>
      <c r="G3167" t="s">
        <v>8585</v>
      </c>
      <c r="H3167">
        <v>42350</v>
      </c>
      <c r="I3167" t="s">
        <v>423</v>
      </c>
      <c r="J3167" t="s">
        <v>2182</v>
      </c>
      <c r="K3167" t="s">
        <v>2183</v>
      </c>
      <c r="L3167" t="s">
        <v>2184</v>
      </c>
      <c r="M3167">
        <v>62</v>
      </c>
      <c r="N3167">
        <v>25.52</v>
      </c>
      <c r="O3167">
        <v>3780.53</v>
      </c>
      <c r="P3167">
        <v>0</v>
      </c>
      <c r="Q3167">
        <v>3780.53</v>
      </c>
      <c r="R3167">
        <v>604.89</v>
      </c>
      <c r="S3167">
        <v>151.22</v>
      </c>
      <c r="T3167">
        <v>4234.2</v>
      </c>
      <c r="U3167" t="s">
        <v>9411</v>
      </c>
      <c r="V3167" t="s">
        <v>9409</v>
      </c>
      <c r="W3167" t="s">
        <v>423</v>
      </c>
    </row>
    <row r="3168" spans="1:23" hidden="1" x14ac:dyDescent="0.2">
      <c r="A3168">
        <v>2012</v>
      </c>
      <c r="B3168" t="s">
        <v>303</v>
      </c>
      <c r="C3168" s="733">
        <v>40910</v>
      </c>
      <c r="D31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68" t="s">
        <v>505</v>
      </c>
      <c r="F3168" t="s">
        <v>1915</v>
      </c>
      <c r="G3168" t="s">
        <v>5041</v>
      </c>
      <c r="H3168">
        <v>21629</v>
      </c>
      <c r="I3168" t="s">
        <v>423</v>
      </c>
      <c r="J3168" t="s">
        <v>5042</v>
      </c>
      <c r="K3168" t="s">
        <v>1918</v>
      </c>
      <c r="L3168" t="s">
        <v>1919</v>
      </c>
      <c r="M3168">
        <v>29</v>
      </c>
      <c r="N3168">
        <v>26.66</v>
      </c>
      <c r="O3168">
        <v>1083.94</v>
      </c>
      <c r="P3168">
        <v>1220.397207</v>
      </c>
      <c r="Q3168">
        <v>2304.337207</v>
      </c>
      <c r="R3168">
        <v>368.69395300000002</v>
      </c>
      <c r="S3168">
        <v>92.173488000000006</v>
      </c>
      <c r="T3168">
        <v>2580.8576720000001</v>
      </c>
      <c r="U3168" t="s">
        <v>1984</v>
      </c>
      <c r="V3168" t="s">
        <v>9408</v>
      </c>
      <c r="W3168" t="s">
        <v>423</v>
      </c>
    </row>
    <row r="3169" spans="1:23" hidden="1" x14ac:dyDescent="0.2">
      <c r="A3169">
        <v>2012</v>
      </c>
      <c r="B3169" t="s">
        <v>303</v>
      </c>
      <c r="C3169" s="733">
        <v>40926</v>
      </c>
      <c r="D31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69" t="s">
        <v>485</v>
      </c>
      <c r="F3169" t="s">
        <v>2065</v>
      </c>
      <c r="G3169" t="s">
        <v>3739</v>
      </c>
      <c r="H3169">
        <v>40419</v>
      </c>
      <c r="I3169" t="s">
        <v>423</v>
      </c>
      <c r="J3169" t="s">
        <v>2114</v>
      </c>
      <c r="K3169" t="s">
        <v>2102</v>
      </c>
      <c r="L3169" t="s">
        <v>2115</v>
      </c>
      <c r="M3169">
        <v>500</v>
      </c>
      <c r="N3169">
        <v>25.99</v>
      </c>
      <c r="O3169">
        <v>8739.14</v>
      </c>
      <c r="P3169">
        <v>0</v>
      </c>
      <c r="Q3169">
        <v>8739.14</v>
      </c>
      <c r="R3169">
        <v>1398.26</v>
      </c>
      <c r="S3169">
        <v>349.57</v>
      </c>
      <c r="T3169">
        <v>9787.83</v>
      </c>
      <c r="U3169" t="s">
        <v>2106</v>
      </c>
      <c r="V3169" t="s">
        <v>9408</v>
      </c>
      <c r="W3169" t="s">
        <v>423</v>
      </c>
    </row>
    <row r="3170" spans="1:23" hidden="1" x14ac:dyDescent="0.2">
      <c r="A3170">
        <v>2012</v>
      </c>
      <c r="B3170" t="s">
        <v>304</v>
      </c>
      <c r="C3170" s="733">
        <v>40953</v>
      </c>
      <c r="D31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70" t="s">
        <v>485</v>
      </c>
      <c r="F3170" t="s">
        <v>2065</v>
      </c>
      <c r="G3170" t="s">
        <v>3720</v>
      </c>
      <c r="H3170">
        <v>41903</v>
      </c>
      <c r="I3170" t="s">
        <v>424</v>
      </c>
      <c r="J3170" t="s">
        <v>2114</v>
      </c>
      <c r="K3170" t="s">
        <v>2102</v>
      </c>
      <c r="L3170" t="s">
        <v>2115</v>
      </c>
      <c r="M3170">
        <v>500</v>
      </c>
      <c r="N3170">
        <v>54</v>
      </c>
      <c r="O3170">
        <v>10009.44</v>
      </c>
      <c r="P3170">
        <v>0</v>
      </c>
      <c r="Q3170">
        <v>10009.44</v>
      </c>
      <c r="R3170">
        <v>1601.51</v>
      </c>
      <c r="S3170">
        <v>400.38</v>
      </c>
      <c r="T3170">
        <v>11210.57</v>
      </c>
      <c r="U3170" t="s">
        <v>8262</v>
      </c>
      <c r="V3170" t="s">
        <v>9409</v>
      </c>
      <c r="W3170" t="s">
        <v>424</v>
      </c>
    </row>
    <row r="3171" spans="1:23" hidden="1" x14ac:dyDescent="0.2">
      <c r="A3171">
        <v>2012</v>
      </c>
      <c r="B3171" t="s">
        <v>303</v>
      </c>
      <c r="C3171" s="733">
        <v>40918</v>
      </c>
      <c r="D31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71" t="s">
        <v>485</v>
      </c>
      <c r="F3171" t="s">
        <v>2065</v>
      </c>
      <c r="G3171" t="s">
        <v>5483</v>
      </c>
      <c r="H3171">
        <v>40020</v>
      </c>
      <c r="I3171" t="s">
        <v>423</v>
      </c>
      <c r="J3171" t="s">
        <v>2135</v>
      </c>
      <c r="K3171" t="s">
        <v>2102</v>
      </c>
      <c r="L3171" t="s">
        <v>2115</v>
      </c>
      <c r="M3171">
        <v>494</v>
      </c>
      <c r="N3171">
        <v>51</v>
      </c>
      <c r="O3171">
        <v>17148.75</v>
      </c>
      <c r="P3171">
        <v>0</v>
      </c>
      <c r="Q3171">
        <v>17148.75</v>
      </c>
      <c r="R3171">
        <v>2743.8</v>
      </c>
      <c r="S3171">
        <v>685.95</v>
      </c>
      <c r="T3171">
        <v>19206.599999999999</v>
      </c>
      <c r="U3171" t="s">
        <v>2106</v>
      </c>
      <c r="V3171" t="s">
        <v>9409</v>
      </c>
      <c r="W3171" t="s">
        <v>423</v>
      </c>
    </row>
    <row r="3172" spans="1:23" hidden="1" x14ac:dyDescent="0.2">
      <c r="A3172">
        <v>2012</v>
      </c>
      <c r="B3172" t="s">
        <v>304</v>
      </c>
      <c r="C3172" s="733">
        <v>40948</v>
      </c>
      <c r="D31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72" t="s">
        <v>485</v>
      </c>
      <c r="F3172" t="s">
        <v>2065</v>
      </c>
      <c r="G3172" t="s">
        <v>5482</v>
      </c>
      <c r="H3172">
        <v>41395</v>
      </c>
      <c r="I3172" t="s">
        <v>423</v>
      </c>
      <c r="J3172" t="s">
        <v>2135</v>
      </c>
      <c r="K3172" t="s">
        <v>2102</v>
      </c>
      <c r="L3172" t="s">
        <v>2115</v>
      </c>
      <c r="M3172">
        <v>494</v>
      </c>
      <c r="N3172">
        <v>51.15</v>
      </c>
      <c r="O3172">
        <v>17199.189999999999</v>
      </c>
      <c r="P3172">
        <v>0</v>
      </c>
      <c r="Q3172">
        <v>17199.189999999999</v>
      </c>
      <c r="R3172">
        <v>2751.87</v>
      </c>
      <c r="S3172">
        <v>687.97</v>
      </c>
      <c r="T3172">
        <v>19263.09</v>
      </c>
      <c r="U3172" t="s">
        <v>7462</v>
      </c>
      <c r="V3172" t="s">
        <v>9409</v>
      </c>
      <c r="W3172" t="s">
        <v>423</v>
      </c>
    </row>
    <row r="3173" spans="1:23" hidden="1" x14ac:dyDescent="0.2">
      <c r="A3173">
        <v>2012</v>
      </c>
      <c r="B3173" t="s">
        <v>304</v>
      </c>
      <c r="C3173" s="733">
        <v>40942</v>
      </c>
      <c r="D31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73" t="s">
        <v>505</v>
      </c>
      <c r="F3173" t="s">
        <v>1915</v>
      </c>
      <c r="G3173" t="s">
        <v>4752</v>
      </c>
      <c r="H3173">
        <v>22448</v>
      </c>
      <c r="I3173" t="s">
        <v>423</v>
      </c>
      <c r="J3173" t="s">
        <v>3207</v>
      </c>
      <c r="K3173" t="s">
        <v>1918</v>
      </c>
      <c r="L3173" t="s">
        <v>1919</v>
      </c>
      <c r="M3173">
        <v>334</v>
      </c>
      <c r="N3173">
        <v>24.98</v>
      </c>
      <c r="O3173">
        <v>6897.98</v>
      </c>
      <c r="P3173">
        <v>0</v>
      </c>
      <c r="Q3173">
        <v>6897.98</v>
      </c>
      <c r="R3173">
        <v>1103.68</v>
      </c>
      <c r="S3173">
        <v>275.92</v>
      </c>
      <c r="T3173">
        <v>7725.74</v>
      </c>
      <c r="U3173" t="s">
        <v>1924</v>
      </c>
      <c r="V3173" t="s">
        <v>9408</v>
      </c>
      <c r="W3173" t="s">
        <v>423</v>
      </c>
    </row>
    <row r="3174" spans="1:23" hidden="1" x14ac:dyDescent="0.2">
      <c r="A3174">
        <v>2012</v>
      </c>
      <c r="B3174" t="s">
        <v>304</v>
      </c>
      <c r="C3174" s="733">
        <v>40955.450752314813</v>
      </c>
      <c r="D31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74" t="s">
        <v>485</v>
      </c>
      <c r="F3174" t="s">
        <v>2065</v>
      </c>
      <c r="G3174" t="s">
        <v>7537</v>
      </c>
      <c r="H3174">
        <v>42067</v>
      </c>
      <c r="I3174" t="s">
        <v>423</v>
      </c>
      <c r="J3174" t="s">
        <v>3419</v>
      </c>
      <c r="K3174" t="s">
        <v>2183</v>
      </c>
      <c r="L3174" t="s">
        <v>2184</v>
      </c>
      <c r="M3174">
        <v>80</v>
      </c>
      <c r="N3174">
        <v>16.12</v>
      </c>
      <c r="O3174">
        <v>1819.46</v>
      </c>
      <c r="P3174">
        <v>0</v>
      </c>
      <c r="Q3174">
        <v>1819.46</v>
      </c>
      <c r="R3174">
        <v>291.11</v>
      </c>
      <c r="S3174">
        <v>72.78</v>
      </c>
      <c r="T3174">
        <v>2037.79</v>
      </c>
      <c r="U3174" t="s">
        <v>8048</v>
      </c>
      <c r="V3174" t="s">
        <v>9408</v>
      </c>
      <c r="W3174" t="s">
        <v>423</v>
      </c>
    </row>
    <row r="3175" spans="1:23" hidden="1" x14ac:dyDescent="0.2">
      <c r="A3175">
        <v>2012</v>
      </c>
      <c r="B3175" t="s">
        <v>303</v>
      </c>
      <c r="C3175" s="733">
        <v>40927</v>
      </c>
      <c r="D31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75" t="s">
        <v>485</v>
      </c>
      <c r="F3175" t="s">
        <v>2065</v>
      </c>
      <c r="G3175" t="s">
        <v>4512</v>
      </c>
      <c r="H3175">
        <v>39789</v>
      </c>
      <c r="I3175" t="s">
        <v>423</v>
      </c>
      <c r="J3175" t="s">
        <v>3419</v>
      </c>
      <c r="K3175" t="s">
        <v>2183</v>
      </c>
      <c r="L3175" t="s">
        <v>2184</v>
      </c>
      <c r="M3175">
        <v>80</v>
      </c>
      <c r="N3175">
        <v>53.04</v>
      </c>
      <c r="O3175">
        <v>5986.62</v>
      </c>
      <c r="P3175">
        <v>0</v>
      </c>
      <c r="Q3175">
        <v>5986.62</v>
      </c>
      <c r="R3175">
        <v>957.86</v>
      </c>
      <c r="S3175">
        <v>239.46</v>
      </c>
      <c r="T3175">
        <v>6705.02</v>
      </c>
      <c r="V3175" t="s">
        <v>9409</v>
      </c>
      <c r="W3175" t="s">
        <v>423</v>
      </c>
    </row>
    <row r="3176" spans="1:23" hidden="1" x14ac:dyDescent="0.2">
      <c r="A3176">
        <v>2012</v>
      </c>
      <c r="B3176" t="s">
        <v>304</v>
      </c>
      <c r="C3176" s="733">
        <v>40941</v>
      </c>
      <c r="D31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76" t="s">
        <v>485</v>
      </c>
      <c r="F3176" t="s">
        <v>2065</v>
      </c>
      <c r="G3176" t="s">
        <v>3727</v>
      </c>
      <c r="H3176">
        <v>39781</v>
      </c>
      <c r="I3176" t="s">
        <v>423</v>
      </c>
      <c r="J3176" t="s">
        <v>2114</v>
      </c>
      <c r="K3176" t="s">
        <v>2102</v>
      </c>
      <c r="L3176" t="s">
        <v>2115</v>
      </c>
      <c r="M3176">
        <v>500</v>
      </c>
      <c r="N3176">
        <v>52.66</v>
      </c>
      <c r="O3176">
        <v>17706.919999999998</v>
      </c>
      <c r="P3176">
        <v>0</v>
      </c>
      <c r="Q3176">
        <v>17706.919999999998</v>
      </c>
      <c r="R3176">
        <v>2833.11</v>
      </c>
      <c r="S3176">
        <v>708.28</v>
      </c>
      <c r="T3176">
        <v>19831.75</v>
      </c>
      <c r="V3176" t="s">
        <v>9409</v>
      </c>
      <c r="W3176" t="s">
        <v>423</v>
      </c>
    </row>
    <row r="3177" spans="1:23" hidden="1" x14ac:dyDescent="0.2">
      <c r="A3177">
        <v>2012</v>
      </c>
      <c r="B3177" t="s">
        <v>304</v>
      </c>
      <c r="C3177" s="733">
        <v>40963</v>
      </c>
      <c r="D31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77" t="s">
        <v>485</v>
      </c>
      <c r="F3177" t="s">
        <v>2065</v>
      </c>
      <c r="G3177" t="s">
        <v>8587</v>
      </c>
      <c r="H3177">
        <v>42550</v>
      </c>
      <c r="I3177" t="s">
        <v>423</v>
      </c>
      <c r="J3177" t="s">
        <v>2182</v>
      </c>
      <c r="K3177" t="s">
        <v>2183</v>
      </c>
      <c r="L3177" t="s">
        <v>2184</v>
      </c>
      <c r="M3177">
        <v>62</v>
      </c>
      <c r="N3177">
        <v>15.4</v>
      </c>
      <c r="O3177">
        <v>2281.36</v>
      </c>
      <c r="P3177">
        <v>0</v>
      </c>
      <c r="Q3177">
        <v>2281.36</v>
      </c>
      <c r="R3177">
        <v>365.02</v>
      </c>
      <c r="S3177">
        <v>91.25</v>
      </c>
      <c r="T3177">
        <v>2555.13</v>
      </c>
      <c r="U3177" t="s">
        <v>9411</v>
      </c>
      <c r="V3177" t="s">
        <v>9408</v>
      </c>
      <c r="W3177" t="s">
        <v>423</v>
      </c>
    </row>
    <row r="3178" spans="1:23" hidden="1" x14ac:dyDescent="0.2">
      <c r="A3178">
        <v>2012</v>
      </c>
      <c r="B3178" t="s">
        <v>305</v>
      </c>
      <c r="C3178" s="733">
        <v>40970.430208333331</v>
      </c>
      <c r="D3178" s="733" t="str">
        <f>CHOOSE(MONTH(Tabla_sqldatos_bonampakdb_Bon_v_ingresos2012[[#This Row],[fecha_guia]]),"Enero","Febrero","Marzo","Abril","Mayo","Junio","Julio","Agosto","Septiembre","Octubre","Noviembre","Diciembre")</f>
        <v>Marzo</v>
      </c>
      <c r="E3178" t="s">
        <v>485</v>
      </c>
      <c r="F3178" t="s">
        <v>2065</v>
      </c>
      <c r="G3178" t="s">
        <v>9471</v>
      </c>
      <c r="H3178">
        <v>42993</v>
      </c>
      <c r="I3178" t="s">
        <v>423</v>
      </c>
      <c r="J3178" t="s">
        <v>2182</v>
      </c>
      <c r="K3178" t="s">
        <v>2183</v>
      </c>
      <c r="L3178" t="s">
        <v>2184</v>
      </c>
      <c r="M3178">
        <v>62</v>
      </c>
      <c r="N3178">
        <v>15.03</v>
      </c>
      <c r="O3178">
        <v>2226.54</v>
      </c>
      <c r="P3178">
        <v>0</v>
      </c>
      <c r="Q3178">
        <v>2226.54</v>
      </c>
      <c r="R3178">
        <v>356.25</v>
      </c>
      <c r="S3178">
        <v>89.06</v>
      </c>
      <c r="T3178">
        <v>2493.73</v>
      </c>
      <c r="V3178" t="s">
        <v>9408</v>
      </c>
      <c r="W3178" t="s">
        <v>423</v>
      </c>
    </row>
    <row r="3179" spans="1:23" hidden="1" x14ac:dyDescent="0.2">
      <c r="A3179">
        <v>2012</v>
      </c>
      <c r="B3179" t="s">
        <v>304</v>
      </c>
      <c r="C3179" s="733">
        <v>40967</v>
      </c>
      <c r="D31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79" t="s">
        <v>505</v>
      </c>
      <c r="F3179" t="s">
        <v>1915</v>
      </c>
      <c r="G3179" t="s">
        <v>8941</v>
      </c>
      <c r="H3179">
        <v>23049</v>
      </c>
      <c r="I3179" t="s">
        <v>423</v>
      </c>
      <c r="J3179" t="s">
        <v>3207</v>
      </c>
      <c r="K3179" t="s">
        <v>1918</v>
      </c>
      <c r="L3179" t="s">
        <v>1919</v>
      </c>
      <c r="M3179">
        <v>334</v>
      </c>
      <c r="N3179">
        <v>49.77</v>
      </c>
      <c r="O3179">
        <v>13743.49</v>
      </c>
      <c r="P3179">
        <v>0</v>
      </c>
      <c r="Q3179">
        <v>13743.49</v>
      </c>
      <c r="R3179">
        <v>2198.96</v>
      </c>
      <c r="S3179">
        <v>549.74</v>
      </c>
      <c r="T3179">
        <v>15392.71</v>
      </c>
      <c r="V3179" t="s">
        <v>9409</v>
      </c>
      <c r="W3179" t="s">
        <v>423</v>
      </c>
    </row>
    <row r="3180" spans="1:23" hidden="1" x14ac:dyDescent="0.2">
      <c r="A3180">
        <v>2012</v>
      </c>
      <c r="B3180" t="s">
        <v>303</v>
      </c>
      <c r="C3180" s="733">
        <v>40935</v>
      </c>
      <c r="D31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80" t="s">
        <v>505</v>
      </c>
      <c r="F3180" t="s">
        <v>1915</v>
      </c>
      <c r="G3180" t="s">
        <v>4753</v>
      </c>
      <c r="H3180">
        <v>22280</v>
      </c>
      <c r="I3180" t="s">
        <v>423</v>
      </c>
      <c r="J3180" t="s">
        <v>3207</v>
      </c>
      <c r="K3180" t="s">
        <v>1918</v>
      </c>
      <c r="L3180" t="s">
        <v>1919</v>
      </c>
      <c r="M3180">
        <v>334</v>
      </c>
      <c r="N3180">
        <v>49.51</v>
      </c>
      <c r="O3180">
        <v>13671.69</v>
      </c>
      <c r="P3180">
        <v>0</v>
      </c>
      <c r="Q3180">
        <v>13671.69</v>
      </c>
      <c r="R3180">
        <v>2187.4699999999998</v>
      </c>
      <c r="S3180">
        <v>546.87</v>
      </c>
      <c r="T3180">
        <v>15312.29</v>
      </c>
      <c r="U3180" t="s">
        <v>1926</v>
      </c>
      <c r="V3180" t="s">
        <v>9409</v>
      </c>
      <c r="W3180" t="s">
        <v>423</v>
      </c>
    </row>
    <row r="3181" spans="1:23" hidden="1" x14ac:dyDescent="0.2">
      <c r="A3181">
        <v>2012</v>
      </c>
      <c r="B3181" t="s">
        <v>303</v>
      </c>
      <c r="C3181" s="733">
        <v>40918</v>
      </c>
      <c r="D31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81" t="s">
        <v>505</v>
      </c>
      <c r="F3181" t="s">
        <v>1915</v>
      </c>
      <c r="G3181" t="s">
        <v>5032</v>
      </c>
      <c r="H3181">
        <v>21866</v>
      </c>
      <c r="I3181" t="s">
        <v>423</v>
      </c>
      <c r="J3181" t="s">
        <v>4155</v>
      </c>
      <c r="K3181" t="s">
        <v>1918</v>
      </c>
      <c r="L3181" t="s">
        <v>1919</v>
      </c>
      <c r="M3181">
        <v>650</v>
      </c>
      <c r="N3181">
        <v>52.19</v>
      </c>
      <c r="O3181">
        <v>22444.31</v>
      </c>
      <c r="P3181">
        <v>0</v>
      </c>
      <c r="Q3181">
        <v>22444.31</v>
      </c>
      <c r="R3181">
        <v>3591.09</v>
      </c>
      <c r="S3181">
        <v>897.77</v>
      </c>
      <c r="T3181">
        <v>25137.63</v>
      </c>
      <c r="U3181" t="s">
        <v>1931</v>
      </c>
      <c r="V3181" t="s">
        <v>9409</v>
      </c>
      <c r="W3181" t="s">
        <v>423</v>
      </c>
    </row>
    <row r="3182" spans="1:23" hidden="1" x14ac:dyDescent="0.2">
      <c r="A3182">
        <v>2012</v>
      </c>
      <c r="B3182" t="s">
        <v>303</v>
      </c>
      <c r="C3182" s="733">
        <v>40933</v>
      </c>
      <c r="D31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82" t="s">
        <v>485</v>
      </c>
      <c r="F3182" t="s">
        <v>2065</v>
      </c>
      <c r="G3182" t="s">
        <v>4330</v>
      </c>
      <c r="H3182">
        <v>40844</v>
      </c>
      <c r="I3182" t="s">
        <v>423</v>
      </c>
      <c r="J3182" t="s">
        <v>3419</v>
      </c>
      <c r="K3182" t="s">
        <v>2183</v>
      </c>
      <c r="L3182" t="s">
        <v>2184</v>
      </c>
      <c r="M3182">
        <v>80</v>
      </c>
      <c r="N3182">
        <v>16.329999999999998</v>
      </c>
      <c r="O3182">
        <v>1843.17</v>
      </c>
      <c r="P3182">
        <v>0</v>
      </c>
      <c r="Q3182">
        <v>1843.17</v>
      </c>
      <c r="R3182">
        <v>294.91000000000003</v>
      </c>
      <c r="S3182">
        <v>73.73</v>
      </c>
      <c r="T3182">
        <v>2064.35</v>
      </c>
      <c r="U3182" t="s">
        <v>2187</v>
      </c>
      <c r="V3182" t="s">
        <v>9408</v>
      </c>
      <c r="W3182" t="s">
        <v>423</v>
      </c>
    </row>
    <row r="3183" spans="1:23" hidden="1" x14ac:dyDescent="0.2">
      <c r="A3183">
        <v>2012</v>
      </c>
      <c r="B3183" t="s">
        <v>304</v>
      </c>
      <c r="C3183" s="733">
        <v>40946</v>
      </c>
      <c r="D31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83" t="s">
        <v>485</v>
      </c>
      <c r="F3183" t="s">
        <v>2065</v>
      </c>
      <c r="G3183" t="s">
        <v>5480</v>
      </c>
      <c r="H3183">
        <v>41394</v>
      </c>
      <c r="I3183" t="s">
        <v>423</v>
      </c>
      <c r="J3183" t="s">
        <v>2345</v>
      </c>
      <c r="K3183" t="s">
        <v>2102</v>
      </c>
      <c r="L3183" t="s">
        <v>2115</v>
      </c>
      <c r="M3183">
        <v>426</v>
      </c>
      <c r="N3183">
        <v>53.17</v>
      </c>
      <c r="O3183">
        <v>17878.41</v>
      </c>
      <c r="P3183">
        <v>0</v>
      </c>
      <c r="Q3183">
        <v>17878.41</v>
      </c>
      <c r="R3183">
        <v>2860.55</v>
      </c>
      <c r="S3183">
        <v>715.14</v>
      </c>
      <c r="T3183">
        <v>20023.82</v>
      </c>
      <c r="U3183" t="s">
        <v>7462</v>
      </c>
      <c r="V3183" t="s">
        <v>9409</v>
      </c>
      <c r="W3183" t="s">
        <v>423</v>
      </c>
    </row>
    <row r="3184" spans="1:23" hidden="1" x14ac:dyDescent="0.2">
      <c r="A3184">
        <v>2012</v>
      </c>
      <c r="B3184" t="s">
        <v>304</v>
      </c>
      <c r="C3184" s="733">
        <v>40942</v>
      </c>
      <c r="D31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84" t="s">
        <v>485</v>
      </c>
      <c r="F3184" t="s">
        <v>2065</v>
      </c>
      <c r="G3184" t="s">
        <v>5481</v>
      </c>
      <c r="H3184">
        <v>41257</v>
      </c>
      <c r="I3184" t="s">
        <v>423</v>
      </c>
      <c r="J3184" t="s">
        <v>2135</v>
      </c>
      <c r="K3184" t="s">
        <v>2102</v>
      </c>
      <c r="L3184" t="s">
        <v>2115</v>
      </c>
      <c r="M3184">
        <v>494</v>
      </c>
      <c r="N3184">
        <v>51.04</v>
      </c>
      <c r="O3184">
        <v>17162.2</v>
      </c>
      <c r="P3184">
        <v>0</v>
      </c>
      <c r="Q3184">
        <v>17162.2</v>
      </c>
      <c r="R3184">
        <v>2745.95</v>
      </c>
      <c r="S3184">
        <v>686.49</v>
      </c>
      <c r="T3184">
        <v>19221.66</v>
      </c>
      <c r="U3184" t="s">
        <v>7462</v>
      </c>
      <c r="V3184" t="s">
        <v>9409</v>
      </c>
      <c r="W3184" t="s">
        <v>423</v>
      </c>
    </row>
    <row r="3185" spans="1:23" hidden="1" x14ac:dyDescent="0.2">
      <c r="A3185">
        <v>2012</v>
      </c>
      <c r="B3185" t="s">
        <v>304</v>
      </c>
      <c r="C3185" s="733">
        <v>40962</v>
      </c>
      <c r="D31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85" t="s">
        <v>478</v>
      </c>
      <c r="F3185" t="s">
        <v>2136</v>
      </c>
      <c r="G3185" t="s">
        <v>8627</v>
      </c>
      <c r="H3185">
        <v>35502</v>
      </c>
      <c r="I3185" t="s">
        <v>423</v>
      </c>
      <c r="J3185" t="s">
        <v>5689</v>
      </c>
      <c r="K3185" t="s">
        <v>425</v>
      </c>
      <c r="L3185" t="s">
        <v>2145</v>
      </c>
      <c r="M3185">
        <v>764</v>
      </c>
      <c r="N3185">
        <v>42.61</v>
      </c>
      <c r="O3185">
        <v>13613.9</v>
      </c>
      <c r="P3185">
        <v>0</v>
      </c>
      <c r="Q3185">
        <v>13613.9</v>
      </c>
      <c r="R3185">
        <v>2178.2199999999998</v>
      </c>
      <c r="S3185">
        <v>544.55999999999995</v>
      </c>
      <c r="T3185">
        <v>15247.56</v>
      </c>
      <c r="U3185" t="s">
        <v>8510</v>
      </c>
      <c r="V3185" t="s">
        <v>9409</v>
      </c>
      <c r="W3185" t="s">
        <v>423</v>
      </c>
    </row>
    <row r="3186" spans="1:23" hidden="1" x14ac:dyDescent="0.2">
      <c r="A3186">
        <v>2012</v>
      </c>
      <c r="B3186" t="s">
        <v>305</v>
      </c>
      <c r="C3186" s="733">
        <v>40970</v>
      </c>
      <c r="D3186" s="733" t="str">
        <f>CHOOSE(MONTH(Tabla_sqldatos_bonampakdb_Bon_v_ingresos2012[[#This Row],[fecha_guia]]),"Enero","Febrero","Marzo","Abril","Mayo","Junio","Julio","Agosto","Septiembre","Octubre","Noviembre","Diciembre")</f>
        <v>Marzo</v>
      </c>
      <c r="E3186" t="s">
        <v>485</v>
      </c>
      <c r="F3186" t="s">
        <v>2065</v>
      </c>
      <c r="G3186" t="s">
        <v>9595</v>
      </c>
      <c r="H3186">
        <v>42899</v>
      </c>
      <c r="I3186" t="s">
        <v>423</v>
      </c>
      <c r="J3186" t="s">
        <v>3419</v>
      </c>
      <c r="K3186" t="s">
        <v>2183</v>
      </c>
      <c r="L3186" t="s">
        <v>2184</v>
      </c>
      <c r="M3186">
        <v>80</v>
      </c>
      <c r="N3186">
        <v>50.95</v>
      </c>
      <c r="O3186">
        <v>5750.73</v>
      </c>
      <c r="P3186">
        <v>0</v>
      </c>
      <c r="Q3186">
        <v>5750.73</v>
      </c>
      <c r="R3186">
        <v>920.12</v>
      </c>
      <c r="S3186">
        <v>230.03</v>
      </c>
      <c r="T3186">
        <v>6440.82</v>
      </c>
      <c r="V3186" t="s">
        <v>9409</v>
      </c>
      <c r="W3186" t="s">
        <v>423</v>
      </c>
    </row>
    <row r="3187" spans="1:23" hidden="1" x14ac:dyDescent="0.2">
      <c r="A3187">
        <v>2012</v>
      </c>
      <c r="B3187" t="s">
        <v>304</v>
      </c>
      <c r="C3187" s="733">
        <v>40948</v>
      </c>
      <c r="D31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87" t="s">
        <v>505</v>
      </c>
      <c r="F3187" t="s">
        <v>1915</v>
      </c>
      <c r="G3187" t="s">
        <v>5031</v>
      </c>
      <c r="H3187">
        <v>22567</v>
      </c>
      <c r="I3187" t="s">
        <v>423</v>
      </c>
      <c r="J3187" t="s">
        <v>4155</v>
      </c>
      <c r="K3187" t="s">
        <v>1918</v>
      </c>
      <c r="L3187" t="s">
        <v>1919</v>
      </c>
      <c r="M3187">
        <v>650</v>
      </c>
      <c r="N3187">
        <v>51.21</v>
      </c>
      <c r="O3187">
        <v>22022.86</v>
      </c>
      <c r="P3187">
        <v>0</v>
      </c>
      <c r="Q3187">
        <v>22022.86</v>
      </c>
      <c r="R3187">
        <v>3523.66</v>
      </c>
      <c r="S3187">
        <v>880.91</v>
      </c>
      <c r="T3187">
        <v>24665.61</v>
      </c>
      <c r="U3187" t="s">
        <v>1924</v>
      </c>
      <c r="V3187" t="s">
        <v>9409</v>
      </c>
      <c r="W3187" t="s">
        <v>423</v>
      </c>
    </row>
    <row r="3188" spans="1:23" hidden="1" x14ac:dyDescent="0.2">
      <c r="A3188">
        <v>2012</v>
      </c>
      <c r="B3188" t="s">
        <v>304</v>
      </c>
      <c r="C3188" s="733">
        <v>40946</v>
      </c>
      <c r="D31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88" t="s">
        <v>505</v>
      </c>
      <c r="F3188" t="s">
        <v>1915</v>
      </c>
      <c r="G3188" t="s">
        <v>5029</v>
      </c>
      <c r="H3188">
        <v>22522</v>
      </c>
      <c r="I3188" t="s">
        <v>423</v>
      </c>
      <c r="J3188" t="s">
        <v>3207</v>
      </c>
      <c r="K3188" t="s">
        <v>1918</v>
      </c>
      <c r="L3188" t="s">
        <v>1919</v>
      </c>
      <c r="M3188">
        <v>334</v>
      </c>
      <c r="N3188">
        <v>49.79</v>
      </c>
      <c r="O3188">
        <v>13749.01</v>
      </c>
      <c r="P3188">
        <v>0</v>
      </c>
      <c r="Q3188">
        <v>13749.01</v>
      </c>
      <c r="R3188">
        <v>2199.84</v>
      </c>
      <c r="S3188">
        <v>549.96</v>
      </c>
      <c r="T3188">
        <v>15398.89</v>
      </c>
      <c r="U3188" t="s">
        <v>1924</v>
      </c>
      <c r="V3188" t="s">
        <v>9409</v>
      </c>
      <c r="W3188" t="s">
        <v>423</v>
      </c>
    </row>
    <row r="3189" spans="1:23" hidden="1" x14ac:dyDescent="0.2">
      <c r="A3189">
        <v>2012</v>
      </c>
      <c r="B3189" t="s">
        <v>304</v>
      </c>
      <c r="C3189" s="733">
        <v>40952.543564814812</v>
      </c>
      <c r="D31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89" t="s">
        <v>478</v>
      </c>
      <c r="F3189" t="s">
        <v>3787</v>
      </c>
      <c r="G3189" t="s">
        <v>4343</v>
      </c>
      <c r="H3189">
        <v>35543</v>
      </c>
      <c r="I3189" t="s">
        <v>423</v>
      </c>
      <c r="J3189" t="s">
        <v>3797</v>
      </c>
      <c r="K3189" t="s">
        <v>3481</v>
      </c>
      <c r="L3189" t="s">
        <v>3482</v>
      </c>
      <c r="M3189">
        <v>266</v>
      </c>
      <c r="N3189">
        <v>27.565000000000001</v>
      </c>
      <c r="O3189">
        <v>6155.82</v>
      </c>
      <c r="P3189">
        <v>0</v>
      </c>
      <c r="Q3189">
        <v>6155.82</v>
      </c>
      <c r="R3189">
        <v>984.93</v>
      </c>
      <c r="S3189">
        <v>246.23</v>
      </c>
      <c r="T3189">
        <v>6894.52</v>
      </c>
      <c r="U3189" t="s">
        <v>3483</v>
      </c>
      <c r="V3189" t="s">
        <v>9408</v>
      </c>
      <c r="W3189" t="s">
        <v>423</v>
      </c>
    </row>
    <row r="3190" spans="1:23" hidden="1" x14ac:dyDescent="0.2">
      <c r="A3190">
        <v>2012</v>
      </c>
      <c r="B3190" t="s">
        <v>303</v>
      </c>
      <c r="C3190" s="733">
        <v>40927</v>
      </c>
      <c r="D31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90" t="s">
        <v>485</v>
      </c>
      <c r="F3190" t="s">
        <v>2065</v>
      </c>
      <c r="G3190" t="s">
        <v>4064</v>
      </c>
      <c r="H3190">
        <v>40563</v>
      </c>
      <c r="I3190" t="s">
        <v>423</v>
      </c>
      <c r="J3190" t="s">
        <v>2182</v>
      </c>
      <c r="K3190" t="s">
        <v>2183</v>
      </c>
      <c r="L3190" t="s">
        <v>2184</v>
      </c>
      <c r="M3190">
        <v>62</v>
      </c>
      <c r="N3190">
        <v>15.6</v>
      </c>
      <c r="O3190">
        <v>2310.98</v>
      </c>
      <c r="P3190">
        <v>0</v>
      </c>
      <c r="Q3190">
        <v>2310.98</v>
      </c>
      <c r="R3190">
        <v>369.76</v>
      </c>
      <c r="S3190">
        <v>92.44</v>
      </c>
      <c r="T3190">
        <v>2588.3000000000002</v>
      </c>
      <c r="U3190" t="s">
        <v>7554</v>
      </c>
      <c r="V3190" t="s">
        <v>9408</v>
      </c>
      <c r="W3190" t="s">
        <v>423</v>
      </c>
    </row>
    <row r="3191" spans="1:23" hidden="1" x14ac:dyDescent="0.2">
      <c r="A3191">
        <v>2012</v>
      </c>
      <c r="B3191" t="s">
        <v>304</v>
      </c>
      <c r="C3191" s="733">
        <v>40941</v>
      </c>
      <c r="D31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91" t="s">
        <v>478</v>
      </c>
      <c r="F3191" t="s">
        <v>3358</v>
      </c>
      <c r="G3191" t="s">
        <v>3985</v>
      </c>
      <c r="H3191">
        <v>35209</v>
      </c>
      <c r="I3191" t="s">
        <v>423</v>
      </c>
      <c r="J3191" t="s">
        <v>3360</v>
      </c>
      <c r="K3191" t="s">
        <v>483</v>
      </c>
      <c r="L3191" t="s">
        <v>3361</v>
      </c>
      <c r="M3191">
        <v>49</v>
      </c>
      <c r="N3191">
        <v>27.53</v>
      </c>
      <c r="O3191">
        <v>3107.31</v>
      </c>
      <c r="P3191">
        <v>0</v>
      </c>
      <c r="Q3191">
        <v>3107.31</v>
      </c>
      <c r="R3191">
        <v>497.17</v>
      </c>
      <c r="S3191">
        <v>124.29</v>
      </c>
      <c r="T3191">
        <v>3480.19</v>
      </c>
      <c r="U3191" t="s">
        <v>3362</v>
      </c>
      <c r="V3191" t="s">
        <v>9408</v>
      </c>
      <c r="W3191" t="s">
        <v>423</v>
      </c>
    </row>
    <row r="3192" spans="1:23" hidden="1" x14ac:dyDescent="0.2">
      <c r="A3192">
        <v>2012</v>
      </c>
      <c r="B3192" t="s">
        <v>304</v>
      </c>
      <c r="C3192" s="733">
        <v>40962</v>
      </c>
      <c r="D31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92" t="s">
        <v>478</v>
      </c>
      <c r="F3192" t="s">
        <v>3358</v>
      </c>
      <c r="G3192" t="s">
        <v>8543</v>
      </c>
      <c r="H3192">
        <v>35908</v>
      </c>
      <c r="I3192" t="s">
        <v>423</v>
      </c>
      <c r="J3192" t="s">
        <v>3360</v>
      </c>
      <c r="K3192" t="s">
        <v>483</v>
      </c>
      <c r="L3192" t="s">
        <v>3361</v>
      </c>
      <c r="M3192">
        <v>49</v>
      </c>
      <c r="N3192">
        <v>26.5</v>
      </c>
      <c r="O3192">
        <v>2991.06</v>
      </c>
      <c r="P3192">
        <v>0</v>
      </c>
      <c r="Q3192">
        <v>2991.06</v>
      </c>
      <c r="R3192">
        <v>478.57</v>
      </c>
      <c r="S3192">
        <v>119.64</v>
      </c>
      <c r="T3192">
        <v>3349.99</v>
      </c>
      <c r="V3192" t="s">
        <v>9408</v>
      </c>
      <c r="W3192" t="s">
        <v>423</v>
      </c>
    </row>
    <row r="3193" spans="1:23" hidden="1" x14ac:dyDescent="0.2">
      <c r="A3193">
        <v>2012</v>
      </c>
      <c r="B3193" t="s">
        <v>304</v>
      </c>
      <c r="C3193" s="733">
        <v>40952</v>
      </c>
      <c r="D31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93" t="s">
        <v>485</v>
      </c>
      <c r="F3193" t="s">
        <v>2065</v>
      </c>
      <c r="G3193" t="s">
        <v>3737</v>
      </c>
      <c r="H3193">
        <v>41666</v>
      </c>
      <c r="I3193" t="s">
        <v>423</v>
      </c>
      <c r="J3193" t="s">
        <v>2114</v>
      </c>
      <c r="K3193" t="s">
        <v>2102</v>
      </c>
      <c r="L3193" t="s">
        <v>2115</v>
      </c>
      <c r="M3193">
        <v>500</v>
      </c>
      <c r="N3193">
        <v>54.14</v>
      </c>
      <c r="O3193">
        <v>18204.580000000002</v>
      </c>
      <c r="P3193">
        <v>0</v>
      </c>
      <c r="Q3193">
        <v>18204.580000000002</v>
      </c>
      <c r="R3193">
        <v>2912.73</v>
      </c>
      <c r="S3193">
        <v>728.18</v>
      </c>
      <c r="T3193">
        <v>20389.13</v>
      </c>
      <c r="U3193" t="s">
        <v>8051</v>
      </c>
      <c r="V3193" t="s">
        <v>9409</v>
      </c>
      <c r="W3193" t="s">
        <v>423</v>
      </c>
    </row>
    <row r="3194" spans="1:23" hidden="1" x14ac:dyDescent="0.2">
      <c r="A3194">
        <v>2012</v>
      </c>
      <c r="B3194" t="s">
        <v>303</v>
      </c>
      <c r="C3194" s="733">
        <v>40915</v>
      </c>
      <c r="D31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94" t="s">
        <v>505</v>
      </c>
      <c r="F3194" t="s">
        <v>1915</v>
      </c>
      <c r="G3194" t="s">
        <v>5030</v>
      </c>
      <c r="H3194">
        <v>21803</v>
      </c>
      <c r="I3194" t="s">
        <v>423</v>
      </c>
      <c r="J3194" t="s">
        <v>4155</v>
      </c>
      <c r="K3194" t="s">
        <v>1918</v>
      </c>
      <c r="L3194" t="s">
        <v>1919</v>
      </c>
      <c r="M3194">
        <v>650</v>
      </c>
      <c r="N3194">
        <v>50.29</v>
      </c>
      <c r="O3194">
        <v>9105.56</v>
      </c>
      <c r="P3194">
        <v>10251.858947999999</v>
      </c>
      <c r="Q3194">
        <v>19357.418947999999</v>
      </c>
      <c r="R3194">
        <v>3097.1870319999998</v>
      </c>
      <c r="S3194">
        <v>774.29675799999995</v>
      </c>
      <c r="T3194">
        <v>21680.309222</v>
      </c>
      <c r="U3194" t="s">
        <v>1931</v>
      </c>
      <c r="V3194" t="s">
        <v>9409</v>
      </c>
      <c r="W3194" t="s">
        <v>423</v>
      </c>
    </row>
    <row r="3195" spans="1:23" hidden="1" x14ac:dyDescent="0.2">
      <c r="A3195">
        <v>2012</v>
      </c>
      <c r="B3195" t="s">
        <v>303</v>
      </c>
      <c r="C3195" s="733">
        <v>40924</v>
      </c>
      <c r="D31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95" t="s">
        <v>485</v>
      </c>
      <c r="F3195" t="s">
        <v>2065</v>
      </c>
      <c r="G3195" t="s">
        <v>3197</v>
      </c>
      <c r="H3195">
        <v>40336</v>
      </c>
      <c r="I3195" t="s">
        <v>423</v>
      </c>
      <c r="J3195" t="s">
        <v>2196</v>
      </c>
      <c r="K3195" t="s">
        <v>2183</v>
      </c>
      <c r="L3195" t="s">
        <v>2184</v>
      </c>
      <c r="M3195">
        <v>10</v>
      </c>
      <c r="N3195">
        <v>25.6</v>
      </c>
      <c r="O3195">
        <v>2889.47</v>
      </c>
      <c r="P3195">
        <v>0</v>
      </c>
      <c r="Q3195">
        <v>2889.47</v>
      </c>
      <c r="R3195">
        <v>462.32</v>
      </c>
      <c r="S3195">
        <v>115.58</v>
      </c>
      <c r="T3195">
        <v>3236.21</v>
      </c>
      <c r="U3195" t="s">
        <v>7587</v>
      </c>
      <c r="V3195" t="s">
        <v>9408</v>
      </c>
      <c r="W3195" t="s">
        <v>423</v>
      </c>
    </row>
    <row r="3196" spans="1:23" hidden="1" x14ac:dyDescent="0.2">
      <c r="A3196">
        <v>2012</v>
      </c>
      <c r="B3196" t="s">
        <v>303</v>
      </c>
      <c r="C3196" s="733">
        <v>40918</v>
      </c>
      <c r="D31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96" t="s">
        <v>485</v>
      </c>
      <c r="F3196" t="s">
        <v>2065</v>
      </c>
      <c r="G3196" t="s">
        <v>2800</v>
      </c>
      <c r="H3196">
        <v>39951</v>
      </c>
      <c r="I3196" t="s">
        <v>423</v>
      </c>
      <c r="J3196" t="s">
        <v>2139</v>
      </c>
      <c r="K3196" t="s">
        <v>2102</v>
      </c>
      <c r="L3196" t="s">
        <v>2115</v>
      </c>
      <c r="M3196">
        <v>543</v>
      </c>
      <c r="N3196">
        <v>49.24</v>
      </c>
      <c r="O3196">
        <v>16556.95</v>
      </c>
      <c r="P3196">
        <v>0</v>
      </c>
      <c r="Q3196">
        <v>16556.95</v>
      </c>
      <c r="R3196">
        <v>2649.11</v>
      </c>
      <c r="S3196">
        <v>662.28</v>
      </c>
      <c r="T3196">
        <v>18543.78</v>
      </c>
      <c r="U3196" t="s">
        <v>2106</v>
      </c>
      <c r="V3196" t="s">
        <v>9409</v>
      </c>
      <c r="W3196" t="s">
        <v>423</v>
      </c>
    </row>
    <row r="3197" spans="1:23" hidden="1" x14ac:dyDescent="0.2">
      <c r="A3197">
        <v>2012</v>
      </c>
      <c r="B3197" t="s">
        <v>304</v>
      </c>
      <c r="C3197" s="733">
        <v>40940</v>
      </c>
      <c r="D31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97" t="s">
        <v>478</v>
      </c>
      <c r="F3197" t="s">
        <v>2136</v>
      </c>
      <c r="G3197" t="s">
        <v>6825</v>
      </c>
      <c r="H3197">
        <v>35064</v>
      </c>
      <c r="I3197" t="s">
        <v>423</v>
      </c>
      <c r="J3197" t="s">
        <v>4273</v>
      </c>
      <c r="K3197" t="s">
        <v>425</v>
      </c>
      <c r="L3197" t="s">
        <v>2145</v>
      </c>
      <c r="M3197">
        <v>797</v>
      </c>
      <c r="N3197">
        <v>24.76</v>
      </c>
      <c r="O3197">
        <v>9481.35</v>
      </c>
      <c r="P3197">
        <v>0</v>
      </c>
      <c r="Q3197">
        <v>9481.35</v>
      </c>
      <c r="R3197">
        <v>1517.02</v>
      </c>
      <c r="S3197">
        <v>379.25</v>
      </c>
      <c r="T3197">
        <v>10619.12</v>
      </c>
      <c r="U3197" t="s">
        <v>2580</v>
      </c>
      <c r="V3197" t="s">
        <v>9408</v>
      </c>
      <c r="W3197" t="s">
        <v>423</v>
      </c>
    </row>
    <row r="3198" spans="1:23" hidden="1" x14ac:dyDescent="0.2">
      <c r="A3198">
        <v>2012</v>
      </c>
      <c r="B3198" t="s">
        <v>304</v>
      </c>
      <c r="C3198" s="733">
        <v>40941</v>
      </c>
      <c r="D31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198" t="s">
        <v>485</v>
      </c>
      <c r="F3198" t="s">
        <v>2065</v>
      </c>
      <c r="G3198" t="s">
        <v>2807</v>
      </c>
      <c r="H3198">
        <v>40769</v>
      </c>
      <c r="I3198" t="s">
        <v>423</v>
      </c>
      <c r="J3198" t="s">
        <v>2139</v>
      </c>
      <c r="K3198" t="s">
        <v>2102</v>
      </c>
      <c r="L3198" t="s">
        <v>2115</v>
      </c>
      <c r="M3198">
        <v>543</v>
      </c>
      <c r="N3198">
        <v>26.92</v>
      </c>
      <c r="O3198">
        <v>9051.85</v>
      </c>
      <c r="P3198">
        <v>0</v>
      </c>
      <c r="Q3198">
        <v>9051.85</v>
      </c>
      <c r="R3198">
        <v>1448.3</v>
      </c>
      <c r="S3198">
        <v>362.07</v>
      </c>
      <c r="T3198">
        <v>10138.08</v>
      </c>
      <c r="V3198" t="s">
        <v>9408</v>
      </c>
      <c r="W3198" t="s">
        <v>423</v>
      </c>
    </row>
    <row r="3199" spans="1:23" hidden="1" x14ac:dyDescent="0.2">
      <c r="A3199">
        <v>2012</v>
      </c>
      <c r="B3199" t="s">
        <v>303</v>
      </c>
      <c r="C3199" s="733">
        <v>40918</v>
      </c>
      <c r="D31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199" t="s">
        <v>485</v>
      </c>
      <c r="F3199" t="s">
        <v>2065</v>
      </c>
      <c r="G3199" t="s">
        <v>6822</v>
      </c>
      <c r="H3199">
        <v>39948</v>
      </c>
      <c r="I3199" t="s">
        <v>423</v>
      </c>
      <c r="J3199" t="s">
        <v>5868</v>
      </c>
      <c r="K3199" t="s">
        <v>2102</v>
      </c>
      <c r="L3199" t="s">
        <v>2115</v>
      </c>
      <c r="M3199">
        <v>500</v>
      </c>
      <c r="N3199">
        <v>28.12</v>
      </c>
      <c r="O3199">
        <v>9455.35</v>
      </c>
      <c r="P3199">
        <v>0</v>
      </c>
      <c r="Q3199">
        <v>9455.35</v>
      </c>
      <c r="R3199">
        <v>1512.86</v>
      </c>
      <c r="S3199">
        <v>378.21</v>
      </c>
      <c r="T3199">
        <v>10590</v>
      </c>
      <c r="U3199" t="s">
        <v>2106</v>
      </c>
      <c r="V3199" t="s">
        <v>9408</v>
      </c>
      <c r="W3199" t="s">
        <v>423</v>
      </c>
    </row>
    <row r="3200" spans="1:23" hidden="1" x14ac:dyDescent="0.2">
      <c r="A3200">
        <v>2012</v>
      </c>
      <c r="B3200" t="s">
        <v>303</v>
      </c>
      <c r="C3200" s="733">
        <v>40926</v>
      </c>
      <c r="D32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00" t="s">
        <v>485</v>
      </c>
      <c r="F3200" t="s">
        <v>2065</v>
      </c>
      <c r="G3200" t="s">
        <v>6835</v>
      </c>
      <c r="H3200">
        <v>40298</v>
      </c>
      <c r="I3200" t="s">
        <v>423</v>
      </c>
      <c r="J3200" t="s">
        <v>2139</v>
      </c>
      <c r="K3200" t="s">
        <v>2102</v>
      </c>
      <c r="L3200" t="s">
        <v>2115</v>
      </c>
      <c r="M3200">
        <v>543</v>
      </c>
      <c r="N3200">
        <v>52.77</v>
      </c>
      <c r="O3200">
        <v>17743.91</v>
      </c>
      <c r="P3200">
        <v>0</v>
      </c>
      <c r="Q3200">
        <v>17743.91</v>
      </c>
      <c r="R3200">
        <v>2839.03</v>
      </c>
      <c r="S3200">
        <v>709.76</v>
      </c>
      <c r="T3200">
        <v>19873.18</v>
      </c>
      <c r="U3200" t="s">
        <v>2106</v>
      </c>
      <c r="V3200" t="s">
        <v>9409</v>
      </c>
      <c r="W3200" t="s">
        <v>423</v>
      </c>
    </row>
    <row r="3201" spans="1:23" hidden="1" x14ac:dyDescent="0.2">
      <c r="A3201">
        <v>2012</v>
      </c>
      <c r="B3201" t="s">
        <v>303</v>
      </c>
      <c r="C3201" s="733">
        <v>40920</v>
      </c>
      <c r="D32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01" t="s">
        <v>485</v>
      </c>
      <c r="F3201" t="s">
        <v>2065</v>
      </c>
      <c r="G3201" t="s">
        <v>3186</v>
      </c>
      <c r="H3201">
        <v>40197</v>
      </c>
      <c r="I3201" t="s">
        <v>423</v>
      </c>
      <c r="J3201" t="s">
        <v>2196</v>
      </c>
      <c r="K3201" t="s">
        <v>2183</v>
      </c>
      <c r="L3201" t="s">
        <v>2184</v>
      </c>
      <c r="M3201">
        <v>10</v>
      </c>
      <c r="N3201">
        <v>28.52</v>
      </c>
      <c r="O3201">
        <v>3219.05</v>
      </c>
      <c r="P3201">
        <v>0</v>
      </c>
      <c r="Q3201">
        <v>3219.05</v>
      </c>
      <c r="R3201">
        <v>515.04999999999995</v>
      </c>
      <c r="S3201">
        <v>128.76</v>
      </c>
      <c r="T3201">
        <v>3605.34</v>
      </c>
      <c r="U3201" t="s">
        <v>7520</v>
      </c>
      <c r="V3201" t="s">
        <v>9408</v>
      </c>
      <c r="W3201" t="s">
        <v>423</v>
      </c>
    </row>
    <row r="3202" spans="1:23" hidden="1" x14ac:dyDescent="0.2">
      <c r="A3202">
        <v>2012</v>
      </c>
      <c r="B3202" t="s">
        <v>304</v>
      </c>
      <c r="C3202" s="733">
        <v>40966</v>
      </c>
      <c r="D32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02" t="s">
        <v>485</v>
      </c>
      <c r="F3202" t="s">
        <v>2065</v>
      </c>
      <c r="G3202" t="s">
        <v>8838</v>
      </c>
      <c r="H3202">
        <v>42639</v>
      </c>
      <c r="I3202" t="s">
        <v>423</v>
      </c>
      <c r="J3202" t="s">
        <v>2196</v>
      </c>
      <c r="K3202" t="s">
        <v>2183</v>
      </c>
      <c r="L3202" t="s">
        <v>2184</v>
      </c>
      <c r="M3202">
        <v>10</v>
      </c>
      <c r="N3202">
        <v>27.46</v>
      </c>
      <c r="O3202">
        <v>3099.41</v>
      </c>
      <c r="P3202">
        <v>0</v>
      </c>
      <c r="Q3202">
        <v>3099.41</v>
      </c>
      <c r="R3202">
        <v>495.91</v>
      </c>
      <c r="S3202">
        <v>123.98</v>
      </c>
      <c r="T3202">
        <v>3471.34</v>
      </c>
      <c r="V3202" t="s">
        <v>9408</v>
      </c>
      <c r="W3202" t="s">
        <v>423</v>
      </c>
    </row>
    <row r="3203" spans="1:23" x14ac:dyDescent="0.2">
      <c r="A3203">
        <v>2012</v>
      </c>
      <c r="B3203" t="s">
        <v>304</v>
      </c>
      <c r="C3203" s="733">
        <v>40967</v>
      </c>
      <c r="D32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03" t="s">
        <v>485</v>
      </c>
      <c r="F3203" t="s">
        <v>2065</v>
      </c>
      <c r="G3203" t="s">
        <v>9253</v>
      </c>
      <c r="H3203">
        <v>42709</v>
      </c>
      <c r="I3203" t="s">
        <v>423</v>
      </c>
      <c r="J3203" t="s">
        <v>2196</v>
      </c>
      <c r="K3203" t="s">
        <v>2183</v>
      </c>
      <c r="L3203" t="s">
        <v>2184</v>
      </c>
      <c r="M3203">
        <v>10</v>
      </c>
      <c r="N3203">
        <v>26.39</v>
      </c>
      <c r="O3203">
        <v>2978.64</v>
      </c>
      <c r="P3203">
        <v>0</v>
      </c>
      <c r="Q3203">
        <v>2978.64</v>
      </c>
      <c r="R3203">
        <v>476.58</v>
      </c>
      <c r="S3203">
        <v>119.15</v>
      </c>
      <c r="T3203">
        <v>3336.07</v>
      </c>
      <c r="V3203" t="s">
        <v>9408</v>
      </c>
      <c r="W3203" t="s">
        <v>423</v>
      </c>
    </row>
    <row r="3204" spans="1:23" hidden="1" x14ac:dyDescent="0.2">
      <c r="A3204">
        <v>2012</v>
      </c>
      <c r="B3204" t="s">
        <v>303</v>
      </c>
      <c r="C3204" s="733">
        <v>40928</v>
      </c>
      <c r="D32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04" t="s">
        <v>485</v>
      </c>
      <c r="F3204" t="s">
        <v>2065</v>
      </c>
      <c r="G3204" t="s">
        <v>3189</v>
      </c>
      <c r="H3204">
        <v>40606</v>
      </c>
      <c r="I3204" t="s">
        <v>423</v>
      </c>
      <c r="J3204" t="s">
        <v>2196</v>
      </c>
      <c r="K3204" t="s">
        <v>2183</v>
      </c>
      <c r="L3204" t="s">
        <v>2184</v>
      </c>
      <c r="M3204">
        <v>10</v>
      </c>
      <c r="N3204">
        <v>15.87</v>
      </c>
      <c r="O3204">
        <v>1791.25</v>
      </c>
      <c r="P3204">
        <v>0</v>
      </c>
      <c r="Q3204">
        <v>1791.25</v>
      </c>
      <c r="R3204">
        <v>286.60000000000002</v>
      </c>
      <c r="S3204">
        <v>71.650000000000006</v>
      </c>
      <c r="T3204">
        <v>2006.2</v>
      </c>
      <c r="U3204" t="s">
        <v>7554</v>
      </c>
      <c r="V3204" t="s">
        <v>9408</v>
      </c>
      <c r="W3204" t="s">
        <v>423</v>
      </c>
    </row>
    <row r="3205" spans="1:23" hidden="1" x14ac:dyDescent="0.2">
      <c r="A3205">
        <v>2012</v>
      </c>
      <c r="B3205" t="s">
        <v>303</v>
      </c>
      <c r="C3205" s="733">
        <v>40921</v>
      </c>
      <c r="D32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05" t="s">
        <v>485</v>
      </c>
      <c r="F3205" t="s">
        <v>2065</v>
      </c>
      <c r="G3205" t="s">
        <v>2801</v>
      </c>
      <c r="H3205">
        <v>40212</v>
      </c>
      <c r="I3205" t="s">
        <v>423</v>
      </c>
      <c r="J3205" t="s">
        <v>2139</v>
      </c>
      <c r="K3205" t="s">
        <v>2102</v>
      </c>
      <c r="L3205" t="s">
        <v>2115</v>
      </c>
      <c r="M3205">
        <v>543</v>
      </c>
      <c r="N3205">
        <v>53.2</v>
      </c>
      <c r="O3205">
        <v>17888.5</v>
      </c>
      <c r="P3205">
        <v>0</v>
      </c>
      <c r="Q3205">
        <v>17888.5</v>
      </c>
      <c r="R3205">
        <v>2862.16</v>
      </c>
      <c r="S3205">
        <v>715.54</v>
      </c>
      <c r="T3205">
        <v>20035.12</v>
      </c>
      <c r="U3205" t="s">
        <v>2106</v>
      </c>
      <c r="V3205" t="s">
        <v>9409</v>
      </c>
      <c r="W3205" t="s">
        <v>423</v>
      </c>
    </row>
    <row r="3206" spans="1:23" hidden="1" x14ac:dyDescent="0.2">
      <c r="A3206">
        <v>2012</v>
      </c>
      <c r="B3206" t="s">
        <v>303</v>
      </c>
      <c r="C3206" s="733">
        <v>40910</v>
      </c>
      <c r="D32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06" t="s">
        <v>485</v>
      </c>
      <c r="F3206" t="s">
        <v>2065</v>
      </c>
      <c r="G3206" t="s">
        <v>6823</v>
      </c>
      <c r="H3206">
        <v>39642</v>
      </c>
      <c r="I3206" t="s">
        <v>423</v>
      </c>
      <c r="J3206" t="s">
        <v>5868</v>
      </c>
      <c r="K3206" t="s">
        <v>2102</v>
      </c>
      <c r="L3206" t="s">
        <v>2115</v>
      </c>
      <c r="M3206">
        <v>500</v>
      </c>
      <c r="N3206">
        <v>49.28</v>
      </c>
      <c r="O3206">
        <v>6976.57</v>
      </c>
      <c r="P3206">
        <v>7854.8503970000002</v>
      </c>
      <c r="Q3206">
        <v>14831.420397</v>
      </c>
      <c r="R3206">
        <v>2373.0272639999998</v>
      </c>
      <c r="S3206">
        <v>593.25681599999996</v>
      </c>
      <c r="T3206">
        <v>16611.190845000001</v>
      </c>
      <c r="U3206" t="s">
        <v>2104</v>
      </c>
      <c r="V3206" t="s">
        <v>9409</v>
      </c>
      <c r="W3206" t="s">
        <v>423</v>
      </c>
    </row>
    <row r="3207" spans="1:23" hidden="1" x14ac:dyDescent="0.2">
      <c r="A3207">
        <v>2012</v>
      </c>
      <c r="B3207" t="s">
        <v>303</v>
      </c>
      <c r="C3207" s="733">
        <v>40918</v>
      </c>
      <c r="D32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07" t="s">
        <v>485</v>
      </c>
      <c r="F3207" t="s">
        <v>2065</v>
      </c>
      <c r="G3207" t="s">
        <v>3185</v>
      </c>
      <c r="H3207">
        <v>40008</v>
      </c>
      <c r="I3207" t="s">
        <v>423</v>
      </c>
      <c r="J3207" t="s">
        <v>2196</v>
      </c>
      <c r="K3207" t="s">
        <v>2183</v>
      </c>
      <c r="L3207" t="s">
        <v>2184</v>
      </c>
      <c r="M3207">
        <v>10</v>
      </c>
      <c r="N3207">
        <v>15.44</v>
      </c>
      <c r="O3207">
        <v>1742.71</v>
      </c>
      <c r="P3207">
        <v>0</v>
      </c>
      <c r="Q3207">
        <v>1742.71</v>
      </c>
      <c r="R3207">
        <v>278.83</v>
      </c>
      <c r="S3207">
        <v>69.709999999999994</v>
      </c>
      <c r="T3207">
        <v>1951.83</v>
      </c>
      <c r="U3207" t="s">
        <v>7520</v>
      </c>
      <c r="V3207" t="s">
        <v>9408</v>
      </c>
      <c r="W3207" t="s">
        <v>423</v>
      </c>
    </row>
    <row r="3208" spans="1:23" hidden="1" x14ac:dyDescent="0.2">
      <c r="A3208">
        <v>2012</v>
      </c>
      <c r="B3208" t="s">
        <v>304</v>
      </c>
      <c r="C3208" s="733">
        <v>40948</v>
      </c>
      <c r="D32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08" t="s">
        <v>485</v>
      </c>
      <c r="F3208" t="s">
        <v>2065</v>
      </c>
      <c r="G3208" t="s">
        <v>3200</v>
      </c>
      <c r="H3208">
        <v>41605</v>
      </c>
      <c r="I3208" t="s">
        <v>423</v>
      </c>
      <c r="J3208" t="s">
        <v>2182</v>
      </c>
      <c r="K3208" t="s">
        <v>2183</v>
      </c>
      <c r="L3208" t="s">
        <v>2115</v>
      </c>
      <c r="M3208">
        <v>62</v>
      </c>
      <c r="N3208">
        <v>16.32</v>
      </c>
      <c r="O3208">
        <v>1842.04</v>
      </c>
      <c r="P3208">
        <v>0</v>
      </c>
      <c r="Q3208">
        <v>1842.04</v>
      </c>
      <c r="R3208">
        <v>294.73</v>
      </c>
      <c r="S3208">
        <v>73.680000000000007</v>
      </c>
      <c r="T3208">
        <v>2063.09</v>
      </c>
      <c r="U3208" t="s">
        <v>2192</v>
      </c>
      <c r="V3208" t="s">
        <v>9408</v>
      </c>
      <c r="W3208" t="s">
        <v>423</v>
      </c>
    </row>
    <row r="3209" spans="1:23" hidden="1" x14ac:dyDescent="0.2">
      <c r="A3209">
        <v>2012</v>
      </c>
      <c r="B3209" t="s">
        <v>304</v>
      </c>
      <c r="C3209" s="733">
        <v>40955</v>
      </c>
      <c r="D32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09" t="s">
        <v>485</v>
      </c>
      <c r="F3209" t="s">
        <v>2065</v>
      </c>
      <c r="G3209" t="s">
        <v>7841</v>
      </c>
      <c r="H3209">
        <v>42056</v>
      </c>
      <c r="I3209" t="s">
        <v>423</v>
      </c>
      <c r="J3209" t="s">
        <v>2196</v>
      </c>
      <c r="K3209" t="s">
        <v>2183</v>
      </c>
      <c r="L3209" t="s">
        <v>2184</v>
      </c>
      <c r="M3209">
        <v>10</v>
      </c>
      <c r="N3209">
        <v>24.43</v>
      </c>
      <c r="O3209">
        <v>2757.41</v>
      </c>
      <c r="P3209">
        <v>0</v>
      </c>
      <c r="Q3209">
        <v>2757.41</v>
      </c>
      <c r="R3209">
        <v>441.19</v>
      </c>
      <c r="S3209">
        <v>110.3</v>
      </c>
      <c r="T3209">
        <v>3088.3</v>
      </c>
      <c r="U3209" t="s">
        <v>8048</v>
      </c>
      <c r="V3209" t="s">
        <v>9408</v>
      </c>
      <c r="W3209" t="s">
        <v>423</v>
      </c>
    </row>
    <row r="3210" spans="1:23" hidden="1" x14ac:dyDescent="0.2">
      <c r="A3210">
        <v>2012</v>
      </c>
      <c r="B3210" t="s">
        <v>303</v>
      </c>
      <c r="C3210" s="733">
        <v>40928</v>
      </c>
      <c r="D32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10" t="s">
        <v>485</v>
      </c>
      <c r="F3210" t="s">
        <v>2065</v>
      </c>
      <c r="G3210" t="s">
        <v>3195</v>
      </c>
      <c r="H3210">
        <v>40599</v>
      </c>
      <c r="I3210" t="s">
        <v>423</v>
      </c>
      <c r="J3210" t="s">
        <v>2196</v>
      </c>
      <c r="K3210" t="s">
        <v>2183</v>
      </c>
      <c r="L3210" t="s">
        <v>2184</v>
      </c>
      <c r="M3210">
        <v>10</v>
      </c>
      <c r="N3210">
        <v>15.28</v>
      </c>
      <c r="O3210">
        <v>1724.65</v>
      </c>
      <c r="P3210">
        <v>0</v>
      </c>
      <c r="Q3210">
        <v>1724.65</v>
      </c>
      <c r="R3210">
        <v>275.94</v>
      </c>
      <c r="S3210">
        <v>68.989999999999995</v>
      </c>
      <c r="T3210">
        <v>1931.6</v>
      </c>
      <c r="U3210" t="s">
        <v>7554</v>
      </c>
      <c r="V3210" t="s">
        <v>9408</v>
      </c>
      <c r="W3210" t="s">
        <v>423</v>
      </c>
    </row>
    <row r="3211" spans="1:23" hidden="1" x14ac:dyDescent="0.2">
      <c r="A3211">
        <v>2012</v>
      </c>
      <c r="B3211" t="s">
        <v>304</v>
      </c>
      <c r="C3211" s="733">
        <v>40959</v>
      </c>
      <c r="D32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11" t="s">
        <v>485</v>
      </c>
      <c r="F3211" t="s">
        <v>2065</v>
      </c>
      <c r="G3211" t="s">
        <v>7895</v>
      </c>
      <c r="H3211">
        <v>42083</v>
      </c>
      <c r="I3211" t="s">
        <v>423</v>
      </c>
      <c r="J3211" t="s">
        <v>2139</v>
      </c>
      <c r="K3211" t="s">
        <v>2102</v>
      </c>
      <c r="L3211" t="s">
        <v>2115</v>
      </c>
      <c r="M3211">
        <v>543</v>
      </c>
      <c r="N3211">
        <v>52.08</v>
      </c>
      <c r="O3211">
        <v>17511.900000000001</v>
      </c>
      <c r="P3211">
        <v>0</v>
      </c>
      <c r="Q3211">
        <v>17511.900000000001</v>
      </c>
      <c r="R3211">
        <v>2801.9</v>
      </c>
      <c r="S3211">
        <v>700.48</v>
      </c>
      <c r="T3211">
        <v>19613.32</v>
      </c>
      <c r="V3211" t="s">
        <v>9409</v>
      </c>
      <c r="W3211" t="s">
        <v>423</v>
      </c>
    </row>
    <row r="3212" spans="1:23" hidden="1" x14ac:dyDescent="0.2">
      <c r="A3212">
        <v>2012</v>
      </c>
      <c r="B3212" t="s">
        <v>304</v>
      </c>
      <c r="C3212" s="733">
        <v>40952</v>
      </c>
      <c r="D32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12" t="s">
        <v>485</v>
      </c>
      <c r="F3212" t="s">
        <v>2065</v>
      </c>
      <c r="G3212" t="s">
        <v>3196</v>
      </c>
      <c r="H3212">
        <v>41700</v>
      </c>
      <c r="I3212" t="s">
        <v>423</v>
      </c>
      <c r="J3212" t="s">
        <v>2196</v>
      </c>
      <c r="K3212" t="s">
        <v>2183</v>
      </c>
      <c r="L3212" t="s">
        <v>2184</v>
      </c>
      <c r="M3212">
        <v>10</v>
      </c>
      <c r="N3212">
        <v>15.84</v>
      </c>
      <c r="O3212">
        <v>1787.86</v>
      </c>
      <c r="P3212">
        <v>0</v>
      </c>
      <c r="Q3212">
        <v>1787.86</v>
      </c>
      <c r="R3212">
        <v>286.06</v>
      </c>
      <c r="S3212">
        <v>71.510000000000005</v>
      </c>
      <c r="T3212">
        <v>2002.41</v>
      </c>
      <c r="U3212" t="s">
        <v>8048</v>
      </c>
      <c r="V3212" t="s">
        <v>9408</v>
      </c>
      <c r="W3212" t="s">
        <v>423</v>
      </c>
    </row>
    <row r="3213" spans="1:23" hidden="1" x14ac:dyDescent="0.2">
      <c r="A3213">
        <v>2012</v>
      </c>
      <c r="B3213" t="s">
        <v>304</v>
      </c>
      <c r="C3213" s="733">
        <v>40942</v>
      </c>
      <c r="D32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13" t="s">
        <v>478</v>
      </c>
      <c r="F3213" t="s">
        <v>2622</v>
      </c>
      <c r="G3213" t="s">
        <v>5007</v>
      </c>
      <c r="H3213">
        <v>35256</v>
      </c>
      <c r="I3213" t="s">
        <v>423</v>
      </c>
      <c r="J3213" t="s">
        <v>2668</v>
      </c>
      <c r="K3213" t="s">
        <v>2625</v>
      </c>
      <c r="L3213" t="s">
        <v>2626</v>
      </c>
      <c r="M3213">
        <v>76</v>
      </c>
      <c r="N3213">
        <v>23.81</v>
      </c>
      <c r="O3213">
        <v>2783.63</v>
      </c>
      <c r="P3213">
        <v>0</v>
      </c>
      <c r="Q3213">
        <v>2783.63</v>
      </c>
      <c r="R3213">
        <v>445.38</v>
      </c>
      <c r="S3213">
        <v>111.35</v>
      </c>
      <c r="T3213">
        <v>3117.66</v>
      </c>
      <c r="U3213" t="s">
        <v>2652</v>
      </c>
      <c r="V3213" t="s">
        <v>9408</v>
      </c>
      <c r="W3213" t="s">
        <v>423</v>
      </c>
    </row>
    <row r="3214" spans="1:23" hidden="1" x14ac:dyDescent="0.2">
      <c r="A3214">
        <v>2012</v>
      </c>
      <c r="B3214" t="s">
        <v>303</v>
      </c>
      <c r="C3214" s="733">
        <v>40938</v>
      </c>
      <c r="D32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14" t="s">
        <v>485</v>
      </c>
      <c r="F3214" t="s">
        <v>2065</v>
      </c>
      <c r="G3214" t="s">
        <v>3201</v>
      </c>
      <c r="H3214">
        <v>41085</v>
      </c>
      <c r="I3214" t="s">
        <v>423</v>
      </c>
      <c r="J3214" t="s">
        <v>3202</v>
      </c>
      <c r="K3214" t="s">
        <v>2183</v>
      </c>
      <c r="L3214" t="s">
        <v>2184</v>
      </c>
      <c r="M3214">
        <v>80</v>
      </c>
      <c r="N3214">
        <v>15.58</v>
      </c>
      <c r="O3214">
        <v>1758.51</v>
      </c>
      <c r="P3214">
        <v>0</v>
      </c>
      <c r="Q3214">
        <v>1758.51</v>
      </c>
      <c r="R3214">
        <v>281.36</v>
      </c>
      <c r="S3214">
        <v>70.34</v>
      </c>
      <c r="T3214">
        <v>1969.53</v>
      </c>
      <c r="U3214" t="s">
        <v>2187</v>
      </c>
      <c r="V3214" t="s">
        <v>9408</v>
      </c>
      <c r="W3214" t="s">
        <v>423</v>
      </c>
    </row>
    <row r="3215" spans="1:23" hidden="1" x14ac:dyDescent="0.2">
      <c r="A3215">
        <v>2012</v>
      </c>
      <c r="B3215" t="s">
        <v>304</v>
      </c>
      <c r="C3215" s="733">
        <v>40955</v>
      </c>
      <c r="D32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15" t="s">
        <v>478</v>
      </c>
      <c r="F3215" t="s">
        <v>2136</v>
      </c>
      <c r="G3215" t="s">
        <v>7645</v>
      </c>
      <c r="H3215">
        <v>35678</v>
      </c>
      <c r="I3215" t="s">
        <v>423</v>
      </c>
      <c r="J3215" t="s">
        <v>2148</v>
      </c>
      <c r="K3215" t="s">
        <v>425</v>
      </c>
      <c r="L3215" t="s">
        <v>2145</v>
      </c>
      <c r="M3215">
        <v>205</v>
      </c>
      <c r="N3215">
        <v>21.59</v>
      </c>
      <c r="O3215">
        <v>4282.8100000000004</v>
      </c>
      <c r="P3215">
        <v>0</v>
      </c>
      <c r="Q3215">
        <v>4282.8100000000004</v>
      </c>
      <c r="R3215">
        <v>685.25</v>
      </c>
      <c r="S3215">
        <v>171.31</v>
      </c>
      <c r="T3215">
        <v>4796.75</v>
      </c>
      <c r="U3215" t="s">
        <v>7553</v>
      </c>
      <c r="V3215" t="s">
        <v>9408</v>
      </c>
      <c r="W3215" t="s">
        <v>423</v>
      </c>
    </row>
    <row r="3216" spans="1:23" hidden="1" x14ac:dyDescent="0.2">
      <c r="A3216">
        <v>2012</v>
      </c>
      <c r="B3216" t="s">
        <v>303</v>
      </c>
      <c r="C3216" s="733">
        <v>40932</v>
      </c>
      <c r="D32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16" t="s">
        <v>478</v>
      </c>
      <c r="F3216" t="s">
        <v>2136</v>
      </c>
      <c r="G3216" t="s">
        <v>6824</v>
      </c>
      <c r="H3216">
        <v>34870</v>
      </c>
      <c r="I3216" t="s">
        <v>423</v>
      </c>
      <c r="J3216" t="s">
        <v>4273</v>
      </c>
      <c r="K3216" t="s">
        <v>425</v>
      </c>
      <c r="L3216" t="s">
        <v>2145</v>
      </c>
      <c r="M3216">
        <v>797</v>
      </c>
      <c r="N3216">
        <v>21.83</v>
      </c>
      <c r="O3216">
        <v>8359.36</v>
      </c>
      <c r="P3216">
        <v>0</v>
      </c>
      <c r="Q3216">
        <v>8359.36</v>
      </c>
      <c r="R3216">
        <v>1337.5</v>
      </c>
      <c r="S3216">
        <v>334.37</v>
      </c>
      <c r="T3216">
        <v>9362.49</v>
      </c>
      <c r="U3216" t="s">
        <v>2355</v>
      </c>
      <c r="V3216" t="s">
        <v>9408</v>
      </c>
      <c r="W3216" t="s">
        <v>423</v>
      </c>
    </row>
    <row r="3217" spans="1:23" hidden="1" x14ac:dyDescent="0.2">
      <c r="A3217">
        <v>2012</v>
      </c>
      <c r="B3217" t="s">
        <v>304</v>
      </c>
      <c r="C3217" s="733">
        <v>40948</v>
      </c>
      <c r="D32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17" t="s">
        <v>485</v>
      </c>
      <c r="F3217" t="s">
        <v>3450</v>
      </c>
      <c r="G3217" t="s">
        <v>3451</v>
      </c>
      <c r="H3217">
        <v>41462</v>
      </c>
      <c r="I3217" t="s">
        <v>423</v>
      </c>
      <c r="J3217" t="s">
        <v>3452</v>
      </c>
      <c r="K3217" t="s">
        <v>3453</v>
      </c>
      <c r="L3217" t="s">
        <v>3454</v>
      </c>
      <c r="M3217">
        <v>19</v>
      </c>
      <c r="N3217">
        <v>28.71</v>
      </c>
      <c r="O3217">
        <v>3240.5</v>
      </c>
      <c r="P3217">
        <v>0</v>
      </c>
      <c r="Q3217">
        <v>3240.5</v>
      </c>
      <c r="R3217">
        <v>518.48</v>
      </c>
      <c r="S3217">
        <v>129.62</v>
      </c>
      <c r="T3217">
        <v>3629.36</v>
      </c>
      <c r="U3217" t="s">
        <v>3455</v>
      </c>
      <c r="V3217" t="s">
        <v>9408</v>
      </c>
      <c r="W3217" t="s">
        <v>423</v>
      </c>
    </row>
    <row r="3218" spans="1:23" hidden="1" x14ac:dyDescent="0.2">
      <c r="A3218">
        <v>2012</v>
      </c>
      <c r="B3218" t="s">
        <v>304</v>
      </c>
      <c r="C3218" s="733">
        <v>40953</v>
      </c>
      <c r="D32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18" t="s">
        <v>485</v>
      </c>
      <c r="F3218" t="s">
        <v>3450</v>
      </c>
      <c r="G3218" t="s">
        <v>3460</v>
      </c>
      <c r="H3218">
        <v>41678</v>
      </c>
      <c r="I3218" t="s">
        <v>423</v>
      </c>
      <c r="J3218" t="s">
        <v>3452</v>
      </c>
      <c r="K3218" t="s">
        <v>3453</v>
      </c>
      <c r="L3218" t="s">
        <v>3454</v>
      </c>
      <c r="M3218">
        <v>19</v>
      </c>
      <c r="N3218">
        <v>28.84</v>
      </c>
      <c r="O3218">
        <v>3255.17</v>
      </c>
      <c r="P3218">
        <v>0</v>
      </c>
      <c r="Q3218">
        <v>3255.17</v>
      </c>
      <c r="R3218">
        <v>520.83000000000004</v>
      </c>
      <c r="S3218">
        <v>130.21</v>
      </c>
      <c r="T3218">
        <v>3645.79</v>
      </c>
      <c r="U3218" t="s">
        <v>7533</v>
      </c>
      <c r="V3218" t="s">
        <v>9408</v>
      </c>
      <c r="W3218" t="s">
        <v>423</v>
      </c>
    </row>
    <row r="3219" spans="1:23" hidden="1" x14ac:dyDescent="0.2">
      <c r="A3219">
        <v>2012</v>
      </c>
      <c r="B3219" t="s">
        <v>303</v>
      </c>
      <c r="C3219" s="733">
        <v>40926</v>
      </c>
      <c r="D32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19" t="s">
        <v>485</v>
      </c>
      <c r="F3219" t="s">
        <v>3450</v>
      </c>
      <c r="G3219" t="s">
        <v>3458</v>
      </c>
      <c r="H3219">
        <v>40129</v>
      </c>
      <c r="I3219" t="s">
        <v>423</v>
      </c>
      <c r="J3219" t="s">
        <v>3452</v>
      </c>
      <c r="K3219" t="s">
        <v>3453</v>
      </c>
      <c r="L3219" t="s">
        <v>3454</v>
      </c>
      <c r="M3219">
        <v>19</v>
      </c>
      <c r="N3219">
        <v>27.13</v>
      </c>
      <c r="O3219">
        <v>3062.16</v>
      </c>
      <c r="P3219">
        <v>0</v>
      </c>
      <c r="Q3219">
        <v>3062.16</v>
      </c>
      <c r="R3219">
        <v>489.95</v>
      </c>
      <c r="S3219">
        <v>122.49</v>
      </c>
      <c r="T3219">
        <v>3429.62</v>
      </c>
      <c r="U3219" t="s">
        <v>3459</v>
      </c>
      <c r="V3219" t="s">
        <v>9408</v>
      </c>
      <c r="W3219" t="s">
        <v>423</v>
      </c>
    </row>
    <row r="3220" spans="1:23" x14ac:dyDescent="0.2">
      <c r="A3220">
        <v>2012</v>
      </c>
      <c r="B3220" t="s">
        <v>304</v>
      </c>
      <c r="C3220" s="733">
        <v>40968</v>
      </c>
      <c r="D32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20" t="s">
        <v>485</v>
      </c>
      <c r="F3220" t="s">
        <v>3450</v>
      </c>
      <c r="G3220" t="s">
        <v>9600</v>
      </c>
      <c r="H3220">
        <v>42676</v>
      </c>
      <c r="I3220" t="s">
        <v>423</v>
      </c>
      <c r="J3220" t="s">
        <v>3457</v>
      </c>
      <c r="K3220" t="s">
        <v>3453</v>
      </c>
      <c r="L3220" t="s">
        <v>3454</v>
      </c>
      <c r="M3220">
        <v>29</v>
      </c>
      <c r="N3220">
        <v>28.62</v>
      </c>
      <c r="O3220">
        <v>3230.34</v>
      </c>
      <c r="P3220">
        <v>0</v>
      </c>
      <c r="Q3220">
        <v>3230.34</v>
      </c>
      <c r="R3220">
        <v>516.85</v>
      </c>
      <c r="S3220">
        <v>129.21</v>
      </c>
      <c r="T3220">
        <v>3617.98</v>
      </c>
      <c r="V3220" t="s">
        <v>9408</v>
      </c>
      <c r="W3220" t="s">
        <v>423</v>
      </c>
    </row>
    <row r="3221" spans="1:23" hidden="1" x14ac:dyDescent="0.2">
      <c r="A3221">
        <v>2012</v>
      </c>
      <c r="B3221" t="s">
        <v>304</v>
      </c>
      <c r="C3221" s="733">
        <v>40952</v>
      </c>
      <c r="D32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21" t="s">
        <v>485</v>
      </c>
      <c r="F3221" t="s">
        <v>2065</v>
      </c>
      <c r="G3221" t="s">
        <v>5824</v>
      </c>
      <c r="H3221">
        <v>41701</v>
      </c>
      <c r="I3221" t="s">
        <v>423</v>
      </c>
      <c r="J3221" t="s">
        <v>2196</v>
      </c>
      <c r="K3221" t="s">
        <v>2183</v>
      </c>
      <c r="L3221" t="s">
        <v>2184</v>
      </c>
      <c r="M3221">
        <v>10</v>
      </c>
      <c r="N3221">
        <v>15.97</v>
      </c>
      <c r="O3221">
        <v>1802.53</v>
      </c>
      <c r="P3221">
        <v>0</v>
      </c>
      <c r="Q3221">
        <v>1802.53</v>
      </c>
      <c r="R3221">
        <v>288.41000000000003</v>
      </c>
      <c r="S3221">
        <v>72.099999999999994</v>
      </c>
      <c r="T3221">
        <v>2018.84</v>
      </c>
      <c r="U3221" t="s">
        <v>8048</v>
      </c>
      <c r="V3221" t="s">
        <v>9408</v>
      </c>
      <c r="W3221" t="s">
        <v>423</v>
      </c>
    </row>
    <row r="3222" spans="1:23" hidden="1" x14ac:dyDescent="0.2">
      <c r="A3222">
        <v>2012</v>
      </c>
      <c r="B3222" t="s">
        <v>304</v>
      </c>
      <c r="C3222" s="733">
        <v>40954</v>
      </c>
      <c r="D32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22" t="s">
        <v>485</v>
      </c>
      <c r="F3222" t="s">
        <v>2065</v>
      </c>
      <c r="G3222" t="s">
        <v>7493</v>
      </c>
      <c r="H3222">
        <v>41803</v>
      </c>
      <c r="I3222" t="s">
        <v>423</v>
      </c>
      <c r="J3222" t="s">
        <v>2139</v>
      </c>
      <c r="K3222" t="s">
        <v>2102</v>
      </c>
      <c r="L3222" t="s">
        <v>2115</v>
      </c>
      <c r="M3222">
        <v>543</v>
      </c>
      <c r="N3222">
        <v>51.81</v>
      </c>
      <c r="O3222">
        <v>17421.11</v>
      </c>
      <c r="P3222">
        <v>0</v>
      </c>
      <c r="Q3222">
        <v>17421.11</v>
      </c>
      <c r="R3222">
        <v>2787.38</v>
      </c>
      <c r="S3222">
        <v>696.84</v>
      </c>
      <c r="T3222">
        <v>19511.650000000001</v>
      </c>
      <c r="U3222" t="s">
        <v>8051</v>
      </c>
      <c r="V3222" t="s">
        <v>9409</v>
      </c>
      <c r="W3222" t="s">
        <v>423</v>
      </c>
    </row>
    <row r="3223" spans="1:23" hidden="1" x14ac:dyDescent="0.2">
      <c r="A3223">
        <v>2012</v>
      </c>
      <c r="B3223" t="s">
        <v>304</v>
      </c>
      <c r="C3223" s="733">
        <v>40940</v>
      </c>
      <c r="D32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23" t="s">
        <v>485</v>
      </c>
      <c r="F3223" t="s">
        <v>2065</v>
      </c>
      <c r="G3223" t="s">
        <v>3763</v>
      </c>
      <c r="H3223">
        <v>41214</v>
      </c>
      <c r="I3223" t="s">
        <v>423</v>
      </c>
      <c r="J3223" t="s">
        <v>2139</v>
      </c>
      <c r="K3223" t="s">
        <v>2102</v>
      </c>
      <c r="L3223" t="s">
        <v>2115</v>
      </c>
      <c r="M3223">
        <v>543</v>
      </c>
      <c r="N3223">
        <v>51.26</v>
      </c>
      <c r="O3223">
        <v>17236.18</v>
      </c>
      <c r="P3223">
        <v>0</v>
      </c>
      <c r="Q3223">
        <v>17236.18</v>
      </c>
      <c r="R3223">
        <v>2757.79</v>
      </c>
      <c r="S3223">
        <v>689.45</v>
      </c>
      <c r="T3223">
        <v>19304.52</v>
      </c>
      <c r="U3223" t="s">
        <v>2110</v>
      </c>
      <c r="V3223" t="s">
        <v>9409</v>
      </c>
      <c r="W3223" t="s">
        <v>423</v>
      </c>
    </row>
    <row r="3224" spans="1:23" hidden="1" x14ac:dyDescent="0.2">
      <c r="A3224">
        <v>2012</v>
      </c>
      <c r="B3224" t="s">
        <v>303</v>
      </c>
      <c r="C3224" s="733">
        <v>40918</v>
      </c>
      <c r="D32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24" t="s">
        <v>485</v>
      </c>
      <c r="F3224" t="s">
        <v>2065</v>
      </c>
      <c r="G3224" t="s">
        <v>3764</v>
      </c>
      <c r="H3224">
        <v>39914</v>
      </c>
      <c r="I3224" t="s">
        <v>423</v>
      </c>
      <c r="J3224" t="s">
        <v>2139</v>
      </c>
      <c r="K3224" t="s">
        <v>2102</v>
      </c>
      <c r="L3224" t="s">
        <v>2115</v>
      </c>
      <c r="M3224">
        <v>543</v>
      </c>
      <c r="N3224">
        <v>50.21</v>
      </c>
      <c r="O3224">
        <v>16883.11</v>
      </c>
      <c r="P3224">
        <v>0</v>
      </c>
      <c r="Q3224">
        <v>16883.11</v>
      </c>
      <c r="R3224">
        <v>2701.3</v>
      </c>
      <c r="S3224">
        <v>675.32</v>
      </c>
      <c r="T3224">
        <v>18909.09</v>
      </c>
      <c r="U3224" t="s">
        <v>2106</v>
      </c>
      <c r="V3224" t="s">
        <v>9409</v>
      </c>
      <c r="W3224" t="s">
        <v>423</v>
      </c>
    </row>
    <row r="3225" spans="1:23" hidden="1" x14ac:dyDescent="0.2">
      <c r="A3225">
        <v>2012</v>
      </c>
      <c r="B3225" t="s">
        <v>304</v>
      </c>
      <c r="C3225" s="733">
        <v>40966</v>
      </c>
      <c r="D32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25" t="s">
        <v>478</v>
      </c>
      <c r="F3225" t="s">
        <v>2136</v>
      </c>
      <c r="G3225" t="s">
        <v>9088</v>
      </c>
      <c r="H3225">
        <v>36051</v>
      </c>
      <c r="I3225" t="s">
        <v>423</v>
      </c>
      <c r="J3225" t="s">
        <v>4285</v>
      </c>
      <c r="K3225" t="s">
        <v>425</v>
      </c>
      <c r="L3225" t="s">
        <v>2145</v>
      </c>
      <c r="M3225">
        <v>110</v>
      </c>
      <c r="N3225">
        <v>25.38</v>
      </c>
      <c r="O3225">
        <v>4130.6000000000004</v>
      </c>
      <c r="P3225">
        <v>0</v>
      </c>
      <c r="Q3225">
        <v>4130.6000000000004</v>
      </c>
      <c r="R3225">
        <v>660.9</v>
      </c>
      <c r="S3225">
        <v>165.22</v>
      </c>
      <c r="T3225">
        <v>4626.28</v>
      </c>
      <c r="U3225" t="s">
        <v>9457</v>
      </c>
      <c r="V3225" t="s">
        <v>9408</v>
      </c>
      <c r="W3225" t="s">
        <v>423</v>
      </c>
    </row>
    <row r="3226" spans="1:23" hidden="1" x14ac:dyDescent="0.2">
      <c r="A3226">
        <v>2012</v>
      </c>
      <c r="B3226" t="s">
        <v>304</v>
      </c>
      <c r="C3226" s="733">
        <v>40955</v>
      </c>
      <c r="D32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26" t="s">
        <v>485</v>
      </c>
      <c r="F3226" t="s">
        <v>2065</v>
      </c>
      <c r="G3226" t="s">
        <v>7997</v>
      </c>
      <c r="H3226">
        <v>42060</v>
      </c>
      <c r="I3226" t="s">
        <v>423</v>
      </c>
      <c r="J3226" t="s">
        <v>2196</v>
      </c>
      <c r="K3226" t="s">
        <v>2183</v>
      </c>
      <c r="L3226" t="s">
        <v>2184</v>
      </c>
      <c r="M3226">
        <v>10</v>
      </c>
      <c r="N3226">
        <v>48.27</v>
      </c>
      <c r="O3226">
        <v>5448.23</v>
      </c>
      <c r="P3226">
        <v>0</v>
      </c>
      <c r="Q3226">
        <v>5448.23</v>
      </c>
      <c r="R3226">
        <v>871.72</v>
      </c>
      <c r="S3226">
        <v>217.93</v>
      </c>
      <c r="T3226">
        <v>6102.02</v>
      </c>
      <c r="U3226" t="s">
        <v>8048</v>
      </c>
      <c r="V3226" t="s">
        <v>9409</v>
      </c>
      <c r="W3226" t="s">
        <v>423</v>
      </c>
    </row>
    <row r="3227" spans="1:23" x14ac:dyDescent="0.2">
      <c r="A3227">
        <v>2012</v>
      </c>
      <c r="B3227" t="s">
        <v>304</v>
      </c>
      <c r="C3227" s="733">
        <v>40967</v>
      </c>
      <c r="D32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27" t="s">
        <v>485</v>
      </c>
      <c r="F3227" t="s">
        <v>2065</v>
      </c>
      <c r="G3227" t="s">
        <v>9089</v>
      </c>
      <c r="H3227">
        <v>42704</v>
      </c>
      <c r="I3227" t="s">
        <v>423</v>
      </c>
      <c r="J3227" t="s">
        <v>2196</v>
      </c>
      <c r="K3227" t="s">
        <v>2183</v>
      </c>
      <c r="L3227" t="s">
        <v>2184</v>
      </c>
      <c r="M3227">
        <v>10</v>
      </c>
      <c r="N3227">
        <v>50.75</v>
      </c>
      <c r="O3227">
        <v>5728.15</v>
      </c>
      <c r="P3227">
        <v>0</v>
      </c>
      <c r="Q3227">
        <v>5728.15</v>
      </c>
      <c r="R3227">
        <v>916.5</v>
      </c>
      <c r="S3227">
        <v>229.13</v>
      </c>
      <c r="T3227">
        <v>6415.52</v>
      </c>
      <c r="V3227" t="s">
        <v>9409</v>
      </c>
      <c r="W3227" t="s">
        <v>423</v>
      </c>
    </row>
    <row r="3228" spans="1:23" hidden="1" x14ac:dyDescent="0.2">
      <c r="A3228">
        <v>2012</v>
      </c>
      <c r="B3228" t="s">
        <v>304</v>
      </c>
      <c r="C3228" s="733">
        <v>40941</v>
      </c>
      <c r="D32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28" t="s">
        <v>485</v>
      </c>
      <c r="F3228" t="s">
        <v>2065</v>
      </c>
      <c r="G3228" t="s">
        <v>5649</v>
      </c>
      <c r="H3228">
        <v>41286</v>
      </c>
      <c r="I3228" t="s">
        <v>423</v>
      </c>
      <c r="J3228" t="s">
        <v>2213</v>
      </c>
      <c r="K3228" t="s">
        <v>2183</v>
      </c>
      <c r="L3228" t="s">
        <v>2184</v>
      </c>
      <c r="M3228">
        <v>64</v>
      </c>
      <c r="N3228">
        <v>15.92</v>
      </c>
      <c r="O3228">
        <v>1796.89</v>
      </c>
      <c r="P3228">
        <v>0</v>
      </c>
      <c r="Q3228">
        <v>1796.89</v>
      </c>
      <c r="R3228">
        <v>287.5</v>
      </c>
      <c r="S3228">
        <v>71.88</v>
      </c>
      <c r="T3228">
        <v>2012.51</v>
      </c>
      <c r="V3228" t="s">
        <v>9408</v>
      </c>
      <c r="W3228" t="s">
        <v>423</v>
      </c>
    </row>
    <row r="3229" spans="1:23" hidden="1" x14ac:dyDescent="0.2">
      <c r="A3229">
        <v>2012</v>
      </c>
      <c r="B3229" t="s">
        <v>303</v>
      </c>
      <c r="C3229" s="733">
        <v>40939</v>
      </c>
      <c r="D32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29" t="s">
        <v>478</v>
      </c>
      <c r="F3229" t="s">
        <v>2622</v>
      </c>
      <c r="G3229" t="s">
        <v>6223</v>
      </c>
      <c r="H3229">
        <v>35119</v>
      </c>
      <c r="I3229" t="s">
        <v>423</v>
      </c>
      <c r="J3229" t="s">
        <v>2624</v>
      </c>
      <c r="K3229" t="s">
        <v>2625</v>
      </c>
      <c r="L3229" t="s">
        <v>2626</v>
      </c>
      <c r="M3229">
        <v>10</v>
      </c>
      <c r="N3229">
        <v>24.46</v>
      </c>
      <c r="O3229">
        <v>2859.62</v>
      </c>
      <c r="P3229">
        <v>0</v>
      </c>
      <c r="Q3229">
        <v>2859.62</v>
      </c>
      <c r="R3229">
        <v>457.54</v>
      </c>
      <c r="S3229">
        <v>114.38</v>
      </c>
      <c r="T3229">
        <v>3202.78</v>
      </c>
      <c r="U3229" t="s">
        <v>2630</v>
      </c>
      <c r="V3229" t="s">
        <v>9408</v>
      </c>
      <c r="W3229" t="s">
        <v>423</v>
      </c>
    </row>
    <row r="3230" spans="1:23" hidden="1" x14ac:dyDescent="0.2">
      <c r="A3230">
        <v>2012</v>
      </c>
      <c r="B3230" t="s">
        <v>304</v>
      </c>
      <c r="C3230" s="733">
        <v>40948.570729166669</v>
      </c>
      <c r="D32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30" t="s">
        <v>485</v>
      </c>
      <c r="F3230" t="s">
        <v>2054</v>
      </c>
      <c r="G3230" t="s">
        <v>2741</v>
      </c>
      <c r="H3230">
        <v>10366</v>
      </c>
      <c r="I3230" t="s">
        <v>423</v>
      </c>
      <c r="J3230" t="s">
        <v>2072</v>
      </c>
      <c r="K3230" t="s">
        <v>2057</v>
      </c>
      <c r="L3230" t="s">
        <v>2058</v>
      </c>
      <c r="M3230">
        <v>406</v>
      </c>
      <c r="N3230">
        <v>45.33</v>
      </c>
      <c r="O3230">
        <v>12387.78</v>
      </c>
      <c r="P3230">
        <v>0</v>
      </c>
      <c r="Q3230">
        <v>12387.78</v>
      </c>
      <c r="R3230">
        <v>1362.66</v>
      </c>
      <c r="S3230">
        <v>495.51</v>
      </c>
      <c r="T3230">
        <v>13254.93</v>
      </c>
      <c r="U3230" t="s">
        <v>2082</v>
      </c>
      <c r="V3230" t="s">
        <v>9409</v>
      </c>
      <c r="W3230" t="s">
        <v>423</v>
      </c>
    </row>
    <row r="3231" spans="1:23" hidden="1" x14ac:dyDescent="0.2">
      <c r="A3231">
        <v>2012</v>
      </c>
      <c r="B3231" t="s">
        <v>303</v>
      </c>
      <c r="C3231" s="733">
        <v>40938.448125000003</v>
      </c>
      <c r="D32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31" t="s">
        <v>485</v>
      </c>
      <c r="F3231" t="s">
        <v>2054</v>
      </c>
      <c r="G3231" t="s">
        <v>2742</v>
      </c>
      <c r="H3231">
        <v>10254</v>
      </c>
      <c r="I3231" t="s">
        <v>423</v>
      </c>
      <c r="J3231" t="s">
        <v>2072</v>
      </c>
      <c r="K3231" t="s">
        <v>2057</v>
      </c>
      <c r="L3231" t="s">
        <v>2058</v>
      </c>
      <c r="M3231">
        <v>406</v>
      </c>
      <c r="N3231">
        <v>46.61</v>
      </c>
      <c r="O3231">
        <v>12737.58</v>
      </c>
      <c r="P3231">
        <v>0</v>
      </c>
      <c r="Q3231">
        <v>12737.58</v>
      </c>
      <c r="R3231">
        <v>2038.01</v>
      </c>
      <c r="S3231">
        <v>509.5</v>
      </c>
      <c r="T3231">
        <v>14266.09</v>
      </c>
      <c r="U3231" t="s">
        <v>2075</v>
      </c>
      <c r="V3231" t="s">
        <v>9409</v>
      </c>
      <c r="W3231" t="s">
        <v>423</v>
      </c>
    </row>
    <row r="3232" spans="1:23" hidden="1" x14ac:dyDescent="0.2">
      <c r="A3232">
        <v>2012</v>
      </c>
      <c r="B3232" t="s">
        <v>304</v>
      </c>
      <c r="C3232" s="733">
        <v>40943</v>
      </c>
      <c r="D32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32" t="s">
        <v>485</v>
      </c>
      <c r="F3232" t="s">
        <v>2054</v>
      </c>
      <c r="G3232" t="s">
        <v>2743</v>
      </c>
      <c r="H3232">
        <v>10322</v>
      </c>
      <c r="I3232" t="s">
        <v>423</v>
      </c>
      <c r="J3232" t="s">
        <v>2072</v>
      </c>
      <c r="K3232" t="s">
        <v>2057</v>
      </c>
      <c r="L3232" t="s">
        <v>2058</v>
      </c>
      <c r="M3232">
        <v>406</v>
      </c>
      <c r="N3232">
        <v>46.73</v>
      </c>
      <c r="O3232">
        <v>12770.37</v>
      </c>
      <c r="P3232">
        <v>0</v>
      </c>
      <c r="Q3232">
        <v>12770.37</v>
      </c>
      <c r="R3232">
        <v>2043.26</v>
      </c>
      <c r="S3232">
        <v>510.81</v>
      </c>
      <c r="T3232">
        <v>14302.82</v>
      </c>
      <c r="U3232" t="s">
        <v>2075</v>
      </c>
      <c r="V3232" t="s">
        <v>9409</v>
      </c>
      <c r="W3232" t="s">
        <v>423</v>
      </c>
    </row>
    <row r="3233" spans="1:23" hidden="1" x14ac:dyDescent="0.2">
      <c r="A3233">
        <v>2012</v>
      </c>
      <c r="B3233" t="s">
        <v>304</v>
      </c>
      <c r="C3233" s="733">
        <v>40964</v>
      </c>
      <c r="D32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33" t="s">
        <v>485</v>
      </c>
      <c r="F3233" t="s">
        <v>2054</v>
      </c>
      <c r="G3233" t="s">
        <v>8823</v>
      </c>
      <c r="H3233">
        <v>10543</v>
      </c>
      <c r="I3233" t="s">
        <v>423</v>
      </c>
      <c r="J3233" t="s">
        <v>2072</v>
      </c>
      <c r="K3233" t="s">
        <v>2057</v>
      </c>
      <c r="L3233" t="s">
        <v>2058</v>
      </c>
      <c r="M3233">
        <v>406</v>
      </c>
      <c r="N3233">
        <v>46.89</v>
      </c>
      <c r="O3233">
        <v>12814.1</v>
      </c>
      <c r="P3233">
        <v>0</v>
      </c>
      <c r="Q3233">
        <v>12814.1</v>
      </c>
      <c r="R3233">
        <v>1409.55</v>
      </c>
      <c r="S3233">
        <v>512.55999999999995</v>
      </c>
      <c r="T3233">
        <v>13711.09</v>
      </c>
      <c r="U3233" t="s">
        <v>8864</v>
      </c>
      <c r="V3233" t="s">
        <v>9409</v>
      </c>
      <c r="W3233" t="s">
        <v>423</v>
      </c>
    </row>
    <row r="3234" spans="1:23" hidden="1" x14ac:dyDescent="0.2">
      <c r="A3234">
        <v>2012</v>
      </c>
      <c r="B3234" t="s">
        <v>303</v>
      </c>
      <c r="C3234" s="733">
        <v>40928</v>
      </c>
      <c r="D32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34" t="s">
        <v>485</v>
      </c>
      <c r="F3234" t="s">
        <v>2054</v>
      </c>
      <c r="G3234" t="s">
        <v>2746</v>
      </c>
      <c r="H3234">
        <v>10138</v>
      </c>
      <c r="I3234" t="s">
        <v>423</v>
      </c>
      <c r="J3234" t="s">
        <v>2072</v>
      </c>
      <c r="K3234" t="s">
        <v>2057</v>
      </c>
      <c r="L3234" t="s">
        <v>2058</v>
      </c>
      <c r="M3234">
        <v>406</v>
      </c>
      <c r="N3234">
        <v>31.38</v>
      </c>
      <c r="O3234">
        <v>8575.5300000000007</v>
      </c>
      <c r="P3234">
        <v>0</v>
      </c>
      <c r="Q3234">
        <v>8575.5300000000007</v>
      </c>
      <c r="R3234">
        <v>1372.08</v>
      </c>
      <c r="S3234">
        <v>343.02</v>
      </c>
      <c r="T3234">
        <v>9604.59</v>
      </c>
      <c r="U3234" t="s">
        <v>2077</v>
      </c>
      <c r="V3234" t="s">
        <v>9408</v>
      </c>
      <c r="W3234" t="s">
        <v>423</v>
      </c>
    </row>
    <row r="3235" spans="1:23" hidden="1" x14ac:dyDescent="0.2">
      <c r="A3235">
        <v>2012</v>
      </c>
      <c r="B3235" t="s">
        <v>303</v>
      </c>
      <c r="C3235" s="733">
        <v>40928</v>
      </c>
      <c r="D32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35" t="s">
        <v>485</v>
      </c>
      <c r="F3235" t="s">
        <v>2054</v>
      </c>
      <c r="G3235" t="s">
        <v>6763</v>
      </c>
      <c r="H3235">
        <v>10142</v>
      </c>
      <c r="I3235" t="s">
        <v>423</v>
      </c>
      <c r="J3235" t="s">
        <v>2072</v>
      </c>
      <c r="K3235" t="s">
        <v>2057</v>
      </c>
      <c r="L3235" t="s">
        <v>2058</v>
      </c>
      <c r="M3235">
        <v>406</v>
      </c>
      <c r="N3235">
        <v>23.78</v>
      </c>
      <c r="O3235">
        <v>6498.6</v>
      </c>
      <c r="P3235">
        <v>0</v>
      </c>
      <c r="Q3235">
        <v>6498.6</v>
      </c>
      <c r="R3235">
        <v>1039.78</v>
      </c>
      <c r="S3235">
        <v>259.94</v>
      </c>
      <c r="T3235">
        <v>7278.44</v>
      </c>
      <c r="U3235" t="s">
        <v>2077</v>
      </c>
      <c r="V3235" t="s">
        <v>9408</v>
      </c>
      <c r="W3235" t="s">
        <v>423</v>
      </c>
    </row>
    <row r="3236" spans="1:23" hidden="1" x14ac:dyDescent="0.2">
      <c r="A3236">
        <v>2012</v>
      </c>
      <c r="B3236" t="s">
        <v>304</v>
      </c>
      <c r="C3236" s="733">
        <v>40959.498761574076</v>
      </c>
      <c r="D32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36" t="s">
        <v>485</v>
      </c>
      <c r="F3236" t="s">
        <v>2054</v>
      </c>
      <c r="G3236" t="s">
        <v>8208</v>
      </c>
      <c r="H3236">
        <v>10490</v>
      </c>
      <c r="I3236" t="s">
        <v>423</v>
      </c>
      <c r="J3236" t="s">
        <v>2072</v>
      </c>
      <c r="K3236" t="s">
        <v>2057</v>
      </c>
      <c r="L3236" t="s">
        <v>2058</v>
      </c>
      <c r="M3236">
        <v>406</v>
      </c>
      <c r="N3236">
        <v>24.6</v>
      </c>
      <c r="O3236">
        <v>6722.69</v>
      </c>
      <c r="P3236">
        <v>0</v>
      </c>
      <c r="Q3236">
        <v>6722.69</v>
      </c>
      <c r="R3236">
        <v>739.5</v>
      </c>
      <c r="S3236">
        <v>268.91000000000003</v>
      </c>
      <c r="T3236">
        <v>7193.28</v>
      </c>
      <c r="U3236" t="s">
        <v>8864</v>
      </c>
      <c r="V3236" t="s">
        <v>9408</v>
      </c>
      <c r="W3236" t="s">
        <v>423</v>
      </c>
    </row>
    <row r="3237" spans="1:23" hidden="1" x14ac:dyDescent="0.2">
      <c r="A3237">
        <v>2012</v>
      </c>
      <c r="B3237" t="s">
        <v>303</v>
      </c>
      <c r="C3237" s="733">
        <v>40936.629131944443</v>
      </c>
      <c r="D32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37" t="s">
        <v>485</v>
      </c>
      <c r="F3237" t="s">
        <v>2054</v>
      </c>
      <c r="G3237" t="s">
        <v>6764</v>
      </c>
      <c r="H3237">
        <v>10239</v>
      </c>
      <c r="I3237" t="s">
        <v>423</v>
      </c>
      <c r="J3237" t="s">
        <v>2072</v>
      </c>
      <c r="K3237" t="s">
        <v>2057</v>
      </c>
      <c r="L3237" t="s">
        <v>2058</v>
      </c>
      <c r="M3237">
        <v>406</v>
      </c>
      <c r="N3237">
        <v>31.46</v>
      </c>
      <c r="O3237">
        <v>8597.39</v>
      </c>
      <c r="P3237">
        <v>0</v>
      </c>
      <c r="Q3237">
        <v>8597.39</v>
      </c>
      <c r="R3237">
        <v>1375.58</v>
      </c>
      <c r="S3237">
        <v>343.9</v>
      </c>
      <c r="T3237">
        <v>9629.07</v>
      </c>
      <c r="U3237" t="s">
        <v>2073</v>
      </c>
      <c r="V3237" t="s">
        <v>9408</v>
      </c>
      <c r="W3237" t="s">
        <v>423</v>
      </c>
    </row>
    <row r="3238" spans="1:23" hidden="1" x14ac:dyDescent="0.2">
      <c r="A3238">
        <v>2012</v>
      </c>
      <c r="B3238" t="s">
        <v>305</v>
      </c>
      <c r="C3238" s="733">
        <v>40969.490405092591</v>
      </c>
      <c r="D3238" s="733" t="str">
        <f>CHOOSE(MONTH(Tabla_sqldatos_bonampakdb_Bon_v_ingresos2012[[#This Row],[fecha_guia]]),"Enero","Febrero","Marzo","Abril","Mayo","Junio","Julio","Agosto","Septiembre","Octubre","Noviembre","Diciembre")</f>
        <v>Marzo</v>
      </c>
      <c r="E3238" t="s">
        <v>485</v>
      </c>
      <c r="F3238" t="s">
        <v>2054</v>
      </c>
      <c r="G3238" t="s">
        <v>9463</v>
      </c>
      <c r="H3238">
        <v>10620</v>
      </c>
      <c r="I3238" t="s">
        <v>423</v>
      </c>
      <c r="J3238" t="s">
        <v>2072</v>
      </c>
      <c r="K3238" t="s">
        <v>2057</v>
      </c>
      <c r="L3238" t="s">
        <v>2058</v>
      </c>
      <c r="M3238">
        <v>406</v>
      </c>
      <c r="N3238">
        <v>24.67</v>
      </c>
      <c r="O3238">
        <v>6741.82</v>
      </c>
      <c r="P3238">
        <v>0</v>
      </c>
      <c r="Q3238">
        <v>6741.82</v>
      </c>
      <c r="R3238">
        <v>741.6</v>
      </c>
      <c r="S3238">
        <v>269.67</v>
      </c>
      <c r="T3238">
        <v>7213.75</v>
      </c>
      <c r="V3238" t="s">
        <v>9408</v>
      </c>
      <c r="W3238" t="s">
        <v>423</v>
      </c>
    </row>
    <row r="3239" spans="1:23" hidden="1" x14ac:dyDescent="0.2">
      <c r="A3239">
        <v>2012</v>
      </c>
      <c r="B3239" t="s">
        <v>304</v>
      </c>
      <c r="C3239" s="733">
        <v>40949.435798611114</v>
      </c>
      <c r="D32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39" t="s">
        <v>485</v>
      </c>
      <c r="F3239" t="s">
        <v>2054</v>
      </c>
      <c r="G3239" t="s">
        <v>2747</v>
      </c>
      <c r="H3239">
        <v>10369</v>
      </c>
      <c r="I3239" t="s">
        <v>423</v>
      </c>
      <c r="J3239" t="s">
        <v>2072</v>
      </c>
      <c r="K3239" t="s">
        <v>2057</v>
      </c>
      <c r="L3239" t="s">
        <v>2058</v>
      </c>
      <c r="M3239">
        <v>406</v>
      </c>
      <c r="N3239">
        <v>48.53</v>
      </c>
      <c r="O3239">
        <v>13262.28</v>
      </c>
      <c r="P3239">
        <v>0</v>
      </c>
      <c r="Q3239">
        <v>13262.28</v>
      </c>
      <c r="R3239">
        <v>1458.85</v>
      </c>
      <c r="S3239">
        <v>530.49</v>
      </c>
      <c r="T3239">
        <v>14190.64</v>
      </c>
      <c r="U3239" t="s">
        <v>2082</v>
      </c>
      <c r="V3239" t="s">
        <v>9409</v>
      </c>
      <c r="W3239" t="s">
        <v>423</v>
      </c>
    </row>
    <row r="3240" spans="1:23" hidden="1" x14ac:dyDescent="0.2">
      <c r="A3240">
        <v>2012</v>
      </c>
      <c r="B3240" t="s">
        <v>303</v>
      </c>
      <c r="C3240" s="733">
        <v>40927.448229166665</v>
      </c>
      <c r="D32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40" t="s">
        <v>485</v>
      </c>
      <c r="F3240" t="s">
        <v>2054</v>
      </c>
      <c r="G3240" t="s">
        <v>2733</v>
      </c>
      <c r="H3240">
        <v>10124</v>
      </c>
      <c r="I3240" t="s">
        <v>423</v>
      </c>
      <c r="J3240" t="s">
        <v>2072</v>
      </c>
      <c r="K3240" t="s">
        <v>2057</v>
      </c>
      <c r="L3240" t="s">
        <v>2058</v>
      </c>
      <c r="M3240">
        <v>406</v>
      </c>
      <c r="N3240">
        <v>22.68</v>
      </c>
      <c r="O3240">
        <v>6197.99</v>
      </c>
      <c r="P3240">
        <v>0</v>
      </c>
      <c r="Q3240">
        <v>6197.99</v>
      </c>
      <c r="R3240">
        <v>991.68</v>
      </c>
      <c r="S3240">
        <v>247.92</v>
      </c>
      <c r="T3240">
        <v>6941.75</v>
      </c>
      <c r="U3240" t="s">
        <v>2077</v>
      </c>
      <c r="V3240" t="s">
        <v>9409</v>
      </c>
      <c r="W3240" t="s">
        <v>423</v>
      </c>
    </row>
    <row r="3241" spans="1:23" hidden="1" x14ac:dyDescent="0.2">
      <c r="A3241">
        <v>2012</v>
      </c>
      <c r="B3241" t="s">
        <v>304</v>
      </c>
      <c r="C3241" s="733">
        <v>40952</v>
      </c>
      <c r="D32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41" t="s">
        <v>505</v>
      </c>
      <c r="F3241" t="s">
        <v>1915</v>
      </c>
      <c r="G3241" t="s">
        <v>1974</v>
      </c>
      <c r="H3241">
        <v>22663</v>
      </c>
      <c r="I3241" t="s">
        <v>423</v>
      </c>
      <c r="J3241" t="s">
        <v>1943</v>
      </c>
      <c r="K3241" t="s">
        <v>1918</v>
      </c>
      <c r="L3241" t="s">
        <v>1919</v>
      </c>
      <c r="M3241">
        <v>319</v>
      </c>
      <c r="N3241">
        <v>53.99</v>
      </c>
      <c r="O3241">
        <v>15832.03</v>
      </c>
      <c r="P3241">
        <v>0</v>
      </c>
      <c r="Q3241">
        <v>15832.03</v>
      </c>
      <c r="R3241">
        <v>2533.12</v>
      </c>
      <c r="S3241">
        <v>633.28</v>
      </c>
      <c r="T3241">
        <v>17731.87</v>
      </c>
      <c r="U3241" t="s">
        <v>7522</v>
      </c>
      <c r="V3241" t="s">
        <v>9409</v>
      </c>
      <c r="W3241" t="s">
        <v>423</v>
      </c>
    </row>
    <row r="3242" spans="1:23" hidden="1" x14ac:dyDescent="0.2">
      <c r="A3242">
        <v>2012</v>
      </c>
      <c r="B3242" t="s">
        <v>303</v>
      </c>
      <c r="C3242" s="733">
        <v>40915</v>
      </c>
      <c r="D32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42" t="s">
        <v>505</v>
      </c>
      <c r="F3242" t="s">
        <v>1915</v>
      </c>
      <c r="G3242" t="s">
        <v>1989</v>
      </c>
      <c r="H3242">
        <v>21863</v>
      </c>
      <c r="I3242" t="s">
        <v>423</v>
      </c>
      <c r="J3242" t="s">
        <v>1943</v>
      </c>
      <c r="K3242" t="s">
        <v>1918</v>
      </c>
      <c r="L3242" t="s">
        <v>1919</v>
      </c>
      <c r="M3242">
        <v>319</v>
      </c>
      <c r="N3242">
        <v>54.19</v>
      </c>
      <c r="O3242">
        <v>15890.68</v>
      </c>
      <c r="P3242">
        <v>0</v>
      </c>
      <c r="Q3242">
        <v>15890.68</v>
      </c>
      <c r="R3242">
        <v>2542.5100000000002</v>
      </c>
      <c r="S3242">
        <v>635.63</v>
      </c>
      <c r="T3242">
        <v>17797.560000000001</v>
      </c>
      <c r="U3242" t="s">
        <v>1931</v>
      </c>
      <c r="V3242" t="s">
        <v>9409</v>
      </c>
      <c r="W3242" t="s">
        <v>423</v>
      </c>
    </row>
    <row r="3243" spans="1:23" hidden="1" x14ac:dyDescent="0.2">
      <c r="A3243">
        <v>2012</v>
      </c>
      <c r="B3243" t="s">
        <v>304</v>
      </c>
      <c r="C3243" s="733">
        <v>40962</v>
      </c>
      <c r="D32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43" t="s">
        <v>485</v>
      </c>
      <c r="F3243" t="s">
        <v>2048</v>
      </c>
      <c r="G3243" t="s">
        <v>8599</v>
      </c>
      <c r="H3243">
        <v>42501</v>
      </c>
      <c r="I3243" t="s">
        <v>423</v>
      </c>
      <c r="J3243" t="s">
        <v>4091</v>
      </c>
      <c r="K3243" t="s">
        <v>2051</v>
      </c>
      <c r="L3243" t="s">
        <v>2052</v>
      </c>
      <c r="M3243">
        <v>1092</v>
      </c>
      <c r="N3243">
        <v>57.2</v>
      </c>
      <c r="O3243">
        <v>33376.199999999997</v>
      </c>
      <c r="P3243">
        <v>0</v>
      </c>
      <c r="Q3243">
        <v>33376.199999999997</v>
      </c>
      <c r="R3243">
        <v>5340.19</v>
      </c>
      <c r="S3243">
        <v>1335.05</v>
      </c>
      <c r="T3243">
        <v>37381.339999999997</v>
      </c>
      <c r="V3243" t="s">
        <v>9409</v>
      </c>
      <c r="W3243" t="s">
        <v>423</v>
      </c>
    </row>
    <row r="3244" spans="1:23" hidden="1" x14ac:dyDescent="0.2">
      <c r="A3244">
        <v>2012</v>
      </c>
      <c r="B3244" t="s">
        <v>303</v>
      </c>
      <c r="C3244" s="733">
        <v>40935</v>
      </c>
      <c r="D32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44" t="s">
        <v>485</v>
      </c>
      <c r="F3244" t="s">
        <v>2084</v>
      </c>
      <c r="G3244" t="s">
        <v>6765</v>
      </c>
      <c r="H3244">
        <v>40985</v>
      </c>
      <c r="I3244" t="s">
        <v>423</v>
      </c>
      <c r="J3244" t="s">
        <v>4091</v>
      </c>
      <c r="K3244" t="s">
        <v>2051</v>
      </c>
      <c r="L3244" t="s">
        <v>2052</v>
      </c>
      <c r="M3244">
        <v>1092</v>
      </c>
      <c r="N3244">
        <v>26.45</v>
      </c>
      <c r="O3244">
        <v>15433.58</v>
      </c>
      <c r="P3244">
        <v>0</v>
      </c>
      <c r="Q3244">
        <v>15433.58</v>
      </c>
      <c r="R3244">
        <v>2469.37</v>
      </c>
      <c r="S3244">
        <v>617.34</v>
      </c>
      <c r="T3244">
        <v>17285.61</v>
      </c>
      <c r="U3244" t="s">
        <v>2053</v>
      </c>
      <c r="V3244" t="s">
        <v>9408</v>
      </c>
      <c r="W3244" t="s">
        <v>423</v>
      </c>
    </row>
    <row r="3245" spans="1:23" hidden="1" x14ac:dyDescent="0.2">
      <c r="A3245">
        <v>2012</v>
      </c>
      <c r="B3245" t="s">
        <v>304</v>
      </c>
      <c r="C3245" s="733">
        <v>40943</v>
      </c>
      <c r="D32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45" t="s">
        <v>485</v>
      </c>
      <c r="F3245" t="s">
        <v>2054</v>
      </c>
      <c r="G3245" t="s">
        <v>2736</v>
      </c>
      <c r="H3245">
        <v>10313</v>
      </c>
      <c r="I3245" t="s">
        <v>423</v>
      </c>
      <c r="J3245" t="s">
        <v>2072</v>
      </c>
      <c r="K3245" t="s">
        <v>2057</v>
      </c>
      <c r="L3245" t="s">
        <v>2058</v>
      </c>
      <c r="M3245">
        <v>406</v>
      </c>
      <c r="N3245">
        <v>46.82</v>
      </c>
      <c r="O3245">
        <v>12794.97</v>
      </c>
      <c r="P3245">
        <v>0</v>
      </c>
      <c r="Q3245">
        <v>12794.97</v>
      </c>
      <c r="R3245">
        <v>2047.2</v>
      </c>
      <c r="S3245">
        <v>511.8</v>
      </c>
      <c r="T3245">
        <v>14330.37</v>
      </c>
      <c r="U3245" t="s">
        <v>2075</v>
      </c>
      <c r="V3245" t="s">
        <v>9409</v>
      </c>
      <c r="W3245" t="s">
        <v>423</v>
      </c>
    </row>
    <row r="3246" spans="1:23" hidden="1" x14ac:dyDescent="0.2">
      <c r="A3246">
        <v>2012</v>
      </c>
      <c r="B3246" t="s">
        <v>303</v>
      </c>
      <c r="C3246" s="733">
        <v>40924</v>
      </c>
      <c r="D32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46" t="s">
        <v>485</v>
      </c>
      <c r="F3246" t="s">
        <v>2054</v>
      </c>
      <c r="G3246" t="s">
        <v>2735</v>
      </c>
      <c r="H3246">
        <v>10075</v>
      </c>
      <c r="I3246" t="s">
        <v>423</v>
      </c>
      <c r="J3246" t="s">
        <v>2072</v>
      </c>
      <c r="K3246" t="s">
        <v>2057</v>
      </c>
      <c r="L3246" t="s">
        <v>2058</v>
      </c>
      <c r="M3246">
        <v>406</v>
      </c>
      <c r="N3246">
        <v>23.77</v>
      </c>
      <c r="O3246">
        <v>6495.87</v>
      </c>
      <c r="P3246">
        <v>0</v>
      </c>
      <c r="Q3246">
        <v>6495.87</v>
      </c>
      <c r="R3246">
        <v>1039.3399999999999</v>
      </c>
      <c r="S3246">
        <v>259.83</v>
      </c>
      <c r="T3246">
        <v>7275.38</v>
      </c>
      <c r="U3246" t="s">
        <v>2059</v>
      </c>
      <c r="V3246" t="s">
        <v>9409</v>
      </c>
      <c r="W3246" t="s">
        <v>423</v>
      </c>
    </row>
    <row r="3247" spans="1:23" hidden="1" x14ac:dyDescent="0.2">
      <c r="A3247">
        <v>2012</v>
      </c>
      <c r="B3247" t="s">
        <v>303</v>
      </c>
      <c r="C3247" s="733">
        <v>40911</v>
      </c>
      <c r="D32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47" t="s">
        <v>505</v>
      </c>
      <c r="F3247" t="s">
        <v>1915</v>
      </c>
      <c r="G3247" t="s">
        <v>6968</v>
      </c>
      <c r="H3247">
        <v>21711</v>
      </c>
      <c r="I3247" t="s">
        <v>423</v>
      </c>
      <c r="J3247" t="s">
        <v>1943</v>
      </c>
      <c r="K3247" t="s">
        <v>1918</v>
      </c>
      <c r="L3247" t="s">
        <v>1919</v>
      </c>
      <c r="M3247">
        <v>319</v>
      </c>
      <c r="N3247">
        <v>53.68</v>
      </c>
      <c r="O3247">
        <v>6627.21</v>
      </c>
      <c r="P3247">
        <v>7461.51</v>
      </c>
      <c r="Q3247">
        <v>14088.72</v>
      </c>
      <c r="R3247">
        <v>2254.19</v>
      </c>
      <c r="S3247">
        <v>563.54999999999995</v>
      </c>
      <c r="T3247">
        <v>15779.36</v>
      </c>
      <c r="U3247" t="s">
        <v>1920</v>
      </c>
      <c r="V3247" t="s">
        <v>9409</v>
      </c>
      <c r="W3247" t="s">
        <v>423</v>
      </c>
    </row>
    <row r="3248" spans="1:23" hidden="1" x14ac:dyDescent="0.2">
      <c r="A3248">
        <v>2012</v>
      </c>
      <c r="B3248" t="s">
        <v>304</v>
      </c>
      <c r="C3248" s="733">
        <v>40952</v>
      </c>
      <c r="D32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48" t="s">
        <v>485</v>
      </c>
      <c r="F3248" t="s">
        <v>2065</v>
      </c>
      <c r="G3248" t="s">
        <v>3334</v>
      </c>
      <c r="H3248">
        <v>41789</v>
      </c>
      <c r="I3248" t="s">
        <v>423</v>
      </c>
      <c r="J3248" t="s">
        <v>2196</v>
      </c>
      <c r="K3248" t="s">
        <v>2183</v>
      </c>
      <c r="L3248" t="s">
        <v>2184</v>
      </c>
      <c r="M3248">
        <v>10</v>
      </c>
      <c r="N3248">
        <v>16.16</v>
      </c>
      <c r="O3248">
        <v>1823.98</v>
      </c>
      <c r="P3248">
        <v>0</v>
      </c>
      <c r="Q3248">
        <v>1823.98</v>
      </c>
      <c r="R3248">
        <v>291.83999999999997</v>
      </c>
      <c r="S3248">
        <v>72.959999999999994</v>
      </c>
      <c r="T3248">
        <v>2042.86</v>
      </c>
      <c r="U3248" t="s">
        <v>8048</v>
      </c>
      <c r="V3248" t="s">
        <v>9408</v>
      </c>
      <c r="W3248" t="s">
        <v>423</v>
      </c>
    </row>
    <row r="3249" spans="1:23" hidden="1" x14ac:dyDescent="0.2">
      <c r="A3249">
        <v>2012</v>
      </c>
      <c r="B3249" t="s">
        <v>304</v>
      </c>
      <c r="C3249" s="733">
        <v>40963</v>
      </c>
      <c r="D32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49" t="s">
        <v>485</v>
      </c>
      <c r="F3249" t="s">
        <v>2065</v>
      </c>
      <c r="G3249" t="s">
        <v>8593</v>
      </c>
      <c r="H3249">
        <v>42542</v>
      </c>
      <c r="I3249" t="s">
        <v>423</v>
      </c>
      <c r="J3249" t="s">
        <v>2196</v>
      </c>
      <c r="K3249" t="s">
        <v>2183</v>
      </c>
      <c r="L3249" t="s">
        <v>2184</v>
      </c>
      <c r="M3249">
        <v>10</v>
      </c>
      <c r="N3249">
        <v>15.95</v>
      </c>
      <c r="O3249">
        <v>1800.28</v>
      </c>
      <c r="P3249">
        <v>0</v>
      </c>
      <c r="Q3249">
        <v>1800.28</v>
      </c>
      <c r="R3249">
        <v>288.04000000000002</v>
      </c>
      <c r="S3249">
        <v>72.010000000000005</v>
      </c>
      <c r="T3249">
        <v>2016.31</v>
      </c>
      <c r="U3249" t="s">
        <v>9411</v>
      </c>
      <c r="V3249" t="s">
        <v>9408</v>
      </c>
      <c r="W3249" t="s">
        <v>423</v>
      </c>
    </row>
    <row r="3250" spans="1:23" hidden="1" x14ac:dyDescent="0.2">
      <c r="A3250">
        <v>2012</v>
      </c>
      <c r="B3250" t="s">
        <v>304</v>
      </c>
      <c r="C3250" s="733">
        <v>40955</v>
      </c>
      <c r="D32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50" t="s">
        <v>485</v>
      </c>
      <c r="F3250" t="s">
        <v>2065</v>
      </c>
      <c r="G3250" t="s">
        <v>7725</v>
      </c>
      <c r="H3250">
        <v>42080</v>
      </c>
      <c r="I3250" t="s">
        <v>423</v>
      </c>
      <c r="J3250" t="s">
        <v>2196</v>
      </c>
      <c r="K3250" t="s">
        <v>2183</v>
      </c>
      <c r="L3250" t="s">
        <v>2184</v>
      </c>
      <c r="M3250">
        <v>10</v>
      </c>
      <c r="N3250">
        <v>24.42</v>
      </c>
      <c r="O3250">
        <v>2756.29</v>
      </c>
      <c r="P3250">
        <v>0</v>
      </c>
      <c r="Q3250">
        <v>2756.29</v>
      </c>
      <c r="R3250">
        <v>441.01</v>
      </c>
      <c r="S3250">
        <v>110.25</v>
      </c>
      <c r="T3250">
        <v>3087.05</v>
      </c>
      <c r="U3250" t="s">
        <v>8048</v>
      </c>
      <c r="V3250" t="s">
        <v>9408</v>
      </c>
      <c r="W3250" t="s">
        <v>423</v>
      </c>
    </row>
    <row r="3251" spans="1:23" hidden="1" x14ac:dyDescent="0.2">
      <c r="A3251">
        <v>2012</v>
      </c>
      <c r="B3251" t="s">
        <v>304</v>
      </c>
      <c r="C3251" s="733">
        <v>40966</v>
      </c>
      <c r="D32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51" t="s">
        <v>478</v>
      </c>
      <c r="F3251" t="s">
        <v>2136</v>
      </c>
      <c r="G3251" t="s">
        <v>8979</v>
      </c>
      <c r="H3251">
        <v>36035</v>
      </c>
      <c r="I3251" t="s">
        <v>423</v>
      </c>
      <c r="J3251" t="s">
        <v>4285</v>
      </c>
      <c r="K3251" t="s">
        <v>425</v>
      </c>
      <c r="L3251" t="s">
        <v>2145</v>
      </c>
      <c r="M3251">
        <v>110</v>
      </c>
      <c r="N3251">
        <v>22.85</v>
      </c>
      <c r="O3251">
        <v>3718.84</v>
      </c>
      <c r="P3251">
        <v>0</v>
      </c>
      <c r="Q3251">
        <v>3718.84</v>
      </c>
      <c r="R3251">
        <v>595.01</v>
      </c>
      <c r="S3251">
        <v>148.75</v>
      </c>
      <c r="T3251">
        <v>4165.1000000000004</v>
      </c>
      <c r="U3251" t="s">
        <v>9430</v>
      </c>
      <c r="V3251" t="s">
        <v>9408</v>
      </c>
      <c r="W3251" t="s">
        <v>423</v>
      </c>
    </row>
    <row r="3252" spans="1:23" hidden="1" x14ac:dyDescent="0.2">
      <c r="A3252">
        <v>2012</v>
      </c>
      <c r="B3252" t="s">
        <v>303</v>
      </c>
      <c r="C3252" s="733">
        <v>40918</v>
      </c>
      <c r="D32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52" t="s">
        <v>478</v>
      </c>
      <c r="F3252" t="s">
        <v>2136</v>
      </c>
      <c r="G3252" t="s">
        <v>6552</v>
      </c>
      <c r="H3252">
        <v>34348</v>
      </c>
      <c r="I3252" t="s">
        <v>423</v>
      </c>
      <c r="J3252" t="s">
        <v>4285</v>
      </c>
      <c r="K3252" t="s">
        <v>425</v>
      </c>
      <c r="L3252" t="s">
        <v>2145</v>
      </c>
      <c r="M3252">
        <v>110</v>
      </c>
      <c r="N3252">
        <v>26.06</v>
      </c>
      <c r="O3252">
        <v>4241.26</v>
      </c>
      <c r="P3252">
        <v>0</v>
      </c>
      <c r="Q3252">
        <v>4241.26</v>
      </c>
      <c r="R3252">
        <v>678.6</v>
      </c>
      <c r="S3252">
        <v>169.65</v>
      </c>
      <c r="T3252">
        <v>4750.21</v>
      </c>
      <c r="U3252" t="s">
        <v>2350</v>
      </c>
      <c r="V3252" t="s">
        <v>9409</v>
      </c>
      <c r="W3252" t="s">
        <v>423</v>
      </c>
    </row>
    <row r="3253" spans="1:23" hidden="1" x14ac:dyDescent="0.2">
      <c r="A3253">
        <v>2012</v>
      </c>
      <c r="B3253" t="s">
        <v>304</v>
      </c>
      <c r="C3253" s="733">
        <v>40954</v>
      </c>
      <c r="D32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53" t="s">
        <v>478</v>
      </c>
      <c r="F3253" t="s">
        <v>2136</v>
      </c>
      <c r="G3253" t="s">
        <v>7803</v>
      </c>
      <c r="H3253">
        <v>35625</v>
      </c>
      <c r="I3253" t="s">
        <v>423</v>
      </c>
      <c r="J3253" t="s">
        <v>4285</v>
      </c>
      <c r="K3253" t="s">
        <v>425</v>
      </c>
      <c r="L3253" t="s">
        <v>2145</v>
      </c>
      <c r="M3253">
        <v>110</v>
      </c>
      <c r="N3253">
        <v>19.86</v>
      </c>
      <c r="O3253">
        <v>3232.22</v>
      </c>
      <c r="P3253">
        <v>0</v>
      </c>
      <c r="Q3253">
        <v>3232.22</v>
      </c>
      <c r="R3253">
        <v>517.15</v>
      </c>
      <c r="S3253">
        <v>129.29</v>
      </c>
      <c r="T3253">
        <v>3620.08</v>
      </c>
      <c r="U3253" t="s">
        <v>7523</v>
      </c>
      <c r="V3253" t="s">
        <v>9409</v>
      </c>
      <c r="W3253" t="s">
        <v>423</v>
      </c>
    </row>
    <row r="3254" spans="1:23" hidden="1" x14ac:dyDescent="0.2">
      <c r="A3254">
        <v>2012</v>
      </c>
      <c r="B3254" t="s">
        <v>303</v>
      </c>
      <c r="C3254" s="733">
        <v>40918</v>
      </c>
      <c r="D32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54" t="s">
        <v>485</v>
      </c>
      <c r="F3254" t="s">
        <v>2065</v>
      </c>
      <c r="G3254" t="s">
        <v>3346</v>
      </c>
      <c r="H3254">
        <v>39965</v>
      </c>
      <c r="I3254" t="s">
        <v>423</v>
      </c>
      <c r="J3254" t="s">
        <v>2196</v>
      </c>
      <c r="K3254" t="s">
        <v>2183</v>
      </c>
      <c r="L3254" t="s">
        <v>2184</v>
      </c>
      <c r="M3254">
        <v>10</v>
      </c>
      <c r="N3254">
        <v>14.81</v>
      </c>
      <c r="O3254">
        <v>1671.6</v>
      </c>
      <c r="P3254">
        <v>0</v>
      </c>
      <c r="Q3254">
        <v>1671.6</v>
      </c>
      <c r="R3254">
        <v>267.45999999999998</v>
      </c>
      <c r="S3254">
        <v>66.86</v>
      </c>
      <c r="T3254">
        <v>1872.2</v>
      </c>
      <c r="U3254" t="s">
        <v>9411</v>
      </c>
      <c r="V3254" t="s">
        <v>9408</v>
      </c>
      <c r="W3254" t="s">
        <v>423</v>
      </c>
    </row>
    <row r="3255" spans="1:23" hidden="1" x14ac:dyDescent="0.2">
      <c r="A3255">
        <v>2012</v>
      </c>
      <c r="B3255" t="s">
        <v>304</v>
      </c>
      <c r="C3255" s="733">
        <v>40948</v>
      </c>
      <c r="D32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55" t="s">
        <v>485</v>
      </c>
      <c r="F3255" t="s">
        <v>2065</v>
      </c>
      <c r="G3255" t="s">
        <v>4564</v>
      </c>
      <c r="H3255">
        <v>41564</v>
      </c>
      <c r="I3255" t="s">
        <v>423</v>
      </c>
      <c r="J3255" t="s">
        <v>2196</v>
      </c>
      <c r="K3255" t="s">
        <v>2183</v>
      </c>
      <c r="L3255" t="s">
        <v>2184</v>
      </c>
      <c r="M3255">
        <v>10</v>
      </c>
      <c r="N3255">
        <v>25.39</v>
      </c>
      <c r="O3255">
        <v>2865.77</v>
      </c>
      <c r="P3255">
        <v>0</v>
      </c>
      <c r="Q3255">
        <v>2865.77</v>
      </c>
      <c r="R3255">
        <v>458.52</v>
      </c>
      <c r="S3255">
        <v>114.63</v>
      </c>
      <c r="T3255">
        <v>3209.66</v>
      </c>
      <c r="U3255" t="s">
        <v>2192</v>
      </c>
      <c r="V3255" t="s">
        <v>9408</v>
      </c>
      <c r="W3255" t="s">
        <v>423</v>
      </c>
    </row>
    <row r="3256" spans="1:23" hidden="1" x14ac:dyDescent="0.2">
      <c r="A3256">
        <v>2012</v>
      </c>
      <c r="B3256" t="s">
        <v>304</v>
      </c>
      <c r="C3256" s="733">
        <v>40948.449143518519</v>
      </c>
      <c r="D32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56" t="s">
        <v>485</v>
      </c>
      <c r="F3256" t="s">
        <v>2065</v>
      </c>
      <c r="G3256" t="s">
        <v>3347</v>
      </c>
      <c r="H3256">
        <v>41624</v>
      </c>
      <c r="I3256" t="s">
        <v>423</v>
      </c>
      <c r="J3256" t="s">
        <v>2213</v>
      </c>
      <c r="K3256" t="s">
        <v>2183</v>
      </c>
      <c r="L3256" t="s">
        <v>2184</v>
      </c>
      <c r="M3256">
        <v>64</v>
      </c>
      <c r="N3256">
        <v>16.190000000000001</v>
      </c>
      <c r="O3256">
        <v>1827.37</v>
      </c>
      <c r="P3256">
        <v>0</v>
      </c>
      <c r="Q3256">
        <v>1827.37</v>
      </c>
      <c r="R3256">
        <v>292.38</v>
      </c>
      <c r="S3256">
        <v>73.09</v>
      </c>
      <c r="T3256">
        <v>2046.66</v>
      </c>
      <c r="U3256" t="s">
        <v>2192</v>
      </c>
      <c r="V3256" t="s">
        <v>9408</v>
      </c>
      <c r="W3256" t="s">
        <v>423</v>
      </c>
    </row>
    <row r="3257" spans="1:23" hidden="1" x14ac:dyDescent="0.2">
      <c r="A3257">
        <v>2012</v>
      </c>
      <c r="B3257" t="s">
        <v>304</v>
      </c>
      <c r="C3257" s="733">
        <v>40942</v>
      </c>
      <c r="D32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57" t="s">
        <v>485</v>
      </c>
      <c r="F3257" t="s">
        <v>2065</v>
      </c>
      <c r="G3257" t="s">
        <v>3348</v>
      </c>
      <c r="H3257">
        <v>39810</v>
      </c>
      <c r="I3257" t="s">
        <v>423</v>
      </c>
      <c r="J3257" t="s">
        <v>2213</v>
      </c>
      <c r="K3257" t="s">
        <v>2183</v>
      </c>
      <c r="L3257" t="s">
        <v>2184</v>
      </c>
      <c r="M3257">
        <v>64</v>
      </c>
      <c r="N3257">
        <v>16.190000000000001</v>
      </c>
      <c r="O3257">
        <v>1827.37</v>
      </c>
      <c r="P3257">
        <v>0</v>
      </c>
      <c r="Q3257">
        <v>1827.37</v>
      </c>
      <c r="R3257">
        <v>292.38</v>
      </c>
      <c r="S3257">
        <v>73.09</v>
      </c>
      <c r="T3257">
        <v>2046.66</v>
      </c>
      <c r="U3257" t="s">
        <v>2192</v>
      </c>
      <c r="V3257" t="s">
        <v>9408</v>
      </c>
      <c r="W3257" t="s">
        <v>423</v>
      </c>
    </row>
    <row r="3258" spans="1:23" hidden="1" x14ac:dyDescent="0.2">
      <c r="A3258">
        <v>2012</v>
      </c>
      <c r="B3258" t="s">
        <v>304</v>
      </c>
      <c r="C3258" s="733">
        <v>40963</v>
      </c>
      <c r="D32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58" t="s">
        <v>478</v>
      </c>
      <c r="F3258" t="s">
        <v>2622</v>
      </c>
      <c r="G3258" t="s">
        <v>8970</v>
      </c>
      <c r="H3258">
        <v>35886</v>
      </c>
      <c r="I3258" t="s">
        <v>423</v>
      </c>
      <c r="J3258" t="s">
        <v>2668</v>
      </c>
      <c r="K3258" t="s">
        <v>2625</v>
      </c>
      <c r="L3258" t="s">
        <v>2626</v>
      </c>
      <c r="M3258">
        <v>76</v>
      </c>
      <c r="N3258">
        <v>22.86</v>
      </c>
      <c r="O3258">
        <v>1292.05</v>
      </c>
      <c r="P3258">
        <v>0</v>
      </c>
      <c r="Q3258">
        <v>1292.05</v>
      </c>
      <c r="R3258">
        <v>206.73</v>
      </c>
      <c r="S3258">
        <v>51.68</v>
      </c>
      <c r="T3258">
        <v>1447.1</v>
      </c>
      <c r="V3258" t="s">
        <v>9408</v>
      </c>
      <c r="W3258" t="s">
        <v>423</v>
      </c>
    </row>
    <row r="3259" spans="1:23" hidden="1" x14ac:dyDescent="0.2">
      <c r="A3259">
        <v>2012</v>
      </c>
      <c r="B3259" t="s">
        <v>304</v>
      </c>
      <c r="C3259" s="733">
        <v>40967</v>
      </c>
      <c r="D32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59" t="s">
        <v>505</v>
      </c>
      <c r="F3259" t="s">
        <v>1915</v>
      </c>
      <c r="G3259" t="s">
        <v>9014</v>
      </c>
      <c r="H3259">
        <v>23059</v>
      </c>
      <c r="I3259" t="s">
        <v>423</v>
      </c>
      <c r="J3259" t="s">
        <v>1943</v>
      </c>
      <c r="K3259" t="s">
        <v>1918</v>
      </c>
      <c r="L3259" t="s">
        <v>1919</v>
      </c>
      <c r="M3259">
        <v>319</v>
      </c>
      <c r="N3259">
        <v>53.36</v>
      </c>
      <c r="O3259">
        <v>15647.29</v>
      </c>
      <c r="P3259">
        <v>0</v>
      </c>
      <c r="Q3259">
        <v>15647.29</v>
      </c>
      <c r="R3259">
        <v>2503.5700000000002</v>
      </c>
      <c r="S3259">
        <v>625.89</v>
      </c>
      <c r="T3259">
        <v>17524.97</v>
      </c>
      <c r="V3259" t="s">
        <v>9409</v>
      </c>
      <c r="W3259" t="s">
        <v>423</v>
      </c>
    </row>
    <row r="3260" spans="1:23" hidden="1" x14ac:dyDescent="0.2">
      <c r="A3260">
        <v>2012</v>
      </c>
      <c r="B3260" t="s">
        <v>304</v>
      </c>
      <c r="C3260" s="733">
        <v>40962</v>
      </c>
      <c r="D32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60" t="s">
        <v>505</v>
      </c>
      <c r="F3260" t="s">
        <v>1915</v>
      </c>
      <c r="G3260" t="s">
        <v>8554</v>
      </c>
      <c r="H3260">
        <v>22948</v>
      </c>
      <c r="I3260" t="s">
        <v>423</v>
      </c>
      <c r="J3260" t="s">
        <v>1943</v>
      </c>
      <c r="K3260" t="s">
        <v>1918</v>
      </c>
      <c r="L3260" t="s">
        <v>1919</v>
      </c>
      <c r="M3260">
        <v>319</v>
      </c>
      <c r="N3260">
        <v>54.24</v>
      </c>
      <c r="O3260">
        <v>15905.34</v>
      </c>
      <c r="P3260">
        <v>0</v>
      </c>
      <c r="Q3260">
        <v>15905.34</v>
      </c>
      <c r="R3260">
        <v>2544.85</v>
      </c>
      <c r="S3260">
        <v>636.21</v>
      </c>
      <c r="T3260">
        <v>17813.98</v>
      </c>
      <c r="U3260" t="s">
        <v>8778</v>
      </c>
      <c r="V3260" t="s">
        <v>9409</v>
      </c>
      <c r="W3260" t="s">
        <v>423</v>
      </c>
    </row>
    <row r="3261" spans="1:23" hidden="1" x14ac:dyDescent="0.2">
      <c r="A3261">
        <v>2012</v>
      </c>
      <c r="B3261" t="s">
        <v>303</v>
      </c>
      <c r="C3261" s="733">
        <v>40918</v>
      </c>
      <c r="D32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61" t="s">
        <v>485</v>
      </c>
      <c r="F3261" t="s">
        <v>2136</v>
      </c>
      <c r="G3261" t="s">
        <v>6036</v>
      </c>
      <c r="H3261">
        <v>39867</v>
      </c>
      <c r="I3261" t="s">
        <v>423</v>
      </c>
      <c r="J3261" t="s">
        <v>3972</v>
      </c>
      <c r="K3261" t="s">
        <v>2183</v>
      </c>
      <c r="L3261" t="s">
        <v>2184</v>
      </c>
      <c r="M3261">
        <v>184</v>
      </c>
      <c r="N3261">
        <v>29.7</v>
      </c>
      <c r="O3261">
        <v>5284.22</v>
      </c>
      <c r="P3261">
        <v>0</v>
      </c>
      <c r="Q3261">
        <v>5284.22</v>
      </c>
      <c r="R3261">
        <v>845.48</v>
      </c>
      <c r="S3261">
        <v>211.37</v>
      </c>
      <c r="T3261">
        <v>5918.33</v>
      </c>
      <c r="U3261" t="s">
        <v>9411</v>
      </c>
      <c r="V3261" t="s">
        <v>9408</v>
      </c>
      <c r="W3261" t="s">
        <v>423</v>
      </c>
    </row>
    <row r="3262" spans="1:23" hidden="1" x14ac:dyDescent="0.2">
      <c r="A3262">
        <v>2012</v>
      </c>
      <c r="B3262" t="s">
        <v>305</v>
      </c>
      <c r="C3262" s="733">
        <v>40969</v>
      </c>
      <c r="D3262" s="733" t="str">
        <f>CHOOSE(MONTH(Tabla_sqldatos_bonampakdb_Bon_v_ingresos2012[[#This Row],[fecha_guia]]),"Enero","Febrero","Marzo","Abril","Mayo","Junio","Julio","Agosto","Septiembre","Octubre","Noviembre","Diciembre")</f>
        <v>Marzo</v>
      </c>
      <c r="E3262" t="s">
        <v>505</v>
      </c>
      <c r="F3262" t="s">
        <v>1915</v>
      </c>
      <c r="G3262" t="s">
        <v>9468</v>
      </c>
      <c r="H3262">
        <v>23116</v>
      </c>
      <c r="I3262" t="s">
        <v>423</v>
      </c>
      <c r="J3262" t="s">
        <v>1943</v>
      </c>
      <c r="K3262" t="s">
        <v>1918</v>
      </c>
      <c r="L3262" t="s">
        <v>1919</v>
      </c>
      <c r="M3262">
        <v>319</v>
      </c>
      <c r="N3262">
        <v>26.88</v>
      </c>
      <c r="O3262">
        <v>7882.29</v>
      </c>
      <c r="P3262">
        <v>0</v>
      </c>
      <c r="Q3262">
        <v>7882.29</v>
      </c>
      <c r="R3262">
        <v>1261.17</v>
      </c>
      <c r="S3262">
        <v>315.29000000000002</v>
      </c>
      <c r="T3262">
        <v>8828.17</v>
      </c>
      <c r="V3262" t="s">
        <v>9408</v>
      </c>
      <c r="W3262" t="s">
        <v>423</v>
      </c>
    </row>
    <row r="3263" spans="1:23" hidden="1" x14ac:dyDescent="0.2">
      <c r="A3263">
        <v>2012</v>
      </c>
      <c r="B3263" t="s">
        <v>303</v>
      </c>
      <c r="C3263" s="733">
        <v>40938</v>
      </c>
      <c r="D32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63" t="s">
        <v>505</v>
      </c>
      <c r="F3263" t="s">
        <v>1915</v>
      </c>
      <c r="G3263" t="s">
        <v>2380</v>
      </c>
      <c r="H3263">
        <v>22353</v>
      </c>
      <c r="I3263" t="s">
        <v>423</v>
      </c>
      <c r="J3263" t="s">
        <v>1943</v>
      </c>
      <c r="K3263" t="s">
        <v>1918</v>
      </c>
      <c r="L3263" t="s">
        <v>1919</v>
      </c>
      <c r="M3263">
        <v>319</v>
      </c>
      <c r="N3263">
        <v>27.32</v>
      </c>
      <c r="O3263">
        <v>8011.32</v>
      </c>
      <c r="P3263">
        <v>0</v>
      </c>
      <c r="Q3263">
        <v>8011.32</v>
      </c>
      <c r="R3263">
        <v>1281.81</v>
      </c>
      <c r="S3263">
        <v>320.45</v>
      </c>
      <c r="T3263">
        <v>8972.68</v>
      </c>
      <c r="U3263" t="s">
        <v>1936</v>
      </c>
      <c r="V3263" t="s">
        <v>9408</v>
      </c>
      <c r="W3263" t="s">
        <v>423</v>
      </c>
    </row>
    <row r="3264" spans="1:23" hidden="1" x14ac:dyDescent="0.2">
      <c r="A3264">
        <v>2012</v>
      </c>
      <c r="B3264" t="s">
        <v>304</v>
      </c>
      <c r="C3264" s="733">
        <v>40956</v>
      </c>
      <c r="D32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64" t="s">
        <v>478</v>
      </c>
      <c r="F3264" t="s">
        <v>2136</v>
      </c>
      <c r="G3264" t="s">
        <v>7655</v>
      </c>
      <c r="H3264">
        <v>35768</v>
      </c>
      <c r="I3264" t="s">
        <v>423</v>
      </c>
      <c r="J3264" t="s">
        <v>5735</v>
      </c>
      <c r="K3264" t="s">
        <v>425</v>
      </c>
      <c r="L3264" t="s">
        <v>2145</v>
      </c>
      <c r="M3264">
        <v>193</v>
      </c>
      <c r="N3264">
        <v>45.93</v>
      </c>
      <c r="O3264">
        <v>8162.22</v>
      </c>
      <c r="P3264">
        <v>0</v>
      </c>
      <c r="Q3264">
        <v>8162.22</v>
      </c>
      <c r="R3264">
        <v>1305.96</v>
      </c>
      <c r="S3264">
        <v>326.49</v>
      </c>
      <c r="T3264">
        <v>9141.69</v>
      </c>
      <c r="U3264" t="s">
        <v>8312</v>
      </c>
      <c r="V3264" t="s">
        <v>9409</v>
      </c>
      <c r="W3264" t="s">
        <v>423</v>
      </c>
    </row>
    <row r="3265" spans="1:23" hidden="1" x14ac:dyDescent="0.2">
      <c r="A3265">
        <v>2012</v>
      </c>
      <c r="B3265" t="s">
        <v>303</v>
      </c>
      <c r="C3265" s="733">
        <v>40939</v>
      </c>
      <c r="D32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65" t="s">
        <v>505</v>
      </c>
      <c r="F3265" t="s">
        <v>1915</v>
      </c>
      <c r="G3265" t="s">
        <v>3090</v>
      </c>
      <c r="H3265">
        <v>21695</v>
      </c>
      <c r="I3265" t="s">
        <v>423</v>
      </c>
      <c r="J3265" t="s">
        <v>1943</v>
      </c>
      <c r="K3265" t="s">
        <v>1918</v>
      </c>
      <c r="L3265" t="s">
        <v>1919</v>
      </c>
      <c r="M3265">
        <v>319</v>
      </c>
      <c r="N3265">
        <v>53.49</v>
      </c>
      <c r="O3265">
        <v>15685.41</v>
      </c>
      <c r="P3265">
        <v>0</v>
      </c>
      <c r="Q3265">
        <v>15685.41</v>
      </c>
      <c r="R3265">
        <v>2509.67</v>
      </c>
      <c r="S3265">
        <v>627.41999999999996</v>
      </c>
      <c r="T3265">
        <v>17567.66</v>
      </c>
      <c r="U3265" t="s">
        <v>1936</v>
      </c>
      <c r="V3265" t="s">
        <v>9409</v>
      </c>
      <c r="W3265" t="s">
        <v>423</v>
      </c>
    </row>
    <row r="3266" spans="1:23" hidden="1" x14ac:dyDescent="0.2">
      <c r="A3266">
        <v>2012</v>
      </c>
      <c r="B3266" t="s">
        <v>303</v>
      </c>
      <c r="C3266" s="733">
        <v>40936</v>
      </c>
      <c r="D32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66" t="s">
        <v>478</v>
      </c>
      <c r="F3266" t="s">
        <v>2136</v>
      </c>
      <c r="G3266" t="s">
        <v>5212</v>
      </c>
      <c r="H3266">
        <v>34533</v>
      </c>
      <c r="I3266" t="s">
        <v>423</v>
      </c>
      <c r="J3266" t="s">
        <v>3480</v>
      </c>
      <c r="K3266" t="s">
        <v>3481</v>
      </c>
      <c r="L3266" t="s">
        <v>3482</v>
      </c>
      <c r="M3266">
        <v>75</v>
      </c>
      <c r="N3266">
        <v>23.15</v>
      </c>
      <c r="O3266">
        <v>2612.94</v>
      </c>
      <c r="P3266">
        <v>0</v>
      </c>
      <c r="Q3266">
        <v>2612.94</v>
      </c>
      <c r="R3266">
        <v>418.07</v>
      </c>
      <c r="S3266">
        <v>104.52</v>
      </c>
      <c r="T3266">
        <v>2926.49</v>
      </c>
      <c r="U3266" t="s">
        <v>3784</v>
      </c>
      <c r="V3266" t="s">
        <v>9408</v>
      </c>
      <c r="W3266" t="s">
        <v>423</v>
      </c>
    </row>
    <row r="3267" spans="1:23" hidden="1" x14ac:dyDescent="0.2">
      <c r="A3267">
        <v>2012</v>
      </c>
      <c r="B3267" t="s">
        <v>304</v>
      </c>
      <c r="C3267" s="733">
        <v>40967.369803240741</v>
      </c>
      <c r="D32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67" t="s">
        <v>478</v>
      </c>
      <c r="F3267" t="s">
        <v>2136</v>
      </c>
      <c r="G3267" t="s">
        <v>9017</v>
      </c>
      <c r="H3267">
        <v>36086</v>
      </c>
      <c r="I3267" t="s">
        <v>423</v>
      </c>
      <c r="J3267" t="s">
        <v>3480</v>
      </c>
      <c r="K3267" t="s">
        <v>3481</v>
      </c>
      <c r="L3267" t="s">
        <v>3482</v>
      </c>
      <c r="M3267">
        <v>75</v>
      </c>
      <c r="N3267">
        <v>24.945</v>
      </c>
      <c r="O3267">
        <v>2815.54</v>
      </c>
      <c r="P3267">
        <v>0</v>
      </c>
      <c r="Q3267">
        <v>2815.54</v>
      </c>
      <c r="R3267">
        <v>450.49</v>
      </c>
      <c r="S3267">
        <v>112.62</v>
      </c>
      <c r="T3267">
        <v>3153.41</v>
      </c>
      <c r="U3267" t="s">
        <v>9462</v>
      </c>
      <c r="V3267" t="s">
        <v>9408</v>
      </c>
      <c r="W3267" t="s">
        <v>423</v>
      </c>
    </row>
    <row r="3268" spans="1:23" hidden="1" x14ac:dyDescent="0.2">
      <c r="A3268">
        <v>2012</v>
      </c>
      <c r="B3268" t="s">
        <v>304</v>
      </c>
      <c r="C3268" s="733">
        <v>40967.371354166666</v>
      </c>
      <c r="D32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68" t="s">
        <v>478</v>
      </c>
      <c r="F3268" t="s">
        <v>2136</v>
      </c>
      <c r="G3268" t="s">
        <v>9016</v>
      </c>
      <c r="H3268">
        <v>36089</v>
      </c>
      <c r="I3268" t="s">
        <v>423</v>
      </c>
      <c r="J3268" t="s">
        <v>3480</v>
      </c>
      <c r="K3268" t="s">
        <v>3481</v>
      </c>
      <c r="L3268" t="s">
        <v>3482</v>
      </c>
      <c r="M3268">
        <v>75</v>
      </c>
      <c r="N3268">
        <v>28.725000000000001</v>
      </c>
      <c r="O3268">
        <v>3242.19</v>
      </c>
      <c r="P3268">
        <v>0</v>
      </c>
      <c r="Q3268">
        <v>3242.19</v>
      </c>
      <c r="R3268">
        <v>518.75</v>
      </c>
      <c r="S3268">
        <v>129.69</v>
      </c>
      <c r="T3268">
        <v>3631.25</v>
      </c>
      <c r="U3268" t="s">
        <v>9462</v>
      </c>
      <c r="V3268" t="s">
        <v>9408</v>
      </c>
      <c r="W3268" t="s">
        <v>423</v>
      </c>
    </row>
    <row r="3269" spans="1:23" hidden="1" x14ac:dyDescent="0.2">
      <c r="A3269">
        <v>2012</v>
      </c>
      <c r="B3269" t="s">
        <v>303</v>
      </c>
      <c r="C3269" s="733">
        <v>40922</v>
      </c>
      <c r="D32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69" t="s">
        <v>478</v>
      </c>
      <c r="F3269" t="s">
        <v>2136</v>
      </c>
      <c r="G3269" t="s">
        <v>3100</v>
      </c>
      <c r="H3269">
        <v>34416</v>
      </c>
      <c r="I3269" t="s">
        <v>423</v>
      </c>
      <c r="J3269" t="s">
        <v>2793</v>
      </c>
      <c r="K3269" t="s">
        <v>425</v>
      </c>
      <c r="L3269" t="s">
        <v>2145</v>
      </c>
      <c r="M3269">
        <v>1147</v>
      </c>
      <c r="N3269">
        <v>23.33</v>
      </c>
      <c r="O3269">
        <v>10764</v>
      </c>
      <c r="P3269">
        <v>0</v>
      </c>
      <c r="Q3269">
        <v>10764</v>
      </c>
      <c r="R3269">
        <v>1722.24</v>
      </c>
      <c r="S3269">
        <v>430.56</v>
      </c>
      <c r="T3269">
        <v>12055.68</v>
      </c>
      <c r="U3269" t="s">
        <v>2146</v>
      </c>
      <c r="V3269" t="s">
        <v>9408</v>
      </c>
      <c r="W3269" t="s">
        <v>423</v>
      </c>
    </row>
    <row r="3270" spans="1:23" hidden="1" x14ac:dyDescent="0.2">
      <c r="A3270">
        <v>2012</v>
      </c>
      <c r="B3270" t="s">
        <v>303</v>
      </c>
      <c r="C3270" s="733">
        <v>40939</v>
      </c>
      <c r="D32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70" t="s">
        <v>485</v>
      </c>
      <c r="F3270" t="s">
        <v>3450</v>
      </c>
      <c r="G3270" t="s">
        <v>4573</v>
      </c>
      <c r="H3270">
        <v>40973</v>
      </c>
      <c r="I3270" t="s">
        <v>423</v>
      </c>
      <c r="J3270" t="s">
        <v>3462</v>
      </c>
      <c r="K3270" t="s">
        <v>3453</v>
      </c>
      <c r="L3270" t="s">
        <v>3454</v>
      </c>
      <c r="M3270">
        <v>425</v>
      </c>
      <c r="N3270">
        <v>52.23</v>
      </c>
      <c r="O3270">
        <v>14574.26</v>
      </c>
      <c r="P3270">
        <v>0</v>
      </c>
      <c r="Q3270">
        <v>14574.26</v>
      </c>
      <c r="R3270">
        <v>2331.88</v>
      </c>
      <c r="S3270">
        <v>582.97</v>
      </c>
      <c r="T3270">
        <v>16323.17</v>
      </c>
      <c r="U3270" t="s">
        <v>3640</v>
      </c>
      <c r="V3270" t="s">
        <v>9409</v>
      </c>
      <c r="W3270" t="s">
        <v>423</v>
      </c>
    </row>
    <row r="3271" spans="1:23" hidden="1" x14ac:dyDescent="0.2">
      <c r="A3271">
        <v>2012</v>
      </c>
      <c r="B3271" t="s">
        <v>304</v>
      </c>
      <c r="C3271" s="733">
        <v>40966</v>
      </c>
      <c r="D32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71" t="s">
        <v>478</v>
      </c>
      <c r="F3271" t="s">
        <v>2136</v>
      </c>
      <c r="G3271" t="s">
        <v>9018</v>
      </c>
      <c r="H3271">
        <v>36030</v>
      </c>
      <c r="I3271" t="s">
        <v>423</v>
      </c>
      <c r="J3271" t="s">
        <v>5684</v>
      </c>
      <c r="K3271" t="s">
        <v>425</v>
      </c>
      <c r="L3271" t="s">
        <v>2145</v>
      </c>
      <c r="M3271">
        <v>484</v>
      </c>
      <c r="N3271">
        <v>23.82</v>
      </c>
      <c r="O3271">
        <v>7186.26</v>
      </c>
      <c r="P3271">
        <v>0</v>
      </c>
      <c r="Q3271">
        <v>7186.26</v>
      </c>
      <c r="R3271">
        <v>1149.8</v>
      </c>
      <c r="S3271">
        <v>287.45</v>
      </c>
      <c r="T3271">
        <v>8048.61</v>
      </c>
      <c r="U3271" t="s">
        <v>9457</v>
      </c>
      <c r="V3271" t="s">
        <v>9408</v>
      </c>
      <c r="W3271" t="s">
        <v>423</v>
      </c>
    </row>
    <row r="3272" spans="1:23" hidden="1" x14ac:dyDescent="0.2">
      <c r="A3272">
        <v>2012</v>
      </c>
      <c r="B3272" t="s">
        <v>304</v>
      </c>
      <c r="C3272" s="733">
        <v>40954</v>
      </c>
      <c r="D32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72" t="s">
        <v>485</v>
      </c>
      <c r="F3272" t="s">
        <v>2065</v>
      </c>
      <c r="G3272" t="s">
        <v>3327</v>
      </c>
      <c r="H3272">
        <v>41890</v>
      </c>
      <c r="I3272" t="s">
        <v>423</v>
      </c>
      <c r="J3272" t="s">
        <v>2126</v>
      </c>
      <c r="K3272" t="s">
        <v>2102</v>
      </c>
      <c r="L3272" t="s">
        <v>2115</v>
      </c>
      <c r="M3272">
        <v>930</v>
      </c>
      <c r="N3272">
        <v>24.76</v>
      </c>
      <c r="O3272">
        <v>14536.1</v>
      </c>
      <c r="P3272">
        <v>0</v>
      </c>
      <c r="Q3272">
        <v>14536.1</v>
      </c>
      <c r="R3272">
        <v>2325.7800000000002</v>
      </c>
      <c r="S3272">
        <v>581.44000000000005</v>
      </c>
      <c r="T3272">
        <v>16280.44</v>
      </c>
      <c r="U3272" t="s">
        <v>8051</v>
      </c>
      <c r="V3272" t="s">
        <v>9408</v>
      </c>
      <c r="W3272" t="s">
        <v>423</v>
      </c>
    </row>
    <row r="3273" spans="1:23" x14ac:dyDescent="0.2">
      <c r="A3273">
        <v>2012</v>
      </c>
      <c r="B3273" t="s">
        <v>304</v>
      </c>
      <c r="C3273" s="733">
        <v>40967</v>
      </c>
      <c r="D32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73" t="s">
        <v>485</v>
      </c>
      <c r="F3273" t="s">
        <v>2065</v>
      </c>
      <c r="G3273" t="s">
        <v>9015</v>
      </c>
      <c r="H3273">
        <v>42657</v>
      </c>
      <c r="I3273" t="s">
        <v>423</v>
      </c>
      <c r="J3273" t="s">
        <v>8281</v>
      </c>
      <c r="K3273" t="s">
        <v>2102</v>
      </c>
      <c r="L3273" t="s">
        <v>2115</v>
      </c>
      <c r="M3273">
        <v>1234</v>
      </c>
      <c r="N3273">
        <v>25.95</v>
      </c>
      <c r="O3273">
        <v>15234.73</v>
      </c>
      <c r="P3273">
        <v>0</v>
      </c>
      <c r="Q3273">
        <v>15234.73</v>
      </c>
      <c r="R3273">
        <v>2437.56</v>
      </c>
      <c r="S3273">
        <v>609.39</v>
      </c>
      <c r="T3273">
        <v>17062.900000000001</v>
      </c>
      <c r="V3273" t="s">
        <v>9409</v>
      </c>
      <c r="W3273" t="s">
        <v>423</v>
      </c>
    </row>
    <row r="3274" spans="1:23" hidden="1" x14ac:dyDescent="0.2">
      <c r="A3274">
        <v>2012</v>
      </c>
      <c r="B3274" t="s">
        <v>304</v>
      </c>
      <c r="C3274" s="733">
        <v>40966</v>
      </c>
      <c r="D32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74" t="s">
        <v>485</v>
      </c>
      <c r="F3274" t="s">
        <v>2065</v>
      </c>
      <c r="G3274" t="s">
        <v>8812</v>
      </c>
      <c r="H3274">
        <v>42534</v>
      </c>
      <c r="I3274" t="s">
        <v>423</v>
      </c>
      <c r="J3274" t="s">
        <v>3544</v>
      </c>
      <c r="K3274" t="s">
        <v>2183</v>
      </c>
      <c r="L3274" t="s">
        <v>2184</v>
      </c>
      <c r="M3274">
        <v>430</v>
      </c>
      <c r="N3274">
        <v>51.07</v>
      </c>
      <c r="O3274">
        <v>16155.48</v>
      </c>
      <c r="P3274">
        <v>0</v>
      </c>
      <c r="Q3274">
        <v>16155.48</v>
      </c>
      <c r="R3274">
        <v>2584.88</v>
      </c>
      <c r="S3274">
        <v>646.22</v>
      </c>
      <c r="T3274">
        <v>18094.14</v>
      </c>
      <c r="V3274" t="s">
        <v>9409</v>
      </c>
      <c r="W3274" t="s">
        <v>423</v>
      </c>
    </row>
    <row r="3275" spans="1:23" hidden="1" x14ac:dyDescent="0.2">
      <c r="A3275">
        <v>2012</v>
      </c>
      <c r="B3275" t="s">
        <v>303</v>
      </c>
      <c r="C3275" s="733">
        <v>40910</v>
      </c>
      <c r="D32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75" t="s">
        <v>485</v>
      </c>
      <c r="F3275" t="s">
        <v>2065</v>
      </c>
      <c r="G3275" t="s">
        <v>3911</v>
      </c>
      <c r="H3275">
        <v>39549</v>
      </c>
      <c r="I3275" t="s">
        <v>423</v>
      </c>
      <c r="J3275" t="s">
        <v>2186</v>
      </c>
      <c r="K3275" t="s">
        <v>2183</v>
      </c>
      <c r="L3275" t="s">
        <v>2184</v>
      </c>
      <c r="M3275">
        <v>19</v>
      </c>
      <c r="N3275">
        <v>16.41</v>
      </c>
      <c r="O3275">
        <v>1023.49</v>
      </c>
      <c r="P3275">
        <v>1152.337156</v>
      </c>
      <c r="Q3275">
        <v>2175.8271559999998</v>
      </c>
      <c r="R3275">
        <v>348.13234499999999</v>
      </c>
      <c r="S3275">
        <v>87.033085999999997</v>
      </c>
      <c r="T3275">
        <v>2436.9264149999999</v>
      </c>
      <c r="U3275" t="s">
        <v>3038</v>
      </c>
      <c r="V3275" t="s">
        <v>9408</v>
      </c>
      <c r="W3275" t="s">
        <v>423</v>
      </c>
    </row>
    <row r="3276" spans="1:23" hidden="1" x14ac:dyDescent="0.2">
      <c r="A3276">
        <v>2012</v>
      </c>
      <c r="B3276" t="s">
        <v>305</v>
      </c>
      <c r="C3276" s="733">
        <v>40970.423657407409</v>
      </c>
      <c r="D3276" s="733" t="str">
        <f>CHOOSE(MONTH(Tabla_sqldatos_bonampakdb_Bon_v_ingresos2012[[#This Row],[fecha_guia]]),"Enero","Febrero","Marzo","Abril","Mayo","Junio","Julio","Agosto","Septiembre","Octubre","Noviembre","Diciembre")</f>
        <v>Marzo</v>
      </c>
      <c r="E3276" t="s">
        <v>485</v>
      </c>
      <c r="F3276" t="s">
        <v>2065</v>
      </c>
      <c r="G3276" t="s">
        <v>9631</v>
      </c>
      <c r="H3276">
        <v>43007</v>
      </c>
      <c r="I3276" t="s">
        <v>423</v>
      </c>
      <c r="J3276" t="s">
        <v>2186</v>
      </c>
      <c r="K3276" t="s">
        <v>2183</v>
      </c>
      <c r="L3276" t="s">
        <v>2184</v>
      </c>
      <c r="M3276">
        <v>19</v>
      </c>
      <c r="N3276">
        <v>14.73</v>
      </c>
      <c r="O3276">
        <v>1662.58</v>
      </c>
      <c r="P3276">
        <v>0</v>
      </c>
      <c r="Q3276">
        <v>1662.58</v>
      </c>
      <c r="R3276">
        <v>266.01</v>
      </c>
      <c r="S3276">
        <v>66.5</v>
      </c>
      <c r="T3276">
        <v>1862.09</v>
      </c>
      <c r="V3276" t="s">
        <v>9408</v>
      </c>
      <c r="W3276" t="s">
        <v>423</v>
      </c>
    </row>
    <row r="3277" spans="1:23" hidden="1" x14ac:dyDescent="0.2">
      <c r="A3277">
        <v>2012</v>
      </c>
      <c r="B3277" t="s">
        <v>303</v>
      </c>
      <c r="C3277" s="733">
        <v>40936</v>
      </c>
      <c r="D32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77" t="s">
        <v>478</v>
      </c>
      <c r="F3277" t="s">
        <v>2136</v>
      </c>
      <c r="G3277" t="s">
        <v>4423</v>
      </c>
      <c r="H3277">
        <v>34532</v>
      </c>
      <c r="I3277" t="s">
        <v>423</v>
      </c>
      <c r="J3277" t="s">
        <v>3789</v>
      </c>
      <c r="K3277" t="s">
        <v>3481</v>
      </c>
      <c r="L3277" t="s">
        <v>3482</v>
      </c>
      <c r="M3277">
        <v>27</v>
      </c>
      <c r="N3277">
        <v>23.175000000000001</v>
      </c>
      <c r="O3277">
        <v>2615.5300000000002</v>
      </c>
      <c r="P3277">
        <v>0</v>
      </c>
      <c r="Q3277">
        <v>2615.5300000000002</v>
      </c>
      <c r="R3277">
        <v>418.48</v>
      </c>
      <c r="S3277">
        <v>104.62</v>
      </c>
      <c r="T3277">
        <v>2929.39</v>
      </c>
      <c r="U3277" t="s">
        <v>3784</v>
      </c>
      <c r="V3277" t="s">
        <v>9408</v>
      </c>
      <c r="W3277" t="s">
        <v>423</v>
      </c>
    </row>
    <row r="3278" spans="1:23" hidden="1" x14ac:dyDescent="0.2">
      <c r="A3278">
        <v>2012</v>
      </c>
      <c r="B3278" t="s">
        <v>303</v>
      </c>
      <c r="C3278" s="733">
        <v>40910</v>
      </c>
      <c r="D32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78" t="s">
        <v>478</v>
      </c>
      <c r="F3278" t="s">
        <v>2622</v>
      </c>
      <c r="G3278" t="s">
        <v>4425</v>
      </c>
      <c r="H3278">
        <v>34175</v>
      </c>
      <c r="I3278" t="s">
        <v>423</v>
      </c>
      <c r="J3278" t="s">
        <v>2629</v>
      </c>
      <c r="K3278" t="s">
        <v>2625</v>
      </c>
      <c r="L3278" t="s">
        <v>2626</v>
      </c>
      <c r="M3278">
        <v>33</v>
      </c>
      <c r="N3278">
        <v>25.77</v>
      </c>
      <c r="O3278">
        <v>1441.06</v>
      </c>
      <c r="P3278">
        <v>1249.326967</v>
      </c>
      <c r="Q3278">
        <v>2690.3869669999999</v>
      </c>
      <c r="R3278">
        <v>430.46191499999998</v>
      </c>
      <c r="S3278">
        <v>107.61547899999999</v>
      </c>
      <c r="T3278">
        <v>3013.2334030000002</v>
      </c>
      <c r="U3278" t="s">
        <v>2660</v>
      </c>
      <c r="V3278" t="s">
        <v>9408</v>
      </c>
      <c r="W3278" t="s">
        <v>423</v>
      </c>
    </row>
    <row r="3279" spans="1:23" hidden="1" x14ac:dyDescent="0.2">
      <c r="A3279">
        <v>2012</v>
      </c>
      <c r="B3279" t="s">
        <v>304</v>
      </c>
      <c r="C3279" s="733">
        <v>40940</v>
      </c>
      <c r="D32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79" t="s">
        <v>485</v>
      </c>
      <c r="F3279" t="s">
        <v>2065</v>
      </c>
      <c r="G3279" t="s">
        <v>4665</v>
      </c>
      <c r="H3279">
        <v>40590</v>
      </c>
      <c r="I3279" t="s">
        <v>423</v>
      </c>
      <c r="J3279" t="s">
        <v>2189</v>
      </c>
      <c r="K3279" t="s">
        <v>2183</v>
      </c>
      <c r="L3279" t="s">
        <v>2184</v>
      </c>
      <c r="M3279">
        <v>720</v>
      </c>
      <c r="N3279">
        <v>26.5</v>
      </c>
      <c r="O3279">
        <v>11763.08</v>
      </c>
      <c r="P3279">
        <v>0</v>
      </c>
      <c r="Q3279">
        <v>11763.08</v>
      </c>
      <c r="R3279">
        <v>1882.09</v>
      </c>
      <c r="S3279">
        <v>470.52</v>
      </c>
      <c r="T3279">
        <v>13174.65</v>
      </c>
      <c r="U3279" t="s">
        <v>2187</v>
      </c>
      <c r="V3279" t="s">
        <v>9408</v>
      </c>
      <c r="W3279" t="s">
        <v>423</v>
      </c>
    </row>
    <row r="3280" spans="1:23" hidden="1" x14ac:dyDescent="0.2">
      <c r="A3280">
        <v>2012</v>
      </c>
      <c r="B3280" t="s">
        <v>304</v>
      </c>
      <c r="C3280" s="733">
        <v>40952</v>
      </c>
      <c r="D32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80" t="s">
        <v>485</v>
      </c>
      <c r="F3280" t="s">
        <v>2065</v>
      </c>
      <c r="G3280" t="s">
        <v>4666</v>
      </c>
      <c r="H3280">
        <v>41738</v>
      </c>
      <c r="I3280" t="s">
        <v>423</v>
      </c>
      <c r="J3280" t="s">
        <v>2189</v>
      </c>
      <c r="K3280" t="s">
        <v>2183</v>
      </c>
      <c r="L3280" t="s">
        <v>2184</v>
      </c>
      <c r="M3280">
        <v>720</v>
      </c>
      <c r="N3280">
        <v>25.65</v>
      </c>
      <c r="O3280">
        <v>11385.78</v>
      </c>
      <c r="P3280">
        <v>0</v>
      </c>
      <c r="Q3280">
        <v>11385.78</v>
      </c>
      <c r="R3280">
        <v>1821.72</v>
      </c>
      <c r="S3280">
        <v>455.43</v>
      </c>
      <c r="T3280">
        <v>12752.07</v>
      </c>
      <c r="U3280" t="s">
        <v>8048</v>
      </c>
      <c r="V3280" t="s">
        <v>9408</v>
      </c>
      <c r="W3280" t="s">
        <v>423</v>
      </c>
    </row>
    <row r="3281" spans="1:23" x14ac:dyDescent="0.2">
      <c r="A3281">
        <v>2012</v>
      </c>
      <c r="B3281" t="s">
        <v>304</v>
      </c>
      <c r="C3281" s="733">
        <v>40967</v>
      </c>
      <c r="D32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81" t="s">
        <v>485</v>
      </c>
      <c r="F3281" t="s">
        <v>2065</v>
      </c>
      <c r="G3281" t="s">
        <v>9118</v>
      </c>
      <c r="H3281">
        <v>42711</v>
      </c>
      <c r="I3281" t="s">
        <v>423</v>
      </c>
      <c r="J3281" t="s">
        <v>2274</v>
      </c>
      <c r="K3281" t="s">
        <v>2051</v>
      </c>
      <c r="L3281" t="s">
        <v>2052</v>
      </c>
      <c r="M3281">
        <v>573</v>
      </c>
      <c r="N3281">
        <v>49.3</v>
      </c>
      <c r="O3281">
        <v>15997.85</v>
      </c>
      <c r="P3281">
        <v>0</v>
      </c>
      <c r="Q3281">
        <v>15997.85</v>
      </c>
      <c r="R3281">
        <v>2559.66</v>
      </c>
      <c r="S3281">
        <v>639.91</v>
      </c>
      <c r="T3281">
        <v>17917.599999999999</v>
      </c>
      <c r="V3281" t="s">
        <v>9409</v>
      </c>
      <c r="W3281" t="s">
        <v>423</v>
      </c>
    </row>
    <row r="3282" spans="1:23" hidden="1" x14ac:dyDescent="0.2">
      <c r="A3282">
        <v>2012</v>
      </c>
      <c r="B3282" t="s">
        <v>303</v>
      </c>
      <c r="C3282" s="733">
        <v>40933</v>
      </c>
      <c r="D32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82" t="s">
        <v>478</v>
      </c>
      <c r="F3282" t="s">
        <v>4128</v>
      </c>
      <c r="G3282" t="s">
        <v>4660</v>
      </c>
      <c r="H3282">
        <v>34803</v>
      </c>
      <c r="I3282" t="s">
        <v>423</v>
      </c>
      <c r="J3282" t="s">
        <v>4661</v>
      </c>
      <c r="K3282" t="s">
        <v>4397</v>
      </c>
      <c r="L3282" t="s">
        <v>4398</v>
      </c>
      <c r="M3282">
        <v>241</v>
      </c>
      <c r="N3282">
        <v>24.675000000000001</v>
      </c>
      <c r="O3282">
        <v>4631.25</v>
      </c>
      <c r="P3282">
        <v>0</v>
      </c>
      <c r="Q3282">
        <v>4631.25</v>
      </c>
      <c r="R3282">
        <v>741</v>
      </c>
      <c r="S3282">
        <v>185.25</v>
      </c>
      <c r="T3282">
        <v>5187</v>
      </c>
      <c r="U3282" t="s">
        <v>4402</v>
      </c>
      <c r="V3282" t="s">
        <v>9408</v>
      </c>
      <c r="W3282" t="s">
        <v>423</v>
      </c>
    </row>
    <row r="3283" spans="1:23" hidden="1" x14ac:dyDescent="0.2">
      <c r="A3283">
        <v>2012</v>
      </c>
      <c r="B3283" t="s">
        <v>304</v>
      </c>
      <c r="C3283" s="733">
        <v>40956</v>
      </c>
      <c r="D32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83" t="s">
        <v>478</v>
      </c>
      <c r="F3283" t="s">
        <v>2136</v>
      </c>
      <c r="G3283" t="s">
        <v>7956</v>
      </c>
      <c r="H3283">
        <v>35740</v>
      </c>
      <c r="I3283" t="s">
        <v>423</v>
      </c>
      <c r="J3283" t="s">
        <v>4791</v>
      </c>
      <c r="K3283" t="s">
        <v>425</v>
      </c>
      <c r="L3283" t="s">
        <v>2145</v>
      </c>
      <c r="M3283">
        <v>139</v>
      </c>
      <c r="N3283">
        <v>24.85</v>
      </c>
      <c r="O3283">
        <v>4150.45</v>
      </c>
      <c r="P3283">
        <v>0</v>
      </c>
      <c r="Q3283">
        <v>4150.45</v>
      </c>
      <c r="R3283">
        <v>664.07</v>
      </c>
      <c r="S3283">
        <v>166.02</v>
      </c>
      <c r="T3283">
        <v>4648.5</v>
      </c>
      <c r="U3283" t="s">
        <v>9455</v>
      </c>
      <c r="V3283" t="s">
        <v>9408</v>
      </c>
      <c r="W3283" t="s">
        <v>423</v>
      </c>
    </row>
    <row r="3284" spans="1:23" hidden="1" x14ac:dyDescent="0.2">
      <c r="A3284">
        <v>2012</v>
      </c>
      <c r="B3284" t="s">
        <v>304</v>
      </c>
      <c r="C3284" s="733">
        <v>40946</v>
      </c>
      <c r="D32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84" t="s">
        <v>478</v>
      </c>
      <c r="F3284" t="s">
        <v>2136</v>
      </c>
      <c r="G3284" t="s">
        <v>5299</v>
      </c>
      <c r="H3284">
        <v>35285</v>
      </c>
      <c r="I3284" t="s">
        <v>423</v>
      </c>
      <c r="J3284" t="s">
        <v>2144</v>
      </c>
      <c r="K3284" t="s">
        <v>425</v>
      </c>
      <c r="L3284" t="s">
        <v>2145</v>
      </c>
      <c r="M3284">
        <v>1354</v>
      </c>
      <c r="N3284">
        <v>46.31</v>
      </c>
      <c r="O3284">
        <v>41993.440000000002</v>
      </c>
      <c r="P3284">
        <v>0</v>
      </c>
      <c r="Q3284">
        <v>41993.440000000002</v>
      </c>
      <c r="R3284">
        <v>6718.95</v>
      </c>
      <c r="S3284">
        <v>1679.74</v>
      </c>
      <c r="T3284">
        <v>47032.65</v>
      </c>
      <c r="U3284" t="s">
        <v>3115</v>
      </c>
      <c r="V3284" t="s">
        <v>9409</v>
      </c>
      <c r="W3284" t="s">
        <v>423</v>
      </c>
    </row>
    <row r="3285" spans="1:23" hidden="1" x14ac:dyDescent="0.2">
      <c r="A3285">
        <v>2012</v>
      </c>
      <c r="B3285" t="s">
        <v>304</v>
      </c>
      <c r="C3285" s="733">
        <v>40966</v>
      </c>
      <c r="D32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85" t="s">
        <v>478</v>
      </c>
      <c r="F3285" t="s">
        <v>2136</v>
      </c>
      <c r="G3285" t="s">
        <v>9119</v>
      </c>
      <c r="H3285">
        <v>35972</v>
      </c>
      <c r="I3285" t="s">
        <v>423</v>
      </c>
      <c r="J3285" t="s">
        <v>2144</v>
      </c>
      <c r="K3285" t="s">
        <v>425</v>
      </c>
      <c r="L3285" t="s">
        <v>2145</v>
      </c>
      <c r="M3285">
        <v>1354</v>
      </c>
      <c r="N3285">
        <v>41.4</v>
      </c>
      <c r="O3285">
        <v>37541.11</v>
      </c>
      <c r="P3285">
        <v>0</v>
      </c>
      <c r="Q3285">
        <v>37541.11</v>
      </c>
      <c r="R3285">
        <v>6006.58</v>
      </c>
      <c r="S3285">
        <v>1501.64</v>
      </c>
      <c r="T3285">
        <v>42046.05</v>
      </c>
      <c r="U3285" t="s">
        <v>9430</v>
      </c>
      <c r="V3285" t="s">
        <v>9409</v>
      </c>
      <c r="W3285" t="s">
        <v>423</v>
      </c>
    </row>
    <row r="3286" spans="1:23" hidden="1" x14ac:dyDescent="0.2">
      <c r="A3286">
        <v>2012</v>
      </c>
      <c r="B3286" t="s">
        <v>304</v>
      </c>
      <c r="C3286" s="733">
        <v>40940</v>
      </c>
      <c r="D32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86" t="s">
        <v>478</v>
      </c>
      <c r="F3286" t="s">
        <v>2136</v>
      </c>
      <c r="G3286" t="s">
        <v>5296</v>
      </c>
      <c r="H3286">
        <v>35040</v>
      </c>
      <c r="I3286" t="s">
        <v>423</v>
      </c>
      <c r="J3286" t="s">
        <v>2144</v>
      </c>
      <c r="K3286" t="s">
        <v>425</v>
      </c>
      <c r="L3286" t="s">
        <v>2145</v>
      </c>
      <c r="M3286">
        <v>1354</v>
      </c>
      <c r="N3286">
        <v>49.47</v>
      </c>
      <c r="O3286">
        <v>44858.9</v>
      </c>
      <c r="P3286">
        <v>0</v>
      </c>
      <c r="Q3286">
        <v>44858.9</v>
      </c>
      <c r="R3286">
        <v>7177.42</v>
      </c>
      <c r="S3286">
        <v>1794.36</v>
      </c>
      <c r="T3286">
        <v>50241.96</v>
      </c>
      <c r="U3286" t="s">
        <v>2914</v>
      </c>
      <c r="V3286" t="s">
        <v>9409</v>
      </c>
      <c r="W3286" t="s">
        <v>423</v>
      </c>
    </row>
    <row r="3287" spans="1:23" hidden="1" x14ac:dyDescent="0.2">
      <c r="A3287">
        <v>2012</v>
      </c>
      <c r="B3287" t="s">
        <v>303</v>
      </c>
      <c r="C3287" s="733">
        <v>40935</v>
      </c>
      <c r="D32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87" t="s">
        <v>478</v>
      </c>
      <c r="F3287" t="s">
        <v>2136</v>
      </c>
      <c r="G3287" t="s">
        <v>3013</v>
      </c>
      <c r="H3287">
        <v>34974</v>
      </c>
      <c r="I3287" t="s">
        <v>423</v>
      </c>
      <c r="J3287" t="s">
        <v>2144</v>
      </c>
      <c r="K3287" t="s">
        <v>425</v>
      </c>
      <c r="L3287" t="s">
        <v>2145</v>
      </c>
      <c r="M3287">
        <v>1354</v>
      </c>
      <c r="N3287">
        <v>52.01</v>
      </c>
      <c r="O3287">
        <v>47162.15</v>
      </c>
      <c r="P3287">
        <v>0</v>
      </c>
      <c r="Q3287">
        <v>47162.15</v>
      </c>
      <c r="R3287">
        <v>7545.94</v>
      </c>
      <c r="S3287">
        <v>1886.49</v>
      </c>
      <c r="T3287">
        <v>52821.599999999999</v>
      </c>
      <c r="U3287" t="s">
        <v>2914</v>
      </c>
      <c r="V3287" t="s">
        <v>9409</v>
      </c>
      <c r="W3287" t="s">
        <v>423</v>
      </c>
    </row>
    <row r="3288" spans="1:23" hidden="1" x14ac:dyDescent="0.2">
      <c r="A3288">
        <v>2012</v>
      </c>
      <c r="B3288" t="s">
        <v>304</v>
      </c>
      <c r="C3288" s="733">
        <v>40961</v>
      </c>
      <c r="D32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88" t="s">
        <v>478</v>
      </c>
      <c r="F3288" t="s">
        <v>2136</v>
      </c>
      <c r="G3288" t="s">
        <v>8376</v>
      </c>
      <c r="H3288">
        <v>35795</v>
      </c>
      <c r="I3288" t="s">
        <v>423</v>
      </c>
      <c r="J3288" t="s">
        <v>2144</v>
      </c>
      <c r="K3288" t="s">
        <v>425</v>
      </c>
      <c r="L3288" t="s">
        <v>2145</v>
      </c>
      <c r="M3288">
        <v>1354</v>
      </c>
      <c r="N3288">
        <v>38.67</v>
      </c>
      <c r="O3288">
        <v>35065.57</v>
      </c>
      <c r="P3288">
        <v>0</v>
      </c>
      <c r="Q3288">
        <v>35065.57</v>
      </c>
      <c r="R3288">
        <v>5610.49</v>
      </c>
      <c r="S3288">
        <v>1402.62</v>
      </c>
      <c r="T3288">
        <v>39273.440000000002</v>
      </c>
      <c r="U3288" t="s">
        <v>9430</v>
      </c>
      <c r="V3288" t="s">
        <v>9409</v>
      </c>
      <c r="W3288" t="s">
        <v>423</v>
      </c>
    </row>
    <row r="3289" spans="1:23" hidden="1" x14ac:dyDescent="0.2">
      <c r="A3289">
        <v>2012</v>
      </c>
      <c r="B3289" t="s">
        <v>303</v>
      </c>
      <c r="C3289" s="733">
        <v>40926.751932870371</v>
      </c>
      <c r="D32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89" t="s">
        <v>478</v>
      </c>
      <c r="F3289" t="s">
        <v>2622</v>
      </c>
      <c r="G3289" t="s">
        <v>4428</v>
      </c>
      <c r="H3289">
        <v>34687</v>
      </c>
      <c r="I3289" t="s">
        <v>423</v>
      </c>
      <c r="J3289" t="s">
        <v>2624</v>
      </c>
      <c r="K3289" t="s">
        <v>2625</v>
      </c>
      <c r="L3289" t="s">
        <v>2626</v>
      </c>
      <c r="M3289">
        <v>10</v>
      </c>
      <c r="N3289">
        <v>24.18</v>
      </c>
      <c r="O3289">
        <v>2728.71</v>
      </c>
      <c r="P3289">
        <v>0</v>
      </c>
      <c r="Q3289">
        <v>2728.71</v>
      </c>
      <c r="R3289">
        <v>436.59</v>
      </c>
      <c r="S3289">
        <v>109.15</v>
      </c>
      <c r="T3289">
        <v>3056.15</v>
      </c>
      <c r="U3289" t="s">
        <v>2633</v>
      </c>
      <c r="V3289" t="s">
        <v>9408</v>
      </c>
      <c r="W3289" t="s">
        <v>423</v>
      </c>
    </row>
    <row r="3290" spans="1:23" hidden="1" x14ac:dyDescent="0.2">
      <c r="A3290">
        <v>2012</v>
      </c>
      <c r="B3290" t="s">
        <v>304</v>
      </c>
      <c r="C3290" s="733">
        <v>40967.34716435185</v>
      </c>
      <c r="D32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90" t="s">
        <v>478</v>
      </c>
      <c r="F3290" t="s">
        <v>2622</v>
      </c>
      <c r="G3290" t="s">
        <v>9263</v>
      </c>
      <c r="H3290">
        <v>36082</v>
      </c>
      <c r="I3290" t="s">
        <v>423</v>
      </c>
      <c r="J3290" t="s">
        <v>2624</v>
      </c>
      <c r="K3290" t="s">
        <v>2625</v>
      </c>
      <c r="L3290" t="s">
        <v>2626</v>
      </c>
      <c r="M3290">
        <v>10</v>
      </c>
      <c r="N3290">
        <v>24.03</v>
      </c>
      <c r="O3290">
        <v>2711.79</v>
      </c>
      <c r="P3290">
        <v>0</v>
      </c>
      <c r="Q3290">
        <v>2711.79</v>
      </c>
      <c r="R3290">
        <v>433.89</v>
      </c>
      <c r="S3290">
        <v>108.47</v>
      </c>
      <c r="T3290">
        <v>3037.21</v>
      </c>
      <c r="U3290" t="s">
        <v>9428</v>
      </c>
      <c r="V3290" t="s">
        <v>9408</v>
      </c>
      <c r="W3290" t="s">
        <v>423</v>
      </c>
    </row>
    <row r="3291" spans="1:23" hidden="1" x14ac:dyDescent="0.2">
      <c r="A3291">
        <v>2012</v>
      </c>
      <c r="B3291" t="s">
        <v>303</v>
      </c>
      <c r="C3291" s="733">
        <v>40910</v>
      </c>
      <c r="D32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91" t="s">
        <v>478</v>
      </c>
      <c r="F3291" t="s">
        <v>2622</v>
      </c>
      <c r="G3291" t="s">
        <v>4429</v>
      </c>
      <c r="H3291">
        <v>34181</v>
      </c>
      <c r="I3291" t="s">
        <v>423</v>
      </c>
      <c r="J3291" t="s">
        <v>2624</v>
      </c>
      <c r="K3291" t="s">
        <v>2625</v>
      </c>
      <c r="L3291" t="s">
        <v>2626</v>
      </c>
      <c r="M3291">
        <v>10</v>
      </c>
      <c r="N3291">
        <v>28.31</v>
      </c>
      <c r="O3291">
        <v>1345.29</v>
      </c>
      <c r="P3291">
        <v>1514.392953</v>
      </c>
      <c r="Q3291">
        <v>2859.682953</v>
      </c>
      <c r="R3291">
        <v>457.54927199999997</v>
      </c>
      <c r="S3291">
        <v>114.38731799999999</v>
      </c>
      <c r="T3291">
        <v>3202.8449070000001</v>
      </c>
      <c r="U3291" t="s">
        <v>2665</v>
      </c>
      <c r="V3291" t="s">
        <v>9408</v>
      </c>
      <c r="W3291" t="s">
        <v>423</v>
      </c>
    </row>
    <row r="3292" spans="1:23" hidden="1" x14ac:dyDescent="0.2">
      <c r="A3292">
        <v>2012</v>
      </c>
      <c r="B3292" t="s">
        <v>303</v>
      </c>
      <c r="C3292" s="733">
        <v>40933</v>
      </c>
      <c r="D32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92" t="s">
        <v>478</v>
      </c>
      <c r="F3292" t="s">
        <v>2622</v>
      </c>
      <c r="G3292" t="s">
        <v>4431</v>
      </c>
      <c r="H3292">
        <v>34862</v>
      </c>
      <c r="I3292" t="s">
        <v>423</v>
      </c>
      <c r="J3292" t="s">
        <v>2624</v>
      </c>
      <c r="K3292" t="s">
        <v>2625</v>
      </c>
      <c r="L3292" t="s">
        <v>2626</v>
      </c>
      <c r="M3292">
        <v>10</v>
      </c>
      <c r="N3292">
        <v>23.59</v>
      </c>
      <c r="O3292">
        <v>2662.13</v>
      </c>
      <c r="P3292">
        <v>0</v>
      </c>
      <c r="Q3292">
        <v>2662.13</v>
      </c>
      <c r="R3292">
        <v>425.94</v>
      </c>
      <c r="S3292">
        <v>106.49</v>
      </c>
      <c r="T3292">
        <v>2981.58</v>
      </c>
      <c r="U3292" t="s">
        <v>2633</v>
      </c>
      <c r="V3292" t="s">
        <v>9408</v>
      </c>
      <c r="W3292" t="s">
        <v>423</v>
      </c>
    </row>
    <row r="3293" spans="1:23" hidden="1" x14ac:dyDescent="0.2">
      <c r="A3293">
        <v>2012</v>
      </c>
      <c r="B3293" t="s">
        <v>303</v>
      </c>
      <c r="C3293" s="733">
        <v>40939.55363425926</v>
      </c>
      <c r="D32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93" t="s">
        <v>478</v>
      </c>
      <c r="F3293" t="s">
        <v>2622</v>
      </c>
      <c r="G3293" t="s">
        <v>4644</v>
      </c>
      <c r="H3293">
        <v>35157</v>
      </c>
      <c r="I3293" t="s">
        <v>423</v>
      </c>
      <c r="J3293" t="s">
        <v>2624</v>
      </c>
      <c r="K3293" t="s">
        <v>2625</v>
      </c>
      <c r="L3293" t="s">
        <v>2626</v>
      </c>
      <c r="M3293">
        <v>10</v>
      </c>
      <c r="N3293">
        <v>25.99</v>
      </c>
      <c r="O3293">
        <v>2932.97</v>
      </c>
      <c r="P3293">
        <v>0</v>
      </c>
      <c r="Q3293">
        <v>2932.97</v>
      </c>
      <c r="R3293">
        <v>469.28</v>
      </c>
      <c r="S3293">
        <v>117.32</v>
      </c>
      <c r="T3293">
        <v>3284.93</v>
      </c>
      <c r="U3293" t="s">
        <v>2648</v>
      </c>
      <c r="V3293" t="s">
        <v>9408</v>
      </c>
      <c r="W3293" t="s">
        <v>423</v>
      </c>
    </row>
    <row r="3294" spans="1:23" hidden="1" x14ac:dyDescent="0.2">
      <c r="A3294">
        <v>2012</v>
      </c>
      <c r="B3294" t="s">
        <v>303</v>
      </c>
      <c r="C3294" s="733">
        <v>40924.947638888887</v>
      </c>
      <c r="D32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94" t="s">
        <v>478</v>
      </c>
      <c r="F3294" t="s">
        <v>2622</v>
      </c>
      <c r="G3294" t="s">
        <v>4650</v>
      </c>
      <c r="H3294">
        <v>34580</v>
      </c>
      <c r="I3294" t="s">
        <v>423</v>
      </c>
      <c r="J3294" t="s">
        <v>2668</v>
      </c>
      <c r="K3294" t="s">
        <v>2625</v>
      </c>
      <c r="L3294" t="s">
        <v>2626</v>
      </c>
      <c r="M3294">
        <v>76</v>
      </c>
      <c r="N3294">
        <v>24.66</v>
      </c>
      <c r="O3294">
        <v>2782.88</v>
      </c>
      <c r="P3294">
        <v>0</v>
      </c>
      <c r="Q3294">
        <v>2782.88</v>
      </c>
      <c r="R3294">
        <v>445.26</v>
      </c>
      <c r="S3294">
        <v>111.32</v>
      </c>
      <c r="T3294">
        <v>3116.82</v>
      </c>
      <c r="U3294" t="s">
        <v>2627</v>
      </c>
      <c r="V3294" t="s">
        <v>9408</v>
      </c>
      <c r="W3294" t="s">
        <v>423</v>
      </c>
    </row>
    <row r="3295" spans="1:23" hidden="1" x14ac:dyDescent="0.2">
      <c r="A3295">
        <v>2012</v>
      </c>
      <c r="B3295" t="s">
        <v>303</v>
      </c>
      <c r="C3295" s="733">
        <v>40932</v>
      </c>
      <c r="D32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95" t="s">
        <v>485</v>
      </c>
      <c r="F3295" t="s">
        <v>2048</v>
      </c>
      <c r="G3295" t="s">
        <v>5157</v>
      </c>
      <c r="H3295">
        <v>40000</v>
      </c>
      <c r="I3295" t="s">
        <v>423</v>
      </c>
      <c r="J3295" t="s">
        <v>4093</v>
      </c>
      <c r="K3295" t="s">
        <v>2051</v>
      </c>
      <c r="L3295" t="s">
        <v>2052</v>
      </c>
      <c r="M3295">
        <v>647</v>
      </c>
      <c r="N3295">
        <v>51.55</v>
      </c>
      <c r="O3295">
        <v>19502.91</v>
      </c>
      <c r="P3295">
        <v>0</v>
      </c>
      <c r="Q3295">
        <v>19502.91</v>
      </c>
      <c r="R3295">
        <v>3120.47</v>
      </c>
      <c r="S3295">
        <v>780.12</v>
      </c>
      <c r="T3295">
        <v>21843.26</v>
      </c>
      <c r="U3295" t="s">
        <v>2067</v>
      </c>
      <c r="V3295" t="s">
        <v>9409</v>
      </c>
      <c r="W3295" t="s">
        <v>423</v>
      </c>
    </row>
    <row r="3296" spans="1:23" hidden="1" x14ac:dyDescent="0.2">
      <c r="A3296">
        <v>2012</v>
      </c>
      <c r="B3296" t="s">
        <v>304</v>
      </c>
      <c r="C3296" s="733">
        <v>40941</v>
      </c>
      <c r="D32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96" t="s">
        <v>485</v>
      </c>
      <c r="F3296" t="s">
        <v>2054</v>
      </c>
      <c r="G3296" t="s">
        <v>5155</v>
      </c>
      <c r="H3296">
        <v>41303</v>
      </c>
      <c r="I3296" t="s">
        <v>423</v>
      </c>
      <c r="J3296" t="s">
        <v>4093</v>
      </c>
      <c r="K3296" t="s">
        <v>2051</v>
      </c>
      <c r="L3296" t="s">
        <v>2052</v>
      </c>
      <c r="M3296">
        <v>647</v>
      </c>
      <c r="N3296">
        <v>28.9</v>
      </c>
      <c r="O3296">
        <v>10933.74</v>
      </c>
      <c r="P3296">
        <v>0</v>
      </c>
      <c r="Q3296">
        <v>10933.74</v>
      </c>
      <c r="R3296">
        <v>1749.4</v>
      </c>
      <c r="S3296">
        <v>437.35</v>
      </c>
      <c r="T3296">
        <v>12245.79</v>
      </c>
      <c r="U3296" t="s">
        <v>2067</v>
      </c>
      <c r="V3296" t="s">
        <v>9409</v>
      </c>
      <c r="W3296" t="s">
        <v>423</v>
      </c>
    </row>
    <row r="3297" spans="1:23" hidden="1" x14ac:dyDescent="0.2">
      <c r="A3297">
        <v>2012</v>
      </c>
      <c r="B3297" t="s">
        <v>303</v>
      </c>
      <c r="C3297" s="733">
        <v>40928</v>
      </c>
      <c r="D32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97" t="s">
        <v>485</v>
      </c>
      <c r="F3297" t="s">
        <v>2048</v>
      </c>
      <c r="G3297" t="s">
        <v>5156</v>
      </c>
      <c r="H3297">
        <v>40661</v>
      </c>
      <c r="I3297" t="s">
        <v>423</v>
      </c>
      <c r="J3297" t="s">
        <v>4093</v>
      </c>
      <c r="K3297" t="s">
        <v>2051</v>
      </c>
      <c r="L3297" t="s">
        <v>2052</v>
      </c>
      <c r="M3297">
        <v>647</v>
      </c>
      <c r="N3297">
        <v>27.9</v>
      </c>
      <c r="O3297">
        <v>10555.41</v>
      </c>
      <c r="P3297">
        <v>0</v>
      </c>
      <c r="Q3297">
        <v>10555.41</v>
      </c>
      <c r="R3297">
        <v>1688.87</v>
      </c>
      <c r="S3297">
        <v>422.22</v>
      </c>
      <c r="T3297">
        <v>11822.06</v>
      </c>
      <c r="U3297" t="s">
        <v>2053</v>
      </c>
      <c r="V3297" t="s">
        <v>9408</v>
      </c>
      <c r="W3297" t="s">
        <v>423</v>
      </c>
    </row>
    <row r="3298" spans="1:23" hidden="1" x14ac:dyDescent="0.2">
      <c r="A3298">
        <v>2012</v>
      </c>
      <c r="B3298" t="s">
        <v>303</v>
      </c>
      <c r="C3298" s="733">
        <v>40910</v>
      </c>
      <c r="D32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298" t="s">
        <v>478</v>
      </c>
      <c r="F3298" t="s">
        <v>2142</v>
      </c>
      <c r="G3298" t="s">
        <v>4432</v>
      </c>
      <c r="H3298">
        <v>34061</v>
      </c>
      <c r="I3298" t="s">
        <v>423</v>
      </c>
      <c r="J3298" t="s">
        <v>2639</v>
      </c>
      <c r="K3298" t="s">
        <v>2640</v>
      </c>
      <c r="L3298" t="s">
        <v>2641</v>
      </c>
      <c r="M3298">
        <v>274</v>
      </c>
      <c r="N3298">
        <v>48.63</v>
      </c>
      <c r="O3298">
        <v>2631.86</v>
      </c>
      <c r="P3298">
        <v>2963.184855</v>
      </c>
      <c r="Q3298">
        <v>5595.0448550000001</v>
      </c>
      <c r="R3298">
        <v>895.207177</v>
      </c>
      <c r="S3298">
        <v>223.801794</v>
      </c>
      <c r="T3298">
        <v>6266.4502380000004</v>
      </c>
      <c r="U3298" t="s">
        <v>4102</v>
      </c>
      <c r="V3298" t="s">
        <v>9409</v>
      </c>
      <c r="W3298" t="s">
        <v>423</v>
      </c>
    </row>
    <row r="3299" spans="1:23" hidden="1" x14ac:dyDescent="0.2">
      <c r="A3299">
        <v>2012</v>
      </c>
      <c r="B3299" t="s">
        <v>304</v>
      </c>
      <c r="C3299" s="733">
        <v>40967</v>
      </c>
      <c r="D32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299" t="s">
        <v>478</v>
      </c>
      <c r="F3299" t="s">
        <v>2142</v>
      </c>
      <c r="G3299" t="s">
        <v>9265</v>
      </c>
      <c r="H3299">
        <v>36032</v>
      </c>
      <c r="I3299" t="s">
        <v>423</v>
      </c>
      <c r="J3299" t="s">
        <v>2639</v>
      </c>
      <c r="K3299" t="s">
        <v>2640</v>
      </c>
      <c r="L3299" t="s">
        <v>2641</v>
      </c>
      <c r="M3299">
        <v>274</v>
      </c>
      <c r="N3299">
        <v>46.77</v>
      </c>
      <c r="O3299">
        <v>6011.82</v>
      </c>
      <c r="P3299">
        <v>0</v>
      </c>
      <c r="Q3299">
        <v>6011.82</v>
      </c>
      <c r="R3299">
        <v>961.89</v>
      </c>
      <c r="S3299">
        <v>240.47</v>
      </c>
      <c r="T3299">
        <v>6733.24</v>
      </c>
      <c r="U3299" t="s">
        <v>9475</v>
      </c>
      <c r="V3299" t="s">
        <v>9409</v>
      </c>
      <c r="W3299" t="s">
        <v>423</v>
      </c>
    </row>
    <row r="3300" spans="1:23" hidden="1" x14ac:dyDescent="0.2">
      <c r="A3300">
        <v>2012</v>
      </c>
      <c r="B3300" t="s">
        <v>304</v>
      </c>
      <c r="C3300" s="733">
        <v>40967.460393518515</v>
      </c>
      <c r="D33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00" t="s">
        <v>478</v>
      </c>
      <c r="F3300" t="s">
        <v>2622</v>
      </c>
      <c r="G3300" t="s">
        <v>9264</v>
      </c>
      <c r="H3300">
        <v>36111</v>
      </c>
      <c r="I3300" t="s">
        <v>423</v>
      </c>
      <c r="J3300" t="s">
        <v>2624</v>
      </c>
      <c r="K3300" t="s">
        <v>2625</v>
      </c>
      <c r="L3300" t="s">
        <v>2626</v>
      </c>
      <c r="M3300">
        <v>10</v>
      </c>
      <c r="N3300">
        <v>26.48</v>
      </c>
      <c r="O3300">
        <v>2988.27</v>
      </c>
      <c r="P3300">
        <v>0</v>
      </c>
      <c r="Q3300">
        <v>2988.27</v>
      </c>
      <c r="R3300">
        <v>478.12</v>
      </c>
      <c r="S3300">
        <v>119.53</v>
      </c>
      <c r="T3300">
        <v>3346.86</v>
      </c>
      <c r="U3300" t="s">
        <v>9428</v>
      </c>
      <c r="V3300" t="s">
        <v>9408</v>
      </c>
      <c r="W3300" t="s">
        <v>423</v>
      </c>
    </row>
    <row r="3301" spans="1:23" hidden="1" x14ac:dyDescent="0.2">
      <c r="A3301">
        <v>2012</v>
      </c>
      <c r="B3301" t="s">
        <v>304</v>
      </c>
      <c r="C3301" s="733">
        <v>40968.749675925923</v>
      </c>
      <c r="D33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01" t="s">
        <v>478</v>
      </c>
      <c r="F3301" t="s">
        <v>2136</v>
      </c>
      <c r="G3301" t="s">
        <v>9591</v>
      </c>
      <c r="H3301">
        <v>36200</v>
      </c>
      <c r="I3301" t="s">
        <v>423</v>
      </c>
      <c r="J3301" t="s">
        <v>2624</v>
      </c>
      <c r="K3301" t="s">
        <v>2625</v>
      </c>
      <c r="L3301" t="s">
        <v>2626</v>
      </c>
      <c r="M3301">
        <v>10</v>
      </c>
      <c r="N3301">
        <v>21.3</v>
      </c>
      <c r="O3301">
        <v>2403.6999999999998</v>
      </c>
      <c r="P3301">
        <v>0</v>
      </c>
      <c r="Q3301">
        <v>2403.6999999999998</v>
      </c>
      <c r="R3301">
        <v>384.59</v>
      </c>
      <c r="S3301">
        <v>96.15</v>
      </c>
      <c r="T3301">
        <v>2692.14</v>
      </c>
      <c r="V3301" t="s">
        <v>9408</v>
      </c>
      <c r="W3301" t="s">
        <v>423</v>
      </c>
    </row>
    <row r="3302" spans="1:23" hidden="1" x14ac:dyDescent="0.2">
      <c r="A3302">
        <v>2012</v>
      </c>
      <c r="B3302" t="s">
        <v>304</v>
      </c>
      <c r="C3302" s="733">
        <v>40946</v>
      </c>
      <c r="D33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02" t="s">
        <v>485</v>
      </c>
      <c r="F3302" t="s">
        <v>2054</v>
      </c>
      <c r="G3302" t="s">
        <v>2689</v>
      </c>
      <c r="H3302">
        <v>41486</v>
      </c>
      <c r="I3302" t="s">
        <v>423</v>
      </c>
      <c r="J3302" t="s">
        <v>2050</v>
      </c>
      <c r="K3302" t="s">
        <v>2051</v>
      </c>
      <c r="L3302" t="s">
        <v>2052</v>
      </c>
      <c r="M3302">
        <v>90</v>
      </c>
      <c r="N3302">
        <v>58.25</v>
      </c>
      <c r="O3302">
        <v>8173.06</v>
      </c>
      <c r="P3302">
        <v>0</v>
      </c>
      <c r="Q3302">
        <v>8173.06</v>
      </c>
      <c r="R3302">
        <v>1307.69</v>
      </c>
      <c r="S3302">
        <v>326.92</v>
      </c>
      <c r="T3302">
        <v>9153.83</v>
      </c>
      <c r="U3302" t="s">
        <v>7568</v>
      </c>
      <c r="V3302" t="s">
        <v>9409</v>
      </c>
      <c r="W3302" t="s">
        <v>423</v>
      </c>
    </row>
    <row r="3303" spans="1:23" hidden="1" x14ac:dyDescent="0.2">
      <c r="A3303">
        <v>2012</v>
      </c>
      <c r="B3303" t="s">
        <v>303</v>
      </c>
      <c r="C3303" s="733">
        <v>40926</v>
      </c>
      <c r="D33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03" t="s">
        <v>485</v>
      </c>
      <c r="F3303" t="s">
        <v>2054</v>
      </c>
      <c r="G3303" t="s">
        <v>2694</v>
      </c>
      <c r="H3303">
        <v>40505</v>
      </c>
      <c r="I3303" t="s">
        <v>423</v>
      </c>
      <c r="J3303" t="s">
        <v>2050</v>
      </c>
      <c r="K3303" t="s">
        <v>2051</v>
      </c>
      <c r="L3303" t="s">
        <v>2052</v>
      </c>
      <c r="M3303">
        <v>90</v>
      </c>
      <c r="N3303">
        <v>28.75</v>
      </c>
      <c r="O3303">
        <v>4033.91</v>
      </c>
      <c r="P3303">
        <v>0</v>
      </c>
      <c r="Q3303">
        <v>4033.91</v>
      </c>
      <c r="R3303">
        <v>645.42999999999995</v>
      </c>
      <c r="S3303">
        <v>161.36000000000001</v>
      </c>
      <c r="T3303">
        <v>4517.9799999999996</v>
      </c>
      <c r="U3303" t="s">
        <v>2062</v>
      </c>
      <c r="V3303" t="s">
        <v>9408</v>
      </c>
      <c r="W3303" t="s">
        <v>423</v>
      </c>
    </row>
    <row r="3304" spans="1:23" hidden="1" x14ac:dyDescent="0.2">
      <c r="A3304">
        <v>2012</v>
      </c>
      <c r="B3304" t="s">
        <v>304</v>
      </c>
      <c r="C3304" s="733">
        <v>40954</v>
      </c>
      <c r="D33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04" t="s">
        <v>485</v>
      </c>
      <c r="F3304" t="s">
        <v>2084</v>
      </c>
      <c r="G3304" t="s">
        <v>7966</v>
      </c>
      <c r="H3304">
        <v>42022</v>
      </c>
      <c r="I3304" t="s">
        <v>423</v>
      </c>
      <c r="J3304" t="s">
        <v>2050</v>
      </c>
      <c r="K3304" t="s">
        <v>2051</v>
      </c>
      <c r="L3304" t="s">
        <v>2052</v>
      </c>
      <c r="M3304">
        <v>90</v>
      </c>
      <c r="N3304">
        <v>25.05</v>
      </c>
      <c r="O3304">
        <v>3514.77</v>
      </c>
      <c r="P3304">
        <v>0</v>
      </c>
      <c r="Q3304">
        <v>3514.77</v>
      </c>
      <c r="R3304">
        <v>562.36</v>
      </c>
      <c r="S3304">
        <v>140.59</v>
      </c>
      <c r="T3304">
        <v>3936.54</v>
      </c>
      <c r="U3304" t="s">
        <v>8780</v>
      </c>
      <c r="V3304" t="s">
        <v>9408</v>
      </c>
      <c r="W3304" t="s">
        <v>423</v>
      </c>
    </row>
    <row r="3305" spans="1:23" hidden="1" x14ac:dyDescent="0.2">
      <c r="A3305">
        <v>2012</v>
      </c>
      <c r="B3305" t="s">
        <v>304</v>
      </c>
      <c r="C3305" s="733">
        <v>40941</v>
      </c>
      <c r="D33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05" t="s">
        <v>485</v>
      </c>
      <c r="F3305" t="s">
        <v>2048</v>
      </c>
      <c r="G3305" t="s">
        <v>2682</v>
      </c>
      <c r="H3305">
        <v>41326</v>
      </c>
      <c r="I3305" t="s">
        <v>423</v>
      </c>
      <c r="J3305" t="s">
        <v>2050</v>
      </c>
      <c r="K3305" t="s">
        <v>2051</v>
      </c>
      <c r="L3305" t="s">
        <v>2052</v>
      </c>
      <c r="M3305">
        <v>90</v>
      </c>
      <c r="N3305">
        <v>49.2</v>
      </c>
      <c r="O3305">
        <v>6903.25</v>
      </c>
      <c r="P3305">
        <v>0</v>
      </c>
      <c r="Q3305">
        <v>6903.25</v>
      </c>
      <c r="R3305">
        <v>1104.52</v>
      </c>
      <c r="S3305">
        <v>276.13</v>
      </c>
      <c r="T3305">
        <v>7731.64</v>
      </c>
      <c r="U3305" t="s">
        <v>2067</v>
      </c>
      <c r="V3305" t="s">
        <v>9409</v>
      </c>
      <c r="W3305" t="s">
        <v>423</v>
      </c>
    </row>
    <row r="3306" spans="1:23" hidden="1" x14ac:dyDescent="0.2">
      <c r="A3306">
        <v>2012</v>
      </c>
      <c r="B3306" t="s">
        <v>303</v>
      </c>
      <c r="C3306" s="733">
        <v>40939.598252314812</v>
      </c>
      <c r="D33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06" t="s">
        <v>485</v>
      </c>
      <c r="F3306" t="s">
        <v>2054</v>
      </c>
      <c r="G3306" t="s">
        <v>2683</v>
      </c>
      <c r="H3306">
        <v>10271</v>
      </c>
      <c r="I3306" t="s">
        <v>423</v>
      </c>
      <c r="J3306" t="s">
        <v>2056</v>
      </c>
      <c r="K3306" t="s">
        <v>2057</v>
      </c>
      <c r="L3306" t="s">
        <v>2058</v>
      </c>
      <c r="M3306">
        <v>19</v>
      </c>
      <c r="N3306">
        <v>24.66</v>
      </c>
      <c r="O3306">
        <v>2783.37</v>
      </c>
      <c r="P3306">
        <v>0</v>
      </c>
      <c r="Q3306">
        <v>2783.37</v>
      </c>
      <c r="R3306">
        <v>445.34</v>
      </c>
      <c r="S3306">
        <v>111.33</v>
      </c>
      <c r="T3306">
        <v>3117.38</v>
      </c>
      <c r="U3306" t="s">
        <v>2073</v>
      </c>
      <c r="V3306" t="s">
        <v>9408</v>
      </c>
      <c r="W3306" t="s">
        <v>423</v>
      </c>
    </row>
    <row r="3307" spans="1:23" hidden="1" x14ac:dyDescent="0.2">
      <c r="A3307">
        <v>2012</v>
      </c>
      <c r="B3307" t="s">
        <v>303</v>
      </c>
      <c r="C3307" s="733">
        <v>40920</v>
      </c>
      <c r="D33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07" t="s">
        <v>485</v>
      </c>
      <c r="F3307" t="s">
        <v>2065</v>
      </c>
      <c r="G3307" t="s">
        <v>3318</v>
      </c>
      <c r="H3307">
        <v>40173</v>
      </c>
      <c r="I3307" t="s">
        <v>423</v>
      </c>
      <c r="J3307" t="s">
        <v>2139</v>
      </c>
      <c r="K3307" t="s">
        <v>2102</v>
      </c>
      <c r="L3307" t="s">
        <v>2115</v>
      </c>
      <c r="M3307">
        <v>543</v>
      </c>
      <c r="N3307">
        <v>51.1</v>
      </c>
      <c r="O3307">
        <v>17182.38</v>
      </c>
      <c r="P3307">
        <v>0</v>
      </c>
      <c r="Q3307">
        <v>17182.38</v>
      </c>
      <c r="R3307">
        <v>2749.18</v>
      </c>
      <c r="S3307">
        <v>687.3</v>
      </c>
      <c r="T3307">
        <v>19244.259999999998</v>
      </c>
      <c r="U3307" t="s">
        <v>2106</v>
      </c>
      <c r="V3307" t="s">
        <v>9409</v>
      </c>
      <c r="W3307" t="s">
        <v>423</v>
      </c>
    </row>
    <row r="3308" spans="1:23" hidden="1" x14ac:dyDescent="0.2">
      <c r="A3308">
        <v>2012</v>
      </c>
      <c r="B3308" t="s">
        <v>304</v>
      </c>
      <c r="C3308" s="733">
        <v>40952</v>
      </c>
      <c r="D33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08" t="s">
        <v>485</v>
      </c>
      <c r="F3308" t="s">
        <v>2065</v>
      </c>
      <c r="G3308" t="s">
        <v>2203</v>
      </c>
      <c r="H3308">
        <v>41748</v>
      </c>
      <c r="I3308" t="s">
        <v>423</v>
      </c>
      <c r="J3308" t="s">
        <v>2196</v>
      </c>
      <c r="K3308" t="s">
        <v>2183</v>
      </c>
      <c r="L3308" t="s">
        <v>2184</v>
      </c>
      <c r="M3308">
        <v>10</v>
      </c>
      <c r="N3308">
        <v>23.85</v>
      </c>
      <c r="O3308">
        <v>2691.95</v>
      </c>
      <c r="P3308">
        <v>0</v>
      </c>
      <c r="Q3308">
        <v>2691.95</v>
      </c>
      <c r="R3308">
        <v>430.71</v>
      </c>
      <c r="S3308">
        <v>107.68</v>
      </c>
      <c r="T3308">
        <v>3014.98</v>
      </c>
      <c r="U3308" t="s">
        <v>8048</v>
      </c>
      <c r="V3308" t="s">
        <v>9408</v>
      </c>
      <c r="W3308" t="s">
        <v>423</v>
      </c>
    </row>
    <row r="3309" spans="1:23" hidden="1" x14ac:dyDescent="0.2">
      <c r="A3309">
        <v>2012</v>
      </c>
      <c r="B3309" t="s">
        <v>303</v>
      </c>
      <c r="C3309" s="733">
        <v>40938</v>
      </c>
      <c r="D33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09" t="s">
        <v>485</v>
      </c>
      <c r="F3309" t="s">
        <v>2065</v>
      </c>
      <c r="G3309" t="s">
        <v>2202</v>
      </c>
      <c r="H3309">
        <v>41038</v>
      </c>
      <c r="I3309" t="s">
        <v>423</v>
      </c>
      <c r="J3309" t="s">
        <v>2196</v>
      </c>
      <c r="K3309" t="s">
        <v>2183</v>
      </c>
      <c r="L3309" t="s">
        <v>2184</v>
      </c>
      <c r="M3309">
        <v>10</v>
      </c>
      <c r="N3309">
        <v>27.72</v>
      </c>
      <c r="O3309">
        <v>3128.76</v>
      </c>
      <c r="P3309">
        <v>0</v>
      </c>
      <c r="Q3309">
        <v>3128.76</v>
      </c>
      <c r="R3309">
        <v>500.6</v>
      </c>
      <c r="S3309">
        <v>125.15</v>
      </c>
      <c r="T3309">
        <v>3504.21</v>
      </c>
      <c r="U3309" t="s">
        <v>2187</v>
      </c>
      <c r="V3309" t="s">
        <v>9408</v>
      </c>
      <c r="W3309" t="s">
        <v>423</v>
      </c>
    </row>
    <row r="3310" spans="1:23" hidden="1" x14ac:dyDescent="0.2">
      <c r="A3310">
        <v>2012</v>
      </c>
      <c r="B3310" t="s">
        <v>304</v>
      </c>
      <c r="C3310" s="733">
        <v>40956</v>
      </c>
      <c r="D33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10" t="s">
        <v>478</v>
      </c>
      <c r="F3310" t="s">
        <v>2136</v>
      </c>
      <c r="G3310" t="s">
        <v>7577</v>
      </c>
      <c r="H3310">
        <v>35623</v>
      </c>
      <c r="I3310" t="s">
        <v>423</v>
      </c>
      <c r="J3310" t="s">
        <v>4285</v>
      </c>
      <c r="K3310" t="s">
        <v>425</v>
      </c>
      <c r="L3310" t="s">
        <v>2145</v>
      </c>
      <c r="M3310">
        <v>110</v>
      </c>
      <c r="N3310">
        <v>22.79</v>
      </c>
      <c r="O3310">
        <v>3709.07</v>
      </c>
      <c r="P3310">
        <v>0</v>
      </c>
      <c r="Q3310">
        <v>3709.07</v>
      </c>
      <c r="R3310">
        <v>593.45000000000005</v>
      </c>
      <c r="S3310">
        <v>148.36000000000001</v>
      </c>
      <c r="T3310">
        <v>4154.16</v>
      </c>
      <c r="U3310" t="s">
        <v>8510</v>
      </c>
      <c r="V3310" t="s">
        <v>9408</v>
      </c>
      <c r="W3310" t="s">
        <v>423</v>
      </c>
    </row>
    <row r="3311" spans="1:23" hidden="1" x14ac:dyDescent="0.2">
      <c r="A3311">
        <v>2012</v>
      </c>
      <c r="B3311" t="s">
        <v>303</v>
      </c>
      <c r="C3311" s="733">
        <v>40934</v>
      </c>
      <c r="D33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11" t="s">
        <v>478</v>
      </c>
      <c r="F3311" t="s">
        <v>2142</v>
      </c>
      <c r="G3311" t="s">
        <v>4287</v>
      </c>
      <c r="H3311">
        <v>34960</v>
      </c>
      <c r="I3311" t="s">
        <v>423</v>
      </c>
      <c r="J3311" t="s">
        <v>4285</v>
      </c>
      <c r="K3311" t="s">
        <v>425</v>
      </c>
      <c r="L3311" t="s">
        <v>2145</v>
      </c>
      <c r="M3311">
        <v>110</v>
      </c>
      <c r="N3311">
        <v>24.48</v>
      </c>
      <c r="O3311">
        <v>3984.12</v>
      </c>
      <c r="P3311">
        <v>0</v>
      </c>
      <c r="Q3311">
        <v>3984.12</v>
      </c>
      <c r="R3311">
        <v>637.46</v>
      </c>
      <c r="S3311">
        <v>159.36000000000001</v>
      </c>
      <c r="T3311">
        <v>4462.22</v>
      </c>
      <c r="V3311" t="s">
        <v>9409</v>
      </c>
      <c r="W3311" t="s">
        <v>423</v>
      </c>
    </row>
    <row r="3312" spans="1:23" hidden="1" x14ac:dyDescent="0.2">
      <c r="A3312">
        <v>2012</v>
      </c>
      <c r="B3312" t="s">
        <v>304</v>
      </c>
      <c r="C3312" s="733">
        <v>40949</v>
      </c>
      <c r="D33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12" t="s">
        <v>485</v>
      </c>
      <c r="F3312" t="s">
        <v>2065</v>
      </c>
      <c r="G3312" t="s">
        <v>3315</v>
      </c>
      <c r="H3312">
        <v>41659</v>
      </c>
      <c r="I3312" t="s">
        <v>423</v>
      </c>
      <c r="J3312" t="s">
        <v>2139</v>
      </c>
      <c r="K3312" t="s">
        <v>2102</v>
      </c>
      <c r="L3312" t="s">
        <v>2115</v>
      </c>
      <c r="M3312">
        <v>543</v>
      </c>
      <c r="N3312">
        <v>25.4</v>
      </c>
      <c r="O3312">
        <v>8540.75</v>
      </c>
      <c r="P3312">
        <v>0</v>
      </c>
      <c r="Q3312">
        <v>8540.75</v>
      </c>
      <c r="R3312">
        <v>1366.52</v>
      </c>
      <c r="S3312">
        <v>341.63</v>
      </c>
      <c r="T3312">
        <v>9565.64</v>
      </c>
      <c r="U3312" t="s">
        <v>8051</v>
      </c>
      <c r="V3312" t="s">
        <v>9408</v>
      </c>
      <c r="W3312" t="s">
        <v>423</v>
      </c>
    </row>
    <row r="3313" spans="1:23" hidden="1" x14ac:dyDescent="0.2">
      <c r="A3313">
        <v>2012</v>
      </c>
      <c r="B3313" t="s">
        <v>305</v>
      </c>
      <c r="C3313" s="733">
        <v>40970</v>
      </c>
      <c r="D3313" s="733" t="str">
        <f>CHOOSE(MONTH(Tabla_sqldatos_bonampakdb_Bon_v_ingresos2012[[#This Row],[fecha_guia]]),"Enero","Febrero","Marzo","Abril","Mayo","Junio","Julio","Agosto","Septiembre","Octubre","Noviembre","Diciembre")</f>
        <v>Marzo</v>
      </c>
      <c r="E3313" t="s">
        <v>485</v>
      </c>
      <c r="F3313" t="s">
        <v>2065</v>
      </c>
      <c r="G3313" t="s">
        <v>9565</v>
      </c>
      <c r="H3313">
        <v>42815</v>
      </c>
      <c r="I3313" t="s">
        <v>423</v>
      </c>
      <c r="J3313" t="s">
        <v>2139</v>
      </c>
      <c r="K3313" t="s">
        <v>2102</v>
      </c>
      <c r="L3313" t="s">
        <v>9301</v>
      </c>
      <c r="M3313">
        <v>543</v>
      </c>
      <c r="N3313">
        <v>52.77</v>
      </c>
      <c r="O3313">
        <v>17743.91</v>
      </c>
      <c r="P3313">
        <v>0</v>
      </c>
      <c r="Q3313">
        <v>17743.91</v>
      </c>
      <c r="R3313">
        <v>2839.03</v>
      </c>
      <c r="S3313">
        <v>709.76</v>
      </c>
      <c r="T3313">
        <v>19873.18</v>
      </c>
      <c r="V3313" t="s">
        <v>9409</v>
      </c>
      <c r="W3313" t="s">
        <v>423</v>
      </c>
    </row>
    <row r="3314" spans="1:23" hidden="1" x14ac:dyDescent="0.2">
      <c r="A3314">
        <v>2012</v>
      </c>
      <c r="B3314" t="s">
        <v>304</v>
      </c>
      <c r="C3314" s="733">
        <v>40941</v>
      </c>
      <c r="D33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14" t="s">
        <v>485</v>
      </c>
      <c r="F3314" t="s">
        <v>2065</v>
      </c>
      <c r="G3314" t="s">
        <v>2216</v>
      </c>
      <c r="H3314">
        <v>41218</v>
      </c>
      <c r="I3314" t="s">
        <v>423</v>
      </c>
      <c r="J3314" t="s">
        <v>2196</v>
      </c>
      <c r="K3314" t="s">
        <v>2183</v>
      </c>
      <c r="L3314" t="s">
        <v>2184</v>
      </c>
      <c r="M3314">
        <v>10</v>
      </c>
      <c r="N3314">
        <v>52.85</v>
      </c>
      <c r="O3314">
        <v>5965.18</v>
      </c>
      <c r="P3314">
        <v>0</v>
      </c>
      <c r="Q3314">
        <v>5965.18</v>
      </c>
      <c r="R3314">
        <v>954.43</v>
      </c>
      <c r="S3314">
        <v>238.61</v>
      </c>
      <c r="T3314">
        <v>6681</v>
      </c>
      <c r="U3314" t="s">
        <v>2192</v>
      </c>
      <c r="V3314" t="s">
        <v>9409</v>
      </c>
      <c r="W3314" t="s">
        <v>423</v>
      </c>
    </row>
    <row r="3315" spans="1:23" hidden="1" x14ac:dyDescent="0.2">
      <c r="A3315">
        <v>2012</v>
      </c>
      <c r="B3315" t="s">
        <v>304</v>
      </c>
      <c r="C3315" s="733">
        <v>40954.421643518515</v>
      </c>
      <c r="D33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15" t="s">
        <v>485</v>
      </c>
      <c r="F3315" t="s">
        <v>2065</v>
      </c>
      <c r="G3315" t="s">
        <v>3956</v>
      </c>
      <c r="H3315">
        <v>41956</v>
      </c>
      <c r="I3315" t="s">
        <v>423</v>
      </c>
      <c r="J3315" t="s">
        <v>2196</v>
      </c>
      <c r="K3315" t="s">
        <v>2183</v>
      </c>
      <c r="L3315" t="s">
        <v>2184</v>
      </c>
      <c r="M3315">
        <v>10</v>
      </c>
      <c r="N3315">
        <v>53.87</v>
      </c>
      <c r="O3315">
        <v>6080.31</v>
      </c>
      <c r="P3315">
        <v>0</v>
      </c>
      <c r="Q3315">
        <v>6080.31</v>
      </c>
      <c r="R3315">
        <v>972.85</v>
      </c>
      <c r="S3315">
        <v>243.21</v>
      </c>
      <c r="T3315">
        <v>6809.95</v>
      </c>
      <c r="U3315" t="s">
        <v>8048</v>
      </c>
      <c r="V3315" t="s">
        <v>9409</v>
      </c>
      <c r="W3315" t="s">
        <v>423</v>
      </c>
    </row>
    <row r="3316" spans="1:23" hidden="1" x14ac:dyDescent="0.2">
      <c r="A3316">
        <v>2012</v>
      </c>
      <c r="B3316" t="s">
        <v>304</v>
      </c>
      <c r="C3316" s="733">
        <v>40948</v>
      </c>
      <c r="D33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16" t="s">
        <v>485</v>
      </c>
      <c r="F3316" t="s">
        <v>2065</v>
      </c>
      <c r="G3316" t="s">
        <v>2217</v>
      </c>
      <c r="H3316">
        <v>41565</v>
      </c>
      <c r="I3316" t="s">
        <v>423</v>
      </c>
      <c r="J3316" t="s">
        <v>2196</v>
      </c>
      <c r="K3316" t="s">
        <v>2183</v>
      </c>
      <c r="L3316" t="s">
        <v>2184</v>
      </c>
      <c r="M3316">
        <v>10</v>
      </c>
      <c r="N3316">
        <v>50.73</v>
      </c>
      <c r="O3316">
        <v>5725.9</v>
      </c>
      <c r="P3316">
        <v>0</v>
      </c>
      <c r="Q3316">
        <v>5725.9</v>
      </c>
      <c r="R3316">
        <v>916.14</v>
      </c>
      <c r="S3316">
        <v>229.04</v>
      </c>
      <c r="T3316">
        <v>6413</v>
      </c>
      <c r="U3316" t="s">
        <v>2192</v>
      </c>
      <c r="V3316" t="s">
        <v>9409</v>
      </c>
      <c r="W3316" t="s">
        <v>423</v>
      </c>
    </row>
    <row r="3317" spans="1:23" hidden="1" x14ac:dyDescent="0.2">
      <c r="A3317">
        <v>2012</v>
      </c>
      <c r="B3317" t="s">
        <v>303</v>
      </c>
      <c r="C3317" s="733">
        <v>40924</v>
      </c>
      <c r="D33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17" t="s">
        <v>485</v>
      </c>
      <c r="F3317" t="s">
        <v>2065</v>
      </c>
      <c r="G3317" t="s">
        <v>2195</v>
      </c>
      <c r="H3317">
        <v>40335</v>
      </c>
      <c r="I3317" t="s">
        <v>423</v>
      </c>
      <c r="J3317" t="s">
        <v>2196</v>
      </c>
      <c r="K3317" t="s">
        <v>2183</v>
      </c>
      <c r="L3317" t="s">
        <v>2184</v>
      </c>
      <c r="M3317">
        <v>10</v>
      </c>
      <c r="N3317">
        <v>24.96</v>
      </c>
      <c r="O3317">
        <v>2817.24</v>
      </c>
      <c r="P3317">
        <v>0</v>
      </c>
      <c r="Q3317">
        <v>2817.24</v>
      </c>
      <c r="R3317">
        <v>450.76</v>
      </c>
      <c r="S3317">
        <v>112.69</v>
      </c>
      <c r="T3317">
        <v>3155.31</v>
      </c>
      <c r="U3317" t="s">
        <v>7554</v>
      </c>
      <c r="V3317" t="s">
        <v>9408</v>
      </c>
      <c r="W3317" t="s">
        <v>423</v>
      </c>
    </row>
    <row r="3318" spans="1:23" hidden="1" x14ac:dyDescent="0.2">
      <c r="A3318">
        <v>2012</v>
      </c>
      <c r="B3318" t="s">
        <v>304</v>
      </c>
      <c r="C3318" s="733">
        <v>40952</v>
      </c>
      <c r="D33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18" t="s">
        <v>485</v>
      </c>
      <c r="F3318" t="s">
        <v>2065</v>
      </c>
      <c r="G3318" t="s">
        <v>2198</v>
      </c>
      <c r="H3318">
        <v>41674</v>
      </c>
      <c r="I3318" t="s">
        <v>423</v>
      </c>
      <c r="J3318" t="s">
        <v>2196</v>
      </c>
      <c r="K3318" t="s">
        <v>2183</v>
      </c>
      <c r="L3318" t="s">
        <v>2184</v>
      </c>
      <c r="M3318">
        <v>10</v>
      </c>
      <c r="N3318">
        <v>47.54</v>
      </c>
      <c r="O3318">
        <v>5365.84</v>
      </c>
      <c r="P3318">
        <v>0</v>
      </c>
      <c r="Q3318">
        <v>5365.84</v>
      </c>
      <c r="R3318">
        <v>858.53</v>
      </c>
      <c r="S3318">
        <v>214.63</v>
      </c>
      <c r="T3318">
        <v>6009.74</v>
      </c>
      <c r="U3318" t="s">
        <v>8048</v>
      </c>
      <c r="V3318" t="s">
        <v>9409</v>
      </c>
      <c r="W3318" t="s">
        <v>423</v>
      </c>
    </row>
    <row r="3319" spans="1:23" hidden="1" x14ac:dyDescent="0.2">
      <c r="A3319">
        <v>2012</v>
      </c>
      <c r="B3319" t="s">
        <v>303</v>
      </c>
      <c r="C3319" s="733">
        <v>40934.41337962963</v>
      </c>
      <c r="D33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19" t="s">
        <v>485</v>
      </c>
      <c r="F3319" t="s">
        <v>2065</v>
      </c>
      <c r="G3319" t="s">
        <v>2201</v>
      </c>
      <c r="H3319">
        <v>40910</v>
      </c>
      <c r="I3319" t="s">
        <v>423</v>
      </c>
      <c r="J3319" t="s">
        <v>2196</v>
      </c>
      <c r="K3319" t="s">
        <v>2183</v>
      </c>
      <c r="L3319" t="s">
        <v>2184</v>
      </c>
      <c r="M3319">
        <v>10</v>
      </c>
      <c r="N3319">
        <v>28.63</v>
      </c>
      <c r="O3319">
        <v>3231.47</v>
      </c>
      <c r="P3319">
        <v>0</v>
      </c>
      <c r="Q3319">
        <v>3231.47</v>
      </c>
      <c r="R3319">
        <v>517.03</v>
      </c>
      <c r="S3319">
        <v>129.26</v>
      </c>
      <c r="T3319">
        <v>3619.24</v>
      </c>
      <c r="U3319" t="s">
        <v>2187</v>
      </c>
      <c r="V3319" t="s">
        <v>9408</v>
      </c>
      <c r="W3319" t="s">
        <v>423</v>
      </c>
    </row>
    <row r="3320" spans="1:23" hidden="1" x14ac:dyDescent="0.2">
      <c r="A3320">
        <v>2012</v>
      </c>
      <c r="B3320" t="s">
        <v>303</v>
      </c>
      <c r="C3320" s="733">
        <v>40922</v>
      </c>
      <c r="D33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20" t="s">
        <v>478</v>
      </c>
      <c r="F3320" t="s">
        <v>2136</v>
      </c>
      <c r="G3320" t="s">
        <v>3317</v>
      </c>
      <c r="H3320">
        <v>34497</v>
      </c>
      <c r="I3320" t="s">
        <v>423</v>
      </c>
      <c r="J3320" t="s">
        <v>2148</v>
      </c>
      <c r="K3320" t="s">
        <v>425</v>
      </c>
      <c r="L3320" t="s">
        <v>2145</v>
      </c>
      <c r="M3320">
        <v>205</v>
      </c>
      <c r="N3320">
        <v>24.93</v>
      </c>
      <c r="O3320">
        <v>4945.3599999999997</v>
      </c>
      <c r="P3320">
        <v>0</v>
      </c>
      <c r="Q3320">
        <v>4945.3599999999997</v>
      </c>
      <c r="R3320">
        <v>791.26</v>
      </c>
      <c r="S3320">
        <v>197.81</v>
      </c>
      <c r="T3320">
        <v>5538.81</v>
      </c>
      <c r="U3320" t="s">
        <v>2150</v>
      </c>
      <c r="V3320" t="s">
        <v>9408</v>
      </c>
      <c r="W3320" t="s">
        <v>423</v>
      </c>
    </row>
    <row r="3321" spans="1:23" hidden="1" x14ac:dyDescent="0.2">
      <c r="A3321">
        <v>2012</v>
      </c>
      <c r="B3321" t="s">
        <v>303</v>
      </c>
      <c r="C3321" s="733">
        <v>40926</v>
      </c>
      <c r="D33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21" t="s">
        <v>485</v>
      </c>
      <c r="F3321" t="s">
        <v>2065</v>
      </c>
      <c r="G3321" t="s">
        <v>2204</v>
      </c>
      <c r="H3321">
        <v>40485</v>
      </c>
      <c r="I3321" t="s">
        <v>423</v>
      </c>
      <c r="J3321" t="s">
        <v>2196</v>
      </c>
      <c r="K3321" t="s">
        <v>2183</v>
      </c>
      <c r="L3321" t="s">
        <v>2184</v>
      </c>
      <c r="M3321">
        <v>10</v>
      </c>
      <c r="N3321">
        <v>15.91</v>
      </c>
      <c r="O3321">
        <v>1795.76</v>
      </c>
      <c r="P3321">
        <v>0</v>
      </c>
      <c r="Q3321">
        <v>1795.76</v>
      </c>
      <c r="R3321">
        <v>287.32</v>
      </c>
      <c r="S3321">
        <v>71.83</v>
      </c>
      <c r="T3321">
        <v>2011.25</v>
      </c>
      <c r="U3321" t="s">
        <v>7554</v>
      </c>
      <c r="V3321" t="s">
        <v>9408</v>
      </c>
      <c r="W3321" t="s">
        <v>423</v>
      </c>
    </row>
    <row r="3322" spans="1:23" hidden="1" x14ac:dyDescent="0.2">
      <c r="A3322">
        <v>2012</v>
      </c>
      <c r="B3322" t="s">
        <v>303</v>
      </c>
      <c r="C3322" s="733">
        <v>40926</v>
      </c>
      <c r="D33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22" t="s">
        <v>485</v>
      </c>
      <c r="F3322" t="s">
        <v>2065</v>
      </c>
      <c r="G3322" t="s">
        <v>2205</v>
      </c>
      <c r="H3322">
        <v>39964</v>
      </c>
      <c r="I3322" t="s">
        <v>423</v>
      </c>
      <c r="J3322" t="s">
        <v>2196</v>
      </c>
      <c r="K3322" t="s">
        <v>2183</v>
      </c>
      <c r="L3322" t="s">
        <v>2184</v>
      </c>
      <c r="M3322">
        <v>10</v>
      </c>
      <c r="N3322">
        <v>16.11</v>
      </c>
      <c r="O3322">
        <v>1818.34</v>
      </c>
      <c r="P3322">
        <v>0</v>
      </c>
      <c r="Q3322">
        <v>1818.34</v>
      </c>
      <c r="R3322">
        <v>290.93</v>
      </c>
      <c r="S3322">
        <v>72.73</v>
      </c>
      <c r="T3322">
        <v>2036.54</v>
      </c>
      <c r="U3322" t="s">
        <v>9411</v>
      </c>
      <c r="V3322" t="s">
        <v>9408</v>
      </c>
      <c r="W3322" t="s">
        <v>423</v>
      </c>
    </row>
    <row r="3323" spans="1:23" hidden="1" x14ac:dyDescent="0.2">
      <c r="A3323">
        <v>2012</v>
      </c>
      <c r="B3323" t="s">
        <v>303</v>
      </c>
      <c r="C3323" s="733">
        <v>40933</v>
      </c>
      <c r="D33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23" t="s">
        <v>485</v>
      </c>
      <c r="F3323" t="s">
        <v>2065</v>
      </c>
      <c r="G3323" t="s">
        <v>2199</v>
      </c>
      <c r="H3323">
        <v>40837</v>
      </c>
      <c r="I3323" t="s">
        <v>423</v>
      </c>
      <c r="J3323" t="s">
        <v>2196</v>
      </c>
      <c r="K3323" t="s">
        <v>2183</v>
      </c>
      <c r="L3323" t="s">
        <v>2184</v>
      </c>
      <c r="M3323">
        <v>10</v>
      </c>
      <c r="N3323">
        <v>15.14</v>
      </c>
      <c r="O3323">
        <v>1708.85</v>
      </c>
      <c r="P3323">
        <v>0</v>
      </c>
      <c r="Q3323">
        <v>1708.85</v>
      </c>
      <c r="R3323">
        <v>273.42</v>
      </c>
      <c r="S3323">
        <v>68.349999999999994</v>
      </c>
      <c r="T3323">
        <v>1913.92</v>
      </c>
      <c r="U3323" t="s">
        <v>2187</v>
      </c>
      <c r="V3323" t="s">
        <v>9408</v>
      </c>
      <c r="W3323" t="s">
        <v>423</v>
      </c>
    </row>
    <row r="3324" spans="1:23" hidden="1" x14ac:dyDescent="0.2">
      <c r="A3324">
        <v>2012</v>
      </c>
      <c r="B3324" t="s">
        <v>304</v>
      </c>
      <c r="C3324" s="733">
        <v>40952</v>
      </c>
      <c r="D33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24" t="s">
        <v>485</v>
      </c>
      <c r="F3324" t="s">
        <v>2065</v>
      </c>
      <c r="G3324" t="s">
        <v>2200</v>
      </c>
      <c r="H3324">
        <v>41790</v>
      </c>
      <c r="I3324" t="s">
        <v>423</v>
      </c>
      <c r="J3324" t="s">
        <v>2196</v>
      </c>
      <c r="K3324" t="s">
        <v>2183</v>
      </c>
      <c r="L3324" t="s">
        <v>2184</v>
      </c>
      <c r="M3324">
        <v>10</v>
      </c>
      <c r="N3324">
        <v>15.78</v>
      </c>
      <c r="O3324">
        <v>1781.09</v>
      </c>
      <c r="P3324">
        <v>0</v>
      </c>
      <c r="Q3324">
        <v>1781.09</v>
      </c>
      <c r="R3324">
        <v>284.97000000000003</v>
      </c>
      <c r="S3324">
        <v>71.239999999999995</v>
      </c>
      <c r="T3324">
        <v>1994.82</v>
      </c>
      <c r="U3324" t="s">
        <v>8048</v>
      </c>
      <c r="V3324" t="s">
        <v>9408</v>
      </c>
      <c r="W3324" t="s">
        <v>423</v>
      </c>
    </row>
    <row r="3325" spans="1:23" hidden="1" x14ac:dyDescent="0.2">
      <c r="A3325">
        <v>2012</v>
      </c>
      <c r="B3325" t="s">
        <v>304</v>
      </c>
      <c r="C3325" s="733">
        <v>40960</v>
      </c>
      <c r="D33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25" t="s">
        <v>485</v>
      </c>
      <c r="F3325" t="s">
        <v>2065</v>
      </c>
      <c r="G3325" t="s">
        <v>8081</v>
      </c>
      <c r="H3325">
        <v>42251</v>
      </c>
      <c r="I3325" t="s">
        <v>423</v>
      </c>
      <c r="J3325" t="s">
        <v>2196</v>
      </c>
      <c r="K3325" t="s">
        <v>2183</v>
      </c>
      <c r="L3325" t="s">
        <v>2184</v>
      </c>
      <c r="M3325">
        <v>10</v>
      </c>
      <c r="N3325">
        <v>16.149999999999999</v>
      </c>
      <c r="O3325">
        <v>1822.85</v>
      </c>
      <c r="P3325">
        <v>0</v>
      </c>
      <c r="Q3325">
        <v>1822.85</v>
      </c>
      <c r="R3325">
        <v>291.66000000000003</v>
      </c>
      <c r="S3325">
        <v>72.91</v>
      </c>
      <c r="T3325">
        <v>2041.6</v>
      </c>
      <c r="U3325" t="s">
        <v>9411</v>
      </c>
      <c r="V3325" t="s">
        <v>9408</v>
      </c>
      <c r="W3325" t="s">
        <v>423</v>
      </c>
    </row>
    <row r="3326" spans="1:23" hidden="1" x14ac:dyDescent="0.2">
      <c r="A3326">
        <v>2012</v>
      </c>
      <c r="B3326" t="s">
        <v>304</v>
      </c>
      <c r="C3326" s="733">
        <v>40960</v>
      </c>
      <c r="D33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26" t="s">
        <v>485</v>
      </c>
      <c r="F3326" t="s">
        <v>2065</v>
      </c>
      <c r="G3326" t="s">
        <v>8065</v>
      </c>
      <c r="H3326">
        <v>42257</v>
      </c>
      <c r="I3326" t="s">
        <v>423</v>
      </c>
      <c r="J3326" t="s">
        <v>2196</v>
      </c>
      <c r="K3326" t="s">
        <v>2183</v>
      </c>
      <c r="L3326" t="s">
        <v>2184</v>
      </c>
      <c r="M3326">
        <v>10</v>
      </c>
      <c r="N3326">
        <v>15.95</v>
      </c>
      <c r="O3326">
        <v>1800.28</v>
      </c>
      <c r="P3326">
        <v>0</v>
      </c>
      <c r="Q3326">
        <v>1800.28</v>
      </c>
      <c r="R3326">
        <v>288.04000000000002</v>
      </c>
      <c r="S3326">
        <v>72.010000000000005</v>
      </c>
      <c r="T3326">
        <v>2016.31</v>
      </c>
      <c r="U3326" t="s">
        <v>9411</v>
      </c>
      <c r="V3326" t="s">
        <v>9408</v>
      </c>
      <c r="W3326" t="s">
        <v>423</v>
      </c>
    </row>
    <row r="3327" spans="1:23" hidden="1" x14ac:dyDescent="0.2">
      <c r="A3327">
        <v>2012</v>
      </c>
      <c r="B3327" t="s">
        <v>303</v>
      </c>
      <c r="C3327" s="733">
        <v>40924</v>
      </c>
      <c r="D33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27" t="s">
        <v>478</v>
      </c>
      <c r="F3327" t="s">
        <v>2136</v>
      </c>
      <c r="G3327" t="s">
        <v>4284</v>
      </c>
      <c r="H3327">
        <v>34503</v>
      </c>
      <c r="I3327" t="s">
        <v>423</v>
      </c>
      <c r="J3327" t="s">
        <v>4285</v>
      </c>
      <c r="K3327" t="s">
        <v>425</v>
      </c>
      <c r="L3327" t="s">
        <v>2145</v>
      </c>
      <c r="M3327">
        <v>110</v>
      </c>
      <c r="N3327">
        <v>25.34</v>
      </c>
      <c r="O3327">
        <v>4124.08</v>
      </c>
      <c r="P3327">
        <v>0</v>
      </c>
      <c r="Q3327">
        <v>4124.08</v>
      </c>
      <c r="R3327">
        <v>659.85</v>
      </c>
      <c r="S3327">
        <v>164.96</v>
      </c>
      <c r="T3327">
        <v>4618.97</v>
      </c>
      <c r="U3327" t="s">
        <v>2146</v>
      </c>
      <c r="V3327" t="s">
        <v>9408</v>
      </c>
      <c r="W3327" t="s">
        <v>423</v>
      </c>
    </row>
    <row r="3328" spans="1:23" hidden="1" x14ac:dyDescent="0.2">
      <c r="A3328">
        <v>2012</v>
      </c>
      <c r="B3328" t="s">
        <v>304</v>
      </c>
      <c r="C3328" s="733">
        <v>40947.583379629628</v>
      </c>
      <c r="D33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28" t="s">
        <v>478</v>
      </c>
      <c r="F3328" t="s">
        <v>3358</v>
      </c>
      <c r="G3328" t="s">
        <v>4502</v>
      </c>
      <c r="H3328">
        <v>35445</v>
      </c>
      <c r="I3328" t="s">
        <v>423</v>
      </c>
      <c r="J3328" t="s">
        <v>4396</v>
      </c>
      <c r="K3328" t="s">
        <v>4397</v>
      </c>
      <c r="L3328" t="s">
        <v>4398</v>
      </c>
      <c r="M3328">
        <v>112</v>
      </c>
      <c r="N3328">
        <v>25.635000000000002</v>
      </c>
      <c r="O3328">
        <v>2893.42</v>
      </c>
      <c r="P3328">
        <v>0</v>
      </c>
      <c r="Q3328">
        <v>2893.42</v>
      </c>
      <c r="R3328">
        <v>462.95</v>
      </c>
      <c r="S3328">
        <v>115.74</v>
      </c>
      <c r="T3328">
        <v>3240.63</v>
      </c>
      <c r="U3328" t="s">
        <v>4503</v>
      </c>
      <c r="V3328" t="s">
        <v>9408</v>
      </c>
      <c r="W3328" t="s">
        <v>423</v>
      </c>
    </row>
    <row r="3329" spans="1:23" hidden="1" x14ac:dyDescent="0.2">
      <c r="A3329">
        <v>2012</v>
      </c>
      <c r="B3329" t="s">
        <v>304</v>
      </c>
      <c r="C3329" s="733">
        <v>40947.581932870373</v>
      </c>
      <c r="D33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29" t="s">
        <v>478</v>
      </c>
      <c r="F3329" t="s">
        <v>3358</v>
      </c>
      <c r="G3329" t="s">
        <v>4505</v>
      </c>
      <c r="H3329">
        <v>35442</v>
      </c>
      <c r="I3329" t="s">
        <v>423</v>
      </c>
      <c r="J3329" t="s">
        <v>4396</v>
      </c>
      <c r="K3329" t="s">
        <v>4397</v>
      </c>
      <c r="L3329" t="s">
        <v>4398</v>
      </c>
      <c r="M3329">
        <v>112</v>
      </c>
      <c r="N3329">
        <v>25.76</v>
      </c>
      <c r="O3329">
        <v>2907.53</v>
      </c>
      <c r="P3329">
        <v>0</v>
      </c>
      <c r="Q3329">
        <v>2907.53</v>
      </c>
      <c r="R3329">
        <v>465.2</v>
      </c>
      <c r="S3329">
        <v>116.3</v>
      </c>
      <c r="T3329">
        <v>3256.43</v>
      </c>
      <c r="U3329" t="s">
        <v>4503</v>
      </c>
      <c r="V3329" t="s">
        <v>9408</v>
      </c>
      <c r="W3329" t="s">
        <v>423</v>
      </c>
    </row>
    <row r="3330" spans="1:23" hidden="1" x14ac:dyDescent="0.2">
      <c r="A3330">
        <v>2012</v>
      </c>
      <c r="B3330" t="s">
        <v>304</v>
      </c>
      <c r="C3330" s="733">
        <v>40941</v>
      </c>
      <c r="D33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30" t="s">
        <v>478</v>
      </c>
      <c r="F3330" t="s">
        <v>3358</v>
      </c>
      <c r="G3330" t="s">
        <v>4506</v>
      </c>
      <c r="H3330">
        <v>35212</v>
      </c>
      <c r="I3330" t="s">
        <v>423</v>
      </c>
      <c r="J3330" t="s">
        <v>4396</v>
      </c>
      <c r="K3330" t="s">
        <v>4397</v>
      </c>
      <c r="L3330" t="s">
        <v>4398</v>
      </c>
      <c r="M3330">
        <v>112</v>
      </c>
      <c r="N3330">
        <v>24.01</v>
      </c>
      <c r="O3330">
        <v>2710.01</v>
      </c>
      <c r="P3330">
        <v>0</v>
      </c>
      <c r="Q3330">
        <v>2710.01</v>
      </c>
      <c r="R3330">
        <v>433.6</v>
      </c>
      <c r="S3330">
        <v>108.4</v>
      </c>
      <c r="T3330">
        <v>3035.21</v>
      </c>
      <c r="U3330" t="s">
        <v>4399</v>
      </c>
      <c r="V3330" t="s">
        <v>9408</v>
      </c>
      <c r="W3330" t="s">
        <v>423</v>
      </c>
    </row>
    <row r="3331" spans="1:23" hidden="1" x14ac:dyDescent="0.2">
      <c r="A3331">
        <v>2012</v>
      </c>
      <c r="B3331" t="s">
        <v>303</v>
      </c>
      <c r="C3331" s="733">
        <v>40915</v>
      </c>
      <c r="D33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31" t="s">
        <v>505</v>
      </c>
      <c r="F3331" t="s">
        <v>1915</v>
      </c>
      <c r="G3331" t="s">
        <v>5028</v>
      </c>
      <c r="H3331">
        <v>21771</v>
      </c>
      <c r="I3331" t="s">
        <v>423</v>
      </c>
      <c r="J3331" t="s">
        <v>4153</v>
      </c>
      <c r="K3331" t="s">
        <v>1918</v>
      </c>
      <c r="L3331" t="s">
        <v>1919</v>
      </c>
      <c r="M3331">
        <v>850</v>
      </c>
      <c r="N3331">
        <v>26.88</v>
      </c>
      <c r="O3331">
        <v>7071.57</v>
      </c>
      <c r="P3331">
        <v>7961.8099469999997</v>
      </c>
      <c r="Q3331">
        <v>15033.379946999999</v>
      </c>
      <c r="R3331">
        <v>2405.340792</v>
      </c>
      <c r="S3331">
        <v>601.33519799999999</v>
      </c>
      <c r="T3331">
        <v>16837.385541</v>
      </c>
      <c r="U3331" t="s">
        <v>1920</v>
      </c>
      <c r="V3331" t="s">
        <v>9408</v>
      </c>
      <c r="W3331" t="s">
        <v>423</v>
      </c>
    </row>
    <row r="3332" spans="1:23" hidden="1" x14ac:dyDescent="0.2">
      <c r="A3332">
        <v>2012</v>
      </c>
      <c r="B3332" t="s">
        <v>305</v>
      </c>
      <c r="C3332" s="733">
        <v>40971</v>
      </c>
      <c r="D3332" s="733" t="str">
        <f>CHOOSE(MONTH(Tabla_sqldatos_bonampakdb_Bon_v_ingresos2012[[#This Row],[fecha_guia]]),"Enero","Febrero","Marzo","Abril","Mayo","Junio","Julio","Agosto","Septiembre","Octubre","Noviembre","Diciembre")</f>
        <v>Marzo</v>
      </c>
      <c r="E3332" t="s">
        <v>505</v>
      </c>
      <c r="F3332" t="s">
        <v>1915</v>
      </c>
      <c r="G3332" t="s">
        <v>9720</v>
      </c>
      <c r="H3332">
        <v>23098</v>
      </c>
      <c r="I3332" t="s">
        <v>423</v>
      </c>
      <c r="J3332" t="s">
        <v>4153</v>
      </c>
      <c r="K3332" t="s">
        <v>1918</v>
      </c>
      <c r="L3332" t="s">
        <v>1919</v>
      </c>
      <c r="M3332">
        <v>850</v>
      </c>
      <c r="N3332">
        <v>50.17</v>
      </c>
      <c r="O3332">
        <v>31349.23</v>
      </c>
      <c r="P3332">
        <v>0</v>
      </c>
      <c r="Q3332">
        <v>31349.23</v>
      </c>
      <c r="R3332">
        <v>5015.88</v>
      </c>
      <c r="S3332">
        <v>1253.97</v>
      </c>
      <c r="T3332">
        <v>35111.14</v>
      </c>
      <c r="V3332" t="s">
        <v>9409</v>
      </c>
      <c r="W3332" t="s">
        <v>423</v>
      </c>
    </row>
    <row r="3333" spans="1:23" hidden="1" x14ac:dyDescent="0.2">
      <c r="A3333">
        <v>2012</v>
      </c>
      <c r="B3333" t="s">
        <v>304</v>
      </c>
      <c r="C3333" s="733">
        <v>40942</v>
      </c>
      <c r="D33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33" t="s">
        <v>505</v>
      </c>
      <c r="F3333" t="s">
        <v>1915</v>
      </c>
      <c r="G3333" t="s">
        <v>5036</v>
      </c>
      <c r="H3333">
        <v>22445</v>
      </c>
      <c r="I3333" t="s">
        <v>423</v>
      </c>
      <c r="J3333" t="s">
        <v>4153</v>
      </c>
      <c r="K3333" t="s">
        <v>1918</v>
      </c>
      <c r="L3333" t="s">
        <v>1919</v>
      </c>
      <c r="M3333">
        <v>850</v>
      </c>
      <c r="N3333">
        <v>50.45</v>
      </c>
      <c r="O3333">
        <v>31524.19</v>
      </c>
      <c r="P3333">
        <v>0</v>
      </c>
      <c r="Q3333">
        <v>31524.19</v>
      </c>
      <c r="R3333">
        <v>5043.87</v>
      </c>
      <c r="S3333">
        <v>1260.97</v>
      </c>
      <c r="T3333">
        <v>35307.089999999997</v>
      </c>
      <c r="U3333" t="s">
        <v>1924</v>
      </c>
      <c r="V3333" t="s">
        <v>9409</v>
      </c>
      <c r="W3333" t="s">
        <v>423</v>
      </c>
    </row>
    <row r="3334" spans="1:23" hidden="1" x14ac:dyDescent="0.2">
      <c r="A3334">
        <v>2012</v>
      </c>
      <c r="B3334" t="s">
        <v>303</v>
      </c>
      <c r="C3334" s="733">
        <v>40939</v>
      </c>
      <c r="D33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34" t="s">
        <v>505</v>
      </c>
      <c r="F3334" t="s">
        <v>1915</v>
      </c>
      <c r="G3334" t="s">
        <v>5038</v>
      </c>
      <c r="H3334">
        <v>22338</v>
      </c>
      <c r="I3334" t="s">
        <v>423</v>
      </c>
      <c r="J3334" t="s">
        <v>4153</v>
      </c>
      <c r="K3334" t="s">
        <v>1918</v>
      </c>
      <c r="L3334" t="s">
        <v>1919</v>
      </c>
      <c r="M3334">
        <v>850</v>
      </c>
      <c r="N3334">
        <v>49.79</v>
      </c>
      <c r="O3334">
        <v>31111.78</v>
      </c>
      <c r="P3334">
        <v>0</v>
      </c>
      <c r="Q3334">
        <v>31111.78</v>
      </c>
      <c r="R3334">
        <v>4977.88</v>
      </c>
      <c r="S3334">
        <v>1244.47</v>
      </c>
      <c r="T3334">
        <v>34845.19</v>
      </c>
      <c r="U3334" t="s">
        <v>1926</v>
      </c>
      <c r="V3334" t="s">
        <v>9409</v>
      </c>
      <c r="W3334" t="s">
        <v>423</v>
      </c>
    </row>
    <row r="3335" spans="1:23" hidden="1" x14ac:dyDescent="0.2">
      <c r="A3335">
        <v>2012</v>
      </c>
      <c r="B3335" t="s">
        <v>303</v>
      </c>
      <c r="C3335" s="733">
        <v>40925</v>
      </c>
      <c r="D33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35" t="s">
        <v>505</v>
      </c>
      <c r="F3335" t="s">
        <v>1915</v>
      </c>
      <c r="G3335" t="s">
        <v>5039</v>
      </c>
      <c r="H3335">
        <v>21985</v>
      </c>
      <c r="I3335" t="s">
        <v>423</v>
      </c>
      <c r="J3335" t="s">
        <v>4153</v>
      </c>
      <c r="K3335" t="s">
        <v>1918</v>
      </c>
      <c r="L3335" t="s">
        <v>1919</v>
      </c>
      <c r="M3335">
        <v>850</v>
      </c>
      <c r="N3335">
        <v>49.89</v>
      </c>
      <c r="O3335">
        <v>31174.27</v>
      </c>
      <c r="P3335">
        <v>0</v>
      </c>
      <c r="Q3335">
        <v>31174.27</v>
      </c>
      <c r="R3335">
        <v>4987.88</v>
      </c>
      <c r="S3335">
        <v>1246.97</v>
      </c>
      <c r="T3335">
        <v>34915.18</v>
      </c>
      <c r="U3335" t="s">
        <v>1936</v>
      </c>
      <c r="V3335" t="s">
        <v>9409</v>
      </c>
      <c r="W3335" t="s">
        <v>423</v>
      </c>
    </row>
    <row r="3336" spans="1:23" hidden="1" x14ac:dyDescent="0.2">
      <c r="A3336">
        <v>2012</v>
      </c>
      <c r="B3336" t="s">
        <v>304</v>
      </c>
      <c r="C3336" s="733">
        <v>40967</v>
      </c>
      <c r="D33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36" t="s">
        <v>505</v>
      </c>
      <c r="F3336" t="s">
        <v>1915</v>
      </c>
      <c r="G3336" t="s">
        <v>9135</v>
      </c>
      <c r="H3336">
        <v>23041</v>
      </c>
      <c r="I3336" t="s">
        <v>423</v>
      </c>
      <c r="J3336" t="s">
        <v>4153</v>
      </c>
      <c r="K3336" t="s">
        <v>1918</v>
      </c>
      <c r="L3336" t="s">
        <v>1919</v>
      </c>
      <c r="M3336">
        <v>850</v>
      </c>
      <c r="N3336">
        <v>50.09</v>
      </c>
      <c r="O3336">
        <v>31299.24</v>
      </c>
      <c r="P3336">
        <v>0</v>
      </c>
      <c r="Q3336">
        <v>31299.24</v>
      </c>
      <c r="R3336">
        <v>5007.88</v>
      </c>
      <c r="S3336">
        <v>1251.97</v>
      </c>
      <c r="T3336">
        <v>35055.15</v>
      </c>
      <c r="V3336" t="s">
        <v>9409</v>
      </c>
      <c r="W3336" t="s">
        <v>423</v>
      </c>
    </row>
    <row r="3337" spans="1:23" hidden="1" x14ac:dyDescent="0.2">
      <c r="A3337">
        <v>2012</v>
      </c>
      <c r="B3337" t="s">
        <v>304</v>
      </c>
      <c r="C3337" s="733">
        <v>40947.585173611114</v>
      </c>
      <c r="D33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37" t="s">
        <v>478</v>
      </c>
      <c r="F3337" t="s">
        <v>3358</v>
      </c>
      <c r="G3337" t="s">
        <v>4504</v>
      </c>
      <c r="H3337">
        <v>35448</v>
      </c>
      <c r="I3337" t="s">
        <v>423</v>
      </c>
      <c r="J3337" t="s">
        <v>4396</v>
      </c>
      <c r="K3337" t="s">
        <v>4397</v>
      </c>
      <c r="L3337" t="s">
        <v>4398</v>
      </c>
      <c r="M3337">
        <v>112</v>
      </c>
      <c r="N3337">
        <v>29.76</v>
      </c>
      <c r="O3337">
        <v>3359.01</v>
      </c>
      <c r="P3337">
        <v>0</v>
      </c>
      <c r="Q3337">
        <v>3359.01</v>
      </c>
      <c r="R3337">
        <v>537.44000000000005</v>
      </c>
      <c r="S3337">
        <v>134.36000000000001</v>
      </c>
      <c r="T3337">
        <v>3762.09</v>
      </c>
      <c r="U3337" t="s">
        <v>4503</v>
      </c>
      <c r="V3337" t="s">
        <v>9408</v>
      </c>
      <c r="W3337" t="s">
        <v>423</v>
      </c>
    </row>
    <row r="3338" spans="1:23" hidden="1" x14ac:dyDescent="0.2">
      <c r="A3338">
        <v>2012</v>
      </c>
      <c r="B3338" t="s">
        <v>304</v>
      </c>
      <c r="C3338" s="733">
        <v>40956</v>
      </c>
      <c r="D33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38" t="s">
        <v>478</v>
      </c>
      <c r="F3338" t="s">
        <v>2622</v>
      </c>
      <c r="G3338" t="s">
        <v>7536</v>
      </c>
      <c r="H3338">
        <v>35784</v>
      </c>
      <c r="I3338" t="s">
        <v>423</v>
      </c>
      <c r="J3338" t="s">
        <v>4396</v>
      </c>
      <c r="K3338" t="s">
        <v>4397</v>
      </c>
      <c r="L3338" t="s">
        <v>4398</v>
      </c>
      <c r="M3338">
        <v>112</v>
      </c>
      <c r="N3338">
        <v>25.135000000000002</v>
      </c>
      <c r="O3338">
        <v>2836.99</v>
      </c>
      <c r="P3338">
        <v>0</v>
      </c>
      <c r="Q3338">
        <v>2836.99</v>
      </c>
      <c r="R3338">
        <v>453.92</v>
      </c>
      <c r="S3338">
        <v>113.48</v>
      </c>
      <c r="T3338">
        <v>3177.43</v>
      </c>
      <c r="U3338" t="s">
        <v>8384</v>
      </c>
      <c r="V3338" t="s">
        <v>9408</v>
      </c>
      <c r="W3338" t="s">
        <v>423</v>
      </c>
    </row>
    <row r="3339" spans="1:23" hidden="1" x14ac:dyDescent="0.2">
      <c r="A3339">
        <v>2012</v>
      </c>
      <c r="B3339" t="s">
        <v>304</v>
      </c>
      <c r="C3339" s="733">
        <v>40956</v>
      </c>
      <c r="D33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39" t="s">
        <v>478</v>
      </c>
      <c r="F3339" t="s">
        <v>2622</v>
      </c>
      <c r="G3339" t="s">
        <v>7580</v>
      </c>
      <c r="H3339">
        <v>35787</v>
      </c>
      <c r="I3339" t="s">
        <v>423</v>
      </c>
      <c r="J3339" t="s">
        <v>4396</v>
      </c>
      <c r="K3339" t="s">
        <v>4397</v>
      </c>
      <c r="L3339" t="s">
        <v>4398</v>
      </c>
      <c r="M3339">
        <v>112</v>
      </c>
      <c r="N3339">
        <v>26.164999999999999</v>
      </c>
      <c r="O3339">
        <v>2953.24</v>
      </c>
      <c r="P3339">
        <v>0</v>
      </c>
      <c r="Q3339">
        <v>2953.24</v>
      </c>
      <c r="R3339">
        <v>472.52</v>
      </c>
      <c r="S3339">
        <v>118.13</v>
      </c>
      <c r="T3339">
        <v>3307.63</v>
      </c>
      <c r="U3339" t="s">
        <v>8384</v>
      </c>
      <c r="V3339" t="s">
        <v>9408</v>
      </c>
      <c r="W3339" t="s">
        <v>423</v>
      </c>
    </row>
    <row r="3340" spans="1:23" hidden="1" x14ac:dyDescent="0.2">
      <c r="A3340">
        <v>2012</v>
      </c>
      <c r="B3340" t="s">
        <v>304</v>
      </c>
      <c r="C3340" s="733">
        <v>40956</v>
      </c>
      <c r="D33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40" t="s">
        <v>478</v>
      </c>
      <c r="F3340" t="s">
        <v>2622</v>
      </c>
      <c r="G3340" t="s">
        <v>7614</v>
      </c>
      <c r="H3340">
        <v>35790</v>
      </c>
      <c r="I3340" t="s">
        <v>423</v>
      </c>
      <c r="J3340" t="s">
        <v>4396</v>
      </c>
      <c r="K3340" t="s">
        <v>4397</v>
      </c>
      <c r="L3340" t="s">
        <v>4398</v>
      </c>
      <c r="M3340">
        <v>112</v>
      </c>
      <c r="N3340">
        <v>26.545000000000002</v>
      </c>
      <c r="O3340">
        <v>2996.13</v>
      </c>
      <c r="P3340">
        <v>0</v>
      </c>
      <c r="Q3340">
        <v>2996.13</v>
      </c>
      <c r="R3340">
        <v>479.38</v>
      </c>
      <c r="S3340">
        <v>119.85</v>
      </c>
      <c r="T3340">
        <v>3355.66</v>
      </c>
      <c r="U3340" t="s">
        <v>8384</v>
      </c>
      <c r="V3340" t="s">
        <v>9408</v>
      </c>
      <c r="W3340" t="s">
        <v>423</v>
      </c>
    </row>
    <row r="3341" spans="1:23" hidden="1" x14ac:dyDescent="0.2">
      <c r="A3341">
        <v>2012</v>
      </c>
      <c r="B3341" t="s">
        <v>303</v>
      </c>
      <c r="C3341" s="733">
        <v>40919</v>
      </c>
      <c r="D33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41" t="s">
        <v>478</v>
      </c>
      <c r="F3341" t="s">
        <v>4128</v>
      </c>
      <c r="G3341" t="s">
        <v>4507</v>
      </c>
      <c r="H3341">
        <v>34400</v>
      </c>
      <c r="I3341" t="s">
        <v>423</v>
      </c>
      <c r="J3341" t="s">
        <v>4396</v>
      </c>
      <c r="K3341" t="s">
        <v>4397</v>
      </c>
      <c r="L3341" t="s">
        <v>4398</v>
      </c>
      <c r="M3341">
        <v>112</v>
      </c>
      <c r="N3341">
        <v>24.2</v>
      </c>
      <c r="O3341">
        <v>2731.45</v>
      </c>
      <c r="P3341">
        <v>0</v>
      </c>
      <c r="Q3341">
        <v>2731.45</v>
      </c>
      <c r="R3341">
        <v>437.03</v>
      </c>
      <c r="S3341">
        <v>109.26</v>
      </c>
      <c r="T3341">
        <v>3059.22</v>
      </c>
      <c r="U3341" t="s">
        <v>4404</v>
      </c>
      <c r="V3341" t="s">
        <v>9408</v>
      </c>
      <c r="W3341" t="s">
        <v>423</v>
      </c>
    </row>
    <row r="3342" spans="1:23" hidden="1" x14ac:dyDescent="0.2">
      <c r="A3342">
        <v>2012</v>
      </c>
      <c r="B3342" t="s">
        <v>304</v>
      </c>
      <c r="C3342" s="733">
        <v>40964</v>
      </c>
      <c r="D33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42" t="s">
        <v>505</v>
      </c>
      <c r="F3342" t="s">
        <v>1915</v>
      </c>
      <c r="G3342" t="s">
        <v>8754</v>
      </c>
      <c r="H3342">
        <v>22929</v>
      </c>
      <c r="I3342" t="s">
        <v>423</v>
      </c>
      <c r="J3342" t="s">
        <v>4153</v>
      </c>
      <c r="K3342" t="s">
        <v>1918</v>
      </c>
      <c r="L3342" t="s">
        <v>1919</v>
      </c>
      <c r="M3342">
        <v>850</v>
      </c>
      <c r="N3342">
        <v>50.26</v>
      </c>
      <c r="O3342">
        <v>31405.46</v>
      </c>
      <c r="P3342">
        <v>0</v>
      </c>
      <c r="Q3342">
        <v>31405.46</v>
      </c>
      <c r="R3342">
        <v>5024.87</v>
      </c>
      <c r="S3342">
        <v>1256.22</v>
      </c>
      <c r="T3342">
        <v>35174.11</v>
      </c>
      <c r="U3342" t="s">
        <v>9415</v>
      </c>
      <c r="V3342" t="s">
        <v>9409</v>
      </c>
      <c r="W3342" t="s">
        <v>423</v>
      </c>
    </row>
    <row r="3343" spans="1:23" hidden="1" x14ac:dyDescent="0.2">
      <c r="A3343">
        <v>2012</v>
      </c>
      <c r="B3343" t="s">
        <v>303</v>
      </c>
      <c r="C3343" s="733">
        <v>40924</v>
      </c>
      <c r="D33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43" t="s">
        <v>505</v>
      </c>
      <c r="F3343" t="s">
        <v>1915</v>
      </c>
      <c r="G3343" t="s">
        <v>5027</v>
      </c>
      <c r="H3343">
        <v>21936</v>
      </c>
      <c r="I3343" t="s">
        <v>423</v>
      </c>
      <c r="J3343" t="s">
        <v>4153</v>
      </c>
      <c r="K3343" t="s">
        <v>1918</v>
      </c>
      <c r="L3343" t="s">
        <v>1919</v>
      </c>
      <c r="M3343">
        <v>850</v>
      </c>
      <c r="N3343">
        <v>52.14</v>
      </c>
      <c r="O3343">
        <v>32580.2</v>
      </c>
      <c r="P3343">
        <v>0</v>
      </c>
      <c r="Q3343">
        <v>32580.2</v>
      </c>
      <c r="R3343">
        <v>5212.83</v>
      </c>
      <c r="S3343">
        <v>1303.21</v>
      </c>
      <c r="T3343">
        <v>36489.82</v>
      </c>
      <c r="U3343" t="s">
        <v>1931</v>
      </c>
      <c r="V3343" t="s">
        <v>9409</v>
      </c>
      <c r="W3343" t="s">
        <v>423</v>
      </c>
    </row>
    <row r="3344" spans="1:23" hidden="1" x14ac:dyDescent="0.2">
      <c r="A3344">
        <v>2012</v>
      </c>
      <c r="B3344" t="s">
        <v>304</v>
      </c>
      <c r="C3344" s="733">
        <v>40959</v>
      </c>
      <c r="D33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44" t="s">
        <v>505</v>
      </c>
      <c r="F3344" t="s">
        <v>1915</v>
      </c>
      <c r="G3344" t="s">
        <v>7887</v>
      </c>
      <c r="H3344">
        <v>22813</v>
      </c>
      <c r="I3344" t="s">
        <v>423</v>
      </c>
      <c r="J3344" t="s">
        <v>4153</v>
      </c>
      <c r="K3344" t="s">
        <v>1918</v>
      </c>
      <c r="L3344" t="s">
        <v>1919</v>
      </c>
      <c r="M3344">
        <v>850</v>
      </c>
      <c r="N3344">
        <v>49.99</v>
      </c>
      <c r="O3344">
        <v>31236.75</v>
      </c>
      <c r="P3344">
        <v>0</v>
      </c>
      <c r="Q3344">
        <v>31236.75</v>
      </c>
      <c r="R3344">
        <v>4997.88</v>
      </c>
      <c r="S3344">
        <v>1249.47</v>
      </c>
      <c r="T3344">
        <v>34985.160000000003</v>
      </c>
      <c r="U3344" t="s">
        <v>8491</v>
      </c>
      <c r="V3344" t="s">
        <v>9409</v>
      </c>
      <c r="W3344" t="s">
        <v>423</v>
      </c>
    </row>
    <row r="3345" spans="1:23" hidden="1" x14ac:dyDescent="0.2">
      <c r="A3345">
        <v>2012</v>
      </c>
      <c r="B3345" t="s">
        <v>304</v>
      </c>
      <c r="C3345" s="733">
        <v>40966</v>
      </c>
      <c r="D33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45" t="s">
        <v>478</v>
      </c>
      <c r="F3345" t="s">
        <v>2136</v>
      </c>
      <c r="G3345" t="s">
        <v>9134</v>
      </c>
      <c r="H3345">
        <v>36024</v>
      </c>
      <c r="I3345" t="s">
        <v>423</v>
      </c>
      <c r="J3345" t="s">
        <v>4289</v>
      </c>
      <c r="K3345" t="s">
        <v>425</v>
      </c>
      <c r="L3345" t="s">
        <v>2145</v>
      </c>
      <c r="M3345">
        <v>775</v>
      </c>
      <c r="N3345">
        <v>22.23</v>
      </c>
      <c r="O3345">
        <v>8512.5300000000007</v>
      </c>
      <c r="P3345">
        <v>0</v>
      </c>
      <c r="Q3345">
        <v>8512.5300000000007</v>
      </c>
      <c r="R3345">
        <v>1362.01</v>
      </c>
      <c r="S3345">
        <v>340.5</v>
      </c>
      <c r="T3345">
        <v>9534.0400000000009</v>
      </c>
      <c r="U3345" t="s">
        <v>9457</v>
      </c>
      <c r="V3345" t="s">
        <v>9408</v>
      </c>
      <c r="W3345" t="s">
        <v>423</v>
      </c>
    </row>
    <row r="3346" spans="1:23" hidden="1" x14ac:dyDescent="0.2">
      <c r="A3346">
        <v>2012</v>
      </c>
      <c r="B3346" t="s">
        <v>304</v>
      </c>
      <c r="C3346" s="733">
        <v>40956</v>
      </c>
      <c r="D33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46" t="s">
        <v>478</v>
      </c>
      <c r="F3346" t="s">
        <v>2136</v>
      </c>
      <c r="G3346" t="s">
        <v>8002</v>
      </c>
      <c r="H3346">
        <v>35579</v>
      </c>
      <c r="I3346" t="s">
        <v>423</v>
      </c>
      <c r="J3346" t="s">
        <v>4294</v>
      </c>
      <c r="K3346" t="s">
        <v>425</v>
      </c>
      <c r="L3346" t="s">
        <v>2145</v>
      </c>
      <c r="M3346">
        <v>1089</v>
      </c>
      <c r="N3346">
        <v>38.03</v>
      </c>
      <c r="O3346">
        <v>19196.400000000001</v>
      </c>
      <c r="P3346">
        <v>0</v>
      </c>
      <c r="Q3346">
        <v>19196.400000000001</v>
      </c>
      <c r="R3346">
        <v>3071.42</v>
      </c>
      <c r="S3346">
        <v>767.86</v>
      </c>
      <c r="T3346">
        <v>21499.96</v>
      </c>
      <c r="U3346" t="s">
        <v>9455</v>
      </c>
      <c r="V3346" t="s">
        <v>9409</v>
      </c>
      <c r="W3346" t="s">
        <v>423</v>
      </c>
    </row>
    <row r="3347" spans="1:23" hidden="1" x14ac:dyDescent="0.2">
      <c r="A3347">
        <v>2012</v>
      </c>
      <c r="B3347" t="s">
        <v>303</v>
      </c>
      <c r="C3347" s="733">
        <v>40920</v>
      </c>
      <c r="D33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47" t="s">
        <v>478</v>
      </c>
      <c r="F3347" t="s">
        <v>2136</v>
      </c>
      <c r="G3347" t="s">
        <v>5261</v>
      </c>
      <c r="H3347">
        <v>34449</v>
      </c>
      <c r="I3347" t="s">
        <v>423</v>
      </c>
      <c r="J3347" t="s">
        <v>4294</v>
      </c>
      <c r="K3347" t="s">
        <v>425</v>
      </c>
      <c r="L3347" t="s">
        <v>2145</v>
      </c>
      <c r="M3347">
        <v>1089</v>
      </c>
      <c r="N3347">
        <v>49.99</v>
      </c>
      <c r="O3347">
        <v>25233.45</v>
      </c>
      <c r="P3347">
        <v>0</v>
      </c>
      <c r="Q3347">
        <v>25233.45</v>
      </c>
      <c r="R3347">
        <v>4037.35</v>
      </c>
      <c r="S3347">
        <v>1009.34</v>
      </c>
      <c r="T3347">
        <v>28261.46</v>
      </c>
      <c r="U3347" t="s">
        <v>2350</v>
      </c>
      <c r="V3347" t="s">
        <v>9409</v>
      </c>
      <c r="W3347" t="s">
        <v>423</v>
      </c>
    </row>
    <row r="3348" spans="1:23" hidden="1" x14ac:dyDescent="0.2">
      <c r="A3348">
        <v>2012</v>
      </c>
      <c r="B3348" t="s">
        <v>303</v>
      </c>
      <c r="C3348" s="733">
        <v>40912</v>
      </c>
      <c r="D33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48" t="s">
        <v>485</v>
      </c>
      <c r="F3348" t="s">
        <v>2084</v>
      </c>
      <c r="G3348" t="s">
        <v>3984</v>
      </c>
      <c r="H3348">
        <v>39603</v>
      </c>
      <c r="I3348" t="s">
        <v>423</v>
      </c>
      <c r="J3348" t="s">
        <v>3355</v>
      </c>
      <c r="K3348" t="s">
        <v>2814</v>
      </c>
      <c r="L3348" t="s">
        <v>2815</v>
      </c>
      <c r="M3348">
        <v>417</v>
      </c>
      <c r="N3348">
        <v>24.273</v>
      </c>
      <c r="O3348">
        <v>2835.57</v>
      </c>
      <c r="P3348">
        <v>3192.5399069999999</v>
      </c>
      <c r="Q3348">
        <v>6028.109907</v>
      </c>
      <c r="R3348">
        <v>964.49758499999996</v>
      </c>
      <c r="S3348">
        <v>241.12439599999999</v>
      </c>
      <c r="T3348">
        <v>6751.4830959999999</v>
      </c>
      <c r="U3348" t="s">
        <v>2846</v>
      </c>
      <c r="V3348" t="s">
        <v>9408</v>
      </c>
      <c r="W3348" t="s">
        <v>423</v>
      </c>
    </row>
    <row r="3349" spans="1:23" hidden="1" x14ac:dyDescent="0.2">
      <c r="A3349">
        <v>2012</v>
      </c>
      <c r="B3349" t="s">
        <v>303</v>
      </c>
      <c r="C3349" s="733">
        <v>40933</v>
      </c>
      <c r="D33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49" t="s">
        <v>478</v>
      </c>
      <c r="F3349" t="s">
        <v>4128</v>
      </c>
      <c r="G3349" t="s">
        <v>4511</v>
      </c>
      <c r="H3349">
        <v>34923</v>
      </c>
      <c r="I3349" t="s">
        <v>423</v>
      </c>
      <c r="J3349" t="s">
        <v>4396</v>
      </c>
      <c r="K3349" t="s">
        <v>4397</v>
      </c>
      <c r="L3349" t="s">
        <v>4398</v>
      </c>
      <c r="M3349">
        <v>112</v>
      </c>
      <c r="N3349">
        <v>21.15</v>
      </c>
      <c r="O3349">
        <v>2387.1999999999998</v>
      </c>
      <c r="P3349">
        <v>0</v>
      </c>
      <c r="Q3349">
        <v>2387.1999999999998</v>
      </c>
      <c r="R3349">
        <v>381.95</v>
      </c>
      <c r="S3349">
        <v>95.49</v>
      </c>
      <c r="T3349">
        <v>2673.66</v>
      </c>
      <c r="U3349" t="s">
        <v>4402</v>
      </c>
      <c r="V3349" t="s">
        <v>9408</v>
      </c>
      <c r="W3349" t="s">
        <v>423</v>
      </c>
    </row>
    <row r="3350" spans="1:23" hidden="1" x14ac:dyDescent="0.2">
      <c r="A3350">
        <v>2012</v>
      </c>
      <c r="B3350" t="s">
        <v>303</v>
      </c>
      <c r="C3350" s="733">
        <v>40934</v>
      </c>
      <c r="D33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50" t="s">
        <v>505</v>
      </c>
      <c r="F3350" t="s">
        <v>1915</v>
      </c>
      <c r="G3350" t="s">
        <v>5037</v>
      </c>
      <c r="H3350">
        <v>22220</v>
      </c>
      <c r="I3350" t="s">
        <v>423</v>
      </c>
      <c r="J3350" t="s">
        <v>4153</v>
      </c>
      <c r="K3350" t="s">
        <v>1918</v>
      </c>
      <c r="L3350" t="s">
        <v>1919</v>
      </c>
      <c r="M3350">
        <v>850</v>
      </c>
      <c r="N3350">
        <v>50.03</v>
      </c>
      <c r="O3350">
        <v>31261.75</v>
      </c>
      <c r="P3350">
        <v>0</v>
      </c>
      <c r="Q3350">
        <v>31261.75</v>
      </c>
      <c r="R3350">
        <v>5001.88</v>
      </c>
      <c r="S3350">
        <v>1250.47</v>
      </c>
      <c r="T3350">
        <v>35013.160000000003</v>
      </c>
      <c r="U3350" t="s">
        <v>1926</v>
      </c>
      <c r="V3350" t="s">
        <v>9409</v>
      </c>
      <c r="W3350" t="s">
        <v>423</v>
      </c>
    </row>
    <row r="3351" spans="1:23" hidden="1" x14ac:dyDescent="0.2">
      <c r="A3351">
        <v>2012</v>
      </c>
      <c r="B3351" t="s">
        <v>303</v>
      </c>
      <c r="C3351" s="733">
        <v>40928</v>
      </c>
      <c r="D33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51" t="s">
        <v>505</v>
      </c>
      <c r="F3351" t="s">
        <v>1915</v>
      </c>
      <c r="G3351" t="s">
        <v>5035</v>
      </c>
      <c r="H3351">
        <v>22099</v>
      </c>
      <c r="I3351" t="s">
        <v>423</v>
      </c>
      <c r="J3351" t="s">
        <v>4153</v>
      </c>
      <c r="K3351" t="s">
        <v>1918</v>
      </c>
      <c r="L3351" t="s">
        <v>1919</v>
      </c>
      <c r="M3351">
        <v>850</v>
      </c>
      <c r="N3351">
        <v>49.56</v>
      </c>
      <c r="O3351">
        <v>30968.06</v>
      </c>
      <c r="P3351">
        <v>0</v>
      </c>
      <c r="Q3351">
        <v>30968.06</v>
      </c>
      <c r="R3351">
        <v>4954.8900000000003</v>
      </c>
      <c r="S3351">
        <v>1238.72</v>
      </c>
      <c r="T3351">
        <v>34684.230000000003</v>
      </c>
      <c r="U3351" t="s">
        <v>1936</v>
      </c>
      <c r="V3351" t="s">
        <v>9409</v>
      </c>
      <c r="W3351" t="s">
        <v>423</v>
      </c>
    </row>
    <row r="3352" spans="1:23" hidden="1" x14ac:dyDescent="0.2">
      <c r="A3352">
        <v>2012</v>
      </c>
      <c r="B3352" t="s">
        <v>304</v>
      </c>
      <c r="C3352" s="733">
        <v>40952</v>
      </c>
      <c r="D33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52" t="s">
        <v>485</v>
      </c>
      <c r="F3352" t="s">
        <v>2065</v>
      </c>
      <c r="G3352" t="s">
        <v>3729</v>
      </c>
      <c r="H3352">
        <v>41664</v>
      </c>
      <c r="I3352" t="s">
        <v>423</v>
      </c>
      <c r="J3352" t="s">
        <v>2139</v>
      </c>
      <c r="K3352" t="s">
        <v>2102</v>
      </c>
      <c r="L3352" t="s">
        <v>2115</v>
      </c>
      <c r="M3352">
        <v>543</v>
      </c>
      <c r="N3352">
        <v>49.66</v>
      </c>
      <c r="O3352">
        <v>16698.18</v>
      </c>
      <c r="P3352">
        <v>0</v>
      </c>
      <c r="Q3352">
        <v>16698.18</v>
      </c>
      <c r="R3352">
        <v>2671.71</v>
      </c>
      <c r="S3352">
        <v>667.93</v>
      </c>
      <c r="T3352">
        <v>18701.96</v>
      </c>
      <c r="U3352" t="s">
        <v>8051</v>
      </c>
      <c r="V3352" t="s">
        <v>9409</v>
      </c>
      <c r="W3352" t="s">
        <v>423</v>
      </c>
    </row>
    <row r="3353" spans="1:23" hidden="1" x14ac:dyDescent="0.2">
      <c r="A3353">
        <v>2012</v>
      </c>
      <c r="B3353" t="s">
        <v>303</v>
      </c>
      <c r="C3353" s="733">
        <v>40926</v>
      </c>
      <c r="D33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53" t="s">
        <v>485</v>
      </c>
      <c r="F3353" t="s">
        <v>2065</v>
      </c>
      <c r="G3353" t="s">
        <v>5246</v>
      </c>
      <c r="H3353">
        <v>39777</v>
      </c>
      <c r="I3353" t="s">
        <v>423</v>
      </c>
      <c r="J3353" t="s">
        <v>2139</v>
      </c>
      <c r="K3353" t="s">
        <v>2102</v>
      </c>
      <c r="L3353" t="s">
        <v>2115</v>
      </c>
      <c r="M3353">
        <v>543</v>
      </c>
      <c r="N3353">
        <v>53.9</v>
      </c>
      <c r="O3353">
        <v>18123.88</v>
      </c>
      <c r="P3353">
        <v>0</v>
      </c>
      <c r="Q3353">
        <v>18123.88</v>
      </c>
      <c r="R3353">
        <v>2899.82</v>
      </c>
      <c r="S3353">
        <v>724.96</v>
      </c>
      <c r="T3353">
        <v>20298.740000000002</v>
      </c>
      <c r="U3353" t="s">
        <v>2106</v>
      </c>
      <c r="V3353" t="s">
        <v>9409</v>
      </c>
      <c r="W3353" t="s">
        <v>423</v>
      </c>
    </row>
    <row r="3354" spans="1:23" hidden="1" x14ac:dyDescent="0.2">
      <c r="A3354">
        <v>2012</v>
      </c>
      <c r="B3354" t="s">
        <v>304</v>
      </c>
      <c r="C3354" s="733">
        <v>40940</v>
      </c>
      <c r="D33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54" t="s">
        <v>485</v>
      </c>
      <c r="F3354" t="s">
        <v>2065</v>
      </c>
      <c r="G3354" t="s">
        <v>3732</v>
      </c>
      <c r="H3354">
        <v>41151</v>
      </c>
      <c r="I3354" t="s">
        <v>423</v>
      </c>
      <c r="J3354" t="s">
        <v>2139</v>
      </c>
      <c r="K3354" t="s">
        <v>2102</v>
      </c>
      <c r="L3354" t="s">
        <v>2115</v>
      </c>
      <c r="M3354">
        <v>543</v>
      </c>
      <c r="N3354">
        <v>50.9</v>
      </c>
      <c r="O3354">
        <v>17115.12</v>
      </c>
      <c r="P3354">
        <v>0</v>
      </c>
      <c r="Q3354">
        <v>17115.12</v>
      </c>
      <c r="R3354">
        <v>2738.42</v>
      </c>
      <c r="S3354">
        <v>684.6</v>
      </c>
      <c r="T3354">
        <v>19168.939999999999</v>
      </c>
      <c r="U3354" t="s">
        <v>2110</v>
      </c>
      <c r="V3354" t="s">
        <v>9409</v>
      </c>
      <c r="W3354" t="s">
        <v>423</v>
      </c>
    </row>
    <row r="3355" spans="1:23" hidden="1" x14ac:dyDescent="0.2">
      <c r="A3355">
        <v>2012</v>
      </c>
      <c r="B3355" t="s">
        <v>304</v>
      </c>
      <c r="C3355" s="733">
        <v>40960</v>
      </c>
      <c r="D33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55" t="s">
        <v>485</v>
      </c>
      <c r="F3355" t="s">
        <v>2065</v>
      </c>
      <c r="G3355" t="s">
        <v>8054</v>
      </c>
      <c r="H3355">
        <v>42260</v>
      </c>
      <c r="I3355" t="s">
        <v>423</v>
      </c>
      <c r="J3355" t="s">
        <v>2196</v>
      </c>
      <c r="K3355" t="s">
        <v>2183</v>
      </c>
      <c r="L3355" t="s">
        <v>2184</v>
      </c>
      <c r="M3355">
        <v>10</v>
      </c>
      <c r="N3355">
        <v>15.7</v>
      </c>
      <c r="O3355">
        <v>1772.06</v>
      </c>
      <c r="P3355">
        <v>0</v>
      </c>
      <c r="Q3355">
        <v>1772.06</v>
      </c>
      <c r="R3355">
        <v>283.52999999999997</v>
      </c>
      <c r="S3355">
        <v>70.88</v>
      </c>
      <c r="T3355">
        <v>1984.71</v>
      </c>
      <c r="U3355" t="s">
        <v>9411</v>
      </c>
      <c r="V3355" t="s">
        <v>9408</v>
      </c>
      <c r="W3355" t="s">
        <v>423</v>
      </c>
    </row>
    <row r="3356" spans="1:23" hidden="1" x14ac:dyDescent="0.2">
      <c r="A3356">
        <v>2012</v>
      </c>
      <c r="B3356" t="s">
        <v>303</v>
      </c>
      <c r="C3356" s="733">
        <v>40933</v>
      </c>
      <c r="D33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56" t="s">
        <v>485</v>
      </c>
      <c r="F3356" t="s">
        <v>2065</v>
      </c>
      <c r="G3356" t="s">
        <v>2215</v>
      </c>
      <c r="H3356">
        <v>40833</v>
      </c>
      <c r="I3356" t="s">
        <v>423</v>
      </c>
      <c r="J3356" t="s">
        <v>2196</v>
      </c>
      <c r="K3356" t="s">
        <v>2183</v>
      </c>
      <c r="L3356" t="s">
        <v>2184</v>
      </c>
      <c r="M3356">
        <v>10</v>
      </c>
      <c r="N3356">
        <v>16.64</v>
      </c>
      <c r="O3356">
        <v>1878.16</v>
      </c>
      <c r="P3356">
        <v>0</v>
      </c>
      <c r="Q3356">
        <v>1878.16</v>
      </c>
      <c r="R3356">
        <v>300.51</v>
      </c>
      <c r="S3356">
        <v>75.13</v>
      </c>
      <c r="T3356">
        <v>2103.54</v>
      </c>
      <c r="U3356" t="s">
        <v>2187</v>
      </c>
      <c r="V3356" t="s">
        <v>9408</v>
      </c>
      <c r="W3356" t="s">
        <v>423</v>
      </c>
    </row>
    <row r="3357" spans="1:23" hidden="1" x14ac:dyDescent="0.2">
      <c r="A3357">
        <v>2012</v>
      </c>
      <c r="B3357" t="s">
        <v>304</v>
      </c>
      <c r="C3357" s="733">
        <v>40941</v>
      </c>
      <c r="D33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57" t="s">
        <v>485</v>
      </c>
      <c r="F3357" t="s">
        <v>2065</v>
      </c>
      <c r="G3357" t="s">
        <v>2197</v>
      </c>
      <c r="H3357">
        <v>41217</v>
      </c>
      <c r="I3357" t="s">
        <v>423</v>
      </c>
      <c r="J3357" t="s">
        <v>2196</v>
      </c>
      <c r="K3357" t="s">
        <v>2183</v>
      </c>
      <c r="L3357" t="s">
        <v>2184</v>
      </c>
      <c r="M3357">
        <v>10</v>
      </c>
      <c r="N3357">
        <v>50.53</v>
      </c>
      <c r="O3357">
        <v>5703.32</v>
      </c>
      <c r="P3357">
        <v>0</v>
      </c>
      <c r="Q3357">
        <v>5703.32</v>
      </c>
      <c r="R3357">
        <v>912.53</v>
      </c>
      <c r="S3357">
        <v>228.13</v>
      </c>
      <c r="T3357">
        <v>6387.72</v>
      </c>
      <c r="U3357" t="s">
        <v>2192</v>
      </c>
      <c r="V3357" t="s">
        <v>9409</v>
      </c>
      <c r="W3357" t="s">
        <v>423</v>
      </c>
    </row>
    <row r="3358" spans="1:23" hidden="1" x14ac:dyDescent="0.2">
      <c r="A3358">
        <v>2012</v>
      </c>
      <c r="B3358" t="s">
        <v>304</v>
      </c>
      <c r="C3358" s="733">
        <v>40952</v>
      </c>
      <c r="D33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58" t="s">
        <v>485</v>
      </c>
      <c r="F3358" t="s">
        <v>2065</v>
      </c>
      <c r="G3358" t="s">
        <v>2214</v>
      </c>
      <c r="H3358">
        <v>41785</v>
      </c>
      <c r="I3358" t="s">
        <v>423</v>
      </c>
      <c r="J3358" t="s">
        <v>2213</v>
      </c>
      <c r="K3358" t="s">
        <v>2183</v>
      </c>
      <c r="L3358" t="s">
        <v>2184</v>
      </c>
      <c r="M3358">
        <v>64</v>
      </c>
      <c r="N3358">
        <v>15.85</v>
      </c>
      <c r="O3358">
        <v>1788.99</v>
      </c>
      <c r="P3358">
        <v>0</v>
      </c>
      <c r="Q3358">
        <v>1788.99</v>
      </c>
      <c r="R3358">
        <v>286.24</v>
      </c>
      <c r="S3358">
        <v>71.56</v>
      </c>
      <c r="T3358">
        <v>2003.67</v>
      </c>
      <c r="U3358" t="s">
        <v>8048</v>
      </c>
      <c r="V3358" t="s">
        <v>9408</v>
      </c>
      <c r="W3358" t="s">
        <v>423</v>
      </c>
    </row>
    <row r="3359" spans="1:23" hidden="1" x14ac:dyDescent="0.2">
      <c r="A3359">
        <v>2012</v>
      </c>
      <c r="B3359" t="s">
        <v>303</v>
      </c>
      <c r="C3359" s="733">
        <v>40928</v>
      </c>
      <c r="D33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59" t="s">
        <v>485</v>
      </c>
      <c r="F3359" t="s">
        <v>2065</v>
      </c>
      <c r="G3359" t="s">
        <v>2212</v>
      </c>
      <c r="H3359">
        <v>40634</v>
      </c>
      <c r="I3359" t="s">
        <v>423</v>
      </c>
      <c r="J3359" t="s">
        <v>2213</v>
      </c>
      <c r="K3359" t="s">
        <v>2183</v>
      </c>
      <c r="L3359" t="s">
        <v>2184</v>
      </c>
      <c r="M3359">
        <v>64</v>
      </c>
      <c r="N3359">
        <v>15.34</v>
      </c>
      <c r="O3359">
        <v>1731.43</v>
      </c>
      <c r="P3359">
        <v>0</v>
      </c>
      <c r="Q3359">
        <v>1731.43</v>
      </c>
      <c r="R3359">
        <v>277.02999999999997</v>
      </c>
      <c r="S3359">
        <v>69.260000000000005</v>
      </c>
      <c r="T3359">
        <v>1939.2</v>
      </c>
      <c r="U3359" t="s">
        <v>2187</v>
      </c>
      <c r="V3359" t="s">
        <v>9408</v>
      </c>
      <c r="W3359" t="s">
        <v>423</v>
      </c>
    </row>
    <row r="3360" spans="1:23" hidden="1" x14ac:dyDescent="0.2">
      <c r="A3360">
        <v>2012</v>
      </c>
      <c r="B3360" t="s">
        <v>303</v>
      </c>
      <c r="C3360" s="733">
        <v>40939.529641203706</v>
      </c>
      <c r="D33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60" t="s">
        <v>478</v>
      </c>
      <c r="F3360" t="s">
        <v>2622</v>
      </c>
      <c r="G3360" t="s">
        <v>3802</v>
      </c>
      <c r="H3360">
        <v>35137</v>
      </c>
      <c r="I3360" t="s">
        <v>423</v>
      </c>
      <c r="J3360" t="s">
        <v>2624</v>
      </c>
      <c r="K3360" t="s">
        <v>2625</v>
      </c>
      <c r="L3360" t="s">
        <v>2626</v>
      </c>
      <c r="M3360">
        <v>10</v>
      </c>
      <c r="N3360">
        <v>26.13</v>
      </c>
      <c r="O3360">
        <v>3054.86</v>
      </c>
      <c r="P3360">
        <v>0</v>
      </c>
      <c r="Q3360">
        <v>3054.86</v>
      </c>
      <c r="R3360">
        <v>488.78</v>
      </c>
      <c r="S3360">
        <v>122.19</v>
      </c>
      <c r="T3360">
        <v>3421.45</v>
      </c>
      <c r="U3360" t="s">
        <v>2648</v>
      </c>
      <c r="V3360" t="s">
        <v>9408</v>
      </c>
      <c r="W3360" t="s">
        <v>423</v>
      </c>
    </row>
    <row r="3361" spans="1:23" hidden="1" x14ac:dyDescent="0.2">
      <c r="A3361">
        <v>2012</v>
      </c>
      <c r="B3361" t="s">
        <v>304</v>
      </c>
      <c r="C3361" s="733">
        <v>40942</v>
      </c>
      <c r="D33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61" t="s">
        <v>478</v>
      </c>
      <c r="F3361" t="s">
        <v>2136</v>
      </c>
      <c r="G3361" t="s">
        <v>4286</v>
      </c>
      <c r="H3361">
        <v>35196</v>
      </c>
      <c r="I3361" t="s">
        <v>423</v>
      </c>
      <c r="J3361" t="s">
        <v>4285</v>
      </c>
      <c r="K3361" t="s">
        <v>425</v>
      </c>
      <c r="L3361" t="s">
        <v>2145</v>
      </c>
      <c r="M3361">
        <v>110</v>
      </c>
      <c r="N3361">
        <v>53.56</v>
      </c>
      <c r="O3361">
        <v>8716.89</v>
      </c>
      <c r="P3361">
        <v>0</v>
      </c>
      <c r="Q3361">
        <v>8716.89</v>
      </c>
      <c r="R3361">
        <v>1394.7</v>
      </c>
      <c r="S3361">
        <v>348.68</v>
      </c>
      <c r="T3361">
        <v>9762.91</v>
      </c>
      <c r="V3361" t="s">
        <v>9408</v>
      </c>
      <c r="W3361" t="s">
        <v>423</v>
      </c>
    </row>
    <row r="3362" spans="1:23" hidden="1" x14ac:dyDescent="0.2">
      <c r="A3362">
        <v>2012</v>
      </c>
      <c r="B3362" t="s">
        <v>303</v>
      </c>
      <c r="C3362" s="733">
        <v>40927.711412037039</v>
      </c>
      <c r="D33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62" t="s">
        <v>478</v>
      </c>
      <c r="F3362" t="s">
        <v>2622</v>
      </c>
      <c r="G3362" t="s">
        <v>2983</v>
      </c>
      <c r="H3362">
        <v>34738</v>
      </c>
      <c r="I3362" t="s">
        <v>423</v>
      </c>
      <c r="J3362" t="s">
        <v>2624</v>
      </c>
      <c r="K3362" t="s">
        <v>2625</v>
      </c>
      <c r="L3362" t="s">
        <v>2626</v>
      </c>
      <c r="M3362">
        <v>10</v>
      </c>
      <c r="N3362">
        <v>27.54</v>
      </c>
      <c r="O3362">
        <v>3107.89</v>
      </c>
      <c r="P3362">
        <v>0</v>
      </c>
      <c r="Q3362">
        <v>3107.89</v>
      </c>
      <c r="R3362">
        <v>497.26</v>
      </c>
      <c r="S3362">
        <v>124.32</v>
      </c>
      <c r="T3362">
        <v>3480.83</v>
      </c>
      <c r="U3362" t="s">
        <v>2630</v>
      </c>
      <c r="V3362" t="s">
        <v>9408</v>
      </c>
      <c r="W3362" t="s">
        <v>423</v>
      </c>
    </row>
    <row r="3363" spans="1:23" hidden="1" x14ac:dyDescent="0.2">
      <c r="A3363">
        <v>2012</v>
      </c>
      <c r="B3363" t="s">
        <v>304</v>
      </c>
      <c r="C3363" s="733">
        <v>40942</v>
      </c>
      <c r="D33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63" t="s">
        <v>478</v>
      </c>
      <c r="F3363" t="s">
        <v>2622</v>
      </c>
      <c r="G3363" t="s">
        <v>2999</v>
      </c>
      <c r="H3363">
        <v>35257</v>
      </c>
      <c r="I3363" t="s">
        <v>423</v>
      </c>
      <c r="J3363" t="s">
        <v>2624</v>
      </c>
      <c r="K3363" t="s">
        <v>2625</v>
      </c>
      <c r="L3363" t="s">
        <v>2626</v>
      </c>
      <c r="M3363">
        <v>10</v>
      </c>
      <c r="N3363">
        <v>22</v>
      </c>
      <c r="O3363">
        <v>2482.6999999999998</v>
      </c>
      <c r="P3363">
        <v>0</v>
      </c>
      <c r="Q3363">
        <v>2482.6999999999998</v>
      </c>
      <c r="R3363">
        <v>397.23</v>
      </c>
      <c r="S3363">
        <v>99.31</v>
      </c>
      <c r="T3363">
        <v>2780.62</v>
      </c>
      <c r="U3363" t="s">
        <v>2630</v>
      </c>
      <c r="V3363" t="s">
        <v>9408</v>
      </c>
      <c r="W3363" t="s">
        <v>423</v>
      </c>
    </row>
    <row r="3364" spans="1:23" hidden="1" x14ac:dyDescent="0.2">
      <c r="A3364">
        <v>2012</v>
      </c>
      <c r="B3364" t="s">
        <v>303</v>
      </c>
      <c r="C3364" s="733">
        <v>40934.439236111109</v>
      </c>
      <c r="D33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64" t="s">
        <v>478</v>
      </c>
      <c r="F3364" t="s">
        <v>2136</v>
      </c>
      <c r="G3364" t="s">
        <v>2984</v>
      </c>
      <c r="H3364">
        <v>34967</v>
      </c>
      <c r="I3364" t="s">
        <v>423</v>
      </c>
      <c r="J3364" t="s">
        <v>2624</v>
      </c>
      <c r="K3364" t="s">
        <v>2625</v>
      </c>
      <c r="L3364" t="s">
        <v>2626</v>
      </c>
      <c r="M3364">
        <v>10</v>
      </c>
      <c r="N3364">
        <v>22.66</v>
      </c>
      <c r="O3364">
        <v>2557.1799999999998</v>
      </c>
      <c r="P3364">
        <v>0</v>
      </c>
      <c r="Q3364">
        <v>2557.1799999999998</v>
      </c>
      <c r="R3364">
        <v>409.15</v>
      </c>
      <c r="S3364">
        <v>102.29</v>
      </c>
      <c r="T3364">
        <v>2864.04</v>
      </c>
      <c r="U3364" t="s">
        <v>2633</v>
      </c>
      <c r="V3364" t="s">
        <v>9408</v>
      </c>
      <c r="W3364" t="s">
        <v>423</v>
      </c>
    </row>
    <row r="3365" spans="1:23" hidden="1" x14ac:dyDescent="0.2">
      <c r="A3365">
        <v>2012</v>
      </c>
      <c r="B3365" t="s">
        <v>303</v>
      </c>
      <c r="C3365" s="733">
        <v>40911.810081018521</v>
      </c>
      <c r="D33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65" t="s">
        <v>478</v>
      </c>
      <c r="F3365" t="s">
        <v>2136</v>
      </c>
      <c r="G3365" t="s">
        <v>2985</v>
      </c>
      <c r="H3365">
        <v>34221</v>
      </c>
      <c r="I3365" t="s">
        <v>423</v>
      </c>
      <c r="J3365" t="s">
        <v>2624</v>
      </c>
      <c r="K3365" t="s">
        <v>2625</v>
      </c>
      <c r="L3365" t="s">
        <v>2626</v>
      </c>
      <c r="M3365">
        <v>10</v>
      </c>
      <c r="N3365">
        <v>24.41</v>
      </c>
      <c r="O3365">
        <v>1159.96</v>
      </c>
      <c r="P3365">
        <v>1305.7669719999999</v>
      </c>
      <c r="Q3365">
        <v>2465.7269719999999</v>
      </c>
      <c r="R3365">
        <v>394.51631600000002</v>
      </c>
      <c r="S3365">
        <v>98.629079000000004</v>
      </c>
      <c r="T3365">
        <v>2761.6142089999998</v>
      </c>
      <c r="U3365" t="s">
        <v>2660</v>
      </c>
      <c r="V3365" t="s">
        <v>9408</v>
      </c>
      <c r="W3365" t="s">
        <v>423</v>
      </c>
    </row>
    <row r="3366" spans="1:23" hidden="1" x14ac:dyDescent="0.2">
      <c r="A3366">
        <v>2012</v>
      </c>
      <c r="B3366" t="s">
        <v>304</v>
      </c>
      <c r="C3366" s="733">
        <v>40955.735023148147</v>
      </c>
      <c r="D33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66" t="s">
        <v>478</v>
      </c>
      <c r="F3366" t="s">
        <v>2136</v>
      </c>
      <c r="G3366" t="s">
        <v>7884</v>
      </c>
      <c r="H3366">
        <v>35723</v>
      </c>
      <c r="I3366" t="s">
        <v>423</v>
      </c>
      <c r="J3366" t="s">
        <v>2624</v>
      </c>
      <c r="K3366" t="s">
        <v>2625</v>
      </c>
      <c r="L3366" t="s">
        <v>2626</v>
      </c>
      <c r="M3366">
        <v>10</v>
      </c>
      <c r="N3366">
        <v>22.75</v>
      </c>
      <c r="O3366">
        <v>2567.34</v>
      </c>
      <c r="P3366">
        <v>0</v>
      </c>
      <c r="Q3366">
        <v>2567.34</v>
      </c>
      <c r="R3366">
        <v>410.77</v>
      </c>
      <c r="S3366">
        <v>102.69</v>
      </c>
      <c r="T3366">
        <v>2875.42</v>
      </c>
      <c r="U3366" t="s">
        <v>8267</v>
      </c>
      <c r="V3366" t="s">
        <v>9408</v>
      </c>
      <c r="W3366" t="s">
        <v>423</v>
      </c>
    </row>
    <row r="3367" spans="1:23" hidden="1" x14ac:dyDescent="0.2">
      <c r="A3367">
        <v>2012</v>
      </c>
      <c r="B3367" t="s">
        <v>303</v>
      </c>
      <c r="C3367" s="733">
        <v>40939.512511574074</v>
      </c>
      <c r="D33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67" t="s">
        <v>478</v>
      </c>
      <c r="F3367" t="s">
        <v>2136</v>
      </c>
      <c r="G3367" t="s">
        <v>2987</v>
      </c>
      <c r="H3367">
        <v>35131</v>
      </c>
      <c r="I3367" t="s">
        <v>423</v>
      </c>
      <c r="J3367" t="s">
        <v>2624</v>
      </c>
      <c r="K3367" t="s">
        <v>2625</v>
      </c>
      <c r="L3367" t="s">
        <v>2626</v>
      </c>
      <c r="M3367">
        <v>10</v>
      </c>
      <c r="N3367">
        <v>21.32</v>
      </c>
      <c r="O3367">
        <v>2405.96</v>
      </c>
      <c r="P3367">
        <v>0</v>
      </c>
      <c r="Q3367">
        <v>2405.96</v>
      </c>
      <c r="R3367">
        <v>384.95</v>
      </c>
      <c r="S3367">
        <v>96.24</v>
      </c>
      <c r="T3367">
        <v>2694.67</v>
      </c>
      <c r="U3367" t="s">
        <v>2630</v>
      </c>
      <c r="V3367" t="s">
        <v>9408</v>
      </c>
      <c r="W3367" t="s">
        <v>423</v>
      </c>
    </row>
    <row r="3368" spans="1:23" hidden="1" x14ac:dyDescent="0.2">
      <c r="A3368">
        <v>2012</v>
      </c>
      <c r="B3368" t="s">
        <v>304</v>
      </c>
      <c r="C3368" s="733">
        <v>40960</v>
      </c>
      <c r="D33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68" t="s">
        <v>478</v>
      </c>
      <c r="F3368" t="s">
        <v>2136</v>
      </c>
      <c r="G3368" t="s">
        <v>8388</v>
      </c>
      <c r="H3368">
        <v>35870</v>
      </c>
      <c r="I3368" t="s">
        <v>423</v>
      </c>
      <c r="J3368" t="s">
        <v>2624</v>
      </c>
      <c r="K3368" t="s">
        <v>2625</v>
      </c>
      <c r="L3368" t="s">
        <v>2626</v>
      </c>
      <c r="M3368">
        <v>10</v>
      </c>
      <c r="N3368">
        <v>21.49</v>
      </c>
      <c r="O3368">
        <v>2425.15</v>
      </c>
      <c r="P3368">
        <v>0</v>
      </c>
      <c r="Q3368">
        <v>2425.15</v>
      </c>
      <c r="R3368">
        <v>388.02</v>
      </c>
      <c r="S3368">
        <v>97.01</v>
      </c>
      <c r="T3368">
        <v>2716.16</v>
      </c>
      <c r="U3368" t="s">
        <v>8267</v>
      </c>
      <c r="V3368" t="s">
        <v>9408</v>
      </c>
      <c r="W3368" t="s">
        <v>423</v>
      </c>
    </row>
    <row r="3369" spans="1:23" hidden="1" x14ac:dyDescent="0.2">
      <c r="A3369">
        <v>2012</v>
      </c>
      <c r="B3369" t="s">
        <v>304</v>
      </c>
      <c r="C3369" s="733">
        <v>40946.614918981482</v>
      </c>
      <c r="D33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69" t="s">
        <v>478</v>
      </c>
      <c r="F3369" t="s">
        <v>2136</v>
      </c>
      <c r="G3369" t="s">
        <v>2986</v>
      </c>
      <c r="H3369">
        <v>35385</v>
      </c>
      <c r="I3369" t="s">
        <v>423</v>
      </c>
      <c r="J3369" t="s">
        <v>2624</v>
      </c>
      <c r="K3369" t="s">
        <v>2625</v>
      </c>
      <c r="L3369" t="s">
        <v>2626</v>
      </c>
      <c r="M3369">
        <v>10</v>
      </c>
      <c r="N3369">
        <v>21.9</v>
      </c>
      <c r="O3369">
        <v>2471.42</v>
      </c>
      <c r="P3369">
        <v>0</v>
      </c>
      <c r="Q3369">
        <v>2471.42</v>
      </c>
      <c r="R3369">
        <v>395.43</v>
      </c>
      <c r="S3369">
        <v>98.86</v>
      </c>
      <c r="T3369">
        <v>2767.99</v>
      </c>
      <c r="U3369" t="s">
        <v>2630</v>
      </c>
      <c r="V3369" t="s">
        <v>9408</v>
      </c>
      <c r="W3369" t="s">
        <v>423</v>
      </c>
    </row>
    <row r="3370" spans="1:23" hidden="1" x14ac:dyDescent="0.2">
      <c r="A3370">
        <v>2012</v>
      </c>
      <c r="B3370" t="s">
        <v>303</v>
      </c>
      <c r="C3370" s="733">
        <v>40932.46398148148</v>
      </c>
      <c r="D33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70" t="s">
        <v>478</v>
      </c>
      <c r="F3370" t="s">
        <v>2136</v>
      </c>
      <c r="G3370" t="s">
        <v>2988</v>
      </c>
      <c r="H3370">
        <v>34899</v>
      </c>
      <c r="I3370" t="s">
        <v>423</v>
      </c>
      <c r="J3370" t="s">
        <v>2624</v>
      </c>
      <c r="K3370" t="s">
        <v>2625</v>
      </c>
      <c r="L3370" t="s">
        <v>2626</v>
      </c>
      <c r="M3370">
        <v>10</v>
      </c>
      <c r="N3370">
        <v>22.49</v>
      </c>
      <c r="O3370">
        <v>2538</v>
      </c>
      <c r="P3370">
        <v>0</v>
      </c>
      <c r="Q3370">
        <v>2538</v>
      </c>
      <c r="R3370">
        <v>406.08</v>
      </c>
      <c r="S3370">
        <v>101.52</v>
      </c>
      <c r="T3370">
        <v>2842.56</v>
      </c>
      <c r="U3370" t="s">
        <v>2630</v>
      </c>
      <c r="V3370" t="s">
        <v>9408</v>
      </c>
      <c r="W3370" t="s">
        <v>423</v>
      </c>
    </row>
    <row r="3371" spans="1:23" hidden="1" x14ac:dyDescent="0.2">
      <c r="A3371">
        <v>2012</v>
      </c>
      <c r="B3371" t="s">
        <v>303</v>
      </c>
      <c r="C3371" s="733">
        <v>40926.73364583333</v>
      </c>
      <c r="D33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71" t="s">
        <v>478</v>
      </c>
      <c r="F3371" t="s">
        <v>2136</v>
      </c>
      <c r="G3371" t="s">
        <v>2993</v>
      </c>
      <c r="H3371">
        <v>34679</v>
      </c>
      <c r="I3371" t="s">
        <v>423</v>
      </c>
      <c r="J3371" t="s">
        <v>2624</v>
      </c>
      <c r="K3371" t="s">
        <v>2625</v>
      </c>
      <c r="L3371" t="s">
        <v>2626</v>
      </c>
      <c r="M3371">
        <v>10</v>
      </c>
      <c r="N3371">
        <v>23.37</v>
      </c>
      <c r="O3371">
        <v>2637.3</v>
      </c>
      <c r="P3371">
        <v>0</v>
      </c>
      <c r="Q3371">
        <v>2637.3</v>
      </c>
      <c r="R3371">
        <v>421.97</v>
      </c>
      <c r="S3371">
        <v>105.49</v>
      </c>
      <c r="T3371">
        <v>2953.78</v>
      </c>
      <c r="U3371" t="s">
        <v>2630</v>
      </c>
      <c r="V3371" t="s">
        <v>9408</v>
      </c>
      <c r="W3371" t="s">
        <v>423</v>
      </c>
    </row>
    <row r="3372" spans="1:23" hidden="1" x14ac:dyDescent="0.2">
      <c r="A3372">
        <v>2012</v>
      </c>
      <c r="B3372" t="s">
        <v>304</v>
      </c>
      <c r="C3372" s="733">
        <v>40954</v>
      </c>
      <c r="D33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72" t="s">
        <v>478</v>
      </c>
      <c r="F3372" t="s">
        <v>2622</v>
      </c>
      <c r="G3372" t="s">
        <v>7660</v>
      </c>
      <c r="H3372">
        <v>35653</v>
      </c>
      <c r="I3372" t="s">
        <v>423</v>
      </c>
      <c r="J3372" t="s">
        <v>2624</v>
      </c>
      <c r="K3372" t="s">
        <v>2625</v>
      </c>
      <c r="L3372" t="s">
        <v>2626</v>
      </c>
      <c r="M3372">
        <v>10</v>
      </c>
      <c r="N3372">
        <v>28.51</v>
      </c>
      <c r="O3372">
        <v>3217.35</v>
      </c>
      <c r="P3372">
        <v>0</v>
      </c>
      <c r="Q3372">
        <v>3217.35</v>
      </c>
      <c r="R3372">
        <v>514.78</v>
      </c>
      <c r="S3372">
        <v>128.69</v>
      </c>
      <c r="T3372">
        <v>3603.44</v>
      </c>
      <c r="U3372" t="s">
        <v>8267</v>
      </c>
      <c r="V3372" t="s">
        <v>9408</v>
      </c>
      <c r="W3372" t="s">
        <v>423</v>
      </c>
    </row>
    <row r="3373" spans="1:23" hidden="1" x14ac:dyDescent="0.2">
      <c r="A3373">
        <v>2012</v>
      </c>
      <c r="B3373" t="s">
        <v>304</v>
      </c>
      <c r="C3373" s="733">
        <v>40947.41505787037</v>
      </c>
      <c r="D33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73" t="s">
        <v>478</v>
      </c>
      <c r="F3373" t="s">
        <v>2622</v>
      </c>
      <c r="G3373" t="s">
        <v>2980</v>
      </c>
      <c r="H3373">
        <v>35428</v>
      </c>
      <c r="I3373" t="s">
        <v>423</v>
      </c>
      <c r="J3373" t="s">
        <v>2624</v>
      </c>
      <c r="K3373" t="s">
        <v>2625</v>
      </c>
      <c r="L3373" t="s">
        <v>2626</v>
      </c>
      <c r="M3373">
        <v>10</v>
      </c>
      <c r="N3373">
        <v>23.24</v>
      </c>
      <c r="O3373">
        <v>2622.63</v>
      </c>
      <c r="P3373">
        <v>0</v>
      </c>
      <c r="Q3373">
        <v>2622.63</v>
      </c>
      <c r="R3373">
        <v>419.62</v>
      </c>
      <c r="S3373">
        <v>104.91</v>
      </c>
      <c r="T3373">
        <v>2937.34</v>
      </c>
      <c r="U3373" t="s">
        <v>2652</v>
      </c>
      <c r="V3373" t="s">
        <v>9408</v>
      </c>
      <c r="W3373" t="s">
        <v>423</v>
      </c>
    </row>
    <row r="3374" spans="1:23" hidden="1" x14ac:dyDescent="0.2">
      <c r="A3374">
        <v>2012</v>
      </c>
      <c r="B3374" t="s">
        <v>303</v>
      </c>
      <c r="C3374" s="733">
        <v>40927</v>
      </c>
      <c r="D33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74" t="s">
        <v>478</v>
      </c>
      <c r="F3374" t="s">
        <v>2622</v>
      </c>
      <c r="G3374" t="s">
        <v>2981</v>
      </c>
      <c r="H3374">
        <v>34608</v>
      </c>
      <c r="I3374" t="s">
        <v>423</v>
      </c>
      <c r="J3374" t="s">
        <v>2624</v>
      </c>
      <c r="K3374" t="s">
        <v>2625</v>
      </c>
      <c r="L3374" t="s">
        <v>2626</v>
      </c>
      <c r="M3374">
        <v>10</v>
      </c>
      <c r="N3374">
        <v>27.43</v>
      </c>
      <c r="O3374">
        <v>3095.48</v>
      </c>
      <c r="P3374">
        <v>0</v>
      </c>
      <c r="Q3374">
        <v>3095.48</v>
      </c>
      <c r="R3374">
        <v>495.28</v>
      </c>
      <c r="S3374">
        <v>123.82</v>
      </c>
      <c r="T3374">
        <v>3466.94</v>
      </c>
      <c r="U3374" t="s">
        <v>2635</v>
      </c>
      <c r="V3374" t="s">
        <v>9408</v>
      </c>
      <c r="W3374" t="s">
        <v>423</v>
      </c>
    </row>
    <row r="3375" spans="1:23" hidden="1" x14ac:dyDescent="0.2">
      <c r="A3375">
        <v>2012</v>
      </c>
      <c r="B3375" t="s">
        <v>303</v>
      </c>
      <c r="C3375" s="733">
        <v>40926</v>
      </c>
      <c r="D33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75" t="s">
        <v>478</v>
      </c>
      <c r="F3375" t="s">
        <v>2142</v>
      </c>
      <c r="G3375" t="s">
        <v>2991</v>
      </c>
      <c r="H3375">
        <v>34440</v>
      </c>
      <c r="I3375" t="s">
        <v>423</v>
      </c>
      <c r="J3375" t="s">
        <v>2639</v>
      </c>
      <c r="K3375" t="s">
        <v>2640</v>
      </c>
      <c r="L3375" t="s">
        <v>2641</v>
      </c>
      <c r="M3375">
        <v>274</v>
      </c>
      <c r="N3375">
        <v>52.9</v>
      </c>
      <c r="O3375">
        <v>6799.77</v>
      </c>
      <c r="P3375">
        <v>0</v>
      </c>
      <c r="Q3375">
        <v>6799.77</v>
      </c>
      <c r="R3375">
        <v>1087.96</v>
      </c>
      <c r="S3375">
        <v>271.99</v>
      </c>
      <c r="T3375">
        <v>7615.74</v>
      </c>
      <c r="U3375" t="s">
        <v>2992</v>
      </c>
      <c r="V3375" t="s">
        <v>9409</v>
      </c>
      <c r="W3375" t="s">
        <v>423</v>
      </c>
    </row>
    <row r="3376" spans="1:23" hidden="1" x14ac:dyDescent="0.2">
      <c r="A3376">
        <v>2012</v>
      </c>
      <c r="B3376" t="s">
        <v>303</v>
      </c>
      <c r="C3376" s="733">
        <v>40938</v>
      </c>
      <c r="D33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76" t="s">
        <v>485</v>
      </c>
      <c r="F3376" t="s">
        <v>2048</v>
      </c>
      <c r="G3376" t="s">
        <v>4094</v>
      </c>
      <c r="H3376">
        <v>41105</v>
      </c>
      <c r="I3376" t="s">
        <v>423</v>
      </c>
      <c r="J3376" t="s">
        <v>4093</v>
      </c>
      <c r="K3376" t="s">
        <v>2051</v>
      </c>
      <c r="L3376" t="s">
        <v>2052</v>
      </c>
      <c r="M3376">
        <v>647</v>
      </c>
      <c r="N3376">
        <v>49.1</v>
      </c>
      <c r="O3376">
        <v>18576</v>
      </c>
      <c r="P3376">
        <v>0</v>
      </c>
      <c r="Q3376">
        <v>18576</v>
      </c>
      <c r="R3376">
        <v>2972.16</v>
      </c>
      <c r="S3376">
        <v>743.04</v>
      </c>
      <c r="T3376">
        <v>20805.12</v>
      </c>
      <c r="U3376" t="s">
        <v>2064</v>
      </c>
      <c r="V3376" t="s">
        <v>9409</v>
      </c>
      <c r="W3376" t="s">
        <v>423</v>
      </c>
    </row>
    <row r="3377" spans="1:23" hidden="1" x14ac:dyDescent="0.2">
      <c r="A3377">
        <v>2012</v>
      </c>
      <c r="B3377" t="s">
        <v>303</v>
      </c>
      <c r="C3377" s="733">
        <v>40939</v>
      </c>
      <c r="D33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77" t="s">
        <v>478</v>
      </c>
      <c r="F3377" t="s">
        <v>2142</v>
      </c>
      <c r="G3377" t="s">
        <v>2989</v>
      </c>
      <c r="H3377">
        <v>34964</v>
      </c>
      <c r="I3377" t="s">
        <v>423</v>
      </c>
      <c r="J3377" t="s">
        <v>2639</v>
      </c>
      <c r="K3377" t="s">
        <v>2640</v>
      </c>
      <c r="L3377" t="s">
        <v>2641</v>
      </c>
      <c r="M3377">
        <v>274</v>
      </c>
      <c r="N3377">
        <v>53.06</v>
      </c>
      <c r="O3377">
        <v>6820.33</v>
      </c>
      <c r="P3377">
        <v>0</v>
      </c>
      <c r="Q3377">
        <v>6820.33</v>
      </c>
      <c r="R3377">
        <v>1091.25</v>
      </c>
      <c r="S3377">
        <v>272.81</v>
      </c>
      <c r="T3377">
        <v>7638.77</v>
      </c>
      <c r="U3377" t="s">
        <v>2990</v>
      </c>
      <c r="V3377" t="s">
        <v>9409</v>
      </c>
      <c r="W3377" t="s">
        <v>423</v>
      </c>
    </row>
    <row r="3378" spans="1:23" hidden="1" x14ac:dyDescent="0.2">
      <c r="A3378">
        <v>2012</v>
      </c>
      <c r="B3378" t="s">
        <v>304</v>
      </c>
      <c r="C3378" s="733">
        <v>40960.453958333332</v>
      </c>
      <c r="D33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78" t="s">
        <v>478</v>
      </c>
      <c r="F3378" t="s">
        <v>2622</v>
      </c>
      <c r="G3378" t="s">
        <v>8401</v>
      </c>
      <c r="H3378">
        <v>35836</v>
      </c>
      <c r="I3378" t="s">
        <v>423</v>
      </c>
      <c r="J3378" t="s">
        <v>2624</v>
      </c>
      <c r="K3378" t="s">
        <v>2625</v>
      </c>
      <c r="L3378" t="s">
        <v>2626</v>
      </c>
      <c r="M3378">
        <v>10</v>
      </c>
      <c r="N3378">
        <v>22.72</v>
      </c>
      <c r="O3378">
        <v>2563.9499999999998</v>
      </c>
      <c r="P3378">
        <v>0</v>
      </c>
      <c r="Q3378">
        <v>2563.9499999999998</v>
      </c>
      <c r="R3378">
        <v>410.23</v>
      </c>
      <c r="S3378">
        <v>102.56</v>
      </c>
      <c r="T3378">
        <v>2871.62</v>
      </c>
      <c r="U3378" t="s">
        <v>8267</v>
      </c>
      <c r="V3378" t="s">
        <v>9408</v>
      </c>
      <c r="W3378" t="s">
        <v>423</v>
      </c>
    </row>
    <row r="3379" spans="1:23" hidden="1" x14ac:dyDescent="0.2">
      <c r="A3379">
        <v>2012</v>
      </c>
      <c r="B3379" t="s">
        <v>303</v>
      </c>
      <c r="C3379" s="733">
        <v>40938.919699074075</v>
      </c>
      <c r="D33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79" t="s">
        <v>478</v>
      </c>
      <c r="F3379" t="s">
        <v>2622</v>
      </c>
      <c r="G3379" t="s">
        <v>2998</v>
      </c>
      <c r="H3379">
        <v>35071</v>
      </c>
      <c r="I3379" t="s">
        <v>423</v>
      </c>
      <c r="J3379" t="s">
        <v>2624</v>
      </c>
      <c r="K3379" t="s">
        <v>2625</v>
      </c>
      <c r="L3379" t="s">
        <v>2626</v>
      </c>
      <c r="M3379">
        <v>10</v>
      </c>
      <c r="N3379">
        <v>25.27</v>
      </c>
      <c r="O3379">
        <v>2851.72</v>
      </c>
      <c r="P3379">
        <v>0</v>
      </c>
      <c r="Q3379">
        <v>2851.72</v>
      </c>
      <c r="R3379">
        <v>456.28</v>
      </c>
      <c r="S3379">
        <v>114.07</v>
      </c>
      <c r="T3379">
        <v>3193.93</v>
      </c>
      <c r="U3379" t="s">
        <v>2652</v>
      </c>
      <c r="V3379" t="s">
        <v>9408</v>
      </c>
      <c r="W3379" t="s">
        <v>423</v>
      </c>
    </row>
    <row r="3380" spans="1:23" hidden="1" x14ac:dyDescent="0.2">
      <c r="A3380">
        <v>2012</v>
      </c>
      <c r="B3380" t="s">
        <v>304</v>
      </c>
      <c r="C3380" s="733">
        <v>40947.413958333331</v>
      </c>
      <c r="D33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80" t="s">
        <v>478</v>
      </c>
      <c r="F3380" t="s">
        <v>2622</v>
      </c>
      <c r="G3380" t="s">
        <v>2982</v>
      </c>
      <c r="H3380">
        <v>35424</v>
      </c>
      <c r="I3380" t="s">
        <v>423</v>
      </c>
      <c r="J3380" t="s">
        <v>2624</v>
      </c>
      <c r="K3380" t="s">
        <v>2625</v>
      </c>
      <c r="L3380" t="s">
        <v>2626</v>
      </c>
      <c r="M3380">
        <v>10</v>
      </c>
      <c r="N3380">
        <v>20.96</v>
      </c>
      <c r="O3380">
        <v>2365.34</v>
      </c>
      <c r="P3380">
        <v>0</v>
      </c>
      <c r="Q3380">
        <v>2365.34</v>
      </c>
      <c r="R3380">
        <v>378.45</v>
      </c>
      <c r="S3380">
        <v>94.61</v>
      </c>
      <c r="T3380">
        <v>2649.18</v>
      </c>
      <c r="U3380" t="s">
        <v>2652</v>
      </c>
      <c r="V3380" t="s">
        <v>9408</v>
      </c>
      <c r="W3380" t="s">
        <v>423</v>
      </c>
    </row>
    <row r="3381" spans="1:23" hidden="1" x14ac:dyDescent="0.2">
      <c r="A3381">
        <v>2012</v>
      </c>
      <c r="B3381" t="s">
        <v>303</v>
      </c>
      <c r="C3381" s="733">
        <v>40918.47378472222</v>
      </c>
      <c r="D33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81" t="s">
        <v>478</v>
      </c>
      <c r="F3381" t="s">
        <v>2622</v>
      </c>
      <c r="G3381" t="s">
        <v>2974</v>
      </c>
      <c r="H3381">
        <v>34385</v>
      </c>
      <c r="I3381" t="s">
        <v>423</v>
      </c>
      <c r="J3381" t="s">
        <v>2624</v>
      </c>
      <c r="K3381" t="s">
        <v>2625</v>
      </c>
      <c r="L3381" t="s">
        <v>2626</v>
      </c>
      <c r="M3381">
        <v>10</v>
      </c>
      <c r="N3381">
        <v>24.53</v>
      </c>
      <c r="O3381">
        <v>2768.21</v>
      </c>
      <c r="P3381">
        <v>0</v>
      </c>
      <c r="Q3381">
        <v>2768.21</v>
      </c>
      <c r="R3381">
        <v>442.91</v>
      </c>
      <c r="S3381">
        <v>110.73</v>
      </c>
      <c r="T3381">
        <v>3100.39</v>
      </c>
      <c r="U3381" t="s">
        <v>2627</v>
      </c>
      <c r="V3381" t="s">
        <v>9408</v>
      </c>
      <c r="W3381" t="s">
        <v>423</v>
      </c>
    </row>
    <row r="3382" spans="1:23" hidden="1" x14ac:dyDescent="0.2">
      <c r="A3382">
        <v>2012</v>
      </c>
      <c r="B3382" t="s">
        <v>303</v>
      </c>
      <c r="C3382" s="733">
        <v>40934</v>
      </c>
      <c r="D33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82" t="s">
        <v>478</v>
      </c>
      <c r="F3382" t="s">
        <v>2136</v>
      </c>
      <c r="G3382" t="s">
        <v>3325</v>
      </c>
      <c r="H3382">
        <v>34931</v>
      </c>
      <c r="I3382" t="s">
        <v>423</v>
      </c>
      <c r="J3382" t="s">
        <v>3326</v>
      </c>
      <c r="K3382" t="s">
        <v>425</v>
      </c>
      <c r="L3382" t="s">
        <v>2145</v>
      </c>
      <c r="M3382">
        <v>1218</v>
      </c>
      <c r="N3382">
        <v>24.47</v>
      </c>
      <c r="O3382">
        <v>13398.06</v>
      </c>
      <c r="P3382">
        <v>0</v>
      </c>
      <c r="Q3382">
        <v>13398.06</v>
      </c>
      <c r="R3382">
        <v>2143.69</v>
      </c>
      <c r="S3382">
        <v>535.91999999999996</v>
      </c>
      <c r="T3382">
        <v>15005.83</v>
      </c>
      <c r="U3382" t="s">
        <v>2355</v>
      </c>
      <c r="V3382" t="s">
        <v>9408</v>
      </c>
      <c r="W3382" t="s">
        <v>423</v>
      </c>
    </row>
    <row r="3383" spans="1:23" hidden="1" x14ac:dyDescent="0.2">
      <c r="A3383">
        <v>2012</v>
      </c>
      <c r="B3383" t="s">
        <v>304</v>
      </c>
      <c r="C3383" s="733">
        <v>40941</v>
      </c>
      <c r="D33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83" t="s">
        <v>485</v>
      </c>
      <c r="F3383" t="s">
        <v>2099</v>
      </c>
      <c r="G3383" t="s">
        <v>3095</v>
      </c>
      <c r="H3383">
        <v>40221</v>
      </c>
      <c r="I3383" t="s">
        <v>423</v>
      </c>
      <c r="J3383" t="s">
        <v>2101</v>
      </c>
      <c r="K3383" t="s">
        <v>2102</v>
      </c>
      <c r="L3383" t="s">
        <v>2103</v>
      </c>
      <c r="M3383">
        <v>119</v>
      </c>
      <c r="N3383">
        <v>25.2</v>
      </c>
      <c r="O3383">
        <v>4226.8</v>
      </c>
      <c r="P3383">
        <v>0</v>
      </c>
      <c r="Q3383">
        <v>4226.8</v>
      </c>
      <c r="R3383">
        <v>676.29</v>
      </c>
      <c r="S3383">
        <v>169.07</v>
      </c>
      <c r="T3383">
        <v>4734.0200000000004</v>
      </c>
      <c r="V3383" t="s">
        <v>9408</v>
      </c>
      <c r="W3383" t="s">
        <v>423</v>
      </c>
    </row>
    <row r="3384" spans="1:23" hidden="1" x14ac:dyDescent="0.2">
      <c r="A3384">
        <v>2012</v>
      </c>
      <c r="B3384" t="s">
        <v>303</v>
      </c>
      <c r="C3384" s="733">
        <v>40921</v>
      </c>
      <c r="D33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84" t="s">
        <v>485</v>
      </c>
      <c r="F3384" t="s">
        <v>2099</v>
      </c>
      <c r="G3384" t="s">
        <v>3094</v>
      </c>
      <c r="H3384">
        <v>40279</v>
      </c>
      <c r="I3384" t="s">
        <v>423</v>
      </c>
      <c r="J3384" t="s">
        <v>2101</v>
      </c>
      <c r="K3384" t="s">
        <v>2102</v>
      </c>
      <c r="L3384" t="s">
        <v>2103</v>
      </c>
      <c r="M3384">
        <v>119</v>
      </c>
      <c r="N3384">
        <v>50.78</v>
      </c>
      <c r="O3384">
        <v>8517.33</v>
      </c>
      <c r="P3384">
        <v>0</v>
      </c>
      <c r="Q3384">
        <v>8517.33</v>
      </c>
      <c r="R3384">
        <v>1362.77</v>
      </c>
      <c r="S3384">
        <v>340.69</v>
      </c>
      <c r="T3384">
        <v>9539.41</v>
      </c>
      <c r="U3384" t="s">
        <v>2106</v>
      </c>
      <c r="V3384" t="s">
        <v>9409</v>
      </c>
      <c r="W3384" t="s">
        <v>423</v>
      </c>
    </row>
    <row r="3385" spans="1:23" hidden="1" x14ac:dyDescent="0.2">
      <c r="A3385">
        <v>2012</v>
      </c>
      <c r="B3385" t="s">
        <v>304</v>
      </c>
      <c r="C3385" s="733">
        <v>40952</v>
      </c>
      <c r="D33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85" t="s">
        <v>485</v>
      </c>
      <c r="F3385" t="s">
        <v>2099</v>
      </c>
      <c r="G3385" t="s">
        <v>3112</v>
      </c>
      <c r="H3385">
        <v>41854</v>
      </c>
      <c r="I3385" t="s">
        <v>423</v>
      </c>
      <c r="J3385" t="s">
        <v>2101</v>
      </c>
      <c r="K3385" t="s">
        <v>2102</v>
      </c>
      <c r="L3385" t="s">
        <v>2103</v>
      </c>
      <c r="M3385">
        <v>119</v>
      </c>
      <c r="N3385">
        <v>23.92</v>
      </c>
      <c r="O3385">
        <v>4012.1</v>
      </c>
      <c r="P3385">
        <v>0</v>
      </c>
      <c r="Q3385">
        <v>4012.1</v>
      </c>
      <c r="R3385">
        <v>641.94000000000005</v>
      </c>
      <c r="S3385">
        <v>160.47999999999999</v>
      </c>
      <c r="T3385">
        <v>4493.5600000000004</v>
      </c>
      <c r="U3385" t="s">
        <v>7462</v>
      </c>
      <c r="V3385" t="s">
        <v>9408</v>
      </c>
      <c r="W3385" t="s">
        <v>423</v>
      </c>
    </row>
    <row r="3386" spans="1:23" hidden="1" x14ac:dyDescent="0.2">
      <c r="A3386">
        <v>2012</v>
      </c>
      <c r="B3386" t="s">
        <v>304</v>
      </c>
      <c r="C3386" s="733">
        <v>40953</v>
      </c>
      <c r="D33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86" t="s">
        <v>485</v>
      </c>
      <c r="F3386" t="s">
        <v>2054</v>
      </c>
      <c r="G3386" t="s">
        <v>2270</v>
      </c>
      <c r="H3386">
        <v>10426</v>
      </c>
      <c r="I3386" t="s">
        <v>423</v>
      </c>
      <c r="J3386" t="s">
        <v>2098</v>
      </c>
      <c r="K3386" t="s">
        <v>2057</v>
      </c>
      <c r="L3386" t="s">
        <v>2058</v>
      </c>
      <c r="M3386">
        <v>565</v>
      </c>
      <c r="N3386">
        <v>46.55</v>
      </c>
      <c r="O3386">
        <v>15734.83</v>
      </c>
      <c r="P3386">
        <v>0</v>
      </c>
      <c r="Q3386">
        <v>15734.83</v>
      </c>
      <c r="R3386">
        <v>1730.83</v>
      </c>
      <c r="S3386">
        <v>629.39</v>
      </c>
      <c r="T3386">
        <v>16836.27</v>
      </c>
      <c r="U3386" t="s">
        <v>8047</v>
      </c>
      <c r="V3386" t="s">
        <v>9409</v>
      </c>
      <c r="W3386" t="s">
        <v>423</v>
      </c>
    </row>
    <row r="3387" spans="1:23" hidden="1" x14ac:dyDescent="0.2">
      <c r="A3387">
        <v>2012</v>
      </c>
      <c r="B3387" t="s">
        <v>304</v>
      </c>
      <c r="C3387" s="733">
        <v>40941</v>
      </c>
      <c r="D33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87" t="s">
        <v>485</v>
      </c>
      <c r="F3387" t="s">
        <v>2099</v>
      </c>
      <c r="G3387" t="s">
        <v>3093</v>
      </c>
      <c r="H3387">
        <v>39904</v>
      </c>
      <c r="I3387" t="s">
        <v>423</v>
      </c>
      <c r="J3387" t="s">
        <v>2101</v>
      </c>
      <c r="K3387" t="s">
        <v>2102</v>
      </c>
      <c r="L3387" t="s">
        <v>2103</v>
      </c>
      <c r="M3387">
        <v>119</v>
      </c>
      <c r="N3387">
        <v>26.15</v>
      </c>
      <c r="O3387">
        <v>4386.1400000000003</v>
      </c>
      <c r="P3387">
        <v>0</v>
      </c>
      <c r="Q3387">
        <v>4386.1400000000003</v>
      </c>
      <c r="R3387">
        <v>701.78</v>
      </c>
      <c r="S3387">
        <v>175.45</v>
      </c>
      <c r="T3387">
        <v>4912.47</v>
      </c>
      <c r="V3387" t="s">
        <v>9408</v>
      </c>
      <c r="W3387" t="s">
        <v>423</v>
      </c>
    </row>
    <row r="3388" spans="1:23" hidden="1" x14ac:dyDescent="0.2">
      <c r="A3388">
        <v>2012</v>
      </c>
      <c r="B3388" t="s">
        <v>303</v>
      </c>
      <c r="C3388" s="733">
        <v>40926</v>
      </c>
      <c r="D33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88" t="s">
        <v>485</v>
      </c>
      <c r="F3388" t="s">
        <v>2084</v>
      </c>
      <c r="G3388" t="s">
        <v>5206</v>
      </c>
      <c r="H3388">
        <v>40322</v>
      </c>
      <c r="I3388" t="s">
        <v>423</v>
      </c>
      <c r="J3388" t="s">
        <v>2836</v>
      </c>
      <c r="K3388" t="s">
        <v>2814</v>
      </c>
      <c r="L3388" t="s">
        <v>2815</v>
      </c>
      <c r="M3388">
        <v>70</v>
      </c>
      <c r="N3388">
        <v>23.52</v>
      </c>
      <c r="O3388">
        <v>2654.7</v>
      </c>
      <c r="P3388">
        <v>0</v>
      </c>
      <c r="Q3388">
        <v>2654.7</v>
      </c>
      <c r="R3388">
        <v>424.75</v>
      </c>
      <c r="S3388">
        <v>106.19</v>
      </c>
      <c r="T3388">
        <v>2973.26</v>
      </c>
      <c r="U3388" t="s">
        <v>2824</v>
      </c>
      <c r="V3388" t="s">
        <v>9408</v>
      </c>
      <c r="W3388" t="s">
        <v>423</v>
      </c>
    </row>
    <row r="3389" spans="1:23" hidden="1" x14ac:dyDescent="0.2">
      <c r="A3389">
        <v>2012</v>
      </c>
      <c r="B3389" t="s">
        <v>304</v>
      </c>
      <c r="C3389" s="733">
        <v>40949</v>
      </c>
      <c r="D33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89" t="s">
        <v>485</v>
      </c>
      <c r="F3389" t="s">
        <v>2084</v>
      </c>
      <c r="G3389" t="s">
        <v>5205</v>
      </c>
      <c r="H3389">
        <v>41430</v>
      </c>
      <c r="I3389" t="s">
        <v>423</v>
      </c>
      <c r="J3389" t="s">
        <v>2836</v>
      </c>
      <c r="K3389" t="s">
        <v>2814</v>
      </c>
      <c r="L3389" t="s">
        <v>2815</v>
      </c>
      <c r="M3389">
        <v>70</v>
      </c>
      <c r="N3389">
        <v>23.998000000000001</v>
      </c>
      <c r="O3389">
        <v>2708.65</v>
      </c>
      <c r="P3389">
        <v>0</v>
      </c>
      <c r="Q3389">
        <v>2708.65</v>
      </c>
      <c r="R3389">
        <v>297.95</v>
      </c>
      <c r="S3389">
        <v>108.35</v>
      </c>
      <c r="T3389">
        <v>2898.25</v>
      </c>
      <c r="U3389" t="s">
        <v>7527</v>
      </c>
      <c r="V3389" t="s">
        <v>9408</v>
      </c>
      <c r="W3389" t="s">
        <v>423</v>
      </c>
    </row>
    <row r="3390" spans="1:23" hidden="1" x14ac:dyDescent="0.2">
      <c r="A3390">
        <v>2012</v>
      </c>
      <c r="B3390" t="s">
        <v>304</v>
      </c>
      <c r="C3390" s="733">
        <v>40952.590289351851</v>
      </c>
      <c r="D33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90" t="s">
        <v>485</v>
      </c>
      <c r="F3390" t="s">
        <v>2054</v>
      </c>
      <c r="G3390" t="s">
        <v>2269</v>
      </c>
      <c r="H3390">
        <v>10420</v>
      </c>
      <c r="I3390" t="s">
        <v>423</v>
      </c>
      <c r="J3390" t="s">
        <v>2098</v>
      </c>
      <c r="K3390" t="s">
        <v>2057</v>
      </c>
      <c r="L3390" t="s">
        <v>2058</v>
      </c>
      <c r="M3390">
        <v>565</v>
      </c>
      <c r="N3390">
        <v>47.16</v>
      </c>
      <c r="O3390">
        <v>15941.02</v>
      </c>
      <c r="P3390">
        <v>0</v>
      </c>
      <c r="Q3390">
        <v>15941.02</v>
      </c>
      <c r="R3390">
        <v>1753.51</v>
      </c>
      <c r="S3390">
        <v>637.64</v>
      </c>
      <c r="T3390">
        <v>17056.89</v>
      </c>
      <c r="U3390" t="s">
        <v>8047</v>
      </c>
      <c r="V3390" t="s">
        <v>9409</v>
      </c>
      <c r="W3390" t="s">
        <v>423</v>
      </c>
    </row>
    <row r="3391" spans="1:23" hidden="1" x14ac:dyDescent="0.2">
      <c r="A3391">
        <v>2012</v>
      </c>
      <c r="B3391" t="s">
        <v>303</v>
      </c>
      <c r="C3391" s="733">
        <v>40921</v>
      </c>
      <c r="D33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91" t="s">
        <v>485</v>
      </c>
      <c r="F3391" t="s">
        <v>2054</v>
      </c>
      <c r="G3391" t="s">
        <v>6049</v>
      </c>
      <c r="H3391">
        <v>10050</v>
      </c>
      <c r="I3391" t="s">
        <v>423</v>
      </c>
      <c r="J3391" t="s">
        <v>2098</v>
      </c>
      <c r="K3391" t="s">
        <v>2057</v>
      </c>
      <c r="L3391" t="s">
        <v>2058</v>
      </c>
      <c r="M3391">
        <v>565</v>
      </c>
      <c r="N3391">
        <v>48.22</v>
      </c>
      <c r="O3391">
        <v>16299.32</v>
      </c>
      <c r="P3391">
        <v>0</v>
      </c>
      <c r="Q3391">
        <v>16299.32</v>
      </c>
      <c r="R3391">
        <v>2607.89</v>
      </c>
      <c r="S3391">
        <v>651.97</v>
      </c>
      <c r="T3391">
        <v>18255.240000000002</v>
      </c>
      <c r="U3391" t="s">
        <v>2059</v>
      </c>
      <c r="V3391" t="s">
        <v>9409</v>
      </c>
      <c r="W3391" t="s">
        <v>423</v>
      </c>
    </row>
    <row r="3392" spans="1:23" hidden="1" x14ac:dyDescent="0.2">
      <c r="A3392">
        <v>2012</v>
      </c>
      <c r="B3392" t="s">
        <v>303</v>
      </c>
      <c r="C3392" s="733">
        <v>40936.521423611113</v>
      </c>
      <c r="D33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92" t="s">
        <v>485</v>
      </c>
      <c r="F3392" t="s">
        <v>2054</v>
      </c>
      <c r="G3392" t="s">
        <v>2271</v>
      </c>
      <c r="H3392">
        <v>10253</v>
      </c>
      <c r="I3392" t="s">
        <v>423</v>
      </c>
      <c r="J3392" t="s">
        <v>2098</v>
      </c>
      <c r="K3392" t="s">
        <v>2057</v>
      </c>
      <c r="L3392" t="s">
        <v>2058</v>
      </c>
      <c r="M3392">
        <v>565</v>
      </c>
      <c r="N3392">
        <v>47.71</v>
      </c>
      <c r="O3392">
        <v>16126.93</v>
      </c>
      <c r="P3392">
        <v>0</v>
      </c>
      <c r="Q3392">
        <v>16126.93</v>
      </c>
      <c r="R3392">
        <v>2580.31</v>
      </c>
      <c r="S3392">
        <v>645.08000000000004</v>
      </c>
      <c r="T3392">
        <v>18062.16</v>
      </c>
      <c r="U3392" t="s">
        <v>2073</v>
      </c>
      <c r="V3392" t="s">
        <v>9409</v>
      </c>
      <c r="W3392" t="s">
        <v>423</v>
      </c>
    </row>
    <row r="3393" spans="1:23" x14ac:dyDescent="0.2">
      <c r="A3393">
        <v>2012</v>
      </c>
      <c r="B3393" t="s">
        <v>304</v>
      </c>
      <c r="C3393" s="733">
        <v>40967.448692129627</v>
      </c>
      <c r="D33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93" t="s">
        <v>485</v>
      </c>
      <c r="F3393" t="s">
        <v>2054</v>
      </c>
      <c r="G3393" t="s">
        <v>9043</v>
      </c>
      <c r="H3393">
        <v>10594</v>
      </c>
      <c r="I3393" t="s">
        <v>423</v>
      </c>
      <c r="J3393" t="s">
        <v>2098</v>
      </c>
      <c r="K3393" t="s">
        <v>2057</v>
      </c>
      <c r="L3393" t="s">
        <v>2058</v>
      </c>
      <c r="M3393">
        <v>565</v>
      </c>
      <c r="N3393">
        <v>46.58</v>
      </c>
      <c r="O3393">
        <v>15744.97</v>
      </c>
      <c r="P3393">
        <v>0</v>
      </c>
      <c r="Q3393">
        <v>15744.97</v>
      </c>
      <c r="R3393">
        <v>1731.95</v>
      </c>
      <c r="S3393">
        <v>629.79999999999995</v>
      </c>
      <c r="T3393">
        <v>16847.12</v>
      </c>
      <c r="V3393" t="s">
        <v>9409</v>
      </c>
      <c r="W3393" t="s">
        <v>423</v>
      </c>
    </row>
    <row r="3394" spans="1:23" hidden="1" x14ac:dyDescent="0.2">
      <c r="A3394">
        <v>2012</v>
      </c>
      <c r="B3394" t="s">
        <v>304</v>
      </c>
      <c r="C3394" s="733">
        <v>40943</v>
      </c>
      <c r="D33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94" t="s">
        <v>485</v>
      </c>
      <c r="F3394" t="s">
        <v>2054</v>
      </c>
      <c r="G3394" t="s">
        <v>6045</v>
      </c>
      <c r="H3394">
        <v>10316</v>
      </c>
      <c r="I3394" t="s">
        <v>423</v>
      </c>
      <c r="J3394" t="s">
        <v>2098</v>
      </c>
      <c r="K3394" t="s">
        <v>2057</v>
      </c>
      <c r="L3394" t="s">
        <v>2058</v>
      </c>
      <c r="M3394">
        <v>565</v>
      </c>
      <c r="N3394">
        <v>46.9</v>
      </c>
      <c r="O3394">
        <v>15853.14</v>
      </c>
      <c r="P3394">
        <v>0</v>
      </c>
      <c r="Q3394">
        <v>15853.14</v>
      </c>
      <c r="R3394">
        <v>2536.5</v>
      </c>
      <c r="S3394">
        <v>634.13</v>
      </c>
      <c r="T3394">
        <v>17755.509999999998</v>
      </c>
      <c r="U3394" t="s">
        <v>2075</v>
      </c>
      <c r="V3394" t="s">
        <v>9409</v>
      </c>
      <c r="W3394" t="s">
        <v>423</v>
      </c>
    </row>
    <row r="3395" spans="1:23" hidden="1" x14ac:dyDescent="0.2">
      <c r="A3395">
        <v>2012</v>
      </c>
      <c r="B3395" t="s">
        <v>304</v>
      </c>
      <c r="C3395" s="733">
        <v>40959</v>
      </c>
      <c r="D33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95" t="s">
        <v>485</v>
      </c>
      <c r="F3395" t="s">
        <v>2054</v>
      </c>
      <c r="G3395" t="s">
        <v>8169</v>
      </c>
      <c r="H3395">
        <v>10482</v>
      </c>
      <c r="I3395" t="s">
        <v>423</v>
      </c>
      <c r="J3395" t="s">
        <v>4733</v>
      </c>
      <c r="K3395" t="s">
        <v>2057</v>
      </c>
      <c r="L3395" t="s">
        <v>2058</v>
      </c>
      <c r="M3395">
        <v>184</v>
      </c>
      <c r="N3395">
        <v>23.44</v>
      </c>
      <c r="O3395">
        <v>7923.19</v>
      </c>
      <c r="P3395">
        <v>0</v>
      </c>
      <c r="Q3395">
        <v>7923.19</v>
      </c>
      <c r="R3395">
        <v>871.55</v>
      </c>
      <c r="S3395">
        <v>316.93</v>
      </c>
      <c r="T3395">
        <v>8477.81</v>
      </c>
      <c r="U3395" t="s">
        <v>8047</v>
      </c>
      <c r="V3395" t="s">
        <v>9408</v>
      </c>
      <c r="W3395" t="s">
        <v>423</v>
      </c>
    </row>
    <row r="3396" spans="1:23" hidden="1" x14ac:dyDescent="0.2">
      <c r="A3396">
        <v>2012</v>
      </c>
      <c r="B3396" t="s">
        <v>303</v>
      </c>
      <c r="C3396" s="733">
        <v>40938</v>
      </c>
      <c r="D33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396" t="s">
        <v>485</v>
      </c>
      <c r="F3396" t="s">
        <v>2065</v>
      </c>
      <c r="G3396" t="s">
        <v>5204</v>
      </c>
      <c r="H3396">
        <v>39733</v>
      </c>
      <c r="I3396" t="s">
        <v>423</v>
      </c>
      <c r="J3396" t="s">
        <v>2836</v>
      </c>
      <c r="K3396" t="s">
        <v>2814</v>
      </c>
      <c r="L3396" t="s">
        <v>2815</v>
      </c>
      <c r="M3396">
        <v>70</v>
      </c>
      <c r="N3396">
        <v>23.998000000000001</v>
      </c>
      <c r="O3396">
        <v>2708.65</v>
      </c>
      <c r="P3396">
        <v>0</v>
      </c>
      <c r="Q3396">
        <v>2708.65</v>
      </c>
      <c r="R3396">
        <v>433.38</v>
      </c>
      <c r="S3396">
        <v>108.35</v>
      </c>
      <c r="T3396">
        <v>3033.68</v>
      </c>
      <c r="U3396" t="s">
        <v>2826</v>
      </c>
      <c r="V3396" t="s">
        <v>9408</v>
      </c>
      <c r="W3396" t="s">
        <v>423</v>
      </c>
    </row>
    <row r="3397" spans="1:23" hidden="1" x14ac:dyDescent="0.2">
      <c r="A3397">
        <v>2012</v>
      </c>
      <c r="B3397" t="s">
        <v>304</v>
      </c>
      <c r="C3397" s="733">
        <v>40955</v>
      </c>
      <c r="D33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97" t="s">
        <v>478</v>
      </c>
      <c r="F3397" t="s">
        <v>2136</v>
      </c>
      <c r="G3397" t="s">
        <v>7610</v>
      </c>
      <c r="H3397">
        <v>35691</v>
      </c>
      <c r="I3397" t="s">
        <v>423</v>
      </c>
      <c r="J3397" t="s">
        <v>5249</v>
      </c>
      <c r="K3397" t="s">
        <v>425</v>
      </c>
      <c r="L3397" t="s">
        <v>2145</v>
      </c>
      <c r="M3397">
        <v>134</v>
      </c>
      <c r="N3397">
        <v>42.13</v>
      </c>
      <c r="O3397">
        <v>7667.24</v>
      </c>
      <c r="P3397">
        <v>0</v>
      </c>
      <c r="Q3397">
        <v>7667.24</v>
      </c>
      <c r="R3397">
        <v>1226.76</v>
      </c>
      <c r="S3397">
        <v>306.69</v>
      </c>
      <c r="T3397">
        <v>8587.31</v>
      </c>
      <c r="U3397" t="s">
        <v>7523</v>
      </c>
      <c r="V3397" t="s">
        <v>9409</v>
      </c>
      <c r="W3397" t="s">
        <v>423</v>
      </c>
    </row>
    <row r="3398" spans="1:23" hidden="1" x14ac:dyDescent="0.2">
      <c r="A3398">
        <v>2012</v>
      </c>
      <c r="B3398" t="s">
        <v>304</v>
      </c>
      <c r="C3398" s="733">
        <v>40954</v>
      </c>
      <c r="D33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98" t="s">
        <v>478</v>
      </c>
      <c r="F3398" t="s">
        <v>2136</v>
      </c>
      <c r="G3398" t="s">
        <v>7658</v>
      </c>
      <c r="H3398">
        <v>35514</v>
      </c>
      <c r="I3398" t="s">
        <v>423</v>
      </c>
      <c r="J3398" t="s">
        <v>5249</v>
      </c>
      <c r="K3398" t="s">
        <v>425</v>
      </c>
      <c r="L3398" t="s">
        <v>2145</v>
      </c>
      <c r="M3398">
        <v>134</v>
      </c>
      <c r="N3398">
        <v>21.62</v>
      </c>
      <c r="O3398">
        <v>3934.62</v>
      </c>
      <c r="P3398">
        <v>0</v>
      </c>
      <c r="Q3398">
        <v>3934.62</v>
      </c>
      <c r="R3398">
        <v>629.54</v>
      </c>
      <c r="S3398">
        <v>157.38</v>
      </c>
      <c r="T3398">
        <v>4406.78</v>
      </c>
      <c r="V3398" t="s">
        <v>9408</v>
      </c>
      <c r="W3398" t="s">
        <v>423</v>
      </c>
    </row>
    <row r="3399" spans="1:23" hidden="1" x14ac:dyDescent="0.2">
      <c r="A3399">
        <v>2012</v>
      </c>
      <c r="B3399" t="s">
        <v>304</v>
      </c>
      <c r="C3399" s="733">
        <v>40941</v>
      </c>
      <c r="D33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399" t="s">
        <v>478</v>
      </c>
      <c r="F3399" t="s">
        <v>2142</v>
      </c>
      <c r="G3399" t="s">
        <v>6901</v>
      </c>
      <c r="H3399">
        <v>35227</v>
      </c>
      <c r="I3399" t="s">
        <v>423</v>
      </c>
      <c r="J3399" t="s">
        <v>5249</v>
      </c>
      <c r="K3399" t="s">
        <v>425</v>
      </c>
      <c r="L3399" t="s">
        <v>2145</v>
      </c>
      <c r="M3399">
        <v>134</v>
      </c>
      <c r="N3399">
        <v>46.69</v>
      </c>
      <c r="O3399">
        <v>8497.11</v>
      </c>
      <c r="P3399">
        <v>0</v>
      </c>
      <c r="Q3399">
        <v>8497.11</v>
      </c>
      <c r="R3399">
        <v>1359.54</v>
      </c>
      <c r="S3399">
        <v>339.88</v>
      </c>
      <c r="T3399">
        <v>9516.77</v>
      </c>
      <c r="U3399" t="s">
        <v>2914</v>
      </c>
      <c r="V3399" t="s">
        <v>9409</v>
      </c>
      <c r="W3399" t="s">
        <v>423</v>
      </c>
    </row>
    <row r="3400" spans="1:23" hidden="1" x14ac:dyDescent="0.2">
      <c r="A3400">
        <v>2012</v>
      </c>
      <c r="B3400" t="s">
        <v>303</v>
      </c>
      <c r="C3400" s="733">
        <v>40934</v>
      </c>
      <c r="D34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00" t="s">
        <v>505</v>
      </c>
      <c r="F3400" t="s">
        <v>1915</v>
      </c>
      <c r="G3400" t="s">
        <v>6879</v>
      </c>
      <c r="H3400">
        <v>22242</v>
      </c>
      <c r="I3400" t="s">
        <v>423</v>
      </c>
      <c r="J3400" t="s">
        <v>4259</v>
      </c>
      <c r="K3400" t="s">
        <v>1918</v>
      </c>
      <c r="L3400" t="s">
        <v>1919</v>
      </c>
      <c r="M3400">
        <v>467</v>
      </c>
      <c r="N3400">
        <v>26.66</v>
      </c>
      <c r="O3400">
        <v>8273.66</v>
      </c>
      <c r="P3400">
        <v>0</v>
      </c>
      <c r="Q3400">
        <v>8273.66</v>
      </c>
      <c r="R3400">
        <v>1323.79</v>
      </c>
      <c r="S3400">
        <v>330.95</v>
      </c>
      <c r="T3400">
        <v>9266.5</v>
      </c>
      <c r="U3400" t="s">
        <v>1926</v>
      </c>
      <c r="V3400" t="s">
        <v>9408</v>
      </c>
      <c r="W3400" t="s">
        <v>423</v>
      </c>
    </row>
    <row r="3401" spans="1:23" hidden="1" x14ac:dyDescent="0.2">
      <c r="A3401">
        <v>2012</v>
      </c>
      <c r="B3401" t="s">
        <v>303</v>
      </c>
      <c r="C3401" s="733">
        <v>40914.934166666666</v>
      </c>
      <c r="D34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01" t="s">
        <v>478</v>
      </c>
      <c r="F3401" t="s">
        <v>2136</v>
      </c>
      <c r="G3401" t="s">
        <v>3324</v>
      </c>
      <c r="H3401">
        <v>34311</v>
      </c>
      <c r="I3401" t="s">
        <v>423</v>
      </c>
      <c r="J3401" t="s">
        <v>3029</v>
      </c>
      <c r="K3401" t="s">
        <v>425</v>
      </c>
      <c r="L3401" t="s">
        <v>2145</v>
      </c>
      <c r="M3401">
        <v>35</v>
      </c>
      <c r="N3401">
        <v>24.62</v>
      </c>
      <c r="O3401">
        <v>3305.24</v>
      </c>
      <c r="P3401">
        <v>0</v>
      </c>
      <c r="Q3401">
        <v>3305.24</v>
      </c>
      <c r="R3401">
        <v>528.84</v>
      </c>
      <c r="S3401">
        <v>132.21</v>
      </c>
      <c r="T3401">
        <v>3701.87</v>
      </c>
      <c r="U3401" t="s">
        <v>2350</v>
      </c>
      <c r="V3401" t="s">
        <v>9408</v>
      </c>
      <c r="W3401" t="s">
        <v>423</v>
      </c>
    </row>
    <row r="3402" spans="1:23" hidden="1" x14ac:dyDescent="0.2">
      <c r="A3402">
        <v>2012</v>
      </c>
      <c r="B3402" t="s">
        <v>303</v>
      </c>
      <c r="C3402" s="733">
        <v>40931</v>
      </c>
      <c r="D34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02" t="s">
        <v>485</v>
      </c>
      <c r="F3402" t="s">
        <v>2065</v>
      </c>
      <c r="G3402" t="s">
        <v>6041</v>
      </c>
      <c r="H3402">
        <v>40636</v>
      </c>
      <c r="I3402" t="s">
        <v>423</v>
      </c>
      <c r="J3402" t="s">
        <v>3054</v>
      </c>
      <c r="K3402" t="s">
        <v>2183</v>
      </c>
      <c r="L3402" t="s">
        <v>2184</v>
      </c>
      <c r="M3402">
        <v>43</v>
      </c>
      <c r="N3402">
        <v>16.059999999999999</v>
      </c>
      <c r="O3402">
        <v>1812.69</v>
      </c>
      <c r="P3402">
        <v>0</v>
      </c>
      <c r="Q3402">
        <v>1812.69</v>
      </c>
      <c r="R3402">
        <v>290.02999999999997</v>
      </c>
      <c r="S3402">
        <v>72.510000000000005</v>
      </c>
      <c r="T3402">
        <v>2030.21</v>
      </c>
      <c r="U3402" t="s">
        <v>2187</v>
      </c>
      <c r="V3402" t="s">
        <v>9408</v>
      </c>
      <c r="W3402" t="s">
        <v>423</v>
      </c>
    </row>
    <row r="3403" spans="1:23" hidden="1" x14ac:dyDescent="0.2">
      <c r="A3403">
        <v>2012</v>
      </c>
      <c r="B3403" t="s">
        <v>303</v>
      </c>
      <c r="C3403" s="733">
        <v>40928</v>
      </c>
      <c r="D34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03" t="s">
        <v>485</v>
      </c>
      <c r="F3403" t="s">
        <v>2065</v>
      </c>
      <c r="G3403" t="s">
        <v>3337</v>
      </c>
      <c r="H3403">
        <v>40602</v>
      </c>
      <c r="I3403" t="s">
        <v>423</v>
      </c>
      <c r="J3403" t="s">
        <v>3054</v>
      </c>
      <c r="K3403" t="s">
        <v>2183</v>
      </c>
      <c r="L3403" t="s">
        <v>2184</v>
      </c>
      <c r="M3403">
        <v>43</v>
      </c>
      <c r="N3403">
        <v>15.65</v>
      </c>
      <c r="O3403">
        <v>1766.42</v>
      </c>
      <c r="P3403">
        <v>0</v>
      </c>
      <c r="Q3403">
        <v>1766.42</v>
      </c>
      <c r="R3403">
        <v>282.63</v>
      </c>
      <c r="S3403">
        <v>70.66</v>
      </c>
      <c r="T3403">
        <v>1978.39</v>
      </c>
      <c r="U3403" t="s">
        <v>7554</v>
      </c>
      <c r="V3403" t="s">
        <v>9408</v>
      </c>
      <c r="W3403" t="s">
        <v>423</v>
      </c>
    </row>
    <row r="3404" spans="1:23" hidden="1" x14ac:dyDescent="0.2">
      <c r="A3404">
        <v>2012</v>
      </c>
      <c r="B3404" t="s">
        <v>304</v>
      </c>
      <c r="C3404" s="733">
        <v>40952</v>
      </c>
      <c r="D34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04" t="s">
        <v>485</v>
      </c>
      <c r="F3404" t="s">
        <v>2136</v>
      </c>
      <c r="G3404" t="s">
        <v>6040</v>
      </c>
      <c r="H3404">
        <v>39791</v>
      </c>
      <c r="I3404" t="s">
        <v>423</v>
      </c>
      <c r="J3404" t="s">
        <v>4518</v>
      </c>
      <c r="K3404" t="s">
        <v>2183</v>
      </c>
      <c r="L3404" t="s">
        <v>2184</v>
      </c>
      <c r="M3404">
        <v>337</v>
      </c>
      <c r="N3404">
        <v>27.93</v>
      </c>
      <c r="O3404">
        <v>6195.43</v>
      </c>
      <c r="P3404">
        <v>0</v>
      </c>
      <c r="Q3404">
        <v>6195.43</v>
      </c>
      <c r="R3404">
        <v>991.27</v>
      </c>
      <c r="S3404">
        <v>247.82</v>
      </c>
      <c r="T3404">
        <v>6938.88</v>
      </c>
      <c r="V3404" t="s">
        <v>9408</v>
      </c>
      <c r="W3404" t="s">
        <v>423</v>
      </c>
    </row>
    <row r="3405" spans="1:23" hidden="1" x14ac:dyDescent="0.2">
      <c r="A3405">
        <v>2012</v>
      </c>
      <c r="B3405" t="s">
        <v>304</v>
      </c>
      <c r="C3405" s="733">
        <v>40964</v>
      </c>
      <c r="D34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05" t="s">
        <v>505</v>
      </c>
      <c r="F3405" t="s">
        <v>1915</v>
      </c>
      <c r="G3405" t="s">
        <v>8706</v>
      </c>
      <c r="H3405">
        <v>22997</v>
      </c>
      <c r="I3405" t="s">
        <v>424</v>
      </c>
      <c r="J3405" t="s">
        <v>1917</v>
      </c>
      <c r="K3405" t="s">
        <v>1918</v>
      </c>
      <c r="L3405" t="s">
        <v>1919</v>
      </c>
      <c r="M3405">
        <v>267</v>
      </c>
      <c r="N3405">
        <v>30</v>
      </c>
      <c r="O3405">
        <v>4613.7</v>
      </c>
      <c r="P3405">
        <v>0</v>
      </c>
      <c r="Q3405">
        <v>4613.7</v>
      </c>
      <c r="R3405">
        <v>738.19</v>
      </c>
      <c r="S3405">
        <v>184.55</v>
      </c>
      <c r="T3405">
        <v>5167.34</v>
      </c>
      <c r="U3405" t="s">
        <v>8778</v>
      </c>
      <c r="V3405" t="s">
        <v>9408</v>
      </c>
      <c r="W3405" t="s">
        <v>424</v>
      </c>
    </row>
    <row r="3406" spans="1:23" hidden="1" x14ac:dyDescent="0.2">
      <c r="A3406">
        <v>2012</v>
      </c>
      <c r="B3406" t="s">
        <v>303</v>
      </c>
      <c r="C3406" s="733">
        <v>40927</v>
      </c>
      <c r="D34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06" t="s">
        <v>505</v>
      </c>
      <c r="F3406" t="s">
        <v>1915</v>
      </c>
      <c r="G3406" t="s">
        <v>6885</v>
      </c>
      <c r="H3406">
        <v>22065</v>
      </c>
      <c r="I3406" t="s">
        <v>1979</v>
      </c>
      <c r="J3406" t="s">
        <v>1917</v>
      </c>
      <c r="K3406" t="s">
        <v>1918</v>
      </c>
      <c r="L3406" t="s">
        <v>1919</v>
      </c>
      <c r="M3406">
        <v>267</v>
      </c>
      <c r="N3406">
        <v>49.64</v>
      </c>
      <c r="O3406">
        <v>11161.06</v>
      </c>
      <c r="P3406">
        <v>0</v>
      </c>
      <c r="Q3406">
        <v>11161.06</v>
      </c>
      <c r="R3406">
        <v>1785.77</v>
      </c>
      <c r="S3406">
        <v>446.44</v>
      </c>
      <c r="T3406">
        <v>12500.39</v>
      </c>
      <c r="U3406" t="s">
        <v>1936</v>
      </c>
      <c r="V3406" t="s">
        <v>9409</v>
      </c>
      <c r="W3406" t="s">
        <v>1979</v>
      </c>
    </row>
    <row r="3407" spans="1:23" hidden="1" x14ac:dyDescent="0.2">
      <c r="A3407">
        <v>2012</v>
      </c>
      <c r="B3407" t="s">
        <v>303</v>
      </c>
      <c r="C3407" s="733">
        <v>40914</v>
      </c>
      <c r="D34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07" t="s">
        <v>505</v>
      </c>
      <c r="F3407" t="s">
        <v>1915</v>
      </c>
      <c r="G3407" t="s">
        <v>6560</v>
      </c>
      <c r="H3407">
        <v>21824</v>
      </c>
      <c r="I3407" t="s">
        <v>423</v>
      </c>
      <c r="J3407" t="s">
        <v>4146</v>
      </c>
      <c r="K3407" t="s">
        <v>1918</v>
      </c>
      <c r="L3407" t="s">
        <v>1919</v>
      </c>
      <c r="M3407">
        <v>243</v>
      </c>
      <c r="N3407">
        <v>28.04</v>
      </c>
      <c r="O3407">
        <v>6304.51</v>
      </c>
      <c r="P3407">
        <v>0</v>
      </c>
      <c r="Q3407">
        <v>6304.51</v>
      </c>
      <c r="R3407">
        <v>1008.72</v>
      </c>
      <c r="S3407">
        <v>252.18</v>
      </c>
      <c r="T3407">
        <v>7061.05</v>
      </c>
      <c r="U3407" t="s">
        <v>1931</v>
      </c>
      <c r="V3407" t="s">
        <v>9408</v>
      </c>
      <c r="W3407" t="s">
        <v>423</v>
      </c>
    </row>
    <row r="3408" spans="1:23" hidden="1" x14ac:dyDescent="0.2">
      <c r="A3408">
        <v>2012</v>
      </c>
      <c r="B3408" t="s">
        <v>304</v>
      </c>
      <c r="C3408" s="733">
        <v>40941</v>
      </c>
      <c r="D34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08" t="s">
        <v>478</v>
      </c>
      <c r="F3408" t="s">
        <v>3358</v>
      </c>
      <c r="G3408" t="s">
        <v>5816</v>
      </c>
      <c r="H3408">
        <v>34986</v>
      </c>
      <c r="I3408" t="s">
        <v>423</v>
      </c>
      <c r="J3408" t="s">
        <v>5024</v>
      </c>
      <c r="K3408" t="s">
        <v>4397</v>
      </c>
      <c r="L3408" t="s">
        <v>4398</v>
      </c>
      <c r="M3408">
        <v>770</v>
      </c>
      <c r="N3408">
        <v>24.765000000000001</v>
      </c>
      <c r="O3408">
        <v>3442.83</v>
      </c>
      <c r="P3408">
        <v>0</v>
      </c>
      <c r="Q3408">
        <v>3442.83</v>
      </c>
      <c r="R3408">
        <v>550.85</v>
      </c>
      <c r="S3408">
        <v>137.71</v>
      </c>
      <c r="T3408">
        <v>3855.97</v>
      </c>
      <c r="U3408" t="s">
        <v>4503</v>
      </c>
      <c r="V3408" t="s">
        <v>9408</v>
      </c>
      <c r="W3408" t="s">
        <v>423</v>
      </c>
    </row>
    <row r="3409" spans="1:23" hidden="1" x14ac:dyDescent="0.2">
      <c r="A3409">
        <v>2012</v>
      </c>
      <c r="B3409" t="s">
        <v>305</v>
      </c>
      <c r="C3409" s="733">
        <v>40969</v>
      </c>
      <c r="D3409" s="733" t="str">
        <f>CHOOSE(MONTH(Tabla_sqldatos_bonampakdb_Bon_v_ingresos2012[[#This Row],[fecha_guia]]),"Enero","Febrero","Marzo","Abril","Mayo","Junio","Julio","Agosto","Septiembre","Octubre","Noviembre","Diciembre")</f>
        <v>Marzo</v>
      </c>
      <c r="E3409" t="s">
        <v>478</v>
      </c>
      <c r="F3409" t="s">
        <v>2136</v>
      </c>
      <c r="G3409" t="s">
        <v>9599</v>
      </c>
      <c r="H3409">
        <v>36210</v>
      </c>
      <c r="I3409" t="s">
        <v>423</v>
      </c>
      <c r="J3409" t="s">
        <v>4279</v>
      </c>
      <c r="K3409" t="s">
        <v>425</v>
      </c>
      <c r="L3409" t="s">
        <v>2145</v>
      </c>
      <c r="M3409">
        <v>381</v>
      </c>
      <c r="N3409">
        <v>41.12</v>
      </c>
      <c r="O3409">
        <v>10296.040000000001</v>
      </c>
      <c r="P3409">
        <v>0</v>
      </c>
      <c r="Q3409">
        <v>10296.040000000001</v>
      </c>
      <c r="R3409">
        <v>1647.37</v>
      </c>
      <c r="S3409">
        <v>411.84</v>
      </c>
      <c r="T3409">
        <v>11531.57</v>
      </c>
      <c r="V3409" t="s">
        <v>9409</v>
      </c>
      <c r="W3409" t="s">
        <v>423</v>
      </c>
    </row>
    <row r="3410" spans="1:23" hidden="1" x14ac:dyDescent="0.2">
      <c r="A3410">
        <v>2012</v>
      </c>
      <c r="B3410" t="s">
        <v>304</v>
      </c>
      <c r="C3410" s="733">
        <v>40942</v>
      </c>
      <c r="D34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10" t="s">
        <v>478</v>
      </c>
      <c r="F3410" t="s">
        <v>2142</v>
      </c>
      <c r="G3410" t="s">
        <v>6832</v>
      </c>
      <c r="H3410">
        <v>35261</v>
      </c>
      <c r="I3410" t="s">
        <v>423</v>
      </c>
      <c r="J3410" t="s">
        <v>4279</v>
      </c>
      <c r="K3410" t="s">
        <v>425</v>
      </c>
      <c r="L3410" t="s">
        <v>2145</v>
      </c>
      <c r="M3410">
        <v>381</v>
      </c>
      <c r="N3410">
        <v>51.46</v>
      </c>
      <c r="O3410">
        <v>12885.07</v>
      </c>
      <c r="P3410">
        <v>0</v>
      </c>
      <c r="Q3410">
        <v>12885.07</v>
      </c>
      <c r="R3410">
        <v>2061.61</v>
      </c>
      <c r="S3410">
        <v>515.4</v>
      </c>
      <c r="T3410">
        <v>14431.28</v>
      </c>
      <c r="U3410" t="s">
        <v>3115</v>
      </c>
      <c r="V3410" t="s">
        <v>9409</v>
      </c>
      <c r="W3410" t="s">
        <v>423</v>
      </c>
    </row>
    <row r="3411" spans="1:23" hidden="1" x14ac:dyDescent="0.2">
      <c r="A3411">
        <v>2012</v>
      </c>
      <c r="B3411" t="s">
        <v>304</v>
      </c>
      <c r="C3411" s="733">
        <v>40948</v>
      </c>
      <c r="D34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11" t="s">
        <v>485</v>
      </c>
      <c r="F3411" t="s">
        <v>3450</v>
      </c>
      <c r="G3411" t="s">
        <v>3456</v>
      </c>
      <c r="H3411">
        <v>41174</v>
      </c>
      <c r="I3411" t="s">
        <v>423</v>
      </c>
      <c r="J3411" t="s">
        <v>3457</v>
      </c>
      <c r="K3411" t="s">
        <v>3453</v>
      </c>
      <c r="L3411" t="s">
        <v>3454</v>
      </c>
      <c r="M3411">
        <v>29</v>
      </c>
      <c r="N3411">
        <v>25.29</v>
      </c>
      <c r="O3411">
        <v>2854.48</v>
      </c>
      <c r="P3411">
        <v>0</v>
      </c>
      <c r="Q3411">
        <v>2854.48</v>
      </c>
      <c r="R3411">
        <v>456.72</v>
      </c>
      <c r="S3411">
        <v>114.18</v>
      </c>
      <c r="T3411">
        <v>3197.02</v>
      </c>
      <c r="U3411" t="s">
        <v>3455</v>
      </c>
      <c r="V3411" t="s">
        <v>9408</v>
      </c>
      <c r="W3411" t="s">
        <v>423</v>
      </c>
    </row>
    <row r="3412" spans="1:23" hidden="1" x14ac:dyDescent="0.2">
      <c r="A3412">
        <v>2012</v>
      </c>
      <c r="B3412" t="s">
        <v>303</v>
      </c>
      <c r="C3412" s="733">
        <v>40919</v>
      </c>
      <c r="D34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12" t="s">
        <v>478</v>
      </c>
      <c r="F3412" t="s">
        <v>4128</v>
      </c>
      <c r="G3412" t="s">
        <v>5017</v>
      </c>
      <c r="H3412">
        <v>34396</v>
      </c>
      <c r="I3412" t="s">
        <v>423</v>
      </c>
      <c r="J3412" t="s">
        <v>4509</v>
      </c>
      <c r="K3412" t="s">
        <v>4397</v>
      </c>
      <c r="L3412" t="s">
        <v>4398</v>
      </c>
      <c r="M3412">
        <v>183</v>
      </c>
      <c r="N3412">
        <v>25.295000000000002</v>
      </c>
      <c r="O3412">
        <v>4368.95</v>
      </c>
      <c r="P3412">
        <v>0</v>
      </c>
      <c r="Q3412">
        <v>4368.95</v>
      </c>
      <c r="R3412">
        <v>699.03</v>
      </c>
      <c r="S3412">
        <v>174.76</v>
      </c>
      <c r="T3412">
        <v>4893.22</v>
      </c>
      <c r="U3412" t="s">
        <v>4404</v>
      </c>
      <c r="V3412" t="s">
        <v>9408</v>
      </c>
      <c r="W3412" t="s">
        <v>423</v>
      </c>
    </row>
    <row r="3413" spans="1:23" hidden="1" x14ac:dyDescent="0.2">
      <c r="A3413">
        <v>2012</v>
      </c>
      <c r="B3413" t="s">
        <v>304</v>
      </c>
      <c r="C3413" s="733">
        <v>40947.584467592591</v>
      </c>
      <c r="D34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13" t="s">
        <v>478</v>
      </c>
      <c r="F3413" t="s">
        <v>3358</v>
      </c>
      <c r="G3413" t="s">
        <v>5016</v>
      </c>
      <c r="H3413">
        <v>35447</v>
      </c>
      <c r="I3413" t="s">
        <v>423</v>
      </c>
      <c r="J3413" t="s">
        <v>4509</v>
      </c>
      <c r="K3413" t="s">
        <v>4397</v>
      </c>
      <c r="L3413" t="s">
        <v>4398</v>
      </c>
      <c r="M3413">
        <v>183</v>
      </c>
      <c r="N3413">
        <v>24.94</v>
      </c>
      <c r="O3413">
        <v>4307.6400000000003</v>
      </c>
      <c r="P3413">
        <v>0</v>
      </c>
      <c r="Q3413">
        <v>4307.6400000000003</v>
      </c>
      <c r="R3413">
        <v>689.22</v>
      </c>
      <c r="S3413">
        <v>172.31</v>
      </c>
      <c r="T3413">
        <v>4824.55</v>
      </c>
      <c r="U3413" t="s">
        <v>4503</v>
      </c>
      <c r="V3413" t="s">
        <v>9408</v>
      </c>
      <c r="W3413" t="s">
        <v>423</v>
      </c>
    </row>
    <row r="3414" spans="1:23" hidden="1" x14ac:dyDescent="0.2">
      <c r="A3414">
        <v>2012</v>
      </c>
      <c r="B3414" t="s">
        <v>304</v>
      </c>
      <c r="C3414" s="733">
        <v>40942</v>
      </c>
      <c r="D34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14" t="s">
        <v>478</v>
      </c>
      <c r="F3414" t="s">
        <v>2136</v>
      </c>
      <c r="G3414" t="s">
        <v>6833</v>
      </c>
      <c r="H3414">
        <v>35265</v>
      </c>
      <c r="I3414" t="s">
        <v>423</v>
      </c>
      <c r="J3414" t="s">
        <v>4279</v>
      </c>
      <c r="K3414" t="s">
        <v>425</v>
      </c>
      <c r="L3414" t="s">
        <v>2145</v>
      </c>
      <c r="M3414">
        <v>381</v>
      </c>
      <c r="N3414">
        <v>50.58</v>
      </c>
      <c r="O3414">
        <v>12664.73</v>
      </c>
      <c r="P3414">
        <v>0</v>
      </c>
      <c r="Q3414">
        <v>12664.73</v>
      </c>
      <c r="R3414">
        <v>2026.36</v>
      </c>
      <c r="S3414">
        <v>506.59</v>
      </c>
      <c r="T3414">
        <v>14184.5</v>
      </c>
      <c r="U3414" t="s">
        <v>3115</v>
      </c>
      <c r="V3414" t="s">
        <v>9409</v>
      </c>
      <c r="W3414" t="s">
        <v>423</v>
      </c>
    </row>
    <row r="3415" spans="1:23" hidden="1" x14ac:dyDescent="0.2">
      <c r="A3415">
        <v>2012</v>
      </c>
      <c r="B3415" t="s">
        <v>305</v>
      </c>
      <c r="C3415" s="733">
        <v>40969</v>
      </c>
      <c r="D3415" s="733" t="str">
        <f>CHOOSE(MONTH(Tabla_sqldatos_bonampakdb_Bon_v_ingresos2012[[#This Row],[fecha_guia]]),"Enero","Febrero","Marzo","Abril","Mayo","Junio","Julio","Agosto","Septiembre","Octubre","Noviembre","Diciembre")</f>
        <v>Marzo</v>
      </c>
      <c r="E3415" t="s">
        <v>505</v>
      </c>
      <c r="F3415" t="s">
        <v>1915</v>
      </c>
      <c r="G3415" t="s">
        <v>9601</v>
      </c>
      <c r="H3415">
        <v>23120</v>
      </c>
      <c r="I3415" t="s">
        <v>423</v>
      </c>
      <c r="J3415" t="s">
        <v>5253</v>
      </c>
      <c r="K3415" t="s">
        <v>1918</v>
      </c>
      <c r="L3415" t="s">
        <v>1919</v>
      </c>
      <c r="M3415">
        <v>88</v>
      </c>
      <c r="N3415">
        <v>27.01</v>
      </c>
      <c r="O3415">
        <v>3763.03</v>
      </c>
      <c r="P3415">
        <v>0</v>
      </c>
      <c r="Q3415">
        <v>3763.03</v>
      </c>
      <c r="R3415">
        <v>602.09</v>
      </c>
      <c r="S3415">
        <v>150.52000000000001</v>
      </c>
      <c r="T3415">
        <v>4214.6000000000004</v>
      </c>
      <c r="V3415" t="s">
        <v>9408</v>
      </c>
      <c r="W3415" t="s">
        <v>423</v>
      </c>
    </row>
    <row r="3416" spans="1:23" hidden="1" x14ac:dyDescent="0.2">
      <c r="A3416">
        <v>2012</v>
      </c>
      <c r="B3416" t="s">
        <v>304</v>
      </c>
      <c r="C3416" s="733">
        <v>40946</v>
      </c>
      <c r="D34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16" t="s">
        <v>485</v>
      </c>
      <c r="F3416" t="s">
        <v>2048</v>
      </c>
      <c r="G3416" t="s">
        <v>6127</v>
      </c>
      <c r="H3416">
        <v>41518</v>
      </c>
      <c r="I3416" t="s">
        <v>423</v>
      </c>
      <c r="J3416" t="s">
        <v>4086</v>
      </c>
      <c r="K3416" t="s">
        <v>2051</v>
      </c>
      <c r="L3416" t="s">
        <v>2052</v>
      </c>
      <c r="M3416">
        <v>341</v>
      </c>
      <c r="N3416">
        <v>28.6</v>
      </c>
      <c r="O3416">
        <v>6994.13</v>
      </c>
      <c r="P3416">
        <v>0</v>
      </c>
      <c r="Q3416">
        <v>6994.13</v>
      </c>
      <c r="R3416">
        <v>1119.06</v>
      </c>
      <c r="S3416">
        <v>279.77</v>
      </c>
      <c r="T3416">
        <v>7833.42</v>
      </c>
      <c r="U3416" t="s">
        <v>7568</v>
      </c>
      <c r="V3416" t="s">
        <v>9408</v>
      </c>
      <c r="W3416" t="s">
        <v>423</v>
      </c>
    </row>
    <row r="3417" spans="1:23" hidden="1" x14ac:dyDescent="0.2">
      <c r="A3417">
        <v>2012</v>
      </c>
      <c r="B3417" t="s">
        <v>303</v>
      </c>
      <c r="C3417" s="733">
        <v>40915</v>
      </c>
      <c r="D34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17" t="s">
        <v>505</v>
      </c>
      <c r="F3417" t="s">
        <v>1915</v>
      </c>
      <c r="G3417" t="s">
        <v>6714</v>
      </c>
      <c r="H3417">
        <v>21769</v>
      </c>
      <c r="I3417" t="s">
        <v>423</v>
      </c>
      <c r="J3417" t="s">
        <v>4158</v>
      </c>
      <c r="K3417" t="s">
        <v>1918</v>
      </c>
      <c r="L3417" t="s">
        <v>1919</v>
      </c>
      <c r="M3417">
        <v>274</v>
      </c>
      <c r="N3417">
        <v>28.75</v>
      </c>
      <c r="O3417">
        <v>7937.88</v>
      </c>
      <c r="P3417">
        <v>0</v>
      </c>
      <c r="Q3417">
        <v>7937.88</v>
      </c>
      <c r="R3417">
        <v>1270.06</v>
      </c>
      <c r="S3417">
        <v>317.52</v>
      </c>
      <c r="T3417">
        <v>8890.42</v>
      </c>
      <c r="U3417" t="s">
        <v>1920</v>
      </c>
      <c r="V3417" t="s">
        <v>9408</v>
      </c>
      <c r="W3417" t="s">
        <v>423</v>
      </c>
    </row>
    <row r="3418" spans="1:23" hidden="1" x14ac:dyDescent="0.2">
      <c r="A3418">
        <v>2012</v>
      </c>
      <c r="B3418" t="s">
        <v>304</v>
      </c>
      <c r="C3418" s="733">
        <v>40949</v>
      </c>
      <c r="D34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18" t="s">
        <v>505</v>
      </c>
      <c r="F3418" t="s">
        <v>1915</v>
      </c>
      <c r="G3418" t="s">
        <v>6716</v>
      </c>
      <c r="H3418">
        <v>22599</v>
      </c>
      <c r="I3418" t="s">
        <v>423</v>
      </c>
      <c r="J3418" t="s">
        <v>4158</v>
      </c>
      <c r="K3418" t="s">
        <v>1918</v>
      </c>
      <c r="L3418" t="s">
        <v>1919</v>
      </c>
      <c r="M3418">
        <v>274</v>
      </c>
      <c r="N3418">
        <v>26.74</v>
      </c>
      <c r="O3418">
        <v>7382.91</v>
      </c>
      <c r="P3418">
        <v>0</v>
      </c>
      <c r="Q3418">
        <v>7382.91</v>
      </c>
      <c r="R3418">
        <v>1181.27</v>
      </c>
      <c r="S3418">
        <v>295.32</v>
      </c>
      <c r="T3418">
        <v>8268.86</v>
      </c>
      <c r="U3418" t="s">
        <v>7522</v>
      </c>
      <c r="V3418" t="s">
        <v>9408</v>
      </c>
      <c r="W3418" t="s">
        <v>423</v>
      </c>
    </row>
    <row r="3419" spans="1:23" hidden="1" x14ac:dyDescent="0.2">
      <c r="A3419">
        <v>2012</v>
      </c>
      <c r="B3419" t="s">
        <v>304</v>
      </c>
      <c r="C3419" s="733">
        <v>40953</v>
      </c>
      <c r="D34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19" t="s">
        <v>505</v>
      </c>
      <c r="F3419" t="s">
        <v>1915</v>
      </c>
      <c r="G3419" t="s">
        <v>6717</v>
      </c>
      <c r="H3419">
        <v>22711</v>
      </c>
      <c r="I3419" t="s">
        <v>423</v>
      </c>
      <c r="J3419" t="s">
        <v>4158</v>
      </c>
      <c r="K3419" t="s">
        <v>1918</v>
      </c>
      <c r="L3419" t="s">
        <v>1919</v>
      </c>
      <c r="M3419">
        <v>274</v>
      </c>
      <c r="N3419">
        <v>27.38</v>
      </c>
      <c r="O3419">
        <v>7559.62</v>
      </c>
      <c r="P3419">
        <v>0</v>
      </c>
      <c r="Q3419">
        <v>7559.62</v>
      </c>
      <c r="R3419">
        <v>1209.54</v>
      </c>
      <c r="S3419">
        <v>302.38</v>
      </c>
      <c r="T3419">
        <v>8466.7800000000007</v>
      </c>
      <c r="U3419" t="s">
        <v>7522</v>
      </c>
      <c r="V3419" t="s">
        <v>9408</v>
      </c>
      <c r="W3419" t="s">
        <v>423</v>
      </c>
    </row>
    <row r="3420" spans="1:23" hidden="1" x14ac:dyDescent="0.2">
      <c r="A3420">
        <v>2012</v>
      </c>
      <c r="B3420" t="s">
        <v>304</v>
      </c>
      <c r="C3420" s="733">
        <v>40960</v>
      </c>
      <c r="D34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20" t="s">
        <v>478</v>
      </c>
      <c r="F3420" t="s">
        <v>2136</v>
      </c>
      <c r="G3420" t="s">
        <v>8447</v>
      </c>
      <c r="H3420">
        <v>35779</v>
      </c>
      <c r="I3420" t="s">
        <v>423</v>
      </c>
      <c r="J3420" t="s">
        <v>4276</v>
      </c>
      <c r="K3420" t="s">
        <v>425</v>
      </c>
      <c r="L3420" t="s">
        <v>2145</v>
      </c>
      <c r="M3420">
        <v>60</v>
      </c>
      <c r="N3420">
        <v>32.619999999999997</v>
      </c>
      <c r="O3420">
        <v>4379.24</v>
      </c>
      <c r="P3420">
        <v>0</v>
      </c>
      <c r="Q3420">
        <v>4379.24</v>
      </c>
      <c r="R3420">
        <v>700.68</v>
      </c>
      <c r="S3420">
        <v>175.17</v>
      </c>
      <c r="T3420">
        <v>4904.75</v>
      </c>
      <c r="U3420" t="s">
        <v>8510</v>
      </c>
      <c r="V3420" t="s">
        <v>9408</v>
      </c>
      <c r="W3420" t="s">
        <v>423</v>
      </c>
    </row>
    <row r="3421" spans="1:23" hidden="1" x14ac:dyDescent="0.2">
      <c r="A3421">
        <v>2012</v>
      </c>
      <c r="B3421" t="s">
        <v>304</v>
      </c>
      <c r="C3421" s="733">
        <v>40949</v>
      </c>
      <c r="D34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21" t="s">
        <v>478</v>
      </c>
      <c r="F3421" t="s">
        <v>2136</v>
      </c>
      <c r="G3421" t="s">
        <v>6829</v>
      </c>
      <c r="H3421">
        <v>35492</v>
      </c>
      <c r="I3421" t="s">
        <v>423</v>
      </c>
      <c r="J3421" t="s">
        <v>4276</v>
      </c>
      <c r="K3421" t="s">
        <v>425</v>
      </c>
      <c r="L3421" t="s">
        <v>2145</v>
      </c>
      <c r="M3421">
        <v>60</v>
      </c>
      <c r="N3421">
        <v>25.01</v>
      </c>
      <c r="O3421">
        <v>3357.59</v>
      </c>
      <c r="P3421">
        <v>0</v>
      </c>
      <c r="Q3421">
        <v>3357.59</v>
      </c>
      <c r="R3421">
        <v>537.21</v>
      </c>
      <c r="S3421">
        <v>134.30000000000001</v>
      </c>
      <c r="T3421">
        <v>3760.5</v>
      </c>
      <c r="U3421" t="s">
        <v>7553</v>
      </c>
      <c r="V3421" t="s">
        <v>9408</v>
      </c>
      <c r="W3421" t="s">
        <v>423</v>
      </c>
    </row>
    <row r="3422" spans="1:23" hidden="1" x14ac:dyDescent="0.2">
      <c r="A3422">
        <v>2012</v>
      </c>
      <c r="B3422" t="s">
        <v>304</v>
      </c>
      <c r="C3422" s="733">
        <v>40952</v>
      </c>
      <c r="D34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22" t="s">
        <v>485</v>
      </c>
      <c r="F3422" t="s">
        <v>2048</v>
      </c>
      <c r="G3422" t="s">
        <v>6126</v>
      </c>
      <c r="H3422">
        <v>41844</v>
      </c>
      <c r="I3422" t="s">
        <v>423</v>
      </c>
      <c r="J3422" t="s">
        <v>4086</v>
      </c>
      <c r="K3422" t="s">
        <v>2051</v>
      </c>
      <c r="L3422" t="s">
        <v>2052</v>
      </c>
      <c r="M3422">
        <v>341</v>
      </c>
      <c r="N3422">
        <v>28.95</v>
      </c>
      <c r="O3422">
        <v>7079.72</v>
      </c>
      <c r="P3422">
        <v>0</v>
      </c>
      <c r="Q3422">
        <v>7079.72</v>
      </c>
      <c r="R3422">
        <v>1132.76</v>
      </c>
      <c r="S3422">
        <v>283.19</v>
      </c>
      <c r="T3422">
        <v>7929.29</v>
      </c>
      <c r="U3422" t="s">
        <v>8257</v>
      </c>
      <c r="V3422" t="s">
        <v>9408</v>
      </c>
      <c r="W3422" t="s">
        <v>423</v>
      </c>
    </row>
    <row r="3423" spans="1:23" hidden="1" x14ac:dyDescent="0.2">
      <c r="A3423">
        <v>2012</v>
      </c>
      <c r="B3423" t="s">
        <v>304</v>
      </c>
      <c r="C3423" s="733">
        <v>40962.49422453704</v>
      </c>
      <c r="D34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23" t="s">
        <v>485</v>
      </c>
      <c r="F3423" t="s">
        <v>2054</v>
      </c>
      <c r="G3423" t="s">
        <v>8665</v>
      </c>
      <c r="H3423">
        <v>42502</v>
      </c>
      <c r="I3423" t="s">
        <v>423</v>
      </c>
      <c r="J3423" t="s">
        <v>4086</v>
      </c>
      <c r="K3423" t="s">
        <v>2051</v>
      </c>
      <c r="L3423" t="s">
        <v>2052</v>
      </c>
      <c r="M3423">
        <v>341</v>
      </c>
      <c r="N3423">
        <v>25.45</v>
      </c>
      <c r="O3423">
        <v>6223.8</v>
      </c>
      <c r="P3423">
        <v>0</v>
      </c>
      <c r="Q3423">
        <v>6223.8</v>
      </c>
      <c r="R3423">
        <v>995.81</v>
      </c>
      <c r="S3423">
        <v>248.95</v>
      </c>
      <c r="T3423">
        <v>6970.66</v>
      </c>
      <c r="U3423" t="s">
        <v>8780</v>
      </c>
      <c r="V3423" t="s">
        <v>9408</v>
      </c>
      <c r="W3423" t="s">
        <v>423</v>
      </c>
    </row>
    <row r="3424" spans="1:23" hidden="1" x14ac:dyDescent="0.2">
      <c r="A3424">
        <v>2012</v>
      </c>
      <c r="B3424" t="s">
        <v>304</v>
      </c>
      <c r="C3424" s="733">
        <v>40953</v>
      </c>
      <c r="D34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24" t="s">
        <v>485</v>
      </c>
      <c r="F3424" t="s">
        <v>2048</v>
      </c>
      <c r="G3424" t="s">
        <v>5672</v>
      </c>
      <c r="H3424">
        <v>41864</v>
      </c>
      <c r="I3424" t="s">
        <v>423</v>
      </c>
      <c r="J3424" t="s">
        <v>2972</v>
      </c>
      <c r="K3424" t="s">
        <v>2051</v>
      </c>
      <c r="L3424" t="s">
        <v>2052</v>
      </c>
      <c r="M3424">
        <v>398</v>
      </c>
      <c r="N3424">
        <v>54.35</v>
      </c>
      <c r="O3424">
        <v>15031.58</v>
      </c>
      <c r="P3424">
        <v>0</v>
      </c>
      <c r="Q3424">
        <v>15031.58</v>
      </c>
      <c r="R3424">
        <v>2405.0500000000002</v>
      </c>
      <c r="S3424">
        <v>601.26</v>
      </c>
      <c r="T3424">
        <v>16835.37</v>
      </c>
      <c r="U3424" t="s">
        <v>8257</v>
      </c>
      <c r="V3424" t="s">
        <v>9409</v>
      </c>
      <c r="W3424" t="s">
        <v>423</v>
      </c>
    </row>
    <row r="3425" spans="1:23" hidden="1" x14ac:dyDescent="0.2">
      <c r="A3425">
        <v>2012</v>
      </c>
      <c r="B3425" t="s">
        <v>303</v>
      </c>
      <c r="C3425" s="733">
        <v>40926</v>
      </c>
      <c r="D34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25" t="s">
        <v>485</v>
      </c>
      <c r="F3425" t="s">
        <v>2065</v>
      </c>
      <c r="G3425" t="s">
        <v>5657</v>
      </c>
      <c r="H3425">
        <v>40477</v>
      </c>
      <c r="I3425" t="s">
        <v>423</v>
      </c>
      <c r="J3425" t="s">
        <v>2189</v>
      </c>
      <c r="K3425" t="s">
        <v>2183</v>
      </c>
      <c r="L3425" t="s">
        <v>2184</v>
      </c>
      <c r="M3425">
        <v>720</v>
      </c>
      <c r="N3425">
        <v>23.59</v>
      </c>
      <c r="O3425">
        <v>9561</v>
      </c>
      <c r="P3425">
        <v>0</v>
      </c>
      <c r="Q3425">
        <v>9561</v>
      </c>
      <c r="R3425">
        <v>1529.76</v>
      </c>
      <c r="S3425">
        <v>382.44</v>
      </c>
      <c r="T3425">
        <v>10708.32</v>
      </c>
      <c r="U3425" t="s">
        <v>7554</v>
      </c>
      <c r="V3425" t="s">
        <v>9408</v>
      </c>
      <c r="W3425" t="s">
        <v>423</v>
      </c>
    </row>
    <row r="3426" spans="1:23" hidden="1" x14ac:dyDescent="0.2">
      <c r="A3426">
        <v>2012</v>
      </c>
      <c r="B3426" t="s">
        <v>303</v>
      </c>
      <c r="C3426" s="733">
        <v>40925</v>
      </c>
      <c r="D34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26" t="s">
        <v>485</v>
      </c>
      <c r="F3426" t="s">
        <v>2065</v>
      </c>
      <c r="G3426" t="s">
        <v>5656</v>
      </c>
      <c r="H3426">
        <v>39918</v>
      </c>
      <c r="I3426" t="s">
        <v>423</v>
      </c>
      <c r="J3426" t="s">
        <v>2189</v>
      </c>
      <c r="K3426" t="s">
        <v>2183</v>
      </c>
      <c r="L3426" t="s">
        <v>2184</v>
      </c>
      <c r="M3426">
        <v>720</v>
      </c>
      <c r="N3426">
        <v>26</v>
      </c>
      <c r="O3426">
        <v>10537.77</v>
      </c>
      <c r="P3426">
        <v>0</v>
      </c>
      <c r="Q3426">
        <v>10537.77</v>
      </c>
      <c r="R3426">
        <v>1686.04</v>
      </c>
      <c r="S3426">
        <v>421.51</v>
      </c>
      <c r="T3426">
        <v>11802.3</v>
      </c>
      <c r="U3426" t="s">
        <v>9411</v>
      </c>
      <c r="V3426" t="s">
        <v>9408</v>
      </c>
      <c r="W3426" t="s">
        <v>423</v>
      </c>
    </row>
    <row r="3427" spans="1:23" hidden="1" x14ac:dyDescent="0.2">
      <c r="A3427">
        <v>2012</v>
      </c>
      <c r="B3427" t="s">
        <v>303</v>
      </c>
      <c r="C3427" s="733">
        <v>40935</v>
      </c>
      <c r="D34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27" t="s">
        <v>485</v>
      </c>
      <c r="F3427" t="s">
        <v>2048</v>
      </c>
      <c r="G3427" t="s">
        <v>5673</v>
      </c>
      <c r="H3427">
        <v>40998</v>
      </c>
      <c r="I3427" t="s">
        <v>423</v>
      </c>
      <c r="J3427" t="s">
        <v>2972</v>
      </c>
      <c r="K3427" t="s">
        <v>2051</v>
      </c>
      <c r="L3427" t="s">
        <v>2052</v>
      </c>
      <c r="M3427">
        <v>398</v>
      </c>
      <c r="N3427">
        <v>49.05</v>
      </c>
      <c r="O3427">
        <v>13565.76</v>
      </c>
      <c r="P3427">
        <v>0</v>
      </c>
      <c r="Q3427">
        <v>13565.76</v>
      </c>
      <c r="R3427">
        <v>2170.52</v>
      </c>
      <c r="S3427">
        <v>542.63</v>
      </c>
      <c r="T3427">
        <v>15193.65</v>
      </c>
      <c r="U3427" t="s">
        <v>2053</v>
      </c>
      <c r="V3427" t="s">
        <v>9409</v>
      </c>
      <c r="W3427" t="s">
        <v>423</v>
      </c>
    </row>
    <row r="3428" spans="1:23" hidden="1" x14ac:dyDescent="0.2">
      <c r="A3428">
        <v>2012</v>
      </c>
      <c r="B3428" t="s">
        <v>303</v>
      </c>
      <c r="C3428" s="733">
        <v>40938</v>
      </c>
      <c r="D34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28" t="s">
        <v>485</v>
      </c>
      <c r="F3428" t="s">
        <v>2065</v>
      </c>
      <c r="G3428" t="s">
        <v>6125</v>
      </c>
      <c r="H3428">
        <v>41125</v>
      </c>
      <c r="I3428" t="s">
        <v>423</v>
      </c>
      <c r="J3428" t="s">
        <v>4086</v>
      </c>
      <c r="K3428" t="s">
        <v>2051</v>
      </c>
      <c r="L3428" t="s">
        <v>2052</v>
      </c>
      <c r="M3428">
        <v>341</v>
      </c>
      <c r="N3428">
        <v>49.9</v>
      </c>
      <c r="O3428">
        <v>12203.04</v>
      </c>
      <c r="P3428">
        <v>0</v>
      </c>
      <c r="Q3428">
        <v>12203.04</v>
      </c>
      <c r="R3428">
        <v>1952.49</v>
      </c>
      <c r="S3428">
        <v>488.12</v>
      </c>
      <c r="T3428">
        <v>13667.41</v>
      </c>
      <c r="U3428" t="s">
        <v>2067</v>
      </c>
      <c r="V3428" t="s">
        <v>9409</v>
      </c>
      <c r="W3428" t="s">
        <v>423</v>
      </c>
    </row>
    <row r="3429" spans="1:23" hidden="1" x14ac:dyDescent="0.2">
      <c r="A3429">
        <v>2012</v>
      </c>
      <c r="B3429" t="s">
        <v>303</v>
      </c>
      <c r="C3429" s="733">
        <v>40938.554189814815</v>
      </c>
      <c r="D34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29" t="s">
        <v>505</v>
      </c>
      <c r="F3429" t="s">
        <v>1915</v>
      </c>
      <c r="G3429" t="s">
        <v>6715</v>
      </c>
      <c r="H3429">
        <v>22359</v>
      </c>
      <c r="I3429" t="s">
        <v>423</v>
      </c>
      <c r="J3429" t="s">
        <v>4158</v>
      </c>
      <c r="K3429" t="s">
        <v>1918</v>
      </c>
      <c r="L3429" t="s">
        <v>1919</v>
      </c>
      <c r="M3429">
        <v>274</v>
      </c>
      <c r="N3429">
        <v>27.95</v>
      </c>
      <c r="O3429">
        <v>7717</v>
      </c>
      <c r="P3429">
        <v>0</v>
      </c>
      <c r="Q3429">
        <v>7717</v>
      </c>
      <c r="R3429">
        <v>1234.72</v>
      </c>
      <c r="S3429">
        <v>308.68</v>
      </c>
      <c r="T3429">
        <v>8643.0400000000009</v>
      </c>
      <c r="U3429" t="s">
        <v>1936</v>
      </c>
      <c r="V3429" t="s">
        <v>9408</v>
      </c>
      <c r="W3429" t="s">
        <v>423</v>
      </c>
    </row>
    <row r="3430" spans="1:23" hidden="1" x14ac:dyDescent="0.2">
      <c r="A3430">
        <v>2012</v>
      </c>
      <c r="B3430" t="s">
        <v>304</v>
      </c>
      <c r="C3430" s="733">
        <v>40959</v>
      </c>
      <c r="D34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30" t="s">
        <v>485</v>
      </c>
      <c r="F3430" t="s">
        <v>2065</v>
      </c>
      <c r="G3430" t="s">
        <v>7904</v>
      </c>
      <c r="H3430">
        <v>42099</v>
      </c>
      <c r="I3430" t="s">
        <v>423</v>
      </c>
      <c r="J3430" t="s">
        <v>3965</v>
      </c>
      <c r="K3430" t="s">
        <v>2183</v>
      </c>
      <c r="L3430" t="s">
        <v>2184</v>
      </c>
      <c r="M3430">
        <v>696</v>
      </c>
      <c r="N3430">
        <v>25.28</v>
      </c>
      <c r="O3430">
        <v>10245.73</v>
      </c>
      <c r="P3430">
        <v>0</v>
      </c>
      <c r="Q3430">
        <v>10245.73</v>
      </c>
      <c r="R3430">
        <v>1639.32</v>
      </c>
      <c r="S3430">
        <v>409.83</v>
      </c>
      <c r="T3430">
        <v>11475.22</v>
      </c>
      <c r="U3430" t="s">
        <v>9411</v>
      </c>
      <c r="V3430" t="s">
        <v>9408</v>
      </c>
      <c r="W3430" t="s">
        <v>423</v>
      </c>
    </row>
    <row r="3431" spans="1:23" hidden="1" x14ac:dyDescent="0.2">
      <c r="A3431">
        <v>2012</v>
      </c>
      <c r="B3431" t="s">
        <v>304</v>
      </c>
      <c r="C3431" s="733">
        <v>40959</v>
      </c>
      <c r="D34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31" t="s">
        <v>485</v>
      </c>
      <c r="F3431" t="s">
        <v>2065</v>
      </c>
      <c r="G3431" t="s">
        <v>7770</v>
      </c>
      <c r="H3431">
        <v>42040</v>
      </c>
      <c r="I3431" t="s">
        <v>423</v>
      </c>
      <c r="J3431" t="s">
        <v>3965</v>
      </c>
      <c r="K3431" t="s">
        <v>2183</v>
      </c>
      <c r="L3431" t="s">
        <v>2184</v>
      </c>
      <c r="M3431">
        <v>696</v>
      </c>
      <c r="N3431">
        <v>26.08</v>
      </c>
      <c r="O3431">
        <v>10569.96</v>
      </c>
      <c r="P3431">
        <v>0</v>
      </c>
      <c r="Q3431">
        <v>10569.96</v>
      </c>
      <c r="R3431">
        <v>1691.19</v>
      </c>
      <c r="S3431">
        <v>422.8</v>
      </c>
      <c r="T3431">
        <v>11838.35</v>
      </c>
      <c r="U3431" t="s">
        <v>9411</v>
      </c>
      <c r="V3431" t="s">
        <v>9408</v>
      </c>
      <c r="W3431" t="s">
        <v>423</v>
      </c>
    </row>
    <row r="3432" spans="1:23" hidden="1" x14ac:dyDescent="0.2">
      <c r="A3432">
        <v>2012</v>
      </c>
      <c r="B3432" t="s">
        <v>303</v>
      </c>
      <c r="C3432" s="733">
        <v>40935</v>
      </c>
      <c r="D34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32" t="s">
        <v>485</v>
      </c>
      <c r="F3432" t="s">
        <v>2065</v>
      </c>
      <c r="G3432" t="s">
        <v>5658</v>
      </c>
      <c r="H3432">
        <v>40888</v>
      </c>
      <c r="I3432" t="s">
        <v>423</v>
      </c>
      <c r="J3432" t="s">
        <v>2189</v>
      </c>
      <c r="K3432" t="s">
        <v>2183</v>
      </c>
      <c r="L3432" t="s">
        <v>2184</v>
      </c>
      <c r="M3432">
        <v>720</v>
      </c>
      <c r="N3432">
        <v>25.66</v>
      </c>
      <c r="O3432">
        <v>10399.74</v>
      </c>
      <c r="P3432">
        <v>0</v>
      </c>
      <c r="Q3432">
        <v>10399.74</v>
      </c>
      <c r="R3432">
        <v>1663.96</v>
      </c>
      <c r="S3432">
        <v>415.99</v>
      </c>
      <c r="T3432">
        <v>11647.71</v>
      </c>
      <c r="U3432" t="s">
        <v>2187</v>
      </c>
      <c r="V3432" t="s">
        <v>9408</v>
      </c>
      <c r="W3432" t="s">
        <v>423</v>
      </c>
    </row>
    <row r="3433" spans="1:23" hidden="1" x14ac:dyDescent="0.2">
      <c r="A3433">
        <v>2012</v>
      </c>
      <c r="B3433" t="s">
        <v>304</v>
      </c>
      <c r="C3433" s="733">
        <v>40948</v>
      </c>
      <c r="D34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33" t="s">
        <v>505</v>
      </c>
      <c r="F3433" t="s">
        <v>1915</v>
      </c>
      <c r="G3433" t="s">
        <v>2044</v>
      </c>
      <c r="H3433">
        <v>22532</v>
      </c>
      <c r="I3433" t="s">
        <v>423</v>
      </c>
      <c r="J3433" t="s">
        <v>1947</v>
      </c>
      <c r="K3433" t="s">
        <v>1918</v>
      </c>
      <c r="L3433" t="s">
        <v>1919</v>
      </c>
      <c r="M3433">
        <v>973</v>
      </c>
      <c r="N3433">
        <v>53.91</v>
      </c>
      <c r="O3433">
        <v>31481.279999999999</v>
      </c>
      <c r="P3433">
        <v>0</v>
      </c>
      <c r="Q3433">
        <v>31481.279999999999</v>
      </c>
      <c r="R3433">
        <v>5037.01</v>
      </c>
      <c r="S3433">
        <v>1259.25</v>
      </c>
      <c r="T3433">
        <v>35259.040000000001</v>
      </c>
      <c r="U3433" t="s">
        <v>7522</v>
      </c>
      <c r="V3433" t="s">
        <v>9409</v>
      </c>
      <c r="W3433" t="s">
        <v>423</v>
      </c>
    </row>
    <row r="3434" spans="1:23" hidden="1" x14ac:dyDescent="0.2">
      <c r="A3434">
        <v>2012</v>
      </c>
      <c r="B3434" t="s">
        <v>304</v>
      </c>
      <c r="C3434" s="733">
        <v>40946</v>
      </c>
      <c r="D34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34" t="s">
        <v>485</v>
      </c>
      <c r="F3434" t="s">
        <v>2054</v>
      </c>
      <c r="G3434" t="s">
        <v>5671</v>
      </c>
      <c r="H3434">
        <v>41513</v>
      </c>
      <c r="I3434" t="s">
        <v>423</v>
      </c>
      <c r="J3434" t="s">
        <v>2972</v>
      </c>
      <c r="K3434" t="s">
        <v>2051</v>
      </c>
      <c r="L3434" t="s">
        <v>2052</v>
      </c>
      <c r="M3434">
        <v>398</v>
      </c>
      <c r="N3434">
        <v>50.9</v>
      </c>
      <c r="O3434">
        <v>14077.41</v>
      </c>
      <c r="P3434">
        <v>0</v>
      </c>
      <c r="Q3434">
        <v>14077.41</v>
      </c>
      <c r="R3434">
        <v>2252.39</v>
      </c>
      <c r="S3434">
        <v>563.1</v>
      </c>
      <c r="T3434">
        <v>15766.7</v>
      </c>
      <c r="U3434" t="s">
        <v>7568</v>
      </c>
      <c r="V3434" t="s">
        <v>9409</v>
      </c>
      <c r="W3434" t="s">
        <v>423</v>
      </c>
    </row>
    <row r="3435" spans="1:23" hidden="1" x14ac:dyDescent="0.2">
      <c r="A3435">
        <v>2012</v>
      </c>
      <c r="B3435" t="s">
        <v>303</v>
      </c>
      <c r="C3435" s="733">
        <v>40928</v>
      </c>
      <c r="D34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35" t="s">
        <v>485</v>
      </c>
      <c r="F3435" t="s">
        <v>2048</v>
      </c>
      <c r="G3435" t="s">
        <v>5670</v>
      </c>
      <c r="H3435">
        <v>40644</v>
      </c>
      <c r="I3435" t="s">
        <v>423</v>
      </c>
      <c r="J3435" t="s">
        <v>2972</v>
      </c>
      <c r="K3435" t="s">
        <v>2051</v>
      </c>
      <c r="L3435" t="s">
        <v>2052</v>
      </c>
      <c r="M3435">
        <v>398</v>
      </c>
      <c r="N3435">
        <v>24.55</v>
      </c>
      <c r="O3435">
        <v>6789.79</v>
      </c>
      <c r="P3435">
        <v>0</v>
      </c>
      <c r="Q3435">
        <v>6789.79</v>
      </c>
      <c r="R3435">
        <v>1086.3699999999999</v>
      </c>
      <c r="S3435">
        <v>271.58999999999997</v>
      </c>
      <c r="T3435">
        <v>7604.57</v>
      </c>
      <c r="V3435" t="s">
        <v>9408</v>
      </c>
      <c r="W3435" t="s">
        <v>423</v>
      </c>
    </row>
    <row r="3436" spans="1:23" hidden="1" x14ac:dyDescent="0.2">
      <c r="A3436">
        <v>2012</v>
      </c>
      <c r="B3436" t="s">
        <v>303</v>
      </c>
      <c r="C3436" s="733">
        <v>40924.946331018517</v>
      </c>
      <c r="D34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36" t="s">
        <v>478</v>
      </c>
      <c r="F3436" t="s">
        <v>2622</v>
      </c>
      <c r="G3436" t="s">
        <v>5141</v>
      </c>
      <c r="H3436">
        <v>34576</v>
      </c>
      <c r="I3436" t="s">
        <v>423</v>
      </c>
      <c r="J3436" t="s">
        <v>2668</v>
      </c>
      <c r="K3436" t="s">
        <v>2625</v>
      </c>
      <c r="L3436" t="s">
        <v>2626</v>
      </c>
      <c r="M3436">
        <v>76</v>
      </c>
      <c r="N3436">
        <v>23.69</v>
      </c>
      <c r="O3436">
        <v>2673.42</v>
      </c>
      <c r="P3436">
        <v>0</v>
      </c>
      <c r="Q3436">
        <v>2673.42</v>
      </c>
      <c r="R3436">
        <v>427.75</v>
      </c>
      <c r="S3436">
        <v>106.94</v>
      </c>
      <c r="T3436">
        <v>2994.23</v>
      </c>
      <c r="U3436" t="s">
        <v>2633</v>
      </c>
      <c r="V3436" t="s">
        <v>9408</v>
      </c>
      <c r="W3436" t="s">
        <v>423</v>
      </c>
    </row>
    <row r="3437" spans="1:23" hidden="1" x14ac:dyDescent="0.2">
      <c r="A3437">
        <v>2012</v>
      </c>
      <c r="B3437" t="s">
        <v>304</v>
      </c>
      <c r="C3437" s="733">
        <v>40962</v>
      </c>
      <c r="D34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37" t="s">
        <v>485</v>
      </c>
      <c r="F3437" t="s">
        <v>2065</v>
      </c>
      <c r="G3437" t="s">
        <v>8680</v>
      </c>
      <c r="H3437">
        <v>42488</v>
      </c>
      <c r="I3437" t="s">
        <v>423</v>
      </c>
      <c r="J3437" t="s">
        <v>4093</v>
      </c>
      <c r="K3437" t="s">
        <v>2051</v>
      </c>
      <c r="L3437" t="s">
        <v>2052</v>
      </c>
      <c r="M3437">
        <v>647</v>
      </c>
      <c r="N3437">
        <v>48.15</v>
      </c>
      <c r="O3437">
        <v>18216.59</v>
      </c>
      <c r="P3437">
        <v>0</v>
      </c>
      <c r="Q3437">
        <v>18216.59</v>
      </c>
      <c r="R3437">
        <v>2914.65</v>
      </c>
      <c r="S3437">
        <v>728.66</v>
      </c>
      <c r="T3437">
        <v>20402.580000000002</v>
      </c>
      <c r="U3437" t="s">
        <v>8780</v>
      </c>
      <c r="V3437" t="s">
        <v>9409</v>
      </c>
      <c r="W3437" t="s">
        <v>423</v>
      </c>
    </row>
    <row r="3438" spans="1:23" hidden="1" x14ac:dyDescent="0.2">
      <c r="A3438">
        <v>2012</v>
      </c>
      <c r="B3438" t="s">
        <v>304</v>
      </c>
      <c r="C3438" s="733">
        <v>40967.459756944445</v>
      </c>
      <c r="D34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38" t="s">
        <v>478</v>
      </c>
      <c r="F3438" t="s">
        <v>2622</v>
      </c>
      <c r="G3438" t="s">
        <v>9326</v>
      </c>
      <c r="H3438">
        <v>36110</v>
      </c>
      <c r="I3438" t="s">
        <v>423</v>
      </c>
      <c r="J3438" t="s">
        <v>2624</v>
      </c>
      <c r="K3438" t="s">
        <v>2625</v>
      </c>
      <c r="L3438" t="s">
        <v>2626</v>
      </c>
      <c r="M3438">
        <v>10</v>
      </c>
      <c r="N3438">
        <v>26.44</v>
      </c>
      <c r="O3438">
        <v>2983.75</v>
      </c>
      <c r="P3438">
        <v>0</v>
      </c>
      <c r="Q3438">
        <v>2983.75</v>
      </c>
      <c r="R3438">
        <v>477.4</v>
      </c>
      <c r="S3438">
        <v>119.35</v>
      </c>
      <c r="T3438">
        <v>3341.8</v>
      </c>
      <c r="U3438" t="s">
        <v>9428</v>
      </c>
      <c r="V3438" t="s">
        <v>9408</v>
      </c>
      <c r="W3438" t="s">
        <v>423</v>
      </c>
    </row>
    <row r="3439" spans="1:23" hidden="1" x14ac:dyDescent="0.2">
      <c r="A3439">
        <v>2012</v>
      </c>
      <c r="B3439" t="s">
        <v>304</v>
      </c>
      <c r="C3439" s="733">
        <v>40949.70753472222</v>
      </c>
      <c r="D34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39" t="s">
        <v>478</v>
      </c>
      <c r="F3439" t="s">
        <v>2622</v>
      </c>
      <c r="G3439" t="s">
        <v>3891</v>
      </c>
      <c r="H3439">
        <v>35504</v>
      </c>
      <c r="I3439" t="s">
        <v>423</v>
      </c>
      <c r="J3439" t="s">
        <v>2624</v>
      </c>
      <c r="K3439" t="s">
        <v>2625</v>
      </c>
      <c r="L3439" t="s">
        <v>2626</v>
      </c>
      <c r="M3439">
        <v>10</v>
      </c>
      <c r="N3439">
        <v>25.76</v>
      </c>
      <c r="O3439">
        <v>2907.02</v>
      </c>
      <c r="P3439">
        <v>0</v>
      </c>
      <c r="Q3439">
        <v>2907.02</v>
      </c>
      <c r="R3439">
        <v>465.12</v>
      </c>
      <c r="S3439">
        <v>116.28</v>
      </c>
      <c r="T3439">
        <v>3255.86</v>
      </c>
      <c r="U3439" t="s">
        <v>7548</v>
      </c>
      <c r="V3439" t="s">
        <v>9408</v>
      </c>
      <c r="W3439" t="s">
        <v>423</v>
      </c>
    </row>
    <row r="3440" spans="1:23" hidden="1" x14ac:dyDescent="0.2">
      <c r="A3440">
        <v>2012</v>
      </c>
      <c r="B3440" t="s">
        <v>304</v>
      </c>
      <c r="C3440" s="733">
        <v>40954</v>
      </c>
      <c r="D34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40" t="s">
        <v>478</v>
      </c>
      <c r="F3440" t="s">
        <v>2136</v>
      </c>
      <c r="G3440" t="s">
        <v>7948</v>
      </c>
      <c r="H3440">
        <v>35613</v>
      </c>
      <c r="I3440" t="s">
        <v>423</v>
      </c>
      <c r="J3440" t="s">
        <v>2624</v>
      </c>
      <c r="K3440" t="s">
        <v>2625</v>
      </c>
      <c r="L3440" t="s">
        <v>2626</v>
      </c>
      <c r="M3440">
        <v>10</v>
      </c>
      <c r="N3440">
        <v>24.49</v>
      </c>
      <c r="O3440">
        <v>2763.7</v>
      </c>
      <c r="P3440">
        <v>0</v>
      </c>
      <c r="Q3440">
        <v>2763.7</v>
      </c>
      <c r="R3440">
        <v>442.19</v>
      </c>
      <c r="S3440">
        <v>110.55</v>
      </c>
      <c r="T3440">
        <v>3095.34</v>
      </c>
      <c r="U3440" t="s">
        <v>7548</v>
      </c>
      <c r="V3440" t="s">
        <v>9408</v>
      </c>
      <c r="W3440" t="s">
        <v>423</v>
      </c>
    </row>
    <row r="3441" spans="1:23" hidden="1" x14ac:dyDescent="0.2">
      <c r="A3441">
        <v>2012</v>
      </c>
      <c r="B3441" t="s">
        <v>303</v>
      </c>
      <c r="C3441" s="733">
        <v>40927</v>
      </c>
      <c r="D34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41" t="s">
        <v>478</v>
      </c>
      <c r="F3441" t="s">
        <v>2622</v>
      </c>
      <c r="G3441" t="s">
        <v>3883</v>
      </c>
      <c r="H3441">
        <v>34635</v>
      </c>
      <c r="I3441" t="s">
        <v>423</v>
      </c>
      <c r="J3441" t="s">
        <v>2624</v>
      </c>
      <c r="K3441" t="s">
        <v>2625</v>
      </c>
      <c r="L3441" t="s">
        <v>2626</v>
      </c>
      <c r="M3441">
        <v>10</v>
      </c>
      <c r="N3441">
        <v>24.32</v>
      </c>
      <c r="O3441">
        <v>2744.51</v>
      </c>
      <c r="P3441">
        <v>0</v>
      </c>
      <c r="Q3441">
        <v>2744.51</v>
      </c>
      <c r="R3441">
        <v>439.12</v>
      </c>
      <c r="S3441">
        <v>109.78</v>
      </c>
      <c r="T3441">
        <v>3073.85</v>
      </c>
      <c r="U3441" t="s">
        <v>2627</v>
      </c>
      <c r="V3441" t="s">
        <v>9408</v>
      </c>
      <c r="W3441" t="s">
        <v>423</v>
      </c>
    </row>
    <row r="3442" spans="1:23" hidden="1" x14ac:dyDescent="0.2">
      <c r="A3442">
        <v>2012</v>
      </c>
      <c r="B3442" t="s">
        <v>304</v>
      </c>
      <c r="C3442" s="733">
        <v>40966.938935185186</v>
      </c>
      <c r="D34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42" t="s">
        <v>478</v>
      </c>
      <c r="F3442" t="s">
        <v>2622</v>
      </c>
      <c r="G3442" t="s">
        <v>9327</v>
      </c>
      <c r="H3442">
        <v>36075</v>
      </c>
      <c r="I3442" t="s">
        <v>423</v>
      </c>
      <c r="J3442" t="s">
        <v>2624</v>
      </c>
      <c r="K3442" t="s">
        <v>2625</v>
      </c>
      <c r="L3442" t="s">
        <v>2626</v>
      </c>
      <c r="M3442">
        <v>10</v>
      </c>
      <c r="N3442">
        <v>24.74</v>
      </c>
      <c r="O3442">
        <v>2791.91</v>
      </c>
      <c r="P3442">
        <v>0</v>
      </c>
      <c r="Q3442">
        <v>2791.91</v>
      </c>
      <c r="R3442">
        <v>446.71</v>
      </c>
      <c r="S3442">
        <v>111.68</v>
      </c>
      <c r="T3442">
        <v>3126.94</v>
      </c>
      <c r="U3442" t="s">
        <v>9428</v>
      </c>
      <c r="V3442" t="s">
        <v>9408</v>
      </c>
      <c r="W3442" t="s">
        <v>423</v>
      </c>
    </row>
    <row r="3443" spans="1:23" hidden="1" x14ac:dyDescent="0.2">
      <c r="A3443">
        <v>2012</v>
      </c>
      <c r="B3443" t="s">
        <v>304</v>
      </c>
      <c r="C3443" s="733">
        <v>40946.731481481482</v>
      </c>
      <c r="D34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43" t="s">
        <v>478</v>
      </c>
      <c r="F3443" t="s">
        <v>2622</v>
      </c>
      <c r="G3443" t="s">
        <v>3872</v>
      </c>
      <c r="H3443">
        <v>35375</v>
      </c>
      <c r="I3443" t="s">
        <v>423</v>
      </c>
      <c r="J3443" t="s">
        <v>2624</v>
      </c>
      <c r="K3443" t="s">
        <v>2625</v>
      </c>
      <c r="L3443" t="s">
        <v>2626</v>
      </c>
      <c r="M3443">
        <v>10</v>
      </c>
      <c r="N3443">
        <v>24.79</v>
      </c>
      <c r="O3443">
        <v>2797.55</v>
      </c>
      <c r="P3443">
        <v>0</v>
      </c>
      <c r="Q3443">
        <v>2797.55</v>
      </c>
      <c r="R3443">
        <v>447.61</v>
      </c>
      <c r="S3443">
        <v>111.9</v>
      </c>
      <c r="T3443">
        <v>3133.26</v>
      </c>
      <c r="U3443" t="s">
        <v>2630</v>
      </c>
      <c r="V3443" t="s">
        <v>9408</v>
      </c>
      <c r="W3443" t="s">
        <v>423</v>
      </c>
    </row>
    <row r="3444" spans="1:23" hidden="1" x14ac:dyDescent="0.2">
      <c r="A3444">
        <v>2012</v>
      </c>
      <c r="B3444" t="s">
        <v>303</v>
      </c>
      <c r="C3444" s="733">
        <v>40927</v>
      </c>
      <c r="D34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44" t="s">
        <v>478</v>
      </c>
      <c r="F3444" t="s">
        <v>2622</v>
      </c>
      <c r="G3444" t="s">
        <v>3870</v>
      </c>
      <c r="H3444">
        <v>34631</v>
      </c>
      <c r="I3444" t="s">
        <v>423</v>
      </c>
      <c r="J3444" t="s">
        <v>2624</v>
      </c>
      <c r="K3444" t="s">
        <v>2625</v>
      </c>
      <c r="L3444" t="s">
        <v>2626</v>
      </c>
      <c r="M3444">
        <v>10</v>
      </c>
      <c r="N3444">
        <v>25.86</v>
      </c>
      <c r="O3444">
        <v>2918.3</v>
      </c>
      <c r="P3444">
        <v>0</v>
      </c>
      <c r="Q3444">
        <v>2918.3</v>
      </c>
      <c r="R3444">
        <v>466.93</v>
      </c>
      <c r="S3444">
        <v>116.73</v>
      </c>
      <c r="T3444">
        <v>3268.5</v>
      </c>
      <c r="U3444" t="s">
        <v>2627</v>
      </c>
      <c r="V3444" t="s">
        <v>9408</v>
      </c>
      <c r="W3444" t="s">
        <v>423</v>
      </c>
    </row>
    <row r="3445" spans="1:23" hidden="1" x14ac:dyDescent="0.2">
      <c r="A3445">
        <v>2012</v>
      </c>
      <c r="B3445" t="s">
        <v>304</v>
      </c>
      <c r="C3445" s="733">
        <v>40946.727013888885</v>
      </c>
      <c r="D34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45" t="s">
        <v>478</v>
      </c>
      <c r="F3445" t="s">
        <v>2622</v>
      </c>
      <c r="G3445" t="s">
        <v>3871</v>
      </c>
      <c r="H3445">
        <v>35372</v>
      </c>
      <c r="I3445" t="s">
        <v>423</v>
      </c>
      <c r="J3445" t="s">
        <v>2624</v>
      </c>
      <c r="K3445" t="s">
        <v>2625</v>
      </c>
      <c r="L3445" t="s">
        <v>2626</v>
      </c>
      <c r="M3445">
        <v>10</v>
      </c>
      <c r="N3445">
        <v>24.36</v>
      </c>
      <c r="O3445">
        <v>2749.03</v>
      </c>
      <c r="P3445">
        <v>0</v>
      </c>
      <c r="Q3445">
        <v>2749.03</v>
      </c>
      <c r="R3445">
        <v>439.84</v>
      </c>
      <c r="S3445">
        <v>109.96</v>
      </c>
      <c r="T3445">
        <v>3078.91</v>
      </c>
      <c r="U3445" t="s">
        <v>2630</v>
      </c>
      <c r="V3445" t="s">
        <v>9408</v>
      </c>
      <c r="W3445" t="s">
        <v>423</v>
      </c>
    </row>
    <row r="3446" spans="1:23" hidden="1" x14ac:dyDescent="0.2">
      <c r="A3446">
        <v>2012</v>
      </c>
      <c r="B3446" t="s">
        <v>303</v>
      </c>
      <c r="C3446" s="733">
        <v>40910</v>
      </c>
      <c r="D34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46" t="s">
        <v>478</v>
      </c>
      <c r="F3446" t="s">
        <v>2142</v>
      </c>
      <c r="G3446" t="s">
        <v>5140</v>
      </c>
      <c r="H3446">
        <v>34060</v>
      </c>
      <c r="I3446" t="s">
        <v>423</v>
      </c>
      <c r="J3446" t="s">
        <v>2639</v>
      </c>
      <c r="K3446" t="s">
        <v>2640</v>
      </c>
      <c r="L3446" t="s">
        <v>2641</v>
      </c>
      <c r="M3446">
        <v>274</v>
      </c>
      <c r="N3446">
        <v>45.99</v>
      </c>
      <c r="O3446">
        <v>2488.98</v>
      </c>
      <c r="P3446">
        <v>2802.3176920000001</v>
      </c>
      <c r="Q3446">
        <v>5291.2976920000001</v>
      </c>
      <c r="R3446">
        <v>846.60763099999997</v>
      </c>
      <c r="S3446">
        <v>211.65190799999999</v>
      </c>
      <c r="T3446">
        <v>5926.2534150000001</v>
      </c>
      <c r="U3446" t="s">
        <v>4102</v>
      </c>
      <c r="V3446" t="s">
        <v>9409</v>
      </c>
      <c r="W3446" t="s">
        <v>423</v>
      </c>
    </row>
    <row r="3447" spans="1:23" hidden="1" x14ac:dyDescent="0.2">
      <c r="A3447">
        <v>2012</v>
      </c>
      <c r="B3447" t="s">
        <v>304</v>
      </c>
      <c r="C3447" s="733">
        <v>40960</v>
      </c>
      <c r="D34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47" t="s">
        <v>478</v>
      </c>
      <c r="F3447" t="s">
        <v>2142</v>
      </c>
      <c r="G3447" t="s">
        <v>8440</v>
      </c>
      <c r="H3447">
        <v>35672</v>
      </c>
      <c r="I3447" t="s">
        <v>423</v>
      </c>
      <c r="J3447" t="s">
        <v>2639</v>
      </c>
      <c r="K3447" t="s">
        <v>2640</v>
      </c>
      <c r="L3447" t="s">
        <v>2641</v>
      </c>
      <c r="M3447">
        <v>274</v>
      </c>
      <c r="N3447">
        <v>51.51</v>
      </c>
      <c r="O3447">
        <v>6621.1</v>
      </c>
      <c r="P3447">
        <v>0</v>
      </c>
      <c r="Q3447">
        <v>6621.1</v>
      </c>
      <c r="R3447">
        <v>1059.3800000000001</v>
      </c>
      <c r="S3447">
        <v>264.83999999999997</v>
      </c>
      <c r="T3447">
        <v>7415.64</v>
      </c>
      <c r="U3447" t="s">
        <v>8307</v>
      </c>
      <c r="V3447" t="s">
        <v>9409</v>
      </c>
      <c r="W3447" t="s">
        <v>423</v>
      </c>
    </row>
    <row r="3448" spans="1:23" hidden="1" x14ac:dyDescent="0.2">
      <c r="A3448">
        <v>2012</v>
      </c>
      <c r="B3448" t="s">
        <v>303</v>
      </c>
      <c r="C3448" s="733">
        <v>40938.926898148151</v>
      </c>
      <c r="D34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48" t="s">
        <v>478</v>
      </c>
      <c r="F3448" t="s">
        <v>2622</v>
      </c>
      <c r="G3448" t="s">
        <v>3892</v>
      </c>
      <c r="H3448">
        <v>35085</v>
      </c>
      <c r="I3448" t="s">
        <v>423</v>
      </c>
      <c r="J3448" t="s">
        <v>2624</v>
      </c>
      <c r="K3448" t="s">
        <v>2625</v>
      </c>
      <c r="L3448" t="s">
        <v>2626</v>
      </c>
      <c r="M3448">
        <v>10</v>
      </c>
      <c r="N3448">
        <v>25.55</v>
      </c>
      <c r="O3448">
        <v>2883.32</v>
      </c>
      <c r="P3448">
        <v>0</v>
      </c>
      <c r="Q3448">
        <v>2883.32</v>
      </c>
      <c r="R3448">
        <v>461.33</v>
      </c>
      <c r="S3448">
        <v>115.33</v>
      </c>
      <c r="T3448">
        <v>3229.32</v>
      </c>
      <c r="U3448" t="s">
        <v>7548</v>
      </c>
      <c r="V3448" t="s">
        <v>9408</v>
      </c>
      <c r="W3448" t="s">
        <v>423</v>
      </c>
    </row>
    <row r="3449" spans="1:23" hidden="1" x14ac:dyDescent="0.2">
      <c r="A3449">
        <v>2012</v>
      </c>
      <c r="B3449" t="s">
        <v>303</v>
      </c>
      <c r="C3449" s="733">
        <v>40933</v>
      </c>
      <c r="D34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49" t="s">
        <v>478</v>
      </c>
      <c r="F3449" t="s">
        <v>2622</v>
      </c>
      <c r="G3449" t="s">
        <v>3890</v>
      </c>
      <c r="H3449">
        <v>34850</v>
      </c>
      <c r="I3449" t="s">
        <v>423</v>
      </c>
      <c r="J3449" t="s">
        <v>2668</v>
      </c>
      <c r="K3449" t="s">
        <v>2625</v>
      </c>
      <c r="L3449" t="s">
        <v>2626</v>
      </c>
      <c r="M3449">
        <v>76</v>
      </c>
      <c r="N3449">
        <v>21.77</v>
      </c>
      <c r="O3449">
        <v>2456.7399999999998</v>
      </c>
      <c r="P3449">
        <v>0</v>
      </c>
      <c r="Q3449">
        <v>2456.7399999999998</v>
      </c>
      <c r="R3449">
        <v>393.08</v>
      </c>
      <c r="S3449">
        <v>98.27</v>
      </c>
      <c r="T3449">
        <v>2751.55</v>
      </c>
      <c r="U3449" t="s">
        <v>2633</v>
      </c>
      <c r="V3449" t="s">
        <v>9408</v>
      </c>
      <c r="W3449" t="s">
        <v>423</v>
      </c>
    </row>
    <row r="3450" spans="1:23" hidden="1" x14ac:dyDescent="0.2">
      <c r="A3450">
        <v>2012</v>
      </c>
      <c r="B3450" t="s">
        <v>303</v>
      </c>
      <c r="C3450" s="733">
        <v>40939.536747685182</v>
      </c>
      <c r="D34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50" t="s">
        <v>478</v>
      </c>
      <c r="F3450" t="s">
        <v>2622</v>
      </c>
      <c r="G3450" t="s">
        <v>3888</v>
      </c>
      <c r="H3450">
        <v>35148</v>
      </c>
      <c r="I3450" t="s">
        <v>423</v>
      </c>
      <c r="J3450" t="s">
        <v>2668</v>
      </c>
      <c r="K3450" t="s">
        <v>2625</v>
      </c>
      <c r="L3450" t="s">
        <v>2626</v>
      </c>
      <c r="M3450">
        <v>76</v>
      </c>
      <c r="N3450">
        <v>25.38</v>
      </c>
      <c r="O3450">
        <v>2864.13</v>
      </c>
      <c r="P3450">
        <v>0</v>
      </c>
      <c r="Q3450">
        <v>2864.13</v>
      </c>
      <c r="R3450">
        <v>458.26</v>
      </c>
      <c r="S3450">
        <v>114.57</v>
      </c>
      <c r="T3450">
        <v>3207.82</v>
      </c>
      <c r="U3450" t="s">
        <v>2648</v>
      </c>
      <c r="V3450" t="s">
        <v>9408</v>
      </c>
      <c r="W3450" t="s">
        <v>423</v>
      </c>
    </row>
    <row r="3451" spans="1:23" hidden="1" x14ac:dyDescent="0.2">
      <c r="A3451">
        <v>2012</v>
      </c>
      <c r="B3451" t="s">
        <v>304</v>
      </c>
      <c r="C3451" s="733">
        <v>40946</v>
      </c>
      <c r="D34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51" t="s">
        <v>485</v>
      </c>
      <c r="F3451" t="s">
        <v>2048</v>
      </c>
      <c r="G3451" t="s">
        <v>6077</v>
      </c>
      <c r="H3451">
        <v>41498</v>
      </c>
      <c r="I3451" t="s">
        <v>423</v>
      </c>
      <c r="J3451" t="s">
        <v>4093</v>
      </c>
      <c r="K3451" t="s">
        <v>2051</v>
      </c>
      <c r="L3451" t="s">
        <v>2052</v>
      </c>
      <c r="M3451">
        <v>647</v>
      </c>
      <c r="N3451">
        <v>54.05</v>
      </c>
      <c r="O3451">
        <v>20448.740000000002</v>
      </c>
      <c r="P3451">
        <v>0</v>
      </c>
      <c r="Q3451">
        <v>20448.740000000002</v>
      </c>
      <c r="R3451">
        <v>3271.8</v>
      </c>
      <c r="S3451">
        <v>817.95</v>
      </c>
      <c r="T3451">
        <v>22902.59</v>
      </c>
      <c r="U3451" t="s">
        <v>7568</v>
      </c>
      <c r="V3451" t="s">
        <v>9409</v>
      </c>
      <c r="W3451" t="s">
        <v>423</v>
      </c>
    </row>
    <row r="3452" spans="1:23" hidden="1" x14ac:dyDescent="0.2">
      <c r="A3452">
        <v>2012</v>
      </c>
      <c r="B3452" t="s">
        <v>303</v>
      </c>
      <c r="C3452" s="733">
        <v>40932</v>
      </c>
      <c r="D34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52" t="s">
        <v>485</v>
      </c>
      <c r="F3452" t="s">
        <v>2084</v>
      </c>
      <c r="G3452" t="s">
        <v>2847</v>
      </c>
      <c r="H3452">
        <v>40362</v>
      </c>
      <c r="I3452" t="s">
        <v>423</v>
      </c>
      <c r="J3452" t="s">
        <v>2848</v>
      </c>
      <c r="K3452" t="s">
        <v>2814</v>
      </c>
      <c r="L3452" t="s">
        <v>2815</v>
      </c>
      <c r="M3452">
        <v>708</v>
      </c>
      <c r="N3452">
        <v>24.222999999999999</v>
      </c>
      <c r="O3452">
        <v>9939.67</v>
      </c>
      <c r="P3452">
        <v>0</v>
      </c>
      <c r="Q3452">
        <v>9939.67</v>
      </c>
      <c r="R3452">
        <v>1590.35</v>
      </c>
      <c r="S3452">
        <v>397.59</v>
      </c>
      <c r="T3452">
        <v>11132.43</v>
      </c>
      <c r="U3452" t="s">
        <v>2826</v>
      </c>
      <c r="V3452" t="s">
        <v>9408</v>
      </c>
      <c r="W3452" t="s">
        <v>423</v>
      </c>
    </row>
    <row r="3453" spans="1:23" hidden="1" x14ac:dyDescent="0.2">
      <c r="A3453">
        <v>2012</v>
      </c>
      <c r="B3453" t="s">
        <v>304</v>
      </c>
      <c r="C3453" s="733">
        <v>40955</v>
      </c>
      <c r="D34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53" t="s">
        <v>478</v>
      </c>
      <c r="F3453" t="s">
        <v>2136</v>
      </c>
      <c r="G3453" t="s">
        <v>7684</v>
      </c>
      <c r="H3453">
        <v>35680</v>
      </c>
      <c r="I3453" t="s">
        <v>423</v>
      </c>
      <c r="J3453" t="s">
        <v>5525</v>
      </c>
      <c r="K3453" t="s">
        <v>425</v>
      </c>
      <c r="L3453" t="s">
        <v>2145</v>
      </c>
      <c r="M3453">
        <v>866</v>
      </c>
      <c r="N3453">
        <v>42.42</v>
      </c>
      <c r="O3453">
        <v>16878.490000000002</v>
      </c>
      <c r="P3453">
        <v>0</v>
      </c>
      <c r="Q3453">
        <v>16878.490000000002</v>
      </c>
      <c r="R3453">
        <v>2700.56</v>
      </c>
      <c r="S3453">
        <v>675.14</v>
      </c>
      <c r="T3453">
        <v>18903.91</v>
      </c>
      <c r="U3453" t="s">
        <v>7523</v>
      </c>
      <c r="V3453" t="s">
        <v>9409</v>
      </c>
      <c r="W3453" t="s">
        <v>423</v>
      </c>
    </row>
    <row r="3454" spans="1:23" hidden="1" x14ac:dyDescent="0.2">
      <c r="A3454">
        <v>2012</v>
      </c>
      <c r="B3454" t="s">
        <v>303</v>
      </c>
      <c r="C3454" s="733">
        <v>40919</v>
      </c>
      <c r="D34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54" t="s">
        <v>505</v>
      </c>
      <c r="F3454" t="s">
        <v>1915</v>
      </c>
      <c r="G3454" t="s">
        <v>6934</v>
      </c>
      <c r="H3454">
        <v>21809</v>
      </c>
      <c r="I3454" t="s">
        <v>423</v>
      </c>
      <c r="J3454" t="s">
        <v>4262</v>
      </c>
      <c r="K3454" t="s">
        <v>1918</v>
      </c>
      <c r="L3454" t="s">
        <v>1919</v>
      </c>
      <c r="M3454">
        <v>845</v>
      </c>
      <c r="N3454">
        <v>53.4</v>
      </c>
      <c r="O3454">
        <v>27073.8</v>
      </c>
      <c r="P3454">
        <v>0</v>
      </c>
      <c r="Q3454">
        <v>27073.8</v>
      </c>
      <c r="R3454">
        <v>4331.8100000000004</v>
      </c>
      <c r="S3454">
        <v>1082.95</v>
      </c>
      <c r="T3454">
        <v>30322.66</v>
      </c>
      <c r="U3454" t="s">
        <v>1931</v>
      </c>
      <c r="V3454" t="s">
        <v>9409</v>
      </c>
      <c r="W3454" t="s">
        <v>423</v>
      </c>
    </row>
    <row r="3455" spans="1:23" hidden="1" x14ac:dyDescent="0.2">
      <c r="A3455">
        <v>2012</v>
      </c>
      <c r="B3455" t="s">
        <v>304</v>
      </c>
      <c r="C3455" s="733">
        <v>40966</v>
      </c>
      <c r="D34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55" t="s">
        <v>478</v>
      </c>
      <c r="F3455" t="s">
        <v>2136</v>
      </c>
      <c r="G3455" t="s">
        <v>9250</v>
      </c>
      <c r="H3455">
        <v>36029</v>
      </c>
      <c r="I3455" t="s">
        <v>423</v>
      </c>
      <c r="J3455" t="s">
        <v>2936</v>
      </c>
      <c r="K3455" t="s">
        <v>425</v>
      </c>
      <c r="L3455" t="s">
        <v>2145</v>
      </c>
      <c r="M3455">
        <v>604</v>
      </c>
      <c r="N3455">
        <v>21.19</v>
      </c>
      <c r="O3455">
        <v>6634.38</v>
      </c>
      <c r="P3455">
        <v>0</v>
      </c>
      <c r="Q3455">
        <v>6634.38</v>
      </c>
      <c r="R3455">
        <v>1061.5</v>
      </c>
      <c r="S3455">
        <v>265.38</v>
      </c>
      <c r="T3455">
        <v>7430.5</v>
      </c>
      <c r="U3455" t="s">
        <v>9457</v>
      </c>
      <c r="V3455" t="s">
        <v>9408</v>
      </c>
      <c r="W3455" t="s">
        <v>423</v>
      </c>
    </row>
    <row r="3456" spans="1:23" hidden="1" x14ac:dyDescent="0.2">
      <c r="A3456">
        <v>2012</v>
      </c>
      <c r="B3456" t="s">
        <v>304</v>
      </c>
      <c r="C3456" s="733">
        <v>40942</v>
      </c>
      <c r="D34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56" t="s">
        <v>478</v>
      </c>
      <c r="F3456" t="s">
        <v>2136</v>
      </c>
      <c r="G3456" t="s">
        <v>5121</v>
      </c>
      <c r="H3456">
        <v>35206</v>
      </c>
      <c r="I3456" t="s">
        <v>423</v>
      </c>
      <c r="J3456" t="s">
        <v>2936</v>
      </c>
      <c r="K3456" t="s">
        <v>425</v>
      </c>
      <c r="L3456" t="s">
        <v>2145</v>
      </c>
      <c r="M3456">
        <v>604</v>
      </c>
      <c r="N3456">
        <v>25.13</v>
      </c>
      <c r="O3456">
        <v>7867.95</v>
      </c>
      <c r="P3456">
        <v>0</v>
      </c>
      <c r="Q3456">
        <v>7867.95</v>
      </c>
      <c r="R3456">
        <v>1258.8699999999999</v>
      </c>
      <c r="S3456">
        <v>314.72000000000003</v>
      </c>
      <c r="T3456">
        <v>8812.1</v>
      </c>
      <c r="U3456" t="s">
        <v>2938</v>
      </c>
      <c r="V3456" t="s">
        <v>9408</v>
      </c>
      <c r="W3456" t="s">
        <v>423</v>
      </c>
    </row>
    <row r="3457" spans="1:23" hidden="1" x14ac:dyDescent="0.2">
      <c r="A3457">
        <v>2012</v>
      </c>
      <c r="B3457" t="s">
        <v>303</v>
      </c>
      <c r="C3457" s="733">
        <v>40935</v>
      </c>
      <c r="D34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57" t="s">
        <v>478</v>
      </c>
      <c r="F3457" t="s">
        <v>2136</v>
      </c>
      <c r="G3457" t="s">
        <v>5120</v>
      </c>
      <c r="H3457">
        <v>34981</v>
      </c>
      <c r="I3457" t="s">
        <v>423</v>
      </c>
      <c r="J3457" t="s">
        <v>2936</v>
      </c>
      <c r="K3457" t="s">
        <v>425</v>
      </c>
      <c r="L3457" t="s">
        <v>2145</v>
      </c>
      <c r="M3457">
        <v>604</v>
      </c>
      <c r="N3457">
        <v>23.64</v>
      </c>
      <c r="O3457">
        <v>7401.45</v>
      </c>
      <c r="P3457">
        <v>0</v>
      </c>
      <c r="Q3457">
        <v>7401.45</v>
      </c>
      <c r="R3457">
        <v>1184.23</v>
      </c>
      <c r="S3457">
        <v>296.06</v>
      </c>
      <c r="T3457">
        <v>8289.6200000000008</v>
      </c>
      <c r="U3457" t="s">
        <v>2580</v>
      </c>
      <c r="V3457" t="s">
        <v>9408</v>
      </c>
      <c r="W3457" t="s">
        <v>423</v>
      </c>
    </row>
    <row r="3458" spans="1:23" hidden="1" x14ac:dyDescent="0.2">
      <c r="A3458">
        <v>2012</v>
      </c>
      <c r="B3458" t="s">
        <v>303</v>
      </c>
      <c r="C3458" s="733">
        <v>40926</v>
      </c>
      <c r="D34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58" t="s">
        <v>478</v>
      </c>
      <c r="F3458" t="s">
        <v>2136</v>
      </c>
      <c r="G3458" t="s">
        <v>4696</v>
      </c>
      <c r="H3458">
        <v>34624</v>
      </c>
      <c r="I3458" t="s">
        <v>423</v>
      </c>
      <c r="J3458" t="s">
        <v>2936</v>
      </c>
      <c r="K3458" t="s">
        <v>425</v>
      </c>
      <c r="L3458" t="s">
        <v>2145</v>
      </c>
      <c r="M3458">
        <v>604</v>
      </c>
      <c r="N3458">
        <v>24.85</v>
      </c>
      <c r="O3458">
        <v>7780.29</v>
      </c>
      <c r="P3458">
        <v>0</v>
      </c>
      <c r="Q3458">
        <v>7780.29</v>
      </c>
      <c r="R3458">
        <v>1244.8499999999999</v>
      </c>
      <c r="S3458">
        <v>311.20999999999998</v>
      </c>
      <c r="T3458">
        <v>8713.93</v>
      </c>
      <c r="U3458" t="s">
        <v>2927</v>
      </c>
      <c r="V3458" t="s">
        <v>9408</v>
      </c>
      <c r="W3458" t="s">
        <v>423</v>
      </c>
    </row>
    <row r="3459" spans="1:23" hidden="1" x14ac:dyDescent="0.2">
      <c r="A3459">
        <v>2012</v>
      </c>
      <c r="B3459" t="s">
        <v>303</v>
      </c>
      <c r="C3459" s="733">
        <v>40936</v>
      </c>
      <c r="D34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59" t="s">
        <v>478</v>
      </c>
      <c r="F3459" t="s">
        <v>2136</v>
      </c>
      <c r="G3459" t="s">
        <v>5117</v>
      </c>
      <c r="H3459">
        <v>34979</v>
      </c>
      <c r="I3459" t="s">
        <v>423</v>
      </c>
      <c r="J3459" t="s">
        <v>2936</v>
      </c>
      <c r="K3459" t="s">
        <v>425</v>
      </c>
      <c r="L3459" t="s">
        <v>2145</v>
      </c>
      <c r="M3459">
        <v>604</v>
      </c>
      <c r="N3459">
        <v>41.48</v>
      </c>
      <c r="O3459">
        <v>12986.97</v>
      </c>
      <c r="P3459">
        <v>0</v>
      </c>
      <c r="Q3459">
        <v>12986.97</v>
      </c>
      <c r="R3459">
        <v>2077.92</v>
      </c>
      <c r="S3459">
        <v>519.48</v>
      </c>
      <c r="T3459">
        <v>14545.41</v>
      </c>
      <c r="U3459" t="s">
        <v>2580</v>
      </c>
      <c r="V3459" t="s">
        <v>9409</v>
      </c>
      <c r="W3459" t="s">
        <v>423</v>
      </c>
    </row>
    <row r="3460" spans="1:23" hidden="1" x14ac:dyDescent="0.2">
      <c r="A3460">
        <v>2012</v>
      </c>
      <c r="B3460" t="s">
        <v>304</v>
      </c>
      <c r="C3460" s="733">
        <v>40953</v>
      </c>
      <c r="D34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60" t="s">
        <v>478</v>
      </c>
      <c r="F3460" t="s">
        <v>2136</v>
      </c>
      <c r="G3460" t="s">
        <v>5122</v>
      </c>
      <c r="H3460">
        <v>35558</v>
      </c>
      <c r="I3460" t="s">
        <v>423</v>
      </c>
      <c r="J3460" t="s">
        <v>2936</v>
      </c>
      <c r="K3460" t="s">
        <v>425</v>
      </c>
      <c r="L3460" t="s">
        <v>2145</v>
      </c>
      <c r="M3460">
        <v>604</v>
      </c>
      <c r="N3460">
        <v>21.59</v>
      </c>
      <c r="O3460">
        <v>6759.61</v>
      </c>
      <c r="P3460">
        <v>0</v>
      </c>
      <c r="Q3460">
        <v>6759.61</v>
      </c>
      <c r="R3460">
        <v>1081.54</v>
      </c>
      <c r="S3460">
        <v>270.38</v>
      </c>
      <c r="T3460">
        <v>7570.77</v>
      </c>
      <c r="U3460" t="s">
        <v>7553</v>
      </c>
      <c r="V3460" t="s">
        <v>9408</v>
      </c>
      <c r="W3460" t="s">
        <v>423</v>
      </c>
    </row>
    <row r="3461" spans="1:23" hidden="1" x14ac:dyDescent="0.2">
      <c r="A3461">
        <v>2012</v>
      </c>
      <c r="B3461" t="s">
        <v>303</v>
      </c>
      <c r="C3461" s="733">
        <v>40938</v>
      </c>
      <c r="D34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61" t="s">
        <v>478</v>
      </c>
      <c r="F3461" t="s">
        <v>2136</v>
      </c>
      <c r="G3461" t="s">
        <v>7095</v>
      </c>
      <c r="H3461">
        <v>34985</v>
      </c>
      <c r="I3461" t="s">
        <v>423</v>
      </c>
      <c r="J3461" t="s">
        <v>3638</v>
      </c>
      <c r="K3461" t="s">
        <v>425</v>
      </c>
      <c r="L3461" t="s">
        <v>2145</v>
      </c>
      <c r="M3461">
        <v>1416</v>
      </c>
      <c r="N3461">
        <v>44.96</v>
      </c>
      <c r="O3461">
        <v>40769.279999999999</v>
      </c>
      <c r="P3461">
        <v>0</v>
      </c>
      <c r="Q3461">
        <v>40769.279999999999</v>
      </c>
      <c r="R3461">
        <v>6523.08</v>
      </c>
      <c r="S3461">
        <v>1630.77</v>
      </c>
      <c r="T3461">
        <v>45661.59</v>
      </c>
      <c r="U3461" t="s">
        <v>2914</v>
      </c>
      <c r="V3461" t="s">
        <v>9409</v>
      </c>
      <c r="W3461" t="s">
        <v>423</v>
      </c>
    </row>
    <row r="3462" spans="1:23" hidden="1" x14ac:dyDescent="0.2">
      <c r="A3462">
        <v>2012</v>
      </c>
      <c r="B3462" t="s">
        <v>303</v>
      </c>
      <c r="C3462" s="733">
        <v>40925</v>
      </c>
      <c r="D34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62" t="s">
        <v>478</v>
      </c>
      <c r="F3462" t="s">
        <v>2136</v>
      </c>
      <c r="G3462" t="s">
        <v>7086</v>
      </c>
      <c r="H3462">
        <v>34567</v>
      </c>
      <c r="I3462" t="s">
        <v>423</v>
      </c>
      <c r="J3462" t="s">
        <v>2936</v>
      </c>
      <c r="K3462" t="s">
        <v>425</v>
      </c>
      <c r="L3462" t="s">
        <v>2145</v>
      </c>
      <c r="M3462">
        <v>604</v>
      </c>
      <c r="N3462">
        <v>48.08</v>
      </c>
      <c r="O3462">
        <v>15053.37</v>
      </c>
      <c r="P3462">
        <v>0</v>
      </c>
      <c r="Q3462">
        <v>15053.37</v>
      </c>
      <c r="R3462">
        <v>2408.54</v>
      </c>
      <c r="S3462">
        <v>602.13</v>
      </c>
      <c r="T3462">
        <v>16859.78</v>
      </c>
      <c r="U3462" t="s">
        <v>2927</v>
      </c>
      <c r="V3462" t="s">
        <v>9409</v>
      </c>
      <c r="W3462" t="s">
        <v>423</v>
      </c>
    </row>
    <row r="3463" spans="1:23" x14ac:dyDescent="0.2">
      <c r="A3463">
        <v>2012</v>
      </c>
      <c r="B3463" t="s">
        <v>304</v>
      </c>
      <c r="C3463" s="733">
        <v>40967</v>
      </c>
      <c r="D34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63" t="s">
        <v>485</v>
      </c>
      <c r="F3463" t="s">
        <v>2048</v>
      </c>
      <c r="G3463" t="s">
        <v>8906</v>
      </c>
      <c r="H3463">
        <v>42594</v>
      </c>
      <c r="I3463" t="s">
        <v>423</v>
      </c>
      <c r="J3463" t="s">
        <v>4093</v>
      </c>
      <c r="K3463" t="s">
        <v>2051</v>
      </c>
      <c r="L3463" t="s">
        <v>2052</v>
      </c>
      <c r="M3463">
        <v>647</v>
      </c>
      <c r="N3463">
        <v>51.45</v>
      </c>
      <c r="O3463">
        <v>19465.080000000002</v>
      </c>
      <c r="P3463">
        <v>0</v>
      </c>
      <c r="Q3463">
        <v>19465.080000000002</v>
      </c>
      <c r="R3463">
        <v>3114.41</v>
      </c>
      <c r="S3463">
        <v>778.6</v>
      </c>
      <c r="T3463">
        <v>21800.89</v>
      </c>
      <c r="V3463" t="s">
        <v>9409</v>
      </c>
      <c r="W3463" t="s">
        <v>423</v>
      </c>
    </row>
    <row r="3464" spans="1:23" hidden="1" x14ac:dyDescent="0.2">
      <c r="A3464">
        <v>2012</v>
      </c>
      <c r="B3464" t="s">
        <v>303</v>
      </c>
      <c r="C3464" s="733">
        <v>40933</v>
      </c>
      <c r="D34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64" t="s">
        <v>478</v>
      </c>
      <c r="F3464" t="s">
        <v>2142</v>
      </c>
      <c r="G3464" t="s">
        <v>4855</v>
      </c>
      <c r="H3464">
        <v>34663</v>
      </c>
      <c r="I3464" t="s">
        <v>423</v>
      </c>
      <c r="J3464" t="s">
        <v>2639</v>
      </c>
      <c r="K3464" t="s">
        <v>2640</v>
      </c>
      <c r="L3464" t="s">
        <v>2641</v>
      </c>
      <c r="M3464">
        <v>274</v>
      </c>
      <c r="N3464">
        <v>31.67</v>
      </c>
      <c r="O3464">
        <v>4070.86</v>
      </c>
      <c r="P3464">
        <v>0</v>
      </c>
      <c r="Q3464">
        <v>4070.86</v>
      </c>
      <c r="R3464">
        <v>651.34</v>
      </c>
      <c r="S3464">
        <v>162.83000000000001</v>
      </c>
      <c r="T3464">
        <v>4559.37</v>
      </c>
      <c r="U3464" t="s">
        <v>2642</v>
      </c>
      <c r="V3464" t="s">
        <v>9408</v>
      </c>
      <c r="W3464" t="s">
        <v>423</v>
      </c>
    </row>
    <row r="3465" spans="1:23" hidden="1" x14ac:dyDescent="0.2">
      <c r="A3465">
        <v>2012</v>
      </c>
      <c r="B3465" t="s">
        <v>303</v>
      </c>
      <c r="C3465" s="733">
        <v>40926</v>
      </c>
      <c r="D34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65" t="s">
        <v>478</v>
      </c>
      <c r="F3465" t="s">
        <v>2142</v>
      </c>
      <c r="G3465" t="s">
        <v>4854</v>
      </c>
      <c r="H3465">
        <v>34540</v>
      </c>
      <c r="I3465" t="s">
        <v>423</v>
      </c>
      <c r="J3465" t="s">
        <v>2639</v>
      </c>
      <c r="K3465" t="s">
        <v>2640</v>
      </c>
      <c r="L3465" t="s">
        <v>2641</v>
      </c>
      <c r="M3465">
        <v>274</v>
      </c>
      <c r="N3465">
        <v>49</v>
      </c>
      <c r="O3465">
        <v>6298.46</v>
      </c>
      <c r="P3465">
        <v>0</v>
      </c>
      <c r="Q3465">
        <v>6298.46</v>
      </c>
      <c r="R3465">
        <v>1007.75</v>
      </c>
      <c r="S3465">
        <v>251.94</v>
      </c>
      <c r="T3465">
        <v>7054.27</v>
      </c>
      <c r="U3465" t="s">
        <v>2992</v>
      </c>
      <c r="V3465" t="s">
        <v>9409</v>
      </c>
      <c r="W3465" t="s">
        <v>423</v>
      </c>
    </row>
    <row r="3466" spans="1:23" hidden="1" x14ac:dyDescent="0.2">
      <c r="A3466">
        <v>2012</v>
      </c>
      <c r="B3466" t="s">
        <v>303</v>
      </c>
      <c r="C3466" s="733">
        <v>40932.447430555556</v>
      </c>
      <c r="D34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66" t="s">
        <v>478</v>
      </c>
      <c r="F3466" t="s">
        <v>2622</v>
      </c>
      <c r="G3466" t="s">
        <v>4867</v>
      </c>
      <c r="H3466">
        <v>34886</v>
      </c>
      <c r="I3466" t="s">
        <v>423</v>
      </c>
      <c r="J3466" t="s">
        <v>2624</v>
      </c>
      <c r="K3466" t="s">
        <v>2625</v>
      </c>
      <c r="L3466" t="s">
        <v>2626</v>
      </c>
      <c r="M3466">
        <v>10</v>
      </c>
      <c r="N3466">
        <v>24.14</v>
      </c>
      <c r="O3466">
        <v>2724.2</v>
      </c>
      <c r="P3466">
        <v>0</v>
      </c>
      <c r="Q3466">
        <v>2724.2</v>
      </c>
      <c r="R3466">
        <v>435.87</v>
      </c>
      <c r="S3466">
        <v>108.97</v>
      </c>
      <c r="T3466">
        <v>3051.1</v>
      </c>
      <c r="U3466" t="s">
        <v>2633</v>
      </c>
      <c r="V3466" t="s">
        <v>9408</v>
      </c>
      <c r="W3466" t="s">
        <v>423</v>
      </c>
    </row>
    <row r="3467" spans="1:23" hidden="1" x14ac:dyDescent="0.2">
      <c r="A3467">
        <v>2012</v>
      </c>
      <c r="B3467" t="s">
        <v>304</v>
      </c>
      <c r="C3467" s="733">
        <v>40947.391631944447</v>
      </c>
      <c r="D34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67" t="s">
        <v>478</v>
      </c>
      <c r="F3467" t="s">
        <v>2622</v>
      </c>
      <c r="G3467" t="s">
        <v>4868</v>
      </c>
      <c r="H3467">
        <v>35404</v>
      </c>
      <c r="I3467" t="s">
        <v>423</v>
      </c>
      <c r="J3467" t="s">
        <v>2624</v>
      </c>
      <c r="K3467" t="s">
        <v>2625</v>
      </c>
      <c r="L3467" t="s">
        <v>2626</v>
      </c>
      <c r="M3467">
        <v>10</v>
      </c>
      <c r="N3467">
        <v>24.71</v>
      </c>
      <c r="O3467">
        <v>2788.52</v>
      </c>
      <c r="P3467">
        <v>0</v>
      </c>
      <c r="Q3467">
        <v>2788.52</v>
      </c>
      <c r="R3467">
        <v>446.16</v>
      </c>
      <c r="S3467">
        <v>111.54</v>
      </c>
      <c r="T3467">
        <v>3123.14</v>
      </c>
      <c r="U3467" t="s">
        <v>2652</v>
      </c>
      <c r="V3467" t="s">
        <v>9408</v>
      </c>
      <c r="W3467" t="s">
        <v>423</v>
      </c>
    </row>
    <row r="3468" spans="1:23" hidden="1" x14ac:dyDescent="0.2">
      <c r="A3468">
        <v>2012</v>
      </c>
      <c r="B3468" t="s">
        <v>305</v>
      </c>
      <c r="C3468" s="733">
        <v>40970.945057870369</v>
      </c>
      <c r="D3468" s="733" t="str">
        <f>CHOOSE(MONTH(Tabla_sqldatos_bonampakdb_Bon_v_ingresos2012[[#This Row],[fecha_guia]]),"Enero","Febrero","Marzo","Abril","Mayo","Junio","Julio","Agosto","Septiembre","Octubre","Noviembre","Diciembre")</f>
        <v>Marzo</v>
      </c>
      <c r="E3468" t="s">
        <v>478</v>
      </c>
      <c r="F3468" t="s">
        <v>2622</v>
      </c>
      <c r="G3468" t="s">
        <v>9721</v>
      </c>
      <c r="H3468">
        <v>36277</v>
      </c>
      <c r="I3468" t="s">
        <v>423</v>
      </c>
      <c r="J3468" t="s">
        <v>2624</v>
      </c>
      <c r="K3468" t="s">
        <v>2625</v>
      </c>
      <c r="L3468" t="s">
        <v>2626</v>
      </c>
      <c r="M3468">
        <v>10</v>
      </c>
      <c r="N3468">
        <v>21.71</v>
      </c>
      <c r="O3468">
        <v>2449.9699999999998</v>
      </c>
      <c r="P3468">
        <v>0</v>
      </c>
      <c r="Q3468">
        <v>2449.9699999999998</v>
      </c>
      <c r="R3468">
        <v>392</v>
      </c>
      <c r="S3468">
        <v>98</v>
      </c>
      <c r="T3468">
        <v>2743.97</v>
      </c>
      <c r="V3468" t="s">
        <v>9408</v>
      </c>
      <c r="W3468" t="s">
        <v>423</v>
      </c>
    </row>
    <row r="3469" spans="1:23" hidden="1" x14ac:dyDescent="0.2">
      <c r="A3469">
        <v>2012</v>
      </c>
      <c r="B3469" t="s">
        <v>304</v>
      </c>
      <c r="C3469" s="733">
        <v>40947</v>
      </c>
      <c r="D34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69" t="s">
        <v>478</v>
      </c>
      <c r="F3469" t="s">
        <v>2142</v>
      </c>
      <c r="G3469" t="s">
        <v>4856</v>
      </c>
      <c r="H3469">
        <v>35240</v>
      </c>
      <c r="I3469" t="s">
        <v>423</v>
      </c>
      <c r="J3469" t="s">
        <v>2639</v>
      </c>
      <c r="K3469" t="s">
        <v>2640</v>
      </c>
      <c r="L3469" t="s">
        <v>2641</v>
      </c>
      <c r="M3469">
        <v>274</v>
      </c>
      <c r="N3469">
        <v>51.66</v>
      </c>
      <c r="O3469">
        <v>6640.38</v>
      </c>
      <c r="P3469">
        <v>0</v>
      </c>
      <c r="Q3469">
        <v>6640.38</v>
      </c>
      <c r="R3469">
        <v>1062.46</v>
      </c>
      <c r="S3469">
        <v>265.62</v>
      </c>
      <c r="T3469">
        <v>7437.22</v>
      </c>
      <c r="U3469" t="s">
        <v>2887</v>
      </c>
      <c r="V3469" t="s">
        <v>9409</v>
      </c>
      <c r="W3469" t="s">
        <v>423</v>
      </c>
    </row>
    <row r="3470" spans="1:23" hidden="1" x14ac:dyDescent="0.2">
      <c r="A3470">
        <v>2012</v>
      </c>
      <c r="B3470" t="s">
        <v>304</v>
      </c>
      <c r="C3470" s="733">
        <v>40947</v>
      </c>
      <c r="D34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70" t="s">
        <v>478</v>
      </c>
      <c r="F3470" t="s">
        <v>2142</v>
      </c>
      <c r="G3470" t="s">
        <v>4869</v>
      </c>
      <c r="H3470">
        <v>35349</v>
      </c>
      <c r="I3470" t="s">
        <v>423</v>
      </c>
      <c r="J3470" t="s">
        <v>2639</v>
      </c>
      <c r="K3470" t="s">
        <v>2640</v>
      </c>
      <c r="L3470" t="s">
        <v>2641</v>
      </c>
      <c r="M3470">
        <v>274</v>
      </c>
      <c r="N3470">
        <v>50.5</v>
      </c>
      <c r="O3470">
        <v>6491.27</v>
      </c>
      <c r="P3470">
        <v>0</v>
      </c>
      <c r="Q3470">
        <v>6491.27</v>
      </c>
      <c r="R3470">
        <v>1038.5999999999999</v>
      </c>
      <c r="S3470">
        <v>259.64999999999998</v>
      </c>
      <c r="T3470">
        <v>7270.22</v>
      </c>
      <c r="U3470" t="s">
        <v>2887</v>
      </c>
      <c r="V3470" t="s">
        <v>9409</v>
      </c>
      <c r="W3470" t="s">
        <v>423</v>
      </c>
    </row>
    <row r="3471" spans="1:23" hidden="1" x14ac:dyDescent="0.2">
      <c r="A3471">
        <v>2012</v>
      </c>
      <c r="B3471" t="s">
        <v>304</v>
      </c>
      <c r="C3471" s="733">
        <v>40960.427175925928</v>
      </c>
      <c r="D34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71" t="s">
        <v>478</v>
      </c>
      <c r="F3471" t="s">
        <v>2622</v>
      </c>
      <c r="G3471" t="s">
        <v>8349</v>
      </c>
      <c r="H3471">
        <v>35865</v>
      </c>
      <c r="I3471" t="s">
        <v>423</v>
      </c>
      <c r="J3471" t="s">
        <v>2624</v>
      </c>
      <c r="K3471" t="s">
        <v>2625</v>
      </c>
      <c r="L3471" t="s">
        <v>2626</v>
      </c>
      <c r="M3471">
        <v>10</v>
      </c>
      <c r="N3471">
        <v>24.46</v>
      </c>
      <c r="O3471">
        <v>2760.31</v>
      </c>
      <c r="P3471">
        <v>0</v>
      </c>
      <c r="Q3471">
        <v>2760.31</v>
      </c>
      <c r="R3471">
        <v>441.65</v>
      </c>
      <c r="S3471">
        <v>110.41</v>
      </c>
      <c r="T3471">
        <v>3091.55</v>
      </c>
      <c r="U3471" t="s">
        <v>8267</v>
      </c>
      <c r="V3471" t="s">
        <v>9408</v>
      </c>
      <c r="W3471" t="s">
        <v>423</v>
      </c>
    </row>
    <row r="3472" spans="1:23" hidden="1" x14ac:dyDescent="0.2">
      <c r="A3472">
        <v>2012</v>
      </c>
      <c r="B3472" t="s">
        <v>304</v>
      </c>
      <c r="C3472" s="733">
        <v>40947</v>
      </c>
      <c r="D34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72" t="s">
        <v>478</v>
      </c>
      <c r="F3472" t="s">
        <v>2142</v>
      </c>
      <c r="G3472" t="s">
        <v>4874</v>
      </c>
      <c r="H3472">
        <v>35223</v>
      </c>
      <c r="I3472" t="s">
        <v>423</v>
      </c>
      <c r="J3472" t="s">
        <v>2639</v>
      </c>
      <c r="K3472" t="s">
        <v>2640</v>
      </c>
      <c r="L3472" t="s">
        <v>2641</v>
      </c>
      <c r="M3472">
        <v>274</v>
      </c>
      <c r="N3472">
        <v>49.62</v>
      </c>
      <c r="O3472">
        <v>6378.15</v>
      </c>
      <c r="P3472">
        <v>0</v>
      </c>
      <c r="Q3472">
        <v>6378.15</v>
      </c>
      <c r="R3472">
        <v>1020.5</v>
      </c>
      <c r="S3472">
        <v>255.13</v>
      </c>
      <c r="T3472">
        <v>7143.52</v>
      </c>
      <c r="U3472" t="s">
        <v>2887</v>
      </c>
      <c r="V3472" t="s">
        <v>9409</v>
      </c>
      <c r="W3472" t="s">
        <v>423</v>
      </c>
    </row>
    <row r="3473" spans="1:23" hidden="1" x14ac:dyDescent="0.2">
      <c r="A3473">
        <v>2012</v>
      </c>
      <c r="B3473" t="s">
        <v>303</v>
      </c>
      <c r="C3473" s="733">
        <v>40918</v>
      </c>
      <c r="D34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73" t="s">
        <v>478</v>
      </c>
      <c r="F3473" t="s">
        <v>2142</v>
      </c>
      <c r="G3473" t="s">
        <v>4870</v>
      </c>
      <c r="H3473">
        <v>34319</v>
      </c>
      <c r="I3473" t="s">
        <v>423</v>
      </c>
      <c r="J3473" t="s">
        <v>2639</v>
      </c>
      <c r="K3473" t="s">
        <v>2640</v>
      </c>
      <c r="L3473" t="s">
        <v>2641</v>
      </c>
      <c r="M3473">
        <v>274</v>
      </c>
      <c r="N3473">
        <v>49.98</v>
      </c>
      <c r="O3473">
        <v>6424.43</v>
      </c>
      <c r="P3473">
        <v>0</v>
      </c>
      <c r="Q3473">
        <v>6424.43</v>
      </c>
      <c r="R3473">
        <v>1027.9100000000001</v>
      </c>
      <c r="S3473">
        <v>256.98</v>
      </c>
      <c r="T3473">
        <v>7195.36</v>
      </c>
      <c r="U3473" t="s">
        <v>2992</v>
      </c>
      <c r="V3473" t="s">
        <v>9409</v>
      </c>
      <c r="W3473" t="s">
        <v>423</v>
      </c>
    </row>
    <row r="3474" spans="1:23" hidden="1" x14ac:dyDescent="0.2">
      <c r="A3474">
        <v>2012</v>
      </c>
      <c r="B3474" t="s">
        <v>304</v>
      </c>
      <c r="C3474" s="733">
        <v>40960</v>
      </c>
      <c r="D34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74" t="s">
        <v>478</v>
      </c>
      <c r="F3474" t="s">
        <v>2136</v>
      </c>
      <c r="G3474" t="s">
        <v>8392</v>
      </c>
      <c r="H3474">
        <v>35880</v>
      </c>
      <c r="I3474" t="s">
        <v>423</v>
      </c>
      <c r="J3474" t="s">
        <v>2668</v>
      </c>
      <c r="K3474" t="s">
        <v>2625</v>
      </c>
      <c r="L3474" t="s">
        <v>2626</v>
      </c>
      <c r="M3474">
        <v>76</v>
      </c>
      <c r="N3474">
        <v>24.67</v>
      </c>
      <c r="O3474">
        <v>2784.01</v>
      </c>
      <c r="P3474">
        <v>0</v>
      </c>
      <c r="Q3474">
        <v>2784.01</v>
      </c>
      <c r="R3474">
        <v>445.44</v>
      </c>
      <c r="S3474">
        <v>111.36</v>
      </c>
      <c r="T3474">
        <v>3118.09</v>
      </c>
      <c r="U3474" t="s">
        <v>8267</v>
      </c>
      <c r="V3474" t="s">
        <v>9408</v>
      </c>
      <c r="W3474" t="s">
        <v>423</v>
      </c>
    </row>
    <row r="3475" spans="1:23" hidden="1" x14ac:dyDescent="0.2">
      <c r="A3475">
        <v>2012</v>
      </c>
      <c r="B3475" t="s">
        <v>303</v>
      </c>
      <c r="C3475" s="733">
        <v>40917</v>
      </c>
      <c r="D34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75" t="s">
        <v>505</v>
      </c>
      <c r="F3475" t="s">
        <v>1915</v>
      </c>
      <c r="G3475" t="s">
        <v>5442</v>
      </c>
      <c r="H3475">
        <v>21804</v>
      </c>
      <c r="I3475" t="s">
        <v>424</v>
      </c>
      <c r="J3475" t="s">
        <v>4155</v>
      </c>
      <c r="K3475" t="s">
        <v>1918</v>
      </c>
      <c r="L3475" t="s">
        <v>1919</v>
      </c>
      <c r="M3475">
        <v>650</v>
      </c>
      <c r="N3475">
        <v>30</v>
      </c>
      <c r="O3475">
        <v>12901.5</v>
      </c>
      <c r="P3475">
        <v>0</v>
      </c>
      <c r="Q3475">
        <v>12901.5</v>
      </c>
      <c r="R3475">
        <v>2064.2399999999998</v>
      </c>
      <c r="S3475">
        <v>516.05999999999995</v>
      </c>
      <c r="T3475">
        <v>14449.68</v>
      </c>
      <c r="U3475" t="s">
        <v>1920</v>
      </c>
      <c r="V3475" t="s">
        <v>9408</v>
      </c>
      <c r="W3475" t="s">
        <v>424</v>
      </c>
    </row>
    <row r="3476" spans="1:23" hidden="1" x14ac:dyDescent="0.2">
      <c r="A3476">
        <v>2012</v>
      </c>
      <c r="B3476" t="s">
        <v>304</v>
      </c>
      <c r="C3476" s="733">
        <v>40957</v>
      </c>
      <c r="D34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76" t="s">
        <v>505</v>
      </c>
      <c r="F3476" t="s">
        <v>1915</v>
      </c>
      <c r="G3476" t="s">
        <v>7574</v>
      </c>
      <c r="H3476">
        <v>22812</v>
      </c>
      <c r="I3476" t="s">
        <v>423</v>
      </c>
      <c r="J3476" t="s">
        <v>4155</v>
      </c>
      <c r="K3476" t="s">
        <v>1918</v>
      </c>
      <c r="L3476" t="s">
        <v>1919</v>
      </c>
      <c r="M3476">
        <v>650</v>
      </c>
      <c r="N3476">
        <v>51.73</v>
      </c>
      <c r="O3476">
        <v>22246.49</v>
      </c>
      <c r="P3476">
        <v>0</v>
      </c>
      <c r="Q3476">
        <v>22246.49</v>
      </c>
      <c r="R3476">
        <v>3559.44</v>
      </c>
      <c r="S3476">
        <v>889.86</v>
      </c>
      <c r="T3476">
        <v>24916.07</v>
      </c>
      <c r="U3476" t="s">
        <v>8491</v>
      </c>
      <c r="V3476" t="s">
        <v>9409</v>
      </c>
      <c r="W3476" t="s">
        <v>423</v>
      </c>
    </row>
    <row r="3477" spans="1:23" hidden="1" x14ac:dyDescent="0.2">
      <c r="A3477">
        <v>2012</v>
      </c>
      <c r="B3477" t="s">
        <v>303</v>
      </c>
      <c r="C3477" s="733">
        <v>40929</v>
      </c>
      <c r="D34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77" t="s">
        <v>505</v>
      </c>
      <c r="F3477" t="s">
        <v>1915</v>
      </c>
      <c r="G3477" t="s">
        <v>5436</v>
      </c>
      <c r="H3477">
        <v>22159</v>
      </c>
      <c r="I3477" t="s">
        <v>423</v>
      </c>
      <c r="J3477" t="s">
        <v>3207</v>
      </c>
      <c r="K3477" t="s">
        <v>1918</v>
      </c>
      <c r="L3477" t="s">
        <v>1919</v>
      </c>
      <c r="M3477">
        <v>334</v>
      </c>
      <c r="N3477">
        <v>49.7</v>
      </c>
      <c r="O3477">
        <v>13724.16</v>
      </c>
      <c r="P3477">
        <v>0</v>
      </c>
      <c r="Q3477">
        <v>13724.16</v>
      </c>
      <c r="R3477">
        <v>2195.87</v>
      </c>
      <c r="S3477">
        <v>548.97</v>
      </c>
      <c r="T3477">
        <v>15371.06</v>
      </c>
      <c r="U3477" t="s">
        <v>8778</v>
      </c>
      <c r="V3477" t="s">
        <v>9409</v>
      </c>
      <c r="W3477" t="s">
        <v>423</v>
      </c>
    </row>
    <row r="3478" spans="1:23" hidden="1" x14ac:dyDescent="0.2">
      <c r="A3478">
        <v>2012</v>
      </c>
      <c r="B3478" t="s">
        <v>303</v>
      </c>
      <c r="C3478" s="733">
        <v>40924</v>
      </c>
      <c r="D34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78" t="s">
        <v>485</v>
      </c>
      <c r="F3478" t="s">
        <v>2065</v>
      </c>
      <c r="G3478" t="s">
        <v>3948</v>
      </c>
      <c r="H3478">
        <v>40340</v>
      </c>
      <c r="I3478" t="s">
        <v>423</v>
      </c>
      <c r="J3478" t="s">
        <v>3204</v>
      </c>
      <c r="K3478" t="s">
        <v>2183</v>
      </c>
      <c r="L3478" t="s">
        <v>2184</v>
      </c>
      <c r="M3478">
        <v>80</v>
      </c>
      <c r="N3478">
        <v>15.71</v>
      </c>
      <c r="O3478">
        <v>1773.19</v>
      </c>
      <c r="P3478">
        <v>0</v>
      </c>
      <c r="Q3478">
        <v>1773.19</v>
      </c>
      <c r="R3478">
        <v>283.70999999999998</v>
      </c>
      <c r="S3478">
        <v>70.930000000000007</v>
      </c>
      <c r="T3478">
        <v>1985.97</v>
      </c>
      <c r="U3478" t="s">
        <v>7554</v>
      </c>
      <c r="V3478" t="s">
        <v>9408</v>
      </c>
      <c r="W3478" t="s">
        <v>423</v>
      </c>
    </row>
    <row r="3479" spans="1:23" hidden="1" x14ac:dyDescent="0.2">
      <c r="A3479">
        <v>2012</v>
      </c>
      <c r="B3479" t="s">
        <v>303</v>
      </c>
      <c r="C3479" s="733">
        <v>40924</v>
      </c>
      <c r="D34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79" t="s">
        <v>485</v>
      </c>
      <c r="F3479" t="s">
        <v>2065</v>
      </c>
      <c r="G3479" t="s">
        <v>3949</v>
      </c>
      <c r="H3479">
        <v>40337</v>
      </c>
      <c r="I3479" t="s">
        <v>423</v>
      </c>
      <c r="J3479" t="s">
        <v>3204</v>
      </c>
      <c r="K3479" t="s">
        <v>2183</v>
      </c>
      <c r="L3479" t="s">
        <v>2184</v>
      </c>
      <c r="M3479">
        <v>80</v>
      </c>
      <c r="N3479">
        <v>16.18</v>
      </c>
      <c r="O3479">
        <v>1826.24</v>
      </c>
      <c r="P3479">
        <v>0</v>
      </c>
      <c r="Q3479">
        <v>1826.24</v>
      </c>
      <c r="R3479">
        <v>292.2</v>
      </c>
      <c r="S3479">
        <v>73.05</v>
      </c>
      <c r="T3479">
        <v>2045.39</v>
      </c>
      <c r="U3479" t="s">
        <v>7587</v>
      </c>
      <c r="V3479" t="s">
        <v>9408</v>
      </c>
      <c r="W3479" t="s">
        <v>423</v>
      </c>
    </row>
    <row r="3480" spans="1:23" hidden="1" x14ac:dyDescent="0.2">
      <c r="A3480">
        <v>2012</v>
      </c>
      <c r="B3480" t="s">
        <v>303</v>
      </c>
      <c r="C3480" s="733">
        <v>40928</v>
      </c>
      <c r="D34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80" t="s">
        <v>485</v>
      </c>
      <c r="F3480" t="s">
        <v>2065</v>
      </c>
      <c r="G3480" t="s">
        <v>3250</v>
      </c>
      <c r="H3480">
        <v>40040</v>
      </c>
      <c r="I3480" t="s">
        <v>424</v>
      </c>
      <c r="J3480" t="s">
        <v>2114</v>
      </c>
      <c r="K3480" t="s">
        <v>2102</v>
      </c>
      <c r="L3480" t="s">
        <v>2115</v>
      </c>
      <c r="M3480">
        <v>500</v>
      </c>
      <c r="N3480">
        <v>54</v>
      </c>
      <c r="O3480">
        <v>10009.44</v>
      </c>
      <c r="P3480">
        <v>0</v>
      </c>
      <c r="Q3480">
        <v>10009.44</v>
      </c>
      <c r="R3480">
        <v>1601.51</v>
      </c>
      <c r="S3480">
        <v>400.38</v>
      </c>
      <c r="T3480">
        <v>11210.57</v>
      </c>
      <c r="U3480" t="s">
        <v>8871</v>
      </c>
      <c r="V3480" t="s">
        <v>9409</v>
      </c>
      <c r="W3480" t="s">
        <v>424</v>
      </c>
    </row>
    <row r="3481" spans="1:23" hidden="1" x14ac:dyDescent="0.2">
      <c r="A3481">
        <v>2012</v>
      </c>
      <c r="B3481" t="s">
        <v>304</v>
      </c>
      <c r="C3481" s="733">
        <v>40963</v>
      </c>
      <c r="D34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81" t="s">
        <v>485</v>
      </c>
      <c r="F3481" t="s">
        <v>2065</v>
      </c>
      <c r="G3481" t="s">
        <v>8644</v>
      </c>
      <c r="H3481">
        <v>42518</v>
      </c>
      <c r="I3481" t="s">
        <v>423</v>
      </c>
      <c r="J3481" t="s">
        <v>2182</v>
      </c>
      <c r="K3481" t="s">
        <v>2183</v>
      </c>
      <c r="L3481" t="s">
        <v>2184</v>
      </c>
      <c r="M3481">
        <v>62</v>
      </c>
      <c r="N3481">
        <v>26.24</v>
      </c>
      <c r="O3481">
        <v>3887.19</v>
      </c>
      <c r="P3481">
        <v>0</v>
      </c>
      <c r="Q3481">
        <v>3887.19</v>
      </c>
      <c r="R3481">
        <v>621.95000000000005</v>
      </c>
      <c r="S3481">
        <v>155.49</v>
      </c>
      <c r="T3481">
        <v>4353.6499999999996</v>
      </c>
      <c r="U3481" t="s">
        <v>9411</v>
      </c>
      <c r="V3481" t="s">
        <v>9408</v>
      </c>
      <c r="W3481" t="s">
        <v>423</v>
      </c>
    </row>
    <row r="3482" spans="1:23" hidden="1" x14ac:dyDescent="0.2">
      <c r="A3482">
        <v>2012</v>
      </c>
      <c r="B3482" t="s">
        <v>304</v>
      </c>
      <c r="C3482" s="733">
        <v>40941</v>
      </c>
      <c r="D34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82" t="s">
        <v>485</v>
      </c>
      <c r="F3482" t="s">
        <v>2065</v>
      </c>
      <c r="G3482" t="s">
        <v>3939</v>
      </c>
      <c r="H3482">
        <v>41245</v>
      </c>
      <c r="I3482" t="s">
        <v>423</v>
      </c>
      <c r="J3482" t="s">
        <v>2182</v>
      </c>
      <c r="K3482" t="s">
        <v>2183</v>
      </c>
      <c r="L3482" t="s">
        <v>2184</v>
      </c>
      <c r="M3482">
        <v>62</v>
      </c>
      <c r="N3482">
        <v>47.7</v>
      </c>
      <c r="O3482">
        <v>7066.28</v>
      </c>
      <c r="P3482">
        <v>0</v>
      </c>
      <c r="Q3482">
        <v>7066.28</v>
      </c>
      <c r="R3482">
        <v>1130.5999999999999</v>
      </c>
      <c r="S3482">
        <v>282.64999999999998</v>
      </c>
      <c r="T3482">
        <v>7914.23</v>
      </c>
      <c r="U3482" t="s">
        <v>2192</v>
      </c>
      <c r="V3482" t="s">
        <v>9409</v>
      </c>
      <c r="W3482" t="s">
        <v>423</v>
      </c>
    </row>
    <row r="3483" spans="1:23" hidden="1" x14ac:dyDescent="0.2">
      <c r="A3483">
        <v>2012</v>
      </c>
      <c r="B3483" t="s">
        <v>303</v>
      </c>
      <c r="C3483" s="733">
        <v>40939</v>
      </c>
      <c r="D34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83" t="s">
        <v>485</v>
      </c>
      <c r="F3483" t="s">
        <v>2065</v>
      </c>
      <c r="G3483" t="s">
        <v>3930</v>
      </c>
      <c r="H3483">
        <v>39984</v>
      </c>
      <c r="I3483" t="s">
        <v>423</v>
      </c>
      <c r="J3483" t="s">
        <v>2182</v>
      </c>
      <c r="K3483" t="s">
        <v>2183</v>
      </c>
      <c r="L3483" t="s">
        <v>2184</v>
      </c>
      <c r="M3483">
        <v>62</v>
      </c>
      <c r="N3483">
        <v>16.34</v>
      </c>
      <c r="O3483">
        <v>2420.61</v>
      </c>
      <c r="P3483">
        <v>0</v>
      </c>
      <c r="Q3483">
        <v>2420.61</v>
      </c>
      <c r="R3483">
        <v>387.3</v>
      </c>
      <c r="S3483">
        <v>96.82</v>
      </c>
      <c r="T3483">
        <v>2711.09</v>
      </c>
      <c r="U3483" t="s">
        <v>2187</v>
      </c>
      <c r="V3483" t="s">
        <v>9408</v>
      </c>
      <c r="W3483" t="s">
        <v>423</v>
      </c>
    </row>
    <row r="3484" spans="1:23" hidden="1" x14ac:dyDescent="0.2">
      <c r="A3484">
        <v>2012</v>
      </c>
      <c r="B3484" t="s">
        <v>304</v>
      </c>
      <c r="C3484" s="733">
        <v>40940</v>
      </c>
      <c r="D34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84" t="s">
        <v>485</v>
      </c>
      <c r="F3484" t="s">
        <v>2065</v>
      </c>
      <c r="G3484" t="s">
        <v>3946</v>
      </c>
      <c r="H3484">
        <v>40012</v>
      </c>
      <c r="I3484" t="s">
        <v>423</v>
      </c>
      <c r="J3484" t="s">
        <v>2182</v>
      </c>
      <c r="K3484" t="s">
        <v>2183</v>
      </c>
      <c r="L3484" t="s">
        <v>2184</v>
      </c>
      <c r="M3484">
        <v>62</v>
      </c>
      <c r="N3484">
        <v>15.93</v>
      </c>
      <c r="O3484">
        <v>2359.87</v>
      </c>
      <c r="P3484">
        <v>0</v>
      </c>
      <c r="Q3484">
        <v>2359.87</v>
      </c>
      <c r="R3484">
        <v>377.58</v>
      </c>
      <c r="S3484">
        <v>94.39</v>
      </c>
      <c r="T3484">
        <v>2643.06</v>
      </c>
      <c r="U3484" t="s">
        <v>2187</v>
      </c>
      <c r="V3484" t="s">
        <v>9408</v>
      </c>
      <c r="W3484" t="s">
        <v>423</v>
      </c>
    </row>
    <row r="3485" spans="1:23" hidden="1" x14ac:dyDescent="0.2">
      <c r="A3485">
        <v>2012</v>
      </c>
      <c r="B3485" t="s">
        <v>304</v>
      </c>
      <c r="C3485" s="733">
        <v>40963</v>
      </c>
      <c r="D34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85" t="s">
        <v>485</v>
      </c>
      <c r="F3485" t="s">
        <v>2065</v>
      </c>
      <c r="G3485" t="s">
        <v>8643</v>
      </c>
      <c r="H3485">
        <v>42547</v>
      </c>
      <c r="I3485" t="s">
        <v>423</v>
      </c>
      <c r="J3485" t="s">
        <v>2182</v>
      </c>
      <c r="K3485" t="s">
        <v>2183</v>
      </c>
      <c r="L3485" t="s">
        <v>2184</v>
      </c>
      <c r="M3485">
        <v>62</v>
      </c>
      <c r="N3485">
        <v>16.27</v>
      </c>
      <c r="O3485">
        <v>2410.2399999999998</v>
      </c>
      <c r="P3485">
        <v>0</v>
      </c>
      <c r="Q3485">
        <v>2410.2399999999998</v>
      </c>
      <c r="R3485">
        <v>385.64</v>
      </c>
      <c r="S3485">
        <v>96.41</v>
      </c>
      <c r="T3485">
        <v>2699.47</v>
      </c>
      <c r="U3485" t="s">
        <v>9411</v>
      </c>
      <c r="V3485" t="s">
        <v>9408</v>
      </c>
      <c r="W3485" t="s">
        <v>423</v>
      </c>
    </row>
    <row r="3486" spans="1:23" hidden="1" x14ac:dyDescent="0.2">
      <c r="A3486">
        <v>2012</v>
      </c>
      <c r="B3486" t="s">
        <v>303</v>
      </c>
      <c r="C3486" s="733">
        <v>40939</v>
      </c>
      <c r="D34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86" t="s">
        <v>485</v>
      </c>
      <c r="F3486" t="s">
        <v>2065</v>
      </c>
      <c r="G3486" t="s">
        <v>3940</v>
      </c>
      <c r="H3486">
        <v>39960</v>
      </c>
      <c r="I3486" t="s">
        <v>423</v>
      </c>
      <c r="J3486" t="s">
        <v>2182</v>
      </c>
      <c r="K3486" t="s">
        <v>2183</v>
      </c>
      <c r="L3486" t="s">
        <v>2184</v>
      </c>
      <c r="M3486">
        <v>62</v>
      </c>
      <c r="N3486">
        <v>16.13</v>
      </c>
      <c r="O3486">
        <v>2389.5</v>
      </c>
      <c r="P3486">
        <v>0</v>
      </c>
      <c r="Q3486">
        <v>2389.5</v>
      </c>
      <c r="R3486">
        <v>382.32</v>
      </c>
      <c r="S3486">
        <v>95.58</v>
      </c>
      <c r="T3486">
        <v>2676.24</v>
      </c>
      <c r="U3486" t="s">
        <v>2187</v>
      </c>
      <c r="V3486" t="s">
        <v>9408</v>
      </c>
      <c r="W3486" t="s">
        <v>423</v>
      </c>
    </row>
    <row r="3487" spans="1:23" hidden="1" x14ac:dyDescent="0.2">
      <c r="A3487">
        <v>2012</v>
      </c>
      <c r="B3487" t="s">
        <v>304</v>
      </c>
      <c r="C3487" s="733">
        <v>40940</v>
      </c>
      <c r="D34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87" t="s">
        <v>485</v>
      </c>
      <c r="F3487" t="s">
        <v>2065</v>
      </c>
      <c r="G3487" t="s">
        <v>4355</v>
      </c>
      <c r="H3487">
        <v>39967</v>
      </c>
      <c r="I3487" t="s">
        <v>423</v>
      </c>
      <c r="J3487" t="s">
        <v>3147</v>
      </c>
      <c r="K3487" t="s">
        <v>2183</v>
      </c>
      <c r="L3487" t="s">
        <v>2184</v>
      </c>
      <c r="M3487">
        <v>528</v>
      </c>
      <c r="N3487">
        <v>30.08</v>
      </c>
      <c r="O3487">
        <v>9312.77</v>
      </c>
      <c r="P3487">
        <v>0</v>
      </c>
      <c r="Q3487">
        <v>9312.77</v>
      </c>
      <c r="R3487">
        <v>1490.04</v>
      </c>
      <c r="S3487">
        <v>372.51</v>
      </c>
      <c r="T3487">
        <v>10430.299999999999</v>
      </c>
      <c r="U3487" t="s">
        <v>2192</v>
      </c>
      <c r="V3487" t="s">
        <v>9408</v>
      </c>
      <c r="W3487" t="s">
        <v>423</v>
      </c>
    </row>
    <row r="3488" spans="1:23" hidden="1" x14ac:dyDescent="0.2">
      <c r="A3488">
        <v>2012</v>
      </c>
      <c r="B3488" t="s">
        <v>303</v>
      </c>
      <c r="C3488" s="733">
        <v>40928</v>
      </c>
      <c r="D34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88" t="s">
        <v>485</v>
      </c>
      <c r="F3488" t="s">
        <v>2136</v>
      </c>
      <c r="G3488" t="s">
        <v>3256</v>
      </c>
      <c r="H3488">
        <v>40543</v>
      </c>
      <c r="I3488" t="s">
        <v>423</v>
      </c>
      <c r="J3488" t="s">
        <v>2345</v>
      </c>
      <c r="K3488" t="s">
        <v>2102</v>
      </c>
      <c r="L3488" t="s">
        <v>2115</v>
      </c>
      <c r="M3488">
        <v>426</v>
      </c>
      <c r="N3488">
        <v>25.52</v>
      </c>
      <c r="O3488">
        <v>8581.1</v>
      </c>
      <c r="P3488">
        <v>0</v>
      </c>
      <c r="Q3488">
        <v>8581.1</v>
      </c>
      <c r="R3488">
        <v>1372.98</v>
      </c>
      <c r="S3488">
        <v>343.24</v>
      </c>
      <c r="T3488">
        <v>9610.84</v>
      </c>
      <c r="U3488" t="s">
        <v>2108</v>
      </c>
      <c r="V3488" t="s">
        <v>9408</v>
      </c>
      <c r="W3488" t="s">
        <v>423</v>
      </c>
    </row>
    <row r="3489" spans="1:23" hidden="1" x14ac:dyDescent="0.2">
      <c r="A3489">
        <v>2012</v>
      </c>
      <c r="B3489" t="s">
        <v>304</v>
      </c>
      <c r="C3489" s="733">
        <v>40949</v>
      </c>
      <c r="D34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89" t="s">
        <v>485</v>
      </c>
      <c r="F3489" t="s">
        <v>2065</v>
      </c>
      <c r="G3489" t="s">
        <v>3255</v>
      </c>
      <c r="H3489">
        <v>41584</v>
      </c>
      <c r="I3489" t="s">
        <v>423</v>
      </c>
      <c r="J3489" t="s">
        <v>2345</v>
      </c>
      <c r="K3489" t="s">
        <v>2102</v>
      </c>
      <c r="L3489" t="s">
        <v>2115</v>
      </c>
      <c r="M3489">
        <v>426</v>
      </c>
      <c r="N3489">
        <v>51.5</v>
      </c>
      <c r="O3489">
        <v>17316.88</v>
      </c>
      <c r="P3489">
        <v>0</v>
      </c>
      <c r="Q3489">
        <v>17316.88</v>
      </c>
      <c r="R3489">
        <v>2770.7</v>
      </c>
      <c r="S3489">
        <v>692.68</v>
      </c>
      <c r="T3489">
        <v>19394.900000000001</v>
      </c>
      <c r="U3489" t="s">
        <v>8051</v>
      </c>
      <c r="V3489" t="s">
        <v>9409</v>
      </c>
      <c r="W3489" t="s">
        <v>423</v>
      </c>
    </row>
    <row r="3490" spans="1:23" hidden="1" x14ac:dyDescent="0.2">
      <c r="A3490">
        <v>2012</v>
      </c>
      <c r="B3490" t="s">
        <v>303</v>
      </c>
      <c r="C3490" s="733">
        <v>40921</v>
      </c>
      <c r="D34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90" t="s">
        <v>485</v>
      </c>
      <c r="F3490" t="s">
        <v>2065</v>
      </c>
      <c r="G3490" t="s">
        <v>4927</v>
      </c>
      <c r="H3490">
        <v>40236</v>
      </c>
      <c r="I3490" t="s">
        <v>423</v>
      </c>
      <c r="J3490" t="s">
        <v>4518</v>
      </c>
      <c r="K3490" t="s">
        <v>2183</v>
      </c>
      <c r="L3490" t="s">
        <v>2184</v>
      </c>
      <c r="M3490">
        <v>337</v>
      </c>
      <c r="N3490">
        <v>55.2</v>
      </c>
      <c r="O3490">
        <v>12244.46</v>
      </c>
      <c r="P3490">
        <v>0</v>
      </c>
      <c r="Q3490">
        <v>12244.46</v>
      </c>
      <c r="R3490">
        <v>1959.11</v>
      </c>
      <c r="S3490">
        <v>489.78</v>
      </c>
      <c r="T3490">
        <v>13713.79</v>
      </c>
      <c r="U3490" t="s">
        <v>7520</v>
      </c>
      <c r="V3490" t="s">
        <v>9409</v>
      </c>
      <c r="W3490" t="s">
        <v>423</v>
      </c>
    </row>
    <row r="3491" spans="1:23" hidden="1" x14ac:dyDescent="0.2">
      <c r="A3491">
        <v>2012</v>
      </c>
      <c r="B3491" t="s">
        <v>304</v>
      </c>
      <c r="C3491" s="733">
        <v>40959</v>
      </c>
      <c r="D34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91" t="s">
        <v>505</v>
      </c>
      <c r="F3491" t="s">
        <v>2065</v>
      </c>
      <c r="G3491" t="s">
        <v>7571</v>
      </c>
      <c r="H3491">
        <v>22859</v>
      </c>
      <c r="I3491" t="s">
        <v>424</v>
      </c>
      <c r="J3491" t="s">
        <v>1954</v>
      </c>
      <c r="K3491" t="s">
        <v>1918</v>
      </c>
      <c r="L3491" t="s">
        <v>1919</v>
      </c>
      <c r="M3491">
        <v>303</v>
      </c>
      <c r="N3491">
        <v>30</v>
      </c>
      <c r="O3491">
        <v>2314.83</v>
      </c>
      <c r="P3491">
        <v>1330.309653</v>
      </c>
      <c r="Q3491">
        <v>3645.1396530000002</v>
      </c>
      <c r="R3491">
        <v>583.22234400000002</v>
      </c>
      <c r="S3491">
        <v>145.80558600000001</v>
      </c>
      <c r="T3491">
        <v>4082.556411</v>
      </c>
      <c r="V3491" t="s">
        <v>9408</v>
      </c>
      <c r="W3491" t="s">
        <v>424</v>
      </c>
    </row>
    <row r="3492" spans="1:23" hidden="1" x14ac:dyDescent="0.2">
      <c r="A3492">
        <v>2012</v>
      </c>
      <c r="B3492" t="s">
        <v>304</v>
      </c>
      <c r="C3492" s="733">
        <v>40940</v>
      </c>
      <c r="D34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92" t="s">
        <v>478</v>
      </c>
      <c r="F3492" t="s">
        <v>2136</v>
      </c>
      <c r="G3492" t="s">
        <v>5695</v>
      </c>
      <c r="H3492">
        <v>35187</v>
      </c>
      <c r="I3492" t="s">
        <v>423</v>
      </c>
      <c r="J3492" t="s">
        <v>4270</v>
      </c>
      <c r="K3492" t="s">
        <v>425</v>
      </c>
      <c r="L3492" t="s">
        <v>2145</v>
      </c>
      <c r="M3492">
        <v>560</v>
      </c>
      <c r="N3492">
        <v>24.25</v>
      </c>
      <c r="O3492">
        <v>7747.88</v>
      </c>
      <c r="P3492">
        <v>0</v>
      </c>
      <c r="Q3492">
        <v>7747.88</v>
      </c>
      <c r="R3492">
        <v>1239.6600000000001</v>
      </c>
      <c r="S3492">
        <v>309.92</v>
      </c>
      <c r="T3492">
        <v>8677.6200000000008</v>
      </c>
      <c r="U3492" t="s">
        <v>2914</v>
      </c>
      <c r="V3492" t="s">
        <v>9408</v>
      </c>
      <c r="W3492" t="s">
        <v>423</v>
      </c>
    </row>
    <row r="3493" spans="1:23" hidden="1" x14ac:dyDescent="0.2">
      <c r="A3493">
        <v>2012</v>
      </c>
      <c r="B3493" t="s">
        <v>303</v>
      </c>
      <c r="C3493" s="733">
        <v>40925</v>
      </c>
      <c r="D34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93" t="s">
        <v>485</v>
      </c>
      <c r="F3493" t="s">
        <v>2065</v>
      </c>
      <c r="G3493" t="s">
        <v>5696</v>
      </c>
      <c r="H3493">
        <v>40309</v>
      </c>
      <c r="I3493" t="s">
        <v>423</v>
      </c>
      <c r="J3493" t="s">
        <v>4626</v>
      </c>
      <c r="K3493" t="s">
        <v>2102</v>
      </c>
      <c r="L3493" t="s">
        <v>2115</v>
      </c>
      <c r="M3493">
        <v>1457</v>
      </c>
      <c r="N3493">
        <v>25.48</v>
      </c>
      <c r="O3493">
        <v>18853.16</v>
      </c>
      <c r="P3493">
        <v>0</v>
      </c>
      <c r="Q3493">
        <v>18853.16</v>
      </c>
      <c r="R3493">
        <v>3016.51</v>
      </c>
      <c r="S3493">
        <v>754.13</v>
      </c>
      <c r="T3493">
        <v>21115.54</v>
      </c>
      <c r="U3493" t="s">
        <v>2106</v>
      </c>
      <c r="V3493" t="s">
        <v>9409</v>
      </c>
      <c r="W3493" t="s">
        <v>423</v>
      </c>
    </row>
    <row r="3494" spans="1:23" hidden="1" x14ac:dyDescent="0.2">
      <c r="A3494">
        <v>2012</v>
      </c>
      <c r="B3494" t="s">
        <v>304</v>
      </c>
      <c r="C3494" s="733">
        <v>40955</v>
      </c>
      <c r="D34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94" t="s">
        <v>505</v>
      </c>
      <c r="F3494" t="s">
        <v>1915</v>
      </c>
      <c r="G3494" t="s">
        <v>7606</v>
      </c>
      <c r="H3494">
        <v>22675</v>
      </c>
      <c r="I3494" t="s">
        <v>423</v>
      </c>
      <c r="J3494" t="s">
        <v>1917</v>
      </c>
      <c r="K3494" t="s">
        <v>1918</v>
      </c>
      <c r="L3494" t="s">
        <v>1919</v>
      </c>
      <c r="M3494">
        <v>267</v>
      </c>
      <c r="N3494">
        <v>49.84</v>
      </c>
      <c r="O3494">
        <v>11206.03</v>
      </c>
      <c r="P3494">
        <v>0</v>
      </c>
      <c r="Q3494">
        <v>11206.03</v>
      </c>
      <c r="R3494">
        <v>1792.96</v>
      </c>
      <c r="S3494">
        <v>448.24</v>
      </c>
      <c r="T3494">
        <v>12550.75</v>
      </c>
      <c r="U3494" t="s">
        <v>7529</v>
      </c>
      <c r="V3494" t="s">
        <v>9409</v>
      </c>
      <c r="W3494" t="s">
        <v>423</v>
      </c>
    </row>
    <row r="3495" spans="1:23" hidden="1" x14ac:dyDescent="0.2">
      <c r="A3495">
        <v>2012</v>
      </c>
      <c r="B3495" t="s">
        <v>303</v>
      </c>
      <c r="C3495" s="733">
        <v>40917</v>
      </c>
      <c r="D34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495" t="s">
        <v>505</v>
      </c>
      <c r="F3495" t="s">
        <v>1915</v>
      </c>
      <c r="G3495" t="s">
        <v>3397</v>
      </c>
      <c r="H3495">
        <v>21853</v>
      </c>
      <c r="I3495" t="s">
        <v>424</v>
      </c>
      <c r="J3495" t="s">
        <v>1917</v>
      </c>
      <c r="K3495" t="s">
        <v>1918</v>
      </c>
      <c r="L3495" t="s">
        <v>1919</v>
      </c>
      <c r="M3495">
        <v>267</v>
      </c>
      <c r="N3495">
        <v>30</v>
      </c>
      <c r="O3495">
        <v>2929.97</v>
      </c>
      <c r="P3495">
        <v>1683.8244589999999</v>
      </c>
      <c r="Q3495">
        <v>4613.7944589999997</v>
      </c>
      <c r="R3495">
        <v>738.20711300000005</v>
      </c>
      <c r="S3495">
        <v>184.55177800000001</v>
      </c>
      <c r="T3495">
        <v>5167.4497940000001</v>
      </c>
      <c r="U3495" t="s">
        <v>1926</v>
      </c>
      <c r="V3495" t="s">
        <v>9408</v>
      </c>
      <c r="W3495" t="s">
        <v>424</v>
      </c>
    </row>
    <row r="3496" spans="1:23" hidden="1" x14ac:dyDescent="0.2">
      <c r="A3496">
        <v>2012</v>
      </c>
      <c r="B3496" t="s">
        <v>304</v>
      </c>
      <c r="C3496" s="733">
        <v>40954</v>
      </c>
      <c r="D34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96" t="s">
        <v>505</v>
      </c>
      <c r="F3496" t="s">
        <v>1915</v>
      </c>
      <c r="G3496" t="s">
        <v>3396</v>
      </c>
      <c r="H3496">
        <v>22750</v>
      </c>
      <c r="I3496" t="s">
        <v>424</v>
      </c>
      <c r="J3496" t="s">
        <v>1917</v>
      </c>
      <c r="K3496" t="s">
        <v>1918</v>
      </c>
      <c r="L3496" t="s">
        <v>1919</v>
      </c>
      <c r="M3496">
        <v>267</v>
      </c>
      <c r="N3496">
        <v>30</v>
      </c>
      <c r="O3496">
        <v>2929.97</v>
      </c>
      <c r="P3496">
        <v>1683.8244589999999</v>
      </c>
      <c r="Q3496">
        <v>4613.7944589999997</v>
      </c>
      <c r="R3496">
        <v>738.20711300000005</v>
      </c>
      <c r="S3496">
        <v>184.55177800000001</v>
      </c>
      <c r="T3496">
        <v>5167.4497940000001</v>
      </c>
      <c r="U3496" t="s">
        <v>7522</v>
      </c>
      <c r="V3496" t="s">
        <v>9408</v>
      </c>
      <c r="W3496" t="s">
        <v>424</v>
      </c>
    </row>
    <row r="3497" spans="1:23" hidden="1" x14ac:dyDescent="0.2">
      <c r="A3497">
        <v>2012</v>
      </c>
      <c r="B3497" t="s">
        <v>304</v>
      </c>
      <c r="C3497" s="733">
        <v>40949</v>
      </c>
      <c r="D34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97" t="s">
        <v>505</v>
      </c>
      <c r="F3497" t="s">
        <v>1915</v>
      </c>
      <c r="G3497" t="s">
        <v>3391</v>
      </c>
      <c r="H3497">
        <v>22617</v>
      </c>
      <c r="I3497" t="s">
        <v>424</v>
      </c>
      <c r="J3497" t="s">
        <v>1917</v>
      </c>
      <c r="K3497" t="s">
        <v>1918</v>
      </c>
      <c r="L3497" t="s">
        <v>1919</v>
      </c>
      <c r="M3497">
        <v>267</v>
      </c>
      <c r="N3497">
        <v>30</v>
      </c>
      <c r="O3497">
        <v>2929.97</v>
      </c>
      <c r="P3497">
        <v>1683.8244589999999</v>
      </c>
      <c r="Q3497">
        <v>4613.7944589999997</v>
      </c>
      <c r="R3497">
        <v>738.20711300000005</v>
      </c>
      <c r="S3497">
        <v>184.55177800000001</v>
      </c>
      <c r="T3497">
        <v>5167.4497940000001</v>
      </c>
      <c r="U3497" t="s">
        <v>1924</v>
      </c>
      <c r="V3497" t="s">
        <v>9408</v>
      </c>
      <c r="W3497" t="s">
        <v>424</v>
      </c>
    </row>
    <row r="3498" spans="1:23" hidden="1" x14ac:dyDescent="0.2">
      <c r="A3498">
        <v>2012</v>
      </c>
      <c r="B3498" t="s">
        <v>304</v>
      </c>
      <c r="C3498" s="733">
        <v>40941</v>
      </c>
      <c r="D34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98" t="s">
        <v>505</v>
      </c>
      <c r="F3498" t="s">
        <v>1915</v>
      </c>
      <c r="G3498" t="s">
        <v>5286</v>
      </c>
      <c r="H3498">
        <v>22439</v>
      </c>
      <c r="I3498" t="s">
        <v>423</v>
      </c>
      <c r="J3498" t="s">
        <v>4146</v>
      </c>
      <c r="K3498" t="s">
        <v>1918</v>
      </c>
      <c r="L3498" t="s">
        <v>1919</v>
      </c>
      <c r="M3498">
        <v>243</v>
      </c>
      <c r="N3498">
        <v>27.46</v>
      </c>
      <c r="O3498">
        <v>6174.11</v>
      </c>
      <c r="P3498">
        <v>0</v>
      </c>
      <c r="Q3498">
        <v>6174.11</v>
      </c>
      <c r="R3498">
        <v>987.86</v>
      </c>
      <c r="S3498">
        <v>246.96</v>
      </c>
      <c r="T3498">
        <v>6915.01</v>
      </c>
      <c r="U3498" t="s">
        <v>1926</v>
      </c>
      <c r="V3498" t="s">
        <v>9408</v>
      </c>
      <c r="W3498" t="s">
        <v>423</v>
      </c>
    </row>
    <row r="3499" spans="1:23" x14ac:dyDescent="0.2">
      <c r="A3499">
        <v>2012</v>
      </c>
      <c r="B3499" t="s">
        <v>304</v>
      </c>
      <c r="C3499" s="733">
        <v>40968</v>
      </c>
      <c r="D34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499" t="s">
        <v>485</v>
      </c>
      <c r="F3499" t="s">
        <v>2048</v>
      </c>
      <c r="G3499" t="s">
        <v>9579</v>
      </c>
      <c r="H3499">
        <v>42868</v>
      </c>
      <c r="I3499" t="s">
        <v>423</v>
      </c>
      <c r="J3499" t="s">
        <v>4073</v>
      </c>
      <c r="K3499" t="s">
        <v>2051</v>
      </c>
      <c r="L3499" t="s">
        <v>2052</v>
      </c>
      <c r="M3499">
        <v>610</v>
      </c>
      <c r="N3499">
        <v>53.55</v>
      </c>
      <c r="O3499">
        <v>18982.939999999999</v>
      </c>
      <c r="P3499">
        <v>0</v>
      </c>
      <c r="Q3499">
        <v>18982.939999999999</v>
      </c>
      <c r="R3499">
        <v>3037.27</v>
      </c>
      <c r="S3499">
        <v>759.32</v>
      </c>
      <c r="T3499">
        <v>21260.89</v>
      </c>
      <c r="V3499" t="s">
        <v>9409</v>
      </c>
      <c r="W3499" t="s">
        <v>423</v>
      </c>
    </row>
    <row r="3500" spans="1:23" hidden="1" x14ac:dyDescent="0.2">
      <c r="A3500">
        <v>2012</v>
      </c>
      <c r="B3500" t="s">
        <v>304</v>
      </c>
      <c r="C3500" s="733">
        <v>40952</v>
      </c>
      <c r="D35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00" t="s">
        <v>505</v>
      </c>
      <c r="F3500" t="s">
        <v>2065</v>
      </c>
      <c r="G3500" t="s">
        <v>3395</v>
      </c>
      <c r="H3500">
        <v>22681</v>
      </c>
      <c r="I3500" t="s">
        <v>424</v>
      </c>
      <c r="J3500" t="s">
        <v>1917</v>
      </c>
      <c r="K3500" t="s">
        <v>1918</v>
      </c>
      <c r="L3500" t="s">
        <v>1919</v>
      </c>
      <c r="M3500">
        <v>267</v>
      </c>
      <c r="N3500">
        <v>30</v>
      </c>
      <c r="O3500">
        <v>2929.97</v>
      </c>
      <c r="P3500">
        <v>1683.8244589999999</v>
      </c>
      <c r="Q3500">
        <v>4613.7944589999997</v>
      </c>
      <c r="R3500">
        <v>738.20711300000005</v>
      </c>
      <c r="S3500">
        <v>184.55177800000001</v>
      </c>
      <c r="T3500">
        <v>5167.4497940000001</v>
      </c>
      <c r="U3500" t="s">
        <v>7522</v>
      </c>
      <c r="V3500" t="s">
        <v>9408</v>
      </c>
      <c r="W3500" t="s">
        <v>424</v>
      </c>
    </row>
    <row r="3501" spans="1:23" hidden="1" x14ac:dyDescent="0.2">
      <c r="A3501">
        <v>2012</v>
      </c>
      <c r="B3501" t="s">
        <v>303</v>
      </c>
      <c r="C3501" s="733">
        <v>40915</v>
      </c>
      <c r="D35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01" t="s">
        <v>505</v>
      </c>
      <c r="F3501" t="s">
        <v>2065</v>
      </c>
      <c r="G3501" t="s">
        <v>5555</v>
      </c>
      <c r="H3501">
        <v>21796</v>
      </c>
      <c r="I3501" t="s">
        <v>424</v>
      </c>
      <c r="J3501" t="s">
        <v>1917</v>
      </c>
      <c r="K3501" t="s">
        <v>1918</v>
      </c>
      <c r="L3501" t="s">
        <v>1919</v>
      </c>
      <c r="M3501">
        <v>267</v>
      </c>
      <c r="N3501">
        <v>30</v>
      </c>
      <c r="O3501">
        <v>2929.97</v>
      </c>
      <c r="P3501">
        <v>1683.8244589999999</v>
      </c>
      <c r="Q3501">
        <v>4613.7944589999997</v>
      </c>
      <c r="R3501">
        <v>738.20711300000005</v>
      </c>
      <c r="S3501">
        <v>184.55177800000001</v>
      </c>
      <c r="T3501">
        <v>5167.4497940000001</v>
      </c>
      <c r="U3501" t="s">
        <v>1920</v>
      </c>
      <c r="V3501" t="s">
        <v>9408</v>
      </c>
      <c r="W3501" t="s">
        <v>424</v>
      </c>
    </row>
    <row r="3502" spans="1:23" hidden="1" x14ac:dyDescent="0.2">
      <c r="A3502">
        <v>2012</v>
      </c>
      <c r="B3502" t="s">
        <v>304</v>
      </c>
      <c r="C3502" s="733">
        <v>40967</v>
      </c>
      <c r="D35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02" t="s">
        <v>478</v>
      </c>
      <c r="F3502" t="s">
        <v>2136</v>
      </c>
      <c r="G3502" t="s">
        <v>9299</v>
      </c>
      <c r="H3502">
        <v>36170</v>
      </c>
      <c r="I3502" t="s">
        <v>423</v>
      </c>
      <c r="J3502" t="s">
        <v>4632</v>
      </c>
      <c r="K3502" t="s">
        <v>425</v>
      </c>
      <c r="L3502" t="s">
        <v>2145</v>
      </c>
      <c r="M3502">
        <v>1395</v>
      </c>
      <c r="N3502">
        <v>46.94</v>
      </c>
      <c r="O3502">
        <v>42564.72</v>
      </c>
      <c r="P3502">
        <v>0</v>
      </c>
      <c r="Q3502">
        <v>42564.72</v>
      </c>
      <c r="R3502">
        <v>6810.36</v>
      </c>
      <c r="S3502">
        <v>1702.59</v>
      </c>
      <c r="T3502">
        <v>47672.49</v>
      </c>
      <c r="U3502" t="s">
        <v>9430</v>
      </c>
      <c r="V3502" t="s">
        <v>9409</v>
      </c>
      <c r="W3502" t="s">
        <v>423</v>
      </c>
    </row>
    <row r="3503" spans="1:23" hidden="1" x14ac:dyDescent="0.2">
      <c r="A3503">
        <v>2012</v>
      </c>
      <c r="B3503" t="s">
        <v>304</v>
      </c>
      <c r="C3503" s="733">
        <v>40966</v>
      </c>
      <c r="D35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03" t="s">
        <v>505</v>
      </c>
      <c r="F3503" t="s">
        <v>1915</v>
      </c>
      <c r="G3503" t="s">
        <v>9288</v>
      </c>
      <c r="H3503">
        <v>23031</v>
      </c>
      <c r="I3503" t="s">
        <v>423</v>
      </c>
      <c r="J3503" t="s">
        <v>1943</v>
      </c>
      <c r="K3503" t="s">
        <v>1918</v>
      </c>
      <c r="L3503" t="s">
        <v>1919</v>
      </c>
      <c r="M3503">
        <v>319</v>
      </c>
      <c r="N3503">
        <v>54.18</v>
      </c>
      <c r="O3503">
        <v>15887.74</v>
      </c>
      <c r="P3503">
        <v>0</v>
      </c>
      <c r="Q3503">
        <v>15887.74</v>
      </c>
      <c r="R3503">
        <v>2542.04</v>
      </c>
      <c r="S3503">
        <v>635.51</v>
      </c>
      <c r="T3503">
        <v>17794.27</v>
      </c>
      <c r="U3503" t="s">
        <v>9415</v>
      </c>
      <c r="V3503" t="s">
        <v>9409</v>
      </c>
      <c r="W3503" t="s">
        <v>423</v>
      </c>
    </row>
    <row r="3504" spans="1:23" hidden="1" x14ac:dyDescent="0.2">
      <c r="A3504">
        <v>2012</v>
      </c>
      <c r="B3504" t="s">
        <v>304</v>
      </c>
      <c r="C3504" s="733">
        <v>40968</v>
      </c>
      <c r="D35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04" t="s">
        <v>505</v>
      </c>
      <c r="F3504" t="s">
        <v>1915</v>
      </c>
      <c r="G3504" t="s">
        <v>9584</v>
      </c>
      <c r="H3504">
        <v>23088</v>
      </c>
      <c r="I3504" t="s">
        <v>423</v>
      </c>
      <c r="J3504" t="s">
        <v>1943</v>
      </c>
      <c r="K3504" t="s">
        <v>1918</v>
      </c>
      <c r="L3504" t="s">
        <v>1919</v>
      </c>
      <c r="M3504">
        <v>319</v>
      </c>
      <c r="N3504">
        <v>53.97</v>
      </c>
      <c r="O3504">
        <v>15826.16</v>
      </c>
      <c r="P3504">
        <v>0</v>
      </c>
      <c r="Q3504">
        <v>15826.16</v>
      </c>
      <c r="R3504">
        <v>2532.19</v>
      </c>
      <c r="S3504">
        <v>633.04999999999995</v>
      </c>
      <c r="T3504">
        <v>17725.3</v>
      </c>
      <c r="V3504" t="s">
        <v>9409</v>
      </c>
      <c r="W3504" t="s">
        <v>423</v>
      </c>
    </row>
    <row r="3505" spans="1:23" hidden="1" x14ac:dyDescent="0.2">
      <c r="A3505">
        <v>2012</v>
      </c>
      <c r="B3505" t="s">
        <v>303</v>
      </c>
      <c r="C3505" s="733">
        <v>40928.366805555554</v>
      </c>
      <c r="D35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05" t="s">
        <v>485</v>
      </c>
      <c r="F3505" t="s">
        <v>2065</v>
      </c>
      <c r="G3505" t="s">
        <v>5681</v>
      </c>
      <c r="H3505">
        <v>40498</v>
      </c>
      <c r="I3505" t="s">
        <v>423</v>
      </c>
      <c r="J3505" t="s">
        <v>2126</v>
      </c>
      <c r="K3505" t="s">
        <v>2102</v>
      </c>
      <c r="L3505" t="s">
        <v>2115</v>
      </c>
      <c r="M3505">
        <v>930</v>
      </c>
      <c r="N3505">
        <v>25.06</v>
      </c>
      <c r="O3505">
        <v>14712.22</v>
      </c>
      <c r="P3505">
        <v>0</v>
      </c>
      <c r="Q3505">
        <v>14712.22</v>
      </c>
      <c r="R3505">
        <v>2353.96</v>
      </c>
      <c r="S3505">
        <v>588.49</v>
      </c>
      <c r="T3505">
        <v>16477.689999999999</v>
      </c>
      <c r="U3505" t="s">
        <v>2108</v>
      </c>
      <c r="V3505" t="s">
        <v>9409</v>
      </c>
      <c r="W3505" t="s">
        <v>423</v>
      </c>
    </row>
    <row r="3506" spans="1:23" hidden="1" x14ac:dyDescent="0.2">
      <c r="A3506">
        <v>2012</v>
      </c>
      <c r="B3506" t="s">
        <v>304</v>
      </c>
      <c r="C3506" s="733">
        <v>40955</v>
      </c>
      <c r="D35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06" t="s">
        <v>485</v>
      </c>
      <c r="F3506" t="s">
        <v>2065</v>
      </c>
      <c r="G3506" t="s">
        <v>7912</v>
      </c>
      <c r="H3506">
        <v>41934</v>
      </c>
      <c r="I3506" t="s">
        <v>423</v>
      </c>
      <c r="J3506" t="s">
        <v>2126</v>
      </c>
      <c r="K3506" t="s">
        <v>2102</v>
      </c>
      <c r="L3506" t="s">
        <v>2115</v>
      </c>
      <c r="M3506">
        <v>930</v>
      </c>
      <c r="N3506">
        <v>24.74</v>
      </c>
      <c r="O3506">
        <v>14524.36</v>
      </c>
      <c r="P3506">
        <v>0</v>
      </c>
      <c r="Q3506">
        <v>14524.36</v>
      </c>
      <c r="R3506">
        <v>2323.9</v>
      </c>
      <c r="S3506">
        <v>580.97</v>
      </c>
      <c r="T3506">
        <v>16267.29</v>
      </c>
      <c r="U3506" t="s">
        <v>8051</v>
      </c>
      <c r="V3506" t="s">
        <v>9409</v>
      </c>
      <c r="W3506" t="s">
        <v>423</v>
      </c>
    </row>
    <row r="3507" spans="1:23" hidden="1" x14ac:dyDescent="0.2">
      <c r="A3507">
        <v>2012</v>
      </c>
      <c r="B3507" t="s">
        <v>303</v>
      </c>
      <c r="C3507" s="733">
        <v>40936</v>
      </c>
      <c r="D35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07" t="s">
        <v>478</v>
      </c>
      <c r="F3507" t="s">
        <v>2136</v>
      </c>
      <c r="G3507" t="s">
        <v>4802</v>
      </c>
      <c r="H3507">
        <v>34735</v>
      </c>
      <c r="I3507" t="s">
        <v>423</v>
      </c>
      <c r="J3507" t="s">
        <v>3480</v>
      </c>
      <c r="K3507" t="s">
        <v>3481</v>
      </c>
      <c r="L3507" t="s">
        <v>3482</v>
      </c>
      <c r="M3507">
        <v>75</v>
      </c>
      <c r="N3507">
        <v>28.53</v>
      </c>
      <c r="O3507">
        <v>3220.18</v>
      </c>
      <c r="P3507">
        <v>0</v>
      </c>
      <c r="Q3507">
        <v>3220.18</v>
      </c>
      <c r="R3507">
        <v>515.23</v>
      </c>
      <c r="S3507">
        <v>128.81</v>
      </c>
      <c r="T3507">
        <v>3606.6</v>
      </c>
      <c r="U3507" t="s">
        <v>3784</v>
      </c>
      <c r="V3507" t="s">
        <v>9408</v>
      </c>
      <c r="W3507" t="s">
        <v>423</v>
      </c>
    </row>
    <row r="3508" spans="1:23" hidden="1" x14ac:dyDescent="0.2">
      <c r="A3508">
        <v>2012</v>
      </c>
      <c r="B3508" t="s">
        <v>303</v>
      </c>
      <c r="C3508" s="733">
        <v>40936</v>
      </c>
      <c r="D35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08" t="s">
        <v>478</v>
      </c>
      <c r="F3508" t="s">
        <v>2136</v>
      </c>
      <c r="G3508" t="s">
        <v>4800</v>
      </c>
      <c r="H3508">
        <v>34731</v>
      </c>
      <c r="I3508" t="s">
        <v>423</v>
      </c>
      <c r="J3508" t="s">
        <v>3480</v>
      </c>
      <c r="K3508" t="s">
        <v>3481</v>
      </c>
      <c r="L3508" t="s">
        <v>2145</v>
      </c>
      <c r="M3508">
        <v>75</v>
      </c>
      <c r="N3508">
        <v>37.53</v>
      </c>
      <c r="O3508">
        <v>4236.01</v>
      </c>
      <c r="P3508">
        <v>0</v>
      </c>
      <c r="Q3508">
        <v>4236.01</v>
      </c>
      <c r="R3508">
        <v>677.76</v>
      </c>
      <c r="S3508">
        <v>169.44</v>
      </c>
      <c r="T3508">
        <v>4744.33</v>
      </c>
      <c r="U3508" t="s">
        <v>3784</v>
      </c>
      <c r="V3508" t="s">
        <v>9408</v>
      </c>
      <c r="W3508" t="s">
        <v>423</v>
      </c>
    </row>
    <row r="3509" spans="1:23" hidden="1" x14ac:dyDescent="0.2">
      <c r="A3509">
        <v>2012</v>
      </c>
      <c r="B3509" t="s">
        <v>304</v>
      </c>
      <c r="C3509" s="733">
        <v>40952</v>
      </c>
      <c r="D35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09" t="s">
        <v>478</v>
      </c>
      <c r="F3509" t="s">
        <v>2136</v>
      </c>
      <c r="G3509" t="s">
        <v>4801</v>
      </c>
      <c r="H3509">
        <v>34329</v>
      </c>
      <c r="I3509" t="s">
        <v>423</v>
      </c>
      <c r="J3509" t="s">
        <v>3480</v>
      </c>
      <c r="K3509" t="s">
        <v>3481</v>
      </c>
      <c r="L3509" t="s">
        <v>3482</v>
      </c>
      <c r="M3509">
        <v>75</v>
      </c>
      <c r="N3509">
        <v>23.62</v>
      </c>
      <c r="O3509">
        <v>2665.99</v>
      </c>
      <c r="P3509">
        <v>0</v>
      </c>
      <c r="Q3509">
        <v>2665.99</v>
      </c>
      <c r="R3509">
        <v>426.56</v>
      </c>
      <c r="S3509">
        <v>106.64</v>
      </c>
      <c r="T3509">
        <v>2985.91</v>
      </c>
      <c r="U3509" t="s">
        <v>3483</v>
      </c>
      <c r="V3509" t="s">
        <v>9408</v>
      </c>
      <c r="W3509" t="s">
        <v>423</v>
      </c>
    </row>
    <row r="3510" spans="1:23" hidden="1" x14ac:dyDescent="0.2">
      <c r="A3510">
        <v>2012</v>
      </c>
      <c r="B3510" t="s">
        <v>303</v>
      </c>
      <c r="C3510" s="733">
        <v>40936</v>
      </c>
      <c r="D35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10" t="s">
        <v>478</v>
      </c>
      <c r="F3510" t="s">
        <v>3787</v>
      </c>
      <c r="G3510" t="s">
        <v>4807</v>
      </c>
      <c r="H3510">
        <v>35020</v>
      </c>
      <c r="I3510" t="s">
        <v>423</v>
      </c>
      <c r="J3510" t="s">
        <v>3480</v>
      </c>
      <c r="K3510" t="s">
        <v>3481</v>
      </c>
      <c r="L3510" t="s">
        <v>3482</v>
      </c>
      <c r="M3510">
        <v>75</v>
      </c>
      <c r="N3510">
        <v>23.56</v>
      </c>
      <c r="O3510">
        <v>2659.22</v>
      </c>
      <c r="P3510">
        <v>0</v>
      </c>
      <c r="Q3510">
        <v>2659.22</v>
      </c>
      <c r="R3510">
        <v>425.47</v>
      </c>
      <c r="S3510">
        <v>106.37</v>
      </c>
      <c r="T3510">
        <v>2978.32</v>
      </c>
      <c r="U3510" t="s">
        <v>3784</v>
      </c>
      <c r="V3510" t="s">
        <v>9408</v>
      </c>
      <c r="W3510" t="s">
        <v>423</v>
      </c>
    </row>
    <row r="3511" spans="1:23" hidden="1" x14ac:dyDescent="0.2">
      <c r="A3511">
        <v>2012</v>
      </c>
      <c r="B3511" t="s">
        <v>304</v>
      </c>
      <c r="C3511" s="733">
        <v>40952</v>
      </c>
      <c r="D35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11" t="s">
        <v>478</v>
      </c>
      <c r="F3511" t="s">
        <v>3787</v>
      </c>
      <c r="G3511" t="s">
        <v>4806</v>
      </c>
      <c r="H3511">
        <v>34322</v>
      </c>
      <c r="I3511" t="s">
        <v>423</v>
      </c>
      <c r="J3511" t="s">
        <v>3480</v>
      </c>
      <c r="K3511" t="s">
        <v>3481</v>
      </c>
      <c r="L3511" t="s">
        <v>3482</v>
      </c>
      <c r="M3511">
        <v>75</v>
      </c>
      <c r="N3511">
        <v>29.69</v>
      </c>
      <c r="O3511">
        <v>3351.11</v>
      </c>
      <c r="P3511">
        <v>0</v>
      </c>
      <c r="Q3511">
        <v>3351.11</v>
      </c>
      <c r="R3511">
        <v>536.17999999999995</v>
      </c>
      <c r="S3511">
        <v>134.04</v>
      </c>
      <c r="T3511">
        <v>3753.25</v>
      </c>
      <c r="U3511" t="s">
        <v>3483</v>
      </c>
      <c r="V3511" t="s">
        <v>9408</v>
      </c>
      <c r="W3511" t="s">
        <v>423</v>
      </c>
    </row>
    <row r="3512" spans="1:23" hidden="1" x14ac:dyDescent="0.2">
      <c r="A3512">
        <v>2012</v>
      </c>
      <c r="B3512" t="s">
        <v>304</v>
      </c>
      <c r="C3512" s="733">
        <v>40952.539826388886</v>
      </c>
      <c r="D35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12" t="s">
        <v>478</v>
      </c>
      <c r="F3512" t="s">
        <v>3787</v>
      </c>
      <c r="G3512" t="s">
        <v>4805</v>
      </c>
      <c r="H3512">
        <v>35541</v>
      </c>
      <c r="I3512" t="s">
        <v>423</v>
      </c>
      <c r="J3512" t="s">
        <v>3480</v>
      </c>
      <c r="K3512" t="s">
        <v>3481</v>
      </c>
      <c r="L3512" t="s">
        <v>3482</v>
      </c>
      <c r="M3512">
        <v>75</v>
      </c>
      <c r="N3512">
        <v>29.67</v>
      </c>
      <c r="O3512">
        <v>3348.85</v>
      </c>
      <c r="P3512">
        <v>0</v>
      </c>
      <c r="Q3512">
        <v>3348.85</v>
      </c>
      <c r="R3512">
        <v>535.82000000000005</v>
      </c>
      <c r="S3512">
        <v>133.94999999999999</v>
      </c>
      <c r="T3512">
        <v>3750.72</v>
      </c>
      <c r="U3512" t="s">
        <v>3483</v>
      </c>
      <c r="V3512" t="s">
        <v>9408</v>
      </c>
      <c r="W3512" t="s">
        <v>423</v>
      </c>
    </row>
    <row r="3513" spans="1:23" hidden="1" x14ac:dyDescent="0.2">
      <c r="A3513">
        <v>2012</v>
      </c>
      <c r="B3513" t="s">
        <v>304</v>
      </c>
      <c r="C3513" s="733">
        <v>40948</v>
      </c>
      <c r="D35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13" t="s">
        <v>485</v>
      </c>
      <c r="F3513" t="s">
        <v>2065</v>
      </c>
      <c r="G3513" t="s">
        <v>5682</v>
      </c>
      <c r="H3513">
        <v>41541</v>
      </c>
      <c r="I3513" t="s">
        <v>423</v>
      </c>
      <c r="J3513" t="s">
        <v>2126</v>
      </c>
      <c r="K3513" t="s">
        <v>2102</v>
      </c>
      <c r="L3513" t="s">
        <v>2115</v>
      </c>
      <c r="M3513">
        <v>930</v>
      </c>
      <c r="N3513">
        <v>22.95</v>
      </c>
      <c r="O3513">
        <v>13473.49</v>
      </c>
      <c r="P3513">
        <v>0</v>
      </c>
      <c r="Q3513">
        <v>13473.49</v>
      </c>
      <c r="R3513">
        <v>2155.7600000000002</v>
      </c>
      <c r="S3513">
        <v>538.94000000000005</v>
      </c>
      <c r="T3513">
        <v>15090.31</v>
      </c>
      <c r="U3513" t="s">
        <v>7462</v>
      </c>
      <c r="V3513" t="s">
        <v>9408</v>
      </c>
      <c r="W3513" t="s">
        <v>423</v>
      </c>
    </row>
    <row r="3514" spans="1:23" hidden="1" x14ac:dyDescent="0.2">
      <c r="A3514">
        <v>2012</v>
      </c>
      <c r="B3514" t="s">
        <v>303</v>
      </c>
      <c r="C3514" s="733">
        <v>40939</v>
      </c>
      <c r="D35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14" t="s">
        <v>478</v>
      </c>
      <c r="F3514" t="s">
        <v>2136</v>
      </c>
      <c r="G3514" t="s">
        <v>5683</v>
      </c>
      <c r="H3514">
        <v>35063</v>
      </c>
      <c r="I3514" t="s">
        <v>423</v>
      </c>
      <c r="J3514" t="s">
        <v>5684</v>
      </c>
      <c r="K3514" t="s">
        <v>425</v>
      </c>
      <c r="L3514" t="s">
        <v>2145</v>
      </c>
      <c r="M3514">
        <v>484</v>
      </c>
      <c r="N3514">
        <v>21.9</v>
      </c>
      <c r="O3514">
        <v>6607.01</v>
      </c>
      <c r="P3514">
        <v>0</v>
      </c>
      <c r="Q3514">
        <v>6607.01</v>
      </c>
      <c r="R3514">
        <v>1057.1199999999999</v>
      </c>
      <c r="S3514">
        <v>264.27999999999997</v>
      </c>
      <c r="T3514">
        <v>7399.85</v>
      </c>
      <c r="U3514" t="s">
        <v>2580</v>
      </c>
      <c r="V3514" t="s">
        <v>9408</v>
      </c>
      <c r="W3514" t="s">
        <v>423</v>
      </c>
    </row>
    <row r="3515" spans="1:23" hidden="1" x14ac:dyDescent="0.2">
      <c r="A3515">
        <v>2012</v>
      </c>
      <c r="B3515" t="s">
        <v>303</v>
      </c>
      <c r="C3515" s="733">
        <v>40911</v>
      </c>
      <c r="D35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15" t="s">
        <v>485</v>
      </c>
      <c r="F3515" t="s">
        <v>2065</v>
      </c>
      <c r="G3515" t="s">
        <v>5072</v>
      </c>
      <c r="H3515">
        <v>39637</v>
      </c>
      <c r="I3515" t="s">
        <v>423</v>
      </c>
      <c r="J3515" t="s">
        <v>2114</v>
      </c>
      <c r="K3515" t="s">
        <v>2102</v>
      </c>
      <c r="L3515" t="s">
        <v>2115</v>
      </c>
      <c r="M3515">
        <v>500</v>
      </c>
      <c r="N3515">
        <v>24.94</v>
      </c>
      <c r="O3515">
        <v>6164.42</v>
      </c>
      <c r="P3515">
        <v>6940.458834</v>
      </c>
      <c r="Q3515">
        <v>13104.878833999999</v>
      </c>
      <c r="R3515">
        <v>2096.7806129999999</v>
      </c>
      <c r="S3515">
        <v>524.195153</v>
      </c>
      <c r="T3515">
        <v>14677.464293999999</v>
      </c>
      <c r="U3515" t="s">
        <v>2104</v>
      </c>
      <c r="V3515" t="s">
        <v>9408</v>
      </c>
      <c r="W3515" t="s">
        <v>423</v>
      </c>
    </row>
    <row r="3516" spans="1:23" hidden="1" x14ac:dyDescent="0.2">
      <c r="A3516">
        <v>2012</v>
      </c>
      <c r="B3516" t="s">
        <v>304</v>
      </c>
      <c r="C3516" s="733">
        <v>40954.556562500002</v>
      </c>
      <c r="D35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16" t="s">
        <v>485</v>
      </c>
      <c r="F3516" t="s">
        <v>2099</v>
      </c>
      <c r="G3516" t="s">
        <v>7471</v>
      </c>
      <c r="H3516">
        <v>41994</v>
      </c>
      <c r="I3516" t="s">
        <v>423</v>
      </c>
      <c r="J3516" t="s">
        <v>2126</v>
      </c>
      <c r="K3516" t="s">
        <v>2102</v>
      </c>
      <c r="L3516" t="s">
        <v>2115</v>
      </c>
      <c r="M3516">
        <v>930</v>
      </c>
      <c r="N3516">
        <v>23.93</v>
      </c>
      <c r="O3516">
        <v>14048.82</v>
      </c>
      <c r="P3516">
        <v>0</v>
      </c>
      <c r="Q3516">
        <v>14048.82</v>
      </c>
      <c r="R3516">
        <v>2247.81</v>
      </c>
      <c r="S3516">
        <v>561.95000000000005</v>
      </c>
      <c r="T3516">
        <v>15734.68</v>
      </c>
      <c r="V3516" t="s">
        <v>9408</v>
      </c>
      <c r="W3516" t="s">
        <v>423</v>
      </c>
    </row>
    <row r="3517" spans="1:23" hidden="1" x14ac:dyDescent="0.2">
      <c r="A3517">
        <v>2012</v>
      </c>
      <c r="B3517" t="s">
        <v>303</v>
      </c>
      <c r="C3517" s="733">
        <v>40921</v>
      </c>
      <c r="D35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17" t="s">
        <v>505</v>
      </c>
      <c r="F3517" t="s">
        <v>1915</v>
      </c>
      <c r="G3517" t="s">
        <v>6969</v>
      </c>
      <c r="H3517">
        <v>21891</v>
      </c>
      <c r="I3517" t="s">
        <v>423</v>
      </c>
      <c r="J3517" t="s">
        <v>1943</v>
      </c>
      <c r="K3517" t="s">
        <v>1918</v>
      </c>
      <c r="L3517" t="s">
        <v>1919</v>
      </c>
      <c r="M3517">
        <v>319</v>
      </c>
      <c r="N3517">
        <v>54.28</v>
      </c>
      <c r="O3517">
        <v>15917.07</v>
      </c>
      <c r="P3517">
        <v>0</v>
      </c>
      <c r="Q3517">
        <v>15917.07</v>
      </c>
      <c r="R3517">
        <v>2546.73</v>
      </c>
      <c r="S3517">
        <v>636.67999999999995</v>
      </c>
      <c r="T3517">
        <v>17827.12</v>
      </c>
      <c r="U3517" t="s">
        <v>1931</v>
      </c>
      <c r="V3517" t="s">
        <v>9409</v>
      </c>
      <c r="W3517" t="s">
        <v>423</v>
      </c>
    </row>
    <row r="3518" spans="1:23" hidden="1" x14ac:dyDescent="0.2">
      <c r="A3518">
        <v>2012</v>
      </c>
      <c r="B3518" t="s">
        <v>303</v>
      </c>
      <c r="C3518" s="733">
        <v>40936.617199074077</v>
      </c>
      <c r="D35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18" t="s">
        <v>485</v>
      </c>
      <c r="F3518" t="s">
        <v>2054</v>
      </c>
      <c r="G3518" t="s">
        <v>2748</v>
      </c>
      <c r="H3518">
        <v>10242</v>
      </c>
      <c r="I3518" t="s">
        <v>423</v>
      </c>
      <c r="J3518" t="s">
        <v>2072</v>
      </c>
      <c r="K3518" t="s">
        <v>2057</v>
      </c>
      <c r="L3518" t="s">
        <v>2058</v>
      </c>
      <c r="M3518">
        <v>406</v>
      </c>
      <c r="N3518">
        <v>48.43</v>
      </c>
      <c r="O3518">
        <v>13234.95</v>
      </c>
      <c r="P3518">
        <v>0</v>
      </c>
      <c r="Q3518">
        <v>13234.95</v>
      </c>
      <c r="R3518">
        <v>2117.59</v>
      </c>
      <c r="S3518">
        <v>529.4</v>
      </c>
      <c r="T3518">
        <v>14823.14</v>
      </c>
      <c r="U3518" t="s">
        <v>2073</v>
      </c>
      <c r="V3518" t="s">
        <v>9409</v>
      </c>
      <c r="W3518" t="s">
        <v>423</v>
      </c>
    </row>
    <row r="3519" spans="1:23" x14ac:dyDescent="0.2">
      <c r="A3519">
        <v>2012</v>
      </c>
      <c r="B3519" t="s">
        <v>304</v>
      </c>
      <c r="C3519" s="733">
        <v>40967</v>
      </c>
      <c r="D35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19" t="s">
        <v>485</v>
      </c>
      <c r="F3519" t="s">
        <v>2048</v>
      </c>
      <c r="G3519" t="s">
        <v>9076</v>
      </c>
      <c r="H3519">
        <v>41512</v>
      </c>
      <c r="I3519" t="s">
        <v>423</v>
      </c>
      <c r="J3519" t="s">
        <v>4091</v>
      </c>
      <c r="K3519" t="s">
        <v>2051</v>
      </c>
      <c r="L3519" t="s">
        <v>2052</v>
      </c>
      <c r="M3519">
        <v>1092</v>
      </c>
      <c r="N3519">
        <v>25.9</v>
      </c>
      <c r="O3519">
        <v>15112.65</v>
      </c>
      <c r="P3519">
        <v>0</v>
      </c>
      <c r="Q3519">
        <v>15112.65</v>
      </c>
      <c r="R3519">
        <v>2418.02</v>
      </c>
      <c r="S3519">
        <v>604.51</v>
      </c>
      <c r="T3519">
        <v>16926.16</v>
      </c>
      <c r="U3519" t="s">
        <v>8780</v>
      </c>
      <c r="V3519" t="s">
        <v>9408</v>
      </c>
      <c r="W3519" t="s">
        <v>423</v>
      </c>
    </row>
    <row r="3520" spans="1:23" hidden="1" x14ac:dyDescent="0.2">
      <c r="A3520">
        <v>2012</v>
      </c>
      <c r="B3520" t="s">
        <v>304</v>
      </c>
      <c r="C3520" s="733">
        <v>40946</v>
      </c>
      <c r="D35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20" t="s">
        <v>485</v>
      </c>
      <c r="F3520" t="s">
        <v>2054</v>
      </c>
      <c r="G3520" t="s">
        <v>6762</v>
      </c>
      <c r="H3520">
        <v>10314</v>
      </c>
      <c r="I3520" t="s">
        <v>423</v>
      </c>
      <c r="J3520" t="s">
        <v>4045</v>
      </c>
      <c r="K3520" t="s">
        <v>2057</v>
      </c>
      <c r="L3520" t="s">
        <v>2058</v>
      </c>
      <c r="M3520">
        <v>0</v>
      </c>
      <c r="N3520">
        <v>23.03</v>
      </c>
      <c r="O3520">
        <v>6293.64</v>
      </c>
      <c r="P3520">
        <v>0</v>
      </c>
      <c r="Q3520">
        <v>6293.64</v>
      </c>
      <c r="R3520">
        <v>1006.98</v>
      </c>
      <c r="S3520">
        <v>251.75</v>
      </c>
      <c r="T3520">
        <v>7048.87</v>
      </c>
      <c r="U3520" t="s">
        <v>2075</v>
      </c>
      <c r="V3520" t="s">
        <v>9408</v>
      </c>
      <c r="W3520" t="s">
        <v>423</v>
      </c>
    </row>
    <row r="3521" spans="1:23" hidden="1" x14ac:dyDescent="0.2">
      <c r="A3521">
        <v>2012</v>
      </c>
      <c r="B3521" t="s">
        <v>303</v>
      </c>
      <c r="C3521" s="733">
        <v>40920</v>
      </c>
      <c r="D35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21" t="s">
        <v>505</v>
      </c>
      <c r="F3521" t="s">
        <v>1915</v>
      </c>
      <c r="G3521" t="s">
        <v>2725</v>
      </c>
      <c r="H3521">
        <v>21900</v>
      </c>
      <c r="I3521" t="s">
        <v>423</v>
      </c>
      <c r="J3521" t="s">
        <v>1943</v>
      </c>
      <c r="K3521" t="s">
        <v>1918</v>
      </c>
      <c r="L3521" t="s">
        <v>1919</v>
      </c>
      <c r="M3521">
        <v>319</v>
      </c>
      <c r="N3521">
        <v>54.45</v>
      </c>
      <c r="O3521">
        <v>15966.92</v>
      </c>
      <c r="P3521">
        <v>0</v>
      </c>
      <c r="Q3521">
        <v>15966.92</v>
      </c>
      <c r="R3521">
        <v>2554.71</v>
      </c>
      <c r="S3521">
        <v>638.67999999999995</v>
      </c>
      <c r="T3521">
        <v>17882.95</v>
      </c>
      <c r="U3521" t="s">
        <v>1931</v>
      </c>
      <c r="V3521" t="s">
        <v>9409</v>
      </c>
      <c r="W3521" t="s">
        <v>423</v>
      </c>
    </row>
    <row r="3522" spans="1:23" hidden="1" x14ac:dyDescent="0.2">
      <c r="A3522">
        <v>2012</v>
      </c>
      <c r="B3522" t="s">
        <v>304</v>
      </c>
      <c r="C3522" s="733">
        <v>40949</v>
      </c>
      <c r="D35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22" t="s">
        <v>505</v>
      </c>
      <c r="F3522" t="s">
        <v>1915</v>
      </c>
      <c r="G3522" t="s">
        <v>1976</v>
      </c>
      <c r="H3522">
        <v>22607</v>
      </c>
      <c r="I3522" t="s">
        <v>423</v>
      </c>
      <c r="J3522" t="s">
        <v>1943</v>
      </c>
      <c r="K3522" t="s">
        <v>1918</v>
      </c>
      <c r="L3522" t="s">
        <v>1919</v>
      </c>
      <c r="M3522">
        <v>319</v>
      </c>
      <c r="N3522">
        <v>54</v>
      </c>
      <c r="O3522">
        <v>15834.96</v>
      </c>
      <c r="P3522">
        <v>0</v>
      </c>
      <c r="Q3522">
        <v>15834.96</v>
      </c>
      <c r="R3522">
        <v>2533.59</v>
      </c>
      <c r="S3522">
        <v>633.4</v>
      </c>
      <c r="T3522">
        <v>17735.150000000001</v>
      </c>
      <c r="U3522" t="s">
        <v>7522</v>
      </c>
      <c r="V3522" t="s">
        <v>9409</v>
      </c>
      <c r="W3522" t="s">
        <v>423</v>
      </c>
    </row>
    <row r="3523" spans="1:23" hidden="1" x14ac:dyDescent="0.2">
      <c r="A3523">
        <v>2012</v>
      </c>
      <c r="B3523" t="s">
        <v>303</v>
      </c>
      <c r="C3523" s="733">
        <v>40915.884826388887</v>
      </c>
      <c r="D35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23" t="s">
        <v>505</v>
      </c>
      <c r="F3523" t="s">
        <v>1915</v>
      </c>
      <c r="G3523" t="s">
        <v>1975</v>
      </c>
      <c r="H3523">
        <v>21828</v>
      </c>
      <c r="I3523" t="s">
        <v>423</v>
      </c>
      <c r="J3523" t="s">
        <v>1943</v>
      </c>
      <c r="K3523" t="s">
        <v>1918</v>
      </c>
      <c r="L3523" t="s">
        <v>1919</v>
      </c>
      <c r="M3523">
        <v>319</v>
      </c>
      <c r="N3523">
        <v>54.14</v>
      </c>
      <c r="O3523">
        <v>15876.01</v>
      </c>
      <c r="P3523">
        <v>0</v>
      </c>
      <c r="Q3523">
        <v>15876.01</v>
      </c>
      <c r="R3523">
        <v>2540.16</v>
      </c>
      <c r="S3523">
        <v>635.04</v>
      </c>
      <c r="T3523">
        <v>17781.13</v>
      </c>
      <c r="U3523" t="s">
        <v>1931</v>
      </c>
      <c r="V3523" t="s">
        <v>9409</v>
      </c>
      <c r="W3523" t="s">
        <v>423</v>
      </c>
    </row>
    <row r="3524" spans="1:23" hidden="1" x14ac:dyDescent="0.2">
      <c r="A3524">
        <v>2012</v>
      </c>
      <c r="B3524" t="s">
        <v>303</v>
      </c>
      <c r="C3524" s="733">
        <v>40926</v>
      </c>
      <c r="D35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24" t="s">
        <v>485</v>
      </c>
      <c r="F3524" t="s">
        <v>2065</v>
      </c>
      <c r="G3524" t="s">
        <v>6500</v>
      </c>
      <c r="H3524">
        <v>40455</v>
      </c>
      <c r="I3524" t="s">
        <v>423</v>
      </c>
      <c r="J3524" t="s">
        <v>3972</v>
      </c>
      <c r="K3524" t="s">
        <v>2183</v>
      </c>
      <c r="L3524" t="s">
        <v>2184</v>
      </c>
      <c r="M3524">
        <v>184</v>
      </c>
      <c r="N3524">
        <v>50.19</v>
      </c>
      <c r="O3524">
        <v>8929.7999999999993</v>
      </c>
      <c r="P3524">
        <v>0</v>
      </c>
      <c r="Q3524">
        <v>8929.7999999999993</v>
      </c>
      <c r="R3524">
        <v>1428.77</v>
      </c>
      <c r="S3524">
        <v>357.19</v>
      </c>
      <c r="T3524">
        <v>10001.379999999999</v>
      </c>
      <c r="U3524" t="s">
        <v>7554</v>
      </c>
      <c r="V3524" t="s">
        <v>9409</v>
      </c>
      <c r="W3524" t="s">
        <v>423</v>
      </c>
    </row>
    <row r="3525" spans="1:23" hidden="1" x14ac:dyDescent="0.2">
      <c r="A3525">
        <v>2012</v>
      </c>
      <c r="B3525" t="s">
        <v>303</v>
      </c>
      <c r="C3525" s="733">
        <v>40932</v>
      </c>
      <c r="D35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25" t="s">
        <v>505</v>
      </c>
      <c r="F3525" t="s">
        <v>1915</v>
      </c>
      <c r="G3525" t="s">
        <v>1977</v>
      </c>
      <c r="H3525">
        <v>22193</v>
      </c>
      <c r="I3525" t="s">
        <v>423</v>
      </c>
      <c r="J3525" t="s">
        <v>1943</v>
      </c>
      <c r="K3525" t="s">
        <v>1918</v>
      </c>
      <c r="L3525" t="s">
        <v>1919</v>
      </c>
      <c r="M3525">
        <v>319</v>
      </c>
      <c r="N3525">
        <v>26.78</v>
      </c>
      <c r="O3525">
        <v>7852.97</v>
      </c>
      <c r="P3525">
        <v>0</v>
      </c>
      <c r="Q3525">
        <v>7852.97</v>
      </c>
      <c r="R3525">
        <v>1256.47</v>
      </c>
      <c r="S3525">
        <v>314.12</v>
      </c>
      <c r="T3525">
        <v>8795.32</v>
      </c>
      <c r="U3525" t="s">
        <v>1936</v>
      </c>
      <c r="V3525" t="s">
        <v>9408</v>
      </c>
      <c r="W3525" t="s">
        <v>423</v>
      </c>
    </row>
    <row r="3526" spans="1:23" hidden="1" x14ac:dyDescent="0.2">
      <c r="A3526">
        <v>2012</v>
      </c>
      <c r="B3526" t="s">
        <v>303</v>
      </c>
      <c r="C3526" s="733">
        <v>40939</v>
      </c>
      <c r="D35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26" t="s">
        <v>505</v>
      </c>
      <c r="F3526" t="s">
        <v>1915</v>
      </c>
      <c r="G3526" t="s">
        <v>1988</v>
      </c>
      <c r="H3526">
        <v>21719</v>
      </c>
      <c r="I3526" t="s">
        <v>423</v>
      </c>
      <c r="J3526" t="s">
        <v>1943</v>
      </c>
      <c r="K3526" t="s">
        <v>1918</v>
      </c>
      <c r="L3526" t="s">
        <v>1919</v>
      </c>
      <c r="M3526">
        <v>319</v>
      </c>
      <c r="N3526">
        <v>27.35</v>
      </c>
      <c r="O3526">
        <v>8020.11</v>
      </c>
      <c r="P3526">
        <v>0</v>
      </c>
      <c r="Q3526">
        <v>8020.11</v>
      </c>
      <c r="R3526">
        <v>1283.22</v>
      </c>
      <c r="S3526">
        <v>320.8</v>
      </c>
      <c r="T3526">
        <v>8982.5300000000007</v>
      </c>
      <c r="U3526" t="s">
        <v>1936</v>
      </c>
      <c r="V3526" t="s">
        <v>9408</v>
      </c>
      <c r="W3526" t="s">
        <v>423</v>
      </c>
    </row>
    <row r="3527" spans="1:23" hidden="1" x14ac:dyDescent="0.2">
      <c r="A3527">
        <v>2012</v>
      </c>
      <c r="B3527" t="s">
        <v>303</v>
      </c>
      <c r="C3527" s="733">
        <v>40931</v>
      </c>
      <c r="D35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27" t="s">
        <v>478</v>
      </c>
      <c r="F3527" t="s">
        <v>2136</v>
      </c>
      <c r="G3527" t="s">
        <v>7179</v>
      </c>
      <c r="H3527">
        <v>34481</v>
      </c>
      <c r="I3527" t="s">
        <v>423</v>
      </c>
      <c r="J3527" t="s">
        <v>5735</v>
      </c>
      <c r="K3527" t="s">
        <v>425</v>
      </c>
      <c r="L3527" t="s">
        <v>2145</v>
      </c>
      <c r="M3527">
        <v>193</v>
      </c>
      <c r="N3527">
        <v>29.2</v>
      </c>
      <c r="O3527">
        <v>5189.13</v>
      </c>
      <c r="P3527">
        <v>0</v>
      </c>
      <c r="Q3527">
        <v>5189.13</v>
      </c>
      <c r="R3527">
        <v>830.26</v>
      </c>
      <c r="S3527">
        <v>207.57</v>
      </c>
      <c r="T3527">
        <v>5811.82</v>
      </c>
      <c r="U3527" t="s">
        <v>2355</v>
      </c>
      <c r="V3527" t="s">
        <v>9408</v>
      </c>
      <c r="W3527" t="s">
        <v>423</v>
      </c>
    </row>
    <row r="3528" spans="1:23" hidden="1" x14ac:dyDescent="0.2">
      <c r="A3528">
        <v>2012</v>
      </c>
      <c r="B3528" t="s">
        <v>304</v>
      </c>
      <c r="C3528" s="733">
        <v>40968</v>
      </c>
      <c r="D35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28" t="s">
        <v>505</v>
      </c>
      <c r="F3528" t="s">
        <v>1915</v>
      </c>
      <c r="G3528" t="s">
        <v>9465</v>
      </c>
      <c r="H3528">
        <v>23076</v>
      </c>
      <c r="I3528" t="s">
        <v>423</v>
      </c>
      <c r="J3528" t="s">
        <v>1943</v>
      </c>
      <c r="K3528" t="s">
        <v>1918</v>
      </c>
      <c r="L3528" t="s">
        <v>1919</v>
      </c>
      <c r="M3528">
        <v>319</v>
      </c>
      <c r="N3528">
        <v>54.11</v>
      </c>
      <c r="O3528">
        <v>15867.22</v>
      </c>
      <c r="P3528">
        <v>0</v>
      </c>
      <c r="Q3528">
        <v>15867.22</v>
      </c>
      <c r="R3528">
        <v>2538.75</v>
      </c>
      <c r="S3528">
        <v>634.69000000000005</v>
      </c>
      <c r="T3528">
        <v>17771.28</v>
      </c>
      <c r="V3528" t="s">
        <v>9409</v>
      </c>
      <c r="W3528" t="s">
        <v>423</v>
      </c>
    </row>
    <row r="3529" spans="1:23" hidden="1" x14ac:dyDescent="0.2">
      <c r="A3529">
        <v>2012</v>
      </c>
      <c r="B3529" t="s">
        <v>303</v>
      </c>
      <c r="C3529" s="733">
        <v>40934</v>
      </c>
      <c r="D35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29" t="s">
        <v>505</v>
      </c>
      <c r="F3529" t="s">
        <v>1915</v>
      </c>
      <c r="G3529" t="s">
        <v>6967</v>
      </c>
      <c r="H3529">
        <v>22246</v>
      </c>
      <c r="I3529" t="s">
        <v>423</v>
      </c>
      <c r="J3529" t="s">
        <v>1943</v>
      </c>
      <c r="K3529" t="s">
        <v>1918</v>
      </c>
      <c r="L3529" t="s">
        <v>1919</v>
      </c>
      <c r="M3529">
        <v>319</v>
      </c>
      <c r="N3529">
        <v>54.27</v>
      </c>
      <c r="O3529">
        <v>15914.13</v>
      </c>
      <c r="P3529">
        <v>0</v>
      </c>
      <c r="Q3529">
        <v>15914.13</v>
      </c>
      <c r="R3529">
        <v>2546.2600000000002</v>
      </c>
      <c r="S3529">
        <v>636.57000000000005</v>
      </c>
      <c r="T3529">
        <v>17823.82</v>
      </c>
      <c r="U3529" t="s">
        <v>1926</v>
      </c>
      <c r="V3529" t="s">
        <v>9409</v>
      </c>
      <c r="W3529" t="s">
        <v>423</v>
      </c>
    </row>
    <row r="3530" spans="1:23" hidden="1" x14ac:dyDescent="0.2">
      <c r="A3530">
        <v>2012</v>
      </c>
      <c r="B3530" t="s">
        <v>303</v>
      </c>
      <c r="C3530" s="733">
        <v>40918</v>
      </c>
      <c r="D35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30" t="s">
        <v>485</v>
      </c>
      <c r="F3530" t="s">
        <v>2065</v>
      </c>
      <c r="G3530" t="s">
        <v>3753</v>
      </c>
      <c r="H3530">
        <v>39861</v>
      </c>
      <c r="I3530" t="s">
        <v>423</v>
      </c>
      <c r="J3530" t="s">
        <v>2126</v>
      </c>
      <c r="K3530" t="s">
        <v>2102</v>
      </c>
      <c r="L3530" t="s">
        <v>2115</v>
      </c>
      <c r="M3530">
        <v>930</v>
      </c>
      <c r="N3530">
        <v>23.43</v>
      </c>
      <c r="O3530">
        <v>13755.28</v>
      </c>
      <c r="P3530">
        <v>0</v>
      </c>
      <c r="Q3530">
        <v>13755.28</v>
      </c>
      <c r="R3530">
        <v>2200.85</v>
      </c>
      <c r="S3530">
        <v>550.21</v>
      </c>
      <c r="T3530">
        <v>15405.92</v>
      </c>
      <c r="U3530" t="s">
        <v>2106</v>
      </c>
      <c r="V3530" t="s">
        <v>9409</v>
      </c>
      <c r="W3530" t="s">
        <v>423</v>
      </c>
    </row>
    <row r="3531" spans="1:23" hidden="1" x14ac:dyDescent="0.2">
      <c r="A3531">
        <v>2012</v>
      </c>
      <c r="B3531" t="s">
        <v>304</v>
      </c>
      <c r="C3531" s="733">
        <v>40967.389085648145</v>
      </c>
      <c r="D35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31" t="s">
        <v>478</v>
      </c>
      <c r="F3531" t="s">
        <v>2136</v>
      </c>
      <c r="G3531" t="s">
        <v>8969</v>
      </c>
      <c r="H3531">
        <v>36094</v>
      </c>
      <c r="I3531" t="s">
        <v>423</v>
      </c>
      <c r="J3531" t="s">
        <v>3480</v>
      </c>
      <c r="K3531" t="s">
        <v>3481</v>
      </c>
      <c r="L3531" t="s">
        <v>3482</v>
      </c>
      <c r="M3531">
        <v>75</v>
      </c>
      <c r="N3531">
        <v>29.72</v>
      </c>
      <c r="O3531">
        <v>3354.5</v>
      </c>
      <c r="P3531">
        <v>0</v>
      </c>
      <c r="Q3531">
        <v>3354.5</v>
      </c>
      <c r="R3531">
        <v>536.72</v>
      </c>
      <c r="S3531">
        <v>134.18</v>
      </c>
      <c r="T3531">
        <v>3757.04</v>
      </c>
      <c r="U3531" t="s">
        <v>9462</v>
      </c>
      <c r="V3531" t="s">
        <v>9408</v>
      </c>
      <c r="W3531" t="s">
        <v>423</v>
      </c>
    </row>
    <row r="3532" spans="1:23" hidden="1" x14ac:dyDescent="0.2">
      <c r="A3532">
        <v>2012</v>
      </c>
      <c r="B3532" t="s">
        <v>303</v>
      </c>
      <c r="C3532" s="733">
        <v>40936</v>
      </c>
      <c r="D35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32" t="s">
        <v>478</v>
      </c>
      <c r="F3532" t="s">
        <v>3787</v>
      </c>
      <c r="G3532" t="s">
        <v>6161</v>
      </c>
      <c r="H3532">
        <v>34776</v>
      </c>
      <c r="I3532" t="s">
        <v>423</v>
      </c>
      <c r="J3532" t="s">
        <v>3480</v>
      </c>
      <c r="K3532" t="s">
        <v>3481</v>
      </c>
      <c r="L3532" t="s">
        <v>3482</v>
      </c>
      <c r="M3532">
        <v>75</v>
      </c>
      <c r="N3532">
        <v>29.734999999999999</v>
      </c>
      <c r="O3532">
        <v>3356.19</v>
      </c>
      <c r="P3532">
        <v>0</v>
      </c>
      <c r="Q3532">
        <v>3356.19</v>
      </c>
      <c r="R3532">
        <v>536.99</v>
      </c>
      <c r="S3532">
        <v>134.25</v>
      </c>
      <c r="T3532">
        <v>3758.93</v>
      </c>
      <c r="U3532" t="s">
        <v>3784</v>
      </c>
      <c r="V3532" t="s">
        <v>9408</v>
      </c>
      <c r="W3532" t="s">
        <v>423</v>
      </c>
    </row>
    <row r="3533" spans="1:23" hidden="1" x14ac:dyDescent="0.2">
      <c r="A3533">
        <v>2012</v>
      </c>
      <c r="B3533" t="s">
        <v>303</v>
      </c>
      <c r="C3533" s="733">
        <v>40936</v>
      </c>
      <c r="D35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33" t="s">
        <v>478</v>
      </c>
      <c r="F3533" t="s">
        <v>3787</v>
      </c>
      <c r="G3533" t="s">
        <v>6162</v>
      </c>
      <c r="H3533">
        <v>34779</v>
      </c>
      <c r="I3533" t="s">
        <v>423</v>
      </c>
      <c r="J3533" t="s">
        <v>3480</v>
      </c>
      <c r="K3533" t="s">
        <v>3481</v>
      </c>
      <c r="L3533" t="s">
        <v>3482</v>
      </c>
      <c r="M3533">
        <v>75</v>
      </c>
      <c r="N3533">
        <v>24.515000000000001</v>
      </c>
      <c r="O3533">
        <v>2767.01</v>
      </c>
      <c r="P3533">
        <v>0</v>
      </c>
      <c r="Q3533">
        <v>2767.01</v>
      </c>
      <c r="R3533">
        <v>442.72</v>
      </c>
      <c r="S3533">
        <v>110.68</v>
      </c>
      <c r="T3533">
        <v>3099.05</v>
      </c>
      <c r="U3533" t="s">
        <v>3784</v>
      </c>
      <c r="V3533" t="s">
        <v>9408</v>
      </c>
      <c r="W3533" t="s">
        <v>423</v>
      </c>
    </row>
    <row r="3534" spans="1:23" hidden="1" x14ac:dyDescent="0.2">
      <c r="A3534">
        <v>2012</v>
      </c>
      <c r="B3534" t="s">
        <v>303</v>
      </c>
      <c r="C3534" s="733">
        <v>40939.605613425927</v>
      </c>
      <c r="D35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34" t="s">
        <v>478</v>
      </c>
      <c r="F3534" t="s">
        <v>2136</v>
      </c>
      <c r="G3534" t="s">
        <v>6158</v>
      </c>
      <c r="H3534">
        <v>35173</v>
      </c>
      <c r="I3534" t="s">
        <v>423</v>
      </c>
      <c r="J3534" t="s">
        <v>3480</v>
      </c>
      <c r="K3534" t="s">
        <v>3481</v>
      </c>
      <c r="L3534" t="s">
        <v>3482</v>
      </c>
      <c r="M3534">
        <v>75</v>
      </c>
      <c r="N3534">
        <v>28.91</v>
      </c>
      <c r="O3534">
        <v>3263.07</v>
      </c>
      <c r="P3534">
        <v>0</v>
      </c>
      <c r="Q3534">
        <v>3263.07</v>
      </c>
      <c r="R3534">
        <v>522.09</v>
      </c>
      <c r="S3534">
        <v>130.52000000000001</v>
      </c>
      <c r="T3534">
        <v>3654.64</v>
      </c>
      <c r="U3534" t="s">
        <v>3794</v>
      </c>
      <c r="V3534" t="s">
        <v>9408</v>
      </c>
      <c r="W3534" t="s">
        <v>423</v>
      </c>
    </row>
    <row r="3535" spans="1:23" hidden="1" x14ac:dyDescent="0.2">
      <c r="A3535">
        <v>2012</v>
      </c>
      <c r="B3535" t="s">
        <v>303</v>
      </c>
      <c r="C3535" s="733">
        <v>40939.612939814811</v>
      </c>
      <c r="D35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35" t="s">
        <v>478</v>
      </c>
      <c r="F3535" t="s">
        <v>2136</v>
      </c>
      <c r="G3535" t="s">
        <v>6159</v>
      </c>
      <c r="H3535">
        <v>35176</v>
      </c>
      <c r="I3535" t="s">
        <v>423</v>
      </c>
      <c r="J3535" t="s">
        <v>3480</v>
      </c>
      <c r="K3535" t="s">
        <v>3481</v>
      </c>
      <c r="L3535" t="s">
        <v>3482</v>
      </c>
      <c r="M3535">
        <v>75</v>
      </c>
      <c r="N3535">
        <v>26.84</v>
      </c>
      <c r="O3535">
        <v>3029.43</v>
      </c>
      <c r="P3535">
        <v>0</v>
      </c>
      <c r="Q3535">
        <v>3029.43</v>
      </c>
      <c r="R3535">
        <v>484.71</v>
      </c>
      <c r="S3535">
        <v>121.18</v>
      </c>
      <c r="T3535">
        <v>3392.96</v>
      </c>
      <c r="U3535" t="s">
        <v>3794</v>
      </c>
      <c r="V3535" t="s">
        <v>9408</v>
      </c>
      <c r="W3535" t="s">
        <v>423</v>
      </c>
    </row>
    <row r="3536" spans="1:23" hidden="1" x14ac:dyDescent="0.2">
      <c r="A3536">
        <v>2012</v>
      </c>
      <c r="B3536" t="s">
        <v>304</v>
      </c>
      <c r="C3536" s="733">
        <v>40947</v>
      </c>
      <c r="D35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36" t="s">
        <v>478</v>
      </c>
      <c r="F3536" t="s">
        <v>2136</v>
      </c>
      <c r="G3536" t="s">
        <v>7194</v>
      </c>
      <c r="H3536">
        <v>35366</v>
      </c>
      <c r="I3536" t="s">
        <v>423</v>
      </c>
      <c r="J3536" t="s">
        <v>5684</v>
      </c>
      <c r="K3536" t="s">
        <v>425</v>
      </c>
      <c r="L3536" t="s">
        <v>2145</v>
      </c>
      <c r="M3536">
        <v>484</v>
      </c>
      <c r="N3536">
        <v>24.04</v>
      </c>
      <c r="O3536">
        <v>7252.63</v>
      </c>
      <c r="P3536">
        <v>0</v>
      </c>
      <c r="Q3536">
        <v>7252.63</v>
      </c>
      <c r="R3536">
        <v>1160.42</v>
      </c>
      <c r="S3536">
        <v>290.11</v>
      </c>
      <c r="T3536">
        <v>8122.94</v>
      </c>
      <c r="U3536" t="s">
        <v>2938</v>
      </c>
      <c r="V3536" t="s">
        <v>9408</v>
      </c>
      <c r="W3536" t="s">
        <v>423</v>
      </c>
    </row>
    <row r="3537" spans="1:23" hidden="1" x14ac:dyDescent="0.2">
      <c r="A3537">
        <v>2012</v>
      </c>
      <c r="B3537" t="s">
        <v>303</v>
      </c>
      <c r="C3537" s="733">
        <v>40925</v>
      </c>
      <c r="D35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37" t="s">
        <v>485</v>
      </c>
      <c r="F3537" t="s">
        <v>2065</v>
      </c>
      <c r="G3537" t="s">
        <v>3754</v>
      </c>
      <c r="H3537">
        <v>40290</v>
      </c>
      <c r="I3537" t="s">
        <v>423</v>
      </c>
      <c r="J3537" t="s">
        <v>2126</v>
      </c>
      <c r="K3537" t="s">
        <v>2102</v>
      </c>
      <c r="L3537" t="s">
        <v>2115</v>
      </c>
      <c r="M3537">
        <v>930</v>
      </c>
      <c r="N3537">
        <v>25.26</v>
      </c>
      <c r="O3537">
        <v>14829.64</v>
      </c>
      <c r="P3537">
        <v>0</v>
      </c>
      <c r="Q3537">
        <v>14829.64</v>
      </c>
      <c r="R3537">
        <v>2372.7399999999998</v>
      </c>
      <c r="S3537">
        <v>593.19000000000005</v>
      </c>
      <c r="T3537">
        <v>16609.189999999999</v>
      </c>
      <c r="U3537" t="s">
        <v>2106</v>
      </c>
      <c r="V3537" t="s">
        <v>9408</v>
      </c>
      <c r="W3537" t="s">
        <v>423</v>
      </c>
    </row>
    <row r="3538" spans="1:23" hidden="1" x14ac:dyDescent="0.2">
      <c r="A3538">
        <v>2012</v>
      </c>
      <c r="B3538" t="s">
        <v>305</v>
      </c>
      <c r="C3538" s="733">
        <v>40969</v>
      </c>
      <c r="D3538" s="733" t="str">
        <f>CHOOSE(MONTH(Tabla_sqldatos_bonampakdb_Bon_v_ingresos2012[[#This Row],[fecha_guia]]),"Enero","Febrero","Marzo","Abril","Mayo","Junio","Julio","Agosto","Septiembre","Octubre","Noviembre","Diciembre")</f>
        <v>Marzo</v>
      </c>
      <c r="E3538" t="s">
        <v>485</v>
      </c>
      <c r="F3538" t="s">
        <v>3450</v>
      </c>
      <c r="G3538" t="s">
        <v>9500</v>
      </c>
      <c r="H3538">
        <v>42326</v>
      </c>
      <c r="I3538" t="s">
        <v>423</v>
      </c>
      <c r="J3538" t="s">
        <v>3462</v>
      </c>
      <c r="K3538" t="s">
        <v>3453</v>
      </c>
      <c r="L3538" t="s">
        <v>3454</v>
      </c>
      <c r="M3538">
        <v>425</v>
      </c>
      <c r="N3538">
        <v>25.33</v>
      </c>
      <c r="O3538">
        <v>7068.08</v>
      </c>
      <c r="P3538">
        <v>0</v>
      </c>
      <c r="Q3538">
        <v>7068.08</v>
      </c>
      <c r="R3538">
        <v>1130.8900000000001</v>
      </c>
      <c r="S3538">
        <v>282.72000000000003</v>
      </c>
      <c r="T3538">
        <v>7916.25</v>
      </c>
      <c r="V3538" t="s">
        <v>9408</v>
      </c>
      <c r="W3538" t="s">
        <v>423</v>
      </c>
    </row>
    <row r="3539" spans="1:23" hidden="1" x14ac:dyDescent="0.2">
      <c r="A3539">
        <v>2012</v>
      </c>
      <c r="B3539" t="s">
        <v>304</v>
      </c>
      <c r="C3539" s="733">
        <v>40953</v>
      </c>
      <c r="D35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39" t="s">
        <v>485</v>
      </c>
      <c r="F3539" t="s">
        <v>3450</v>
      </c>
      <c r="G3539" t="s">
        <v>5837</v>
      </c>
      <c r="H3539">
        <v>41685</v>
      </c>
      <c r="I3539" t="s">
        <v>423</v>
      </c>
      <c r="J3539" t="s">
        <v>3462</v>
      </c>
      <c r="K3539" t="s">
        <v>3453</v>
      </c>
      <c r="L3539" t="s">
        <v>3454</v>
      </c>
      <c r="M3539">
        <v>425</v>
      </c>
      <c r="N3539">
        <v>28.22</v>
      </c>
      <c r="O3539">
        <v>7874.51</v>
      </c>
      <c r="P3539">
        <v>0</v>
      </c>
      <c r="Q3539">
        <v>7874.51</v>
      </c>
      <c r="R3539">
        <v>1259.92</v>
      </c>
      <c r="S3539">
        <v>314.98</v>
      </c>
      <c r="T3539">
        <v>8819.4500000000007</v>
      </c>
      <c r="U3539" t="s">
        <v>7533</v>
      </c>
      <c r="V3539" t="s">
        <v>9408</v>
      </c>
      <c r="W3539" t="s">
        <v>423</v>
      </c>
    </row>
    <row r="3540" spans="1:23" x14ac:dyDescent="0.2">
      <c r="A3540">
        <v>2012</v>
      </c>
      <c r="B3540" t="s">
        <v>304</v>
      </c>
      <c r="C3540" s="733">
        <v>40968</v>
      </c>
      <c r="D35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40" t="s">
        <v>485</v>
      </c>
      <c r="F3540" t="s">
        <v>3450</v>
      </c>
      <c r="G3540" t="s">
        <v>9501</v>
      </c>
      <c r="H3540">
        <v>42672</v>
      </c>
      <c r="I3540" t="s">
        <v>423</v>
      </c>
      <c r="J3540" t="s">
        <v>3462</v>
      </c>
      <c r="K3540" t="s">
        <v>3453</v>
      </c>
      <c r="L3540" t="s">
        <v>3454</v>
      </c>
      <c r="M3540">
        <v>425</v>
      </c>
      <c r="N3540">
        <v>54.92</v>
      </c>
      <c r="O3540">
        <v>15324.88</v>
      </c>
      <c r="P3540">
        <v>0</v>
      </c>
      <c r="Q3540">
        <v>15324.88</v>
      </c>
      <c r="R3540">
        <v>2451.98</v>
      </c>
      <c r="S3540">
        <v>613</v>
      </c>
      <c r="T3540">
        <v>17163.86</v>
      </c>
      <c r="V3540" t="s">
        <v>9409</v>
      </c>
      <c r="W3540" t="s">
        <v>423</v>
      </c>
    </row>
    <row r="3541" spans="1:23" hidden="1" x14ac:dyDescent="0.2">
      <c r="A3541">
        <v>2012</v>
      </c>
      <c r="B3541" t="s">
        <v>304</v>
      </c>
      <c r="C3541" s="733">
        <v>40953</v>
      </c>
      <c r="D35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41" t="s">
        <v>485</v>
      </c>
      <c r="F3541" t="s">
        <v>3450</v>
      </c>
      <c r="G3541" t="s">
        <v>5838</v>
      </c>
      <c r="H3541">
        <v>41616</v>
      </c>
      <c r="I3541" t="s">
        <v>423</v>
      </c>
      <c r="J3541" t="s">
        <v>3462</v>
      </c>
      <c r="K3541" t="s">
        <v>3453</v>
      </c>
      <c r="L3541" t="s">
        <v>3454</v>
      </c>
      <c r="M3541">
        <v>425</v>
      </c>
      <c r="N3541">
        <v>53.8</v>
      </c>
      <c r="O3541">
        <v>15012.35</v>
      </c>
      <c r="P3541">
        <v>0</v>
      </c>
      <c r="Q3541">
        <v>15012.35</v>
      </c>
      <c r="R3541">
        <v>2401.98</v>
      </c>
      <c r="S3541">
        <v>600.49</v>
      </c>
      <c r="T3541">
        <v>16813.84</v>
      </c>
      <c r="U3541" t="s">
        <v>7533</v>
      </c>
      <c r="V3541" t="s">
        <v>9409</v>
      </c>
      <c r="W3541" t="s">
        <v>423</v>
      </c>
    </row>
    <row r="3542" spans="1:23" hidden="1" x14ac:dyDescent="0.2">
      <c r="A3542">
        <v>2012</v>
      </c>
      <c r="B3542" t="s">
        <v>304</v>
      </c>
      <c r="C3542" s="733">
        <v>40941</v>
      </c>
      <c r="D35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42" t="s">
        <v>485</v>
      </c>
      <c r="F3542" t="s">
        <v>2065</v>
      </c>
      <c r="G3542" t="s">
        <v>5627</v>
      </c>
      <c r="H3542">
        <v>40044</v>
      </c>
      <c r="I3542" t="s">
        <v>423</v>
      </c>
      <c r="J3542" t="s">
        <v>2126</v>
      </c>
      <c r="K3542" t="s">
        <v>2102</v>
      </c>
      <c r="L3542" t="s">
        <v>2115</v>
      </c>
      <c r="M3542">
        <v>930</v>
      </c>
      <c r="N3542">
        <v>26.82</v>
      </c>
      <c r="O3542">
        <v>15745.49</v>
      </c>
      <c r="P3542">
        <v>0</v>
      </c>
      <c r="Q3542">
        <v>15745.49</v>
      </c>
      <c r="R3542">
        <v>2519.2800000000002</v>
      </c>
      <c r="S3542">
        <v>629.82000000000005</v>
      </c>
      <c r="T3542">
        <v>17634.95</v>
      </c>
      <c r="U3542" t="s">
        <v>2110</v>
      </c>
      <c r="V3542" t="s">
        <v>9409</v>
      </c>
      <c r="W3542" t="s">
        <v>423</v>
      </c>
    </row>
    <row r="3543" spans="1:23" hidden="1" x14ac:dyDescent="0.2">
      <c r="A3543">
        <v>2012</v>
      </c>
      <c r="B3543" t="s">
        <v>305</v>
      </c>
      <c r="C3543" s="733">
        <v>40969.502962962964</v>
      </c>
      <c r="D3543" s="733" t="str">
        <f>CHOOSE(MONTH(Tabla_sqldatos_bonampakdb_Bon_v_ingresos2012[[#This Row],[fecha_guia]]),"Enero","Febrero","Marzo","Abril","Mayo","Junio","Julio","Agosto","Septiembre","Octubre","Noviembre","Diciembre")</f>
        <v>Marzo</v>
      </c>
      <c r="E3543" t="s">
        <v>485</v>
      </c>
      <c r="F3543" t="s">
        <v>2065</v>
      </c>
      <c r="G3543" t="s">
        <v>9499</v>
      </c>
      <c r="H3543">
        <v>42902</v>
      </c>
      <c r="I3543" t="s">
        <v>423</v>
      </c>
      <c r="J3543" t="s">
        <v>2126</v>
      </c>
      <c r="K3543" t="s">
        <v>2102</v>
      </c>
      <c r="L3543" t="s">
        <v>2115</v>
      </c>
      <c r="M3543">
        <v>930</v>
      </c>
      <c r="N3543">
        <v>24.99</v>
      </c>
      <c r="O3543">
        <v>14671.13</v>
      </c>
      <c r="P3543">
        <v>0</v>
      </c>
      <c r="Q3543">
        <v>14671.13</v>
      </c>
      <c r="R3543">
        <v>2347.38</v>
      </c>
      <c r="S3543">
        <v>586.85</v>
      </c>
      <c r="T3543">
        <v>16431.66</v>
      </c>
      <c r="V3543" t="s">
        <v>9408</v>
      </c>
      <c r="W3543" t="s">
        <v>423</v>
      </c>
    </row>
    <row r="3544" spans="1:23" hidden="1" x14ac:dyDescent="0.2">
      <c r="A3544">
        <v>2012</v>
      </c>
      <c r="B3544" t="s">
        <v>303</v>
      </c>
      <c r="C3544" s="733">
        <v>40918.474768518521</v>
      </c>
      <c r="D35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44" t="s">
        <v>478</v>
      </c>
      <c r="F3544" t="s">
        <v>2622</v>
      </c>
      <c r="G3544" t="s">
        <v>2975</v>
      </c>
      <c r="H3544">
        <v>34388</v>
      </c>
      <c r="I3544" t="s">
        <v>423</v>
      </c>
      <c r="J3544" t="s">
        <v>2624</v>
      </c>
      <c r="K3544" t="s">
        <v>2625</v>
      </c>
      <c r="L3544" t="s">
        <v>2626</v>
      </c>
      <c r="M3544">
        <v>10</v>
      </c>
      <c r="N3544">
        <v>24.22</v>
      </c>
      <c r="O3544">
        <v>2733.23</v>
      </c>
      <c r="P3544">
        <v>0</v>
      </c>
      <c r="Q3544">
        <v>2733.23</v>
      </c>
      <c r="R3544">
        <v>437.32</v>
      </c>
      <c r="S3544">
        <v>109.33</v>
      </c>
      <c r="T3544">
        <v>3061.22</v>
      </c>
      <c r="U3544" t="s">
        <v>2627</v>
      </c>
      <c r="V3544" t="s">
        <v>9408</v>
      </c>
      <c r="W3544" t="s">
        <v>423</v>
      </c>
    </row>
    <row r="3545" spans="1:23" hidden="1" x14ac:dyDescent="0.2">
      <c r="A3545">
        <v>2012</v>
      </c>
      <c r="B3545" t="s">
        <v>303</v>
      </c>
      <c r="C3545" s="733">
        <v>40933</v>
      </c>
      <c r="D35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45" t="s">
        <v>478</v>
      </c>
      <c r="F3545" t="s">
        <v>2142</v>
      </c>
      <c r="G3545" t="s">
        <v>3293</v>
      </c>
      <c r="H3545">
        <v>34836</v>
      </c>
      <c r="I3545" t="s">
        <v>423</v>
      </c>
      <c r="J3545" t="s">
        <v>2639</v>
      </c>
      <c r="K3545" t="s">
        <v>2640</v>
      </c>
      <c r="L3545" t="s">
        <v>2641</v>
      </c>
      <c r="M3545">
        <v>274</v>
      </c>
      <c r="N3545">
        <v>47.96</v>
      </c>
      <c r="O3545">
        <v>6164.78</v>
      </c>
      <c r="P3545">
        <v>0</v>
      </c>
      <c r="Q3545">
        <v>6164.78</v>
      </c>
      <c r="R3545">
        <v>986.36</v>
      </c>
      <c r="S3545">
        <v>246.59</v>
      </c>
      <c r="T3545">
        <v>6904.55</v>
      </c>
      <c r="U3545" t="s">
        <v>2642</v>
      </c>
      <c r="V3545" t="s">
        <v>9409</v>
      </c>
      <c r="W3545" t="s">
        <v>423</v>
      </c>
    </row>
    <row r="3546" spans="1:23" hidden="1" x14ac:dyDescent="0.2">
      <c r="A3546">
        <v>2012</v>
      </c>
      <c r="B3546" t="s">
        <v>304</v>
      </c>
      <c r="C3546" s="733">
        <v>40967.440138888887</v>
      </c>
      <c r="D35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46" t="s">
        <v>478</v>
      </c>
      <c r="F3546" t="s">
        <v>2622</v>
      </c>
      <c r="G3546" t="s">
        <v>9286</v>
      </c>
      <c r="H3546">
        <v>36119</v>
      </c>
      <c r="I3546" t="s">
        <v>423</v>
      </c>
      <c r="J3546" t="s">
        <v>2668</v>
      </c>
      <c r="K3546" t="s">
        <v>2625</v>
      </c>
      <c r="L3546" t="s">
        <v>2626</v>
      </c>
      <c r="M3546">
        <v>76</v>
      </c>
      <c r="N3546">
        <v>22.59</v>
      </c>
      <c r="O3546">
        <v>2549.2800000000002</v>
      </c>
      <c r="P3546">
        <v>0</v>
      </c>
      <c r="Q3546">
        <v>2549.2800000000002</v>
      </c>
      <c r="R3546">
        <v>407.89</v>
      </c>
      <c r="S3546">
        <v>101.97</v>
      </c>
      <c r="T3546">
        <v>2855.2</v>
      </c>
      <c r="U3546" t="s">
        <v>9428</v>
      </c>
      <c r="V3546" t="s">
        <v>9408</v>
      </c>
      <c r="W3546" t="s">
        <v>423</v>
      </c>
    </row>
    <row r="3547" spans="1:23" hidden="1" x14ac:dyDescent="0.2">
      <c r="A3547">
        <v>2012</v>
      </c>
      <c r="B3547" t="s">
        <v>304</v>
      </c>
      <c r="C3547" s="733">
        <v>40954</v>
      </c>
      <c r="D35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47" t="s">
        <v>478</v>
      </c>
      <c r="F3547" t="s">
        <v>2622</v>
      </c>
      <c r="G3547" t="s">
        <v>7965</v>
      </c>
      <c r="H3547">
        <v>35593</v>
      </c>
      <c r="I3547" t="s">
        <v>423</v>
      </c>
      <c r="J3547" t="s">
        <v>2668</v>
      </c>
      <c r="K3547" t="s">
        <v>2625</v>
      </c>
      <c r="L3547" t="s">
        <v>2626</v>
      </c>
      <c r="M3547">
        <v>76</v>
      </c>
      <c r="N3547">
        <v>21.79</v>
      </c>
      <c r="O3547">
        <v>2459</v>
      </c>
      <c r="P3547">
        <v>0</v>
      </c>
      <c r="Q3547">
        <v>2459</v>
      </c>
      <c r="R3547">
        <v>393.44</v>
      </c>
      <c r="S3547">
        <v>98.36</v>
      </c>
      <c r="T3547">
        <v>2754.08</v>
      </c>
      <c r="U3547" t="s">
        <v>7548</v>
      </c>
      <c r="V3547" t="s">
        <v>9408</v>
      </c>
      <c r="W3547" t="s">
        <v>423</v>
      </c>
    </row>
    <row r="3548" spans="1:23" hidden="1" x14ac:dyDescent="0.2">
      <c r="A3548">
        <v>2012</v>
      </c>
      <c r="B3548" t="s">
        <v>304</v>
      </c>
      <c r="C3548" s="733">
        <v>40960.455416666664</v>
      </c>
      <c r="D35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48" t="s">
        <v>478</v>
      </c>
      <c r="F3548" t="s">
        <v>2622</v>
      </c>
      <c r="G3548" t="s">
        <v>8402</v>
      </c>
      <c r="H3548">
        <v>35839</v>
      </c>
      <c r="I3548" t="s">
        <v>423</v>
      </c>
      <c r="J3548" t="s">
        <v>2668</v>
      </c>
      <c r="K3548" t="s">
        <v>2625</v>
      </c>
      <c r="L3548" t="s">
        <v>2626</v>
      </c>
      <c r="M3548">
        <v>76</v>
      </c>
      <c r="N3548">
        <v>24.8</v>
      </c>
      <c r="O3548">
        <v>2798.68</v>
      </c>
      <c r="P3548">
        <v>0</v>
      </c>
      <c r="Q3548">
        <v>2798.68</v>
      </c>
      <c r="R3548">
        <v>447.79</v>
      </c>
      <c r="S3548">
        <v>111.95</v>
      </c>
      <c r="T3548">
        <v>3134.52</v>
      </c>
      <c r="U3548" t="s">
        <v>8267</v>
      </c>
      <c r="V3548" t="s">
        <v>9408</v>
      </c>
      <c r="W3548" t="s">
        <v>423</v>
      </c>
    </row>
    <row r="3549" spans="1:23" hidden="1" x14ac:dyDescent="0.2">
      <c r="A3549">
        <v>2012</v>
      </c>
      <c r="B3549" t="s">
        <v>303</v>
      </c>
      <c r="C3549" s="733">
        <v>40938.775370370371</v>
      </c>
      <c r="D35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49" t="s">
        <v>478</v>
      </c>
      <c r="F3549" t="s">
        <v>2622</v>
      </c>
      <c r="G3549" t="s">
        <v>2997</v>
      </c>
      <c r="H3549">
        <v>35067</v>
      </c>
      <c r="I3549" t="s">
        <v>423</v>
      </c>
      <c r="J3549" t="s">
        <v>2668</v>
      </c>
      <c r="K3549" t="s">
        <v>2625</v>
      </c>
      <c r="L3549" t="s">
        <v>2626</v>
      </c>
      <c r="M3549">
        <v>76</v>
      </c>
      <c r="N3549">
        <v>23.54</v>
      </c>
      <c r="O3549">
        <v>2656.49</v>
      </c>
      <c r="P3549">
        <v>0</v>
      </c>
      <c r="Q3549">
        <v>2656.49</v>
      </c>
      <c r="R3549">
        <v>425.04</v>
      </c>
      <c r="S3549">
        <v>106.26</v>
      </c>
      <c r="T3549">
        <v>2975.27</v>
      </c>
      <c r="U3549" t="s">
        <v>2630</v>
      </c>
      <c r="V3549" t="s">
        <v>9408</v>
      </c>
      <c r="W3549" t="s">
        <v>423</v>
      </c>
    </row>
    <row r="3550" spans="1:23" hidden="1" x14ac:dyDescent="0.2">
      <c r="A3550">
        <v>2012</v>
      </c>
      <c r="B3550" t="s">
        <v>303</v>
      </c>
      <c r="C3550" s="733">
        <v>40926</v>
      </c>
      <c r="D35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50" t="s">
        <v>485</v>
      </c>
      <c r="F3550" t="s">
        <v>2048</v>
      </c>
      <c r="G3550" t="s">
        <v>4095</v>
      </c>
      <c r="H3550">
        <v>40508</v>
      </c>
      <c r="I3550" t="s">
        <v>423</v>
      </c>
      <c r="J3550" t="s">
        <v>4093</v>
      </c>
      <c r="K3550" t="s">
        <v>2051</v>
      </c>
      <c r="L3550" t="s">
        <v>2052</v>
      </c>
      <c r="M3550">
        <v>647</v>
      </c>
      <c r="N3550">
        <v>24.3</v>
      </c>
      <c r="O3550">
        <v>9193.42</v>
      </c>
      <c r="P3550">
        <v>0</v>
      </c>
      <c r="Q3550">
        <v>9193.42</v>
      </c>
      <c r="R3550">
        <v>1470.95</v>
      </c>
      <c r="S3550">
        <v>367.74</v>
      </c>
      <c r="T3550">
        <v>10296.629999999999</v>
      </c>
      <c r="U3550" t="s">
        <v>2062</v>
      </c>
      <c r="V3550" t="s">
        <v>9408</v>
      </c>
      <c r="W3550" t="s">
        <v>423</v>
      </c>
    </row>
    <row r="3551" spans="1:23" hidden="1" x14ac:dyDescent="0.2">
      <c r="A3551">
        <v>2012</v>
      </c>
      <c r="B3551" t="s">
        <v>303</v>
      </c>
      <c r="C3551" s="733">
        <v>40920</v>
      </c>
      <c r="D35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51" t="s">
        <v>485</v>
      </c>
      <c r="F3551" t="s">
        <v>2048</v>
      </c>
      <c r="G3551" t="s">
        <v>4092</v>
      </c>
      <c r="H3551">
        <v>40217</v>
      </c>
      <c r="I3551" t="s">
        <v>423</v>
      </c>
      <c r="J3551" t="s">
        <v>4093</v>
      </c>
      <c r="K3551" t="s">
        <v>2051</v>
      </c>
      <c r="L3551" t="s">
        <v>2052</v>
      </c>
      <c r="M3551">
        <v>647</v>
      </c>
      <c r="N3551">
        <v>49.8</v>
      </c>
      <c r="O3551">
        <v>18840.830000000002</v>
      </c>
      <c r="P3551">
        <v>0</v>
      </c>
      <c r="Q3551">
        <v>18840.830000000002</v>
      </c>
      <c r="R3551">
        <v>3014.53</v>
      </c>
      <c r="S3551">
        <v>753.63</v>
      </c>
      <c r="T3551">
        <v>21101.73</v>
      </c>
      <c r="V3551" t="s">
        <v>9409</v>
      </c>
      <c r="W3551" t="s">
        <v>423</v>
      </c>
    </row>
    <row r="3552" spans="1:23" hidden="1" x14ac:dyDescent="0.2">
      <c r="A3552">
        <v>2012</v>
      </c>
      <c r="B3552" t="s">
        <v>304</v>
      </c>
      <c r="C3552" s="733">
        <v>40960</v>
      </c>
      <c r="D35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52" t="s">
        <v>485</v>
      </c>
      <c r="F3552" t="s">
        <v>2084</v>
      </c>
      <c r="G3552" t="s">
        <v>8064</v>
      </c>
      <c r="H3552">
        <v>41817</v>
      </c>
      <c r="I3552" t="s">
        <v>423</v>
      </c>
      <c r="J3552" t="s">
        <v>2848</v>
      </c>
      <c r="K3552" t="s">
        <v>2814</v>
      </c>
      <c r="L3552" t="s">
        <v>2815</v>
      </c>
      <c r="M3552">
        <v>708</v>
      </c>
      <c r="N3552">
        <v>24.300999999999998</v>
      </c>
      <c r="O3552">
        <v>9971.67</v>
      </c>
      <c r="P3552">
        <v>0</v>
      </c>
      <c r="Q3552">
        <v>9971.67</v>
      </c>
      <c r="R3552">
        <v>1096.8800000000001</v>
      </c>
      <c r="S3552">
        <v>398.87</v>
      </c>
      <c r="T3552">
        <v>10669.68</v>
      </c>
      <c r="U3552" t="s">
        <v>8877</v>
      </c>
      <c r="V3552" t="s">
        <v>9408</v>
      </c>
      <c r="W3552" t="s">
        <v>423</v>
      </c>
    </row>
    <row r="3553" spans="1:23" hidden="1" x14ac:dyDescent="0.2">
      <c r="A3553">
        <v>2012</v>
      </c>
      <c r="B3553" t="s">
        <v>304</v>
      </c>
      <c r="C3553" s="733">
        <v>40962</v>
      </c>
      <c r="D35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53" t="s">
        <v>485</v>
      </c>
      <c r="F3553" t="s">
        <v>2065</v>
      </c>
      <c r="G3553" t="s">
        <v>8514</v>
      </c>
      <c r="H3553">
        <v>42402</v>
      </c>
      <c r="I3553" t="s">
        <v>423</v>
      </c>
      <c r="J3553" t="s">
        <v>3204</v>
      </c>
      <c r="K3553" t="s">
        <v>2183</v>
      </c>
      <c r="L3553" t="s">
        <v>2184</v>
      </c>
      <c r="M3553">
        <v>80</v>
      </c>
      <c r="N3553">
        <v>25.68</v>
      </c>
      <c r="O3553">
        <v>2898.5</v>
      </c>
      <c r="P3553">
        <v>0</v>
      </c>
      <c r="Q3553">
        <v>2898.5</v>
      </c>
      <c r="R3553">
        <v>463.76</v>
      </c>
      <c r="S3553">
        <v>115.94</v>
      </c>
      <c r="T3553">
        <v>3246.32</v>
      </c>
      <c r="U3553" t="s">
        <v>9411</v>
      </c>
      <c r="V3553" t="s">
        <v>9409</v>
      </c>
      <c r="W3553" t="s">
        <v>423</v>
      </c>
    </row>
    <row r="3554" spans="1:23" x14ac:dyDescent="0.2">
      <c r="A3554">
        <v>2012</v>
      </c>
      <c r="B3554" t="s">
        <v>304</v>
      </c>
      <c r="C3554" s="733">
        <v>40968</v>
      </c>
      <c r="D35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54" t="s">
        <v>485</v>
      </c>
      <c r="F3554" t="s">
        <v>2065</v>
      </c>
      <c r="G3554" t="s">
        <v>9011</v>
      </c>
      <c r="H3554">
        <v>42841</v>
      </c>
      <c r="I3554" t="s">
        <v>423</v>
      </c>
      <c r="J3554" t="s">
        <v>3204</v>
      </c>
      <c r="K3554" t="s">
        <v>2183</v>
      </c>
      <c r="L3554" t="s">
        <v>2184</v>
      </c>
      <c r="M3554">
        <v>80</v>
      </c>
      <c r="N3554">
        <v>15.25</v>
      </c>
      <c r="O3554">
        <v>1721.27</v>
      </c>
      <c r="P3554">
        <v>0</v>
      </c>
      <c r="Q3554">
        <v>1721.27</v>
      </c>
      <c r="R3554">
        <v>275.39999999999998</v>
      </c>
      <c r="S3554">
        <v>68.849999999999994</v>
      </c>
      <c r="T3554">
        <v>1927.82</v>
      </c>
      <c r="V3554" t="s">
        <v>9408</v>
      </c>
      <c r="W3554" t="s">
        <v>423</v>
      </c>
    </row>
    <row r="3555" spans="1:23" hidden="1" x14ac:dyDescent="0.2">
      <c r="A3555">
        <v>2012</v>
      </c>
      <c r="B3555" t="s">
        <v>303</v>
      </c>
      <c r="C3555" s="733">
        <v>40910</v>
      </c>
      <c r="D35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55" t="s">
        <v>485</v>
      </c>
      <c r="F3555" t="s">
        <v>2065</v>
      </c>
      <c r="G3555" t="s">
        <v>3962</v>
      </c>
      <c r="H3555">
        <v>39574</v>
      </c>
      <c r="I3555" t="s">
        <v>423</v>
      </c>
      <c r="J3555" t="s">
        <v>3204</v>
      </c>
      <c r="K3555" t="s">
        <v>2183</v>
      </c>
      <c r="L3555" t="s">
        <v>2184</v>
      </c>
      <c r="M3555">
        <v>80</v>
      </c>
      <c r="N3555">
        <v>54.59</v>
      </c>
      <c r="O3555">
        <v>2594.12</v>
      </c>
      <c r="P3555">
        <v>2920.6937670000002</v>
      </c>
      <c r="Q3555">
        <v>5514.8137669999996</v>
      </c>
      <c r="R3555">
        <v>882.37020299999995</v>
      </c>
      <c r="S3555">
        <v>220.59255099999999</v>
      </c>
      <c r="T3555">
        <v>6176.5914190000003</v>
      </c>
      <c r="U3555" t="s">
        <v>3038</v>
      </c>
      <c r="V3555" t="s">
        <v>9409</v>
      </c>
      <c r="W3555" t="s">
        <v>423</v>
      </c>
    </row>
    <row r="3556" spans="1:23" hidden="1" x14ac:dyDescent="0.2">
      <c r="A3556">
        <v>2012</v>
      </c>
      <c r="B3556" t="s">
        <v>303</v>
      </c>
      <c r="C3556" s="733">
        <v>40920</v>
      </c>
      <c r="D35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56" t="s">
        <v>485</v>
      </c>
      <c r="F3556" t="s">
        <v>2065</v>
      </c>
      <c r="G3556" t="s">
        <v>3312</v>
      </c>
      <c r="H3556">
        <v>40019</v>
      </c>
      <c r="I3556" t="s">
        <v>423</v>
      </c>
      <c r="J3556" t="s">
        <v>2114</v>
      </c>
      <c r="K3556" t="s">
        <v>2102</v>
      </c>
      <c r="L3556" t="s">
        <v>2115</v>
      </c>
      <c r="M3556">
        <v>500</v>
      </c>
      <c r="N3556">
        <v>51.5</v>
      </c>
      <c r="O3556">
        <v>17316.88</v>
      </c>
      <c r="P3556">
        <v>0</v>
      </c>
      <c r="Q3556">
        <v>17316.88</v>
      </c>
      <c r="R3556">
        <v>2770.7</v>
      </c>
      <c r="S3556">
        <v>692.68</v>
      </c>
      <c r="T3556">
        <v>19394.900000000001</v>
      </c>
      <c r="U3556" t="s">
        <v>2106</v>
      </c>
      <c r="V3556" t="s">
        <v>9409</v>
      </c>
      <c r="W3556" t="s">
        <v>423</v>
      </c>
    </row>
    <row r="3557" spans="1:23" hidden="1" x14ac:dyDescent="0.2">
      <c r="A3557">
        <v>2012</v>
      </c>
      <c r="B3557" t="s">
        <v>303</v>
      </c>
      <c r="C3557" s="733">
        <v>40910.472928240742</v>
      </c>
      <c r="D35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57" t="s">
        <v>485</v>
      </c>
      <c r="F3557" t="s">
        <v>2065</v>
      </c>
      <c r="G3557" t="s">
        <v>3963</v>
      </c>
      <c r="H3557">
        <v>39659</v>
      </c>
      <c r="I3557" t="s">
        <v>423</v>
      </c>
      <c r="J3557" t="s">
        <v>3419</v>
      </c>
      <c r="K3557" t="s">
        <v>2183</v>
      </c>
      <c r="L3557" t="s">
        <v>2184</v>
      </c>
      <c r="M3557">
        <v>80</v>
      </c>
      <c r="N3557">
        <v>16.16</v>
      </c>
      <c r="O3557">
        <v>767.92</v>
      </c>
      <c r="P3557">
        <v>864.59344899999996</v>
      </c>
      <c r="Q3557">
        <v>1632.513449</v>
      </c>
      <c r="R3557">
        <v>261.20215200000001</v>
      </c>
      <c r="S3557">
        <v>65.300538000000003</v>
      </c>
      <c r="T3557">
        <v>1828.4150629999999</v>
      </c>
      <c r="U3557" t="s">
        <v>3038</v>
      </c>
      <c r="V3557" t="s">
        <v>9408</v>
      </c>
      <c r="W3557" t="s">
        <v>423</v>
      </c>
    </row>
    <row r="3558" spans="1:23" hidden="1" x14ac:dyDescent="0.2">
      <c r="A3558">
        <v>2012</v>
      </c>
      <c r="B3558" t="s">
        <v>304</v>
      </c>
      <c r="C3558" s="733">
        <v>40955</v>
      </c>
      <c r="D35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58" t="s">
        <v>485</v>
      </c>
      <c r="F3558" t="s">
        <v>2065</v>
      </c>
      <c r="G3558" t="s">
        <v>7763</v>
      </c>
      <c r="H3558">
        <v>41950</v>
      </c>
      <c r="I3558" t="s">
        <v>423</v>
      </c>
      <c r="J3558" t="s">
        <v>2182</v>
      </c>
      <c r="K3558" t="s">
        <v>2183</v>
      </c>
      <c r="L3558" t="s">
        <v>2184</v>
      </c>
      <c r="M3558">
        <v>62</v>
      </c>
      <c r="N3558">
        <v>50.66</v>
      </c>
      <c r="O3558">
        <v>7504.77</v>
      </c>
      <c r="P3558">
        <v>0</v>
      </c>
      <c r="Q3558">
        <v>7504.77</v>
      </c>
      <c r="R3558">
        <v>1200.76</v>
      </c>
      <c r="S3558">
        <v>300.19</v>
      </c>
      <c r="T3558">
        <v>8405.34</v>
      </c>
      <c r="U3558" t="s">
        <v>8048</v>
      </c>
      <c r="V3558" t="s">
        <v>9409</v>
      </c>
      <c r="W3558" t="s">
        <v>423</v>
      </c>
    </row>
    <row r="3559" spans="1:23" hidden="1" x14ac:dyDescent="0.2">
      <c r="A3559">
        <v>2012</v>
      </c>
      <c r="B3559" t="s">
        <v>303</v>
      </c>
      <c r="C3559" s="733">
        <v>40919</v>
      </c>
      <c r="D35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59" t="s">
        <v>485</v>
      </c>
      <c r="F3559" t="s">
        <v>2065</v>
      </c>
      <c r="G3559" t="s">
        <v>2210</v>
      </c>
      <c r="H3559">
        <v>40105</v>
      </c>
      <c r="I3559" t="s">
        <v>423</v>
      </c>
      <c r="J3559" t="s">
        <v>2182</v>
      </c>
      <c r="K3559" t="s">
        <v>2183</v>
      </c>
      <c r="L3559" t="s">
        <v>2184</v>
      </c>
      <c r="M3559">
        <v>62</v>
      </c>
      <c r="N3559">
        <v>27.44</v>
      </c>
      <c r="O3559">
        <v>4064.96</v>
      </c>
      <c r="P3559">
        <v>0</v>
      </c>
      <c r="Q3559">
        <v>4064.96</v>
      </c>
      <c r="R3559">
        <v>650.39</v>
      </c>
      <c r="S3559">
        <v>162.6</v>
      </c>
      <c r="T3559">
        <v>4552.75</v>
      </c>
      <c r="U3559" t="s">
        <v>7520</v>
      </c>
      <c r="V3559" t="s">
        <v>9409</v>
      </c>
      <c r="W3559" t="s">
        <v>423</v>
      </c>
    </row>
    <row r="3560" spans="1:23" hidden="1" x14ac:dyDescent="0.2">
      <c r="A3560">
        <v>2012</v>
      </c>
      <c r="B3560" t="s">
        <v>304</v>
      </c>
      <c r="C3560" s="733">
        <v>40966</v>
      </c>
      <c r="D35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60" t="s">
        <v>485</v>
      </c>
      <c r="F3560" t="s">
        <v>2065</v>
      </c>
      <c r="G3560" t="s">
        <v>8793</v>
      </c>
      <c r="H3560">
        <v>42569</v>
      </c>
      <c r="I3560" t="s">
        <v>423</v>
      </c>
      <c r="J3560" t="s">
        <v>2182</v>
      </c>
      <c r="K3560" t="s">
        <v>2183</v>
      </c>
      <c r="L3560" t="s">
        <v>2184</v>
      </c>
      <c r="M3560">
        <v>62</v>
      </c>
      <c r="N3560">
        <v>51.72</v>
      </c>
      <c r="O3560">
        <v>7661.8</v>
      </c>
      <c r="P3560">
        <v>0</v>
      </c>
      <c r="Q3560">
        <v>7661.8</v>
      </c>
      <c r="R3560">
        <v>1225.8900000000001</v>
      </c>
      <c r="S3560">
        <v>306.47000000000003</v>
      </c>
      <c r="T3560">
        <v>8581.2199999999993</v>
      </c>
      <c r="V3560" t="s">
        <v>9409</v>
      </c>
      <c r="W3560" t="s">
        <v>423</v>
      </c>
    </row>
    <row r="3561" spans="1:23" hidden="1" x14ac:dyDescent="0.2">
      <c r="A3561">
        <v>2012</v>
      </c>
      <c r="B3561" t="s">
        <v>304</v>
      </c>
      <c r="C3561" s="733">
        <v>40948.44866898148</v>
      </c>
      <c r="D35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61" t="s">
        <v>485</v>
      </c>
      <c r="F3561" t="s">
        <v>2065</v>
      </c>
      <c r="G3561" t="s">
        <v>2191</v>
      </c>
      <c r="H3561">
        <v>41625</v>
      </c>
      <c r="I3561" t="s">
        <v>423</v>
      </c>
      <c r="J3561" t="s">
        <v>2182</v>
      </c>
      <c r="K3561" t="s">
        <v>2183</v>
      </c>
      <c r="L3561" t="s">
        <v>2184</v>
      </c>
      <c r="M3561">
        <v>62</v>
      </c>
      <c r="N3561">
        <v>15.78</v>
      </c>
      <c r="O3561">
        <v>2337.65</v>
      </c>
      <c r="P3561">
        <v>0</v>
      </c>
      <c r="Q3561">
        <v>2337.65</v>
      </c>
      <c r="R3561">
        <v>374.02</v>
      </c>
      <c r="S3561">
        <v>93.51</v>
      </c>
      <c r="T3561">
        <v>2618.16</v>
      </c>
      <c r="U3561" t="s">
        <v>2192</v>
      </c>
      <c r="V3561" t="s">
        <v>9408</v>
      </c>
      <c r="W3561" t="s">
        <v>423</v>
      </c>
    </row>
    <row r="3562" spans="1:23" hidden="1" x14ac:dyDescent="0.2">
      <c r="A3562">
        <v>2012</v>
      </c>
      <c r="B3562" t="s">
        <v>303</v>
      </c>
      <c r="C3562" s="733">
        <v>40928</v>
      </c>
      <c r="D35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62" t="s">
        <v>485</v>
      </c>
      <c r="F3562" t="s">
        <v>2065</v>
      </c>
      <c r="G3562" t="s">
        <v>2209</v>
      </c>
      <c r="H3562">
        <v>40603</v>
      </c>
      <c r="I3562" t="s">
        <v>423</v>
      </c>
      <c r="J3562" t="s">
        <v>2182</v>
      </c>
      <c r="K3562" t="s">
        <v>2183</v>
      </c>
      <c r="L3562" t="s">
        <v>2184</v>
      </c>
      <c r="M3562">
        <v>62</v>
      </c>
      <c r="N3562">
        <v>16.079999999999998</v>
      </c>
      <c r="O3562">
        <v>2382.09</v>
      </c>
      <c r="P3562">
        <v>0</v>
      </c>
      <c r="Q3562">
        <v>2382.09</v>
      </c>
      <c r="R3562">
        <v>381.13</v>
      </c>
      <c r="S3562">
        <v>95.28</v>
      </c>
      <c r="T3562">
        <v>2667.94</v>
      </c>
      <c r="U3562" t="s">
        <v>7554</v>
      </c>
      <c r="V3562" t="s">
        <v>9408</v>
      </c>
      <c r="W3562" t="s">
        <v>423</v>
      </c>
    </row>
    <row r="3563" spans="1:23" hidden="1" x14ac:dyDescent="0.2">
      <c r="A3563">
        <v>2012</v>
      </c>
      <c r="B3563" t="s">
        <v>303</v>
      </c>
      <c r="C3563" s="733">
        <v>40938</v>
      </c>
      <c r="D35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63" t="s">
        <v>485</v>
      </c>
      <c r="F3563" t="s">
        <v>2065</v>
      </c>
      <c r="G3563" t="s">
        <v>2207</v>
      </c>
      <c r="H3563">
        <v>41082</v>
      </c>
      <c r="I3563" t="s">
        <v>423</v>
      </c>
      <c r="J3563" t="s">
        <v>2182</v>
      </c>
      <c r="K3563" t="s">
        <v>2183</v>
      </c>
      <c r="L3563" t="s">
        <v>2184</v>
      </c>
      <c r="M3563">
        <v>62</v>
      </c>
      <c r="N3563">
        <v>16</v>
      </c>
      <c r="O3563">
        <v>2370.2399999999998</v>
      </c>
      <c r="P3563">
        <v>0</v>
      </c>
      <c r="Q3563">
        <v>2370.2399999999998</v>
      </c>
      <c r="R3563">
        <v>379.24</v>
      </c>
      <c r="S3563">
        <v>94.81</v>
      </c>
      <c r="T3563">
        <v>2654.67</v>
      </c>
      <c r="U3563" t="s">
        <v>2187</v>
      </c>
      <c r="V3563" t="s">
        <v>9408</v>
      </c>
      <c r="W3563" t="s">
        <v>423</v>
      </c>
    </row>
    <row r="3564" spans="1:23" hidden="1" x14ac:dyDescent="0.2">
      <c r="A3564">
        <v>2012</v>
      </c>
      <c r="B3564" t="s">
        <v>304</v>
      </c>
      <c r="C3564" s="733">
        <v>40941</v>
      </c>
      <c r="D35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64" t="s">
        <v>505</v>
      </c>
      <c r="F3564" t="s">
        <v>1915</v>
      </c>
      <c r="G3564" t="s">
        <v>4148</v>
      </c>
      <c r="H3564">
        <v>22411</v>
      </c>
      <c r="I3564" t="s">
        <v>423</v>
      </c>
      <c r="J3564" t="s">
        <v>3207</v>
      </c>
      <c r="K3564" t="s">
        <v>1918</v>
      </c>
      <c r="L3564" t="s">
        <v>1919</v>
      </c>
      <c r="M3564">
        <v>334</v>
      </c>
      <c r="N3564">
        <v>50.72</v>
      </c>
      <c r="O3564">
        <v>14005.82</v>
      </c>
      <c r="P3564">
        <v>0</v>
      </c>
      <c r="Q3564">
        <v>14005.82</v>
      </c>
      <c r="R3564">
        <v>2240.9299999999998</v>
      </c>
      <c r="S3564">
        <v>560.23</v>
      </c>
      <c r="T3564">
        <v>15686.52</v>
      </c>
      <c r="U3564" t="s">
        <v>1926</v>
      </c>
      <c r="V3564" t="s">
        <v>9409</v>
      </c>
      <c r="W3564" t="s">
        <v>423</v>
      </c>
    </row>
    <row r="3565" spans="1:23" hidden="1" x14ac:dyDescent="0.2">
      <c r="A3565">
        <v>2012</v>
      </c>
      <c r="B3565" t="s">
        <v>303</v>
      </c>
      <c r="C3565" s="733">
        <v>40915</v>
      </c>
      <c r="D35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65" t="s">
        <v>505</v>
      </c>
      <c r="F3565" t="s">
        <v>1915</v>
      </c>
      <c r="G3565" t="s">
        <v>4138</v>
      </c>
      <c r="H3565">
        <v>21820</v>
      </c>
      <c r="I3565" t="s">
        <v>423</v>
      </c>
      <c r="J3565" t="s">
        <v>3207</v>
      </c>
      <c r="K3565" t="s">
        <v>1918</v>
      </c>
      <c r="L3565" t="s">
        <v>1919</v>
      </c>
      <c r="M3565">
        <v>334</v>
      </c>
      <c r="N3565">
        <v>51.97</v>
      </c>
      <c r="O3565">
        <v>14351</v>
      </c>
      <c r="P3565">
        <v>0</v>
      </c>
      <c r="Q3565">
        <v>14351</v>
      </c>
      <c r="R3565">
        <v>2296.16</v>
      </c>
      <c r="S3565">
        <v>574.04</v>
      </c>
      <c r="T3565">
        <v>16073.12</v>
      </c>
      <c r="U3565" t="s">
        <v>1931</v>
      </c>
      <c r="V3565" t="s">
        <v>9409</v>
      </c>
      <c r="W3565" t="s">
        <v>423</v>
      </c>
    </row>
    <row r="3566" spans="1:23" hidden="1" x14ac:dyDescent="0.2">
      <c r="A3566">
        <v>2012</v>
      </c>
      <c r="B3566" t="s">
        <v>304</v>
      </c>
      <c r="C3566" s="733">
        <v>40952</v>
      </c>
      <c r="D35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66" t="s">
        <v>485</v>
      </c>
      <c r="F3566" t="s">
        <v>2065</v>
      </c>
      <c r="G3566" t="s">
        <v>3959</v>
      </c>
      <c r="H3566">
        <v>41665</v>
      </c>
      <c r="I3566" t="s">
        <v>423</v>
      </c>
      <c r="J3566" t="s">
        <v>3147</v>
      </c>
      <c r="K3566" t="s">
        <v>2183</v>
      </c>
      <c r="L3566" t="s">
        <v>2184</v>
      </c>
      <c r="M3566">
        <v>528</v>
      </c>
      <c r="N3566">
        <v>26.82</v>
      </c>
      <c r="O3566">
        <v>8303.4699999999993</v>
      </c>
      <c r="P3566">
        <v>0</v>
      </c>
      <c r="Q3566">
        <v>8303.4699999999993</v>
      </c>
      <c r="R3566">
        <v>1328.56</v>
      </c>
      <c r="S3566">
        <v>332.14</v>
      </c>
      <c r="T3566">
        <v>9299.89</v>
      </c>
      <c r="U3566" t="s">
        <v>8048</v>
      </c>
      <c r="V3566" t="s">
        <v>9408</v>
      </c>
      <c r="W3566" t="s">
        <v>423</v>
      </c>
    </row>
    <row r="3567" spans="1:23" hidden="1" x14ac:dyDescent="0.2">
      <c r="A3567">
        <v>2012</v>
      </c>
      <c r="B3567" t="s">
        <v>303</v>
      </c>
      <c r="C3567" s="733">
        <v>40931</v>
      </c>
      <c r="D35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67" t="s">
        <v>485</v>
      </c>
      <c r="F3567" t="s">
        <v>2065</v>
      </c>
      <c r="G3567" t="s">
        <v>4630</v>
      </c>
      <c r="H3567">
        <v>40582</v>
      </c>
      <c r="I3567" t="s">
        <v>423</v>
      </c>
      <c r="J3567" t="s">
        <v>2135</v>
      </c>
      <c r="K3567" t="s">
        <v>2102</v>
      </c>
      <c r="L3567" t="s">
        <v>2115</v>
      </c>
      <c r="M3567">
        <v>494</v>
      </c>
      <c r="N3567">
        <v>51.35</v>
      </c>
      <c r="O3567">
        <v>17266.439999999999</v>
      </c>
      <c r="P3567">
        <v>0</v>
      </c>
      <c r="Q3567">
        <v>17266.439999999999</v>
      </c>
      <c r="R3567">
        <v>2762.63</v>
      </c>
      <c r="S3567">
        <v>690.66</v>
      </c>
      <c r="T3567">
        <v>19338.41</v>
      </c>
      <c r="U3567" t="s">
        <v>2108</v>
      </c>
      <c r="V3567" t="s">
        <v>9409</v>
      </c>
      <c r="W3567" t="s">
        <v>423</v>
      </c>
    </row>
    <row r="3568" spans="1:23" hidden="1" x14ac:dyDescent="0.2">
      <c r="A3568">
        <v>2012</v>
      </c>
      <c r="B3568" t="s">
        <v>303</v>
      </c>
      <c r="C3568" s="733">
        <v>40918</v>
      </c>
      <c r="D35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68" t="s">
        <v>485</v>
      </c>
      <c r="F3568" t="s">
        <v>2065</v>
      </c>
      <c r="G3568" t="s">
        <v>3313</v>
      </c>
      <c r="H3568">
        <v>40015</v>
      </c>
      <c r="I3568" t="s">
        <v>423</v>
      </c>
      <c r="J3568" t="s">
        <v>2135</v>
      </c>
      <c r="K3568" t="s">
        <v>2102</v>
      </c>
      <c r="L3568" t="s">
        <v>2115</v>
      </c>
      <c r="M3568">
        <v>494</v>
      </c>
      <c r="N3568">
        <v>47</v>
      </c>
      <c r="O3568">
        <v>15803.75</v>
      </c>
      <c r="P3568">
        <v>0</v>
      </c>
      <c r="Q3568">
        <v>15803.75</v>
      </c>
      <c r="R3568">
        <v>2528.6</v>
      </c>
      <c r="S3568">
        <v>632.15</v>
      </c>
      <c r="T3568">
        <v>17700.2</v>
      </c>
      <c r="U3568" t="s">
        <v>2106</v>
      </c>
      <c r="V3568" t="s">
        <v>9409</v>
      </c>
      <c r="W3568" t="s">
        <v>423</v>
      </c>
    </row>
    <row r="3569" spans="1:23" hidden="1" x14ac:dyDescent="0.2">
      <c r="A3569">
        <v>2012</v>
      </c>
      <c r="B3569" t="s">
        <v>303</v>
      </c>
      <c r="C3569" s="733">
        <v>40918</v>
      </c>
      <c r="D35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69" t="s">
        <v>485</v>
      </c>
      <c r="F3569" t="s">
        <v>2136</v>
      </c>
      <c r="G3569" t="s">
        <v>3314</v>
      </c>
      <c r="H3569">
        <v>39952</v>
      </c>
      <c r="I3569" t="s">
        <v>423</v>
      </c>
      <c r="J3569" t="s">
        <v>2135</v>
      </c>
      <c r="K3569" t="s">
        <v>2102</v>
      </c>
      <c r="L3569" t="s">
        <v>2115</v>
      </c>
      <c r="M3569">
        <v>494</v>
      </c>
      <c r="N3569">
        <v>26.77</v>
      </c>
      <c r="O3569">
        <v>9001.41</v>
      </c>
      <c r="P3569">
        <v>0</v>
      </c>
      <c r="Q3569">
        <v>9001.41</v>
      </c>
      <c r="R3569">
        <v>1440.23</v>
      </c>
      <c r="S3569">
        <v>360.06</v>
      </c>
      <c r="T3569">
        <v>10081.58</v>
      </c>
      <c r="U3569" t="s">
        <v>2106</v>
      </c>
      <c r="V3569" t="s">
        <v>9408</v>
      </c>
      <c r="W3569" t="s">
        <v>423</v>
      </c>
    </row>
    <row r="3570" spans="1:23" hidden="1" x14ac:dyDescent="0.2">
      <c r="A3570">
        <v>2012</v>
      </c>
      <c r="B3570" t="s">
        <v>304</v>
      </c>
      <c r="C3570" s="733">
        <v>40947</v>
      </c>
      <c r="D35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70" t="s">
        <v>485</v>
      </c>
      <c r="F3570" t="s">
        <v>2065</v>
      </c>
      <c r="G3570" t="s">
        <v>3958</v>
      </c>
      <c r="H3570">
        <v>41436</v>
      </c>
      <c r="I3570" t="s">
        <v>423</v>
      </c>
      <c r="J3570" t="s">
        <v>3147</v>
      </c>
      <c r="K3570" t="s">
        <v>2183</v>
      </c>
      <c r="L3570" t="s">
        <v>2184</v>
      </c>
      <c r="M3570">
        <v>528</v>
      </c>
      <c r="N3570">
        <v>27.38</v>
      </c>
      <c r="O3570">
        <v>8476.85</v>
      </c>
      <c r="P3570">
        <v>0</v>
      </c>
      <c r="Q3570">
        <v>8476.85</v>
      </c>
      <c r="R3570">
        <v>1356.3</v>
      </c>
      <c r="S3570">
        <v>339.07</v>
      </c>
      <c r="T3570">
        <v>9494.08</v>
      </c>
      <c r="U3570" t="s">
        <v>2192</v>
      </c>
      <c r="V3570" t="s">
        <v>9408</v>
      </c>
      <c r="W3570" t="s">
        <v>423</v>
      </c>
    </row>
    <row r="3571" spans="1:23" hidden="1" x14ac:dyDescent="0.2">
      <c r="A3571">
        <v>2012</v>
      </c>
      <c r="B3571" t="s">
        <v>304</v>
      </c>
      <c r="C3571" s="733">
        <v>40947.587488425925</v>
      </c>
      <c r="D35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71" t="s">
        <v>478</v>
      </c>
      <c r="F3571" t="s">
        <v>3358</v>
      </c>
      <c r="G3571" t="s">
        <v>5778</v>
      </c>
      <c r="H3571">
        <v>35452</v>
      </c>
      <c r="I3571" t="s">
        <v>423</v>
      </c>
      <c r="J3571" t="s">
        <v>3360</v>
      </c>
      <c r="K3571" t="s">
        <v>483</v>
      </c>
      <c r="L3571" t="s">
        <v>3361</v>
      </c>
      <c r="M3571">
        <v>49</v>
      </c>
      <c r="N3571">
        <v>28.16</v>
      </c>
      <c r="O3571">
        <v>3178.42</v>
      </c>
      <c r="P3571">
        <v>0</v>
      </c>
      <c r="Q3571">
        <v>3178.42</v>
      </c>
      <c r="R3571">
        <v>508.55</v>
      </c>
      <c r="S3571">
        <v>127.14</v>
      </c>
      <c r="T3571">
        <v>3559.83</v>
      </c>
      <c r="U3571" t="s">
        <v>5137</v>
      </c>
      <c r="V3571" t="s">
        <v>9408</v>
      </c>
      <c r="W3571" t="s">
        <v>423</v>
      </c>
    </row>
    <row r="3572" spans="1:23" hidden="1" x14ac:dyDescent="0.2">
      <c r="A3572">
        <v>2012</v>
      </c>
      <c r="B3572" t="s">
        <v>304</v>
      </c>
      <c r="C3572" s="733">
        <v>40941</v>
      </c>
      <c r="D35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72" t="s">
        <v>478</v>
      </c>
      <c r="F3572" t="s">
        <v>3358</v>
      </c>
      <c r="G3572" t="s">
        <v>3359</v>
      </c>
      <c r="H3572">
        <v>35210</v>
      </c>
      <c r="I3572" t="s">
        <v>423</v>
      </c>
      <c r="J3572" t="s">
        <v>3360</v>
      </c>
      <c r="K3572" t="s">
        <v>483</v>
      </c>
      <c r="L3572" t="s">
        <v>3361</v>
      </c>
      <c r="M3572">
        <v>49</v>
      </c>
      <c r="N3572">
        <v>29.35</v>
      </c>
      <c r="O3572">
        <v>3312.73</v>
      </c>
      <c r="P3572">
        <v>0</v>
      </c>
      <c r="Q3572">
        <v>3312.73</v>
      </c>
      <c r="R3572">
        <v>530.04</v>
      </c>
      <c r="S3572">
        <v>132.51</v>
      </c>
      <c r="T3572">
        <v>3710.26</v>
      </c>
      <c r="U3572" t="s">
        <v>3362</v>
      </c>
      <c r="V3572" t="s">
        <v>9408</v>
      </c>
      <c r="W3572" t="s">
        <v>423</v>
      </c>
    </row>
    <row r="3573" spans="1:23" hidden="1" x14ac:dyDescent="0.2">
      <c r="A3573">
        <v>2012</v>
      </c>
      <c r="B3573" t="s">
        <v>304</v>
      </c>
      <c r="C3573" s="733">
        <v>40962</v>
      </c>
      <c r="D35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73" t="s">
        <v>478</v>
      </c>
      <c r="F3573" t="s">
        <v>3358</v>
      </c>
      <c r="G3573" t="s">
        <v>8586</v>
      </c>
      <c r="H3573">
        <v>35909</v>
      </c>
      <c r="I3573" t="s">
        <v>423</v>
      </c>
      <c r="J3573" t="s">
        <v>3360</v>
      </c>
      <c r="K3573" t="s">
        <v>483</v>
      </c>
      <c r="L3573" t="s">
        <v>3361</v>
      </c>
      <c r="M3573">
        <v>49</v>
      </c>
      <c r="N3573">
        <v>32.89</v>
      </c>
      <c r="O3573">
        <v>3712.29</v>
      </c>
      <c r="P3573">
        <v>0</v>
      </c>
      <c r="Q3573">
        <v>3712.29</v>
      </c>
      <c r="R3573">
        <v>593.97</v>
      </c>
      <c r="S3573">
        <v>148.49</v>
      </c>
      <c r="T3573">
        <v>4157.7700000000004</v>
      </c>
      <c r="V3573" t="s">
        <v>9408</v>
      </c>
      <c r="W3573" t="s">
        <v>423</v>
      </c>
    </row>
    <row r="3574" spans="1:23" hidden="1" x14ac:dyDescent="0.2">
      <c r="A3574">
        <v>2012</v>
      </c>
      <c r="B3574" t="s">
        <v>304</v>
      </c>
      <c r="C3574" s="733">
        <v>40949</v>
      </c>
      <c r="D35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74" t="s">
        <v>505</v>
      </c>
      <c r="F3574" t="s">
        <v>1915</v>
      </c>
      <c r="G3574" t="s">
        <v>6532</v>
      </c>
      <c r="H3574">
        <v>22600</v>
      </c>
      <c r="I3574" t="s">
        <v>423</v>
      </c>
      <c r="J3574" t="s">
        <v>4155</v>
      </c>
      <c r="K3574" t="s">
        <v>1918</v>
      </c>
      <c r="L3574" t="s">
        <v>1919</v>
      </c>
      <c r="M3574">
        <v>650</v>
      </c>
      <c r="N3574">
        <v>51.88</v>
      </c>
      <c r="O3574">
        <v>22310.99</v>
      </c>
      <c r="P3574">
        <v>0</v>
      </c>
      <c r="Q3574">
        <v>22310.99</v>
      </c>
      <c r="R3574">
        <v>3569.76</v>
      </c>
      <c r="S3574">
        <v>892.44</v>
      </c>
      <c r="T3574">
        <v>24988.31</v>
      </c>
      <c r="U3574" t="s">
        <v>7522</v>
      </c>
      <c r="V3574" t="s">
        <v>9409</v>
      </c>
      <c r="W3574" t="s">
        <v>423</v>
      </c>
    </row>
    <row r="3575" spans="1:23" hidden="1" x14ac:dyDescent="0.2">
      <c r="A3575">
        <v>2012</v>
      </c>
      <c r="B3575" t="s">
        <v>304</v>
      </c>
      <c r="C3575" s="733">
        <v>40941</v>
      </c>
      <c r="D35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75" t="s">
        <v>478</v>
      </c>
      <c r="F3575" t="s">
        <v>3358</v>
      </c>
      <c r="G3575" t="s">
        <v>5980</v>
      </c>
      <c r="H3575">
        <v>35213</v>
      </c>
      <c r="I3575" t="s">
        <v>423</v>
      </c>
      <c r="J3575" t="s">
        <v>4396</v>
      </c>
      <c r="K3575" t="s">
        <v>4397</v>
      </c>
      <c r="L3575" t="s">
        <v>4398</v>
      </c>
      <c r="M3575">
        <v>112</v>
      </c>
      <c r="N3575">
        <v>28.425000000000001</v>
      </c>
      <c r="O3575">
        <v>3208.33</v>
      </c>
      <c r="P3575">
        <v>0</v>
      </c>
      <c r="Q3575">
        <v>3208.33</v>
      </c>
      <c r="R3575">
        <v>513.33000000000004</v>
      </c>
      <c r="S3575">
        <v>128.33000000000001</v>
      </c>
      <c r="T3575">
        <v>3593.33</v>
      </c>
      <c r="U3575" t="s">
        <v>4399</v>
      </c>
      <c r="V3575" t="s">
        <v>9408</v>
      </c>
      <c r="W3575" t="s">
        <v>423</v>
      </c>
    </row>
    <row r="3576" spans="1:23" hidden="1" x14ac:dyDescent="0.2">
      <c r="A3576">
        <v>2012</v>
      </c>
      <c r="B3576" t="s">
        <v>303</v>
      </c>
      <c r="C3576" s="733">
        <v>40931</v>
      </c>
      <c r="D35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76" t="s">
        <v>505</v>
      </c>
      <c r="F3576" t="s">
        <v>1915</v>
      </c>
      <c r="G3576" t="s">
        <v>6529</v>
      </c>
      <c r="H3576">
        <v>22125</v>
      </c>
      <c r="I3576" t="s">
        <v>423</v>
      </c>
      <c r="J3576" t="s">
        <v>4153</v>
      </c>
      <c r="K3576" t="s">
        <v>1918</v>
      </c>
      <c r="L3576" t="s">
        <v>1919</v>
      </c>
      <c r="M3576">
        <v>850</v>
      </c>
      <c r="N3576">
        <v>49.81</v>
      </c>
      <c r="O3576">
        <v>31124.28</v>
      </c>
      <c r="P3576">
        <v>0</v>
      </c>
      <c r="Q3576">
        <v>31124.28</v>
      </c>
      <c r="R3576">
        <v>4979.88</v>
      </c>
      <c r="S3576">
        <v>1244.97</v>
      </c>
      <c r="T3576">
        <v>34859.19</v>
      </c>
      <c r="U3576" t="s">
        <v>1936</v>
      </c>
      <c r="V3576" t="s">
        <v>9409</v>
      </c>
      <c r="W3576" t="s">
        <v>423</v>
      </c>
    </row>
    <row r="3577" spans="1:23" hidden="1" x14ac:dyDescent="0.2">
      <c r="A3577">
        <v>2012</v>
      </c>
      <c r="B3577" t="s">
        <v>305</v>
      </c>
      <c r="C3577" s="733">
        <v>40969</v>
      </c>
      <c r="D3577" s="733" t="str">
        <f>CHOOSE(MONTH(Tabla_sqldatos_bonampakdb_Bon_v_ingresos2012[[#This Row],[fecha_guia]]),"Enero","Febrero","Marzo","Abril","Mayo","Junio","Julio","Agosto","Septiembre","Octubre","Noviembre","Diciembre")</f>
        <v>Marzo</v>
      </c>
      <c r="E3577" t="s">
        <v>505</v>
      </c>
      <c r="F3577" t="s">
        <v>1915</v>
      </c>
      <c r="G3577" t="s">
        <v>9516</v>
      </c>
      <c r="H3577">
        <v>23093</v>
      </c>
      <c r="I3577" t="s">
        <v>423</v>
      </c>
      <c r="J3577" t="s">
        <v>4153</v>
      </c>
      <c r="K3577" t="s">
        <v>1918</v>
      </c>
      <c r="L3577" t="s">
        <v>1919</v>
      </c>
      <c r="M3577">
        <v>850</v>
      </c>
      <c r="N3577">
        <v>49.33</v>
      </c>
      <c r="O3577">
        <v>30824.34</v>
      </c>
      <c r="P3577">
        <v>0</v>
      </c>
      <c r="Q3577">
        <v>30824.34</v>
      </c>
      <c r="R3577">
        <v>4931.8999999999996</v>
      </c>
      <c r="S3577">
        <v>1232.97</v>
      </c>
      <c r="T3577">
        <v>34523.269999999997</v>
      </c>
      <c r="V3577" t="s">
        <v>9409</v>
      </c>
      <c r="W3577" t="s">
        <v>423</v>
      </c>
    </row>
    <row r="3578" spans="1:23" hidden="1" x14ac:dyDescent="0.2">
      <c r="A3578">
        <v>2012</v>
      </c>
      <c r="B3578" t="s">
        <v>303</v>
      </c>
      <c r="C3578" s="733">
        <v>40911.71702546296</v>
      </c>
      <c r="D35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78" t="s">
        <v>505</v>
      </c>
      <c r="F3578" t="s">
        <v>1915</v>
      </c>
      <c r="G3578" t="s">
        <v>6538</v>
      </c>
      <c r="H3578">
        <v>21707</v>
      </c>
      <c r="I3578" t="s">
        <v>423</v>
      </c>
      <c r="J3578" t="s">
        <v>4153</v>
      </c>
      <c r="K3578" t="s">
        <v>1918</v>
      </c>
      <c r="L3578" t="s">
        <v>1919</v>
      </c>
      <c r="M3578">
        <v>850</v>
      </c>
      <c r="N3578">
        <v>24.76</v>
      </c>
      <c r="O3578">
        <v>6513.84</v>
      </c>
      <c r="P3578">
        <v>7333.8673179999996</v>
      </c>
      <c r="Q3578">
        <v>13847.707318000001</v>
      </c>
      <c r="R3578">
        <v>2215.6331709999999</v>
      </c>
      <c r="S3578">
        <v>553.90829299999996</v>
      </c>
      <c r="T3578">
        <v>15509.432196</v>
      </c>
      <c r="U3578" t="s">
        <v>1920</v>
      </c>
      <c r="V3578" t="s">
        <v>9408</v>
      </c>
      <c r="W3578" t="s">
        <v>423</v>
      </c>
    </row>
    <row r="3579" spans="1:23" hidden="1" x14ac:dyDescent="0.2">
      <c r="A3579">
        <v>2012</v>
      </c>
      <c r="B3579" t="s">
        <v>303</v>
      </c>
      <c r="C3579" s="733">
        <v>40933</v>
      </c>
      <c r="D35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79" t="s">
        <v>505</v>
      </c>
      <c r="F3579" t="s">
        <v>1915</v>
      </c>
      <c r="G3579" t="s">
        <v>6539</v>
      </c>
      <c r="H3579">
        <v>22192</v>
      </c>
      <c r="I3579" t="s">
        <v>423</v>
      </c>
      <c r="J3579" t="s">
        <v>4153</v>
      </c>
      <c r="K3579" t="s">
        <v>1918</v>
      </c>
      <c r="L3579" t="s">
        <v>1919</v>
      </c>
      <c r="M3579">
        <v>850</v>
      </c>
      <c r="N3579">
        <v>25.13</v>
      </c>
      <c r="O3579">
        <v>15702.73</v>
      </c>
      <c r="P3579">
        <v>0</v>
      </c>
      <c r="Q3579">
        <v>15702.73</v>
      </c>
      <c r="R3579">
        <v>2512.44</v>
      </c>
      <c r="S3579">
        <v>628.11</v>
      </c>
      <c r="T3579">
        <v>17587.060000000001</v>
      </c>
      <c r="U3579" t="s">
        <v>1936</v>
      </c>
      <c r="V3579" t="s">
        <v>9408</v>
      </c>
      <c r="W3579" t="s">
        <v>423</v>
      </c>
    </row>
    <row r="3580" spans="1:23" hidden="1" x14ac:dyDescent="0.2">
      <c r="A3580">
        <v>2012</v>
      </c>
      <c r="B3580" t="s">
        <v>304</v>
      </c>
      <c r="C3580" s="733">
        <v>40949</v>
      </c>
      <c r="D35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80" t="s">
        <v>505</v>
      </c>
      <c r="F3580" t="s">
        <v>1915</v>
      </c>
      <c r="G3580" t="s">
        <v>6530</v>
      </c>
      <c r="H3580">
        <v>22603</v>
      </c>
      <c r="I3580" t="s">
        <v>423</v>
      </c>
      <c r="J3580" t="s">
        <v>4153</v>
      </c>
      <c r="K3580" t="s">
        <v>1918</v>
      </c>
      <c r="L3580" t="s">
        <v>1919</v>
      </c>
      <c r="M3580">
        <v>850</v>
      </c>
      <c r="N3580">
        <v>49.92</v>
      </c>
      <c r="O3580">
        <v>31193.01</v>
      </c>
      <c r="P3580">
        <v>0</v>
      </c>
      <c r="Q3580">
        <v>31193.01</v>
      </c>
      <c r="R3580">
        <v>4990.88</v>
      </c>
      <c r="S3580">
        <v>1247.72</v>
      </c>
      <c r="T3580">
        <v>34936.17</v>
      </c>
      <c r="U3580" t="s">
        <v>7522</v>
      </c>
      <c r="V3580" t="s">
        <v>9409</v>
      </c>
      <c r="W3580" t="s">
        <v>423</v>
      </c>
    </row>
    <row r="3581" spans="1:23" hidden="1" x14ac:dyDescent="0.2">
      <c r="A3581">
        <v>2012</v>
      </c>
      <c r="B3581" t="s">
        <v>304</v>
      </c>
      <c r="C3581" s="733">
        <v>40967</v>
      </c>
      <c r="D35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81" t="s">
        <v>505</v>
      </c>
      <c r="F3581" t="s">
        <v>1915</v>
      </c>
      <c r="G3581" t="s">
        <v>9141</v>
      </c>
      <c r="H3581">
        <v>23015</v>
      </c>
      <c r="I3581" t="s">
        <v>423</v>
      </c>
      <c r="J3581" t="s">
        <v>4153</v>
      </c>
      <c r="K3581" t="s">
        <v>1918</v>
      </c>
      <c r="L3581" t="s">
        <v>1919</v>
      </c>
      <c r="M3581">
        <v>850</v>
      </c>
      <c r="N3581">
        <v>49.64</v>
      </c>
      <c r="O3581">
        <v>31018.05</v>
      </c>
      <c r="P3581">
        <v>0</v>
      </c>
      <c r="Q3581">
        <v>31018.05</v>
      </c>
      <c r="R3581">
        <v>4962.8900000000003</v>
      </c>
      <c r="S3581">
        <v>1240.72</v>
      </c>
      <c r="T3581">
        <v>34740.22</v>
      </c>
      <c r="V3581" t="s">
        <v>9409</v>
      </c>
      <c r="W3581" t="s">
        <v>423</v>
      </c>
    </row>
    <row r="3582" spans="1:23" hidden="1" x14ac:dyDescent="0.2">
      <c r="A3582">
        <v>2012</v>
      </c>
      <c r="B3582" t="s">
        <v>304</v>
      </c>
      <c r="C3582" s="733">
        <v>40941</v>
      </c>
      <c r="D35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82" t="s">
        <v>478</v>
      </c>
      <c r="F3582" t="s">
        <v>3358</v>
      </c>
      <c r="G3582" t="s">
        <v>5981</v>
      </c>
      <c r="H3582">
        <v>35216</v>
      </c>
      <c r="I3582" t="s">
        <v>423</v>
      </c>
      <c r="J3582" t="s">
        <v>4396</v>
      </c>
      <c r="K3582" t="s">
        <v>4397</v>
      </c>
      <c r="L3582" t="s">
        <v>4398</v>
      </c>
      <c r="M3582">
        <v>112</v>
      </c>
      <c r="N3582">
        <v>21.004999999999999</v>
      </c>
      <c r="O3582">
        <v>2370.83</v>
      </c>
      <c r="P3582">
        <v>0</v>
      </c>
      <c r="Q3582">
        <v>2370.83</v>
      </c>
      <c r="R3582">
        <v>379.33</v>
      </c>
      <c r="S3582">
        <v>94.83</v>
      </c>
      <c r="T3582">
        <v>2655.33</v>
      </c>
      <c r="U3582" t="s">
        <v>4399</v>
      </c>
      <c r="V3582" t="s">
        <v>9408</v>
      </c>
      <c r="W3582" t="s">
        <v>423</v>
      </c>
    </row>
    <row r="3583" spans="1:23" hidden="1" x14ac:dyDescent="0.2">
      <c r="A3583">
        <v>2012</v>
      </c>
      <c r="B3583" t="s">
        <v>304</v>
      </c>
      <c r="C3583" s="733">
        <v>40956</v>
      </c>
      <c r="D35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83" t="s">
        <v>478</v>
      </c>
      <c r="F3583" t="s">
        <v>2622</v>
      </c>
      <c r="G3583" t="s">
        <v>7689</v>
      </c>
      <c r="H3583">
        <v>35788</v>
      </c>
      <c r="I3583" t="s">
        <v>423</v>
      </c>
      <c r="J3583" t="s">
        <v>4396</v>
      </c>
      <c r="K3583" t="s">
        <v>4397</v>
      </c>
      <c r="L3583" t="s">
        <v>4398</v>
      </c>
      <c r="M3583">
        <v>112</v>
      </c>
      <c r="N3583">
        <v>27.27</v>
      </c>
      <c r="O3583">
        <v>3077.96</v>
      </c>
      <c r="P3583">
        <v>0</v>
      </c>
      <c r="Q3583">
        <v>3077.96</v>
      </c>
      <c r="R3583">
        <v>492.47</v>
      </c>
      <c r="S3583">
        <v>123.12</v>
      </c>
      <c r="T3583">
        <v>3447.31</v>
      </c>
      <c r="U3583" t="s">
        <v>8384</v>
      </c>
      <c r="V3583" t="s">
        <v>9408</v>
      </c>
      <c r="W3583" t="s">
        <v>423</v>
      </c>
    </row>
    <row r="3584" spans="1:23" hidden="1" x14ac:dyDescent="0.2">
      <c r="A3584">
        <v>2012</v>
      </c>
      <c r="B3584" t="s">
        <v>303</v>
      </c>
      <c r="C3584" s="733">
        <v>40933</v>
      </c>
      <c r="D35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84" t="s">
        <v>478</v>
      </c>
      <c r="F3584" t="s">
        <v>4128</v>
      </c>
      <c r="G3584" t="s">
        <v>5982</v>
      </c>
      <c r="H3584">
        <v>34924</v>
      </c>
      <c r="I3584" t="s">
        <v>423</v>
      </c>
      <c r="J3584" t="s">
        <v>4396</v>
      </c>
      <c r="K3584" t="s">
        <v>4397</v>
      </c>
      <c r="L3584" t="s">
        <v>4398</v>
      </c>
      <c r="M3584">
        <v>112</v>
      </c>
      <c r="N3584">
        <v>21.28</v>
      </c>
      <c r="O3584">
        <v>2401.87</v>
      </c>
      <c r="P3584">
        <v>0</v>
      </c>
      <c r="Q3584">
        <v>2401.87</v>
      </c>
      <c r="R3584">
        <v>384.3</v>
      </c>
      <c r="S3584">
        <v>96.07</v>
      </c>
      <c r="T3584">
        <v>2690.1</v>
      </c>
      <c r="U3584" t="s">
        <v>4402</v>
      </c>
      <c r="V3584" t="s">
        <v>9408</v>
      </c>
      <c r="W3584" t="s">
        <v>423</v>
      </c>
    </row>
    <row r="3585" spans="1:23" hidden="1" x14ac:dyDescent="0.2">
      <c r="A3585">
        <v>2012</v>
      </c>
      <c r="B3585" t="s">
        <v>303</v>
      </c>
      <c r="C3585" s="733">
        <v>40924</v>
      </c>
      <c r="D35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85" t="s">
        <v>505</v>
      </c>
      <c r="F3585" t="s">
        <v>1915</v>
      </c>
      <c r="G3585" t="s">
        <v>6540</v>
      </c>
      <c r="H3585">
        <v>21956</v>
      </c>
      <c r="I3585" t="s">
        <v>423</v>
      </c>
      <c r="J3585" t="s">
        <v>4153</v>
      </c>
      <c r="K3585" t="s">
        <v>1918</v>
      </c>
      <c r="L3585" t="s">
        <v>1919</v>
      </c>
      <c r="M3585">
        <v>850</v>
      </c>
      <c r="N3585">
        <v>23.21</v>
      </c>
      <c r="O3585">
        <v>14503</v>
      </c>
      <c r="P3585">
        <v>0</v>
      </c>
      <c r="Q3585">
        <v>14503</v>
      </c>
      <c r="R3585">
        <v>2320.48</v>
      </c>
      <c r="S3585">
        <v>580.12</v>
      </c>
      <c r="T3585">
        <v>16243.36</v>
      </c>
      <c r="U3585" t="s">
        <v>1931</v>
      </c>
      <c r="V3585" t="s">
        <v>9408</v>
      </c>
      <c r="W3585" t="s">
        <v>423</v>
      </c>
    </row>
    <row r="3586" spans="1:23" hidden="1" x14ac:dyDescent="0.2">
      <c r="A3586">
        <v>2012</v>
      </c>
      <c r="B3586" t="s">
        <v>304</v>
      </c>
      <c r="C3586" s="733">
        <v>40962</v>
      </c>
      <c r="D35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86" t="s">
        <v>505</v>
      </c>
      <c r="F3586" t="s">
        <v>1915</v>
      </c>
      <c r="G3586" t="s">
        <v>8421</v>
      </c>
      <c r="H3586">
        <v>22891</v>
      </c>
      <c r="I3586" t="s">
        <v>423</v>
      </c>
      <c r="J3586" t="s">
        <v>4153</v>
      </c>
      <c r="K3586" t="s">
        <v>1918</v>
      </c>
      <c r="L3586" t="s">
        <v>1919</v>
      </c>
      <c r="M3586">
        <v>850</v>
      </c>
      <c r="N3586">
        <v>49.51</v>
      </c>
      <c r="O3586">
        <v>30936.82</v>
      </c>
      <c r="P3586">
        <v>0</v>
      </c>
      <c r="Q3586">
        <v>30936.82</v>
      </c>
      <c r="R3586">
        <v>4949.8900000000003</v>
      </c>
      <c r="S3586">
        <v>1237.47</v>
      </c>
      <c r="T3586">
        <v>34649.24</v>
      </c>
      <c r="U3586" t="s">
        <v>8778</v>
      </c>
      <c r="V3586" t="s">
        <v>9409</v>
      </c>
      <c r="W3586" t="s">
        <v>423</v>
      </c>
    </row>
    <row r="3587" spans="1:23" hidden="1" x14ac:dyDescent="0.2">
      <c r="A3587">
        <v>2012</v>
      </c>
      <c r="B3587" t="s">
        <v>303</v>
      </c>
      <c r="C3587" s="733">
        <v>40931</v>
      </c>
      <c r="D35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87" t="s">
        <v>478</v>
      </c>
      <c r="F3587" t="s">
        <v>2136</v>
      </c>
      <c r="G3587" t="s">
        <v>6994</v>
      </c>
      <c r="H3587">
        <v>34750</v>
      </c>
      <c r="I3587" t="s">
        <v>423</v>
      </c>
      <c r="J3587" t="s">
        <v>4289</v>
      </c>
      <c r="K3587" t="s">
        <v>425</v>
      </c>
      <c r="L3587" t="s">
        <v>2145</v>
      </c>
      <c r="M3587">
        <v>775</v>
      </c>
      <c r="N3587">
        <v>22.01</v>
      </c>
      <c r="O3587">
        <v>8428.2900000000009</v>
      </c>
      <c r="P3587">
        <v>0</v>
      </c>
      <c r="Q3587">
        <v>8428.2900000000009</v>
      </c>
      <c r="R3587">
        <v>1348.53</v>
      </c>
      <c r="S3587">
        <v>337.13</v>
      </c>
      <c r="T3587">
        <v>9439.69</v>
      </c>
      <c r="U3587" t="s">
        <v>2355</v>
      </c>
      <c r="V3587" t="s">
        <v>9408</v>
      </c>
      <c r="W3587" t="s">
        <v>423</v>
      </c>
    </row>
    <row r="3588" spans="1:23" hidden="1" x14ac:dyDescent="0.2">
      <c r="A3588">
        <v>2012</v>
      </c>
      <c r="B3588" t="s">
        <v>303</v>
      </c>
      <c r="C3588" s="733">
        <v>40933</v>
      </c>
      <c r="D35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88" t="s">
        <v>478</v>
      </c>
      <c r="F3588" t="s">
        <v>2136</v>
      </c>
      <c r="G3588" t="s">
        <v>6983</v>
      </c>
      <c r="H3588">
        <v>34962</v>
      </c>
      <c r="I3588" t="s">
        <v>423</v>
      </c>
      <c r="J3588" t="s">
        <v>4294</v>
      </c>
      <c r="K3588" t="s">
        <v>425</v>
      </c>
      <c r="L3588" t="s">
        <v>2145</v>
      </c>
      <c r="M3588">
        <v>1089</v>
      </c>
      <c r="N3588">
        <v>48.06</v>
      </c>
      <c r="O3588">
        <v>24259.25</v>
      </c>
      <c r="P3588">
        <v>0</v>
      </c>
      <c r="Q3588">
        <v>24259.25</v>
      </c>
      <c r="R3588">
        <v>3881.48</v>
      </c>
      <c r="S3588">
        <v>970.37</v>
      </c>
      <c r="T3588">
        <v>27170.36</v>
      </c>
      <c r="U3588" t="s">
        <v>3234</v>
      </c>
      <c r="V3588" t="s">
        <v>9409</v>
      </c>
      <c r="W3588" t="s">
        <v>423</v>
      </c>
    </row>
    <row r="3589" spans="1:23" hidden="1" x14ac:dyDescent="0.2">
      <c r="A3589">
        <v>2012</v>
      </c>
      <c r="B3589" t="s">
        <v>303</v>
      </c>
      <c r="C3589" s="733">
        <v>40926</v>
      </c>
      <c r="D35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89" t="s">
        <v>485</v>
      </c>
      <c r="F3589" t="s">
        <v>2084</v>
      </c>
      <c r="G3589" t="s">
        <v>3354</v>
      </c>
      <c r="H3589">
        <v>40205</v>
      </c>
      <c r="I3589" t="s">
        <v>423</v>
      </c>
      <c r="J3589" t="s">
        <v>3355</v>
      </c>
      <c r="K3589" t="s">
        <v>2814</v>
      </c>
      <c r="L3589" t="s">
        <v>2815</v>
      </c>
      <c r="M3589">
        <v>417</v>
      </c>
      <c r="N3589">
        <v>23.977</v>
      </c>
      <c r="O3589">
        <v>6652.9</v>
      </c>
      <c r="P3589">
        <v>0</v>
      </c>
      <c r="Q3589">
        <v>6652.9</v>
      </c>
      <c r="R3589">
        <v>1064.46</v>
      </c>
      <c r="S3589">
        <v>266.12</v>
      </c>
      <c r="T3589">
        <v>7451.24</v>
      </c>
      <c r="U3589" t="s">
        <v>2824</v>
      </c>
      <c r="V3589" t="s">
        <v>9408</v>
      </c>
      <c r="W3589" t="s">
        <v>423</v>
      </c>
    </row>
    <row r="3590" spans="1:23" x14ac:dyDescent="0.2">
      <c r="A3590">
        <v>2012</v>
      </c>
      <c r="B3590" t="s">
        <v>304</v>
      </c>
      <c r="C3590" s="733">
        <v>40967</v>
      </c>
      <c r="D35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90" t="s">
        <v>485</v>
      </c>
      <c r="F3590" t="s">
        <v>2084</v>
      </c>
      <c r="G3590" t="s">
        <v>9140</v>
      </c>
      <c r="H3590">
        <v>42274</v>
      </c>
      <c r="I3590" t="s">
        <v>423</v>
      </c>
      <c r="J3590" t="s">
        <v>3355</v>
      </c>
      <c r="K3590" t="s">
        <v>2814</v>
      </c>
      <c r="L3590" t="s">
        <v>2815</v>
      </c>
      <c r="M3590">
        <v>417</v>
      </c>
      <c r="N3590">
        <v>28.504000000000001</v>
      </c>
      <c r="O3590">
        <v>7909</v>
      </c>
      <c r="P3590">
        <v>0</v>
      </c>
      <c r="Q3590">
        <v>7909</v>
      </c>
      <c r="R3590">
        <v>869.99</v>
      </c>
      <c r="S3590">
        <v>316.36</v>
      </c>
      <c r="T3590">
        <v>8462.6299999999992</v>
      </c>
      <c r="U3590" t="s">
        <v>8877</v>
      </c>
      <c r="V3590" t="s">
        <v>9408</v>
      </c>
      <c r="W3590" t="s">
        <v>423</v>
      </c>
    </row>
    <row r="3591" spans="1:23" hidden="1" x14ac:dyDescent="0.2">
      <c r="A3591">
        <v>2012</v>
      </c>
      <c r="B3591" t="s">
        <v>303</v>
      </c>
      <c r="C3591" s="733">
        <v>40926</v>
      </c>
      <c r="D35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91" t="s">
        <v>485</v>
      </c>
      <c r="F3591" t="s">
        <v>2084</v>
      </c>
      <c r="G3591" t="s">
        <v>3357</v>
      </c>
      <c r="H3591">
        <v>40104</v>
      </c>
      <c r="I3591" t="s">
        <v>423</v>
      </c>
      <c r="J3591" t="s">
        <v>3355</v>
      </c>
      <c r="K3591" t="s">
        <v>2814</v>
      </c>
      <c r="L3591" t="s">
        <v>2815</v>
      </c>
      <c r="M3591">
        <v>417</v>
      </c>
      <c r="N3591">
        <v>24.015999999999998</v>
      </c>
      <c r="O3591">
        <v>6663.72</v>
      </c>
      <c r="P3591">
        <v>0</v>
      </c>
      <c r="Q3591">
        <v>6663.72</v>
      </c>
      <c r="R3591">
        <v>1066.2</v>
      </c>
      <c r="S3591">
        <v>266.55</v>
      </c>
      <c r="T3591">
        <v>7463.37</v>
      </c>
      <c r="U3591" t="s">
        <v>2826</v>
      </c>
      <c r="V3591" t="s">
        <v>9408</v>
      </c>
      <c r="W3591" t="s">
        <v>423</v>
      </c>
    </row>
    <row r="3592" spans="1:23" hidden="1" x14ac:dyDescent="0.2">
      <c r="A3592">
        <v>2012</v>
      </c>
      <c r="B3592" t="s">
        <v>303</v>
      </c>
      <c r="C3592" s="733">
        <v>40932</v>
      </c>
      <c r="D35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92" t="s">
        <v>485</v>
      </c>
      <c r="F3592" t="s">
        <v>2084</v>
      </c>
      <c r="G3592" t="s">
        <v>3356</v>
      </c>
      <c r="H3592">
        <v>40360</v>
      </c>
      <c r="I3592" t="s">
        <v>423</v>
      </c>
      <c r="J3592" t="s">
        <v>3355</v>
      </c>
      <c r="K3592" t="s">
        <v>2814</v>
      </c>
      <c r="L3592" t="s">
        <v>2815</v>
      </c>
      <c r="M3592">
        <v>417</v>
      </c>
      <c r="N3592">
        <v>24.343</v>
      </c>
      <c r="O3592">
        <v>6754.45</v>
      </c>
      <c r="P3592">
        <v>0</v>
      </c>
      <c r="Q3592">
        <v>6754.45</v>
      </c>
      <c r="R3592">
        <v>1080.71</v>
      </c>
      <c r="S3592">
        <v>270.18</v>
      </c>
      <c r="T3592">
        <v>7564.98</v>
      </c>
      <c r="U3592" t="s">
        <v>2826</v>
      </c>
      <c r="V3592" t="s">
        <v>9408</v>
      </c>
      <c r="W3592" t="s">
        <v>423</v>
      </c>
    </row>
    <row r="3593" spans="1:23" hidden="1" x14ac:dyDescent="0.2">
      <c r="A3593">
        <v>2012</v>
      </c>
      <c r="B3593" t="s">
        <v>303</v>
      </c>
      <c r="C3593" s="733">
        <v>40919</v>
      </c>
      <c r="D35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93" t="s">
        <v>478</v>
      </c>
      <c r="F3593" t="s">
        <v>4128</v>
      </c>
      <c r="G3593" t="s">
        <v>5987</v>
      </c>
      <c r="H3593">
        <v>34398</v>
      </c>
      <c r="I3593" t="s">
        <v>423</v>
      </c>
      <c r="J3593" t="s">
        <v>4396</v>
      </c>
      <c r="K3593" t="s">
        <v>4397</v>
      </c>
      <c r="L3593" t="s">
        <v>4398</v>
      </c>
      <c r="M3593">
        <v>112</v>
      </c>
      <c r="N3593">
        <v>27.984999999999999</v>
      </c>
      <c r="O3593">
        <v>3158.67</v>
      </c>
      <c r="P3593">
        <v>0</v>
      </c>
      <c r="Q3593">
        <v>3158.67</v>
      </c>
      <c r="R3593">
        <v>505.39</v>
      </c>
      <c r="S3593">
        <v>126.35</v>
      </c>
      <c r="T3593">
        <v>3537.71</v>
      </c>
      <c r="U3593" t="s">
        <v>4399</v>
      </c>
      <c r="V3593" t="s">
        <v>9408</v>
      </c>
      <c r="W3593" t="s">
        <v>423</v>
      </c>
    </row>
    <row r="3594" spans="1:23" hidden="1" x14ac:dyDescent="0.2">
      <c r="A3594">
        <v>2012</v>
      </c>
      <c r="B3594" t="s">
        <v>304</v>
      </c>
      <c r="C3594" s="733">
        <v>40948</v>
      </c>
      <c r="D35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594" t="s">
        <v>485</v>
      </c>
      <c r="F3594" t="s">
        <v>3450</v>
      </c>
      <c r="G3594" t="s">
        <v>5989</v>
      </c>
      <c r="H3594">
        <v>41467</v>
      </c>
      <c r="I3594" t="s">
        <v>423</v>
      </c>
      <c r="J3594" t="s">
        <v>3952</v>
      </c>
      <c r="K3594" t="s">
        <v>3953</v>
      </c>
      <c r="L3594" t="s">
        <v>3454</v>
      </c>
      <c r="M3594">
        <v>54</v>
      </c>
      <c r="N3594">
        <v>29.52</v>
      </c>
      <c r="O3594">
        <v>3331.92</v>
      </c>
      <c r="P3594">
        <v>0</v>
      </c>
      <c r="Q3594">
        <v>3331.92</v>
      </c>
      <c r="R3594">
        <v>533.11</v>
      </c>
      <c r="S3594">
        <v>133.28</v>
      </c>
      <c r="T3594">
        <v>3731.75</v>
      </c>
      <c r="U3594" t="s">
        <v>3455</v>
      </c>
      <c r="V3594" t="s">
        <v>9408</v>
      </c>
      <c r="W3594" t="s">
        <v>423</v>
      </c>
    </row>
    <row r="3595" spans="1:23" hidden="1" x14ac:dyDescent="0.2">
      <c r="A3595">
        <v>2012</v>
      </c>
      <c r="B3595" t="s">
        <v>303</v>
      </c>
      <c r="C3595" s="733">
        <v>40933</v>
      </c>
      <c r="D35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95" t="s">
        <v>485</v>
      </c>
      <c r="F3595" t="s">
        <v>3450</v>
      </c>
      <c r="G3595" t="s">
        <v>5988</v>
      </c>
      <c r="H3595">
        <v>40578</v>
      </c>
      <c r="I3595" t="s">
        <v>423</v>
      </c>
      <c r="J3595" t="s">
        <v>3952</v>
      </c>
      <c r="K3595" t="s">
        <v>3953</v>
      </c>
      <c r="L3595" t="s">
        <v>3454</v>
      </c>
      <c r="M3595">
        <v>54</v>
      </c>
      <c r="N3595">
        <v>28.22</v>
      </c>
      <c r="O3595">
        <v>3185.19</v>
      </c>
      <c r="P3595">
        <v>0</v>
      </c>
      <c r="Q3595">
        <v>3185.19</v>
      </c>
      <c r="R3595">
        <v>509.63</v>
      </c>
      <c r="S3595">
        <v>127.41</v>
      </c>
      <c r="T3595">
        <v>3567.41</v>
      </c>
      <c r="U3595" t="s">
        <v>3459</v>
      </c>
      <c r="V3595" t="s">
        <v>9408</v>
      </c>
      <c r="W3595" t="s">
        <v>423</v>
      </c>
    </row>
    <row r="3596" spans="1:23" hidden="1" x14ac:dyDescent="0.2">
      <c r="A3596">
        <v>2012</v>
      </c>
      <c r="B3596" t="s">
        <v>303</v>
      </c>
      <c r="C3596" s="733">
        <v>40921</v>
      </c>
      <c r="D35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96" t="s">
        <v>478</v>
      </c>
      <c r="F3596" t="s">
        <v>2136</v>
      </c>
      <c r="G3596" t="s">
        <v>6984</v>
      </c>
      <c r="H3596">
        <v>34486</v>
      </c>
      <c r="I3596" t="s">
        <v>423</v>
      </c>
      <c r="J3596" t="s">
        <v>4294</v>
      </c>
      <c r="K3596" t="s">
        <v>425</v>
      </c>
      <c r="L3596" t="s">
        <v>2145</v>
      </c>
      <c r="M3596">
        <v>1089</v>
      </c>
      <c r="N3596">
        <v>47.43</v>
      </c>
      <c r="O3596">
        <v>23941.24</v>
      </c>
      <c r="P3596">
        <v>0</v>
      </c>
      <c r="Q3596">
        <v>23941.24</v>
      </c>
      <c r="R3596">
        <v>3830.6</v>
      </c>
      <c r="S3596">
        <v>957.65</v>
      </c>
      <c r="T3596">
        <v>26814.19</v>
      </c>
      <c r="U3596" t="s">
        <v>2350</v>
      </c>
      <c r="V3596" t="s">
        <v>9409</v>
      </c>
      <c r="W3596" t="s">
        <v>423</v>
      </c>
    </row>
    <row r="3597" spans="1:23" hidden="1" x14ac:dyDescent="0.2">
      <c r="A3597">
        <v>2012</v>
      </c>
      <c r="B3597" t="s">
        <v>303</v>
      </c>
      <c r="C3597" s="733">
        <v>40933</v>
      </c>
      <c r="D35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97" t="s">
        <v>478</v>
      </c>
      <c r="F3597" t="s">
        <v>4128</v>
      </c>
      <c r="G3597" t="s">
        <v>5986</v>
      </c>
      <c r="H3597">
        <v>34921</v>
      </c>
      <c r="I3597" t="s">
        <v>423</v>
      </c>
      <c r="J3597" t="s">
        <v>4396</v>
      </c>
      <c r="K3597" t="s">
        <v>4397</v>
      </c>
      <c r="L3597" t="s">
        <v>4398</v>
      </c>
      <c r="M3597">
        <v>112</v>
      </c>
      <c r="N3597">
        <v>21.545000000000002</v>
      </c>
      <c r="O3597">
        <v>2431.7800000000002</v>
      </c>
      <c r="P3597">
        <v>0</v>
      </c>
      <c r="Q3597">
        <v>2431.7800000000002</v>
      </c>
      <c r="R3597">
        <v>389.09</v>
      </c>
      <c r="S3597">
        <v>97.27</v>
      </c>
      <c r="T3597">
        <v>2723.6</v>
      </c>
      <c r="U3597" t="s">
        <v>4402</v>
      </c>
      <c r="V3597" t="s">
        <v>9408</v>
      </c>
      <c r="W3597" t="s">
        <v>423</v>
      </c>
    </row>
    <row r="3598" spans="1:23" hidden="1" x14ac:dyDescent="0.2">
      <c r="A3598">
        <v>2012</v>
      </c>
      <c r="B3598" t="s">
        <v>305</v>
      </c>
      <c r="C3598" s="733">
        <v>40969.436122685183</v>
      </c>
      <c r="D3598" s="733" t="str">
        <f>CHOOSE(MONTH(Tabla_sqldatos_bonampakdb_Bon_v_ingresos2012[[#This Row],[fecha_guia]]),"Enero","Febrero","Marzo","Abril","Mayo","Junio","Julio","Agosto","Septiembre","Octubre","Noviembre","Diciembre")</f>
        <v>Marzo</v>
      </c>
      <c r="E3598" t="s">
        <v>485</v>
      </c>
      <c r="F3598" t="s">
        <v>2065</v>
      </c>
      <c r="G3598" t="s">
        <v>9585</v>
      </c>
      <c r="H3598">
        <v>42825</v>
      </c>
      <c r="I3598" t="s">
        <v>423</v>
      </c>
      <c r="J3598" t="s">
        <v>3204</v>
      </c>
      <c r="K3598" t="s">
        <v>2183</v>
      </c>
      <c r="L3598" t="s">
        <v>2184</v>
      </c>
      <c r="M3598">
        <v>80</v>
      </c>
      <c r="N3598">
        <v>23.41</v>
      </c>
      <c r="O3598">
        <v>2642.29</v>
      </c>
      <c r="P3598">
        <v>0</v>
      </c>
      <c r="Q3598">
        <v>2642.29</v>
      </c>
      <c r="R3598">
        <v>422.77</v>
      </c>
      <c r="S3598">
        <v>105.69</v>
      </c>
      <c r="T3598">
        <v>2959.37</v>
      </c>
      <c r="V3598" t="s">
        <v>9409</v>
      </c>
      <c r="W3598" t="s">
        <v>423</v>
      </c>
    </row>
    <row r="3599" spans="1:23" hidden="1" x14ac:dyDescent="0.2">
      <c r="A3599">
        <v>2012</v>
      </c>
      <c r="B3599" t="s">
        <v>303</v>
      </c>
      <c r="C3599" s="733">
        <v>40914</v>
      </c>
      <c r="D35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599" t="s">
        <v>505</v>
      </c>
      <c r="F3599" t="s">
        <v>1915</v>
      </c>
      <c r="G3599" t="s">
        <v>4147</v>
      </c>
      <c r="H3599">
        <v>21755</v>
      </c>
      <c r="I3599" t="s">
        <v>423</v>
      </c>
      <c r="J3599" t="s">
        <v>1945</v>
      </c>
      <c r="K3599" t="s">
        <v>1918</v>
      </c>
      <c r="L3599" t="s">
        <v>1919</v>
      </c>
      <c r="M3599">
        <v>949</v>
      </c>
      <c r="N3599">
        <v>50.09</v>
      </c>
      <c r="O3599">
        <v>29250.560000000001</v>
      </c>
      <c r="P3599">
        <v>0</v>
      </c>
      <c r="Q3599">
        <v>29250.560000000001</v>
      </c>
      <c r="R3599">
        <v>4680.09</v>
      </c>
      <c r="S3599">
        <v>1170.02</v>
      </c>
      <c r="T3599">
        <v>32760.63</v>
      </c>
      <c r="U3599" t="s">
        <v>1920</v>
      </c>
      <c r="V3599" t="s">
        <v>9409</v>
      </c>
      <c r="W3599" t="s">
        <v>423</v>
      </c>
    </row>
    <row r="3600" spans="1:23" hidden="1" x14ac:dyDescent="0.2">
      <c r="A3600">
        <v>2012</v>
      </c>
      <c r="B3600" t="s">
        <v>303</v>
      </c>
      <c r="C3600" s="733">
        <v>40938</v>
      </c>
      <c r="D36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00" t="s">
        <v>505</v>
      </c>
      <c r="F3600" t="s">
        <v>1915</v>
      </c>
      <c r="G3600" t="s">
        <v>4149</v>
      </c>
      <c r="H3600">
        <v>22350</v>
      </c>
      <c r="I3600" t="s">
        <v>423</v>
      </c>
      <c r="J3600" t="s">
        <v>3207</v>
      </c>
      <c r="K3600" t="s">
        <v>1918</v>
      </c>
      <c r="L3600" t="s">
        <v>1919</v>
      </c>
      <c r="M3600">
        <v>334</v>
      </c>
      <c r="N3600">
        <v>49.65</v>
      </c>
      <c r="O3600">
        <v>13710.35</v>
      </c>
      <c r="P3600">
        <v>0</v>
      </c>
      <c r="Q3600">
        <v>13710.35</v>
      </c>
      <c r="R3600">
        <v>2193.66</v>
      </c>
      <c r="S3600">
        <v>548.41</v>
      </c>
      <c r="T3600">
        <v>15355.6</v>
      </c>
      <c r="U3600" t="s">
        <v>1936</v>
      </c>
      <c r="V3600" t="s">
        <v>9409</v>
      </c>
      <c r="W3600" t="s">
        <v>423</v>
      </c>
    </row>
    <row r="3601" spans="1:23" hidden="1" x14ac:dyDescent="0.2">
      <c r="A3601">
        <v>2012</v>
      </c>
      <c r="B3601" t="s">
        <v>303</v>
      </c>
      <c r="C3601" s="733">
        <v>40936</v>
      </c>
      <c r="D36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01" t="s">
        <v>478</v>
      </c>
      <c r="F3601" t="s">
        <v>3787</v>
      </c>
      <c r="G3601" t="s">
        <v>3796</v>
      </c>
      <c r="H3601">
        <v>35021</v>
      </c>
      <c r="I3601" t="s">
        <v>423</v>
      </c>
      <c r="J3601" t="s">
        <v>3797</v>
      </c>
      <c r="K3601" t="s">
        <v>3481</v>
      </c>
      <c r="L3601" t="s">
        <v>3482</v>
      </c>
      <c r="M3601">
        <v>266</v>
      </c>
      <c r="N3601">
        <v>24.58</v>
      </c>
      <c r="O3601">
        <v>5489.21</v>
      </c>
      <c r="P3601">
        <v>0</v>
      </c>
      <c r="Q3601">
        <v>5489.21</v>
      </c>
      <c r="R3601">
        <v>878.27</v>
      </c>
      <c r="S3601">
        <v>219.57</v>
      </c>
      <c r="T3601">
        <v>6147.91</v>
      </c>
      <c r="U3601" t="s">
        <v>3784</v>
      </c>
      <c r="V3601" t="s">
        <v>9408</v>
      </c>
      <c r="W3601" t="s">
        <v>423</v>
      </c>
    </row>
    <row r="3602" spans="1:23" hidden="1" x14ac:dyDescent="0.2">
      <c r="A3602">
        <v>2012</v>
      </c>
      <c r="B3602" t="s">
        <v>304</v>
      </c>
      <c r="C3602" s="733">
        <v>40952</v>
      </c>
      <c r="D36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02" t="s">
        <v>478</v>
      </c>
      <c r="F3602" t="s">
        <v>3787</v>
      </c>
      <c r="G3602" t="s">
        <v>3798</v>
      </c>
      <c r="H3602">
        <v>34326</v>
      </c>
      <c r="I3602" t="s">
        <v>423</v>
      </c>
      <c r="J3602" t="s">
        <v>3797</v>
      </c>
      <c r="K3602" t="s">
        <v>3481</v>
      </c>
      <c r="L3602" t="s">
        <v>3482</v>
      </c>
      <c r="M3602">
        <v>266</v>
      </c>
      <c r="N3602">
        <v>30.875</v>
      </c>
      <c r="O3602">
        <v>2902.25</v>
      </c>
      <c r="P3602">
        <v>0</v>
      </c>
      <c r="Q3602">
        <v>2902.25</v>
      </c>
      <c r="R3602">
        <v>464.36</v>
      </c>
      <c r="S3602">
        <v>116.09</v>
      </c>
      <c r="T3602">
        <v>3250.52</v>
      </c>
      <c r="U3602" t="s">
        <v>3483</v>
      </c>
      <c r="V3602" t="s">
        <v>9408</v>
      </c>
      <c r="W3602" t="s">
        <v>423</v>
      </c>
    </row>
    <row r="3603" spans="1:23" hidden="1" x14ac:dyDescent="0.2">
      <c r="A3603">
        <v>2012</v>
      </c>
      <c r="B3603" t="s">
        <v>304</v>
      </c>
      <c r="C3603" s="733">
        <v>40952</v>
      </c>
      <c r="D36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03" t="s">
        <v>485</v>
      </c>
      <c r="F3603" t="s">
        <v>2065</v>
      </c>
      <c r="G3603" t="s">
        <v>2208</v>
      </c>
      <c r="H3603">
        <v>41782</v>
      </c>
      <c r="I3603" t="s">
        <v>423</v>
      </c>
      <c r="J3603" t="s">
        <v>2182</v>
      </c>
      <c r="K3603" t="s">
        <v>2183</v>
      </c>
      <c r="L3603" t="s">
        <v>2184</v>
      </c>
      <c r="M3603">
        <v>62</v>
      </c>
      <c r="N3603">
        <v>16.41</v>
      </c>
      <c r="O3603">
        <v>2430.98</v>
      </c>
      <c r="P3603">
        <v>0</v>
      </c>
      <c r="Q3603">
        <v>2430.98</v>
      </c>
      <c r="R3603">
        <v>388.96</v>
      </c>
      <c r="S3603">
        <v>97.24</v>
      </c>
      <c r="T3603">
        <v>2722.7</v>
      </c>
      <c r="U3603" t="s">
        <v>8048</v>
      </c>
      <c r="V3603" t="s">
        <v>9408</v>
      </c>
      <c r="W3603" t="s">
        <v>423</v>
      </c>
    </row>
    <row r="3604" spans="1:23" hidden="1" x14ac:dyDescent="0.2">
      <c r="A3604">
        <v>2012</v>
      </c>
      <c r="B3604" t="s">
        <v>303</v>
      </c>
      <c r="C3604" s="733">
        <v>40938</v>
      </c>
      <c r="D36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04" t="s">
        <v>485</v>
      </c>
      <c r="F3604" t="s">
        <v>2065</v>
      </c>
      <c r="G3604" t="s">
        <v>3954</v>
      </c>
      <c r="H3604">
        <v>41079</v>
      </c>
      <c r="I3604" t="s">
        <v>423</v>
      </c>
      <c r="J3604" t="s">
        <v>2182</v>
      </c>
      <c r="K3604" t="s">
        <v>2183</v>
      </c>
      <c r="L3604" t="s">
        <v>2184</v>
      </c>
      <c r="M3604">
        <v>62</v>
      </c>
      <c r="N3604">
        <v>16.690000000000001</v>
      </c>
      <c r="O3604">
        <v>2472.46</v>
      </c>
      <c r="P3604">
        <v>0</v>
      </c>
      <c r="Q3604">
        <v>2472.46</v>
      </c>
      <c r="R3604">
        <v>395.59</v>
      </c>
      <c r="S3604">
        <v>98.9</v>
      </c>
      <c r="T3604">
        <v>2769.15</v>
      </c>
      <c r="U3604" t="s">
        <v>2187</v>
      </c>
      <c r="V3604" t="s">
        <v>9408</v>
      </c>
      <c r="W3604" t="s">
        <v>423</v>
      </c>
    </row>
    <row r="3605" spans="1:23" hidden="1" x14ac:dyDescent="0.2">
      <c r="A3605">
        <v>2012</v>
      </c>
      <c r="B3605" t="s">
        <v>304</v>
      </c>
      <c r="C3605" s="733">
        <v>40962</v>
      </c>
      <c r="D36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05" t="s">
        <v>485</v>
      </c>
      <c r="F3605" t="s">
        <v>2065</v>
      </c>
      <c r="G3605" t="s">
        <v>8630</v>
      </c>
      <c r="H3605">
        <v>42360</v>
      </c>
      <c r="I3605" t="s">
        <v>423</v>
      </c>
      <c r="J3605" t="s">
        <v>2182</v>
      </c>
      <c r="K3605" t="s">
        <v>2183</v>
      </c>
      <c r="L3605" t="s">
        <v>2184</v>
      </c>
      <c r="M3605">
        <v>62</v>
      </c>
      <c r="N3605">
        <v>50.56</v>
      </c>
      <c r="O3605">
        <v>5706.71</v>
      </c>
      <c r="P3605">
        <v>0</v>
      </c>
      <c r="Q3605">
        <v>5706.71</v>
      </c>
      <c r="R3605">
        <v>913.07</v>
      </c>
      <c r="S3605">
        <v>228.27</v>
      </c>
      <c r="T3605">
        <v>6391.51</v>
      </c>
      <c r="U3605" t="s">
        <v>9411</v>
      </c>
      <c r="V3605" t="s">
        <v>9409</v>
      </c>
      <c r="W3605" t="s">
        <v>423</v>
      </c>
    </row>
    <row r="3606" spans="1:23" hidden="1" x14ac:dyDescent="0.2">
      <c r="A3606">
        <v>2012</v>
      </c>
      <c r="B3606" t="s">
        <v>303</v>
      </c>
      <c r="C3606" s="733">
        <v>40935</v>
      </c>
      <c r="D36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06" t="s">
        <v>485</v>
      </c>
      <c r="F3606" t="s">
        <v>2065</v>
      </c>
      <c r="G3606" t="s">
        <v>3955</v>
      </c>
      <c r="H3606">
        <v>40095</v>
      </c>
      <c r="I3606" t="s">
        <v>423</v>
      </c>
      <c r="J3606" t="s">
        <v>2182</v>
      </c>
      <c r="K3606" t="s">
        <v>2183</v>
      </c>
      <c r="L3606" t="s">
        <v>2184</v>
      </c>
      <c r="M3606">
        <v>62</v>
      </c>
      <c r="N3606">
        <v>48.04</v>
      </c>
      <c r="O3606">
        <v>7116.65</v>
      </c>
      <c r="P3606">
        <v>0</v>
      </c>
      <c r="Q3606">
        <v>7116.65</v>
      </c>
      <c r="R3606">
        <v>1138.6600000000001</v>
      </c>
      <c r="S3606">
        <v>284.67</v>
      </c>
      <c r="T3606">
        <v>7970.64</v>
      </c>
      <c r="U3606" t="s">
        <v>2187</v>
      </c>
      <c r="V3606" t="s">
        <v>9409</v>
      </c>
      <c r="W3606" t="s">
        <v>423</v>
      </c>
    </row>
    <row r="3607" spans="1:23" hidden="1" x14ac:dyDescent="0.2">
      <c r="A3607">
        <v>2012</v>
      </c>
      <c r="B3607" t="s">
        <v>303</v>
      </c>
      <c r="C3607" s="733">
        <v>40920</v>
      </c>
      <c r="D36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07" t="s">
        <v>478</v>
      </c>
      <c r="F3607" t="s">
        <v>2136</v>
      </c>
      <c r="G3607" t="s">
        <v>3779</v>
      </c>
      <c r="H3607">
        <v>34461</v>
      </c>
      <c r="I3607" t="s">
        <v>423</v>
      </c>
      <c r="J3607" t="s">
        <v>3360</v>
      </c>
      <c r="K3607" t="s">
        <v>483</v>
      </c>
      <c r="L3607" t="s">
        <v>3361</v>
      </c>
      <c r="M3607">
        <v>49</v>
      </c>
      <c r="N3607">
        <v>33.799999999999997</v>
      </c>
      <c r="O3607">
        <v>3815.01</v>
      </c>
      <c r="P3607">
        <v>0</v>
      </c>
      <c r="Q3607">
        <v>3815.01</v>
      </c>
      <c r="R3607">
        <v>610.4</v>
      </c>
      <c r="S3607">
        <v>152.6</v>
      </c>
      <c r="T3607">
        <v>4272.8100000000004</v>
      </c>
      <c r="U3607" t="s">
        <v>3780</v>
      </c>
      <c r="V3607" t="s">
        <v>9408</v>
      </c>
      <c r="W3607" t="s">
        <v>423</v>
      </c>
    </row>
    <row r="3608" spans="1:23" hidden="1" x14ac:dyDescent="0.2">
      <c r="A3608">
        <v>2012</v>
      </c>
      <c r="B3608" t="s">
        <v>303</v>
      </c>
      <c r="C3608" s="733">
        <v>40919</v>
      </c>
      <c r="D36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08" t="s">
        <v>485</v>
      </c>
      <c r="F3608" t="s">
        <v>2048</v>
      </c>
      <c r="G3608" t="s">
        <v>4088</v>
      </c>
      <c r="H3608">
        <v>40089</v>
      </c>
      <c r="I3608" t="s">
        <v>423</v>
      </c>
      <c r="J3608" t="s">
        <v>4086</v>
      </c>
      <c r="K3608" t="s">
        <v>2051</v>
      </c>
      <c r="L3608" t="s">
        <v>2052</v>
      </c>
      <c r="M3608">
        <v>341</v>
      </c>
      <c r="N3608">
        <v>25.35</v>
      </c>
      <c r="O3608">
        <v>6199.34</v>
      </c>
      <c r="P3608">
        <v>0</v>
      </c>
      <c r="Q3608">
        <v>6199.34</v>
      </c>
      <c r="R3608">
        <v>991.89</v>
      </c>
      <c r="S3608">
        <v>247.97</v>
      </c>
      <c r="T3608">
        <v>6943.26</v>
      </c>
      <c r="U3608" t="s">
        <v>2062</v>
      </c>
      <c r="V3608" t="s">
        <v>9408</v>
      </c>
      <c r="W3608" t="s">
        <v>423</v>
      </c>
    </row>
    <row r="3609" spans="1:23" hidden="1" x14ac:dyDescent="0.2">
      <c r="A3609">
        <v>2012</v>
      </c>
      <c r="B3609" t="s">
        <v>303</v>
      </c>
      <c r="C3609" s="733">
        <v>40935</v>
      </c>
      <c r="D36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09" t="s">
        <v>505</v>
      </c>
      <c r="F3609" t="s">
        <v>1915</v>
      </c>
      <c r="G3609" t="s">
        <v>4159</v>
      </c>
      <c r="H3609">
        <v>22295</v>
      </c>
      <c r="I3609" t="s">
        <v>423</v>
      </c>
      <c r="J3609" t="s">
        <v>4158</v>
      </c>
      <c r="K3609" t="s">
        <v>1918</v>
      </c>
      <c r="L3609" t="s">
        <v>1919</v>
      </c>
      <c r="M3609">
        <v>274</v>
      </c>
      <c r="N3609">
        <v>28.02</v>
      </c>
      <c r="O3609">
        <v>7736.32</v>
      </c>
      <c r="P3609">
        <v>0</v>
      </c>
      <c r="Q3609">
        <v>7736.32</v>
      </c>
      <c r="R3609">
        <v>1237.81</v>
      </c>
      <c r="S3609">
        <v>309.45</v>
      </c>
      <c r="T3609">
        <v>8664.68</v>
      </c>
      <c r="U3609" t="s">
        <v>1926</v>
      </c>
      <c r="V3609" t="s">
        <v>9408</v>
      </c>
      <c r="W3609" t="s">
        <v>423</v>
      </c>
    </row>
    <row r="3610" spans="1:23" hidden="1" x14ac:dyDescent="0.2">
      <c r="A3610">
        <v>2012</v>
      </c>
      <c r="B3610" t="s">
        <v>303</v>
      </c>
      <c r="C3610" s="733">
        <v>40935</v>
      </c>
      <c r="D36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10" t="s">
        <v>505</v>
      </c>
      <c r="F3610" t="s">
        <v>1915</v>
      </c>
      <c r="G3610" t="s">
        <v>4164</v>
      </c>
      <c r="H3610">
        <v>22292</v>
      </c>
      <c r="I3610" t="s">
        <v>423</v>
      </c>
      <c r="J3610" t="s">
        <v>4163</v>
      </c>
      <c r="K3610" t="s">
        <v>1918</v>
      </c>
      <c r="L3610" t="s">
        <v>1919</v>
      </c>
      <c r="M3610">
        <v>250</v>
      </c>
      <c r="N3610">
        <v>24.16</v>
      </c>
      <c r="O3610">
        <v>5432.13</v>
      </c>
      <c r="P3610">
        <v>0</v>
      </c>
      <c r="Q3610">
        <v>5432.13</v>
      </c>
      <c r="R3610">
        <v>869.14</v>
      </c>
      <c r="S3610">
        <v>217.29</v>
      </c>
      <c r="T3610">
        <v>6083.98</v>
      </c>
      <c r="U3610" t="s">
        <v>1926</v>
      </c>
      <c r="V3610" t="s">
        <v>9408</v>
      </c>
      <c r="W3610" t="s">
        <v>423</v>
      </c>
    </row>
    <row r="3611" spans="1:23" hidden="1" x14ac:dyDescent="0.2">
      <c r="A3611">
        <v>2012</v>
      </c>
      <c r="B3611" t="s">
        <v>303</v>
      </c>
      <c r="C3611" s="733">
        <v>40931</v>
      </c>
      <c r="D36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11" t="s">
        <v>478</v>
      </c>
      <c r="F3611" t="s">
        <v>2136</v>
      </c>
      <c r="G3611" t="s">
        <v>4275</v>
      </c>
      <c r="H3611">
        <v>34878</v>
      </c>
      <c r="I3611" t="s">
        <v>423</v>
      </c>
      <c r="J3611" t="s">
        <v>4276</v>
      </c>
      <c r="K3611" t="s">
        <v>425</v>
      </c>
      <c r="L3611" t="s">
        <v>2145</v>
      </c>
      <c r="M3611">
        <v>60</v>
      </c>
      <c r="N3611">
        <v>23.41</v>
      </c>
      <c r="O3611">
        <v>3142.79</v>
      </c>
      <c r="P3611">
        <v>0</v>
      </c>
      <c r="Q3611">
        <v>3142.79</v>
      </c>
      <c r="R3611">
        <v>502.85</v>
      </c>
      <c r="S3611">
        <v>125.71</v>
      </c>
      <c r="T3611">
        <v>3519.93</v>
      </c>
      <c r="U3611" t="s">
        <v>2355</v>
      </c>
      <c r="V3611" t="s">
        <v>9408</v>
      </c>
      <c r="W3611" t="s">
        <v>423</v>
      </c>
    </row>
    <row r="3612" spans="1:23" hidden="1" x14ac:dyDescent="0.2">
      <c r="A3612">
        <v>2012</v>
      </c>
      <c r="B3612" t="s">
        <v>304</v>
      </c>
      <c r="C3612" s="733">
        <v>40956</v>
      </c>
      <c r="D36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12" t="s">
        <v>478</v>
      </c>
      <c r="F3612" t="s">
        <v>2136</v>
      </c>
      <c r="G3612" t="s">
        <v>7677</v>
      </c>
      <c r="H3612">
        <v>35658</v>
      </c>
      <c r="I3612" t="s">
        <v>423</v>
      </c>
      <c r="J3612" t="s">
        <v>4276</v>
      </c>
      <c r="K3612" t="s">
        <v>425</v>
      </c>
      <c r="L3612" t="s">
        <v>2145</v>
      </c>
      <c r="M3612">
        <v>60</v>
      </c>
      <c r="N3612">
        <v>24.48</v>
      </c>
      <c r="O3612">
        <v>3286.44</v>
      </c>
      <c r="P3612">
        <v>0</v>
      </c>
      <c r="Q3612">
        <v>3286.44</v>
      </c>
      <c r="R3612">
        <v>525.83000000000004</v>
      </c>
      <c r="S3612">
        <v>131.46</v>
      </c>
      <c r="T3612">
        <v>3680.81</v>
      </c>
      <c r="U3612" t="s">
        <v>8510</v>
      </c>
      <c r="V3612" t="s">
        <v>9408</v>
      </c>
      <c r="W3612" t="s">
        <v>423</v>
      </c>
    </row>
    <row r="3613" spans="1:23" hidden="1" x14ac:dyDescent="0.2">
      <c r="A3613">
        <v>2012</v>
      </c>
      <c r="B3613" t="s">
        <v>304</v>
      </c>
      <c r="C3613" s="733">
        <v>40952</v>
      </c>
      <c r="D36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13" t="s">
        <v>485</v>
      </c>
      <c r="F3613" t="s">
        <v>2048</v>
      </c>
      <c r="G3613" t="s">
        <v>4087</v>
      </c>
      <c r="H3613">
        <v>41830</v>
      </c>
      <c r="I3613" t="s">
        <v>423</v>
      </c>
      <c r="J3613" t="s">
        <v>4086</v>
      </c>
      <c r="K3613" t="s">
        <v>2051</v>
      </c>
      <c r="L3613" t="s">
        <v>2052</v>
      </c>
      <c r="M3613">
        <v>341</v>
      </c>
      <c r="N3613">
        <v>54.25</v>
      </c>
      <c r="O3613">
        <v>13266.84</v>
      </c>
      <c r="P3613">
        <v>0</v>
      </c>
      <c r="Q3613">
        <v>13266.84</v>
      </c>
      <c r="R3613">
        <v>2122.69</v>
      </c>
      <c r="S3613">
        <v>530.66999999999996</v>
      </c>
      <c r="T3613">
        <v>14858.86</v>
      </c>
      <c r="U3613" t="s">
        <v>8257</v>
      </c>
      <c r="V3613" t="s">
        <v>9409</v>
      </c>
      <c r="W3613" t="s">
        <v>423</v>
      </c>
    </row>
    <row r="3614" spans="1:23" hidden="1" x14ac:dyDescent="0.2">
      <c r="A3614">
        <v>2012</v>
      </c>
      <c r="B3614" t="s">
        <v>304</v>
      </c>
      <c r="C3614" s="733">
        <v>40946</v>
      </c>
      <c r="D36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14" t="s">
        <v>485</v>
      </c>
      <c r="F3614" t="s">
        <v>2048</v>
      </c>
      <c r="G3614" t="s">
        <v>2973</v>
      </c>
      <c r="H3614">
        <v>41489</v>
      </c>
      <c r="I3614" t="s">
        <v>423</v>
      </c>
      <c r="J3614" t="s">
        <v>2972</v>
      </c>
      <c r="K3614" t="s">
        <v>2051</v>
      </c>
      <c r="L3614" t="s">
        <v>2052</v>
      </c>
      <c r="M3614">
        <v>398</v>
      </c>
      <c r="N3614">
        <v>50.75</v>
      </c>
      <c r="O3614">
        <v>14035.93</v>
      </c>
      <c r="P3614">
        <v>0</v>
      </c>
      <c r="Q3614">
        <v>14035.93</v>
      </c>
      <c r="R3614">
        <v>2245.75</v>
      </c>
      <c r="S3614">
        <v>561.44000000000005</v>
      </c>
      <c r="T3614">
        <v>15720.24</v>
      </c>
      <c r="U3614" t="s">
        <v>7568</v>
      </c>
      <c r="V3614" t="s">
        <v>9409</v>
      </c>
      <c r="W3614" t="s">
        <v>423</v>
      </c>
    </row>
    <row r="3615" spans="1:23" hidden="1" x14ac:dyDescent="0.2">
      <c r="A3615">
        <v>2012</v>
      </c>
      <c r="B3615" t="s">
        <v>303</v>
      </c>
      <c r="C3615" s="733">
        <v>40934</v>
      </c>
      <c r="D36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15" t="s">
        <v>485</v>
      </c>
      <c r="F3615" t="s">
        <v>2048</v>
      </c>
      <c r="G3615" t="s">
        <v>3979</v>
      </c>
      <c r="H3615">
        <v>40860</v>
      </c>
      <c r="I3615" t="s">
        <v>423</v>
      </c>
      <c r="J3615" t="s">
        <v>2972</v>
      </c>
      <c r="K3615" t="s">
        <v>2051</v>
      </c>
      <c r="L3615" t="s">
        <v>2052</v>
      </c>
      <c r="M3615">
        <v>398</v>
      </c>
      <c r="N3615">
        <v>24.8</v>
      </c>
      <c r="O3615">
        <v>6858.94</v>
      </c>
      <c r="P3615">
        <v>0</v>
      </c>
      <c r="Q3615">
        <v>6858.94</v>
      </c>
      <c r="R3615">
        <v>1097.43</v>
      </c>
      <c r="S3615">
        <v>274.36</v>
      </c>
      <c r="T3615">
        <v>7682.01</v>
      </c>
      <c r="U3615" t="s">
        <v>2053</v>
      </c>
      <c r="V3615" t="s">
        <v>9408</v>
      </c>
      <c r="W3615" t="s">
        <v>423</v>
      </c>
    </row>
    <row r="3616" spans="1:23" hidden="1" x14ac:dyDescent="0.2">
      <c r="A3616">
        <v>2012</v>
      </c>
      <c r="B3616" t="s">
        <v>303</v>
      </c>
      <c r="C3616" s="733">
        <v>40928</v>
      </c>
      <c r="D36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16" t="s">
        <v>485</v>
      </c>
      <c r="F3616" t="s">
        <v>2065</v>
      </c>
      <c r="G3616" t="s">
        <v>3969</v>
      </c>
      <c r="H3616">
        <v>39795</v>
      </c>
      <c r="I3616" t="s">
        <v>423</v>
      </c>
      <c r="J3616" t="s">
        <v>2189</v>
      </c>
      <c r="K3616" t="s">
        <v>2183</v>
      </c>
      <c r="L3616" t="s">
        <v>2184</v>
      </c>
      <c r="M3616">
        <v>720</v>
      </c>
      <c r="N3616">
        <v>26.81</v>
      </c>
      <c r="O3616">
        <v>10866.07</v>
      </c>
      <c r="P3616">
        <v>0</v>
      </c>
      <c r="Q3616">
        <v>10866.07</v>
      </c>
      <c r="R3616">
        <v>1738.57</v>
      </c>
      <c r="S3616">
        <v>434.64</v>
      </c>
      <c r="T3616">
        <v>12170</v>
      </c>
      <c r="U3616" t="s">
        <v>7554</v>
      </c>
      <c r="V3616" t="s">
        <v>9408</v>
      </c>
      <c r="W3616" t="s">
        <v>423</v>
      </c>
    </row>
    <row r="3617" spans="1:23" hidden="1" x14ac:dyDescent="0.2">
      <c r="A3617">
        <v>2012</v>
      </c>
      <c r="B3617" t="s">
        <v>304</v>
      </c>
      <c r="C3617" s="733">
        <v>40948</v>
      </c>
      <c r="D36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17" t="s">
        <v>485</v>
      </c>
      <c r="F3617" t="s">
        <v>2065</v>
      </c>
      <c r="G3617" t="s">
        <v>3970</v>
      </c>
      <c r="H3617">
        <v>41441</v>
      </c>
      <c r="I3617" t="s">
        <v>423</v>
      </c>
      <c r="J3617" t="s">
        <v>2189</v>
      </c>
      <c r="K3617" t="s">
        <v>2183</v>
      </c>
      <c r="L3617" t="s">
        <v>2184</v>
      </c>
      <c r="M3617">
        <v>720</v>
      </c>
      <c r="N3617">
        <v>26.25</v>
      </c>
      <c r="O3617">
        <v>10638.86</v>
      </c>
      <c r="P3617">
        <v>0</v>
      </c>
      <c r="Q3617">
        <v>10638.86</v>
      </c>
      <c r="R3617">
        <v>1702.22</v>
      </c>
      <c r="S3617">
        <v>425.55</v>
      </c>
      <c r="T3617">
        <v>11915.53</v>
      </c>
      <c r="U3617" t="s">
        <v>2192</v>
      </c>
      <c r="V3617" t="s">
        <v>9408</v>
      </c>
      <c r="W3617" t="s">
        <v>423</v>
      </c>
    </row>
    <row r="3618" spans="1:23" hidden="1" x14ac:dyDescent="0.2">
      <c r="A3618">
        <v>2012</v>
      </c>
      <c r="B3618" t="s">
        <v>304</v>
      </c>
      <c r="C3618" s="733">
        <v>40941</v>
      </c>
      <c r="D36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18" t="s">
        <v>485</v>
      </c>
      <c r="F3618" t="s">
        <v>2065</v>
      </c>
      <c r="G3618" t="s">
        <v>3968</v>
      </c>
      <c r="H3618">
        <v>41201</v>
      </c>
      <c r="I3618" t="s">
        <v>423</v>
      </c>
      <c r="J3618" t="s">
        <v>2189</v>
      </c>
      <c r="K3618" t="s">
        <v>2183</v>
      </c>
      <c r="L3618" t="s">
        <v>2184</v>
      </c>
      <c r="M3618">
        <v>720</v>
      </c>
      <c r="N3618">
        <v>27.04</v>
      </c>
      <c r="O3618">
        <v>10959.28</v>
      </c>
      <c r="P3618">
        <v>0</v>
      </c>
      <c r="Q3618">
        <v>10959.28</v>
      </c>
      <c r="R3618">
        <v>1753.49</v>
      </c>
      <c r="S3618">
        <v>438.37</v>
      </c>
      <c r="T3618">
        <v>12274.4</v>
      </c>
      <c r="U3618" t="s">
        <v>2192</v>
      </c>
      <c r="V3618" t="s">
        <v>9408</v>
      </c>
      <c r="W3618" t="s">
        <v>423</v>
      </c>
    </row>
    <row r="3619" spans="1:23" hidden="1" x14ac:dyDescent="0.2">
      <c r="A3619">
        <v>2012</v>
      </c>
      <c r="B3619" t="s">
        <v>303</v>
      </c>
      <c r="C3619" s="733">
        <v>40932</v>
      </c>
      <c r="D36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19" t="s">
        <v>485</v>
      </c>
      <c r="F3619" t="s">
        <v>2048</v>
      </c>
      <c r="G3619" t="s">
        <v>4084</v>
      </c>
      <c r="H3619">
        <v>40203</v>
      </c>
      <c r="I3619" t="s">
        <v>423</v>
      </c>
      <c r="J3619" t="s">
        <v>2972</v>
      </c>
      <c r="K3619" t="s">
        <v>2051</v>
      </c>
      <c r="L3619" t="s">
        <v>2052</v>
      </c>
      <c r="M3619">
        <v>398</v>
      </c>
      <c r="N3619">
        <v>26.85</v>
      </c>
      <c r="O3619">
        <v>7425.9</v>
      </c>
      <c r="P3619">
        <v>0</v>
      </c>
      <c r="Q3619">
        <v>7425.9</v>
      </c>
      <c r="R3619">
        <v>1188.1400000000001</v>
      </c>
      <c r="S3619">
        <v>297.04000000000002</v>
      </c>
      <c r="T3619">
        <v>8317</v>
      </c>
      <c r="U3619" t="s">
        <v>2053</v>
      </c>
      <c r="V3619" t="s">
        <v>9408</v>
      </c>
      <c r="W3619" t="s">
        <v>423</v>
      </c>
    </row>
    <row r="3620" spans="1:23" x14ac:dyDescent="0.2">
      <c r="A3620">
        <v>2012</v>
      </c>
      <c r="B3620" t="s">
        <v>304</v>
      </c>
      <c r="C3620" s="733">
        <v>40967</v>
      </c>
      <c r="D36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20" t="s">
        <v>485</v>
      </c>
      <c r="F3620" t="s">
        <v>2048</v>
      </c>
      <c r="G3620" t="s">
        <v>9030</v>
      </c>
      <c r="H3620">
        <v>42731</v>
      </c>
      <c r="I3620" t="s">
        <v>423</v>
      </c>
      <c r="J3620" t="s">
        <v>4086</v>
      </c>
      <c r="K3620" t="s">
        <v>2051</v>
      </c>
      <c r="L3620" t="s">
        <v>2052</v>
      </c>
      <c r="M3620">
        <v>341</v>
      </c>
      <c r="N3620">
        <v>28.85</v>
      </c>
      <c r="O3620">
        <v>7055.27</v>
      </c>
      <c r="P3620">
        <v>0</v>
      </c>
      <c r="Q3620">
        <v>7055.27</v>
      </c>
      <c r="R3620">
        <v>1128.8399999999999</v>
      </c>
      <c r="S3620">
        <v>282.20999999999998</v>
      </c>
      <c r="T3620">
        <v>7901.9</v>
      </c>
      <c r="U3620" t="s">
        <v>8780</v>
      </c>
      <c r="V3620" t="s">
        <v>9408</v>
      </c>
      <c r="W3620" t="s">
        <v>423</v>
      </c>
    </row>
    <row r="3621" spans="1:23" hidden="1" x14ac:dyDescent="0.2">
      <c r="A3621">
        <v>2012</v>
      </c>
      <c r="B3621" t="s">
        <v>303</v>
      </c>
      <c r="C3621" s="733">
        <v>40924</v>
      </c>
      <c r="D36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21" t="s">
        <v>485</v>
      </c>
      <c r="F3621" t="s">
        <v>2048</v>
      </c>
      <c r="G3621" t="s">
        <v>4085</v>
      </c>
      <c r="H3621">
        <v>40401</v>
      </c>
      <c r="I3621" t="s">
        <v>423</v>
      </c>
      <c r="J3621" t="s">
        <v>4086</v>
      </c>
      <c r="K3621" t="s">
        <v>2051</v>
      </c>
      <c r="L3621" t="s">
        <v>2052</v>
      </c>
      <c r="M3621">
        <v>341</v>
      </c>
      <c r="N3621">
        <v>50.55</v>
      </c>
      <c r="O3621">
        <v>12362</v>
      </c>
      <c r="P3621">
        <v>0</v>
      </c>
      <c r="Q3621">
        <v>12362</v>
      </c>
      <c r="R3621">
        <v>1977.92</v>
      </c>
      <c r="S3621">
        <v>494.48</v>
      </c>
      <c r="T3621">
        <v>13845.44</v>
      </c>
      <c r="U3621" t="s">
        <v>2062</v>
      </c>
      <c r="V3621" t="s">
        <v>9409</v>
      </c>
      <c r="W3621" t="s">
        <v>423</v>
      </c>
    </row>
    <row r="3622" spans="1:23" hidden="1" x14ac:dyDescent="0.2">
      <c r="A3622">
        <v>2012</v>
      </c>
      <c r="B3622" t="s">
        <v>303</v>
      </c>
      <c r="C3622" s="733">
        <v>40931</v>
      </c>
      <c r="D36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22" t="s">
        <v>485</v>
      </c>
      <c r="F3622" t="s">
        <v>2048</v>
      </c>
      <c r="G3622" t="s">
        <v>4089</v>
      </c>
      <c r="H3622">
        <v>40732</v>
      </c>
      <c r="I3622" t="s">
        <v>423</v>
      </c>
      <c r="J3622" t="s">
        <v>3570</v>
      </c>
      <c r="K3622" t="s">
        <v>2051</v>
      </c>
      <c r="L3622" t="s">
        <v>2052</v>
      </c>
      <c r="M3622">
        <v>678</v>
      </c>
      <c r="N3622">
        <v>27.7</v>
      </c>
      <c r="O3622">
        <v>10139.31</v>
      </c>
      <c r="P3622">
        <v>0</v>
      </c>
      <c r="Q3622">
        <v>10139.31</v>
      </c>
      <c r="R3622">
        <v>1622.29</v>
      </c>
      <c r="S3622">
        <v>405.57</v>
      </c>
      <c r="T3622">
        <v>11356.03</v>
      </c>
      <c r="U3622" t="s">
        <v>2053</v>
      </c>
      <c r="V3622" t="s">
        <v>9408</v>
      </c>
      <c r="W3622" t="s">
        <v>423</v>
      </c>
    </row>
    <row r="3623" spans="1:23" hidden="1" x14ac:dyDescent="0.2">
      <c r="A3623">
        <v>2012</v>
      </c>
      <c r="B3623" t="s">
        <v>304</v>
      </c>
      <c r="C3623" s="733">
        <v>40940</v>
      </c>
      <c r="D36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23" t="s">
        <v>505</v>
      </c>
      <c r="F3623" t="s">
        <v>1915</v>
      </c>
      <c r="G3623" t="s">
        <v>4162</v>
      </c>
      <c r="H3623">
        <v>22404</v>
      </c>
      <c r="I3623" t="s">
        <v>423</v>
      </c>
      <c r="J3623" t="s">
        <v>4163</v>
      </c>
      <c r="K3623" t="s">
        <v>1918</v>
      </c>
      <c r="L3623" t="s">
        <v>1919</v>
      </c>
      <c r="M3623">
        <v>250</v>
      </c>
      <c r="N3623">
        <v>27.48</v>
      </c>
      <c r="O3623">
        <v>6178.6</v>
      </c>
      <c r="P3623">
        <v>0</v>
      </c>
      <c r="Q3623">
        <v>6178.6</v>
      </c>
      <c r="R3623">
        <v>988.58</v>
      </c>
      <c r="S3623">
        <v>247.14</v>
      </c>
      <c r="T3623">
        <v>6920.04</v>
      </c>
      <c r="U3623" t="s">
        <v>1926</v>
      </c>
      <c r="V3623" t="s">
        <v>9408</v>
      </c>
      <c r="W3623" t="s">
        <v>423</v>
      </c>
    </row>
    <row r="3624" spans="1:23" hidden="1" x14ac:dyDescent="0.2">
      <c r="A3624">
        <v>2012</v>
      </c>
      <c r="B3624" t="s">
        <v>304</v>
      </c>
      <c r="C3624" s="733">
        <v>40961.549930555557</v>
      </c>
      <c r="D36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24" t="s">
        <v>505</v>
      </c>
      <c r="F3624" t="s">
        <v>1915</v>
      </c>
      <c r="G3624" t="s">
        <v>8462</v>
      </c>
      <c r="H3624">
        <v>22940</v>
      </c>
      <c r="I3624" t="s">
        <v>423</v>
      </c>
      <c r="J3624" t="s">
        <v>4158</v>
      </c>
      <c r="K3624" t="s">
        <v>1918</v>
      </c>
      <c r="L3624" t="s">
        <v>1919</v>
      </c>
      <c r="M3624">
        <v>274</v>
      </c>
      <c r="N3624">
        <v>26.77</v>
      </c>
      <c r="O3624">
        <v>7391.2</v>
      </c>
      <c r="P3624">
        <v>0</v>
      </c>
      <c r="Q3624">
        <v>7391.2</v>
      </c>
      <c r="R3624">
        <v>1182.5899999999999</v>
      </c>
      <c r="S3624">
        <v>295.64999999999998</v>
      </c>
      <c r="T3624">
        <v>8278.14</v>
      </c>
      <c r="U3624" t="s">
        <v>8491</v>
      </c>
      <c r="V3624" t="s">
        <v>9408</v>
      </c>
      <c r="W3624" t="s">
        <v>423</v>
      </c>
    </row>
    <row r="3625" spans="1:23" hidden="1" x14ac:dyDescent="0.2">
      <c r="A3625">
        <v>2012</v>
      </c>
      <c r="B3625" t="s">
        <v>303</v>
      </c>
      <c r="C3625" s="733">
        <v>40931</v>
      </c>
      <c r="D36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25" t="s">
        <v>485</v>
      </c>
      <c r="F3625" t="s">
        <v>2065</v>
      </c>
      <c r="G3625" t="s">
        <v>3736</v>
      </c>
      <c r="H3625">
        <v>40585</v>
      </c>
      <c r="I3625" t="s">
        <v>423</v>
      </c>
      <c r="J3625" t="s">
        <v>2139</v>
      </c>
      <c r="K3625" t="s">
        <v>2102</v>
      </c>
      <c r="L3625" t="s">
        <v>2115</v>
      </c>
      <c r="M3625">
        <v>543</v>
      </c>
      <c r="N3625">
        <v>50.97</v>
      </c>
      <c r="O3625">
        <v>17138.66</v>
      </c>
      <c r="P3625">
        <v>0</v>
      </c>
      <c r="Q3625">
        <v>17138.66</v>
      </c>
      <c r="R3625">
        <v>2742.19</v>
      </c>
      <c r="S3625">
        <v>685.55</v>
      </c>
      <c r="T3625">
        <v>19195.3</v>
      </c>
      <c r="U3625" t="s">
        <v>2108</v>
      </c>
      <c r="V3625" t="s">
        <v>9409</v>
      </c>
      <c r="W3625" t="s">
        <v>423</v>
      </c>
    </row>
    <row r="3626" spans="1:23" hidden="1" x14ac:dyDescent="0.2">
      <c r="A3626">
        <v>2012</v>
      </c>
      <c r="B3626" t="s">
        <v>304</v>
      </c>
      <c r="C3626" s="733">
        <v>40949</v>
      </c>
      <c r="D36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26" t="s">
        <v>485</v>
      </c>
      <c r="F3626" t="s">
        <v>2065</v>
      </c>
      <c r="G3626" t="s">
        <v>3730</v>
      </c>
      <c r="H3626">
        <v>41579</v>
      </c>
      <c r="I3626" t="s">
        <v>423</v>
      </c>
      <c r="J3626" t="s">
        <v>2139</v>
      </c>
      <c r="K3626" t="s">
        <v>2102</v>
      </c>
      <c r="L3626" t="s">
        <v>2184</v>
      </c>
      <c r="M3626">
        <v>543</v>
      </c>
      <c r="N3626">
        <v>48.25</v>
      </c>
      <c r="O3626">
        <v>16224.06</v>
      </c>
      <c r="P3626">
        <v>0</v>
      </c>
      <c r="Q3626">
        <v>16224.06</v>
      </c>
      <c r="R3626">
        <v>2595.85</v>
      </c>
      <c r="S3626">
        <v>648.96</v>
      </c>
      <c r="T3626">
        <v>18170.95</v>
      </c>
      <c r="U3626" t="s">
        <v>8051</v>
      </c>
      <c r="V3626" t="s">
        <v>9409</v>
      </c>
      <c r="W3626" t="s">
        <v>423</v>
      </c>
    </row>
    <row r="3627" spans="1:23" hidden="1" x14ac:dyDescent="0.2">
      <c r="A3627">
        <v>2012</v>
      </c>
      <c r="B3627" t="s">
        <v>304</v>
      </c>
      <c r="C3627" s="733">
        <v>40954</v>
      </c>
      <c r="D36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27" t="s">
        <v>485</v>
      </c>
      <c r="F3627" t="s">
        <v>2065</v>
      </c>
      <c r="G3627" t="s">
        <v>5245</v>
      </c>
      <c r="H3627">
        <v>41889</v>
      </c>
      <c r="I3627" t="s">
        <v>423</v>
      </c>
      <c r="J3627" t="s">
        <v>2139</v>
      </c>
      <c r="K3627" t="s">
        <v>2102</v>
      </c>
      <c r="L3627" t="s">
        <v>2115</v>
      </c>
      <c r="M3627">
        <v>543</v>
      </c>
      <c r="N3627">
        <v>48.82</v>
      </c>
      <c r="O3627">
        <v>16415.72</v>
      </c>
      <c r="P3627">
        <v>0</v>
      </c>
      <c r="Q3627">
        <v>16415.72</v>
      </c>
      <c r="R3627">
        <v>2626.52</v>
      </c>
      <c r="S3627">
        <v>656.63</v>
      </c>
      <c r="T3627">
        <v>18385.61</v>
      </c>
      <c r="U3627" t="s">
        <v>8051</v>
      </c>
      <c r="V3627" t="s">
        <v>9409</v>
      </c>
      <c r="W3627" t="s">
        <v>423</v>
      </c>
    </row>
    <row r="3628" spans="1:23" hidden="1" x14ac:dyDescent="0.2">
      <c r="A3628">
        <v>2012</v>
      </c>
      <c r="B3628" t="s">
        <v>304</v>
      </c>
      <c r="C3628" s="733">
        <v>40942</v>
      </c>
      <c r="D36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28" t="s">
        <v>485</v>
      </c>
      <c r="F3628" t="s">
        <v>2065</v>
      </c>
      <c r="G3628" t="s">
        <v>5244</v>
      </c>
      <c r="H3628">
        <v>41258</v>
      </c>
      <c r="I3628" t="s">
        <v>423</v>
      </c>
      <c r="J3628" t="s">
        <v>2139</v>
      </c>
      <c r="K3628" t="s">
        <v>2102</v>
      </c>
      <c r="L3628" t="s">
        <v>2115</v>
      </c>
      <c r="M3628">
        <v>543</v>
      </c>
      <c r="N3628">
        <v>49.09</v>
      </c>
      <c r="O3628">
        <v>16506.509999999998</v>
      </c>
      <c r="P3628">
        <v>0</v>
      </c>
      <c r="Q3628">
        <v>16506.509999999998</v>
      </c>
      <c r="R3628">
        <v>2641.04</v>
      </c>
      <c r="S3628">
        <v>660.26</v>
      </c>
      <c r="T3628">
        <v>18487.29</v>
      </c>
      <c r="U3628" t="s">
        <v>7462</v>
      </c>
      <c r="V3628" t="s">
        <v>9409</v>
      </c>
      <c r="W3628" t="s">
        <v>423</v>
      </c>
    </row>
    <row r="3629" spans="1:23" hidden="1" x14ac:dyDescent="0.2">
      <c r="A3629">
        <v>2012</v>
      </c>
      <c r="B3629" t="s">
        <v>304</v>
      </c>
      <c r="C3629" s="733">
        <v>40956</v>
      </c>
      <c r="D36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29" t="s">
        <v>485</v>
      </c>
      <c r="F3629" t="s">
        <v>2065</v>
      </c>
      <c r="G3629" t="s">
        <v>7836</v>
      </c>
      <c r="H3629">
        <v>41947</v>
      </c>
      <c r="I3629" t="s">
        <v>423</v>
      </c>
      <c r="J3629" t="s">
        <v>2139</v>
      </c>
      <c r="K3629" t="s">
        <v>2102</v>
      </c>
      <c r="L3629" t="s">
        <v>2115</v>
      </c>
      <c r="M3629">
        <v>543</v>
      </c>
      <c r="N3629">
        <v>48.52</v>
      </c>
      <c r="O3629">
        <v>16314.85</v>
      </c>
      <c r="P3629">
        <v>0</v>
      </c>
      <c r="Q3629">
        <v>16314.85</v>
      </c>
      <c r="R3629">
        <v>2610.38</v>
      </c>
      <c r="S3629">
        <v>652.59</v>
      </c>
      <c r="T3629">
        <v>18272.64</v>
      </c>
      <c r="U3629" t="s">
        <v>8883</v>
      </c>
      <c r="V3629" t="s">
        <v>9409</v>
      </c>
      <c r="W3629" t="s">
        <v>423</v>
      </c>
    </row>
    <row r="3630" spans="1:23" hidden="1" x14ac:dyDescent="0.2">
      <c r="A3630">
        <v>2012</v>
      </c>
      <c r="B3630" t="s">
        <v>303</v>
      </c>
      <c r="C3630" s="733">
        <v>40928</v>
      </c>
      <c r="D36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30" t="s">
        <v>485</v>
      </c>
      <c r="F3630" t="s">
        <v>2065</v>
      </c>
      <c r="G3630" t="s">
        <v>3735</v>
      </c>
      <c r="H3630">
        <v>40576</v>
      </c>
      <c r="I3630" t="s">
        <v>423</v>
      </c>
      <c r="J3630" t="s">
        <v>2139</v>
      </c>
      <c r="K3630" t="s">
        <v>2102</v>
      </c>
      <c r="L3630" t="s">
        <v>2115</v>
      </c>
      <c r="M3630">
        <v>543</v>
      </c>
      <c r="N3630">
        <v>49.7</v>
      </c>
      <c r="O3630">
        <v>16711.62</v>
      </c>
      <c r="P3630">
        <v>0</v>
      </c>
      <c r="Q3630">
        <v>16711.62</v>
      </c>
      <c r="R3630">
        <v>2673.86</v>
      </c>
      <c r="S3630">
        <v>668.46</v>
      </c>
      <c r="T3630">
        <v>18717.02</v>
      </c>
      <c r="U3630" t="s">
        <v>2108</v>
      </c>
      <c r="V3630" t="s">
        <v>9409</v>
      </c>
      <c r="W3630" t="s">
        <v>423</v>
      </c>
    </row>
    <row r="3631" spans="1:23" hidden="1" x14ac:dyDescent="0.2">
      <c r="A3631">
        <v>2012</v>
      </c>
      <c r="B3631" t="s">
        <v>304</v>
      </c>
      <c r="C3631" s="733">
        <v>40942</v>
      </c>
      <c r="D36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31" t="s">
        <v>485</v>
      </c>
      <c r="F3631" t="s">
        <v>2136</v>
      </c>
      <c r="G3631" t="s">
        <v>4063</v>
      </c>
      <c r="H3631">
        <v>41267</v>
      </c>
      <c r="I3631" t="s">
        <v>423</v>
      </c>
      <c r="J3631" t="s">
        <v>2196</v>
      </c>
      <c r="K3631" t="s">
        <v>2183</v>
      </c>
      <c r="L3631" t="s">
        <v>2184</v>
      </c>
      <c r="M3631">
        <v>10</v>
      </c>
      <c r="N3631">
        <v>24.78</v>
      </c>
      <c r="O3631">
        <v>2796.92</v>
      </c>
      <c r="P3631">
        <v>0</v>
      </c>
      <c r="Q3631">
        <v>2796.92</v>
      </c>
      <c r="R3631">
        <v>447.51</v>
      </c>
      <c r="S3631">
        <v>111.88</v>
      </c>
      <c r="T3631">
        <v>3132.55</v>
      </c>
      <c r="V3631" t="s">
        <v>9408</v>
      </c>
      <c r="W3631" t="s">
        <v>423</v>
      </c>
    </row>
    <row r="3632" spans="1:23" hidden="1" x14ac:dyDescent="0.2">
      <c r="A3632">
        <v>2012</v>
      </c>
      <c r="B3632" t="s">
        <v>304</v>
      </c>
      <c r="C3632" s="733">
        <v>40942</v>
      </c>
      <c r="D36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32" t="s">
        <v>485</v>
      </c>
      <c r="F3632" t="s">
        <v>2065</v>
      </c>
      <c r="G3632" t="s">
        <v>4065</v>
      </c>
      <c r="H3632">
        <v>40195</v>
      </c>
      <c r="I3632" t="s">
        <v>423</v>
      </c>
      <c r="J3632" t="s">
        <v>2196</v>
      </c>
      <c r="K3632" t="s">
        <v>2183</v>
      </c>
      <c r="L3632" t="s">
        <v>2184</v>
      </c>
      <c r="M3632">
        <v>10</v>
      </c>
      <c r="N3632">
        <v>48.97</v>
      </c>
      <c r="O3632">
        <v>5527.24</v>
      </c>
      <c r="P3632">
        <v>0</v>
      </c>
      <c r="Q3632">
        <v>5527.24</v>
      </c>
      <c r="R3632">
        <v>884.36</v>
      </c>
      <c r="S3632">
        <v>221.09</v>
      </c>
      <c r="T3632">
        <v>6190.51</v>
      </c>
      <c r="U3632" t="s">
        <v>2192</v>
      </c>
      <c r="V3632" t="s">
        <v>9409</v>
      </c>
      <c r="W3632" t="s">
        <v>423</v>
      </c>
    </row>
    <row r="3633" spans="1:23" hidden="1" x14ac:dyDescent="0.2">
      <c r="A3633">
        <v>2012</v>
      </c>
      <c r="B3633" t="s">
        <v>303</v>
      </c>
      <c r="C3633" s="733">
        <v>40921</v>
      </c>
      <c r="D36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33" t="s">
        <v>485</v>
      </c>
      <c r="F3633" t="s">
        <v>2065</v>
      </c>
      <c r="G3633" t="s">
        <v>4323</v>
      </c>
      <c r="H3633">
        <v>40273</v>
      </c>
      <c r="I3633" t="s">
        <v>423</v>
      </c>
      <c r="J3633" t="s">
        <v>2196</v>
      </c>
      <c r="K3633" t="s">
        <v>2183</v>
      </c>
      <c r="L3633" t="s">
        <v>2184</v>
      </c>
      <c r="M3633">
        <v>10</v>
      </c>
      <c r="N3633">
        <v>25.16</v>
      </c>
      <c r="O3633">
        <v>2839.81</v>
      </c>
      <c r="P3633">
        <v>0</v>
      </c>
      <c r="Q3633">
        <v>2839.81</v>
      </c>
      <c r="R3633">
        <v>454.37</v>
      </c>
      <c r="S3633">
        <v>113.59</v>
      </c>
      <c r="T3633">
        <v>3180.59</v>
      </c>
      <c r="U3633" t="s">
        <v>7587</v>
      </c>
      <c r="V3633" t="s">
        <v>9408</v>
      </c>
      <c r="W3633" t="s">
        <v>423</v>
      </c>
    </row>
    <row r="3634" spans="1:23" hidden="1" x14ac:dyDescent="0.2">
      <c r="A3634">
        <v>2012</v>
      </c>
      <c r="B3634" t="s">
        <v>303</v>
      </c>
      <c r="C3634" s="733">
        <v>40931</v>
      </c>
      <c r="D36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34" t="s">
        <v>485</v>
      </c>
      <c r="F3634" t="s">
        <v>2065</v>
      </c>
      <c r="G3634" t="s">
        <v>3731</v>
      </c>
      <c r="H3634">
        <v>40671</v>
      </c>
      <c r="I3634" t="s">
        <v>423</v>
      </c>
      <c r="J3634" t="s">
        <v>2139</v>
      </c>
      <c r="K3634" t="s">
        <v>2102</v>
      </c>
      <c r="L3634" t="s">
        <v>2115</v>
      </c>
      <c r="M3634">
        <v>543</v>
      </c>
      <c r="N3634">
        <v>53.83</v>
      </c>
      <c r="O3634">
        <v>18100.34</v>
      </c>
      <c r="P3634">
        <v>0</v>
      </c>
      <c r="Q3634">
        <v>18100.34</v>
      </c>
      <c r="R3634">
        <v>2896.05</v>
      </c>
      <c r="S3634">
        <v>724.01</v>
      </c>
      <c r="T3634">
        <v>20272.38</v>
      </c>
      <c r="U3634" t="s">
        <v>2108</v>
      </c>
      <c r="V3634" t="s">
        <v>9409</v>
      </c>
      <c r="W3634" t="s">
        <v>423</v>
      </c>
    </row>
    <row r="3635" spans="1:23" hidden="1" x14ac:dyDescent="0.2">
      <c r="A3635">
        <v>2012</v>
      </c>
      <c r="B3635" t="s">
        <v>304</v>
      </c>
      <c r="C3635" s="733">
        <v>40941</v>
      </c>
      <c r="D36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35" t="s">
        <v>485</v>
      </c>
      <c r="F3635" t="s">
        <v>2065</v>
      </c>
      <c r="G3635" t="s">
        <v>5047</v>
      </c>
      <c r="H3635">
        <v>41216</v>
      </c>
      <c r="I3635" t="s">
        <v>423</v>
      </c>
      <c r="J3635" t="s">
        <v>2139</v>
      </c>
      <c r="K3635" t="s">
        <v>2102</v>
      </c>
      <c r="L3635" t="s">
        <v>2115</v>
      </c>
      <c r="M3635">
        <v>543</v>
      </c>
      <c r="N3635">
        <v>51.28</v>
      </c>
      <c r="O3635">
        <v>17242.900000000001</v>
      </c>
      <c r="P3635">
        <v>0</v>
      </c>
      <c r="Q3635">
        <v>17242.900000000001</v>
      </c>
      <c r="R3635">
        <v>2758.86</v>
      </c>
      <c r="S3635">
        <v>689.72</v>
      </c>
      <c r="T3635">
        <v>19312.04</v>
      </c>
      <c r="V3635" t="s">
        <v>9409</v>
      </c>
      <c r="W3635" t="s">
        <v>423</v>
      </c>
    </row>
    <row r="3636" spans="1:23" hidden="1" x14ac:dyDescent="0.2">
      <c r="A3636">
        <v>2012</v>
      </c>
      <c r="B3636" t="s">
        <v>304</v>
      </c>
      <c r="C3636" s="733">
        <v>40953</v>
      </c>
      <c r="D36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36" t="s">
        <v>485</v>
      </c>
      <c r="F3636" t="s">
        <v>2065</v>
      </c>
      <c r="G3636" t="s">
        <v>4051</v>
      </c>
      <c r="H3636">
        <v>41824</v>
      </c>
      <c r="I3636" t="s">
        <v>423</v>
      </c>
      <c r="J3636" t="s">
        <v>2196</v>
      </c>
      <c r="K3636" t="s">
        <v>2183</v>
      </c>
      <c r="L3636" t="s">
        <v>2184</v>
      </c>
      <c r="M3636">
        <v>10</v>
      </c>
      <c r="N3636">
        <v>16.54</v>
      </c>
      <c r="O3636">
        <v>1866.87</v>
      </c>
      <c r="P3636">
        <v>0</v>
      </c>
      <c r="Q3636">
        <v>1866.87</v>
      </c>
      <c r="R3636">
        <v>298.7</v>
      </c>
      <c r="S3636">
        <v>74.67</v>
      </c>
      <c r="T3636">
        <v>2090.9</v>
      </c>
      <c r="V3636" t="s">
        <v>9408</v>
      </c>
      <c r="W3636" t="s">
        <v>423</v>
      </c>
    </row>
    <row r="3637" spans="1:23" hidden="1" x14ac:dyDescent="0.2">
      <c r="A3637">
        <v>2012</v>
      </c>
      <c r="B3637" t="s">
        <v>304</v>
      </c>
      <c r="C3637" s="733">
        <v>40955.446226851855</v>
      </c>
      <c r="D36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37" t="s">
        <v>485</v>
      </c>
      <c r="F3637" t="s">
        <v>2065</v>
      </c>
      <c r="G3637" t="s">
        <v>7535</v>
      </c>
      <c r="H3637">
        <v>42070</v>
      </c>
      <c r="I3637" t="s">
        <v>423</v>
      </c>
      <c r="J3637" t="s">
        <v>2196</v>
      </c>
      <c r="K3637" t="s">
        <v>2183</v>
      </c>
      <c r="L3637" t="s">
        <v>2184</v>
      </c>
      <c r="M3637">
        <v>10</v>
      </c>
      <c r="N3637">
        <v>16.239999999999998</v>
      </c>
      <c r="O3637">
        <v>1833.01</v>
      </c>
      <c r="P3637">
        <v>0</v>
      </c>
      <c r="Q3637">
        <v>1833.01</v>
      </c>
      <c r="R3637">
        <v>293.27999999999997</v>
      </c>
      <c r="S3637">
        <v>73.319999999999993</v>
      </c>
      <c r="T3637">
        <v>2052.9699999999998</v>
      </c>
      <c r="U3637" t="s">
        <v>8048</v>
      </c>
      <c r="V3637" t="s">
        <v>9408</v>
      </c>
      <c r="W3637" t="s">
        <v>423</v>
      </c>
    </row>
    <row r="3638" spans="1:23" hidden="1" x14ac:dyDescent="0.2">
      <c r="A3638">
        <v>2012</v>
      </c>
      <c r="B3638" t="s">
        <v>304</v>
      </c>
      <c r="C3638" s="733">
        <v>40949</v>
      </c>
      <c r="D36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38" t="s">
        <v>485</v>
      </c>
      <c r="F3638" t="s">
        <v>2065</v>
      </c>
      <c r="G3638" t="s">
        <v>4050</v>
      </c>
      <c r="H3638">
        <v>41626</v>
      </c>
      <c r="I3638" t="s">
        <v>423</v>
      </c>
      <c r="J3638" t="s">
        <v>2196</v>
      </c>
      <c r="K3638" t="s">
        <v>2183</v>
      </c>
      <c r="L3638" t="s">
        <v>2184</v>
      </c>
      <c r="M3638">
        <v>10</v>
      </c>
      <c r="N3638">
        <v>51.66</v>
      </c>
      <c r="O3638">
        <v>5830.86</v>
      </c>
      <c r="P3638">
        <v>0</v>
      </c>
      <c r="Q3638">
        <v>5830.86</v>
      </c>
      <c r="R3638">
        <v>932.94</v>
      </c>
      <c r="S3638">
        <v>233.23</v>
      </c>
      <c r="T3638">
        <v>6530.57</v>
      </c>
      <c r="U3638" t="s">
        <v>8048</v>
      </c>
      <c r="V3638" t="s">
        <v>9409</v>
      </c>
      <c r="W3638" t="s">
        <v>423</v>
      </c>
    </row>
    <row r="3639" spans="1:23" hidden="1" x14ac:dyDescent="0.2">
      <c r="A3639">
        <v>2012</v>
      </c>
      <c r="B3639" t="s">
        <v>303</v>
      </c>
      <c r="C3639" s="733">
        <v>40931</v>
      </c>
      <c r="D36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39" t="s">
        <v>485</v>
      </c>
      <c r="F3639" t="s">
        <v>2065</v>
      </c>
      <c r="G3639" t="s">
        <v>4066</v>
      </c>
      <c r="H3639">
        <v>40691</v>
      </c>
      <c r="I3639" t="s">
        <v>423</v>
      </c>
      <c r="J3639" t="s">
        <v>2196</v>
      </c>
      <c r="K3639" t="s">
        <v>2183</v>
      </c>
      <c r="L3639" t="s">
        <v>2184</v>
      </c>
      <c r="M3639">
        <v>10</v>
      </c>
      <c r="N3639">
        <v>23.86</v>
      </c>
      <c r="O3639">
        <v>2693.08</v>
      </c>
      <c r="P3639">
        <v>0</v>
      </c>
      <c r="Q3639">
        <v>2693.08</v>
      </c>
      <c r="R3639">
        <v>430.89</v>
      </c>
      <c r="S3639">
        <v>107.72</v>
      </c>
      <c r="T3639">
        <v>3016.25</v>
      </c>
      <c r="U3639" t="s">
        <v>2187</v>
      </c>
      <c r="V3639" t="s">
        <v>9408</v>
      </c>
      <c r="W3639" t="s">
        <v>423</v>
      </c>
    </row>
    <row r="3640" spans="1:23" hidden="1" x14ac:dyDescent="0.2">
      <c r="A3640">
        <v>2012</v>
      </c>
      <c r="B3640" t="s">
        <v>303</v>
      </c>
      <c r="C3640" s="733">
        <v>40921</v>
      </c>
      <c r="D36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40" t="s">
        <v>485</v>
      </c>
      <c r="F3640" t="s">
        <v>2065</v>
      </c>
      <c r="G3640" t="s">
        <v>4062</v>
      </c>
      <c r="H3640">
        <v>40230</v>
      </c>
      <c r="I3640" t="s">
        <v>423</v>
      </c>
      <c r="J3640" t="s">
        <v>2213</v>
      </c>
      <c r="K3640" t="s">
        <v>2183</v>
      </c>
      <c r="L3640" t="s">
        <v>2184</v>
      </c>
      <c r="M3640">
        <v>64</v>
      </c>
      <c r="N3640">
        <v>15.82</v>
      </c>
      <c r="O3640">
        <v>1785.6</v>
      </c>
      <c r="P3640">
        <v>0</v>
      </c>
      <c r="Q3640">
        <v>1785.6</v>
      </c>
      <c r="R3640">
        <v>285.7</v>
      </c>
      <c r="S3640">
        <v>71.42</v>
      </c>
      <c r="T3640">
        <v>1999.88</v>
      </c>
      <c r="U3640" t="s">
        <v>7520</v>
      </c>
      <c r="V3640" t="s">
        <v>9408</v>
      </c>
      <c r="W3640" t="s">
        <v>423</v>
      </c>
    </row>
    <row r="3641" spans="1:23" hidden="1" x14ac:dyDescent="0.2">
      <c r="A3641">
        <v>2012</v>
      </c>
      <c r="B3641" t="s">
        <v>303</v>
      </c>
      <c r="C3641" s="733">
        <v>40927</v>
      </c>
      <c r="D36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41" t="s">
        <v>485</v>
      </c>
      <c r="F3641" t="s">
        <v>2065</v>
      </c>
      <c r="G3641" t="s">
        <v>4061</v>
      </c>
      <c r="H3641">
        <v>40568</v>
      </c>
      <c r="I3641" t="s">
        <v>423</v>
      </c>
      <c r="J3641" t="s">
        <v>2213</v>
      </c>
      <c r="K3641" t="s">
        <v>2183</v>
      </c>
      <c r="L3641" t="s">
        <v>2184</v>
      </c>
      <c r="M3641">
        <v>64</v>
      </c>
      <c r="N3641">
        <v>15.75</v>
      </c>
      <c r="O3641">
        <v>1777.7</v>
      </c>
      <c r="P3641">
        <v>0</v>
      </c>
      <c r="Q3641">
        <v>1777.7</v>
      </c>
      <c r="R3641">
        <v>284.43</v>
      </c>
      <c r="S3641">
        <v>71.11</v>
      </c>
      <c r="T3641">
        <v>1991.02</v>
      </c>
      <c r="U3641" t="s">
        <v>7554</v>
      </c>
      <c r="V3641" t="s">
        <v>9408</v>
      </c>
      <c r="W3641" t="s">
        <v>423</v>
      </c>
    </row>
    <row r="3642" spans="1:23" hidden="1" x14ac:dyDescent="0.2">
      <c r="A3642">
        <v>2012</v>
      </c>
      <c r="B3642" t="s">
        <v>303</v>
      </c>
      <c r="C3642" s="733">
        <v>40939</v>
      </c>
      <c r="D36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42" t="s">
        <v>478</v>
      </c>
      <c r="F3642" t="s">
        <v>2622</v>
      </c>
      <c r="G3642" t="s">
        <v>4350</v>
      </c>
      <c r="H3642">
        <v>34339</v>
      </c>
      <c r="I3642" t="s">
        <v>423</v>
      </c>
      <c r="J3642" t="s">
        <v>2668</v>
      </c>
      <c r="K3642" t="s">
        <v>2625</v>
      </c>
      <c r="L3642" t="s">
        <v>2626</v>
      </c>
      <c r="M3642">
        <v>76</v>
      </c>
      <c r="N3642">
        <v>23.74</v>
      </c>
      <c r="O3642">
        <v>2775.44</v>
      </c>
      <c r="P3642">
        <v>0</v>
      </c>
      <c r="Q3642">
        <v>2775.44</v>
      </c>
      <c r="R3642">
        <v>444.07</v>
      </c>
      <c r="S3642">
        <v>111.02</v>
      </c>
      <c r="T3642">
        <v>3108.49</v>
      </c>
      <c r="U3642" t="s">
        <v>2648</v>
      </c>
      <c r="V3642" t="s">
        <v>9408</v>
      </c>
      <c r="W3642" t="s">
        <v>423</v>
      </c>
    </row>
    <row r="3643" spans="1:23" hidden="1" x14ac:dyDescent="0.2">
      <c r="A3643">
        <v>2012</v>
      </c>
      <c r="B3643" t="s">
        <v>303</v>
      </c>
      <c r="C3643" s="733">
        <v>40922</v>
      </c>
      <c r="D36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43" t="s">
        <v>478</v>
      </c>
      <c r="F3643" t="s">
        <v>2136</v>
      </c>
      <c r="G3643" t="s">
        <v>5236</v>
      </c>
      <c r="H3643">
        <v>34456</v>
      </c>
      <c r="I3643" t="s">
        <v>423</v>
      </c>
      <c r="J3643" t="s">
        <v>4285</v>
      </c>
      <c r="K3643" t="s">
        <v>425</v>
      </c>
      <c r="L3643" t="s">
        <v>2145</v>
      </c>
      <c r="M3643">
        <v>110</v>
      </c>
      <c r="N3643">
        <v>24.87</v>
      </c>
      <c r="O3643">
        <v>4047.59</v>
      </c>
      <c r="P3643">
        <v>0</v>
      </c>
      <c r="Q3643">
        <v>4047.59</v>
      </c>
      <c r="R3643">
        <v>647.61</v>
      </c>
      <c r="S3643">
        <v>161.9</v>
      </c>
      <c r="T3643">
        <v>4533.3</v>
      </c>
      <c r="U3643" t="s">
        <v>2150</v>
      </c>
      <c r="V3643" t="s">
        <v>9409</v>
      </c>
      <c r="W3643" t="s">
        <v>423</v>
      </c>
    </row>
    <row r="3644" spans="1:23" hidden="1" x14ac:dyDescent="0.2">
      <c r="A3644">
        <v>2012</v>
      </c>
      <c r="B3644" t="s">
        <v>303</v>
      </c>
      <c r="C3644" s="733">
        <v>40912</v>
      </c>
      <c r="D36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44" t="s">
        <v>478</v>
      </c>
      <c r="F3644" t="s">
        <v>2136</v>
      </c>
      <c r="G3644" t="s">
        <v>5048</v>
      </c>
      <c r="H3644">
        <v>34119</v>
      </c>
      <c r="I3644" t="s">
        <v>423</v>
      </c>
      <c r="J3644" t="s">
        <v>4273</v>
      </c>
      <c r="K3644" t="s">
        <v>425</v>
      </c>
      <c r="L3644" t="s">
        <v>2145</v>
      </c>
      <c r="M3644">
        <v>797</v>
      </c>
      <c r="N3644">
        <v>24.64</v>
      </c>
      <c r="O3644">
        <v>3972.46</v>
      </c>
      <c r="P3644">
        <v>4472.5529889999998</v>
      </c>
      <c r="Q3644">
        <v>8445.0129890000007</v>
      </c>
      <c r="R3644">
        <v>1351.202078</v>
      </c>
      <c r="S3644">
        <v>337.80052000000001</v>
      </c>
      <c r="T3644">
        <v>9458.4145470000003</v>
      </c>
      <c r="U3644" t="s">
        <v>2150</v>
      </c>
      <c r="V3644" t="s">
        <v>9408</v>
      </c>
      <c r="W3644" t="s">
        <v>423</v>
      </c>
    </row>
    <row r="3645" spans="1:23" hidden="1" x14ac:dyDescent="0.2">
      <c r="A3645">
        <v>2012</v>
      </c>
      <c r="B3645" t="s">
        <v>305</v>
      </c>
      <c r="C3645" s="733">
        <v>40969</v>
      </c>
      <c r="D3645" s="733" t="str">
        <f>CHOOSE(MONTH(Tabla_sqldatos_bonampakdb_Bon_v_ingresos2012[[#This Row],[fecha_guia]]),"Enero","Febrero","Marzo","Abril","Mayo","Junio","Julio","Agosto","Septiembre","Octubre","Noviembre","Diciembre")</f>
        <v>Marzo</v>
      </c>
      <c r="E3645" t="s">
        <v>505</v>
      </c>
      <c r="F3645" t="s">
        <v>1915</v>
      </c>
      <c r="G3645" t="s">
        <v>9633</v>
      </c>
      <c r="H3645">
        <v>23106</v>
      </c>
      <c r="I3645" t="s">
        <v>423</v>
      </c>
      <c r="J3645" t="s">
        <v>5598</v>
      </c>
      <c r="K3645" t="s">
        <v>1918</v>
      </c>
      <c r="L3645" t="s">
        <v>1919</v>
      </c>
      <c r="M3645">
        <v>653</v>
      </c>
      <c r="N3645">
        <v>30</v>
      </c>
      <c r="O3645">
        <v>13508.4</v>
      </c>
      <c r="P3645">
        <v>0</v>
      </c>
      <c r="Q3645">
        <v>13508.4</v>
      </c>
      <c r="R3645">
        <v>2161.34</v>
      </c>
      <c r="S3645">
        <v>540.34</v>
      </c>
      <c r="T3645">
        <v>15129.4</v>
      </c>
      <c r="V3645" t="s">
        <v>9408</v>
      </c>
      <c r="W3645" t="s">
        <v>423</v>
      </c>
    </row>
    <row r="3646" spans="1:23" hidden="1" x14ac:dyDescent="0.2">
      <c r="A3646">
        <v>2012</v>
      </c>
      <c r="B3646" t="s">
        <v>305</v>
      </c>
      <c r="C3646" s="733">
        <v>40969</v>
      </c>
      <c r="D3646" s="733" t="str">
        <f>CHOOSE(MONTH(Tabla_sqldatos_bonampakdb_Bon_v_ingresos2012[[#This Row],[fecha_guia]]),"Enero","Febrero","Marzo","Abril","Mayo","Junio","Julio","Agosto","Septiembre","Octubre","Noviembre","Diciembre")</f>
        <v>Marzo</v>
      </c>
      <c r="E3646" t="s">
        <v>505</v>
      </c>
      <c r="F3646" t="s">
        <v>1915</v>
      </c>
      <c r="G3646" t="s">
        <v>9634</v>
      </c>
      <c r="H3646">
        <v>23100</v>
      </c>
      <c r="I3646" t="s">
        <v>424</v>
      </c>
      <c r="J3646" t="s">
        <v>5598</v>
      </c>
      <c r="K3646" t="s">
        <v>1918</v>
      </c>
      <c r="L3646" t="s">
        <v>1919</v>
      </c>
      <c r="M3646">
        <v>653</v>
      </c>
      <c r="N3646">
        <v>30</v>
      </c>
      <c r="O3646">
        <v>10609.5</v>
      </c>
      <c r="P3646">
        <v>0</v>
      </c>
      <c r="Q3646">
        <v>10609.5</v>
      </c>
      <c r="R3646">
        <v>1697.52</v>
      </c>
      <c r="S3646">
        <v>424.38</v>
      </c>
      <c r="T3646">
        <v>11882.64</v>
      </c>
      <c r="V3646" t="s">
        <v>9408</v>
      </c>
      <c r="W3646" t="s">
        <v>424</v>
      </c>
    </row>
    <row r="3647" spans="1:23" hidden="1" x14ac:dyDescent="0.2">
      <c r="A3647">
        <v>2012</v>
      </c>
      <c r="B3647" t="s">
        <v>303</v>
      </c>
      <c r="C3647" s="733">
        <v>40933</v>
      </c>
      <c r="D36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47" t="s">
        <v>485</v>
      </c>
      <c r="F3647" t="s">
        <v>3450</v>
      </c>
      <c r="G3647" t="s">
        <v>4333</v>
      </c>
      <c r="H3647">
        <v>40849</v>
      </c>
      <c r="I3647" t="s">
        <v>423</v>
      </c>
      <c r="J3647" t="s">
        <v>3452</v>
      </c>
      <c r="K3647" t="s">
        <v>3453</v>
      </c>
      <c r="L3647" t="s">
        <v>3454</v>
      </c>
      <c r="M3647">
        <v>19</v>
      </c>
      <c r="N3647">
        <v>26.52</v>
      </c>
      <c r="O3647">
        <v>2993.31</v>
      </c>
      <c r="P3647">
        <v>0</v>
      </c>
      <c r="Q3647">
        <v>2993.31</v>
      </c>
      <c r="R3647">
        <v>478.93</v>
      </c>
      <c r="S3647">
        <v>119.73</v>
      </c>
      <c r="T3647">
        <v>3352.51</v>
      </c>
      <c r="U3647" t="s">
        <v>3459</v>
      </c>
      <c r="V3647" t="s">
        <v>9408</v>
      </c>
      <c r="W3647" t="s">
        <v>423</v>
      </c>
    </row>
    <row r="3648" spans="1:23" hidden="1" x14ac:dyDescent="0.2">
      <c r="A3648">
        <v>2012</v>
      </c>
      <c r="B3648" t="s">
        <v>303</v>
      </c>
      <c r="C3648" s="733">
        <v>40939</v>
      </c>
      <c r="D36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48" t="s">
        <v>485</v>
      </c>
      <c r="F3648" t="s">
        <v>3450</v>
      </c>
      <c r="G3648" t="s">
        <v>4334</v>
      </c>
      <c r="H3648">
        <v>40905</v>
      </c>
      <c r="I3648" t="s">
        <v>423</v>
      </c>
      <c r="J3648" t="s">
        <v>3452</v>
      </c>
      <c r="K3648" t="s">
        <v>3453</v>
      </c>
      <c r="L3648" t="s">
        <v>3454</v>
      </c>
      <c r="M3648">
        <v>19</v>
      </c>
      <c r="N3648">
        <v>24.97</v>
      </c>
      <c r="O3648">
        <v>2818.36</v>
      </c>
      <c r="P3648">
        <v>0</v>
      </c>
      <c r="Q3648">
        <v>2818.36</v>
      </c>
      <c r="R3648">
        <v>450.94</v>
      </c>
      <c r="S3648">
        <v>112.73</v>
      </c>
      <c r="T3648">
        <v>3156.57</v>
      </c>
      <c r="U3648" t="s">
        <v>3640</v>
      </c>
      <c r="V3648" t="s">
        <v>9408</v>
      </c>
      <c r="W3648" t="s">
        <v>423</v>
      </c>
    </row>
    <row r="3649" spans="1:23" hidden="1" x14ac:dyDescent="0.2">
      <c r="A3649">
        <v>2012</v>
      </c>
      <c r="B3649" t="s">
        <v>304</v>
      </c>
      <c r="C3649" s="733">
        <v>40953</v>
      </c>
      <c r="D36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49" t="s">
        <v>485</v>
      </c>
      <c r="F3649" t="s">
        <v>3450</v>
      </c>
      <c r="G3649" t="s">
        <v>4332</v>
      </c>
      <c r="H3649">
        <v>41815</v>
      </c>
      <c r="I3649" t="s">
        <v>423</v>
      </c>
      <c r="J3649" t="s">
        <v>3452</v>
      </c>
      <c r="K3649" t="s">
        <v>3453</v>
      </c>
      <c r="L3649" t="s">
        <v>3454</v>
      </c>
      <c r="M3649">
        <v>19</v>
      </c>
      <c r="N3649">
        <v>25.24</v>
      </c>
      <c r="O3649">
        <v>2848.84</v>
      </c>
      <c r="P3649">
        <v>0</v>
      </c>
      <c r="Q3649">
        <v>2848.84</v>
      </c>
      <c r="R3649">
        <v>455.81</v>
      </c>
      <c r="S3649">
        <v>113.95</v>
      </c>
      <c r="T3649">
        <v>3190.7</v>
      </c>
      <c r="U3649" t="s">
        <v>7533</v>
      </c>
      <c r="V3649" t="s">
        <v>9408</v>
      </c>
      <c r="W3649" t="s">
        <v>423</v>
      </c>
    </row>
    <row r="3650" spans="1:23" hidden="1" x14ac:dyDescent="0.2">
      <c r="A3650">
        <v>2012</v>
      </c>
      <c r="B3650" t="s">
        <v>303</v>
      </c>
      <c r="C3650" s="733">
        <v>40939</v>
      </c>
      <c r="D36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50" t="s">
        <v>485</v>
      </c>
      <c r="F3650" t="s">
        <v>3450</v>
      </c>
      <c r="G3650" t="s">
        <v>4336</v>
      </c>
      <c r="H3650">
        <v>41071</v>
      </c>
      <c r="I3650" t="s">
        <v>423</v>
      </c>
      <c r="J3650" t="s">
        <v>3452</v>
      </c>
      <c r="K3650" t="s">
        <v>3453</v>
      </c>
      <c r="L3650" t="s">
        <v>3454</v>
      </c>
      <c r="M3650">
        <v>19</v>
      </c>
      <c r="N3650">
        <v>23.74</v>
      </c>
      <c r="O3650">
        <v>2679.53</v>
      </c>
      <c r="P3650">
        <v>0</v>
      </c>
      <c r="Q3650">
        <v>2679.53</v>
      </c>
      <c r="R3650">
        <v>428.73</v>
      </c>
      <c r="S3650">
        <v>107.18</v>
      </c>
      <c r="T3650">
        <v>3001.08</v>
      </c>
      <c r="U3650" t="s">
        <v>3640</v>
      </c>
      <c r="V3650" t="s">
        <v>9408</v>
      </c>
      <c r="W3650" t="s">
        <v>423</v>
      </c>
    </row>
    <row r="3651" spans="1:23" hidden="1" x14ac:dyDescent="0.2">
      <c r="A3651">
        <v>2012</v>
      </c>
      <c r="B3651" t="s">
        <v>303</v>
      </c>
      <c r="C3651" s="733">
        <v>40931</v>
      </c>
      <c r="D36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51" t="s">
        <v>485</v>
      </c>
      <c r="F3651" t="s">
        <v>2065</v>
      </c>
      <c r="G3651" t="s">
        <v>2565</v>
      </c>
      <c r="H3651">
        <v>40701</v>
      </c>
      <c r="I3651" t="s">
        <v>424</v>
      </c>
      <c r="J3651" t="s">
        <v>2114</v>
      </c>
      <c r="K3651" t="s">
        <v>2102</v>
      </c>
      <c r="L3651" t="s">
        <v>2115</v>
      </c>
      <c r="M3651">
        <v>500</v>
      </c>
      <c r="N3651">
        <v>54</v>
      </c>
      <c r="O3651">
        <v>10009.44</v>
      </c>
      <c r="P3651">
        <v>0</v>
      </c>
      <c r="Q3651">
        <v>10009.44</v>
      </c>
      <c r="R3651">
        <v>1601.51</v>
      </c>
      <c r="S3651">
        <v>400.38</v>
      </c>
      <c r="T3651">
        <v>11210.57</v>
      </c>
      <c r="U3651" t="s">
        <v>8871</v>
      </c>
      <c r="V3651" t="s">
        <v>9409</v>
      </c>
      <c r="W3651" t="s">
        <v>424</v>
      </c>
    </row>
    <row r="3652" spans="1:23" hidden="1" x14ac:dyDescent="0.2">
      <c r="A3652">
        <v>2012</v>
      </c>
      <c r="B3652" t="s">
        <v>303</v>
      </c>
      <c r="C3652" s="733">
        <v>40910</v>
      </c>
      <c r="D36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52" t="s">
        <v>485</v>
      </c>
      <c r="F3652" t="s">
        <v>2065</v>
      </c>
      <c r="G3652" t="s">
        <v>2573</v>
      </c>
      <c r="H3652">
        <v>39567</v>
      </c>
      <c r="I3652" t="s">
        <v>423</v>
      </c>
      <c r="J3652" t="s">
        <v>2114</v>
      </c>
      <c r="K3652" t="s">
        <v>2102</v>
      </c>
      <c r="L3652" t="s">
        <v>2115</v>
      </c>
      <c r="M3652">
        <v>500</v>
      </c>
      <c r="N3652">
        <v>53.02</v>
      </c>
      <c r="O3652">
        <v>7506.04</v>
      </c>
      <c r="P3652">
        <v>8450.9753760000003</v>
      </c>
      <c r="Q3652">
        <v>15957.015375999999</v>
      </c>
      <c r="R3652">
        <v>2553.12246</v>
      </c>
      <c r="S3652">
        <v>638.28061500000001</v>
      </c>
      <c r="T3652">
        <v>17871.857220999998</v>
      </c>
      <c r="U3652" t="s">
        <v>2104</v>
      </c>
      <c r="V3652" t="s">
        <v>9409</v>
      </c>
      <c r="W3652" t="s">
        <v>423</v>
      </c>
    </row>
    <row r="3653" spans="1:23" hidden="1" x14ac:dyDescent="0.2">
      <c r="A3653">
        <v>2012</v>
      </c>
      <c r="B3653" t="s">
        <v>303</v>
      </c>
      <c r="C3653" s="733">
        <v>40926</v>
      </c>
      <c r="D36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53" t="s">
        <v>485</v>
      </c>
      <c r="F3653" t="s">
        <v>2065</v>
      </c>
      <c r="G3653" t="s">
        <v>2575</v>
      </c>
      <c r="H3653">
        <v>39689</v>
      </c>
      <c r="I3653" t="s">
        <v>423</v>
      </c>
      <c r="J3653" t="s">
        <v>2114</v>
      </c>
      <c r="K3653" t="s">
        <v>2102</v>
      </c>
      <c r="L3653" t="s">
        <v>2115</v>
      </c>
      <c r="M3653">
        <v>500</v>
      </c>
      <c r="N3653">
        <v>28.01</v>
      </c>
      <c r="O3653">
        <v>9418.36</v>
      </c>
      <c r="P3653">
        <v>0</v>
      </c>
      <c r="Q3653">
        <v>9418.36</v>
      </c>
      <c r="R3653">
        <v>1506.94</v>
      </c>
      <c r="S3653">
        <v>376.73</v>
      </c>
      <c r="T3653">
        <v>10548.57</v>
      </c>
      <c r="U3653" t="s">
        <v>2106</v>
      </c>
      <c r="V3653" t="s">
        <v>9408</v>
      </c>
      <c r="W3653" t="s">
        <v>423</v>
      </c>
    </row>
    <row r="3654" spans="1:23" hidden="1" x14ac:dyDescent="0.2">
      <c r="A3654">
        <v>2012</v>
      </c>
      <c r="B3654" t="s">
        <v>304</v>
      </c>
      <c r="C3654" s="733">
        <v>40952</v>
      </c>
      <c r="D36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54" t="s">
        <v>485</v>
      </c>
      <c r="F3654" t="s">
        <v>2065</v>
      </c>
      <c r="G3654" t="s">
        <v>2574</v>
      </c>
      <c r="H3654">
        <v>41683</v>
      </c>
      <c r="I3654" t="s">
        <v>424</v>
      </c>
      <c r="J3654" t="s">
        <v>2114</v>
      </c>
      <c r="K3654" t="s">
        <v>2102</v>
      </c>
      <c r="L3654" t="s">
        <v>2115</v>
      </c>
      <c r="M3654">
        <v>500</v>
      </c>
      <c r="N3654">
        <v>54</v>
      </c>
      <c r="O3654">
        <v>10009.44</v>
      </c>
      <c r="P3654">
        <v>0</v>
      </c>
      <c r="Q3654">
        <v>10009.44</v>
      </c>
      <c r="R3654">
        <v>1601.51</v>
      </c>
      <c r="S3654">
        <v>400.38</v>
      </c>
      <c r="T3654">
        <v>11210.57</v>
      </c>
      <c r="U3654" t="s">
        <v>8262</v>
      </c>
      <c r="V3654" t="s">
        <v>9409</v>
      </c>
      <c r="W3654" t="s">
        <v>424</v>
      </c>
    </row>
    <row r="3655" spans="1:23" hidden="1" x14ac:dyDescent="0.2">
      <c r="A3655">
        <v>2012</v>
      </c>
      <c r="B3655" t="s">
        <v>303</v>
      </c>
      <c r="C3655" s="733">
        <v>40928</v>
      </c>
      <c r="D36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55" t="s">
        <v>485</v>
      </c>
      <c r="F3655" t="s">
        <v>2065</v>
      </c>
      <c r="G3655" t="s">
        <v>2587</v>
      </c>
      <c r="H3655">
        <v>39818</v>
      </c>
      <c r="I3655" t="s">
        <v>424</v>
      </c>
      <c r="J3655" t="s">
        <v>2135</v>
      </c>
      <c r="K3655" t="s">
        <v>2102</v>
      </c>
      <c r="L3655" t="s">
        <v>2115</v>
      </c>
      <c r="M3655">
        <v>494</v>
      </c>
      <c r="N3655">
        <v>54</v>
      </c>
      <c r="O3655">
        <v>11375.64</v>
      </c>
      <c r="P3655">
        <v>0</v>
      </c>
      <c r="Q3655">
        <v>11375.64</v>
      </c>
      <c r="R3655">
        <v>1820.1</v>
      </c>
      <c r="S3655">
        <v>455.03</v>
      </c>
      <c r="T3655">
        <v>12740.71</v>
      </c>
      <c r="U3655" t="s">
        <v>2119</v>
      </c>
      <c r="V3655" t="s">
        <v>9409</v>
      </c>
      <c r="W3655" t="s">
        <v>424</v>
      </c>
    </row>
    <row r="3656" spans="1:23" hidden="1" x14ac:dyDescent="0.2">
      <c r="A3656">
        <v>2012</v>
      </c>
      <c r="B3656" t="s">
        <v>303</v>
      </c>
      <c r="C3656" s="733">
        <v>40938</v>
      </c>
      <c r="D36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56" t="s">
        <v>485</v>
      </c>
      <c r="F3656" t="s">
        <v>2054</v>
      </c>
      <c r="G3656" t="s">
        <v>6090</v>
      </c>
      <c r="H3656">
        <v>41104</v>
      </c>
      <c r="I3656" t="s">
        <v>423</v>
      </c>
      <c r="J3656" t="s">
        <v>2050</v>
      </c>
      <c r="K3656" t="s">
        <v>2051</v>
      </c>
      <c r="L3656" t="s">
        <v>2052</v>
      </c>
      <c r="M3656">
        <v>90</v>
      </c>
      <c r="N3656">
        <v>24.65</v>
      </c>
      <c r="O3656">
        <v>3458.64</v>
      </c>
      <c r="P3656">
        <v>0</v>
      </c>
      <c r="Q3656">
        <v>3458.64</v>
      </c>
      <c r="R3656">
        <v>553.38</v>
      </c>
      <c r="S3656">
        <v>138.35</v>
      </c>
      <c r="T3656">
        <v>3873.67</v>
      </c>
      <c r="U3656" t="s">
        <v>2064</v>
      </c>
      <c r="V3656" t="s">
        <v>9408</v>
      </c>
      <c r="W3656" t="s">
        <v>423</v>
      </c>
    </row>
    <row r="3657" spans="1:23" hidden="1" x14ac:dyDescent="0.2">
      <c r="A3657">
        <v>2012</v>
      </c>
      <c r="B3657" t="s">
        <v>304</v>
      </c>
      <c r="C3657" s="733">
        <v>40954.752800925926</v>
      </c>
      <c r="D36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57" t="s">
        <v>485</v>
      </c>
      <c r="F3657" t="s">
        <v>2054</v>
      </c>
      <c r="G3657" t="s">
        <v>8028</v>
      </c>
      <c r="H3657">
        <v>10454</v>
      </c>
      <c r="I3657" t="s">
        <v>423</v>
      </c>
      <c r="J3657" t="s">
        <v>2056</v>
      </c>
      <c r="K3657" t="s">
        <v>2057</v>
      </c>
      <c r="L3657" t="s">
        <v>2058</v>
      </c>
      <c r="M3657">
        <v>19</v>
      </c>
      <c r="N3657">
        <v>23.36</v>
      </c>
      <c r="O3657">
        <v>2636.64</v>
      </c>
      <c r="P3657">
        <v>0</v>
      </c>
      <c r="Q3657">
        <v>2636.64</v>
      </c>
      <c r="R3657">
        <v>290.02999999999997</v>
      </c>
      <c r="S3657">
        <v>105.47</v>
      </c>
      <c r="T3657">
        <v>2821.2</v>
      </c>
      <c r="U3657" t="s">
        <v>8047</v>
      </c>
      <c r="V3657" t="s">
        <v>9408</v>
      </c>
      <c r="W3657" t="s">
        <v>423</v>
      </c>
    </row>
    <row r="3658" spans="1:23" hidden="1" x14ac:dyDescent="0.2">
      <c r="A3658">
        <v>2012</v>
      </c>
      <c r="B3658" t="s">
        <v>304</v>
      </c>
      <c r="C3658" s="733">
        <v>40950.569872685184</v>
      </c>
      <c r="D36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58" t="s">
        <v>485</v>
      </c>
      <c r="F3658" t="s">
        <v>2054</v>
      </c>
      <c r="G3658" t="s">
        <v>6336</v>
      </c>
      <c r="H3658">
        <v>10394</v>
      </c>
      <c r="I3658" t="s">
        <v>423</v>
      </c>
      <c r="J3658" t="s">
        <v>4545</v>
      </c>
      <c r="K3658" t="s">
        <v>2057</v>
      </c>
      <c r="L3658" t="s">
        <v>2058</v>
      </c>
      <c r="M3658">
        <v>144</v>
      </c>
      <c r="N3658">
        <v>23.55</v>
      </c>
      <c r="O3658">
        <v>3765.41</v>
      </c>
      <c r="P3658">
        <v>0</v>
      </c>
      <c r="Q3658">
        <v>3765.41</v>
      </c>
      <c r="R3658">
        <v>414.2</v>
      </c>
      <c r="S3658">
        <v>150.62</v>
      </c>
      <c r="T3658">
        <v>4028.99</v>
      </c>
      <c r="U3658" t="s">
        <v>8047</v>
      </c>
      <c r="V3658" t="s">
        <v>9408</v>
      </c>
      <c r="W3658" t="s">
        <v>423</v>
      </c>
    </row>
    <row r="3659" spans="1:23" hidden="1" x14ac:dyDescent="0.2">
      <c r="A3659">
        <v>2012</v>
      </c>
      <c r="B3659" t="s">
        <v>304</v>
      </c>
      <c r="C3659" s="733">
        <v>40947</v>
      </c>
      <c r="D36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59" t="s">
        <v>485</v>
      </c>
      <c r="F3659" t="s">
        <v>2054</v>
      </c>
      <c r="G3659" t="s">
        <v>6337</v>
      </c>
      <c r="H3659">
        <v>10341</v>
      </c>
      <c r="I3659" t="s">
        <v>423</v>
      </c>
      <c r="J3659" t="s">
        <v>4545</v>
      </c>
      <c r="K3659" t="s">
        <v>2057</v>
      </c>
      <c r="L3659" t="s">
        <v>2058</v>
      </c>
      <c r="M3659">
        <v>144</v>
      </c>
      <c r="N3659">
        <v>30.77</v>
      </c>
      <c r="O3659">
        <v>4919.82</v>
      </c>
      <c r="P3659">
        <v>0</v>
      </c>
      <c r="Q3659">
        <v>4919.82</v>
      </c>
      <c r="R3659">
        <v>541.17999999999995</v>
      </c>
      <c r="S3659">
        <v>196.79</v>
      </c>
      <c r="T3659">
        <v>5264.21</v>
      </c>
      <c r="U3659" t="s">
        <v>2082</v>
      </c>
      <c r="V3659" t="s">
        <v>9408</v>
      </c>
      <c r="W3659" t="s">
        <v>423</v>
      </c>
    </row>
    <row r="3660" spans="1:23" hidden="1" x14ac:dyDescent="0.2">
      <c r="A3660">
        <v>2012</v>
      </c>
      <c r="B3660" t="s">
        <v>303</v>
      </c>
      <c r="C3660" s="733">
        <v>40933</v>
      </c>
      <c r="D36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60" t="s">
        <v>485</v>
      </c>
      <c r="F3660" t="s">
        <v>2054</v>
      </c>
      <c r="G3660" t="s">
        <v>5902</v>
      </c>
      <c r="H3660">
        <v>40862</v>
      </c>
      <c r="I3660" t="s">
        <v>423</v>
      </c>
      <c r="J3660" t="s">
        <v>2171</v>
      </c>
      <c r="K3660" t="s">
        <v>2051</v>
      </c>
      <c r="L3660" t="s">
        <v>2052</v>
      </c>
      <c r="M3660">
        <v>57</v>
      </c>
      <c r="N3660">
        <v>26.6</v>
      </c>
      <c r="O3660">
        <v>3732.25</v>
      </c>
      <c r="P3660">
        <v>0</v>
      </c>
      <c r="Q3660">
        <v>3732.25</v>
      </c>
      <c r="R3660">
        <v>597.16</v>
      </c>
      <c r="S3660">
        <v>149.29</v>
      </c>
      <c r="T3660">
        <v>4180.12</v>
      </c>
      <c r="U3660" t="s">
        <v>2053</v>
      </c>
      <c r="V3660" t="s">
        <v>9408</v>
      </c>
      <c r="W3660" t="s">
        <v>423</v>
      </c>
    </row>
    <row r="3661" spans="1:23" hidden="1" x14ac:dyDescent="0.2">
      <c r="A3661">
        <v>2012</v>
      </c>
      <c r="B3661" t="s">
        <v>304</v>
      </c>
      <c r="C3661" s="733">
        <v>40966</v>
      </c>
      <c r="D36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61" t="s">
        <v>485</v>
      </c>
      <c r="F3661" t="s">
        <v>2054</v>
      </c>
      <c r="G3661" t="s">
        <v>8928</v>
      </c>
      <c r="H3661">
        <v>42612</v>
      </c>
      <c r="I3661" t="s">
        <v>423</v>
      </c>
      <c r="J3661" t="s">
        <v>2050</v>
      </c>
      <c r="K3661" t="s">
        <v>2051</v>
      </c>
      <c r="L3661" t="s">
        <v>2052</v>
      </c>
      <c r="M3661">
        <v>90</v>
      </c>
      <c r="N3661">
        <v>48.65</v>
      </c>
      <c r="O3661">
        <v>6826.08</v>
      </c>
      <c r="P3661">
        <v>0</v>
      </c>
      <c r="Q3661">
        <v>6826.08</v>
      </c>
      <c r="R3661">
        <v>1092.17</v>
      </c>
      <c r="S3661">
        <v>273.04000000000002</v>
      </c>
      <c r="T3661">
        <v>7645.21</v>
      </c>
      <c r="V3661" t="s">
        <v>9409</v>
      </c>
      <c r="W3661" t="s">
        <v>423</v>
      </c>
    </row>
    <row r="3662" spans="1:23" hidden="1" x14ac:dyDescent="0.2">
      <c r="A3662">
        <v>2012</v>
      </c>
      <c r="B3662" t="s">
        <v>303</v>
      </c>
      <c r="C3662" s="733">
        <v>40924</v>
      </c>
      <c r="D36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62" t="s">
        <v>485</v>
      </c>
      <c r="F3662" t="s">
        <v>2048</v>
      </c>
      <c r="G3662" t="s">
        <v>5888</v>
      </c>
      <c r="H3662">
        <v>40402</v>
      </c>
      <c r="I3662" t="s">
        <v>423</v>
      </c>
      <c r="J3662" t="s">
        <v>2050</v>
      </c>
      <c r="K3662" t="s">
        <v>2051</v>
      </c>
      <c r="L3662" t="s">
        <v>2052</v>
      </c>
      <c r="M3662">
        <v>90</v>
      </c>
      <c r="N3662">
        <v>25.25</v>
      </c>
      <c r="O3662">
        <v>3542.83</v>
      </c>
      <c r="P3662">
        <v>0</v>
      </c>
      <c r="Q3662">
        <v>3542.83</v>
      </c>
      <c r="R3662">
        <v>566.85</v>
      </c>
      <c r="S3662">
        <v>141.71</v>
      </c>
      <c r="T3662">
        <v>3967.97</v>
      </c>
      <c r="U3662" t="s">
        <v>2062</v>
      </c>
      <c r="V3662" t="s">
        <v>9408</v>
      </c>
      <c r="W3662" t="s">
        <v>423</v>
      </c>
    </row>
    <row r="3663" spans="1:23" x14ac:dyDescent="0.2">
      <c r="A3663">
        <v>2012</v>
      </c>
      <c r="B3663" t="s">
        <v>304</v>
      </c>
      <c r="C3663" s="733">
        <v>40967</v>
      </c>
      <c r="D36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63" t="s">
        <v>485</v>
      </c>
      <c r="F3663" t="s">
        <v>2084</v>
      </c>
      <c r="G3663" t="s">
        <v>8931</v>
      </c>
      <c r="H3663">
        <v>42603</v>
      </c>
      <c r="I3663" t="s">
        <v>423</v>
      </c>
      <c r="J3663" t="s">
        <v>2050</v>
      </c>
      <c r="K3663" t="s">
        <v>2051</v>
      </c>
      <c r="L3663" t="s">
        <v>2052</v>
      </c>
      <c r="M3663">
        <v>90</v>
      </c>
      <c r="N3663">
        <v>24.8</v>
      </c>
      <c r="O3663">
        <v>3479.69</v>
      </c>
      <c r="P3663">
        <v>0</v>
      </c>
      <c r="Q3663">
        <v>3479.69</v>
      </c>
      <c r="R3663">
        <v>556.75</v>
      </c>
      <c r="S3663">
        <v>139.19</v>
      </c>
      <c r="T3663">
        <v>3897.25</v>
      </c>
      <c r="V3663" t="s">
        <v>9408</v>
      </c>
      <c r="W3663" t="s">
        <v>423</v>
      </c>
    </row>
    <row r="3664" spans="1:23" hidden="1" x14ac:dyDescent="0.2">
      <c r="A3664">
        <v>2012</v>
      </c>
      <c r="B3664" t="s">
        <v>304</v>
      </c>
      <c r="C3664" s="733">
        <v>40954</v>
      </c>
      <c r="D36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64" t="s">
        <v>485</v>
      </c>
      <c r="F3664" t="s">
        <v>2065</v>
      </c>
      <c r="G3664" t="s">
        <v>8022</v>
      </c>
      <c r="H3664">
        <v>42012</v>
      </c>
      <c r="I3664" t="s">
        <v>423</v>
      </c>
      <c r="J3664" t="s">
        <v>2050</v>
      </c>
      <c r="K3664" t="s">
        <v>2051</v>
      </c>
      <c r="L3664" t="s">
        <v>2052</v>
      </c>
      <c r="M3664">
        <v>90</v>
      </c>
      <c r="N3664">
        <v>56.35</v>
      </c>
      <c r="O3664">
        <v>7906.47</v>
      </c>
      <c r="P3664">
        <v>0</v>
      </c>
      <c r="Q3664">
        <v>7906.47</v>
      </c>
      <c r="R3664">
        <v>1265.03</v>
      </c>
      <c r="S3664">
        <v>316.26</v>
      </c>
      <c r="T3664">
        <v>8855.24</v>
      </c>
      <c r="U3664" t="s">
        <v>8780</v>
      </c>
      <c r="V3664" t="s">
        <v>9409</v>
      </c>
      <c r="W3664" t="s">
        <v>423</v>
      </c>
    </row>
    <row r="3665" spans="1:23" hidden="1" x14ac:dyDescent="0.2">
      <c r="A3665">
        <v>2012</v>
      </c>
      <c r="B3665" t="s">
        <v>303</v>
      </c>
      <c r="C3665" s="733">
        <v>40932</v>
      </c>
      <c r="D36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65" t="s">
        <v>485</v>
      </c>
      <c r="F3665" t="s">
        <v>2048</v>
      </c>
      <c r="G3665" t="s">
        <v>6334</v>
      </c>
      <c r="H3665">
        <v>39838</v>
      </c>
      <c r="I3665" t="s">
        <v>423</v>
      </c>
      <c r="J3665" t="s">
        <v>2050</v>
      </c>
      <c r="K3665" t="s">
        <v>2051</v>
      </c>
      <c r="L3665" t="s">
        <v>2052</v>
      </c>
      <c r="M3665">
        <v>90</v>
      </c>
      <c r="N3665">
        <v>24.4</v>
      </c>
      <c r="O3665">
        <v>3423.56</v>
      </c>
      <c r="P3665">
        <v>0</v>
      </c>
      <c r="Q3665">
        <v>3423.56</v>
      </c>
      <c r="R3665">
        <v>547.77</v>
      </c>
      <c r="S3665">
        <v>136.94</v>
      </c>
      <c r="T3665">
        <v>3834.39</v>
      </c>
      <c r="U3665" t="s">
        <v>2053</v>
      </c>
      <c r="V3665" t="s">
        <v>9408</v>
      </c>
      <c r="W3665" t="s">
        <v>423</v>
      </c>
    </row>
    <row r="3666" spans="1:23" hidden="1" x14ac:dyDescent="0.2">
      <c r="A3666">
        <v>2012</v>
      </c>
      <c r="B3666" t="s">
        <v>303</v>
      </c>
      <c r="C3666" s="733">
        <v>40932</v>
      </c>
      <c r="D36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66" t="s">
        <v>485</v>
      </c>
      <c r="F3666" t="s">
        <v>2048</v>
      </c>
      <c r="G3666" t="s">
        <v>6335</v>
      </c>
      <c r="H3666">
        <v>40082</v>
      </c>
      <c r="I3666" t="s">
        <v>423</v>
      </c>
      <c r="J3666" t="s">
        <v>2050</v>
      </c>
      <c r="K3666" t="s">
        <v>2051</v>
      </c>
      <c r="L3666" t="s">
        <v>2052</v>
      </c>
      <c r="M3666">
        <v>90</v>
      </c>
      <c r="N3666">
        <v>25.201000000000001</v>
      </c>
      <c r="O3666">
        <v>3535.95</v>
      </c>
      <c r="P3666">
        <v>0</v>
      </c>
      <c r="Q3666">
        <v>3535.95</v>
      </c>
      <c r="R3666">
        <v>565.75</v>
      </c>
      <c r="S3666">
        <v>141.44</v>
      </c>
      <c r="T3666">
        <v>3960.26</v>
      </c>
      <c r="U3666" t="s">
        <v>2053</v>
      </c>
      <c r="V3666" t="s">
        <v>9408</v>
      </c>
      <c r="W3666" t="s">
        <v>423</v>
      </c>
    </row>
    <row r="3667" spans="1:23" x14ac:dyDescent="0.2">
      <c r="A3667">
        <v>2012</v>
      </c>
      <c r="B3667" t="s">
        <v>304</v>
      </c>
      <c r="C3667" s="733">
        <v>40967</v>
      </c>
      <c r="D36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67" t="s">
        <v>485</v>
      </c>
      <c r="F3667" t="s">
        <v>2065</v>
      </c>
      <c r="G3667" t="s">
        <v>8929</v>
      </c>
      <c r="H3667">
        <v>42730</v>
      </c>
      <c r="I3667" t="s">
        <v>423</v>
      </c>
      <c r="J3667" t="s">
        <v>2050</v>
      </c>
      <c r="K3667" t="s">
        <v>2051</v>
      </c>
      <c r="L3667" t="s">
        <v>2052</v>
      </c>
      <c r="M3667">
        <v>90</v>
      </c>
      <c r="N3667">
        <v>49.25</v>
      </c>
      <c r="O3667">
        <v>6910.27</v>
      </c>
      <c r="P3667">
        <v>0</v>
      </c>
      <c r="Q3667">
        <v>6910.27</v>
      </c>
      <c r="R3667">
        <v>1105.6400000000001</v>
      </c>
      <c r="S3667">
        <v>276.41000000000003</v>
      </c>
      <c r="T3667">
        <v>7739.5</v>
      </c>
      <c r="V3667" t="s">
        <v>9409</v>
      </c>
      <c r="W3667" t="s">
        <v>423</v>
      </c>
    </row>
    <row r="3668" spans="1:23" hidden="1" x14ac:dyDescent="0.2">
      <c r="A3668">
        <v>2012</v>
      </c>
      <c r="B3668" t="s">
        <v>303</v>
      </c>
      <c r="C3668" s="733">
        <v>40932</v>
      </c>
      <c r="D36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68" t="s">
        <v>485</v>
      </c>
      <c r="F3668" t="s">
        <v>2048</v>
      </c>
      <c r="G3668" t="s">
        <v>5901</v>
      </c>
      <c r="H3668">
        <v>39724</v>
      </c>
      <c r="I3668" t="s">
        <v>423</v>
      </c>
      <c r="J3668" t="s">
        <v>2050</v>
      </c>
      <c r="K3668" t="s">
        <v>2051</v>
      </c>
      <c r="L3668" t="s">
        <v>2052</v>
      </c>
      <c r="M3668">
        <v>90</v>
      </c>
      <c r="N3668">
        <v>55.3</v>
      </c>
      <c r="O3668">
        <v>7759.14</v>
      </c>
      <c r="P3668">
        <v>0</v>
      </c>
      <c r="Q3668">
        <v>7759.14</v>
      </c>
      <c r="R3668">
        <v>1241.46</v>
      </c>
      <c r="S3668">
        <v>310.37</v>
      </c>
      <c r="T3668">
        <v>8690.23</v>
      </c>
      <c r="U3668" t="s">
        <v>2053</v>
      </c>
      <c r="V3668" t="s">
        <v>9409</v>
      </c>
      <c r="W3668" t="s">
        <v>423</v>
      </c>
    </row>
    <row r="3669" spans="1:23" hidden="1" x14ac:dyDescent="0.2">
      <c r="A3669">
        <v>2012</v>
      </c>
      <c r="B3669" t="s">
        <v>303</v>
      </c>
      <c r="C3669" s="733">
        <v>40924</v>
      </c>
      <c r="D36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69" t="s">
        <v>485</v>
      </c>
      <c r="F3669" t="s">
        <v>2048</v>
      </c>
      <c r="G3669" t="s">
        <v>5897</v>
      </c>
      <c r="H3669">
        <v>40398</v>
      </c>
      <c r="I3669" t="s">
        <v>423</v>
      </c>
      <c r="J3669" t="s">
        <v>2050</v>
      </c>
      <c r="K3669" t="s">
        <v>2051</v>
      </c>
      <c r="L3669" t="s">
        <v>2052</v>
      </c>
      <c r="M3669">
        <v>90</v>
      </c>
      <c r="N3669">
        <v>57.45</v>
      </c>
      <c r="O3669">
        <v>8060.81</v>
      </c>
      <c r="P3669">
        <v>0</v>
      </c>
      <c r="Q3669">
        <v>8060.81</v>
      </c>
      <c r="R3669">
        <v>1289.73</v>
      </c>
      <c r="S3669">
        <v>322.43</v>
      </c>
      <c r="T3669">
        <v>9028.11</v>
      </c>
      <c r="U3669" t="s">
        <v>2062</v>
      </c>
      <c r="V3669" t="s">
        <v>9409</v>
      </c>
      <c r="W3669" t="s">
        <v>423</v>
      </c>
    </row>
    <row r="3670" spans="1:23" x14ac:dyDescent="0.2">
      <c r="A3670">
        <v>2012</v>
      </c>
      <c r="B3670" t="s">
        <v>304</v>
      </c>
      <c r="C3670" s="733">
        <v>40967</v>
      </c>
      <c r="D36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70" t="s">
        <v>485</v>
      </c>
      <c r="F3670" t="s">
        <v>2054</v>
      </c>
      <c r="G3670" t="s">
        <v>8927</v>
      </c>
      <c r="H3670">
        <v>10576</v>
      </c>
      <c r="I3670" t="s">
        <v>423</v>
      </c>
      <c r="J3670" t="s">
        <v>2056</v>
      </c>
      <c r="K3670" t="s">
        <v>2057</v>
      </c>
      <c r="L3670" t="s">
        <v>2058</v>
      </c>
      <c r="M3670">
        <v>19</v>
      </c>
      <c r="N3670">
        <v>22.28</v>
      </c>
      <c r="O3670">
        <v>2514.7399999999998</v>
      </c>
      <c r="P3670">
        <v>0</v>
      </c>
      <c r="Q3670">
        <v>2514.7399999999998</v>
      </c>
      <c r="R3670">
        <v>276.62</v>
      </c>
      <c r="S3670">
        <v>100.59</v>
      </c>
      <c r="T3670">
        <v>2690.77</v>
      </c>
      <c r="V3670" t="s">
        <v>9408</v>
      </c>
      <c r="W3670" t="s">
        <v>423</v>
      </c>
    </row>
    <row r="3671" spans="1:23" hidden="1" x14ac:dyDescent="0.2">
      <c r="A3671">
        <v>2012</v>
      </c>
      <c r="B3671" t="s">
        <v>304</v>
      </c>
      <c r="C3671" s="733">
        <v>40961.524907407409</v>
      </c>
      <c r="D36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71" t="s">
        <v>485</v>
      </c>
      <c r="F3671" t="s">
        <v>2054</v>
      </c>
      <c r="G3671" t="s">
        <v>8486</v>
      </c>
      <c r="H3671">
        <v>10509</v>
      </c>
      <c r="I3671" t="s">
        <v>423</v>
      </c>
      <c r="J3671" t="s">
        <v>2056</v>
      </c>
      <c r="K3671" t="s">
        <v>2057</v>
      </c>
      <c r="L3671" t="s">
        <v>2058</v>
      </c>
      <c r="M3671">
        <v>19</v>
      </c>
      <c r="N3671">
        <v>46.04</v>
      </c>
      <c r="O3671">
        <v>5196.53</v>
      </c>
      <c r="P3671">
        <v>0</v>
      </c>
      <c r="Q3671">
        <v>5196.53</v>
      </c>
      <c r="R3671">
        <v>571.62</v>
      </c>
      <c r="S3671">
        <v>207.86</v>
      </c>
      <c r="T3671">
        <v>5560.29</v>
      </c>
      <c r="U3671" t="s">
        <v>8864</v>
      </c>
      <c r="V3671" t="s">
        <v>9409</v>
      </c>
      <c r="W3671" t="s">
        <v>423</v>
      </c>
    </row>
    <row r="3672" spans="1:23" hidden="1" x14ac:dyDescent="0.2">
      <c r="A3672">
        <v>2012</v>
      </c>
      <c r="B3672" t="s">
        <v>304</v>
      </c>
      <c r="C3672" s="733">
        <v>40943.64234953704</v>
      </c>
      <c r="D36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72" t="s">
        <v>485</v>
      </c>
      <c r="F3672" t="s">
        <v>2054</v>
      </c>
      <c r="G3672" t="s">
        <v>5893</v>
      </c>
      <c r="H3672">
        <v>10331</v>
      </c>
      <c r="I3672" t="s">
        <v>423</v>
      </c>
      <c r="J3672" t="s">
        <v>2056</v>
      </c>
      <c r="K3672" t="s">
        <v>2057</v>
      </c>
      <c r="L3672" t="s">
        <v>2058</v>
      </c>
      <c r="M3672">
        <v>19</v>
      </c>
      <c r="N3672">
        <v>47.1</v>
      </c>
      <c r="O3672">
        <v>5316.18</v>
      </c>
      <c r="P3672">
        <v>0</v>
      </c>
      <c r="Q3672">
        <v>5316.18</v>
      </c>
      <c r="R3672">
        <v>850.59</v>
      </c>
      <c r="S3672">
        <v>212.65</v>
      </c>
      <c r="T3672">
        <v>5954.12</v>
      </c>
      <c r="U3672" t="s">
        <v>2075</v>
      </c>
      <c r="V3672" t="s">
        <v>9409</v>
      </c>
      <c r="W3672" t="s">
        <v>423</v>
      </c>
    </row>
    <row r="3673" spans="1:23" hidden="1" x14ac:dyDescent="0.2">
      <c r="A3673">
        <v>2012</v>
      </c>
      <c r="B3673" t="s">
        <v>303</v>
      </c>
      <c r="C3673" s="733">
        <v>40933.659421296295</v>
      </c>
      <c r="D36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73" t="s">
        <v>485</v>
      </c>
      <c r="F3673" t="s">
        <v>2054</v>
      </c>
      <c r="G3673" t="s">
        <v>6098</v>
      </c>
      <c r="H3673">
        <v>10204</v>
      </c>
      <c r="I3673" t="s">
        <v>423</v>
      </c>
      <c r="J3673" t="s">
        <v>2056</v>
      </c>
      <c r="K3673" t="s">
        <v>2057</v>
      </c>
      <c r="L3673" t="s">
        <v>2058</v>
      </c>
      <c r="M3673">
        <v>19</v>
      </c>
      <c r="N3673">
        <v>23.36</v>
      </c>
      <c r="O3673">
        <v>2636.64</v>
      </c>
      <c r="P3673">
        <v>0</v>
      </c>
      <c r="Q3673">
        <v>2636.64</v>
      </c>
      <c r="R3673">
        <v>421.86</v>
      </c>
      <c r="S3673">
        <v>105.47</v>
      </c>
      <c r="T3673">
        <v>2953.03</v>
      </c>
      <c r="U3673" t="s">
        <v>2073</v>
      </c>
      <c r="V3673" t="s">
        <v>9408</v>
      </c>
      <c r="W3673" t="s">
        <v>423</v>
      </c>
    </row>
    <row r="3674" spans="1:23" hidden="1" x14ac:dyDescent="0.2">
      <c r="A3674">
        <v>2012</v>
      </c>
      <c r="B3674" t="s">
        <v>304</v>
      </c>
      <c r="C3674" s="733">
        <v>40966.537361111114</v>
      </c>
      <c r="D36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74" t="s">
        <v>485</v>
      </c>
      <c r="F3674" t="s">
        <v>2054</v>
      </c>
      <c r="G3674" t="s">
        <v>9379</v>
      </c>
      <c r="H3674">
        <v>10568</v>
      </c>
      <c r="I3674" t="s">
        <v>423</v>
      </c>
      <c r="J3674" t="s">
        <v>2056</v>
      </c>
      <c r="K3674" t="s">
        <v>2057</v>
      </c>
      <c r="L3674" t="s">
        <v>2058</v>
      </c>
      <c r="M3674">
        <v>19</v>
      </c>
      <c r="N3674">
        <v>27.92</v>
      </c>
      <c r="O3674">
        <v>3151.33</v>
      </c>
      <c r="P3674">
        <v>0</v>
      </c>
      <c r="Q3674">
        <v>3151.33</v>
      </c>
      <c r="R3674">
        <v>346.65</v>
      </c>
      <c r="S3674">
        <v>126.05</v>
      </c>
      <c r="T3674">
        <v>3371.93</v>
      </c>
      <c r="U3674" t="s">
        <v>8864</v>
      </c>
      <c r="V3674" t="s">
        <v>9408</v>
      </c>
      <c r="W3674" t="s">
        <v>423</v>
      </c>
    </row>
    <row r="3675" spans="1:23" hidden="1" x14ac:dyDescent="0.2">
      <c r="A3675">
        <v>2012</v>
      </c>
      <c r="B3675" t="s">
        <v>304</v>
      </c>
      <c r="C3675" s="733">
        <v>40946</v>
      </c>
      <c r="D36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75" t="s">
        <v>485</v>
      </c>
      <c r="F3675" t="s">
        <v>2048</v>
      </c>
      <c r="G3675" t="s">
        <v>6341</v>
      </c>
      <c r="H3675">
        <v>41491</v>
      </c>
      <c r="I3675" t="s">
        <v>423</v>
      </c>
      <c r="J3675" t="s">
        <v>2050</v>
      </c>
      <c r="K3675" t="s">
        <v>2051</v>
      </c>
      <c r="L3675" t="s">
        <v>2052</v>
      </c>
      <c r="M3675">
        <v>90</v>
      </c>
      <c r="N3675">
        <v>25.65</v>
      </c>
      <c r="O3675">
        <v>3598.95</v>
      </c>
      <c r="P3675">
        <v>0</v>
      </c>
      <c r="Q3675">
        <v>3598.95</v>
      </c>
      <c r="R3675">
        <v>575.83000000000004</v>
      </c>
      <c r="S3675">
        <v>143.96</v>
      </c>
      <c r="T3675">
        <v>4030.82</v>
      </c>
      <c r="U3675" t="s">
        <v>7568</v>
      </c>
      <c r="V3675" t="s">
        <v>9408</v>
      </c>
      <c r="W3675" t="s">
        <v>423</v>
      </c>
    </row>
    <row r="3676" spans="1:23" hidden="1" x14ac:dyDescent="0.2">
      <c r="A3676">
        <v>2012</v>
      </c>
      <c r="B3676" t="s">
        <v>303</v>
      </c>
      <c r="C3676" s="733">
        <v>40933</v>
      </c>
      <c r="D36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76" t="s">
        <v>485</v>
      </c>
      <c r="F3676" t="s">
        <v>2048</v>
      </c>
      <c r="G3676" t="s">
        <v>6340</v>
      </c>
      <c r="H3676">
        <v>40856</v>
      </c>
      <c r="I3676" t="s">
        <v>423</v>
      </c>
      <c r="J3676" t="s">
        <v>2171</v>
      </c>
      <c r="K3676" t="s">
        <v>2051</v>
      </c>
      <c r="L3676" t="s">
        <v>2052</v>
      </c>
      <c r="M3676">
        <v>57</v>
      </c>
      <c r="N3676">
        <v>28.3</v>
      </c>
      <c r="O3676">
        <v>3970.77</v>
      </c>
      <c r="P3676">
        <v>0</v>
      </c>
      <c r="Q3676">
        <v>3970.77</v>
      </c>
      <c r="R3676">
        <v>635.32000000000005</v>
      </c>
      <c r="S3676">
        <v>158.83000000000001</v>
      </c>
      <c r="T3676">
        <v>4447.26</v>
      </c>
      <c r="U3676" t="s">
        <v>2053</v>
      </c>
      <c r="V3676" t="s">
        <v>9408</v>
      </c>
      <c r="W3676" t="s">
        <v>423</v>
      </c>
    </row>
    <row r="3677" spans="1:23" hidden="1" x14ac:dyDescent="0.2">
      <c r="A3677">
        <v>2012</v>
      </c>
      <c r="B3677" t="s">
        <v>303</v>
      </c>
      <c r="C3677" s="733">
        <v>40914.876643518517</v>
      </c>
      <c r="D36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77" t="s">
        <v>478</v>
      </c>
      <c r="F3677" t="s">
        <v>2622</v>
      </c>
      <c r="G3677" t="s">
        <v>4643</v>
      </c>
      <c r="H3677">
        <v>34293</v>
      </c>
      <c r="I3677" t="s">
        <v>423</v>
      </c>
      <c r="J3677" t="s">
        <v>2624</v>
      </c>
      <c r="K3677" t="s">
        <v>2625</v>
      </c>
      <c r="L3677" t="s">
        <v>2626</v>
      </c>
      <c r="M3677">
        <v>10</v>
      </c>
      <c r="N3677">
        <v>22.17</v>
      </c>
      <c r="O3677">
        <v>2501.88</v>
      </c>
      <c r="P3677">
        <v>0</v>
      </c>
      <c r="Q3677">
        <v>2501.88</v>
      </c>
      <c r="R3677">
        <v>400.3</v>
      </c>
      <c r="S3677">
        <v>100.08</v>
      </c>
      <c r="T3677">
        <v>2802.1</v>
      </c>
      <c r="V3677" t="s">
        <v>9408</v>
      </c>
      <c r="W3677" t="s">
        <v>423</v>
      </c>
    </row>
    <row r="3678" spans="1:23" hidden="1" x14ac:dyDescent="0.2">
      <c r="A3678">
        <v>2012</v>
      </c>
      <c r="B3678" t="s">
        <v>303</v>
      </c>
      <c r="C3678" s="733">
        <v>40933</v>
      </c>
      <c r="D36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78" t="s">
        <v>478</v>
      </c>
      <c r="F3678" t="s">
        <v>2622</v>
      </c>
      <c r="G3678" t="s">
        <v>4430</v>
      </c>
      <c r="H3678">
        <v>34853</v>
      </c>
      <c r="I3678" t="s">
        <v>423</v>
      </c>
      <c r="J3678" t="s">
        <v>2624</v>
      </c>
      <c r="K3678" t="s">
        <v>2625</v>
      </c>
      <c r="L3678" t="s">
        <v>2626</v>
      </c>
      <c r="M3678">
        <v>10</v>
      </c>
      <c r="N3678">
        <v>23.7</v>
      </c>
      <c r="O3678">
        <v>2674.54</v>
      </c>
      <c r="P3678">
        <v>0</v>
      </c>
      <c r="Q3678">
        <v>2674.54</v>
      </c>
      <c r="R3678">
        <v>427.93</v>
      </c>
      <c r="S3678">
        <v>106.98</v>
      </c>
      <c r="T3678">
        <v>2995.49</v>
      </c>
      <c r="U3678" t="s">
        <v>2633</v>
      </c>
      <c r="V3678" t="s">
        <v>9408</v>
      </c>
      <c r="W3678" t="s">
        <v>423</v>
      </c>
    </row>
    <row r="3679" spans="1:23" hidden="1" x14ac:dyDescent="0.2">
      <c r="A3679">
        <v>2012</v>
      </c>
      <c r="B3679" t="s">
        <v>303</v>
      </c>
      <c r="C3679" s="733">
        <v>40926</v>
      </c>
      <c r="D36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79" t="s">
        <v>478</v>
      </c>
      <c r="F3679" t="s">
        <v>2142</v>
      </c>
      <c r="G3679" t="s">
        <v>4645</v>
      </c>
      <c r="H3679">
        <v>34405</v>
      </c>
      <c r="I3679" t="s">
        <v>423</v>
      </c>
      <c r="J3679" t="s">
        <v>2639</v>
      </c>
      <c r="K3679" t="s">
        <v>2640</v>
      </c>
      <c r="L3679" t="s">
        <v>2641</v>
      </c>
      <c r="M3679">
        <v>274</v>
      </c>
      <c r="N3679">
        <v>53.69</v>
      </c>
      <c r="O3679">
        <v>6901.31</v>
      </c>
      <c r="P3679">
        <v>0</v>
      </c>
      <c r="Q3679">
        <v>6901.31</v>
      </c>
      <c r="R3679">
        <v>1104.21</v>
      </c>
      <c r="S3679">
        <v>276.05</v>
      </c>
      <c r="T3679">
        <v>7729.47</v>
      </c>
      <c r="U3679" t="s">
        <v>2992</v>
      </c>
      <c r="V3679" t="s">
        <v>9409</v>
      </c>
      <c r="W3679" t="s">
        <v>423</v>
      </c>
    </row>
    <row r="3680" spans="1:23" hidden="1" x14ac:dyDescent="0.2">
      <c r="A3680">
        <v>2012</v>
      </c>
      <c r="B3680" t="s">
        <v>303</v>
      </c>
      <c r="C3680" s="733">
        <v>40927</v>
      </c>
      <c r="D36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80" t="s">
        <v>478</v>
      </c>
      <c r="F3680" t="s">
        <v>2622</v>
      </c>
      <c r="G3680" t="s">
        <v>4435</v>
      </c>
      <c r="H3680">
        <v>34632</v>
      </c>
      <c r="I3680" t="s">
        <v>423</v>
      </c>
      <c r="J3680" t="s">
        <v>2668</v>
      </c>
      <c r="K3680" t="s">
        <v>2625</v>
      </c>
      <c r="L3680" t="s">
        <v>2626</v>
      </c>
      <c r="M3680">
        <v>76</v>
      </c>
      <c r="N3680">
        <v>24.25</v>
      </c>
      <c r="O3680">
        <v>2736.61</v>
      </c>
      <c r="P3680">
        <v>0</v>
      </c>
      <c r="Q3680">
        <v>2736.61</v>
      </c>
      <c r="R3680">
        <v>437.86</v>
      </c>
      <c r="S3680">
        <v>109.46</v>
      </c>
      <c r="T3680">
        <v>3065.01</v>
      </c>
      <c r="U3680" t="s">
        <v>2633</v>
      </c>
      <c r="V3680" t="s">
        <v>9408</v>
      </c>
      <c r="W3680" t="s">
        <v>423</v>
      </c>
    </row>
    <row r="3681" spans="1:23" hidden="1" x14ac:dyDescent="0.2">
      <c r="A3681">
        <v>2012</v>
      </c>
      <c r="B3681" t="s">
        <v>303</v>
      </c>
      <c r="C3681" s="733">
        <v>40926.833599537036</v>
      </c>
      <c r="D36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81" t="s">
        <v>478</v>
      </c>
      <c r="F3681" t="s">
        <v>2622</v>
      </c>
      <c r="G3681" t="s">
        <v>4642</v>
      </c>
      <c r="H3681">
        <v>34701</v>
      </c>
      <c r="I3681" t="s">
        <v>423</v>
      </c>
      <c r="J3681" t="s">
        <v>2668</v>
      </c>
      <c r="K3681" t="s">
        <v>2625</v>
      </c>
      <c r="L3681" t="s">
        <v>2626</v>
      </c>
      <c r="M3681">
        <v>76</v>
      </c>
      <c r="N3681">
        <v>24.4</v>
      </c>
      <c r="O3681">
        <v>2753.54</v>
      </c>
      <c r="P3681">
        <v>0</v>
      </c>
      <c r="Q3681">
        <v>2753.54</v>
      </c>
      <c r="R3681">
        <v>440.57</v>
      </c>
      <c r="S3681">
        <v>110.14</v>
      </c>
      <c r="T3681">
        <v>3083.97</v>
      </c>
      <c r="U3681" t="s">
        <v>2635</v>
      </c>
      <c r="V3681" t="s">
        <v>9408</v>
      </c>
      <c r="W3681" t="s">
        <v>423</v>
      </c>
    </row>
    <row r="3682" spans="1:23" x14ac:dyDescent="0.2">
      <c r="A3682">
        <v>2012</v>
      </c>
      <c r="B3682" t="s">
        <v>304</v>
      </c>
      <c r="C3682" s="733">
        <v>40968</v>
      </c>
      <c r="D36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82" t="s">
        <v>485</v>
      </c>
      <c r="F3682" t="s">
        <v>2084</v>
      </c>
      <c r="G3682" t="s">
        <v>9592</v>
      </c>
      <c r="H3682">
        <v>42865</v>
      </c>
      <c r="I3682" t="s">
        <v>423</v>
      </c>
      <c r="J3682" t="s">
        <v>4093</v>
      </c>
      <c r="K3682" t="s">
        <v>2051</v>
      </c>
      <c r="L3682" t="s">
        <v>2052</v>
      </c>
      <c r="M3682">
        <v>647</v>
      </c>
      <c r="N3682">
        <v>28.65</v>
      </c>
      <c r="O3682">
        <v>10839.15</v>
      </c>
      <c r="P3682">
        <v>0</v>
      </c>
      <c r="Q3682">
        <v>10839.15</v>
      </c>
      <c r="R3682">
        <v>1734.26</v>
      </c>
      <c r="S3682">
        <v>433.57</v>
      </c>
      <c r="T3682">
        <v>12139.84</v>
      </c>
      <c r="V3682" t="s">
        <v>9408</v>
      </c>
      <c r="W3682" t="s">
        <v>423</v>
      </c>
    </row>
    <row r="3683" spans="1:23" hidden="1" x14ac:dyDescent="0.2">
      <c r="A3683">
        <v>2012</v>
      </c>
      <c r="B3683" t="s">
        <v>303</v>
      </c>
      <c r="C3683" s="733">
        <v>40924.524363425924</v>
      </c>
      <c r="D36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83" t="s">
        <v>485</v>
      </c>
      <c r="F3683" t="s">
        <v>2048</v>
      </c>
      <c r="G3683" t="s">
        <v>5154</v>
      </c>
      <c r="H3683">
        <v>40382</v>
      </c>
      <c r="I3683" t="s">
        <v>423</v>
      </c>
      <c r="J3683" t="s">
        <v>4093</v>
      </c>
      <c r="K3683" t="s">
        <v>2051</v>
      </c>
      <c r="L3683" t="s">
        <v>2052</v>
      </c>
      <c r="M3683">
        <v>647</v>
      </c>
      <c r="N3683">
        <v>25.75</v>
      </c>
      <c r="O3683">
        <v>9742</v>
      </c>
      <c r="P3683">
        <v>0</v>
      </c>
      <c r="Q3683">
        <v>9742</v>
      </c>
      <c r="R3683">
        <v>1558.72</v>
      </c>
      <c r="S3683">
        <v>389.68</v>
      </c>
      <c r="T3683">
        <v>10911.04</v>
      </c>
      <c r="U3683" t="s">
        <v>2062</v>
      </c>
      <c r="V3683" t="s">
        <v>9408</v>
      </c>
      <c r="W3683" t="s">
        <v>423</v>
      </c>
    </row>
    <row r="3684" spans="1:23" hidden="1" x14ac:dyDescent="0.2">
      <c r="A3684">
        <v>2012</v>
      </c>
      <c r="B3684" t="s">
        <v>304</v>
      </c>
      <c r="C3684" s="733">
        <v>40940</v>
      </c>
      <c r="D36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84" t="s">
        <v>485</v>
      </c>
      <c r="F3684" t="s">
        <v>2084</v>
      </c>
      <c r="G3684" t="s">
        <v>4416</v>
      </c>
      <c r="H3684">
        <v>40714</v>
      </c>
      <c r="I3684" t="s">
        <v>423</v>
      </c>
      <c r="J3684" t="s">
        <v>2848</v>
      </c>
      <c r="K3684" t="s">
        <v>2814</v>
      </c>
      <c r="L3684" t="s">
        <v>2815</v>
      </c>
      <c r="M3684">
        <v>708</v>
      </c>
      <c r="N3684">
        <v>28.109000000000002</v>
      </c>
      <c r="O3684">
        <v>11534.25</v>
      </c>
      <c r="P3684">
        <v>0</v>
      </c>
      <c r="Q3684">
        <v>11534.25</v>
      </c>
      <c r="R3684">
        <v>1845.48</v>
      </c>
      <c r="S3684">
        <v>461.37</v>
      </c>
      <c r="T3684">
        <v>12918.36</v>
      </c>
      <c r="U3684" t="s">
        <v>2826</v>
      </c>
      <c r="V3684" t="s">
        <v>9408</v>
      </c>
      <c r="W3684" t="s">
        <v>423</v>
      </c>
    </row>
    <row r="3685" spans="1:23" hidden="1" x14ac:dyDescent="0.2">
      <c r="A3685">
        <v>2012</v>
      </c>
      <c r="B3685" t="s">
        <v>303</v>
      </c>
      <c r="C3685" s="733">
        <v>40933</v>
      </c>
      <c r="D36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85" t="s">
        <v>478</v>
      </c>
      <c r="F3685" t="s">
        <v>2136</v>
      </c>
      <c r="G3685" t="s">
        <v>5751</v>
      </c>
      <c r="H3685">
        <v>34847</v>
      </c>
      <c r="I3685" t="s">
        <v>423</v>
      </c>
      <c r="J3685" t="s">
        <v>5475</v>
      </c>
      <c r="K3685" t="s">
        <v>425</v>
      </c>
      <c r="L3685" t="s">
        <v>2145</v>
      </c>
      <c r="M3685">
        <v>981</v>
      </c>
      <c r="N3685">
        <v>23.62</v>
      </c>
      <c r="O3685">
        <v>10408.15</v>
      </c>
      <c r="P3685">
        <v>0</v>
      </c>
      <c r="Q3685">
        <v>10408.15</v>
      </c>
      <c r="R3685">
        <v>1665.3</v>
      </c>
      <c r="S3685">
        <v>416.33</v>
      </c>
      <c r="T3685">
        <v>11657.12</v>
      </c>
      <c r="U3685" t="s">
        <v>2355</v>
      </c>
      <c r="V3685" t="s">
        <v>9408</v>
      </c>
      <c r="W3685" t="s">
        <v>423</v>
      </c>
    </row>
    <row r="3686" spans="1:23" hidden="1" x14ac:dyDescent="0.2">
      <c r="A3686">
        <v>2012</v>
      </c>
      <c r="B3686" t="s">
        <v>303</v>
      </c>
      <c r="C3686" s="733">
        <v>40927</v>
      </c>
      <c r="D36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86" t="s">
        <v>478</v>
      </c>
      <c r="F3686" t="s">
        <v>2136</v>
      </c>
      <c r="G3686" t="s">
        <v>5750</v>
      </c>
      <c r="H3686">
        <v>34641</v>
      </c>
      <c r="I3686" t="s">
        <v>423</v>
      </c>
      <c r="J3686" t="s">
        <v>5475</v>
      </c>
      <c r="K3686" t="s">
        <v>425</v>
      </c>
      <c r="L3686" t="s">
        <v>2145</v>
      </c>
      <c r="M3686">
        <v>981</v>
      </c>
      <c r="N3686">
        <v>53.23</v>
      </c>
      <c r="O3686">
        <v>23455.8</v>
      </c>
      <c r="P3686">
        <v>0</v>
      </c>
      <c r="Q3686">
        <v>23455.8</v>
      </c>
      <c r="R3686">
        <v>3752.93</v>
      </c>
      <c r="S3686">
        <v>938.23</v>
      </c>
      <c r="T3686">
        <v>26270.5</v>
      </c>
      <c r="U3686" t="s">
        <v>2146</v>
      </c>
      <c r="V3686" t="s">
        <v>9409</v>
      </c>
      <c r="W3686" t="s">
        <v>423</v>
      </c>
    </row>
    <row r="3687" spans="1:23" hidden="1" x14ac:dyDescent="0.2">
      <c r="A3687">
        <v>2012</v>
      </c>
      <c r="B3687" t="s">
        <v>304</v>
      </c>
      <c r="C3687" s="733">
        <v>40953</v>
      </c>
      <c r="D36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87" t="s">
        <v>478</v>
      </c>
      <c r="F3687" t="s">
        <v>2136</v>
      </c>
      <c r="G3687" t="s">
        <v>5749</v>
      </c>
      <c r="H3687">
        <v>35559</v>
      </c>
      <c r="I3687" t="s">
        <v>423</v>
      </c>
      <c r="J3687" t="s">
        <v>5620</v>
      </c>
      <c r="K3687" t="s">
        <v>425</v>
      </c>
      <c r="L3687" t="s">
        <v>2145</v>
      </c>
      <c r="M3687">
        <v>700</v>
      </c>
      <c r="N3687">
        <v>24.88</v>
      </c>
      <c r="O3687">
        <v>9119.52</v>
      </c>
      <c r="P3687">
        <v>0</v>
      </c>
      <c r="Q3687">
        <v>9119.52</v>
      </c>
      <c r="R3687">
        <v>1459.12</v>
      </c>
      <c r="S3687">
        <v>364.78</v>
      </c>
      <c r="T3687">
        <v>10213.86</v>
      </c>
      <c r="U3687" t="s">
        <v>7523</v>
      </c>
      <c r="V3687" t="s">
        <v>9408</v>
      </c>
      <c r="W3687" t="s">
        <v>423</v>
      </c>
    </row>
    <row r="3688" spans="1:23" hidden="1" x14ac:dyDescent="0.2">
      <c r="A3688">
        <v>2012</v>
      </c>
      <c r="B3688" t="s">
        <v>303</v>
      </c>
      <c r="C3688" s="733">
        <v>40931</v>
      </c>
      <c r="D36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88" t="s">
        <v>478</v>
      </c>
      <c r="F3688" t="s">
        <v>2136</v>
      </c>
      <c r="G3688" t="s">
        <v>3027</v>
      </c>
      <c r="H3688">
        <v>34864</v>
      </c>
      <c r="I3688" t="s">
        <v>423</v>
      </c>
      <c r="J3688" t="s">
        <v>2936</v>
      </c>
      <c r="K3688" t="s">
        <v>425</v>
      </c>
      <c r="L3688" t="s">
        <v>2145</v>
      </c>
      <c r="M3688">
        <v>604</v>
      </c>
      <c r="N3688">
        <v>23.83</v>
      </c>
      <c r="O3688">
        <v>7460.93</v>
      </c>
      <c r="P3688">
        <v>0</v>
      </c>
      <c r="Q3688">
        <v>7460.93</v>
      </c>
      <c r="R3688">
        <v>1193.75</v>
      </c>
      <c r="S3688">
        <v>298.44</v>
      </c>
      <c r="T3688">
        <v>8356.24</v>
      </c>
      <c r="U3688" t="s">
        <v>2355</v>
      </c>
      <c r="V3688" t="s">
        <v>9408</v>
      </c>
      <c r="W3688" t="s">
        <v>423</v>
      </c>
    </row>
    <row r="3689" spans="1:23" hidden="1" x14ac:dyDescent="0.2">
      <c r="A3689">
        <v>2012</v>
      </c>
      <c r="B3689" t="s">
        <v>303</v>
      </c>
      <c r="C3689" s="733">
        <v>40938</v>
      </c>
      <c r="D36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89" t="s">
        <v>478</v>
      </c>
      <c r="F3689" t="s">
        <v>2136</v>
      </c>
      <c r="G3689" t="s">
        <v>5163</v>
      </c>
      <c r="H3689">
        <v>35043</v>
      </c>
      <c r="I3689" t="s">
        <v>423</v>
      </c>
      <c r="J3689" t="s">
        <v>2936</v>
      </c>
      <c r="K3689" t="s">
        <v>425</v>
      </c>
      <c r="L3689" t="s">
        <v>2145</v>
      </c>
      <c r="M3689">
        <v>604</v>
      </c>
      <c r="N3689">
        <v>26.25</v>
      </c>
      <c r="O3689">
        <v>8218.61</v>
      </c>
      <c r="P3689">
        <v>0</v>
      </c>
      <c r="Q3689">
        <v>8218.61</v>
      </c>
      <c r="R3689">
        <v>1314.98</v>
      </c>
      <c r="S3689">
        <v>328.74</v>
      </c>
      <c r="T3689">
        <v>9204.85</v>
      </c>
      <c r="U3689" t="s">
        <v>2938</v>
      </c>
      <c r="V3689" t="s">
        <v>9408</v>
      </c>
      <c r="W3689" t="s">
        <v>423</v>
      </c>
    </row>
    <row r="3690" spans="1:23" hidden="1" x14ac:dyDescent="0.2">
      <c r="A3690">
        <v>2012</v>
      </c>
      <c r="B3690" t="s">
        <v>303</v>
      </c>
      <c r="C3690" s="733">
        <v>40927</v>
      </c>
      <c r="D36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90" t="s">
        <v>478</v>
      </c>
      <c r="F3690" t="s">
        <v>2136</v>
      </c>
      <c r="G3690" t="s">
        <v>5164</v>
      </c>
      <c r="H3690">
        <v>34638</v>
      </c>
      <c r="I3690" t="s">
        <v>423</v>
      </c>
      <c r="J3690" t="s">
        <v>2936</v>
      </c>
      <c r="K3690" t="s">
        <v>425</v>
      </c>
      <c r="L3690" t="s">
        <v>2145</v>
      </c>
      <c r="M3690">
        <v>604</v>
      </c>
      <c r="N3690">
        <v>23.74</v>
      </c>
      <c r="O3690">
        <v>7432.76</v>
      </c>
      <c r="P3690">
        <v>0</v>
      </c>
      <c r="Q3690">
        <v>7432.76</v>
      </c>
      <c r="R3690">
        <v>1189.24</v>
      </c>
      <c r="S3690">
        <v>297.31</v>
      </c>
      <c r="T3690">
        <v>8324.69</v>
      </c>
      <c r="U3690" t="s">
        <v>2927</v>
      </c>
      <c r="V3690" t="s">
        <v>9408</v>
      </c>
      <c r="W3690" t="s">
        <v>423</v>
      </c>
    </row>
    <row r="3691" spans="1:23" hidden="1" x14ac:dyDescent="0.2">
      <c r="A3691">
        <v>2012</v>
      </c>
      <c r="B3691" t="s">
        <v>305</v>
      </c>
      <c r="C3691" s="733">
        <v>40970</v>
      </c>
      <c r="D3691" s="733" t="str">
        <f>CHOOSE(MONTH(Tabla_sqldatos_bonampakdb_Bon_v_ingresos2012[[#This Row],[fecha_guia]]),"Enero","Febrero","Marzo","Abril","Mayo","Junio","Julio","Agosto","Septiembre","Octubre","Noviembre","Diciembre")</f>
        <v>Marzo</v>
      </c>
      <c r="E3691" t="s">
        <v>478</v>
      </c>
      <c r="F3691" t="s">
        <v>2136</v>
      </c>
      <c r="G3691" t="s">
        <v>9722</v>
      </c>
      <c r="H3691">
        <v>36253</v>
      </c>
      <c r="I3691" t="s">
        <v>423</v>
      </c>
      <c r="J3691" t="s">
        <v>2936</v>
      </c>
      <c r="K3691" t="s">
        <v>425</v>
      </c>
      <c r="L3691" t="s">
        <v>2145</v>
      </c>
      <c r="M3691">
        <v>604</v>
      </c>
      <c r="N3691">
        <v>19.329999999999998</v>
      </c>
      <c r="O3691">
        <v>6052.03</v>
      </c>
      <c r="P3691">
        <v>0</v>
      </c>
      <c r="Q3691">
        <v>6052.03</v>
      </c>
      <c r="R3691">
        <v>968.32</v>
      </c>
      <c r="S3691">
        <v>242.08</v>
      </c>
      <c r="T3691">
        <v>6778.27</v>
      </c>
      <c r="V3691" t="s">
        <v>9408</v>
      </c>
      <c r="W3691" t="s">
        <v>423</v>
      </c>
    </row>
    <row r="3692" spans="1:23" hidden="1" x14ac:dyDescent="0.2">
      <c r="A3692">
        <v>2012</v>
      </c>
      <c r="B3692" t="s">
        <v>304</v>
      </c>
      <c r="C3692" s="733">
        <v>40966</v>
      </c>
      <c r="D36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92" t="s">
        <v>478</v>
      </c>
      <c r="F3692" t="s">
        <v>2136</v>
      </c>
      <c r="G3692" t="s">
        <v>9247</v>
      </c>
      <c r="H3692">
        <v>35959</v>
      </c>
      <c r="I3692" t="s">
        <v>423</v>
      </c>
      <c r="J3692" t="s">
        <v>2936</v>
      </c>
      <c r="K3692" t="s">
        <v>425</v>
      </c>
      <c r="L3692" t="s">
        <v>2145</v>
      </c>
      <c r="M3692">
        <v>604</v>
      </c>
      <c r="N3692">
        <v>24</v>
      </c>
      <c r="O3692">
        <v>7514.16</v>
      </c>
      <c r="P3692">
        <v>0</v>
      </c>
      <c r="Q3692">
        <v>7514.16</v>
      </c>
      <c r="R3692">
        <v>1202.27</v>
      </c>
      <c r="S3692">
        <v>300.57</v>
      </c>
      <c r="T3692">
        <v>8415.86</v>
      </c>
      <c r="U3692" t="s">
        <v>9457</v>
      </c>
      <c r="V3692" t="s">
        <v>9408</v>
      </c>
      <c r="W3692" t="s">
        <v>423</v>
      </c>
    </row>
    <row r="3693" spans="1:23" hidden="1" x14ac:dyDescent="0.2">
      <c r="A3693">
        <v>2012</v>
      </c>
      <c r="B3693" t="s">
        <v>304</v>
      </c>
      <c r="C3693" s="733">
        <v>40941</v>
      </c>
      <c r="D36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93" t="s">
        <v>478</v>
      </c>
      <c r="F3693" t="s">
        <v>2136</v>
      </c>
      <c r="G3693" t="s">
        <v>5308</v>
      </c>
      <c r="H3693">
        <v>35207</v>
      </c>
      <c r="I3693" t="s">
        <v>423</v>
      </c>
      <c r="J3693" t="s">
        <v>2936</v>
      </c>
      <c r="K3693" t="s">
        <v>425</v>
      </c>
      <c r="L3693" t="s">
        <v>2145</v>
      </c>
      <c r="M3693">
        <v>604</v>
      </c>
      <c r="N3693">
        <v>53.71</v>
      </c>
      <c r="O3693">
        <v>16816.060000000001</v>
      </c>
      <c r="P3693">
        <v>0</v>
      </c>
      <c r="Q3693">
        <v>16816.060000000001</v>
      </c>
      <c r="R3693">
        <v>2690.57</v>
      </c>
      <c r="S3693">
        <v>672.64</v>
      </c>
      <c r="T3693">
        <v>18833.990000000002</v>
      </c>
      <c r="U3693" t="s">
        <v>2914</v>
      </c>
      <c r="V3693" t="s">
        <v>9409</v>
      </c>
      <c r="W3693" t="s">
        <v>423</v>
      </c>
    </row>
    <row r="3694" spans="1:23" hidden="1" x14ac:dyDescent="0.2">
      <c r="A3694">
        <v>2012</v>
      </c>
      <c r="B3694" t="s">
        <v>304</v>
      </c>
      <c r="C3694" s="733">
        <v>40942.399583333332</v>
      </c>
      <c r="D36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94" t="s">
        <v>478</v>
      </c>
      <c r="F3694" t="s">
        <v>2136</v>
      </c>
      <c r="G3694" t="s">
        <v>5294</v>
      </c>
      <c r="H3694">
        <v>35274</v>
      </c>
      <c r="I3694" t="s">
        <v>423</v>
      </c>
      <c r="J3694" t="s">
        <v>4270</v>
      </c>
      <c r="K3694" t="s">
        <v>425</v>
      </c>
      <c r="L3694" t="s">
        <v>2145</v>
      </c>
      <c r="M3694">
        <v>560</v>
      </c>
      <c r="N3694">
        <v>30.5</v>
      </c>
      <c r="O3694">
        <v>9744.75</v>
      </c>
      <c r="P3694">
        <v>0</v>
      </c>
      <c r="Q3694">
        <v>9744.75</v>
      </c>
      <c r="R3694">
        <v>1559.16</v>
      </c>
      <c r="S3694">
        <v>389.79</v>
      </c>
      <c r="T3694">
        <v>10914.12</v>
      </c>
      <c r="U3694" t="s">
        <v>2938</v>
      </c>
      <c r="V3694" t="s">
        <v>9408</v>
      </c>
      <c r="W3694" t="s">
        <v>423</v>
      </c>
    </row>
    <row r="3695" spans="1:23" hidden="1" x14ac:dyDescent="0.2">
      <c r="A3695">
        <v>2012</v>
      </c>
      <c r="B3695" t="s">
        <v>303</v>
      </c>
      <c r="C3695" s="733">
        <v>40933</v>
      </c>
      <c r="D36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95" t="s">
        <v>478</v>
      </c>
      <c r="F3695" t="s">
        <v>2136</v>
      </c>
      <c r="G3695" t="s">
        <v>5295</v>
      </c>
      <c r="H3695">
        <v>34876</v>
      </c>
      <c r="I3695" t="s">
        <v>423</v>
      </c>
      <c r="J3695" t="s">
        <v>4270</v>
      </c>
      <c r="K3695" t="s">
        <v>425</v>
      </c>
      <c r="L3695" t="s">
        <v>2145</v>
      </c>
      <c r="M3695">
        <v>560</v>
      </c>
      <c r="N3695">
        <v>23.4</v>
      </c>
      <c r="O3695">
        <v>7476.3</v>
      </c>
      <c r="P3695">
        <v>0</v>
      </c>
      <c r="Q3695">
        <v>7476.3</v>
      </c>
      <c r="R3695">
        <v>1196.21</v>
      </c>
      <c r="S3695">
        <v>299.05</v>
      </c>
      <c r="T3695">
        <v>8373.4599999999991</v>
      </c>
      <c r="U3695" t="s">
        <v>2355</v>
      </c>
      <c r="V3695" t="s">
        <v>9409</v>
      </c>
      <c r="W3695" t="s">
        <v>423</v>
      </c>
    </row>
    <row r="3696" spans="1:23" hidden="1" x14ac:dyDescent="0.2">
      <c r="A3696">
        <v>2012</v>
      </c>
      <c r="B3696" t="s">
        <v>303</v>
      </c>
      <c r="C3696" s="733">
        <v>40913</v>
      </c>
      <c r="D36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96" t="s">
        <v>478</v>
      </c>
      <c r="F3696" t="s">
        <v>2136</v>
      </c>
      <c r="G3696" t="s">
        <v>5162</v>
      </c>
      <c r="H3696">
        <v>34234</v>
      </c>
      <c r="I3696" t="s">
        <v>423</v>
      </c>
      <c r="J3696" t="s">
        <v>3329</v>
      </c>
      <c r="K3696" t="s">
        <v>425</v>
      </c>
      <c r="L3696" t="s">
        <v>2145</v>
      </c>
      <c r="M3696">
        <v>596</v>
      </c>
      <c r="N3696">
        <v>27.94</v>
      </c>
      <c r="O3696">
        <v>3817.16</v>
      </c>
      <c r="P3696">
        <v>4297.7022720000004</v>
      </c>
      <c r="Q3696">
        <v>8114.8622720000003</v>
      </c>
      <c r="R3696">
        <v>1298.377964</v>
      </c>
      <c r="S3696">
        <v>324.594491</v>
      </c>
      <c r="T3696">
        <v>9088.6457449999998</v>
      </c>
      <c r="U3696" t="s">
        <v>2150</v>
      </c>
      <c r="V3696" t="s">
        <v>9408</v>
      </c>
      <c r="W3696" t="s">
        <v>423</v>
      </c>
    </row>
    <row r="3697" spans="1:23" hidden="1" x14ac:dyDescent="0.2">
      <c r="A3697">
        <v>2012</v>
      </c>
      <c r="B3697" t="s">
        <v>303</v>
      </c>
      <c r="C3697" s="733">
        <v>40933</v>
      </c>
      <c r="D36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97" t="s">
        <v>478</v>
      </c>
      <c r="F3697" t="s">
        <v>2136</v>
      </c>
      <c r="G3697" t="s">
        <v>5306</v>
      </c>
      <c r="H3697">
        <v>34874</v>
      </c>
      <c r="I3697" t="s">
        <v>423</v>
      </c>
      <c r="J3697" t="s">
        <v>5307</v>
      </c>
      <c r="K3697" t="s">
        <v>425</v>
      </c>
      <c r="L3697" t="s">
        <v>2145</v>
      </c>
      <c r="M3697">
        <v>1365</v>
      </c>
      <c r="N3697">
        <v>47.18</v>
      </c>
      <c r="O3697">
        <v>42782.35</v>
      </c>
      <c r="P3697">
        <v>0</v>
      </c>
      <c r="Q3697">
        <v>42782.35</v>
      </c>
      <c r="R3697">
        <v>6845.18</v>
      </c>
      <c r="S3697">
        <v>1711.29</v>
      </c>
      <c r="T3697">
        <v>47916.24</v>
      </c>
      <c r="U3697" t="s">
        <v>3234</v>
      </c>
      <c r="V3697" t="s">
        <v>9409</v>
      </c>
      <c r="W3697" t="s">
        <v>423</v>
      </c>
    </row>
    <row r="3698" spans="1:23" hidden="1" x14ac:dyDescent="0.2">
      <c r="A3698">
        <v>2012</v>
      </c>
      <c r="B3698" t="s">
        <v>304</v>
      </c>
      <c r="C3698" s="733">
        <v>40960</v>
      </c>
      <c r="D36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698" t="s">
        <v>478</v>
      </c>
      <c r="F3698" t="s">
        <v>2136</v>
      </c>
      <c r="G3698" t="s">
        <v>8313</v>
      </c>
      <c r="H3698">
        <v>35828</v>
      </c>
      <c r="I3698" t="s">
        <v>423</v>
      </c>
      <c r="J3698" t="s">
        <v>4270</v>
      </c>
      <c r="K3698" t="s">
        <v>425</v>
      </c>
      <c r="L3698" t="s">
        <v>2145</v>
      </c>
      <c r="M3698">
        <v>560</v>
      </c>
      <c r="N3698">
        <v>21.76</v>
      </c>
      <c r="O3698">
        <v>6952.32</v>
      </c>
      <c r="P3698">
        <v>0</v>
      </c>
      <c r="Q3698">
        <v>6952.32</v>
      </c>
      <c r="R3698">
        <v>1112.3699999999999</v>
      </c>
      <c r="S3698">
        <v>278.08999999999997</v>
      </c>
      <c r="T3698">
        <v>7786.6</v>
      </c>
      <c r="U3698" t="s">
        <v>8510</v>
      </c>
      <c r="V3698" t="s">
        <v>9408</v>
      </c>
      <c r="W3698" t="s">
        <v>423</v>
      </c>
    </row>
    <row r="3699" spans="1:23" hidden="1" x14ac:dyDescent="0.2">
      <c r="A3699">
        <v>2012</v>
      </c>
      <c r="B3699" t="s">
        <v>303</v>
      </c>
      <c r="C3699" s="733">
        <v>40934</v>
      </c>
      <c r="D36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699" t="s">
        <v>505</v>
      </c>
      <c r="F3699" t="s">
        <v>1915</v>
      </c>
      <c r="G3699" t="s">
        <v>5509</v>
      </c>
      <c r="H3699">
        <v>22250</v>
      </c>
      <c r="I3699" t="s">
        <v>423</v>
      </c>
      <c r="J3699" t="s">
        <v>5251</v>
      </c>
      <c r="K3699" t="s">
        <v>1918</v>
      </c>
      <c r="L3699" t="s">
        <v>1919</v>
      </c>
      <c r="M3699">
        <v>307</v>
      </c>
      <c r="N3699">
        <v>27.21</v>
      </c>
      <c r="O3699">
        <v>6117.9</v>
      </c>
      <c r="P3699">
        <v>0</v>
      </c>
      <c r="Q3699">
        <v>6117.9</v>
      </c>
      <c r="R3699">
        <v>978.86</v>
      </c>
      <c r="S3699">
        <v>244.72</v>
      </c>
      <c r="T3699">
        <v>6852.04</v>
      </c>
      <c r="U3699" t="s">
        <v>1926</v>
      </c>
      <c r="V3699" t="s">
        <v>9408</v>
      </c>
      <c r="W3699" t="s">
        <v>423</v>
      </c>
    </row>
    <row r="3700" spans="1:23" hidden="1" x14ac:dyDescent="0.2">
      <c r="A3700">
        <v>2012</v>
      </c>
      <c r="B3700" t="s">
        <v>303</v>
      </c>
      <c r="C3700" s="733">
        <v>40938</v>
      </c>
      <c r="D37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00" t="s">
        <v>505</v>
      </c>
      <c r="F3700" t="s">
        <v>1915</v>
      </c>
      <c r="G3700" t="s">
        <v>5510</v>
      </c>
      <c r="H3700">
        <v>22247</v>
      </c>
      <c r="I3700" t="s">
        <v>1979</v>
      </c>
      <c r="J3700" t="s">
        <v>4254</v>
      </c>
      <c r="K3700" t="s">
        <v>1918</v>
      </c>
      <c r="L3700" t="s">
        <v>1919</v>
      </c>
      <c r="M3700">
        <v>2819</v>
      </c>
      <c r="N3700">
        <v>50.15</v>
      </c>
      <c r="O3700">
        <v>58445.31</v>
      </c>
      <c r="P3700">
        <v>0</v>
      </c>
      <c r="Q3700">
        <v>58445.31</v>
      </c>
      <c r="R3700">
        <v>9351.25</v>
      </c>
      <c r="S3700">
        <v>2337.81</v>
      </c>
      <c r="T3700">
        <v>65458.75</v>
      </c>
      <c r="U3700" t="s">
        <v>1936</v>
      </c>
      <c r="V3700" t="s">
        <v>9409</v>
      </c>
      <c r="W3700" t="s">
        <v>1979</v>
      </c>
    </row>
    <row r="3701" spans="1:23" hidden="1" x14ac:dyDescent="0.2">
      <c r="A3701">
        <v>2012</v>
      </c>
      <c r="B3701" t="s">
        <v>304</v>
      </c>
      <c r="C3701" s="733">
        <v>40946</v>
      </c>
      <c r="D37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01" t="s">
        <v>505</v>
      </c>
      <c r="F3701" t="s">
        <v>1915</v>
      </c>
      <c r="G3701" t="s">
        <v>5316</v>
      </c>
      <c r="H3701">
        <v>22490</v>
      </c>
      <c r="I3701" t="s">
        <v>423</v>
      </c>
      <c r="J3701" t="s">
        <v>3207</v>
      </c>
      <c r="K3701" t="s">
        <v>1918</v>
      </c>
      <c r="L3701" t="s">
        <v>1919</v>
      </c>
      <c r="M3701">
        <v>334</v>
      </c>
      <c r="N3701">
        <v>49.69</v>
      </c>
      <c r="O3701">
        <v>13721.4</v>
      </c>
      <c r="P3701">
        <v>0</v>
      </c>
      <c r="Q3701">
        <v>13721.4</v>
      </c>
      <c r="R3701">
        <v>2195.42</v>
      </c>
      <c r="S3701">
        <v>548.86</v>
      </c>
      <c r="T3701">
        <v>15367.96</v>
      </c>
      <c r="U3701" t="s">
        <v>1924</v>
      </c>
      <c r="V3701" t="s">
        <v>9409</v>
      </c>
      <c r="W3701" t="s">
        <v>423</v>
      </c>
    </row>
    <row r="3702" spans="1:23" hidden="1" x14ac:dyDescent="0.2">
      <c r="A3702">
        <v>2012</v>
      </c>
      <c r="B3702" t="s">
        <v>303</v>
      </c>
      <c r="C3702" s="733">
        <v>40922</v>
      </c>
      <c r="D37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02" t="s">
        <v>505</v>
      </c>
      <c r="F3702" t="s">
        <v>1915</v>
      </c>
      <c r="G3702" t="s">
        <v>3662</v>
      </c>
      <c r="H3702">
        <v>21958</v>
      </c>
      <c r="I3702" t="s">
        <v>423</v>
      </c>
      <c r="J3702" t="s">
        <v>3207</v>
      </c>
      <c r="K3702" t="s">
        <v>1918</v>
      </c>
      <c r="L3702" t="s">
        <v>1919</v>
      </c>
      <c r="M3702">
        <v>334</v>
      </c>
      <c r="N3702">
        <v>24.89</v>
      </c>
      <c r="O3702">
        <v>6873.12</v>
      </c>
      <c r="P3702">
        <v>0</v>
      </c>
      <c r="Q3702">
        <v>6873.12</v>
      </c>
      <c r="R3702">
        <v>1099.7</v>
      </c>
      <c r="S3702">
        <v>274.92</v>
      </c>
      <c r="T3702">
        <v>7697.9</v>
      </c>
      <c r="U3702" t="s">
        <v>1931</v>
      </c>
      <c r="V3702" t="s">
        <v>9408</v>
      </c>
      <c r="W3702" t="s">
        <v>423</v>
      </c>
    </row>
    <row r="3703" spans="1:23" hidden="1" x14ac:dyDescent="0.2">
      <c r="A3703">
        <v>2012</v>
      </c>
      <c r="B3703" t="s">
        <v>304</v>
      </c>
      <c r="C3703" s="733">
        <v>40967.367766203701</v>
      </c>
      <c r="D37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03" t="s">
        <v>478</v>
      </c>
      <c r="F3703" t="s">
        <v>2136</v>
      </c>
      <c r="G3703" t="s">
        <v>8916</v>
      </c>
      <c r="H3703">
        <v>36083</v>
      </c>
      <c r="I3703" t="s">
        <v>423</v>
      </c>
      <c r="J3703" t="s">
        <v>3797</v>
      </c>
      <c r="K3703" t="s">
        <v>3481</v>
      </c>
      <c r="L3703" t="s">
        <v>3482</v>
      </c>
      <c r="M3703">
        <v>266</v>
      </c>
      <c r="N3703">
        <v>27.664999999999999</v>
      </c>
      <c r="O3703">
        <v>6178.15</v>
      </c>
      <c r="P3703">
        <v>0</v>
      </c>
      <c r="Q3703">
        <v>6178.15</v>
      </c>
      <c r="R3703">
        <v>988.5</v>
      </c>
      <c r="S3703">
        <v>247.13</v>
      </c>
      <c r="T3703">
        <v>6919.52</v>
      </c>
      <c r="U3703" t="s">
        <v>9462</v>
      </c>
      <c r="V3703" t="s">
        <v>9408</v>
      </c>
      <c r="W3703" t="s">
        <v>423</v>
      </c>
    </row>
    <row r="3704" spans="1:23" hidden="1" x14ac:dyDescent="0.2">
      <c r="A3704">
        <v>2012</v>
      </c>
      <c r="B3704" t="s">
        <v>304</v>
      </c>
      <c r="C3704" s="733">
        <v>40954</v>
      </c>
      <c r="D37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04" t="s">
        <v>478</v>
      </c>
      <c r="F3704" t="s">
        <v>2136</v>
      </c>
      <c r="G3704" t="s">
        <v>7903</v>
      </c>
      <c r="H3704">
        <v>35551</v>
      </c>
      <c r="I3704" t="s">
        <v>423</v>
      </c>
      <c r="J3704" t="s">
        <v>4276</v>
      </c>
      <c r="K3704" t="s">
        <v>425</v>
      </c>
      <c r="L3704" t="s">
        <v>2145</v>
      </c>
      <c r="M3704">
        <v>60</v>
      </c>
      <c r="N3704">
        <v>42.68</v>
      </c>
      <c r="O3704">
        <v>5729.79</v>
      </c>
      <c r="P3704">
        <v>0</v>
      </c>
      <c r="Q3704">
        <v>5729.79</v>
      </c>
      <c r="R3704">
        <v>916.77</v>
      </c>
      <c r="S3704">
        <v>229.19</v>
      </c>
      <c r="T3704">
        <v>6417.37</v>
      </c>
      <c r="U3704" t="s">
        <v>7523</v>
      </c>
      <c r="V3704" t="s">
        <v>9409</v>
      </c>
      <c r="W3704" t="s">
        <v>423</v>
      </c>
    </row>
    <row r="3705" spans="1:23" hidden="1" x14ac:dyDescent="0.2">
      <c r="A3705">
        <v>2012</v>
      </c>
      <c r="B3705" t="s">
        <v>303</v>
      </c>
      <c r="C3705" s="733">
        <v>40935</v>
      </c>
      <c r="D37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05" t="s">
        <v>505</v>
      </c>
      <c r="F3705" t="s">
        <v>1915</v>
      </c>
      <c r="G3705" t="s">
        <v>2045</v>
      </c>
      <c r="H3705">
        <v>22297</v>
      </c>
      <c r="I3705" t="s">
        <v>423</v>
      </c>
      <c r="J3705" t="s">
        <v>1947</v>
      </c>
      <c r="K3705" t="s">
        <v>1918</v>
      </c>
      <c r="L3705" t="s">
        <v>1919</v>
      </c>
      <c r="M3705">
        <v>973</v>
      </c>
      <c r="N3705">
        <v>49.91</v>
      </c>
      <c r="O3705">
        <v>29145.439999999999</v>
      </c>
      <c r="P3705">
        <v>0</v>
      </c>
      <c r="Q3705">
        <v>29145.439999999999</v>
      </c>
      <c r="R3705">
        <v>4663.2700000000004</v>
      </c>
      <c r="S3705">
        <v>1165.82</v>
      </c>
      <c r="T3705">
        <v>32642.89</v>
      </c>
      <c r="U3705" t="s">
        <v>1926</v>
      </c>
      <c r="V3705" t="s">
        <v>9409</v>
      </c>
      <c r="W3705" t="s">
        <v>423</v>
      </c>
    </row>
    <row r="3706" spans="1:23" hidden="1" x14ac:dyDescent="0.2">
      <c r="A3706">
        <v>2012</v>
      </c>
      <c r="B3706" t="s">
        <v>305</v>
      </c>
      <c r="C3706" s="733">
        <v>40969</v>
      </c>
      <c r="D3706" s="733" t="str">
        <f>CHOOSE(MONTH(Tabla_sqldatos_bonampakdb_Bon_v_ingresos2012[[#This Row],[fecha_guia]]),"Enero","Febrero","Marzo","Abril","Mayo","Junio","Julio","Agosto","Septiembre","Octubre","Noviembre","Diciembre")</f>
        <v>Marzo</v>
      </c>
      <c r="E3706" t="s">
        <v>505</v>
      </c>
      <c r="F3706" t="s">
        <v>1915</v>
      </c>
      <c r="G3706" t="s">
        <v>9628</v>
      </c>
      <c r="H3706">
        <v>23117</v>
      </c>
      <c r="I3706" t="s">
        <v>423</v>
      </c>
      <c r="J3706" t="s">
        <v>4158</v>
      </c>
      <c r="K3706" t="s">
        <v>1918</v>
      </c>
      <c r="L3706" t="s">
        <v>1919</v>
      </c>
      <c r="M3706">
        <v>274</v>
      </c>
      <c r="N3706">
        <v>26.6</v>
      </c>
      <c r="O3706">
        <v>7344.26</v>
      </c>
      <c r="P3706">
        <v>0</v>
      </c>
      <c r="Q3706">
        <v>7344.26</v>
      </c>
      <c r="R3706">
        <v>1175.08</v>
      </c>
      <c r="S3706">
        <v>293.77</v>
      </c>
      <c r="T3706">
        <v>8225.57</v>
      </c>
      <c r="V3706" t="s">
        <v>9408</v>
      </c>
      <c r="W3706" t="s">
        <v>423</v>
      </c>
    </row>
    <row r="3707" spans="1:23" hidden="1" x14ac:dyDescent="0.2">
      <c r="A3707">
        <v>2012</v>
      </c>
      <c r="B3707" t="s">
        <v>304</v>
      </c>
      <c r="C3707" s="733">
        <v>40967</v>
      </c>
      <c r="D37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07" t="s">
        <v>505</v>
      </c>
      <c r="F3707" t="s">
        <v>1915</v>
      </c>
      <c r="G3707" t="s">
        <v>9159</v>
      </c>
      <c r="H3707">
        <v>23066</v>
      </c>
      <c r="I3707" t="s">
        <v>423</v>
      </c>
      <c r="J3707" t="s">
        <v>4158</v>
      </c>
      <c r="K3707" t="s">
        <v>1918</v>
      </c>
      <c r="L3707" t="s">
        <v>1919</v>
      </c>
      <c r="M3707">
        <v>274</v>
      </c>
      <c r="N3707">
        <v>25.51</v>
      </c>
      <c r="O3707">
        <v>7043.31</v>
      </c>
      <c r="P3707">
        <v>0</v>
      </c>
      <c r="Q3707">
        <v>7043.31</v>
      </c>
      <c r="R3707">
        <v>1126.93</v>
      </c>
      <c r="S3707">
        <v>281.73</v>
      </c>
      <c r="T3707">
        <v>7888.51</v>
      </c>
      <c r="V3707" t="s">
        <v>9408</v>
      </c>
      <c r="W3707" t="s">
        <v>423</v>
      </c>
    </row>
    <row r="3708" spans="1:23" hidden="1" x14ac:dyDescent="0.2">
      <c r="A3708">
        <v>2012</v>
      </c>
      <c r="B3708" t="s">
        <v>304</v>
      </c>
      <c r="C3708" s="733">
        <v>40955.565844907411</v>
      </c>
      <c r="D37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08" t="s">
        <v>485</v>
      </c>
      <c r="F3708" t="s">
        <v>2054</v>
      </c>
      <c r="G3708" t="s">
        <v>7996</v>
      </c>
      <c r="H3708">
        <v>10458</v>
      </c>
      <c r="I3708" t="s">
        <v>423</v>
      </c>
      <c r="J3708" t="s">
        <v>2056</v>
      </c>
      <c r="K3708" t="s">
        <v>2057</v>
      </c>
      <c r="L3708" t="s">
        <v>2058</v>
      </c>
      <c r="M3708">
        <v>19</v>
      </c>
      <c r="N3708">
        <v>47.17</v>
      </c>
      <c r="O3708">
        <v>5324.08</v>
      </c>
      <c r="P3708">
        <v>0</v>
      </c>
      <c r="Q3708">
        <v>5324.08</v>
      </c>
      <c r="R3708">
        <v>585.65</v>
      </c>
      <c r="S3708">
        <v>212.96</v>
      </c>
      <c r="T3708">
        <v>5696.77</v>
      </c>
      <c r="U3708" t="s">
        <v>8864</v>
      </c>
      <c r="V3708" t="s">
        <v>9409</v>
      </c>
      <c r="W3708" t="s">
        <v>423</v>
      </c>
    </row>
    <row r="3709" spans="1:23" hidden="1" x14ac:dyDescent="0.2">
      <c r="A3709">
        <v>2012</v>
      </c>
      <c r="B3709" t="s">
        <v>303</v>
      </c>
      <c r="C3709" s="733">
        <v>40919</v>
      </c>
      <c r="D37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09" t="s">
        <v>485</v>
      </c>
      <c r="F3709" t="s">
        <v>2054</v>
      </c>
      <c r="G3709" t="s">
        <v>6120</v>
      </c>
      <c r="H3709">
        <v>9964</v>
      </c>
      <c r="I3709" t="s">
        <v>423</v>
      </c>
      <c r="J3709" t="s">
        <v>2056</v>
      </c>
      <c r="K3709" t="s">
        <v>2057</v>
      </c>
      <c r="L3709" t="s">
        <v>2058</v>
      </c>
      <c r="M3709">
        <v>19</v>
      </c>
      <c r="N3709">
        <v>23.12</v>
      </c>
      <c r="O3709">
        <v>2609.5500000000002</v>
      </c>
      <c r="P3709">
        <v>0</v>
      </c>
      <c r="Q3709">
        <v>2609.5500000000002</v>
      </c>
      <c r="R3709">
        <v>417.53</v>
      </c>
      <c r="S3709">
        <v>104.38</v>
      </c>
      <c r="T3709">
        <v>2922.7</v>
      </c>
      <c r="U3709" t="s">
        <v>2070</v>
      </c>
      <c r="V3709" t="s">
        <v>9408</v>
      </c>
      <c r="W3709" t="s">
        <v>423</v>
      </c>
    </row>
    <row r="3710" spans="1:23" hidden="1" x14ac:dyDescent="0.2">
      <c r="A3710">
        <v>2012</v>
      </c>
      <c r="B3710" t="s">
        <v>304</v>
      </c>
      <c r="C3710" s="733">
        <v>40954.710659722223</v>
      </c>
      <c r="D37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10" t="s">
        <v>485</v>
      </c>
      <c r="F3710" t="s">
        <v>2054</v>
      </c>
      <c r="G3710" t="s">
        <v>7992</v>
      </c>
      <c r="H3710">
        <v>10444</v>
      </c>
      <c r="I3710" t="s">
        <v>423</v>
      </c>
      <c r="J3710" t="s">
        <v>2056</v>
      </c>
      <c r="K3710" t="s">
        <v>2057</v>
      </c>
      <c r="L3710" t="s">
        <v>2058</v>
      </c>
      <c r="M3710">
        <v>19</v>
      </c>
      <c r="N3710">
        <v>23.86</v>
      </c>
      <c r="O3710">
        <v>2693.08</v>
      </c>
      <c r="P3710">
        <v>0</v>
      </c>
      <c r="Q3710">
        <v>2693.08</v>
      </c>
      <c r="R3710">
        <v>296.24</v>
      </c>
      <c r="S3710">
        <v>107.72</v>
      </c>
      <c r="T3710">
        <v>2881.6</v>
      </c>
      <c r="U3710" t="s">
        <v>8047</v>
      </c>
      <c r="V3710" t="s">
        <v>9408</v>
      </c>
      <c r="W3710" t="s">
        <v>423</v>
      </c>
    </row>
    <row r="3711" spans="1:23" hidden="1" x14ac:dyDescent="0.2">
      <c r="A3711">
        <v>2012</v>
      </c>
      <c r="B3711" t="s">
        <v>303</v>
      </c>
      <c r="C3711" s="733">
        <v>40929</v>
      </c>
      <c r="D37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11" t="s">
        <v>485</v>
      </c>
      <c r="F3711" t="s">
        <v>2054</v>
      </c>
      <c r="G3711" t="s">
        <v>6121</v>
      </c>
      <c r="H3711">
        <v>10158</v>
      </c>
      <c r="I3711" t="s">
        <v>423</v>
      </c>
      <c r="J3711" t="s">
        <v>2056</v>
      </c>
      <c r="K3711" t="s">
        <v>2057</v>
      </c>
      <c r="L3711" t="s">
        <v>2058</v>
      </c>
      <c r="M3711">
        <v>19</v>
      </c>
      <c r="N3711">
        <v>32.54</v>
      </c>
      <c r="O3711">
        <v>3672.79</v>
      </c>
      <c r="P3711">
        <v>0</v>
      </c>
      <c r="Q3711">
        <v>3672.79</v>
      </c>
      <c r="R3711">
        <v>587.65</v>
      </c>
      <c r="S3711">
        <v>146.91</v>
      </c>
      <c r="T3711">
        <v>4113.53</v>
      </c>
      <c r="U3711" t="s">
        <v>2077</v>
      </c>
      <c r="V3711" t="s">
        <v>9408</v>
      </c>
      <c r="W3711" t="s">
        <v>423</v>
      </c>
    </row>
    <row r="3712" spans="1:23" hidden="1" x14ac:dyDescent="0.2">
      <c r="A3712">
        <v>2012</v>
      </c>
      <c r="B3712" t="s">
        <v>304</v>
      </c>
      <c r="C3712" s="733">
        <v>40955</v>
      </c>
      <c r="D37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12" t="s">
        <v>485</v>
      </c>
      <c r="F3712" t="s">
        <v>2065</v>
      </c>
      <c r="G3712" t="s">
        <v>7530</v>
      </c>
      <c r="H3712">
        <v>42062</v>
      </c>
      <c r="I3712" t="s">
        <v>2821</v>
      </c>
      <c r="J3712" t="s">
        <v>5705</v>
      </c>
      <c r="K3712" t="s">
        <v>4524</v>
      </c>
      <c r="L3712" t="s">
        <v>2184</v>
      </c>
      <c r="M3712">
        <v>1467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V3712" t="s">
        <v>9409</v>
      </c>
      <c r="W3712" t="s">
        <v>2821</v>
      </c>
    </row>
    <row r="3713" spans="1:23" hidden="1" x14ac:dyDescent="0.2">
      <c r="A3713">
        <v>2012</v>
      </c>
      <c r="B3713" t="s">
        <v>304</v>
      </c>
      <c r="C3713" s="733">
        <v>40946</v>
      </c>
      <c r="D37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13" t="s">
        <v>505</v>
      </c>
      <c r="F3713" t="s">
        <v>1915</v>
      </c>
      <c r="G3713" t="s">
        <v>6722</v>
      </c>
      <c r="H3713">
        <v>22474</v>
      </c>
      <c r="I3713" t="s">
        <v>423</v>
      </c>
      <c r="J3713" t="s">
        <v>5504</v>
      </c>
      <c r="K3713" t="s">
        <v>1918</v>
      </c>
      <c r="L3713" t="s">
        <v>1919</v>
      </c>
      <c r="M3713">
        <v>1115</v>
      </c>
      <c r="N3713">
        <v>25.3</v>
      </c>
      <c r="O3713">
        <v>18668.11</v>
      </c>
      <c r="P3713">
        <v>0</v>
      </c>
      <c r="Q3713">
        <v>18668.11</v>
      </c>
      <c r="R3713">
        <v>2986.9</v>
      </c>
      <c r="S3713">
        <v>746.72</v>
      </c>
      <c r="T3713">
        <v>20908.29</v>
      </c>
      <c r="U3713" t="s">
        <v>1924</v>
      </c>
      <c r="V3713" t="s">
        <v>9408</v>
      </c>
      <c r="W3713" t="s">
        <v>423</v>
      </c>
    </row>
    <row r="3714" spans="1:23" hidden="1" x14ac:dyDescent="0.2">
      <c r="A3714">
        <v>2012</v>
      </c>
      <c r="B3714" t="s">
        <v>304</v>
      </c>
      <c r="C3714" s="733">
        <v>40946</v>
      </c>
      <c r="D37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14" t="s">
        <v>505</v>
      </c>
      <c r="F3714" t="s">
        <v>1915</v>
      </c>
      <c r="G3714" t="s">
        <v>6721</v>
      </c>
      <c r="H3714">
        <v>22431</v>
      </c>
      <c r="I3714" t="s">
        <v>423</v>
      </c>
      <c r="J3714" t="s">
        <v>5504</v>
      </c>
      <c r="K3714" t="s">
        <v>1918</v>
      </c>
      <c r="L3714" t="s">
        <v>1919</v>
      </c>
      <c r="M3714">
        <v>1115</v>
      </c>
      <c r="N3714">
        <v>26.63</v>
      </c>
      <c r="O3714">
        <v>19649.48</v>
      </c>
      <c r="P3714">
        <v>0</v>
      </c>
      <c r="Q3714">
        <v>19649.48</v>
      </c>
      <c r="R3714">
        <v>3143.92</v>
      </c>
      <c r="S3714">
        <v>785.98</v>
      </c>
      <c r="T3714">
        <v>22007.42</v>
      </c>
      <c r="U3714" t="s">
        <v>1924</v>
      </c>
      <c r="V3714" t="s">
        <v>9408</v>
      </c>
      <c r="W3714" t="s">
        <v>423</v>
      </c>
    </row>
    <row r="3715" spans="1:23" hidden="1" x14ac:dyDescent="0.2">
      <c r="A3715">
        <v>2012</v>
      </c>
      <c r="B3715" t="s">
        <v>303</v>
      </c>
      <c r="C3715" s="733">
        <v>40910</v>
      </c>
      <c r="D37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15" t="s">
        <v>478</v>
      </c>
      <c r="F3715" t="s">
        <v>2622</v>
      </c>
      <c r="G3715" t="s">
        <v>2664</v>
      </c>
      <c r="H3715">
        <v>34168</v>
      </c>
      <c r="I3715" t="s">
        <v>423</v>
      </c>
      <c r="J3715" t="s">
        <v>2662</v>
      </c>
      <c r="K3715" t="s">
        <v>2625</v>
      </c>
      <c r="L3715" t="s">
        <v>2626</v>
      </c>
      <c r="M3715">
        <v>66</v>
      </c>
      <c r="N3715">
        <v>26.43</v>
      </c>
      <c r="O3715">
        <v>1541.4</v>
      </c>
      <c r="P3715">
        <v>1243.462794</v>
      </c>
      <c r="Q3715">
        <v>2784.8627940000001</v>
      </c>
      <c r="R3715">
        <v>445.57804700000003</v>
      </c>
      <c r="S3715">
        <v>111.39451200000001</v>
      </c>
      <c r="T3715">
        <v>3119.0463289999998</v>
      </c>
      <c r="U3715" t="s">
        <v>2665</v>
      </c>
      <c r="V3715" t="s">
        <v>9408</v>
      </c>
      <c r="W3715" t="s">
        <v>423</v>
      </c>
    </row>
    <row r="3716" spans="1:23" hidden="1" x14ac:dyDescent="0.2">
      <c r="A3716">
        <v>2012</v>
      </c>
      <c r="B3716" t="s">
        <v>303</v>
      </c>
      <c r="C3716" s="733">
        <v>40935.845000000001</v>
      </c>
      <c r="D37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16" t="s">
        <v>478</v>
      </c>
      <c r="F3716" t="s">
        <v>2622</v>
      </c>
      <c r="G3716" t="s">
        <v>2666</v>
      </c>
      <c r="H3716">
        <v>35013</v>
      </c>
      <c r="I3716" t="s">
        <v>423</v>
      </c>
      <c r="J3716" t="s">
        <v>2662</v>
      </c>
      <c r="K3716" t="s">
        <v>2625</v>
      </c>
      <c r="L3716" t="s">
        <v>2626</v>
      </c>
      <c r="M3716">
        <v>66</v>
      </c>
      <c r="N3716">
        <v>25.4</v>
      </c>
      <c r="O3716">
        <v>2990.34</v>
      </c>
      <c r="P3716">
        <v>0</v>
      </c>
      <c r="Q3716">
        <v>2990.34</v>
      </c>
      <c r="R3716">
        <v>478.45</v>
      </c>
      <c r="S3716">
        <v>119.61</v>
      </c>
      <c r="T3716">
        <v>3349.18</v>
      </c>
      <c r="U3716" t="s">
        <v>7548</v>
      </c>
      <c r="V3716" t="s">
        <v>9408</v>
      </c>
      <c r="W3716" t="s">
        <v>423</v>
      </c>
    </row>
    <row r="3717" spans="1:23" hidden="1" x14ac:dyDescent="0.2">
      <c r="A3717">
        <v>2012</v>
      </c>
      <c r="B3717" t="s">
        <v>304</v>
      </c>
      <c r="C3717" s="733">
        <v>40955.748553240737</v>
      </c>
      <c r="D37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17" t="s">
        <v>478</v>
      </c>
      <c r="F3717" t="s">
        <v>2622</v>
      </c>
      <c r="G3717" t="s">
        <v>7896</v>
      </c>
      <c r="H3717">
        <v>35724</v>
      </c>
      <c r="I3717" t="s">
        <v>423</v>
      </c>
      <c r="J3717" t="s">
        <v>2662</v>
      </c>
      <c r="K3717" t="s">
        <v>2625</v>
      </c>
      <c r="L3717" t="s">
        <v>2626</v>
      </c>
      <c r="M3717">
        <v>66</v>
      </c>
      <c r="N3717">
        <v>25.96</v>
      </c>
      <c r="O3717">
        <v>3056.27</v>
      </c>
      <c r="P3717">
        <v>0</v>
      </c>
      <c r="Q3717">
        <v>3056.27</v>
      </c>
      <c r="R3717">
        <v>489</v>
      </c>
      <c r="S3717">
        <v>122.25</v>
      </c>
      <c r="T3717">
        <v>3423.02</v>
      </c>
      <c r="U3717" t="s">
        <v>7548</v>
      </c>
      <c r="V3717" t="s">
        <v>9408</v>
      </c>
      <c r="W3717" t="s">
        <v>423</v>
      </c>
    </row>
    <row r="3718" spans="1:23" hidden="1" x14ac:dyDescent="0.2">
      <c r="A3718">
        <v>2012</v>
      </c>
      <c r="B3718" t="s">
        <v>304</v>
      </c>
      <c r="C3718" s="733">
        <v>40967.442418981482</v>
      </c>
      <c r="D37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18" t="s">
        <v>478</v>
      </c>
      <c r="F3718" t="s">
        <v>2622</v>
      </c>
      <c r="G3718" t="s">
        <v>9272</v>
      </c>
      <c r="H3718">
        <v>36124</v>
      </c>
      <c r="I3718" t="s">
        <v>423</v>
      </c>
      <c r="J3718" t="s">
        <v>2662</v>
      </c>
      <c r="K3718" t="s">
        <v>2625</v>
      </c>
      <c r="L3718" t="s">
        <v>2626</v>
      </c>
      <c r="M3718">
        <v>66</v>
      </c>
      <c r="N3718">
        <v>23.19</v>
      </c>
      <c r="O3718">
        <v>2730.16</v>
      </c>
      <c r="P3718">
        <v>0</v>
      </c>
      <c r="Q3718">
        <v>2730.16</v>
      </c>
      <c r="R3718">
        <v>436.83</v>
      </c>
      <c r="S3718">
        <v>109.21</v>
      </c>
      <c r="T3718">
        <v>3057.78</v>
      </c>
      <c r="U3718" t="s">
        <v>9428</v>
      </c>
      <c r="V3718" t="s">
        <v>9408</v>
      </c>
      <c r="W3718" t="s">
        <v>423</v>
      </c>
    </row>
    <row r="3719" spans="1:23" hidden="1" x14ac:dyDescent="0.2">
      <c r="A3719">
        <v>2012</v>
      </c>
      <c r="B3719" t="s">
        <v>304</v>
      </c>
      <c r="C3719" s="733">
        <v>40946.621747685182</v>
      </c>
      <c r="D37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19" t="s">
        <v>478</v>
      </c>
      <c r="F3719" t="s">
        <v>2622</v>
      </c>
      <c r="G3719" t="s">
        <v>5005</v>
      </c>
      <c r="H3719">
        <v>35393</v>
      </c>
      <c r="I3719" t="s">
        <v>423</v>
      </c>
      <c r="J3719" t="s">
        <v>2662</v>
      </c>
      <c r="K3719" t="s">
        <v>2625</v>
      </c>
      <c r="L3719" t="s">
        <v>2626</v>
      </c>
      <c r="M3719">
        <v>66</v>
      </c>
      <c r="N3719">
        <v>23.49</v>
      </c>
      <c r="O3719">
        <v>2765.48</v>
      </c>
      <c r="P3719">
        <v>0</v>
      </c>
      <c r="Q3719">
        <v>2765.48</v>
      </c>
      <c r="R3719">
        <v>442.48</v>
      </c>
      <c r="S3719">
        <v>110.62</v>
      </c>
      <c r="T3719">
        <v>3097.34</v>
      </c>
      <c r="U3719" t="s">
        <v>2630</v>
      </c>
      <c r="V3719" t="s">
        <v>9408</v>
      </c>
      <c r="W3719" t="s">
        <v>423</v>
      </c>
    </row>
    <row r="3720" spans="1:23" hidden="1" x14ac:dyDescent="0.2">
      <c r="A3720">
        <v>2012</v>
      </c>
      <c r="B3720" t="s">
        <v>304</v>
      </c>
      <c r="C3720" s="733">
        <v>40966.544537037036</v>
      </c>
      <c r="D37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20" t="s">
        <v>485</v>
      </c>
      <c r="F3720" t="s">
        <v>2054</v>
      </c>
      <c r="G3720" t="s">
        <v>9274</v>
      </c>
      <c r="H3720">
        <v>10564</v>
      </c>
      <c r="I3720" t="s">
        <v>423</v>
      </c>
      <c r="J3720" t="s">
        <v>2056</v>
      </c>
      <c r="K3720" t="s">
        <v>2057</v>
      </c>
      <c r="L3720" t="s">
        <v>2058</v>
      </c>
      <c r="M3720">
        <v>19</v>
      </c>
      <c r="N3720">
        <v>28.1</v>
      </c>
      <c r="O3720">
        <v>3171.65</v>
      </c>
      <c r="P3720">
        <v>0</v>
      </c>
      <c r="Q3720">
        <v>3171.65</v>
      </c>
      <c r="R3720">
        <v>348.88</v>
      </c>
      <c r="S3720">
        <v>126.87</v>
      </c>
      <c r="T3720">
        <v>3393.66</v>
      </c>
      <c r="U3720" t="s">
        <v>8864</v>
      </c>
      <c r="V3720" t="s">
        <v>9408</v>
      </c>
      <c r="W3720" t="s">
        <v>423</v>
      </c>
    </row>
    <row r="3721" spans="1:23" hidden="1" x14ac:dyDescent="0.2">
      <c r="A3721">
        <v>2012</v>
      </c>
      <c r="B3721" t="s">
        <v>304</v>
      </c>
      <c r="C3721" s="733">
        <v>40955.492604166669</v>
      </c>
      <c r="D37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21" t="s">
        <v>485</v>
      </c>
      <c r="F3721" t="s">
        <v>2054</v>
      </c>
      <c r="G3721" t="s">
        <v>8010</v>
      </c>
      <c r="H3721">
        <v>10456</v>
      </c>
      <c r="I3721" t="s">
        <v>423</v>
      </c>
      <c r="J3721" t="s">
        <v>4078</v>
      </c>
      <c r="K3721" t="s">
        <v>2057</v>
      </c>
      <c r="L3721" t="s">
        <v>2058</v>
      </c>
      <c r="M3721">
        <v>154</v>
      </c>
      <c r="N3721">
        <v>45.82</v>
      </c>
      <c r="O3721">
        <v>7721.59</v>
      </c>
      <c r="P3721">
        <v>0</v>
      </c>
      <c r="Q3721">
        <v>7721.59</v>
      </c>
      <c r="R3721">
        <v>849.37</v>
      </c>
      <c r="S3721">
        <v>308.86</v>
      </c>
      <c r="T3721">
        <v>8262.1</v>
      </c>
      <c r="U3721" t="s">
        <v>8864</v>
      </c>
      <c r="V3721" t="s">
        <v>9409</v>
      </c>
      <c r="W3721" t="s">
        <v>423</v>
      </c>
    </row>
    <row r="3722" spans="1:23" hidden="1" x14ac:dyDescent="0.2">
      <c r="A3722">
        <v>2012</v>
      </c>
      <c r="B3722" t="s">
        <v>303</v>
      </c>
      <c r="C3722" s="733">
        <v>40927.712048611109</v>
      </c>
      <c r="D37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22" t="s">
        <v>478</v>
      </c>
      <c r="F3722" t="s">
        <v>2622</v>
      </c>
      <c r="G3722" t="s">
        <v>5012</v>
      </c>
      <c r="H3722">
        <v>34740</v>
      </c>
      <c r="I3722" t="s">
        <v>423</v>
      </c>
      <c r="J3722" t="s">
        <v>2662</v>
      </c>
      <c r="K3722" t="s">
        <v>2625</v>
      </c>
      <c r="L3722" t="s">
        <v>2626</v>
      </c>
      <c r="M3722">
        <v>66</v>
      </c>
      <c r="N3722">
        <v>22.87</v>
      </c>
      <c r="O3722">
        <v>2692.49</v>
      </c>
      <c r="P3722">
        <v>0</v>
      </c>
      <c r="Q3722">
        <v>2692.49</v>
      </c>
      <c r="R3722">
        <v>430.8</v>
      </c>
      <c r="S3722">
        <v>107.7</v>
      </c>
      <c r="T3722">
        <v>3015.59</v>
      </c>
      <c r="U3722" t="s">
        <v>2635</v>
      </c>
      <c r="V3722" t="s">
        <v>9408</v>
      </c>
      <c r="W3722" t="s">
        <v>423</v>
      </c>
    </row>
    <row r="3723" spans="1:23" hidden="1" x14ac:dyDescent="0.2">
      <c r="A3723">
        <v>2012</v>
      </c>
      <c r="B3723" t="s">
        <v>303</v>
      </c>
      <c r="C3723" s="733">
        <v>40926.735625000001</v>
      </c>
      <c r="D37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23" t="s">
        <v>478</v>
      </c>
      <c r="F3723" t="s">
        <v>2136</v>
      </c>
      <c r="G3723" t="s">
        <v>2661</v>
      </c>
      <c r="H3723">
        <v>34684</v>
      </c>
      <c r="I3723" t="s">
        <v>423</v>
      </c>
      <c r="J3723" t="s">
        <v>2662</v>
      </c>
      <c r="K3723" t="s">
        <v>2625</v>
      </c>
      <c r="L3723" t="s">
        <v>2626</v>
      </c>
      <c r="M3723">
        <v>66</v>
      </c>
      <c r="N3723">
        <v>22.4</v>
      </c>
      <c r="O3723">
        <v>2637.15</v>
      </c>
      <c r="P3723">
        <v>0</v>
      </c>
      <c r="Q3723">
        <v>2637.15</v>
      </c>
      <c r="R3723">
        <v>421.94</v>
      </c>
      <c r="S3723">
        <v>105.49</v>
      </c>
      <c r="T3723">
        <v>2953.6</v>
      </c>
      <c r="U3723" t="s">
        <v>2627</v>
      </c>
      <c r="V3723" t="s">
        <v>9408</v>
      </c>
      <c r="W3723" t="s">
        <v>423</v>
      </c>
    </row>
    <row r="3724" spans="1:23" hidden="1" x14ac:dyDescent="0.2">
      <c r="A3724">
        <v>2012</v>
      </c>
      <c r="B3724" t="s">
        <v>303</v>
      </c>
      <c r="C3724" s="733">
        <v>40931</v>
      </c>
      <c r="D37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24" t="s">
        <v>478</v>
      </c>
      <c r="F3724" t="s">
        <v>2142</v>
      </c>
      <c r="G3724" t="s">
        <v>7010</v>
      </c>
      <c r="H3724">
        <v>34798</v>
      </c>
      <c r="I3724" t="s">
        <v>423</v>
      </c>
      <c r="J3724" t="s">
        <v>3636</v>
      </c>
      <c r="K3724" t="s">
        <v>425</v>
      </c>
      <c r="L3724" t="s">
        <v>2145</v>
      </c>
      <c r="M3724">
        <v>244</v>
      </c>
      <c r="N3724">
        <v>25.27</v>
      </c>
      <c r="O3724">
        <v>4220.6000000000004</v>
      </c>
      <c r="P3724">
        <v>0</v>
      </c>
      <c r="Q3724">
        <v>4220.6000000000004</v>
      </c>
      <c r="R3724">
        <v>675.3</v>
      </c>
      <c r="S3724">
        <v>168.82</v>
      </c>
      <c r="T3724">
        <v>4727.08</v>
      </c>
      <c r="U3724" t="s">
        <v>2355</v>
      </c>
      <c r="V3724" t="s">
        <v>9408</v>
      </c>
      <c r="W3724" t="s">
        <v>423</v>
      </c>
    </row>
    <row r="3725" spans="1:23" hidden="1" x14ac:dyDescent="0.2">
      <c r="A3725">
        <v>2012</v>
      </c>
      <c r="B3725" t="s">
        <v>303</v>
      </c>
      <c r="C3725" s="733">
        <v>40936.439236111109</v>
      </c>
      <c r="D37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25" t="s">
        <v>478</v>
      </c>
      <c r="F3725" t="s">
        <v>2136</v>
      </c>
      <c r="G3725" t="s">
        <v>2663</v>
      </c>
      <c r="H3725">
        <v>35026</v>
      </c>
      <c r="I3725" t="s">
        <v>423</v>
      </c>
      <c r="J3725" t="s">
        <v>2662</v>
      </c>
      <c r="K3725" t="s">
        <v>2625</v>
      </c>
      <c r="L3725" t="s">
        <v>2626</v>
      </c>
      <c r="M3725">
        <v>66</v>
      </c>
      <c r="N3725">
        <v>24.39</v>
      </c>
      <c r="O3725">
        <v>2871.43</v>
      </c>
      <c r="P3725">
        <v>0</v>
      </c>
      <c r="Q3725">
        <v>2871.43</v>
      </c>
      <c r="R3725">
        <v>459.43</v>
      </c>
      <c r="S3725">
        <v>114.86</v>
      </c>
      <c r="T3725">
        <v>3216</v>
      </c>
      <c r="U3725" t="s">
        <v>2630</v>
      </c>
      <c r="V3725" t="s">
        <v>9408</v>
      </c>
      <c r="W3725" t="s">
        <v>423</v>
      </c>
    </row>
    <row r="3726" spans="1:23" hidden="1" x14ac:dyDescent="0.2">
      <c r="A3726">
        <v>2012</v>
      </c>
      <c r="B3726" t="s">
        <v>303</v>
      </c>
      <c r="C3726" s="733">
        <v>40926.742106481484</v>
      </c>
      <c r="D37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26" t="s">
        <v>478</v>
      </c>
      <c r="F3726" t="s">
        <v>2622</v>
      </c>
      <c r="G3726" t="s">
        <v>5004</v>
      </c>
      <c r="H3726">
        <v>34689</v>
      </c>
      <c r="I3726" t="s">
        <v>423</v>
      </c>
      <c r="J3726" t="s">
        <v>2662</v>
      </c>
      <c r="K3726" t="s">
        <v>2625</v>
      </c>
      <c r="L3726" t="s">
        <v>2626</v>
      </c>
      <c r="M3726">
        <v>66</v>
      </c>
      <c r="N3726">
        <v>24.72</v>
      </c>
      <c r="O3726">
        <v>2910.29</v>
      </c>
      <c r="P3726">
        <v>0</v>
      </c>
      <c r="Q3726">
        <v>2910.29</v>
      </c>
      <c r="R3726">
        <v>465.65</v>
      </c>
      <c r="S3726">
        <v>116.41</v>
      </c>
      <c r="T3726">
        <v>3259.53</v>
      </c>
      <c r="U3726" t="s">
        <v>2633</v>
      </c>
      <c r="V3726" t="s">
        <v>9408</v>
      </c>
      <c r="W3726" t="s">
        <v>423</v>
      </c>
    </row>
    <row r="3727" spans="1:23" hidden="1" x14ac:dyDescent="0.2">
      <c r="A3727">
        <v>2012</v>
      </c>
      <c r="B3727" t="s">
        <v>303</v>
      </c>
      <c r="C3727" s="733">
        <v>40938.924872685187</v>
      </c>
      <c r="D37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27" t="s">
        <v>478</v>
      </c>
      <c r="F3727" t="s">
        <v>2622</v>
      </c>
      <c r="G3727" t="s">
        <v>5002</v>
      </c>
      <c r="H3727">
        <v>35079</v>
      </c>
      <c r="I3727" t="s">
        <v>423</v>
      </c>
      <c r="J3727" t="s">
        <v>2662</v>
      </c>
      <c r="K3727" t="s">
        <v>2625</v>
      </c>
      <c r="L3727" t="s">
        <v>2626</v>
      </c>
      <c r="M3727">
        <v>66</v>
      </c>
      <c r="N3727">
        <v>23.09</v>
      </c>
      <c r="O3727">
        <v>2718.39</v>
      </c>
      <c r="P3727">
        <v>0</v>
      </c>
      <c r="Q3727">
        <v>2718.39</v>
      </c>
      <c r="R3727">
        <v>434.94</v>
      </c>
      <c r="S3727">
        <v>108.74</v>
      </c>
      <c r="T3727">
        <v>3044.59</v>
      </c>
      <c r="U3727" t="s">
        <v>2648</v>
      </c>
      <c r="V3727" t="s">
        <v>9408</v>
      </c>
      <c r="W3727" t="s">
        <v>423</v>
      </c>
    </row>
    <row r="3728" spans="1:23" hidden="1" x14ac:dyDescent="0.2">
      <c r="A3728">
        <v>2012</v>
      </c>
      <c r="B3728" t="s">
        <v>303</v>
      </c>
      <c r="C3728" s="733">
        <v>40938.925844907404</v>
      </c>
      <c r="D37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28" t="s">
        <v>478</v>
      </c>
      <c r="F3728" t="s">
        <v>2622</v>
      </c>
      <c r="G3728" t="s">
        <v>5003</v>
      </c>
      <c r="H3728">
        <v>35082</v>
      </c>
      <c r="I3728" t="s">
        <v>423</v>
      </c>
      <c r="J3728" t="s">
        <v>2662</v>
      </c>
      <c r="K3728" t="s">
        <v>2625</v>
      </c>
      <c r="L3728" t="s">
        <v>2626</v>
      </c>
      <c r="M3728">
        <v>66</v>
      </c>
      <c r="N3728">
        <v>21.89</v>
      </c>
      <c r="O3728">
        <v>2577.11</v>
      </c>
      <c r="P3728">
        <v>0</v>
      </c>
      <c r="Q3728">
        <v>2577.11</v>
      </c>
      <c r="R3728">
        <v>412.34</v>
      </c>
      <c r="S3728">
        <v>103.08</v>
      </c>
      <c r="T3728">
        <v>2886.37</v>
      </c>
      <c r="U3728" t="s">
        <v>2648</v>
      </c>
      <c r="V3728" t="s">
        <v>9408</v>
      </c>
      <c r="W3728" t="s">
        <v>423</v>
      </c>
    </row>
    <row r="3729" spans="1:23" x14ac:dyDescent="0.2">
      <c r="A3729">
        <v>2012</v>
      </c>
      <c r="B3729" t="s">
        <v>304</v>
      </c>
      <c r="C3729" s="733">
        <v>40967</v>
      </c>
      <c r="D37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29" t="s">
        <v>485</v>
      </c>
      <c r="F3729" t="s">
        <v>2054</v>
      </c>
      <c r="G3729" t="s">
        <v>9273</v>
      </c>
      <c r="H3729">
        <v>10578</v>
      </c>
      <c r="I3729" t="s">
        <v>423</v>
      </c>
      <c r="J3729" t="s">
        <v>4078</v>
      </c>
      <c r="K3729" t="s">
        <v>2057</v>
      </c>
      <c r="L3729" t="s">
        <v>2058</v>
      </c>
      <c r="M3729">
        <v>154</v>
      </c>
      <c r="N3729">
        <v>25.23</v>
      </c>
      <c r="O3729">
        <v>4251.76</v>
      </c>
      <c r="P3729">
        <v>0</v>
      </c>
      <c r="Q3729">
        <v>4251.76</v>
      </c>
      <c r="R3729">
        <v>467.69</v>
      </c>
      <c r="S3729">
        <v>170.07</v>
      </c>
      <c r="T3729">
        <v>4549.38</v>
      </c>
      <c r="V3729" t="s">
        <v>9408</v>
      </c>
      <c r="W3729" t="s">
        <v>423</v>
      </c>
    </row>
    <row r="3730" spans="1:23" hidden="1" x14ac:dyDescent="0.2">
      <c r="A3730">
        <v>2012</v>
      </c>
      <c r="B3730" t="s">
        <v>304</v>
      </c>
      <c r="C3730" s="733">
        <v>40950.62599537037</v>
      </c>
      <c r="D37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30" t="s">
        <v>485</v>
      </c>
      <c r="F3730" t="s">
        <v>2054</v>
      </c>
      <c r="G3730" t="s">
        <v>6122</v>
      </c>
      <c r="H3730">
        <v>10391</v>
      </c>
      <c r="I3730" t="s">
        <v>423</v>
      </c>
      <c r="J3730" t="s">
        <v>4078</v>
      </c>
      <c r="K3730" t="s">
        <v>2057</v>
      </c>
      <c r="L3730" t="s">
        <v>2058</v>
      </c>
      <c r="M3730">
        <v>154</v>
      </c>
      <c r="N3730">
        <v>24.97</v>
      </c>
      <c r="O3730">
        <v>4207.9399999999996</v>
      </c>
      <c r="P3730">
        <v>0</v>
      </c>
      <c r="Q3730">
        <v>4207.9399999999996</v>
      </c>
      <c r="R3730">
        <v>462.87</v>
      </c>
      <c r="S3730">
        <v>168.32</v>
      </c>
      <c r="T3730">
        <v>4502.49</v>
      </c>
      <c r="U3730" t="s">
        <v>8047</v>
      </c>
      <c r="V3730" t="s">
        <v>9408</v>
      </c>
      <c r="W3730" t="s">
        <v>423</v>
      </c>
    </row>
    <row r="3731" spans="1:23" x14ac:dyDescent="0.2">
      <c r="A3731">
        <v>2012</v>
      </c>
      <c r="B3731" t="s">
        <v>304</v>
      </c>
      <c r="C3731" s="733">
        <v>40967</v>
      </c>
      <c r="D37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31" t="s">
        <v>485</v>
      </c>
      <c r="F3731" t="s">
        <v>2065</v>
      </c>
      <c r="G3731" t="s">
        <v>9029</v>
      </c>
      <c r="H3731">
        <v>42658</v>
      </c>
      <c r="I3731" t="s">
        <v>423</v>
      </c>
      <c r="J3731" t="s">
        <v>3965</v>
      </c>
      <c r="K3731" t="s">
        <v>2183</v>
      </c>
      <c r="L3731" t="s">
        <v>2184</v>
      </c>
      <c r="M3731">
        <v>696</v>
      </c>
      <c r="N3731">
        <v>25.57</v>
      </c>
      <c r="O3731">
        <v>10363.27</v>
      </c>
      <c r="P3731">
        <v>0</v>
      </c>
      <c r="Q3731">
        <v>10363.27</v>
      </c>
      <c r="R3731">
        <v>1658.12</v>
      </c>
      <c r="S3731">
        <v>414.53</v>
      </c>
      <c r="T3731">
        <v>11606.86</v>
      </c>
      <c r="V3731" t="s">
        <v>9408</v>
      </c>
      <c r="W3731" t="s">
        <v>423</v>
      </c>
    </row>
    <row r="3732" spans="1:23" hidden="1" x14ac:dyDescent="0.2">
      <c r="A3732">
        <v>2012</v>
      </c>
      <c r="B3732" t="s">
        <v>304</v>
      </c>
      <c r="C3732" s="733">
        <v>40952</v>
      </c>
      <c r="D37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32" t="s">
        <v>485</v>
      </c>
      <c r="F3732" t="s">
        <v>2065</v>
      </c>
      <c r="G3732" t="s">
        <v>3966</v>
      </c>
      <c r="H3732">
        <v>41585</v>
      </c>
      <c r="I3732" t="s">
        <v>423</v>
      </c>
      <c r="J3732" t="s">
        <v>3965</v>
      </c>
      <c r="K3732" t="s">
        <v>2183</v>
      </c>
      <c r="L3732" t="s">
        <v>2184</v>
      </c>
      <c r="M3732">
        <v>696</v>
      </c>
      <c r="N3732">
        <v>25.57</v>
      </c>
      <c r="O3732">
        <v>10363.27</v>
      </c>
      <c r="P3732">
        <v>0</v>
      </c>
      <c r="Q3732">
        <v>10363.27</v>
      </c>
      <c r="R3732">
        <v>1658.12</v>
      </c>
      <c r="S3732">
        <v>414.53</v>
      </c>
      <c r="T3732">
        <v>11606.86</v>
      </c>
      <c r="U3732" t="s">
        <v>8048</v>
      </c>
      <c r="V3732" t="s">
        <v>9408</v>
      </c>
      <c r="W3732" t="s">
        <v>423</v>
      </c>
    </row>
    <row r="3733" spans="1:23" hidden="1" x14ac:dyDescent="0.2">
      <c r="A3733">
        <v>2012</v>
      </c>
      <c r="B3733" t="s">
        <v>303</v>
      </c>
      <c r="C3733" s="733">
        <v>40938</v>
      </c>
      <c r="D37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33" t="s">
        <v>485</v>
      </c>
      <c r="F3733" t="s">
        <v>2065</v>
      </c>
      <c r="G3733" t="s">
        <v>3967</v>
      </c>
      <c r="H3733">
        <v>41028</v>
      </c>
      <c r="I3733" t="s">
        <v>423</v>
      </c>
      <c r="J3733" t="s">
        <v>3965</v>
      </c>
      <c r="K3733" t="s">
        <v>2183</v>
      </c>
      <c r="L3733" t="s">
        <v>2184</v>
      </c>
      <c r="M3733">
        <v>696</v>
      </c>
      <c r="N3733">
        <v>25.05</v>
      </c>
      <c r="O3733">
        <v>10152.51</v>
      </c>
      <c r="P3733">
        <v>0</v>
      </c>
      <c r="Q3733">
        <v>10152.51</v>
      </c>
      <c r="R3733">
        <v>1624.4</v>
      </c>
      <c r="S3733">
        <v>406.1</v>
      </c>
      <c r="T3733">
        <v>11370.81</v>
      </c>
      <c r="U3733" t="s">
        <v>2187</v>
      </c>
      <c r="V3733" t="s">
        <v>9408</v>
      </c>
      <c r="W3733" t="s">
        <v>423</v>
      </c>
    </row>
    <row r="3734" spans="1:23" hidden="1" x14ac:dyDescent="0.2">
      <c r="A3734">
        <v>2012</v>
      </c>
      <c r="B3734" t="s">
        <v>304</v>
      </c>
      <c r="C3734" s="733">
        <v>40942</v>
      </c>
      <c r="D37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34" t="s">
        <v>485</v>
      </c>
      <c r="F3734" t="s">
        <v>2065</v>
      </c>
      <c r="G3734" t="s">
        <v>3964</v>
      </c>
      <c r="H3734">
        <v>41254</v>
      </c>
      <c r="I3734" t="s">
        <v>423</v>
      </c>
      <c r="J3734" t="s">
        <v>3965</v>
      </c>
      <c r="K3734" t="s">
        <v>2183</v>
      </c>
      <c r="L3734" t="s">
        <v>2184</v>
      </c>
      <c r="M3734">
        <v>696</v>
      </c>
      <c r="N3734">
        <v>26.76</v>
      </c>
      <c r="O3734">
        <v>10845.56</v>
      </c>
      <c r="P3734">
        <v>0</v>
      </c>
      <c r="Q3734">
        <v>10845.56</v>
      </c>
      <c r="R3734">
        <v>1735.29</v>
      </c>
      <c r="S3734">
        <v>433.82</v>
      </c>
      <c r="T3734">
        <v>12147.03</v>
      </c>
      <c r="U3734" t="s">
        <v>2192</v>
      </c>
      <c r="V3734" t="s">
        <v>9408</v>
      </c>
      <c r="W3734" t="s">
        <v>423</v>
      </c>
    </row>
    <row r="3735" spans="1:23" hidden="1" x14ac:dyDescent="0.2">
      <c r="A3735">
        <v>2012</v>
      </c>
      <c r="B3735" t="s">
        <v>304</v>
      </c>
      <c r="C3735" s="733">
        <v>40942</v>
      </c>
      <c r="D37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35" t="s">
        <v>505</v>
      </c>
      <c r="F3735" t="s">
        <v>1915</v>
      </c>
      <c r="G3735" t="s">
        <v>2296</v>
      </c>
      <c r="H3735">
        <v>22410</v>
      </c>
      <c r="I3735" t="s">
        <v>423</v>
      </c>
      <c r="J3735" t="s">
        <v>1947</v>
      </c>
      <c r="K3735" t="s">
        <v>1918</v>
      </c>
      <c r="L3735" t="s">
        <v>1919</v>
      </c>
      <c r="M3735">
        <v>973</v>
      </c>
      <c r="N3735">
        <v>54.31</v>
      </c>
      <c r="O3735">
        <v>31714.87</v>
      </c>
      <c r="P3735">
        <v>0</v>
      </c>
      <c r="Q3735">
        <v>31714.87</v>
      </c>
      <c r="R3735">
        <v>5074.38</v>
      </c>
      <c r="S3735">
        <v>1268.5899999999999</v>
      </c>
      <c r="T3735">
        <v>35520.660000000003</v>
      </c>
      <c r="U3735" t="s">
        <v>1924</v>
      </c>
      <c r="V3735" t="s">
        <v>9409</v>
      </c>
      <c r="W3735" t="s">
        <v>423</v>
      </c>
    </row>
    <row r="3736" spans="1:23" hidden="1" x14ac:dyDescent="0.2">
      <c r="A3736">
        <v>2012</v>
      </c>
      <c r="B3736" t="s">
        <v>303</v>
      </c>
      <c r="C3736" s="733">
        <v>40924</v>
      </c>
      <c r="D37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36" t="s">
        <v>485</v>
      </c>
      <c r="F3736" t="s">
        <v>2048</v>
      </c>
      <c r="G3736" t="s">
        <v>2971</v>
      </c>
      <c r="H3736">
        <v>40403</v>
      </c>
      <c r="I3736" t="s">
        <v>423</v>
      </c>
      <c r="J3736" t="s">
        <v>2972</v>
      </c>
      <c r="K3736" t="s">
        <v>2051</v>
      </c>
      <c r="L3736" t="s">
        <v>2052</v>
      </c>
      <c r="M3736">
        <v>398</v>
      </c>
      <c r="N3736">
        <v>53.05</v>
      </c>
      <c r="O3736">
        <v>14672.04</v>
      </c>
      <c r="P3736">
        <v>0</v>
      </c>
      <c r="Q3736">
        <v>14672.04</v>
      </c>
      <c r="R3736">
        <v>2347.5300000000002</v>
      </c>
      <c r="S3736">
        <v>586.88</v>
      </c>
      <c r="T3736">
        <v>16432.689999999999</v>
      </c>
      <c r="U3736" t="s">
        <v>2062</v>
      </c>
      <c r="V3736" t="s">
        <v>9409</v>
      </c>
      <c r="W3736" t="s">
        <v>423</v>
      </c>
    </row>
    <row r="3737" spans="1:23" hidden="1" x14ac:dyDescent="0.2">
      <c r="A3737">
        <v>2012</v>
      </c>
      <c r="B3737" t="s">
        <v>304</v>
      </c>
      <c r="C3737" s="733">
        <v>40960</v>
      </c>
      <c r="D37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37" t="s">
        <v>485</v>
      </c>
      <c r="F3737" t="s">
        <v>2065</v>
      </c>
      <c r="G3737" t="s">
        <v>8192</v>
      </c>
      <c r="H3737">
        <v>42305</v>
      </c>
      <c r="I3737" t="s">
        <v>423</v>
      </c>
      <c r="J3737" t="s">
        <v>2972</v>
      </c>
      <c r="K3737" t="s">
        <v>2051</v>
      </c>
      <c r="L3737" t="s">
        <v>2052</v>
      </c>
      <c r="M3737">
        <v>398</v>
      </c>
      <c r="N3737">
        <v>49.65</v>
      </c>
      <c r="O3737">
        <v>13731.7</v>
      </c>
      <c r="P3737">
        <v>0</v>
      </c>
      <c r="Q3737">
        <v>13731.7</v>
      </c>
      <c r="R3737">
        <v>2197.0700000000002</v>
      </c>
      <c r="S3737">
        <v>549.27</v>
      </c>
      <c r="T3737">
        <v>15379.5</v>
      </c>
      <c r="U3737" t="s">
        <v>8780</v>
      </c>
      <c r="V3737" t="s">
        <v>9409</v>
      </c>
      <c r="W3737" t="s">
        <v>423</v>
      </c>
    </row>
    <row r="3738" spans="1:23" x14ac:dyDescent="0.2">
      <c r="A3738">
        <v>2012</v>
      </c>
      <c r="B3738" t="s">
        <v>304</v>
      </c>
      <c r="C3738" s="733">
        <v>40967</v>
      </c>
      <c r="D37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38" t="s">
        <v>485</v>
      </c>
      <c r="F3738" t="s">
        <v>2048</v>
      </c>
      <c r="G3738" t="s">
        <v>9031</v>
      </c>
      <c r="H3738">
        <v>42610</v>
      </c>
      <c r="I3738" t="s">
        <v>423</v>
      </c>
      <c r="J3738" t="s">
        <v>2972</v>
      </c>
      <c r="K3738" t="s">
        <v>2051</v>
      </c>
      <c r="L3738" t="s">
        <v>2052</v>
      </c>
      <c r="M3738">
        <v>398</v>
      </c>
      <c r="N3738">
        <v>49.4</v>
      </c>
      <c r="O3738">
        <v>13662.56</v>
      </c>
      <c r="P3738">
        <v>0</v>
      </c>
      <c r="Q3738">
        <v>13662.56</v>
      </c>
      <c r="R3738">
        <v>2186.0100000000002</v>
      </c>
      <c r="S3738">
        <v>546.5</v>
      </c>
      <c r="T3738">
        <v>15302.07</v>
      </c>
      <c r="V3738" t="s">
        <v>9409</v>
      </c>
      <c r="W3738" t="s">
        <v>423</v>
      </c>
    </row>
    <row r="3739" spans="1:23" hidden="1" x14ac:dyDescent="0.2">
      <c r="A3739">
        <v>2012</v>
      </c>
      <c r="B3739" t="s">
        <v>304</v>
      </c>
      <c r="C3739" s="733">
        <v>40949</v>
      </c>
      <c r="D37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39" t="s">
        <v>478</v>
      </c>
      <c r="F3739" t="s">
        <v>2142</v>
      </c>
      <c r="G3739" t="s">
        <v>4277</v>
      </c>
      <c r="H3739">
        <v>35497</v>
      </c>
      <c r="I3739" t="s">
        <v>423</v>
      </c>
      <c r="J3739" t="s">
        <v>4276</v>
      </c>
      <c r="K3739" t="s">
        <v>425</v>
      </c>
      <c r="L3739" t="s">
        <v>2145</v>
      </c>
      <c r="M3739">
        <v>60</v>
      </c>
      <c r="N3739">
        <v>48.3</v>
      </c>
      <c r="O3739">
        <v>6484.28</v>
      </c>
      <c r="P3739">
        <v>0</v>
      </c>
      <c r="Q3739">
        <v>6484.28</v>
      </c>
      <c r="R3739">
        <v>1037.48</v>
      </c>
      <c r="S3739">
        <v>259.37</v>
      </c>
      <c r="T3739">
        <v>7262.39</v>
      </c>
      <c r="U3739" t="s">
        <v>7523</v>
      </c>
      <c r="V3739" t="s">
        <v>9409</v>
      </c>
      <c r="W3739" t="s">
        <v>423</v>
      </c>
    </row>
    <row r="3740" spans="1:23" hidden="1" x14ac:dyDescent="0.2">
      <c r="A3740">
        <v>2012</v>
      </c>
      <c r="B3740" t="s">
        <v>304</v>
      </c>
      <c r="C3740" s="733">
        <v>40949</v>
      </c>
      <c r="D37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40" t="s">
        <v>505</v>
      </c>
      <c r="F3740" t="s">
        <v>1915</v>
      </c>
      <c r="G3740" t="s">
        <v>2295</v>
      </c>
      <c r="H3740">
        <v>22583</v>
      </c>
      <c r="I3740" t="s">
        <v>423</v>
      </c>
      <c r="J3740" t="s">
        <v>1947</v>
      </c>
      <c r="K3740" t="s">
        <v>1918</v>
      </c>
      <c r="L3740" t="s">
        <v>1919</v>
      </c>
      <c r="M3740">
        <v>973</v>
      </c>
      <c r="N3740">
        <v>50.1</v>
      </c>
      <c r="O3740">
        <v>29256.400000000001</v>
      </c>
      <c r="P3740">
        <v>0</v>
      </c>
      <c r="Q3740">
        <v>29256.400000000001</v>
      </c>
      <c r="R3740">
        <v>4681.0200000000004</v>
      </c>
      <c r="S3740">
        <v>1170.26</v>
      </c>
      <c r="T3740">
        <v>32767.16</v>
      </c>
      <c r="U3740" t="s">
        <v>7522</v>
      </c>
      <c r="V3740" t="s">
        <v>9409</v>
      </c>
      <c r="W3740" t="s">
        <v>423</v>
      </c>
    </row>
    <row r="3741" spans="1:23" hidden="1" x14ac:dyDescent="0.2">
      <c r="A3741">
        <v>2012</v>
      </c>
      <c r="B3741" t="s">
        <v>304</v>
      </c>
      <c r="C3741" s="733">
        <v>40956</v>
      </c>
      <c r="D37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41" t="s">
        <v>505</v>
      </c>
      <c r="F3741" t="s">
        <v>1915</v>
      </c>
      <c r="G3741" t="s">
        <v>7659</v>
      </c>
      <c r="H3741">
        <v>22759</v>
      </c>
      <c r="I3741" t="s">
        <v>423</v>
      </c>
      <c r="J3741" t="s">
        <v>1947</v>
      </c>
      <c r="K3741" t="s">
        <v>1918</v>
      </c>
      <c r="L3741" t="s">
        <v>1919</v>
      </c>
      <c r="M3741">
        <v>973</v>
      </c>
      <c r="N3741">
        <v>49.72</v>
      </c>
      <c r="O3741">
        <v>29034.49</v>
      </c>
      <c r="P3741">
        <v>0</v>
      </c>
      <c r="Q3741">
        <v>29034.49</v>
      </c>
      <c r="R3741">
        <v>4645.5200000000004</v>
      </c>
      <c r="S3741">
        <v>1161.3800000000001</v>
      </c>
      <c r="T3741">
        <v>32518.63</v>
      </c>
      <c r="U3741" t="s">
        <v>7529</v>
      </c>
      <c r="V3741" t="s">
        <v>9409</v>
      </c>
      <c r="W3741" t="s">
        <v>423</v>
      </c>
    </row>
    <row r="3742" spans="1:23" hidden="1" x14ac:dyDescent="0.2">
      <c r="A3742">
        <v>2012</v>
      </c>
      <c r="B3742" t="s">
        <v>304</v>
      </c>
      <c r="C3742" s="733">
        <v>40966</v>
      </c>
      <c r="D37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42" t="s">
        <v>478</v>
      </c>
      <c r="F3742" t="s">
        <v>2136</v>
      </c>
      <c r="G3742" t="s">
        <v>9330</v>
      </c>
      <c r="H3742">
        <v>36018</v>
      </c>
      <c r="I3742" t="s">
        <v>423</v>
      </c>
      <c r="J3742" t="s">
        <v>2629</v>
      </c>
      <c r="K3742" t="s">
        <v>2625</v>
      </c>
      <c r="L3742" t="s">
        <v>2626</v>
      </c>
      <c r="M3742">
        <v>33</v>
      </c>
      <c r="N3742">
        <v>21.64</v>
      </c>
      <c r="O3742">
        <v>2524.09</v>
      </c>
      <c r="P3742">
        <v>0</v>
      </c>
      <c r="Q3742">
        <v>2524.09</v>
      </c>
      <c r="R3742">
        <v>403.85</v>
      </c>
      <c r="S3742">
        <v>100.96</v>
      </c>
      <c r="T3742">
        <v>2826.98</v>
      </c>
      <c r="U3742" t="s">
        <v>9428</v>
      </c>
      <c r="V3742" t="s">
        <v>9408</v>
      </c>
      <c r="W3742" t="s">
        <v>423</v>
      </c>
    </row>
    <row r="3743" spans="1:23" hidden="1" x14ac:dyDescent="0.2">
      <c r="A3743">
        <v>2012</v>
      </c>
      <c r="B3743" t="s">
        <v>303</v>
      </c>
      <c r="C3743" s="733">
        <v>40933</v>
      </c>
      <c r="D37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43" t="s">
        <v>485</v>
      </c>
      <c r="F3743" t="s">
        <v>2065</v>
      </c>
      <c r="G3743" t="s">
        <v>2185</v>
      </c>
      <c r="H3743">
        <v>40840</v>
      </c>
      <c r="I3743" t="s">
        <v>423</v>
      </c>
      <c r="J3743" t="s">
        <v>2186</v>
      </c>
      <c r="K3743" t="s">
        <v>2183</v>
      </c>
      <c r="L3743" t="s">
        <v>2184</v>
      </c>
      <c r="M3743">
        <v>19</v>
      </c>
      <c r="N3743">
        <v>16.11</v>
      </c>
      <c r="O3743">
        <v>2386.54</v>
      </c>
      <c r="P3743">
        <v>0</v>
      </c>
      <c r="Q3743">
        <v>2386.54</v>
      </c>
      <c r="R3743">
        <v>381.85</v>
      </c>
      <c r="S3743">
        <v>95.46</v>
      </c>
      <c r="T3743">
        <v>2672.93</v>
      </c>
      <c r="U3743" t="s">
        <v>2187</v>
      </c>
      <c r="V3743" t="s">
        <v>9408</v>
      </c>
      <c r="W3743" t="s">
        <v>423</v>
      </c>
    </row>
    <row r="3744" spans="1:23" hidden="1" x14ac:dyDescent="0.2">
      <c r="A3744">
        <v>2012</v>
      </c>
      <c r="B3744" t="s">
        <v>303</v>
      </c>
      <c r="C3744" s="733">
        <v>40921.590925925928</v>
      </c>
      <c r="D37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44" t="s">
        <v>478</v>
      </c>
      <c r="F3744" t="s">
        <v>2622</v>
      </c>
      <c r="G3744" t="s">
        <v>2995</v>
      </c>
      <c r="H3744">
        <v>34495</v>
      </c>
      <c r="I3744" t="s">
        <v>423</v>
      </c>
      <c r="J3744" t="s">
        <v>2629</v>
      </c>
      <c r="K3744" t="s">
        <v>2625</v>
      </c>
      <c r="L3744" t="s">
        <v>2626</v>
      </c>
      <c r="M3744">
        <v>33</v>
      </c>
      <c r="N3744">
        <v>23.63</v>
      </c>
      <c r="O3744">
        <v>2756.2</v>
      </c>
      <c r="P3744">
        <v>0</v>
      </c>
      <c r="Q3744">
        <v>2756.2</v>
      </c>
      <c r="R3744">
        <v>440.99</v>
      </c>
      <c r="S3744">
        <v>110.25</v>
      </c>
      <c r="T3744">
        <v>3086.94</v>
      </c>
      <c r="U3744" t="s">
        <v>2627</v>
      </c>
      <c r="V3744" t="s">
        <v>9408</v>
      </c>
      <c r="W3744" t="s">
        <v>423</v>
      </c>
    </row>
    <row r="3745" spans="1:23" hidden="1" x14ac:dyDescent="0.2">
      <c r="A3745">
        <v>2012</v>
      </c>
      <c r="B3745" t="s">
        <v>304</v>
      </c>
      <c r="C3745" s="733">
        <v>40963.552384259259</v>
      </c>
      <c r="D37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45" t="s">
        <v>478</v>
      </c>
      <c r="F3745" t="s">
        <v>2622</v>
      </c>
      <c r="G3745" t="s">
        <v>9329</v>
      </c>
      <c r="H3745">
        <v>35992</v>
      </c>
      <c r="I3745" t="s">
        <v>423</v>
      </c>
      <c r="J3745" t="s">
        <v>2629</v>
      </c>
      <c r="K3745" t="s">
        <v>2625</v>
      </c>
      <c r="L3745" t="s">
        <v>2626</v>
      </c>
      <c r="M3745">
        <v>33</v>
      </c>
      <c r="N3745">
        <v>25.44</v>
      </c>
      <c r="O3745">
        <v>2967.32</v>
      </c>
      <c r="P3745">
        <v>0</v>
      </c>
      <c r="Q3745">
        <v>2967.32</v>
      </c>
      <c r="R3745">
        <v>474.77</v>
      </c>
      <c r="S3745">
        <v>118.69</v>
      </c>
      <c r="T3745">
        <v>3323.4</v>
      </c>
      <c r="U3745" t="s">
        <v>9428</v>
      </c>
      <c r="V3745" t="s">
        <v>9408</v>
      </c>
      <c r="W3745" t="s">
        <v>423</v>
      </c>
    </row>
    <row r="3746" spans="1:23" hidden="1" x14ac:dyDescent="0.2">
      <c r="A3746">
        <v>2012</v>
      </c>
      <c r="B3746" t="s">
        <v>303</v>
      </c>
      <c r="C3746" s="733">
        <v>40932.559074074074</v>
      </c>
      <c r="D37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46" t="s">
        <v>478</v>
      </c>
      <c r="F3746" t="s">
        <v>2622</v>
      </c>
      <c r="G3746" t="s">
        <v>2976</v>
      </c>
      <c r="H3746">
        <v>34909</v>
      </c>
      <c r="I3746" t="s">
        <v>423</v>
      </c>
      <c r="J3746" t="s">
        <v>2629</v>
      </c>
      <c r="K3746" t="s">
        <v>2625</v>
      </c>
      <c r="L3746" t="s">
        <v>2626</v>
      </c>
      <c r="M3746">
        <v>33</v>
      </c>
      <c r="N3746">
        <v>21.81</v>
      </c>
      <c r="O3746">
        <v>2543.92</v>
      </c>
      <c r="P3746">
        <v>0</v>
      </c>
      <c r="Q3746">
        <v>2543.92</v>
      </c>
      <c r="R3746">
        <v>407.03</v>
      </c>
      <c r="S3746">
        <v>101.76</v>
      </c>
      <c r="T3746">
        <v>2849.19</v>
      </c>
      <c r="U3746" t="s">
        <v>2633</v>
      </c>
      <c r="V3746" t="s">
        <v>9408</v>
      </c>
      <c r="W3746" t="s">
        <v>423</v>
      </c>
    </row>
    <row r="3747" spans="1:23" hidden="1" x14ac:dyDescent="0.2">
      <c r="A3747">
        <v>2012</v>
      </c>
      <c r="B3747" t="s">
        <v>304</v>
      </c>
      <c r="C3747" s="733">
        <v>40942</v>
      </c>
      <c r="D37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47" t="s">
        <v>478</v>
      </c>
      <c r="F3747" t="s">
        <v>2622</v>
      </c>
      <c r="G3747" t="s">
        <v>2977</v>
      </c>
      <c r="H3747">
        <v>35254</v>
      </c>
      <c r="I3747" t="s">
        <v>423</v>
      </c>
      <c r="J3747" t="s">
        <v>2629</v>
      </c>
      <c r="K3747" t="s">
        <v>2625</v>
      </c>
      <c r="L3747" t="s">
        <v>2626</v>
      </c>
      <c r="M3747">
        <v>33</v>
      </c>
      <c r="N3747">
        <v>23.1</v>
      </c>
      <c r="O3747">
        <v>2694.38</v>
      </c>
      <c r="P3747">
        <v>0</v>
      </c>
      <c r="Q3747">
        <v>2694.38</v>
      </c>
      <c r="R3747">
        <v>431.1</v>
      </c>
      <c r="S3747">
        <v>107.78</v>
      </c>
      <c r="T3747">
        <v>3017.7</v>
      </c>
      <c r="U3747" t="s">
        <v>2630</v>
      </c>
      <c r="V3747" t="s">
        <v>9408</v>
      </c>
      <c r="W3747" t="s">
        <v>423</v>
      </c>
    </row>
    <row r="3748" spans="1:23" hidden="1" x14ac:dyDescent="0.2">
      <c r="A3748">
        <v>2012</v>
      </c>
      <c r="B3748" t="s">
        <v>304</v>
      </c>
      <c r="C3748" s="733">
        <v>40947.416076388887</v>
      </c>
      <c r="D37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48" t="s">
        <v>478</v>
      </c>
      <c r="F3748" t="s">
        <v>2622</v>
      </c>
      <c r="G3748" t="s">
        <v>2978</v>
      </c>
      <c r="H3748">
        <v>35431</v>
      </c>
      <c r="I3748" t="s">
        <v>423</v>
      </c>
      <c r="J3748" t="s">
        <v>2629</v>
      </c>
      <c r="K3748" t="s">
        <v>2625</v>
      </c>
      <c r="L3748" t="s">
        <v>2626</v>
      </c>
      <c r="M3748">
        <v>33</v>
      </c>
      <c r="N3748">
        <v>21.92</v>
      </c>
      <c r="O3748">
        <v>2556.75</v>
      </c>
      <c r="P3748">
        <v>0</v>
      </c>
      <c r="Q3748">
        <v>2556.75</v>
      </c>
      <c r="R3748">
        <v>409.08</v>
      </c>
      <c r="S3748">
        <v>102.27</v>
      </c>
      <c r="T3748">
        <v>2863.56</v>
      </c>
      <c r="U3748" t="s">
        <v>2652</v>
      </c>
      <c r="V3748" t="s">
        <v>9408</v>
      </c>
      <c r="W3748" t="s">
        <v>423</v>
      </c>
    </row>
    <row r="3749" spans="1:23" hidden="1" x14ac:dyDescent="0.2">
      <c r="A3749">
        <v>2012</v>
      </c>
      <c r="B3749" t="s">
        <v>305</v>
      </c>
      <c r="C3749" s="733">
        <v>40970</v>
      </c>
      <c r="D3749" s="733" t="str">
        <f>CHOOSE(MONTH(Tabla_sqldatos_bonampakdb_Bon_v_ingresos2012[[#This Row],[fecha_guia]]),"Enero","Febrero","Marzo","Abril","Mayo","Junio","Julio","Agosto","Septiembre","Octubre","Noviembre","Diciembre")</f>
        <v>Marzo</v>
      </c>
      <c r="E3749" t="s">
        <v>478</v>
      </c>
      <c r="F3749" t="s">
        <v>2136</v>
      </c>
      <c r="G3749" t="s">
        <v>9723</v>
      </c>
      <c r="H3749">
        <v>36297</v>
      </c>
      <c r="I3749" t="s">
        <v>423</v>
      </c>
      <c r="J3749" t="s">
        <v>2629</v>
      </c>
      <c r="K3749" t="s">
        <v>2625</v>
      </c>
      <c r="L3749" t="s">
        <v>2626</v>
      </c>
      <c r="M3749">
        <v>33</v>
      </c>
      <c r="N3749">
        <v>22.45</v>
      </c>
      <c r="O3749">
        <v>2618.5700000000002</v>
      </c>
      <c r="P3749">
        <v>0</v>
      </c>
      <c r="Q3749">
        <v>2618.5700000000002</v>
      </c>
      <c r="R3749">
        <v>418.97</v>
      </c>
      <c r="S3749">
        <v>104.74</v>
      </c>
      <c r="T3749">
        <v>2932.8</v>
      </c>
      <c r="V3749" t="s">
        <v>9408</v>
      </c>
      <c r="W3749" t="s">
        <v>423</v>
      </c>
    </row>
    <row r="3750" spans="1:23" hidden="1" x14ac:dyDescent="0.2">
      <c r="A3750">
        <v>2012</v>
      </c>
      <c r="B3750" t="s">
        <v>304</v>
      </c>
      <c r="C3750" s="733">
        <v>40942.909456018519</v>
      </c>
      <c r="D37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50" t="s">
        <v>478</v>
      </c>
      <c r="F3750" t="s">
        <v>2622</v>
      </c>
      <c r="G3750" t="s">
        <v>3804</v>
      </c>
      <c r="H3750">
        <v>35293</v>
      </c>
      <c r="I3750" t="s">
        <v>423</v>
      </c>
      <c r="J3750" t="s">
        <v>2629</v>
      </c>
      <c r="K3750" t="s">
        <v>2625</v>
      </c>
      <c r="L3750" t="s">
        <v>2626</v>
      </c>
      <c r="M3750">
        <v>33</v>
      </c>
      <c r="N3750">
        <v>23.46</v>
      </c>
      <c r="O3750">
        <v>2736.37</v>
      </c>
      <c r="P3750">
        <v>0</v>
      </c>
      <c r="Q3750">
        <v>2736.37</v>
      </c>
      <c r="R3750">
        <v>437.82</v>
      </c>
      <c r="S3750">
        <v>109.45</v>
      </c>
      <c r="T3750">
        <v>3064.74</v>
      </c>
      <c r="U3750" t="s">
        <v>2652</v>
      </c>
      <c r="V3750" t="s">
        <v>9408</v>
      </c>
      <c r="W3750" t="s">
        <v>423</v>
      </c>
    </row>
    <row r="3751" spans="1:23" hidden="1" x14ac:dyDescent="0.2">
      <c r="A3751">
        <v>2012</v>
      </c>
      <c r="B3751" t="s">
        <v>303</v>
      </c>
      <c r="C3751" s="733">
        <v>40910</v>
      </c>
      <c r="D37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51" t="s">
        <v>478</v>
      </c>
      <c r="F3751" t="s">
        <v>2622</v>
      </c>
      <c r="G3751" t="s">
        <v>3803</v>
      </c>
      <c r="H3751">
        <v>34159</v>
      </c>
      <c r="I3751" t="s">
        <v>423</v>
      </c>
      <c r="J3751" t="s">
        <v>2629</v>
      </c>
      <c r="K3751" t="s">
        <v>2625</v>
      </c>
      <c r="L3751" t="s">
        <v>2626</v>
      </c>
      <c r="M3751">
        <v>33</v>
      </c>
      <c r="N3751">
        <v>21.42</v>
      </c>
      <c r="O3751">
        <v>1197.81</v>
      </c>
      <c r="P3751">
        <v>1038.44138</v>
      </c>
      <c r="Q3751">
        <v>2236.2513800000002</v>
      </c>
      <c r="R3751">
        <v>357.80022100000002</v>
      </c>
      <c r="S3751">
        <v>89.450055000000006</v>
      </c>
      <c r="T3751">
        <v>2504.6015459999999</v>
      </c>
      <c r="U3751" t="s">
        <v>2660</v>
      </c>
      <c r="V3751" t="s">
        <v>9408</v>
      </c>
      <c r="W3751" t="s">
        <v>423</v>
      </c>
    </row>
    <row r="3752" spans="1:23" hidden="1" x14ac:dyDescent="0.2">
      <c r="A3752">
        <v>2012</v>
      </c>
      <c r="B3752" t="s">
        <v>303</v>
      </c>
      <c r="C3752" s="733">
        <v>40932.476458333331</v>
      </c>
      <c r="D37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52" t="s">
        <v>478</v>
      </c>
      <c r="F3752" t="s">
        <v>2622</v>
      </c>
      <c r="G3752" t="s">
        <v>2979</v>
      </c>
      <c r="H3752">
        <v>34903</v>
      </c>
      <c r="I3752" t="s">
        <v>423</v>
      </c>
      <c r="J3752" t="s">
        <v>2629</v>
      </c>
      <c r="K3752" t="s">
        <v>2625</v>
      </c>
      <c r="L3752" t="s">
        <v>2626</v>
      </c>
      <c r="M3752">
        <v>33</v>
      </c>
      <c r="N3752">
        <v>24.28</v>
      </c>
      <c r="O3752">
        <v>2832.02</v>
      </c>
      <c r="P3752">
        <v>0</v>
      </c>
      <c r="Q3752">
        <v>2832.02</v>
      </c>
      <c r="R3752">
        <v>453.12</v>
      </c>
      <c r="S3752">
        <v>113.28</v>
      </c>
      <c r="T3752">
        <v>3171.86</v>
      </c>
      <c r="U3752" t="s">
        <v>2633</v>
      </c>
      <c r="V3752" t="s">
        <v>9408</v>
      </c>
      <c r="W3752" t="s">
        <v>423</v>
      </c>
    </row>
    <row r="3753" spans="1:23" hidden="1" x14ac:dyDescent="0.2">
      <c r="A3753">
        <v>2012</v>
      </c>
      <c r="B3753" t="s">
        <v>304</v>
      </c>
      <c r="C3753" s="733">
        <v>40952</v>
      </c>
      <c r="D37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53" t="s">
        <v>478</v>
      </c>
      <c r="F3753" t="s">
        <v>2136</v>
      </c>
      <c r="G3753" t="s">
        <v>4274</v>
      </c>
      <c r="H3753">
        <v>35482</v>
      </c>
      <c r="I3753" t="s">
        <v>423</v>
      </c>
      <c r="J3753" t="s">
        <v>2144</v>
      </c>
      <c r="K3753" t="s">
        <v>425</v>
      </c>
      <c r="L3753" t="s">
        <v>2145</v>
      </c>
      <c r="M3753">
        <v>1354</v>
      </c>
      <c r="N3753">
        <v>40.94</v>
      </c>
      <c r="O3753">
        <v>37123.980000000003</v>
      </c>
      <c r="P3753">
        <v>0</v>
      </c>
      <c r="Q3753">
        <v>37123.980000000003</v>
      </c>
      <c r="R3753">
        <v>5939.84</v>
      </c>
      <c r="S3753">
        <v>1484.96</v>
      </c>
      <c r="T3753">
        <v>41578.86</v>
      </c>
      <c r="U3753" t="s">
        <v>7523</v>
      </c>
      <c r="V3753" t="s">
        <v>9409</v>
      </c>
      <c r="W3753" t="s">
        <v>423</v>
      </c>
    </row>
    <row r="3754" spans="1:23" hidden="1" x14ac:dyDescent="0.2">
      <c r="A3754">
        <v>2012</v>
      </c>
      <c r="B3754" t="s">
        <v>304</v>
      </c>
      <c r="C3754" s="733">
        <v>40966</v>
      </c>
      <c r="D37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54" t="s">
        <v>485</v>
      </c>
      <c r="F3754" t="s">
        <v>2065</v>
      </c>
      <c r="G3754" t="s">
        <v>8843</v>
      </c>
      <c r="H3754">
        <v>42364</v>
      </c>
      <c r="I3754" t="s">
        <v>423</v>
      </c>
      <c r="J3754" t="s">
        <v>2189</v>
      </c>
      <c r="K3754" t="s">
        <v>2183</v>
      </c>
      <c r="L3754" t="s">
        <v>2184</v>
      </c>
      <c r="M3754">
        <v>720</v>
      </c>
      <c r="N3754">
        <v>25.53</v>
      </c>
      <c r="O3754">
        <v>11332.51</v>
      </c>
      <c r="P3754">
        <v>0</v>
      </c>
      <c r="Q3754">
        <v>11332.51</v>
      </c>
      <c r="R3754">
        <v>1813.2</v>
      </c>
      <c r="S3754">
        <v>453.3</v>
      </c>
      <c r="T3754">
        <v>12692.41</v>
      </c>
      <c r="V3754" t="s">
        <v>9408</v>
      </c>
      <c r="W3754" t="s">
        <v>423</v>
      </c>
    </row>
    <row r="3755" spans="1:23" hidden="1" x14ac:dyDescent="0.2">
      <c r="A3755">
        <v>2012</v>
      </c>
      <c r="B3755" t="s">
        <v>304</v>
      </c>
      <c r="C3755" s="733">
        <v>40954</v>
      </c>
      <c r="D37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55" t="s">
        <v>478</v>
      </c>
      <c r="F3755" t="s">
        <v>2622</v>
      </c>
      <c r="G3755" t="s">
        <v>7547</v>
      </c>
      <c r="H3755">
        <v>35599</v>
      </c>
      <c r="I3755" t="s">
        <v>423</v>
      </c>
      <c r="J3755" t="s">
        <v>2629</v>
      </c>
      <c r="K3755" t="s">
        <v>2625</v>
      </c>
      <c r="L3755" t="s">
        <v>2626</v>
      </c>
      <c r="M3755">
        <v>33</v>
      </c>
      <c r="N3755">
        <v>24.8</v>
      </c>
      <c r="O3755">
        <v>2892.67</v>
      </c>
      <c r="P3755">
        <v>0</v>
      </c>
      <c r="Q3755">
        <v>2892.67</v>
      </c>
      <c r="R3755">
        <v>462.83</v>
      </c>
      <c r="S3755">
        <v>115.71</v>
      </c>
      <c r="T3755">
        <v>3239.79</v>
      </c>
      <c r="U3755" t="s">
        <v>7548</v>
      </c>
      <c r="V3755" t="s">
        <v>9408</v>
      </c>
      <c r="W3755" t="s">
        <v>423</v>
      </c>
    </row>
    <row r="3756" spans="1:23" hidden="1" x14ac:dyDescent="0.2">
      <c r="A3756">
        <v>2012</v>
      </c>
      <c r="B3756" t="s">
        <v>303</v>
      </c>
      <c r="C3756" s="733">
        <v>40939</v>
      </c>
      <c r="D37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56" t="s">
        <v>485</v>
      </c>
      <c r="F3756" t="s">
        <v>2065</v>
      </c>
      <c r="G3756" t="s">
        <v>2188</v>
      </c>
      <c r="H3756">
        <v>40677</v>
      </c>
      <c r="I3756" t="s">
        <v>423</v>
      </c>
      <c r="J3756" t="s">
        <v>2189</v>
      </c>
      <c r="K3756" t="s">
        <v>2183</v>
      </c>
      <c r="L3756" t="s">
        <v>2184</v>
      </c>
      <c r="M3756">
        <v>720</v>
      </c>
      <c r="N3756">
        <v>25.6</v>
      </c>
      <c r="O3756">
        <v>11363.58</v>
      </c>
      <c r="P3756">
        <v>0</v>
      </c>
      <c r="Q3756">
        <v>11363.58</v>
      </c>
      <c r="R3756">
        <v>1818.17</v>
      </c>
      <c r="S3756">
        <v>454.54</v>
      </c>
      <c r="T3756">
        <v>12727.21</v>
      </c>
      <c r="U3756" t="s">
        <v>2187</v>
      </c>
      <c r="V3756" t="s">
        <v>9408</v>
      </c>
      <c r="W3756" t="s">
        <v>423</v>
      </c>
    </row>
    <row r="3757" spans="1:23" hidden="1" x14ac:dyDescent="0.2">
      <c r="A3757">
        <v>2012</v>
      </c>
      <c r="B3757" t="s">
        <v>303</v>
      </c>
      <c r="C3757" s="733">
        <v>40919</v>
      </c>
      <c r="D37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57" t="s">
        <v>485</v>
      </c>
      <c r="F3757" t="s">
        <v>2065</v>
      </c>
      <c r="G3757" t="s">
        <v>3960</v>
      </c>
      <c r="H3757">
        <v>40021</v>
      </c>
      <c r="I3757" t="s">
        <v>423</v>
      </c>
      <c r="J3757" t="s">
        <v>2189</v>
      </c>
      <c r="K3757" t="s">
        <v>2183</v>
      </c>
      <c r="L3757" t="s">
        <v>2184</v>
      </c>
      <c r="M3757">
        <v>720</v>
      </c>
      <c r="N3757">
        <v>25.28</v>
      </c>
      <c r="O3757">
        <v>11221.54</v>
      </c>
      <c r="P3757">
        <v>0</v>
      </c>
      <c r="Q3757">
        <v>11221.54</v>
      </c>
      <c r="R3757">
        <v>1795.45</v>
      </c>
      <c r="S3757">
        <v>448.86</v>
      </c>
      <c r="T3757">
        <v>12568.13</v>
      </c>
      <c r="U3757" t="s">
        <v>7520</v>
      </c>
      <c r="V3757" t="s">
        <v>9408</v>
      </c>
      <c r="W3757" t="s">
        <v>423</v>
      </c>
    </row>
    <row r="3758" spans="1:23" hidden="1" x14ac:dyDescent="0.2">
      <c r="A3758">
        <v>2012</v>
      </c>
      <c r="B3758" t="s">
        <v>304</v>
      </c>
      <c r="C3758" s="733">
        <v>40960</v>
      </c>
      <c r="D37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58" t="s">
        <v>478</v>
      </c>
      <c r="F3758" t="s">
        <v>2136</v>
      </c>
      <c r="G3758" t="s">
        <v>8420</v>
      </c>
      <c r="H3758">
        <v>35697</v>
      </c>
      <c r="I3758" t="s">
        <v>423</v>
      </c>
      <c r="J3758" t="s">
        <v>4289</v>
      </c>
      <c r="K3758" t="s">
        <v>425</v>
      </c>
      <c r="L3758" t="s">
        <v>2145</v>
      </c>
      <c r="M3758">
        <v>775</v>
      </c>
      <c r="N3758">
        <v>21.61</v>
      </c>
      <c r="O3758">
        <v>8275.1200000000008</v>
      </c>
      <c r="P3758">
        <v>0</v>
      </c>
      <c r="Q3758">
        <v>8275.1200000000008</v>
      </c>
      <c r="R3758">
        <v>1324.02</v>
      </c>
      <c r="S3758">
        <v>331</v>
      </c>
      <c r="T3758">
        <v>9268.14</v>
      </c>
      <c r="U3758" t="s">
        <v>8312</v>
      </c>
      <c r="V3758" t="s">
        <v>9408</v>
      </c>
      <c r="W3758" t="s">
        <v>423</v>
      </c>
    </row>
    <row r="3759" spans="1:23" hidden="1" x14ac:dyDescent="0.2">
      <c r="A3759">
        <v>2012</v>
      </c>
      <c r="B3759" t="s">
        <v>303</v>
      </c>
      <c r="C3759" s="733">
        <v>40925</v>
      </c>
      <c r="D37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59" t="s">
        <v>485</v>
      </c>
      <c r="F3759" t="s">
        <v>2065</v>
      </c>
      <c r="G3759" t="s">
        <v>5403</v>
      </c>
      <c r="H3759">
        <v>40447</v>
      </c>
      <c r="I3759" t="s">
        <v>423</v>
      </c>
      <c r="J3759" t="s">
        <v>2196</v>
      </c>
      <c r="K3759" t="s">
        <v>2183</v>
      </c>
      <c r="L3759" t="s">
        <v>2184</v>
      </c>
      <c r="M3759">
        <v>10</v>
      </c>
      <c r="N3759">
        <v>26.42</v>
      </c>
      <c r="O3759">
        <v>2982.03</v>
      </c>
      <c r="P3759">
        <v>0</v>
      </c>
      <c r="Q3759">
        <v>2982.03</v>
      </c>
      <c r="R3759">
        <v>477.12</v>
      </c>
      <c r="S3759">
        <v>119.28</v>
      </c>
      <c r="T3759">
        <v>3339.87</v>
      </c>
      <c r="U3759" t="s">
        <v>7554</v>
      </c>
      <c r="V3759" t="s">
        <v>9408</v>
      </c>
      <c r="W3759" t="s">
        <v>423</v>
      </c>
    </row>
    <row r="3760" spans="1:23" hidden="1" x14ac:dyDescent="0.2">
      <c r="A3760">
        <v>2012</v>
      </c>
      <c r="B3760" t="s">
        <v>304</v>
      </c>
      <c r="C3760" s="733">
        <v>40956</v>
      </c>
      <c r="D37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60" t="s">
        <v>485</v>
      </c>
      <c r="F3760" t="s">
        <v>2065</v>
      </c>
      <c r="G3760" t="s">
        <v>7718</v>
      </c>
      <c r="H3760">
        <v>42042</v>
      </c>
      <c r="I3760" t="s">
        <v>423</v>
      </c>
      <c r="J3760" t="s">
        <v>2139</v>
      </c>
      <c r="K3760" t="s">
        <v>2102</v>
      </c>
      <c r="L3760" t="s">
        <v>2115</v>
      </c>
      <c r="M3760">
        <v>543</v>
      </c>
      <c r="N3760">
        <v>48.84</v>
      </c>
      <c r="O3760">
        <v>16422.45</v>
      </c>
      <c r="P3760">
        <v>0</v>
      </c>
      <c r="Q3760">
        <v>16422.45</v>
      </c>
      <c r="R3760">
        <v>2627.59</v>
      </c>
      <c r="S3760">
        <v>656.9</v>
      </c>
      <c r="T3760">
        <v>18393.14</v>
      </c>
      <c r="U3760" t="s">
        <v>8883</v>
      </c>
      <c r="V3760" t="s">
        <v>9409</v>
      </c>
      <c r="W3760" t="s">
        <v>423</v>
      </c>
    </row>
    <row r="3761" spans="1:23" hidden="1" x14ac:dyDescent="0.2">
      <c r="A3761">
        <v>2012</v>
      </c>
      <c r="B3761" t="s">
        <v>303</v>
      </c>
      <c r="C3761" s="733">
        <v>40921</v>
      </c>
      <c r="D37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61" t="s">
        <v>485</v>
      </c>
      <c r="F3761" t="s">
        <v>2065</v>
      </c>
      <c r="G3761" t="s">
        <v>4118</v>
      </c>
      <c r="H3761">
        <v>40162</v>
      </c>
      <c r="I3761" t="s">
        <v>423</v>
      </c>
      <c r="J3761" t="s">
        <v>2139</v>
      </c>
      <c r="K3761" t="s">
        <v>2102</v>
      </c>
      <c r="L3761" t="s">
        <v>2115</v>
      </c>
      <c r="M3761">
        <v>543</v>
      </c>
      <c r="N3761">
        <v>49.29</v>
      </c>
      <c r="O3761">
        <v>16573.759999999998</v>
      </c>
      <c r="P3761">
        <v>0</v>
      </c>
      <c r="Q3761">
        <v>16573.759999999998</v>
      </c>
      <c r="R3761">
        <v>2651.8</v>
      </c>
      <c r="S3761">
        <v>662.95</v>
      </c>
      <c r="T3761">
        <v>18562.61</v>
      </c>
      <c r="U3761" t="s">
        <v>2106</v>
      </c>
      <c r="V3761" t="s">
        <v>9409</v>
      </c>
      <c r="W3761" t="s">
        <v>423</v>
      </c>
    </row>
    <row r="3762" spans="1:23" hidden="1" x14ac:dyDescent="0.2">
      <c r="A3762">
        <v>2012</v>
      </c>
      <c r="B3762" t="s">
        <v>304</v>
      </c>
      <c r="C3762" s="733">
        <v>40942</v>
      </c>
      <c r="D37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62" t="s">
        <v>485</v>
      </c>
      <c r="F3762" t="s">
        <v>2065</v>
      </c>
      <c r="G3762" t="s">
        <v>4117</v>
      </c>
      <c r="H3762">
        <v>41342</v>
      </c>
      <c r="I3762" t="s">
        <v>423</v>
      </c>
      <c r="J3762" t="s">
        <v>2139</v>
      </c>
      <c r="K3762" t="s">
        <v>2102</v>
      </c>
      <c r="L3762" t="s">
        <v>2115</v>
      </c>
      <c r="M3762">
        <v>543</v>
      </c>
      <c r="N3762">
        <v>26.26</v>
      </c>
      <c r="O3762">
        <v>8829.92</v>
      </c>
      <c r="P3762">
        <v>0</v>
      </c>
      <c r="Q3762">
        <v>8829.92</v>
      </c>
      <c r="R3762">
        <v>1412.79</v>
      </c>
      <c r="S3762">
        <v>353.2</v>
      </c>
      <c r="T3762">
        <v>9889.51</v>
      </c>
      <c r="U3762" t="s">
        <v>8051</v>
      </c>
      <c r="V3762" t="s">
        <v>9408</v>
      </c>
      <c r="W3762" t="s">
        <v>423</v>
      </c>
    </row>
    <row r="3763" spans="1:23" hidden="1" x14ac:dyDescent="0.2">
      <c r="A3763">
        <v>2012</v>
      </c>
      <c r="B3763" t="s">
        <v>303</v>
      </c>
      <c r="C3763" s="733">
        <v>40938</v>
      </c>
      <c r="D37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63" t="s">
        <v>485</v>
      </c>
      <c r="F3763" t="s">
        <v>2065</v>
      </c>
      <c r="G3763" t="s">
        <v>5999</v>
      </c>
      <c r="H3763">
        <v>41077</v>
      </c>
      <c r="I3763" t="s">
        <v>423</v>
      </c>
      <c r="J3763" t="s">
        <v>3202</v>
      </c>
      <c r="K3763" t="s">
        <v>2183</v>
      </c>
      <c r="L3763" t="s">
        <v>2184</v>
      </c>
      <c r="M3763">
        <v>80</v>
      </c>
      <c r="N3763">
        <v>15.44</v>
      </c>
      <c r="O3763">
        <v>1742.71</v>
      </c>
      <c r="P3763">
        <v>0</v>
      </c>
      <c r="Q3763">
        <v>1742.71</v>
      </c>
      <c r="R3763">
        <v>278.83</v>
      </c>
      <c r="S3763">
        <v>69.709999999999994</v>
      </c>
      <c r="T3763">
        <v>1951.83</v>
      </c>
      <c r="U3763" t="s">
        <v>2187</v>
      </c>
      <c r="V3763" t="s">
        <v>9408</v>
      </c>
      <c r="W3763" t="s">
        <v>423</v>
      </c>
    </row>
    <row r="3764" spans="1:23" hidden="1" x14ac:dyDescent="0.2">
      <c r="A3764">
        <v>2012</v>
      </c>
      <c r="B3764" t="s">
        <v>304</v>
      </c>
      <c r="C3764" s="733">
        <v>40959</v>
      </c>
      <c r="D37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64" t="s">
        <v>485</v>
      </c>
      <c r="F3764" t="s">
        <v>2065</v>
      </c>
      <c r="G3764" t="s">
        <v>7786</v>
      </c>
      <c r="H3764">
        <v>42109</v>
      </c>
      <c r="I3764" t="s">
        <v>423</v>
      </c>
      <c r="J3764" t="s">
        <v>2196</v>
      </c>
      <c r="K3764" t="s">
        <v>2183</v>
      </c>
      <c r="L3764" t="s">
        <v>2184</v>
      </c>
      <c r="M3764">
        <v>10</v>
      </c>
      <c r="N3764">
        <v>25.78</v>
      </c>
      <c r="O3764">
        <v>2909.79</v>
      </c>
      <c r="P3764">
        <v>0</v>
      </c>
      <c r="Q3764">
        <v>2909.79</v>
      </c>
      <c r="R3764">
        <v>465.57</v>
      </c>
      <c r="S3764">
        <v>116.39</v>
      </c>
      <c r="T3764">
        <v>3258.97</v>
      </c>
      <c r="U3764" t="s">
        <v>9411</v>
      </c>
      <c r="V3764" t="s">
        <v>9408</v>
      </c>
      <c r="W3764" t="s">
        <v>423</v>
      </c>
    </row>
    <row r="3765" spans="1:23" hidden="1" x14ac:dyDescent="0.2">
      <c r="A3765">
        <v>2012</v>
      </c>
      <c r="B3765" t="s">
        <v>303</v>
      </c>
      <c r="C3765" s="733">
        <v>40933</v>
      </c>
      <c r="D37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65" t="s">
        <v>485</v>
      </c>
      <c r="F3765" t="s">
        <v>2065</v>
      </c>
      <c r="G3765" t="s">
        <v>5406</v>
      </c>
      <c r="H3765">
        <v>40852</v>
      </c>
      <c r="I3765" t="s">
        <v>423</v>
      </c>
      <c r="J3765" t="s">
        <v>2196</v>
      </c>
      <c r="K3765" t="s">
        <v>2183</v>
      </c>
      <c r="L3765" t="s">
        <v>2115</v>
      </c>
      <c r="M3765">
        <v>10</v>
      </c>
      <c r="N3765">
        <v>24.63</v>
      </c>
      <c r="O3765">
        <v>2779.99</v>
      </c>
      <c r="P3765">
        <v>0</v>
      </c>
      <c r="Q3765">
        <v>2779.99</v>
      </c>
      <c r="R3765">
        <v>444.8</v>
      </c>
      <c r="S3765">
        <v>111.2</v>
      </c>
      <c r="T3765">
        <v>3113.59</v>
      </c>
      <c r="U3765" t="s">
        <v>2187</v>
      </c>
      <c r="V3765" t="s">
        <v>9408</v>
      </c>
      <c r="W3765" t="s">
        <v>423</v>
      </c>
    </row>
    <row r="3766" spans="1:23" hidden="1" x14ac:dyDescent="0.2">
      <c r="A3766">
        <v>2012</v>
      </c>
      <c r="B3766" t="s">
        <v>303</v>
      </c>
      <c r="C3766" s="733">
        <v>40918.399687500001</v>
      </c>
      <c r="D37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66" t="s">
        <v>485</v>
      </c>
      <c r="F3766" t="s">
        <v>2065</v>
      </c>
      <c r="G3766" t="s">
        <v>5756</v>
      </c>
      <c r="H3766">
        <v>40045</v>
      </c>
      <c r="I3766" t="s">
        <v>423</v>
      </c>
      <c r="J3766" t="s">
        <v>2196</v>
      </c>
      <c r="K3766" t="s">
        <v>2183</v>
      </c>
      <c r="L3766" t="s">
        <v>2184</v>
      </c>
      <c r="M3766">
        <v>10</v>
      </c>
      <c r="N3766">
        <v>25.84</v>
      </c>
      <c r="O3766">
        <v>2916.56</v>
      </c>
      <c r="P3766">
        <v>0</v>
      </c>
      <c r="Q3766">
        <v>2916.56</v>
      </c>
      <c r="R3766">
        <v>466.65</v>
      </c>
      <c r="S3766">
        <v>116.66</v>
      </c>
      <c r="T3766">
        <v>3266.55</v>
      </c>
      <c r="U3766" t="s">
        <v>7587</v>
      </c>
      <c r="V3766" t="s">
        <v>9408</v>
      </c>
      <c r="W3766" t="s">
        <v>423</v>
      </c>
    </row>
    <row r="3767" spans="1:23" hidden="1" x14ac:dyDescent="0.2">
      <c r="A3767">
        <v>2012</v>
      </c>
      <c r="B3767" t="s">
        <v>303</v>
      </c>
      <c r="C3767" s="733">
        <v>40928</v>
      </c>
      <c r="D37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67" t="s">
        <v>485</v>
      </c>
      <c r="F3767" t="s">
        <v>2065</v>
      </c>
      <c r="G3767" t="s">
        <v>5404</v>
      </c>
      <c r="H3767">
        <v>40605</v>
      </c>
      <c r="I3767" t="s">
        <v>423</v>
      </c>
      <c r="J3767" t="s">
        <v>2196</v>
      </c>
      <c r="K3767" t="s">
        <v>2183</v>
      </c>
      <c r="L3767" t="s">
        <v>2184</v>
      </c>
      <c r="M3767">
        <v>10</v>
      </c>
      <c r="N3767">
        <v>15.65</v>
      </c>
      <c r="O3767">
        <v>1766.42</v>
      </c>
      <c r="P3767">
        <v>0</v>
      </c>
      <c r="Q3767">
        <v>1766.42</v>
      </c>
      <c r="R3767">
        <v>282.63</v>
      </c>
      <c r="S3767">
        <v>70.66</v>
      </c>
      <c r="T3767">
        <v>1978.39</v>
      </c>
      <c r="U3767" t="s">
        <v>7554</v>
      </c>
      <c r="V3767" t="s">
        <v>9408</v>
      </c>
      <c r="W3767" t="s">
        <v>423</v>
      </c>
    </row>
    <row r="3768" spans="1:23" hidden="1" x14ac:dyDescent="0.2">
      <c r="A3768">
        <v>2012</v>
      </c>
      <c r="B3768" t="s">
        <v>304</v>
      </c>
      <c r="C3768" s="733">
        <v>40940</v>
      </c>
      <c r="D37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68" t="s">
        <v>485</v>
      </c>
      <c r="F3768" t="s">
        <v>2065</v>
      </c>
      <c r="G3768" t="s">
        <v>4119</v>
      </c>
      <c r="H3768">
        <v>41215</v>
      </c>
      <c r="I3768" t="s">
        <v>423</v>
      </c>
      <c r="J3768" t="s">
        <v>2139</v>
      </c>
      <c r="K3768" t="s">
        <v>2102</v>
      </c>
      <c r="L3768" t="s">
        <v>2115</v>
      </c>
      <c r="M3768">
        <v>543</v>
      </c>
      <c r="N3768">
        <v>52.55</v>
      </c>
      <c r="O3768">
        <v>17669.939999999999</v>
      </c>
      <c r="P3768">
        <v>0</v>
      </c>
      <c r="Q3768">
        <v>17669.939999999999</v>
      </c>
      <c r="R3768">
        <v>2827.19</v>
      </c>
      <c r="S3768">
        <v>706.8</v>
      </c>
      <c r="T3768">
        <v>19790.330000000002</v>
      </c>
      <c r="U3768" t="s">
        <v>2110</v>
      </c>
      <c r="V3768" t="s">
        <v>9409</v>
      </c>
      <c r="W3768" t="s">
        <v>423</v>
      </c>
    </row>
    <row r="3769" spans="1:23" hidden="1" x14ac:dyDescent="0.2">
      <c r="A3769">
        <v>2012</v>
      </c>
      <c r="B3769" t="s">
        <v>304</v>
      </c>
      <c r="C3769" s="733">
        <v>40948</v>
      </c>
      <c r="D37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69" t="s">
        <v>485</v>
      </c>
      <c r="F3769" t="s">
        <v>2065</v>
      </c>
      <c r="G3769" t="s">
        <v>5405</v>
      </c>
      <c r="H3769">
        <v>41612</v>
      </c>
      <c r="I3769" t="s">
        <v>423</v>
      </c>
      <c r="J3769" t="s">
        <v>2196</v>
      </c>
      <c r="K3769" t="s">
        <v>2183</v>
      </c>
      <c r="L3769" t="s">
        <v>2184</v>
      </c>
      <c r="M3769">
        <v>10</v>
      </c>
      <c r="N3769">
        <v>16.079999999999998</v>
      </c>
      <c r="O3769">
        <v>1814.95</v>
      </c>
      <c r="P3769">
        <v>0</v>
      </c>
      <c r="Q3769">
        <v>1814.95</v>
      </c>
      <c r="R3769">
        <v>290.39</v>
      </c>
      <c r="S3769">
        <v>72.599999999999994</v>
      </c>
      <c r="T3769">
        <v>2032.74</v>
      </c>
      <c r="U3769" t="s">
        <v>2192</v>
      </c>
      <c r="V3769" t="s">
        <v>9408</v>
      </c>
      <c r="W3769" t="s">
        <v>423</v>
      </c>
    </row>
    <row r="3770" spans="1:23" x14ac:dyDescent="0.2">
      <c r="A3770">
        <v>2012</v>
      </c>
      <c r="B3770" t="s">
        <v>304</v>
      </c>
      <c r="C3770" s="733">
        <v>40967</v>
      </c>
      <c r="D37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70" t="s">
        <v>485</v>
      </c>
      <c r="F3770" t="s">
        <v>2065</v>
      </c>
      <c r="G3770" t="s">
        <v>9243</v>
      </c>
      <c r="H3770">
        <v>42778</v>
      </c>
      <c r="I3770" t="s">
        <v>423</v>
      </c>
      <c r="J3770" t="s">
        <v>2196</v>
      </c>
      <c r="K3770" t="s">
        <v>2183</v>
      </c>
      <c r="L3770" t="s">
        <v>2184</v>
      </c>
      <c r="M3770">
        <v>10</v>
      </c>
      <c r="N3770">
        <v>15.95</v>
      </c>
      <c r="O3770">
        <v>1800.28</v>
      </c>
      <c r="P3770">
        <v>0</v>
      </c>
      <c r="Q3770">
        <v>1800.28</v>
      </c>
      <c r="R3770">
        <v>288.04000000000002</v>
      </c>
      <c r="S3770">
        <v>72.010000000000005</v>
      </c>
      <c r="T3770">
        <v>2016.31</v>
      </c>
      <c r="V3770" t="s">
        <v>9408</v>
      </c>
      <c r="W3770" t="s">
        <v>423</v>
      </c>
    </row>
    <row r="3771" spans="1:23" hidden="1" x14ac:dyDescent="0.2">
      <c r="A3771">
        <v>2012</v>
      </c>
      <c r="B3771" t="s">
        <v>304</v>
      </c>
      <c r="C3771" s="733">
        <v>40952</v>
      </c>
      <c r="D37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71" t="s">
        <v>485</v>
      </c>
      <c r="F3771" t="s">
        <v>2065</v>
      </c>
      <c r="G3771" t="s">
        <v>5757</v>
      </c>
      <c r="H3771">
        <v>41702</v>
      </c>
      <c r="I3771" t="s">
        <v>423</v>
      </c>
      <c r="J3771" t="s">
        <v>2196</v>
      </c>
      <c r="K3771" t="s">
        <v>2183</v>
      </c>
      <c r="L3771" t="s">
        <v>2184</v>
      </c>
      <c r="M3771">
        <v>10</v>
      </c>
      <c r="N3771">
        <v>15.79</v>
      </c>
      <c r="O3771">
        <v>1782.22</v>
      </c>
      <c r="P3771">
        <v>0</v>
      </c>
      <c r="Q3771">
        <v>1782.22</v>
      </c>
      <c r="R3771">
        <v>285.14999999999998</v>
      </c>
      <c r="S3771">
        <v>71.290000000000006</v>
      </c>
      <c r="T3771">
        <v>1996.08</v>
      </c>
      <c r="U3771" t="s">
        <v>8048</v>
      </c>
      <c r="V3771" t="s">
        <v>9408</v>
      </c>
      <c r="W3771" t="s">
        <v>423</v>
      </c>
    </row>
    <row r="3772" spans="1:23" hidden="1" x14ac:dyDescent="0.2">
      <c r="A3772">
        <v>2012</v>
      </c>
      <c r="B3772" t="s">
        <v>303</v>
      </c>
      <c r="C3772" s="733">
        <v>40933</v>
      </c>
      <c r="D37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72" t="s">
        <v>485</v>
      </c>
      <c r="F3772" t="s">
        <v>2065</v>
      </c>
      <c r="G3772" t="s">
        <v>4121</v>
      </c>
      <c r="H3772">
        <v>40807</v>
      </c>
      <c r="I3772" t="s">
        <v>423</v>
      </c>
      <c r="J3772" t="s">
        <v>2139</v>
      </c>
      <c r="K3772" t="s">
        <v>2102</v>
      </c>
      <c r="L3772" t="s">
        <v>2115</v>
      </c>
      <c r="M3772">
        <v>543</v>
      </c>
      <c r="N3772">
        <v>52.78</v>
      </c>
      <c r="O3772">
        <v>17747.28</v>
      </c>
      <c r="P3772">
        <v>0</v>
      </c>
      <c r="Q3772">
        <v>17747.28</v>
      </c>
      <c r="R3772">
        <v>2839.56</v>
      </c>
      <c r="S3772">
        <v>709.89</v>
      </c>
      <c r="T3772">
        <v>19876.95</v>
      </c>
      <c r="U3772" t="s">
        <v>2110</v>
      </c>
      <c r="V3772" t="s">
        <v>9409</v>
      </c>
      <c r="W3772" t="s">
        <v>423</v>
      </c>
    </row>
    <row r="3773" spans="1:23" hidden="1" x14ac:dyDescent="0.2">
      <c r="A3773">
        <v>2012</v>
      </c>
      <c r="B3773" t="s">
        <v>304</v>
      </c>
      <c r="C3773" s="733">
        <v>40942</v>
      </c>
      <c r="D37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73" t="s">
        <v>478</v>
      </c>
      <c r="F3773" t="s">
        <v>2136</v>
      </c>
      <c r="G3773" t="s">
        <v>6604</v>
      </c>
      <c r="H3773">
        <v>35272</v>
      </c>
      <c r="I3773" t="s">
        <v>423</v>
      </c>
      <c r="J3773" t="s">
        <v>4285</v>
      </c>
      <c r="K3773" t="s">
        <v>425</v>
      </c>
      <c r="L3773" t="s">
        <v>2145</v>
      </c>
      <c r="M3773">
        <v>110</v>
      </c>
      <c r="N3773">
        <v>23.51</v>
      </c>
      <c r="O3773">
        <v>3826.25</v>
      </c>
      <c r="P3773">
        <v>0</v>
      </c>
      <c r="Q3773">
        <v>3826.25</v>
      </c>
      <c r="R3773">
        <v>612.20000000000005</v>
      </c>
      <c r="S3773">
        <v>153.05000000000001</v>
      </c>
      <c r="T3773">
        <v>4285.3999999999996</v>
      </c>
      <c r="U3773" t="s">
        <v>3115</v>
      </c>
      <c r="V3773" t="s">
        <v>9409</v>
      </c>
      <c r="W3773" t="s">
        <v>423</v>
      </c>
    </row>
    <row r="3774" spans="1:23" hidden="1" x14ac:dyDescent="0.2">
      <c r="A3774">
        <v>2012</v>
      </c>
      <c r="B3774" t="s">
        <v>304</v>
      </c>
      <c r="C3774" s="733">
        <v>40941</v>
      </c>
      <c r="D37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74" t="s">
        <v>478</v>
      </c>
      <c r="F3774" t="s">
        <v>2136</v>
      </c>
      <c r="G3774" t="s">
        <v>6605</v>
      </c>
      <c r="H3774">
        <v>35181</v>
      </c>
      <c r="I3774" t="s">
        <v>423</v>
      </c>
      <c r="J3774" t="s">
        <v>4285</v>
      </c>
      <c r="K3774" t="s">
        <v>425</v>
      </c>
      <c r="L3774" t="s">
        <v>2145</v>
      </c>
      <c r="M3774">
        <v>110</v>
      </c>
      <c r="N3774">
        <v>54.89</v>
      </c>
      <c r="O3774">
        <v>8933.35</v>
      </c>
      <c r="P3774">
        <v>0</v>
      </c>
      <c r="Q3774">
        <v>8933.35</v>
      </c>
      <c r="R3774">
        <v>1429.34</v>
      </c>
      <c r="S3774">
        <v>357.33</v>
      </c>
      <c r="T3774">
        <v>10005.36</v>
      </c>
      <c r="U3774" t="s">
        <v>2580</v>
      </c>
      <c r="V3774" t="s">
        <v>9409</v>
      </c>
      <c r="W3774" t="s">
        <v>423</v>
      </c>
    </row>
    <row r="3775" spans="1:23" x14ac:dyDescent="0.2">
      <c r="A3775">
        <v>2012</v>
      </c>
      <c r="B3775" t="s">
        <v>304</v>
      </c>
      <c r="C3775" s="733">
        <v>40968</v>
      </c>
      <c r="D37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75" t="s">
        <v>485</v>
      </c>
      <c r="F3775" t="s">
        <v>2065</v>
      </c>
      <c r="G3775" t="s">
        <v>9231</v>
      </c>
      <c r="H3775">
        <v>42836</v>
      </c>
      <c r="I3775" t="s">
        <v>423</v>
      </c>
      <c r="J3775" t="s">
        <v>2196</v>
      </c>
      <c r="K3775" t="s">
        <v>2183</v>
      </c>
      <c r="L3775" t="s">
        <v>2184</v>
      </c>
      <c r="M3775">
        <v>10</v>
      </c>
      <c r="N3775">
        <v>15.63</v>
      </c>
      <c r="O3775">
        <v>1764.16</v>
      </c>
      <c r="P3775">
        <v>0</v>
      </c>
      <c r="Q3775">
        <v>1764.16</v>
      </c>
      <c r="R3775">
        <v>282.27</v>
      </c>
      <c r="S3775">
        <v>70.569999999999993</v>
      </c>
      <c r="T3775">
        <v>1975.86</v>
      </c>
      <c r="V3775" t="s">
        <v>9408</v>
      </c>
      <c r="W3775" t="s">
        <v>423</v>
      </c>
    </row>
    <row r="3776" spans="1:23" hidden="1" x14ac:dyDescent="0.2">
      <c r="A3776">
        <v>2012</v>
      </c>
      <c r="B3776" t="s">
        <v>304</v>
      </c>
      <c r="C3776" s="733">
        <v>40948</v>
      </c>
      <c r="D37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76" t="s">
        <v>485</v>
      </c>
      <c r="F3776" t="s">
        <v>2065</v>
      </c>
      <c r="G3776" t="s">
        <v>5759</v>
      </c>
      <c r="H3776">
        <v>41603</v>
      </c>
      <c r="I3776" t="s">
        <v>423</v>
      </c>
      <c r="J3776" t="s">
        <v>2196</v>
      </c>
      <c r="K3776" t="s">
        <v>2183</v>
      </c>
      <c r="L3776" t="s">
        <v>2184</v>
      </c>
      <c r="M3776">
        <v>10</v>
      </c>
      <c r="N3776">
        <v>15.21</v>
      </c>
      <c r="O3776">
        <v>1716.75</v>
      </c>
      <c r="P3776">
        <v>0</v>
      </c>
      <c r="Q3776">
        <v>1716.75</v>
      </c>
      <c r="R3776">
        <v>274.68</v>
      </c>
      <c r="S3776">
        <v>68.67</v>
      </c>
      <c r="T3776">
        <v>1922.76</v>
      </c>
      <c r="U3776" t="s">
        <v>2192</v>
      </c>
      <c r="V3776" t="s">
        <v>9408</v>
      </c>
      <c r="W3776" t="s">
        <v>423</v>
      </c>
    </row>
    <row r="3777" spans="1:23" x14ac:dyDescent="0.2">
      <c r="A3777">
        <v>2012</v>
      </c>
      <c r="B3777" t="s">
        <v>304</v>
      </c>
      <c r="C3777" s="733">
        <v>40967</v>
      </c>
      <c r="D37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77" t="s">
        <v>485</v>
      </c>
      <c r="F3777" t="s">
        <v>2065</v>
      </c>
      <c r="G3777" t="s">
        <v>9232</v>
      </c>
      <c r="H3777">
        <v>42640</v>
      </c>
      <c r="I3777" t="s">
        <v>423</v>
      </c>
      <c r="J3777" t="s">
        <v>2196</v>
      </c>
      <c r="K3777" t="s">
        <v>2183</v>
      </c>
      <c r="L3777" t="s">
        <v>2184</v>
      </c>
      <c r="M3777">
        <v>10</v>
      </c>
      <c r="N3777">
        <v>48.95</v>
      </c>
      <c r="O3777">
        <v>5524.99</v>
      </c>
      <c r="P3777">
        <v>0</v>
      </c>
      <c r="Q3777">
        <v>5524.99</v>
      </c>
      <c r="R3777">
        <v>884</v>
      </c>
      <c r="S3777">
        <v>221</v>
      </c>
      <c r="T3777">
        <v>6187.99</v>
      </c>
      <c r="V3777" t="s">
        <v>9409</v>
      </c>
      <c r="W3777" t="s">
        <v>423</v>
      </c>
    </row>
    <row r="3778" spans="1:23" hidden="1" x14ac:dyDescent="0.2">
      <c r="A3778">
        <v>2012</v>
      </c>
      <c r="B3778" t="s">
        <v>303</v>
      </c>
      <c r="C3778" s="733">
        <v>40925</v>
      </c>
      <c r="D37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78" t="s">
        <v>485</v>
      </c>
      <c r="F3778" t="s">
        <v>2065</v>
      </c>
      <c r="G3778" t="s">
        <v>5758</v>
      </c>
      <c r="H3778">
        <v>40438</v>
      </c>
      <c r="I3778" t="s">
        <v>423</v>
      </c>
      <c r="J3778" t="s">
        <v>2213</v>
      </c>
      <c r="K3778" t="s">
        <v>2183</v>
      </c>
      <c r="L3778" t="s">
        <v>2184</v>
      </c>
      <c r="M3778">
        <v>64</v>
      </c>
      <c r="N3778">
        <v>15.43</v>
      </c>
      <c r="O3778">
        <v>1741.58</v>
      </c>
      <c r="P3778">
        <v>0</v>
      </c>
      <c r="Q3778">
        <v>1741.58</v>
      </c>
      <c r="R3778">
        <v>278.64999999999998</v>
      </c>
      <c r="S3778">
        <v>69.66</v>
      </c>
      <c r="T3778">
        <v>1950.57</v>
      </c>
      <c r="U3778" t="s">
        <v>2187</v>
      </c>
      <c r="V3778" t="s">
        <v>9408</v>
      </c>
      <c r="W3778" t="s">
        <v>423</v>
      </c>
    </row>
    <row r="3779" spans="1:23" hidden="1" x14ac:dyDescent="0.2">
      <c r="A3779">
        <v>2012</v>
      </c>
      <c r="B3779" t="s">
        <v>304</v>
      </c>
      <c r="C3779" s="733">
        <v>40962</v>
      </c>
      <c r="D37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79" t="s">
        <v>485</v>
      </c>
      <c r="F3779" t="s">
        <v>2065</v>
      </c>
      <c r="G3779" t="s">
        <v>8603</v>
      </c>
      <c r="H3779">
        <v>42460</v>
      </c>
      <c r="I3779" t="s">
        <v>423</v>
      </c>
      <c r="J3779" t="s">
        <v>2213</v>
      </c>
      <c r="K3779" t="s">
        <v>2183</v>
      </c>
      <c r="L3779" t="s">
        <v>2184</v>
      </c>
      <c r="M3779">
        <v>64</v>
      </c>
      <c r="N3779">
        <v>15.41</v>
      </c>
      <c r="O3779">
        <v>1739.33</v>
      </c>
      <c r="P3779">
        <v>0</v>
      </c>
      <c r="Q3779">
        <v>1739.33</v>
      </c>
      <c r="R3779">
        <v>278.29000000000002</v>
      </c>
      <c r="S3779">
        <v>69.569999999999993</v>
      </c>
      <c r="T3779">
        <v>1948.05</v>
      </c>
      <c r="U3779" t="s">
        <v>9411</v>
      </c>
      <c r="V3779" t="s">
        <v>9408</v>
      </c>
      <c r="W3779" t="s">
        <v>423</v>
      </c>
    </row>
    <row r="3780" spans="1:23" hidden="1" x14ac:dyDescent="0.2">
      <c r="A3780">
        <v>2012</v>
      </c>
      <c r="B3780" t="s">
        <v>303</v>
      </c>
      <c r="C3780" s="733">
        <v>40926</v>
      </c>
      <c r="D37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80" t="s">
        <v>485</v>
      </c>
      <c r="F3780" t="s">
        <v>2065</v>
      </c>
      <c r="G3780" t="s">
        <v>6598</v>
      </c>
      <c r="H3780">
        <v>39870</v>
      </c>
      <c r="I3780" t="s">
        <v>423</v>
      </c>
      <c r="J3780" t="s">
        <v>5868</v>
      </c>
      <c r="K3780" t="s">
        <v>2102</v>
      </c>
      <c r="L3780" t="s">
        <v>2115</v>
      </c>
      <c r="M3780">
        <v>500</v>
      </c>
      <c r="N3780">
        <v>51.54</v>
      </c>
      <c r="O3780">
        <v>17330.32</v>
      </c>
      <c r="P3780">
        <v>0</v>
      </c>
      <c r="Q3780">
        <v>17330.32</v>
      </c>
      <c r="R3780">
        <v>2772.85</v>
      </c>
      <c r="S3780">
        <v>693.21</v>
      </c>
      <c r="T3780">
        <v>19409.96</v>
      </c>
      <c r="U3780" t="s">
        <v>2106</v>
      </c>
      <c r="V3780" t="s">
        <v>9409</v>
      </c>
      <c r="W3780" t="s">
        <v>423</v>
      </c>
    </row>
    <row r="3781" spans="1:23" hidden="1" x14ac:dyDescent="0.2">
      <c r="A3781">
        <v>2012</v>
      </c>
      <c r="B3781" t="s">
        <v>303</v>
      </c>
      <c r="C3781" s="733">
        <v>40926</v>
      </c>
      <c r="D37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81" t="s">
        <v>485</v>
      </c>
      <c r="F3781" t="s">
        <v>3450</v>
      </c>
      <c r="G3781" t="s">
        <v>5776</v>
      </c>
      <c r="H3781">
        <v>40354</v>
      </c>
      <c r="I3781" t="s">
        <v>423</v>
      </c>
      <c r="J3781" t="s">
        <v>3452</v>
      </c>
      <c r="K3781" t="s">
        <v>3453</v>
      </c>
      <c r="L3781" t="s">
        <v>3454</v>
      </c>
      <c r="M3781">
        <v>19</v>
      </c>
      <c r="N3781">
        <v>27.11</v>
      </c>
      <c r="O3781">
        <v>3059.91</v>
      </c>
      <c r="P3781">
        <v>0</v>
      </c>
      <c r="Q3781">
        <v>3059.91</v>
      </c>
      <c r="R3781">
        <v>489.58</v>
      </c>
      <c r="S3781">
        <v>122.4</v>
      </c>
      <c r="T3781">
        <v>3427.09</v>
      </c>
      <c r="U3781" t="s">
        <v>3459</v>
      </c>
      <c r="V3781" t="s">
        <v>9408</v>
      </c>
      <c r="W3781" t="s">
        <v>423</v>
      </c>
    </row>
    <row r="3782" spans="1:23" hidden="1" x14ac:dyDescent="0.2">
      <c r="A3782">
        <v>2012</v>
      </c>
      <c r="B3782" t="s">
        <v>304</v>
      </c>
      <c r="C3782" s="733">
        <v>40953</v>
      </c>
      <c r="D37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82" t="s">
        <v>485</v>
      </c>
      <c r="F3782" t="s">
        <v>3450</v>
      </c>
      <c r="G3782" t="s">
        <v>5775</v>
      </c>
      <c r="H3782">
        <v>41684</v>
      </c>
      <c r="I3782" t="s">
        <v>423</v>
      </c>
      <c r="J3782" t="s">
        <v>3452</v>
      </c>
      <c r="K3782" t="s">
        <v>3453</v>
      </c>
      <c r="L3782" t="s">
        <v>3454</v>
      </c>
      <c r="M3782">
        <v>19</v>
      </c>
      <c r="N3782">
        <v>26.07</v>
      </c>
      <c r="O3782">
        <v>2942.52</v>
      </c>
      <c r="P3782">
        <v>0</v>
      </c>
      <c r="Q3782">
        <v>2942.52</v>
      </c>
      <c r="R3782">
        <v>470.8</v>
      </c>
      <c r="S3782">
        <v>117.7</v>
      </c>
      <c r="T3782">
        <v>3295.62</v>
      </c>
      <c r="V3782" t="s">
        <v>9408</v>
      </c>
      <c r="W3782" t="s">
        <v>423</v>
      </c>
    </row>
    <row r="3783" spans="1:23" hidden="1" x14ac:dyDescent="0.2">
      <c r="A3783">
        <v>2012</v>
      </c>
      <c r="B3783" t="s">
        <v>303</v>
      </c>
      <c r="C3783" s="733">
        <v>40933</v>
      </c>
      <c r="D37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83" t="s">
        <v>485</v>
      </c>
      <c r="F3783" t="s">
        <v>3450</v>
      </c>
      <c r="G3783" t="s">
        <v>5768</v>
      </c>
      <c r="H3783">
        <v>40574</v>
      </c>
      <c r="I3783" t="s">
        <v>423</v>
      </c>
      <c r="J3783" t="s">
        <v>3452</v>
      </c>
      <c r="K3783" t="s">
        <v>3453</v>
      </c>
      <c r="L3783" t="s">
        <v>3454</v>
      </c>
      <c r="M3783">
        <v>19</v>
      </c>
      <c r="N3783">
        <v>28.25</v>
      </c>
      <c r="O3783">
        <v>3188.58</v>
      </c>
      <c r="P3783">
        <v>0</v>
      </c>
      <c r="Q3783">
        <v>3188.58</v>
      </c>
      <c r="R3783">
        <v>510.17</v>
      </c>
      <c r="S3783">
        <v>127.54</v>
      </c>
      <c r="T3783">
        <v>3571.21</v>
      </c>
      <c r="U3783" t="s">
        <v>3459</v>
      </c>
      <c r="V3783" t="s">
        <v>9408</v>
      </c>
      <c r="W3783" t="s">
        <v>423</v>
      </c>
    </row>
    <row r="3784" spans="1:23" hidden="1" x14ac:dyDescent="0.2">
      <c r="A3784">
        <v>2012</v>
      </c>
      <c r="B3784" t="s">
        <v>304</v>
      </c>
      <c r="C3784" s="733">
        <v>40956.528333333335</v>
      </c>
      <c r="D37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84" t="s">
        <v>478</v>
      </c>
      <c r="F3784" t="s">
        <v>3787</v>
      </c>
      <c r="G3784" t="s">
        <v>7569</v>
      </c>
      <c r="H3784">
        <v>35743</v>
      </c>
      <c r="I3784" t="s">
        <v>423</v>
      </c>
      <c r="J3784" t="s">
        <v>3797</v>
      </c>
      <c r="K3784" t="s">
        <v>3481</v>
      </c>
      <c r="L3784" t="s">
        <v>3482</v>
      </c>
      <c r="M3784">
        <v>266</v>
      </c>
      <c r="N3784">
        <v>23</v>
      </c>
      <c r="O3784">
        <v>5136.59</v>
      </c>
      <c r="P3784">
        <v>0</v>
      </c>
      <c r="Q3784">
        <v>5136.59</v>
      </c>
      <c r="R3784">
        <v>821.85</v>
      </c>
      <c r="S3784">
        <v>205.46</v>
      </c>
      <c r="T3784">
        <v>5752.98</v>
      </c>
      <c r="U3784" t="s">
        <v>8277</v>
      </c>
      <c r="V3784" t="s">
        <v>9408</v>
      </c>
      <c r="W3784" t="s">
        <v>423</v>
      </c>
    </row>
    <row r="3785" spans="1:23" hidden="1" x14ac:dyDescent="0.2">
      <c r="A3785">
        <v>2012</v>
      </c>
      <c r="B3785" t="s">
        <v>304</v>
      </c>
      <c r="C3785" s="733">
        <v>40962.509687500002</v>
      </c>
      <c r="D37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85" t="s">
        <v>485</v>
      </c>
      <c r="F3785" t="s">
        <v>2065</v>
      </c>
      <c r="G3785" t="s">
        <v>8677</v>
      </c>
      <c r="H3785">
        <v>42350</v>
      </c>
      <c r="I3785" t="s">
        <v>423</v>
      </c>
      <c r="J3785" t="s">
        <v>2182</v>
      </c>
      <c r="K3785" t="s">
        <v>2183</v>
      </c>
      <c r="L3785" t="s">
        <v>2184</v>
      </c>
      <c r="M3785">
        <v>62</v>
      </c>
      <c r="N3785">
        <v>26.47</v>
      </c>
      <c r="O3785">
        <v>2987.67</v>
      </c>
      <c r="P3785">
        <v>0</v>
      </c>
      <c r="Q3785">
        <v>2987.67</v>
      </c>
      <c r="R3785">
        <v>478.03</v>
      </c>
      <c r="S3785">
        <v>119.51</v>
      </c>
      <c r="T3785">
        <v>3346.19</v>
      </c>
      <c r="U3785" t="s">
        <v>9411</v>
      </c>
      <c r="V3785" t="s">
        <v>9409</v>
      </c>
      <c r="W3785" t="s">
        <v>423</v>
      </c>
    </row>
    <row r="3786" spans="1:23" hidden="1" x14ac:dyDescent="0.2">
      <c r="A3786">
        <v>2012</v>
      </c>
      <c r="B3786" t="s">
        <v>304</v>
      </c>
      <c r="C3786" s="733">
        <v>40960</v>
      </c>
      <c r="D37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86" t="s">
        <v>485</v>
      </c>
      <c r="F3786" t="s">
        <v>2084</v>
      </c>
      <c r="G3786" t="s">
        <v>8175</v>
      </c>
      <c r="H3786">
        <v>42049</v>
      </c>
      <c r="I3786" t="s">
        <v>423</v>
      </c>
      <c r="J3786" t="s">
        <v>2836</v>
      </c>
      <c r="K3786" t="s">
        <v>2814</v>
      </c>
      <c r="L3786" t="s">
        <v>2815</v>
      </c>
      <c r="M3786">
        <v>70</v>
      </c>
      <c r="N3786">
        <v>24.038</v>
      </c>
      <c r="O3786">
        <v>2713.17</v>
      </c>
      <c r="P3786">
        <v>0</v>
      </c>
      <c r="Q3786">
        <v>2713.17</v>
      </c>
      <c r="R3786">
        <v>298.45</v>
      </c>
      <c r="S3786">
        <v>108.53</v>
      </c>
      <c r="T3786">
        <v>2903.09</v>
      </c>
      <c r="U3786" t="s">
        <v>8877</v>
      </c>
      <c r="V3786" t="s">
        <v>9408</v>
      </c>
      <c r="W3786" t="s">
        <v>423</v>
      </c>
    </row>
    <row r="3787" spans="1:23" hidden="1" x14ac:dyDescent="0.2">
      <c r="A3787">
        <v>2012</v>
      </c>
      <c r="B3787" t="s">
        <v>303</v>
      </c>
      <c r="C3787" s="733">
        <v>40912</v>
      </c>
      <c r="D37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87" t="s">
        <v>485</v>
      </c>
      <c r="F3787" t="s">
        <v>2084</v>
      </c>
      <c r="G3787" t="s">
        <v>4420</v>
      </c>
      <c r="H3787">
        <v>39429</v>
      </c>
      <c r="I3787" t="s">
        <v>423</v>
      </c>
      <c r="J3787" t="s">
        <v>2836</v>
      </c>
      <c r="K3787" t="s">
        <v>2814</v>
      </c>
      <c r="L3787" t="s">
        <v>2815</v>
      </c>
      <c r="M3787">
        <v>70</v>
      </c>
      <c r="N3787">
        <v>23.515000000000001</v>
      </c>
      <c r="O3787">
        <v>1117.43</v>
      </c>
      <c r="P3787">
        <v>1258.103263</v>
      </c>
      <c r="Q3787">
        <v>2375.5332629999998</v>
      </c>
      <c r="R3787">
        <v>380.08532200000002</v>
      </c>
      <c r="S3787">
        <v>95.021331000000004</v>
      </c>
      <c r="T3787">
        <v>2660.5972539999998</v>
      </c>
      <c r="U3787" t="s">
        <v>2846</v>
      </c>
      <c r="V3787" t="s">
        <v>9408</v>
      </c>
      <c r="W3787" t="s">
        <v>423</v>
      </c>
    </row>
    <row r="3788" spans="1:23" hidden="1" x14ac:dyDescent="0.2">
      <c r="A3788">
        <v>2012</v>
      </c>
      <c r="B3788" t="s">
        <v>304</v>
      </c>
      <c r="C3788" s="733">
        <v>40962</v>
      </c>
      <c r="D37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88" t="s">
        <v>478</v>
      </c>
      <c r="F3788" t="s">
        <v>3358</v>
      </c>
      <c r="G3788" t="s">
        <v>8675</v>
      </c>
      <c r="H3788">
        <v>35911</v>
      </c>
      <c r="I3788" t="s">
        <v>423</v>
      </c>
      <c r="J3788" t="s">
        <v>3360</v>
      </c>
      <c r="K3788" t="s">
        <v>483</v>
      </c>
      <c r="L3788" t="s">
        <v>3361</v>
      </c>
      <c r="M3788">
        <v>49</v>
      </c>
      <c r="N3788">
        <v>29.43</v>
      </c>
      <c r="O3788">
        <v>3321.76</v>
      </c>
      <c r="P3788">
        <v>0</v>
      </c>
      <c r="Q3788">
        <v>3321.76</v>
      </c>
      <c r="R3788">
        <v>531.48</v>
      </c>
      <c r="S3788">
        <v>132.87</v>
      </c>
      <c r="T3788">
        <v>3720.37</v>
      </c>
      <c r="V3788" t="s">
        <v>9408</v>
      </c>
      <c r="W3788" t="s">
        <v>423</v>
      </c>
    </row>
    <row r="3789" spans="1:23" hidden="1" x14ac:dyDescent="0.2">
      <c r="A3789">
        <v>2012</v>
      </c>
      <c r="B3789" t="s">
        <v>303</v>
      </c>
      <c r="C3789" s="733">
        <v>40938</v>
      </c>
      <c r="D37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89" t="s">
        <v>485</v>
      </c>
      <c r="F3789" t="s">
        <v>2065</v>
      </c>
      <c r="G3789" t="s">
        <v>3017</v>
      </c>
      <c r="H3789">
        <v>40949</v>
      </c>
      <c r="I3789" t="s">
        <v>423</v>
      </c>
      <c r="J3789" t="s">
        <v>2114</v>
      </c>
      <c r="K3789" t="s">
        <v>2102</v>
      </c>
      <c r="L3789" t="s">
        <v>2115</v>
      </c>
      <c r="M3789">
        <v>500</v>
      </c>
      <c r="N3789">
        <v>51.52</v>
      </c>
      <c r="O3789">
        <v>17323.599999999999</v>
      </c>
      <c r="P3789">
        <v>0</v>
      </c>
      <c r="Q3789">
        <v>17323.599999999999</v>
      </c>
      <c r="R3789">
        <v>2771.78</v>
      </c>
      <c r="S3789">
        <v>692.94</v>
      </c>
      <c r="T3789">
        <v>19402.439999999999</v>
      </c>
      <c r="U3789" t="s">
        <v>2110</v>
      </c>
      <c r="V3789" t="s">
        <v>9409</v>
      </c>
      <c r="W3789" t="s">
        <v>423</v>
      </c>
    </row>
    <row r="3790" spans="1:23" hidden="1" x14ac:dyDescent="0.2">
      <c r="A3790">
        <v>2012</v>
      </c>
      <c r="B3790" t="s">
        <v>304</v>
      </c>
      <c r="C3790" s="733">
        <v>40957</v>
      </c>
      <c r="D37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90" t="s">
        <v>505</v>
      </c>
      <c r="F3790" t="s">
        <v>1915</v>
      </c>
      <c r="G3790" t="s">
        <v>7891</v>
      </c>
      <c r="H3790">
        <v>22786</v>
      </c>
      <c r="I3790" t="s">
        <v>423</v>
      </c>
      <c r="J3790" t="s">
        <v>4155</v>
      </c>
      <c r="K3790" t="s">
        <v>1918</v>
      </c>
      <c r="L3790" t="s">
        <v>1919</v>
      </c>
      <c r="M3790">
        <v>650</v>
      </c>
      <c r="N3790">
        <v>51.98</v>
      </c>
      <c r="O3790">
        <v>22354</v>
      </c>
      <c r="P3790">
        <v>0</v>
      </c>
      <c r="Q3790">
        <v>22354</v>
      </c>
      <c r="R3790">
        <v>3576.64</v>
      </c>
      <c r="S3790">
        <v>894.16</v>
      </c>
      <c r="T3790">
        <v>25036.48</v>
      </c>
      <c r="U3790" t="s">
        <v>8491</v>
      </c>
      <c r="V3790" t="s">
        <v>9409</v>
      </c>
      <c r="W3790" t="s">
        <v>423</v>
      </c>
    </row>
    <row r="3791" spans="1:23" hidden="1" x14ac:dyDescent="0.2">
      <c r="A3791">
        <v>2012</v>
      </c>
      <c r="B3791" t="s">
        <v>304</v>
      </c>
      <c r="C3791" s="733">
        <v>40941</v>
      </c>
      <c r="D37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91" t="s">
        <v>478</v>
      </c>
      <c r="F3791" t="s">
        <v>3358</v>
      </c>
      <c r="G3791" t="s">
        <v>4652</v>
      </c>
      <c r="H3791">
        <v>35215</v>
      </c>
      <c r="I3791" t="s">
        <v>423</v>
      </c>
      <c r="J3791" t="s">
        <v>4396</v>
      </c>
      <c r="K3791" t="s">
        <v>4397</v>
      </c>
      <c r="L3791" t="s">
        <v>4398</v>
      </c>
      <c r="M3791">
        <v>112</v>
      </c>
      <c r="N3791">
        <v>16.625</v>
      </c>
      <c r="O3791">
        <v>1876.46</v>
      </c>
      <c r="P3791">
        <v>0</v>
      </c>
      <c r="Q3791">
        <v>1876.46</v>
      </c>
      <c r="R3791">
        <v>300.23</v>
      </c>
      <c r="S3791">
        <v>75.06</v>
      </c>
      <c r="T3791">
        <v>2101.63</v>
      </c>
      <c r="U3791" t="s">
        <v>4399</v>
      </c>
      <c r="V3791" t="s">
        <v>9408</v>
      </c>
      <c r="W3791" t="s">
        <v>423</v>
      </c>
    </row>
    <row r="3792" spans="1:23" hidden="1" x14ac:dyDescent="0.2">
      <c r="A3792">
        <v>2012</v>
      </c>
      <c r="B3792" t="s">
        <v>304</v>
      </c>
      <c r="C3792" s="733">
        <v>40948</v>
      </c>
      <c r="D37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92" t="s">
        <v>478</v>
      </c>
      <c r="F3792" t="s">
        <v>3358</v>
      </c>
      <c r="G3792" t="s">
        <v>4653</v>
      </c>
      <c r="H3792">
        <v>35451</v>
      </c>
      <c r="I3792" t="s">
        <v>423</v>
      </c>
      <c r="J3792" t="s">
        <v>4396</v>
      </c>
      <c r="K3792" t="s">
        <v>4397</v>
      </c>
      <c r="L3792" t="s">
        <v>4398</v>
      </c>
      <c r="M3792">
        <v>112</v>
      </c>
      <c r="N3792">
        <v>34.979999999999997</v>
      </c>
      <c r="O3792">
        <v>7047.42</v>
      </c>
      <c r="P3792">
        <v>0</v>
      </c>
      <c r="Q3792">
        <v>7047.42</v>
      </c>
      <c r="R3792">
        <v>1127.5899999999999</v>
      </c>
      <c r="S3792">
        <v>281.89999999999998</v>
      </c>
      <c r="T3792">
        <v>7893.11</v>
      </c>
      <c r="U3792" t="s">
        <v>4503</v>
      </c>
      <c r="V3792" t="s">
        <v>9408</v>
      </c>
      <c r="W3792" t="s">
        <v>423</v>
      </c>
    </row>
    <row r="3793" spans="1:23" hidden="1" x14ac:dyDescent="0.2">
      <c r="A3793">
        <v>2012</v>
      </c>
      <c r="B3793" t="s">
        <v>303</v>
      </c>
      <c r="C3793" s="733">
        <v>40918</v>
      </c>
      <c r="D37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93" t="s">
        <v>505</v>
      </c>
      <c r="F3793" t="s">
        <v>1915</v>
      </c>
      <c r="G3793" t="s">
        <v>5493</v>
      </c>
      <c r="H3793">
        <v>21832</v>
      </c>
      <c r="I3793" t="s">
        <v>423</v>
      </c>
      <c r="J3793" t="s">
        <v>4153</v>
      </c>
      <c r="K3793" t="s">
        <v>1918</v>
      </c>
      <c r="L3793" t="s">
        <v>1919</v>
      </c>
      <c r="M3793">
        <v>850</v>
      </c>
      <c r="N3793">
        <v>25.07</v>
      </c>
      <c r="O3793">
        <v>15665.24</v>
      </c>
      <c r="P3793">
        <v>0</v>
      </c>
      <c r="Q3793">
        <v>15665.24</v>
      </c>
      <c r="R3793">
        <v>2506.44</v>
      </c>
      <c r="S3793">
        <v>626.61</v>
      </c>
      <c r="T3793">
        <v>17545.07</v>
      </c>
      <c r="U3793" t="s">
        <v>1931</v>
      </c>
      <c r="V3793" t="s">
        <v>9408</v>
      </c>
      <c r="W3793" t="s">
        <v>423</v>
      </c>
    </row>
    <row r="3794" spans="1:23" hidden="1" x14ac:dyDescent="0.2">
      <c r="A3794">
        <v>2012</v>
      </c>
      <c r="B3794" t="s">
        <v>303</v>
      </c>
      <c r="C3794" s="733">
        <v>40938</v>
      </c>
      <c r="D37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94" t="s">
        <v>505</v>
      </c>
      <c r="F3794" t="s">
        <v>1915</v>
      </c>
      <c r="G3794" t="s">
        <v>5495</v>
      </c>
      <c r="H3794">
        <v>22310</v>
      </c>
      <c r="I3794" t="s">
        <v>423</v>
      </c>
      <c r="J3794" t="s">
        <v>4153</v>
      </c>
      <c r="K3794" t="s">
        <v>1918</v>
      </c>
      <c r="L3794" t="s">
        <v>1919</v>
      </c>
      <c r="M3794">
        <v>850</v>
      </c>
      <c r="N3794">
        <v>49.93</v>
      </c>
      <c r="O3794">
        <v>31199.26</v>
      </c>
      <c r="P3794">
        <v>0</v>
      </c>
      <c r="Q3794">
        <v>31199.26</v>
      </c>
      <c r="R3794">
        <v>4991.88</v>
      </c>
      <c r="S3794">
        <v>1247.97</v>
      </c>
      <c r="T3794">
        <v>34943.17</v>
      </c>
      <c r="U3794" t="s">
        <v>1936</v>
      </c>
      <c r="V3794" t="s">
        <v>9409</v>
      </c>
      <c r="W3794" t="s">
        <v>423</v>
      </c>
    </row>
    <row r="3795" spans="1:23" hidden="1" x14ac:dyDescent="0.2">
      <c r="A3795">
        <v>2012</v>
      </c>
      <c r="B3795" t="s">
        <v>304</v>
      </c>
      <c r="C3795" s="733">
        <v>40953</v>
      </c>
      <c r="D37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795" t="s">
        <v>505</v>
      </c>
      <c r="F3795" t="s">
        <v>1915</v>
      </c>
      <c r="G3795" t="s">
        <v>5497</v>
      </c>
      <c r="H3795">
        <v>22673</v>
      </c>
      <c r="I3795" t="s">
        <v>423</v>
      </c>
      <c r="J3795" t="s">
        <v>4153</v>
      </c>
      <c r="K3795" t="s">
        <v>1918</v>
      </c>
      <c r="L3795" t="s">
        <v>1919</v>
      </c>
      <c r="M3795">
        <v>850</v>
      </c>
      <c r="N3795">
        <v>50</v>
      </c>
      <c r="O3795">
        <v>31243</v>
      </c>
      <c r="P3795">
        <v>0</v>
      </c>
      <c r="Q3795">
        <v>31243</v>
      </c>
      <c r="R3795">
        <v>4998.88</v>
      </c>
      <c r="S3795">
        <v>1249.72</v>
      </c>
      <c r="T3795">
        <v>34992.160000000003</v>
      </c>
      <c r="U3795" t="s">
        <v>7529</v>
      </c>
      <c r="V3795" t="s">
        <v>9409</v>
      </c>
      <c r="W3795" t="s">
        <v>423</v>
      </c>
    </row>
    <row r="3796" spans="1:23" hidden="1" x14ac:dyDescent="0.2">
      <c r="A3796">
        <v>2012</v>
      </c>
      <c r="B3796" t="s">
        <v>303</v>
      </c>
      <c r="C3796" s="733">
        <v>40935</v>
      </c>
      <c r="D37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96" t="s">
        <v>505</v>
      </c>
      <c r="F3796" t="s">
        <v>1915</v>
      </c>
      <c r="G3796" t="s">
        <v>5496</v>
      </c>
      <c r="H3796">
        <v>22244</v>
      </c>
      <c r="I3796" t="s">
        <v>423</v>
      </c>
      <c r="J3796" t="s">
        <v>4153</v>
      </c>
      <c r="K3796" t="s">
        <v>1918</v>
      </c>
      <c r="L3796" t="s">
        <v>1919</v>
      </c>
      <c r="M3796">
        <v>850</v>
      </c>
      <c r="N3796">
        <v>49.91</v>
      </c>
      <c r="O3796">
        <v>31186.76</v>
      </c>
      <c r="P3796">
        <v>0</v>
      </c>
      <c r="Q3796">
        <v>31186.76</v>
      </c>
      <c r="R3796">
        <v>4989.88</v>
      </c>
      <c r="S3796">
        <v>1247.47</v>
      </c>
      <c r="T3796">
        <v>34929.17</v>
      </c>
      <c r="U3796" t="s">
        <v>1926</v>
      </c>
      <c r="V3796" t="s">
        <v>9409</v>
      </c>
      <c r="W3796" t="s">
        <v>423</v>
      </c>
    </row>
    <row r="3797" spans="1:23" hidden="1" x14ac:dyDescent="0.2">
      <c r="A3797">
        <v>2012</v>
      </c>
      <c r="B3797" t="s">
        <v>303</v>
      </c>
      <c r="C3797" s="733">
        <v>40917</v>
      </c>
      <c r="D37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97" t="s">
        <v>505</v>
      </c>
      <c r="F3797" t="s">
        <v>1915</v>
      </c>
      <c r="G3797" t="s">
        <v>5502</v>
      </c>
      <c r="H3797">
        <v>21841</v>
      </c>
      <c r="I3797" t="s">
        <v>423</v>
      </c>
      <c r="J3797" t="s">
        <v>4153</v>
      </c>
      <c r="K3797" t="s">
        <v>1918</v>
      </c>
      <c r="L3797" t="s">
        <v>1919</v>
      </c>
      <c r="M3797">
        <v>850</v>
      </c>
      <c r="N3797">
        <v>24.75</v>
      </c>
      <c r="O3797">
        <v>15465.28</v>
      </c>
      <c r="P3797">
        <v>0</v>
      </c>
      <c r="Q3797">
        <v>15465.28</v>
      </c>
      <c r="R3797">
        <v>2474.4499999999998</v>
      </c>
      <c r="S3797">
        <v>618.61</v>
      </c>
      <c r="T3797">
        <v>17321.12</v>
      </c>
      <c r="U3797" t="s">
        <v>1931</v>
      </c>
      <c r="V3797" t="s">
        <v>9408</v>
      </c>
      <c r="W3797" t="s">
        <v>423</v>
      </c>
    </row>
    <row r="3798" spans="1:23" hidden="1" x14ac:dyDescent="0.2">
      <c r="A3798">
        <v>2012</v>
      </c>
      <c r="B3798" t="s">
        <v>305</v>
      </c>
      <c r="C3798" s="733">
        <v>40971</v>
      </c>
      <c r="D3798" s="733" t="str">
        <f>CHOOSE(MONTH(Tabla_sqldatos_bonampakdb_Bon_v_ingresos2012[[#This Row],[fecha_guia]]),"Enero","Febrero","Marzo","Abril","Mayo","Junio","Julio","Agosto","Septiembre","Octubre","Noviembre","Diciembre")</f>
        <v>Marzo</v>
      </c>
      <c r="E3798" t="s">
        <v>505</v>
      </c>
      <c r="F3798" t="s">
        <v>1915</v>
      </c>
      <c r="G3798" t="s">
        <v>9724</v>
      </c>
      <c r="H3798">
        <v>23136</v>
      </c>
      <c r="I3798" t="s">
        <v>423</v>
      </c>
      <c r="J3798" t="s">
        <v>4153</v>
      </c>
      <c r="K3798" t="s">
        <v>1918</v>
      </c>
      <c r="L3798" t="s">
        <v>1919</v>
      </c>
      <c r="M3798">
        <v>850</v>
      </c>
      <c r="N3798">
        <v>49.9</v>
      </c>
      <c r="O3798">
        <v>31180.51</v>
      </c>
      <c r="P3798">
        <v>0</v>
      </c>
      <c r="Q3798">
        <v>31180.51</v>
      </c>
      <c r="R3798">
        <v>4988.88</v>
      </c>
      <c r="S3798">
        <v>1247.22</v>
      </c>
      <c r="T3798">
        <v>34922.17</v>
      </c>
      <c r="V3798" t="s">
        <v>9409</v>
      </c>
      <c r="W3798" t="s">
        <v>423</v>
      </c>
    </row>
    <row r="3799" spans="1:23" hidden="1" x14ac:dyDescent="0.2">
      <c r="A3799">
        <v>2012</v>
      </c>
      <c r="B3799" t="s">
        <v>303</v>
      </c>
      <c r="C3799" s="733">
        <v>40921</v>
      </c>
      <c r="D37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799" t="s">
        <v>505</v>
      </c>
      <c r="F3799" t="s">
        <v>1915</v>
      </c>
      <c r="G3799" t="s">
        <v>5494</v>
      </c>
      <c r="H3799">
        <v>21904</v>
      </c>
      <c r="I3799" t="s">
        <v>423</v>
      </c>
      <c r="J3799" t="s">
        <v>4153</v>
      </c>
      <c r="K3799" t="s">
        <v>1918</v>
      </c>
      <c r="L3799" t="s">
        <v>1919</v>
      </c>
      <c r="M3799">
        <v>850</v>
      </c>
      <c r="N3799">
        <v>25.81</v>
      </c>
      <c r="O3799">
        <v>16127.64</v>
      </c>
      <c r="P3799">
        <v>0</v>
      </c>
      <c r="Q3799">
        <v>16127.64</v>
      </c>
      <c r="R3799">
        <v>2580.42</v>
      </c>
      <c r="S3799">
        <v>645.11</v>
      </c>
      <c r="T3799">
        <v>18062.95</v>
      </c>
      <c r="U3799" t="s">
        <v>1931</v>
      </c>
      <c r="V3799" t="s">
        <v>9408</v>
      </c>
      <c r="W3799" t="s">
        <v>423</v>
      </c>
    </row>
    <row r="3800" spans="1:23" hidden="1" x14ac:dyDescent="0.2">
      <c r="A3800">
        <v>2012</v>
      </c>
      <c r="B3800" t="s">
        <v>304</v>
      </c>
      <c r="C3800" s="733">
        <v>40941</v>
      </c>
      <c r="D38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00" t="s">
        <v>478</v>
      </c>
      <c r="F3800" t="s">
        <v>3358</v>
      </c>
      <c r="G3800" t="s">
        <v>4654</v>
      </c>
      <c r="H3800">
        <v>35218</v>
      </c>
      <c r="I3800" t="s">
        <v>423</v>
      </c>
      <c r="J3800" t="s">
        <v>4396</v>
      </c>
      <c r="K3800" t="s">
        <v>4397</v>
      </c>
      <c r="L3800" t="s">
        <v>4398</v>
      </c>
      <c r="M3800">
        <v>112</v>
      </c>
      <c r="N3800">
        <v>27.39</v>
      </c>
      <c r="O3800">
        <v>3091.51</v>
      </c>
      <c r="P3800">
        <v>0</v>
      </c>
      <c r="Q3800">
        <v>3091.51</v>
      </c>
      <c r="R3800">
        <v>494.64</v>
      </c>
      <c r="S3800">
        <v>123.66</v>
      </c>
      <c r="T3800">
        <v>3462.49</v>
      </c>
      <c r="U3800" t="s">
        <v>4399</v>
      </c>
      <c r="V3800" t="s">
        <v>9408</v>
      </c>
      <c r="W3800" t="s">
        <v>423</v>
      </c>
    </row>
    <row r="3801" spans="1:23" hidden="1" x14ac:dyDescent="0.2">
      <c r="A3801">
        <v>2012</v>
      </c>
      <c r="B3801" t="s">
        <v>304</v>
      </c>
      <c r="C3801" s="733">
        <v>40963</v>
      </c>
      <c r="D38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01" t="s">
        <v>478</v>
      </c>
      <c r="F3801" t="s">
        <v>3358</v>
      </c>
      <c r="G3801" t="s">
        <v>9166</v>
      </c>
      <c r="H3801">
        <v>35914</v>
      </c>
      <c r="I3801" t="s">
        <v>423</v>
      </c>
      <c r="J3801" t="s">
        <v>4396</v>
      </c>
      <c r="K3801" t="s">
        <v>4397</v>
      </c>
      <c r="L3801" t="s">
        <v>4398</v>
      </c>
      <c r="M3801">
        <v>112</v>
      </c>
      <c r="N3801">
        <v>27.27</v>
      </c>
      <c r="O3801">
        <v>3077.96</v>
      </c>
      <c r="P3801">
        <v>0</v>
      </c>
      <c r="Q3801">
        <v>3077.96</v>
      </c>
      <c r="R3801">
        <v>492.47</v>
      </c>
      <c r="S3801">
        <v>123.12</v>
      </c>
      <c r="T3801">
        <v>3447.31</v>
      </c>
      <c r="U3801" t="s">
        <v>8982</v>
      </c>
      <c r="V3801" t="s">
        <v>9408</v>
      </c>
      <c r="W3801" t="s">
        <v>423</v>
      </c>
    </row>
    <row r="3802" spans="1:23" hidden="1" x14ac:dyDescent="0.2">
      <c r="A3802">
        <v>2012</v>
      </c>
      <c r="B3802" t="s">
        <v>304</v>
      </c>
      <c r="C3802" s="733">
        <v>40956</v>
      </c>
      <c r="D38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02" t="s">
        <v>478</v>
      </c>
      <c r="F3802" t="s">
        <v>2136</v>
      </c>
      <c r="G3802" t="s">
        <v>7918</v>
      </c>
      <c r="H3802">
        <v>35687</v>
      </c>
      <c r="I3802" t="s">
        <v>423</v>
      </c>
      <c r="J3802" t="s">
        <v>4294</v>
      </c>
      <c r="K3802" t="s">
        <v>425</v>
      </c>
      <c r="L3802" t="s">
        <v>2145</v>
      </c>
      <c r="M3802">
        <v>1089</v>
      </c>
      <c r="N3802">
        <v>45.02</v>
      </c>
      <c r="O3802">
        <v>22724.75</v>
      </c>
      <c r="P3802">
        <v>0</v>
      </c>
      <c r="Q3802">
        <v>22724.75</v>
      </c>
      <c r="R3802">
        <v>3635.96</v>
      </c>
      <c r="S3802">
        <v>908.99</v>
      </c>
      <c r="T3802">
        <v>25451.72</v>
      </c>
      <c r="U3802" t="s">
        <v>9455</v>
      </c>
      <c r="V3802" t="s">
        <v>9409</v>
      </c>
      <c r="W3802" t="s">
        <v>423</v>
      </c>
    </row>
    <row r="3803" spans="1:23" hidden="1" x14ac:dyDescent="0.2">
      <c r="A3803">
        <v>2012</v>
      </c>
      <c r="B3803" t="s">
        <v>303</v>
      </c>
      <c r="C3803" s="733">
        <v>40926</v>
      </c>
      <c r="D38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03" t="s">
        <v>478</v>
      </c>
      <c r="F3803" t="s">
        <v>2622</v>
      </c>
      <c r="G3803" t="s">
        <v>5745</v>
      </c>
      <c r="H3803">
        <v>34573</v>
      </c>
      <c r="I3803" t="s">
        <v>423</v>
      </c>
      <c r="J3803" t="s">
        <v>4294</v>
      </c>
      <c r="K3803" t="s">
        <v>425</v>
      </c>
      <c r="L3803" t="s">
        <v>2145</v>
      </c>
      <c r="M3803">
        <v>1089</v>
      </c>
      <c r="N3803">
        <v>48.36</v>
      </c>
      <c r="O3803">
        <v>24410.68</v>
      </c>
      <c r="P3803">
        <v>0</v>
      </c>
      <c r="Q3803">
        <v>24410.68</v>
      </c>
      <c r="R3803">
        <v>3905.71</v>
      </c>
      <c r="S3803">
        <v>976.43</v>
      </c>
      <c r="T3803">
        <v>27339.96</v>
      </c>
      <c r="U3803" t="s">
        <v>2146</v>
      </c>
      <c r="V3803" t="s">
        <v>9409</v>
      </c>
      <c r="W3803" t="s">
        <v>423</v>
      </c>
    </row>
    <row r="3804" spans="1:23" hidden="1" x14ac:dyDescent="0.2">
      <c r="A3804">
        <v>2012</v>
      </c>
      <c r="B3804" t="s">
        <v>303</v>
      </c>
      <c r="C3804" s="733">
        <v>40912</v>
      </c>
      <c r="D38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04" t="s">
        <v>485</v>
      </c>
      <c r="F3804" t="s">
        <v>2084</v>
      </c>
      <c r="G3804" t="s">
        <v>4418</v>
      </c>
      <c r="H3804">
        <v>39591</v>
      </c>
      <c r="I3804" t="s">
        <v>423</v>
      </c>
      <c r="J3804" t="s">
        <v>3355</v>
      </c>
      <c r="K3804" t="s">
        <v>2814</v>
      </c>
      <c r="L3804" t="s">
        <v>2815</v>
      </c>
      <c r="M3804">
        <v>417</v>
      </c>
      <c r="N3804">
        <v>24.09</v>
      </c>
      <c r="O3804">
        <v>2814.19</v>
      </c>
      <c r="P3804">
        <v>3168.4683789999999</v>
      </c>
      <c r="Q3804">
        <v>5982.6583790000004</v>
      </c>
      <c r="R3804">
        <v>957.22534099999996</v>
      </c>
      <c r="S3804">
        <v>239.30633499999999</v>
      </c>
      <c r="T3804">
        <v>6700.5773849999996</v>
      </c>
      <c r="U3804" t="s">
        <v>2846</v>
      </c>
      <c r="V3804" t="s">
        <v>9408</v>
      </c>
      <c r="W3804" t="s">
        <v>423</v>
      </c>
    </row>
    <row r="3805" spans="1:23" hidden="1" x14ac:dyDescent="0.2">
      <c r="A3805">
        <v>2012</v>
      </c>
      <c r="B3805" t="s">
        <v>304</v>
      </c>
      <c r="C3805" s="733">
        <v>40940</v>
      </c>
      <c r="D38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05" t="s">
        <v>485</v>
      </c>
      <c r="F3805" t="s">
        <v>2084</v>
      </c>
      <c r="G3805" t="s">
        <v>4419</v>
      </c>
      <c r="H3805">
        <v>40889</v>
      </c>
      <c r="I3805" t="s">
        <v>423</v>
      </c>
      <c r="J3805" t="s">
        <v>3355</v>
      </c>
      <c r="K3805" t="s">
        <v>2814</v>
      </c>
      <c r="L3805" t="s">
        <v>2815</v>
      </c>
      <c r="M3805">
        <v>417</v>
      </c>
      <c r="N3805">
        <v>26.010999999999999</v>
      </c>
      <c r="O3805">
        <v>7217.27</v>
      </c>
      <c r="P3805">
        <v>0</v>
      </c>
      <c r="Q3805">
        <v>7217.27</v>
      </c>
      <c r="R3805">
        <v>1154.76</v>
      </c>
      <c r="S3805">
        <v>288.69</v>
      </c>
      <c r="T3805">
        <v>8083.34</v>
      </c>
      <c r="U3805" t="s">
        <v>2826</v>
      </c>
      <c r="V3805" t="s">
        <v>9408</v>
      </c>
      <c r="W3805" t="s">
        <v>423</v>
      </c>
    </row>
    <row r="3806" spans="1:23" hidden="1" x14ac:dyDescent="0.2">
      <c r="A3806">
        <v>2012</v>
      </c>
      <c r="B3806" t="s">
        <v>303</v>
      </c>
      <c r="C3806" s="733">
        <v>40912</v>
      </c>
      <c r="D38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06" t="s">
        <v>485</v>
      </c>
      <c r="F3806" t="s">
        <v>2084</v>
      </c>
      <c r="G3806" t="s">
        <v>4417</v>
      </c>
      <c r="H3806">
        <v>39639</v>
      </c>
      <c r="I3806" t="s">
        <v>423</v>
      </c>
      <c r="J3806" t="s">
        <v>3355</v>
      </c>
      <c r="K3806" t="s">
        <v>2814</v>
      </c>
      <c r="L3806" t="s">
        <v>2815</v>
      </c>
      <c r="M3806">
        <v>417</v>
      </c>
      <c r="N3806">
        <v>26.071000000000002</v>
      </c>
      <c r="O3806">
        <v>3045.61</v>
      </c>
      <c r="P3806">
        <v>3429.021843</v>
      </c>
      <c r="Q3806">
        <v>6474.6318430000001</v>
      </c>
      <c r="R3806">
        <v>1035.9410949999999</v>
      </c>
      <c r="S3806">
        <v>258.985274</v>
      </c>
      <c r="T3806">
        <v>7251.5876639999997</v>
      </c>
      <c r="U3806" t="s">
        <v>2846</v>
      </c>
      <c r="V3806" t="s">
        <v>9408</v>
      </c>
      <c r="W3806" t="s">
        <v>423</v>
      </c>
    </row>
    <row r="3807" spans="1:23" hidden="1" x14ac:dyDescent="0.2">
      <c r="A3807">
        <v>2012</v>
      </c>
      <c r="B3807" t="s">
        <v>303</v>
      </c>
      <c r="C3807" s="733">
        <v>40926</v>
      </c>
      <c r="D38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07" t="s">
        <v>485</v>
      </c>
      <c r="F3807" t="s">
        <v>3450</v>
      </c>
      <c r="G3807" t="s">
        <v>4663</v>
      </c>
      <c r="H3807">
        <v>40136</v>
      </c>
      <c r="I3807" t="s">
        <v>423</v>
      </c>
      <c r="J3807" t="s">
        <v>3952</v>
      </c>
      <c r="K3807" t="s">
        <v>3953</v>
      </c>
      <c r="L3807" t="s">
        <v>3454</v>
      </c>
      <c r="M3807">
        <v>54</v>
      </c>
      <c r="N3807">
        <v>28.82</v>
      </c>
      <c r="O3807">
        <v>3252.91</v>
      </c>
      <c r="P3807">
        <v>0</v>
      </c>
      <c r="Q3807">
        <v>3252.91</v>
      </c>
      <c r="R3807">
        <v>520.47</v>
      </c>
      <c r="S3807">
        <v>130.12</v>
      </c>
      <c r="T3807">
        <v>3643.26</v>
      </c>
      <c r="U3807" t="s">
        <v>3459</v>
      </c>
      <c r="V3807" t="s">
        <v>9408</v>
      </c>
      <c r="W3807" t="s">
        <v>423</v>
      </c>
    </row>
    <row r="3808" spans="1:23" hidden="1" x14ac:dyDescent="0.2">
      <c r="A3808">
        <v>2012</v>
      </c>
      <c r="B3808" t="s">
        <v>304</v>
      </c>
      <c r="C3808" s="733">
        <v>40948</v>
      </c>
      <c r="D38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08" t="s">
        <v>485</v>
      </c>
      <c r="F3808" t="s">
        <v>2065</v>
      </c>
      <c r="G3808" t="s">
        <v>5743</v>
      </c>
      <c r="H3808">
        <v>41553</v>
      </c>
      <c r="I3808" t="s">
        <v>423</v>
      </c>
      <c r="J3808" t="s">
        <v>5744</v>
      </c>
      <c r="K3808" t="s">
        <v>2102</v>
      </c>
      <c r="L3808" t="s">
        <v>2115</v>
      </c>
      <c r="M3808">
        <v>748</v>
      </c>
      <c r="N3808">
        <v>50.71</v>
      </c>
      <c r="O3808">
        <v>19310.37</v>
      </c>
      <c r="P3808">
        <v>0</v>
      </c>
      <c r="Q3808">
        <v>19310.37</v>
      </c>
      <c r="R3808">
        <v>3089.66</v>
      </c>
      <c r="S3808">
        <v>772.41</v>
      </c>
      <c r="T3808">
        <v>21627.62</v>
      </c>
      <c r="U3808" t="s">
        <v>7462</v>
      </c>
      <c r="V3808" t="s">
        <v>9409</v>
      </c>
      <c r="W3808" t="s">
        <v>423</v>
      </c>
    </row>
    <row r="3809" spans="1:23" hidden="1" x14ac:dyDescent="0.2">
      <c r="A3809">
        <v>2012</v>
      </c>
      <c r="B3809" t="s">
        <v>303</v>
      </c>
      <c r="C3809" s="733">
        <v>40918</v>
      </c>
      <c r="D38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09" t="s">
        <v>478</v>
      </c>
      <c r="F3809" t="s">
        <v>2136</v>
      </c>
      <c r="G3809" t="s">
        <v>5747</v>
      </c>
      <c r="H3809">
        <v>34346</v>
      </c>
      <c r="I3809" t="s">
        <v>423</v>
      </c>
      <c r="J3809" t="s">
        <v>4289</v>
      </c>
      <c r="K3809" t="s">
        <v>425</v>
      </c>
      <c r="L3809" t="s">
        <v>2145</v>
      </c>
      <c r="M3809">
        <v>775</v>
      </c>
      <c r="N3809">
        <v>25.57</v>
      </c>
      <c r="O3809">
        <v>9791.52</v>
      </c>
      <c r="P3809">
        <v>0</v>
      </c>
      <c r="Q3809">
        <v>9791.52</v>
      </c>
      <c r="R3809">
        <v>1566.64</v>
      </c>
      <c r="S3809">
        <v>391.66</v>
      </c>
      <c r="T3809">
        <v>10966.5</v>
      </c>
      <c r="U3809" t="s">
        <v>2350</v>
      </c>
      <c r="V3809" t="s">
        <v>9409</v>
      </c>
      <c r="W3809" t="s">
        <v>423</v>
      </c>
    </row>
    <row r="3810" spans="1:23" hidden="1" x14ac:dyDescent="0.2">
      <c r="A3810">
        <v>2012</v>
      </c>
      <c r="B3810" t="s">
        <v>304</v>
      </c>
      <c r="C3810" s="733">
        <v>40942</v>
      </c>
      <c r="D38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10" t="s">
        <v>478</v>
      </c>
      <c r="F3810" t="s">
        <v>2136</v>
      </c>
      <c r="G3810" t="s">
        <v>5746</v>
      </c>
      <c r="H3810">
        <v>35271</v>
      </c>
      <c r="I3810" t="s">
        <v>423</v>
      </c>
      <c r="J3810" t="s">
        <v>4289</v>
      </c>
      <c r="K3810" t="s">
        <v>425</v>
      </c>
      <c r="L3810" t="s">
        <v>2145</v>
      </c>
      <c r="M3810">
        <v>775</v>
      </c>
      <c r="N3810">
        <v>22.74</v>
      </c>
      <c r="O3810">
        <v>8707.83</v>
      </c>
      <c r="P3810">
        <v>0</v>
      </c>
      <c r="Q3810">
        <v>8707.83</v>
      </c>
      <c r="R3810">
        <v>1393.25</v>
      </c>
      <c r="S3810">
        <v>348.31</v>
      </c>
      <c r="T3810">
        <v>9752.77</v>
      </c>
      <c r="U3810" t="s">
        <v>2938</v>
      </c>
      <c r="V3810" t="s">
        <v>9408</v>
      </c>
      <c r="W3810" t="s">
        <v>423</v>
      </c>
    </row>
    <row r="3811" spans="1:23" hidden="1" x14ac:dyDescent="0.2">
      <c r="A3811">
        <v>2012</v>
      </c>
      <c r="B3811" t="s">
        <v>304</v>
      </c>
      <c r="C3811" s="733">
        <v>40948</v>
      </c>
      <c r="D38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11" t="s">
        <v>485</v>
      </c>
      <c r="F3811" t="s">
        <v>3450</v>
      </c>
      <c r="G3811" t="s">
        <v>4331</v>
      </c>
      <c r="H3811">
        <v>41364</v>
      </c>
      <c r="I3811" t="s">
        <v>423</v>
      </c>
      <c r="J3811" t="s">
        <v>3452</v>
      </c>
      <c r="K3811" t="s">
        <v>3453</v>
      </c>
      <c r="L3811" t="s">
        <v>3454</v>
      </c>
      <c r="M3811">
        <v>19</v>
      </c>
      <c r="N3811">
        <v>26.24</v>
      </c>
      <c r="O3811">
        <v>2961.71</v>
      </c>
      <c r="P3811">
        <v>0</v>
      </c>
      <c r="Q3811">
        <v>2961.71</v>
      </c>
      <c r="R3811">
        <v>473.87</v>
      </c>
      <c r="S3811">
        <v>118.47</v>
      </c>
      <c r="T3811">
        <v>3317.11</v>
      </c>
      <c r="U3811" t="s">
        <v>3455</v>
      </c>
      <c r="V3811" t="s">
        <v>9408</v>
      </c>
      <c r="W3811" t="s">
        <v>423</v>
      </c>
    </row>
    <row r="3812" spans="1:23" hidden="1" x14ac:dyDescent="0.2">
      <c r="A3812">
        <v>2012</v>
      </c>
      <c r="B3812" t="s">
        <v>305</v>
      </c>
      <c r="C3812" s="733">
        <v>40970</v>
      </c>
      <c r="D3812" s="733" t="str">
        <f>CHOOSE(MONTH(Tabla_sqldatos_bonampakdb_Bon_v_ingresos2012[[#This Row],[fecha_guia]]),"Enero","Febrero","Marzo","Abril","Mayo","Junio","Julio","Agosto","Septiembre","Octubre","Noviembre","Diciembre")</f>
        <v>Marzo</v>
      </c>
      <c r="E3812" t="s">
        <v>478</v>
      </c>
      <c r="F3812" t="s">
        <v>2136</v>
      </c>
      <c r="G3812" t="s">
        <v>9725</v>
      </c>
      <c r="H3812">
        <v>36268</v>
      </c>
      <c r="I3812" t="s">
        <v>423</v>
      </c>
      <c r="J3812" t="s">
        <v>4279</v>
      </c>
      <c r="K3812" t="s">
        <v>425</v>
      </c>
      <c r="L3812" t="s">
        <v>2145</v>
      </c>
      <c r="M3812">
        <v>381</v>
      </c>
      <c r="N3812">
        <v>38.32</v>
      </c>
      <c r="O3812">
        <v>9594.94</v>
      </c>
      <c r="P3812">
        <v>0</v>
      </c>
      <c r="Q3812">
        <v>9594.94</v>
      </c>
      <c r="R3812">
        <v>1535.19</v>
      </c>
      <c r="S3812">
        <v>383.8</v>
      </c>
      <c r="T3812">
        <v>10746.33</v>
      </c>
      <c r="V3812" t="s">
        <v>9409</v>
      </c>
      <c r="W3812" t="s">
        <v>423</v>
      </c>
    </row>
    <row r="3813" spans="1:23" hidden="1" x14ac:dyDescent="0.2">
      <c r="A3813">
        <v>2012</v>
      </c>
      <c r="B3813" t="s">
        <v>303</v>
      </c>
      <c r="C3813" s="733">
        <v>40939</v>
      </c>
      <c r="D38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13" t="s">
        <v>485</v>
      </c>
      <c r="F3813" t="s">
        <v>3450</v>
      </c>
      <c r="G3813" t="s">
        <v>4335</v>
      </c>
      <c r="H3813">
        <v>40787</v>
      </c>
      <c r="I3813" t="s">
        <v>423</v>
      </c>
      <c r="J3813" t="s">
        <v>3457</v>
      </c>
      <c r="K3813" t="s">
        <v>3453</v>
      </c>
      <c r="L3813" t="s">
        <v>3454</v>
      </c>
      <c r="M3813">
        <v>29</v>
      </c>
      <c r="N3813">
        <v>25.93</v>
      </c>
      <c r="O3813">
        <v>2926.72</v>
      </c>
      <c r="P3813">
        <v>0</v>
      </c>
      <c r="Q3813">
        <v>2926.72</v>
      </c>
      <c r="R3813">
        <v>468.28</v>
      </c>
      <c r="S3813">
        <v>117.07</v>
      </c>
      <c r="T3813">
        <v>3277.93</v>
      </c>
      <c r="U3813" t="s">
        <v>3640</v>
      </c>
      <c r="V3813" t="s">
        <v>9408</v>
      </c>
      <c r="W3813" t="s">
        <v>423</v>
      </c>
    </row>
    <row r="3814" spans="1:23" hidden="1" x14ac:dyDescent="0.2">
      <c r="A3814">
        <v>2012</v>
      </c>
      <c r="B3814" t="s">
        <v>304</v>
      </c>
      <c r="C3814" s="733">
        <v>40949</v>
      </c>
      <c r="D38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14" t="s">
        <v>478</v>
      </c>
      <c r="F3814" t="s">
        <v>2136</v>
      </c>
      <c r="G3814" t="s">
        <v>5230</v>
      </c>
      <c r="H3814">
        <v>35499</v>
      </c>
      <c r="I3814" t="s">
        <v>423</v>
      </c>
      <c r="J3814" t="s">
        <v>4279</v>
      </c>
      <c r="K3814" t="s">
        <v>425</v>
      </c>
      <c r="L3814" t="s">
        <v>2145</v>
      </c>
      <c r="M3814">
        <v>381</v>
      </c>
      <c r="N3814">
        <v>25.42</v>
      </c>
      <c r="O3814">
        <v>6364.91</v>
      </c>
      <c r="P3814">
        <v>0</v>
      </c>
      <c r="Q3814">
        <v>6364.91</v>
      </c>
      <c r="R3814">
        <v>1018.39</v>
      </c>
      <c r="S3814">
        <v>254.6</v>
      </c>
      <c r="T3814">
        <v>7128.7</v>
      </c>
      <c r="U3814" t="s">
        <v>7523</v>
      </c>
      <c r="V3814" t="s">
        <v>9408</v>
      </c>
      <c r="W3814" t="s">
        <v>423</v>
      </c>
    </row>
    <row r="3815" spans="1:23" hidden="1" x14ac:dyDescent="0.2">
      <c r="A3815">
        <v>2012</v>
      </c>
      <c r="B3815" t="s">
        <v>303</v>
      </c>
      <c r="C3815" s="733">
        <v>40922</v>
      </c>
      <c r="D38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15" t="s">
        <v>478</v>
      </c>
      <c r="F3815" t="s">
        <v>2136</v>
      </c>
      <c r="G3815" t="s">
        <v>5231</v>
      </c>
      <c r="H3815">
        <v>34506</v>
      </c>
      <c r="I3815" t="s">
        <v>423</v>
      </c>
      <c r="J3815" t="s">
        <v>4279</v>
      </c>
      <c r="K3815" t="s">
        <v>425</v>
      </c>
      <c r="L3815" t="s">
        <v>2145</v>
      </c>
      <c r="M3815">
        <v>381</v>
      </c>
      <c r="N3815">
        <v>47.92</v>
      </c>
      <c r="O3815">
        <v>11998.69</v>
      </c>
      <c r="P3815">
        <v>0</v>
      </c>
      <c r="Q3815">
        <v>11998.69</v>
      </c>
      <c r="R3815">
        <v>1919.79</v>
      </c>
      <c r="S3815">
        <v>479.95</v>
      </c>
      <c r="T3815">
        <v>13438.53</v>
      </c>
      <c r="U3815" t="s">
        <v>2146</v>
      </c>
      <c r="V3815" t="s">
        <v>9409</v>
      </c>
      <c r="W3815" t="s">
        <v>423</v>
      </c>
    </row>
    <row r="3816" spans="1:23" hidden="1" x14ac:dyDescent="0.2">
      <c r="A3816">
        <v>2012</v>
      </c>
      <c r="B3816" t="s">
        <v>303</v>
      </c>
      <c r="C3816" s="733">
        <v>40917</v>
      </c>
      <c r="D38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16" t="s">
        <v>478</v>
      </c>
      <c r="F3816" t="s">
        <v>2136</v>
      </c>
      <c r="G3816" t="s">
        <v>5242</v>
      </c>
      <c r="H3816">
        <v>34278</v>
      </c>
      <c r="I3816" t="s">
        <v>423</v>
      </c>
      <c r="J3816" t="s">
        <v>5241</v>
      </c>
      <c r="K3816" t="s">
        <v>425</v>
      </c>
      <c r="L3816" t="s">
        <v>2145</v>
      </c>
      <c r="M3816">
        <v>1330</v>
      </c>
      <c r="N3816">
        <v>25.87</v>
      </c>
      <c r="O3816">
        <v>15270.54</v>
      </c>
      <c r="P3816">
        <v>0</v>
      </c>
      <c r="Q3816">
        <v>15270.54</v>
      </c>
      <c r="R3816">
        <v>2443.29</v>
      </c>
      <c r="S3816">
        <v>610.82000000000005</v>
      </c>
      <c r="T3816">
        <v>17103.009999999998</v>
      </c>
      <c r="U3816" t="s">
        <v>2927</v>
      </c>
      <c r="V3816" t="s">
        <v>9408</v>
      </c>
      <c r="W3816" t="s">
        <v>423</v>
      </c>
    </row>
    <row r="3817" spans="1:23" hidden="1" x14ac:dyDescent="0.2">
      <c r="A3817">
        <v>2012</v>
      </c>
      <c r="B3817" t="s">
        <v>304</v>
      </c>
      <c r="C3817" s="733">
        <v>40946</v>
      </c>
      <c r="D38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17" t="s">
        <v>478</v>
      </c>
      <c r="F3817" t="s">
        <v>2136</v>
      </c>
      <c r="G3817" t="s">
        <v>5240</v>
      </c>
      <c r="H3817">
        <v>35260</v>
      </c>
      <c r="I3817" t="s">
        <v>423</v>
      </c>
      <c r="J3817" t="s">
        <v>5241</v>
      </c>
      <c r="K3817" t="s">
        <v>425</v>
      </c>
      <c r="L3817" t="s">
        <v>2145</v>
      </c>
      <c r="M3817">
        <v>1330</v>
      </c>
      <c r="N3817">
        <v>24.38</v>
      </c>
      <c r="O3817">
        <v>14391.03</v>
      </c>
      <c r="P3817">
        <v>0</v>
      </c>
      <c r="Q3817">
        <v>14391.03</v>
      </c>
      <c r="R3817">
        <v>2302.56</v>
      </c>
      <c r="S3817">
        <v>575.64</v>
      </c>
      <c r="T3817">
        <v>16117.95</v>
      </c>
      <c r="U3817" t="s">
        <v>2938</v>
      </c>
      <c r="V3817" t="s">
        <v>9408</v>
      </c>
      <c r="W3817" t="s">
        <v>423</v>
      </c>
    </row>
    <row r="3818" spans="1:23" hidden="1" x14ac:dyDescent="0.2">
      <c r="A3818">
        <v>2012</v>
      </c>
      <c r="B3818" t="s">
        <v>303</v>
      </c>
      <c r="C3818" s="733">
        <v>40919</v>
      </c>
      <c r="D38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18" t="s">
        <v>478</v>
      </c>
      <c r="F3818" t="s">
        <v>4128</v>
      </c>
      <c r="G3818" t="s">
        <v>4508</v>
      </c>
      <c r="H3818">
        <v>34397</v>
      </c>
      <c r="I3818" t="s">
        <v>423</v>
      </c>
      <c r="J3818" t="s">
        <v>4509</v>
      </c>
      <c r="K3818" t="s">
        <v>4397</v>
      </c>
      <c r="L3818" t="s">
        <v>4398</v>
      </c>
      <c r="M3818">
        <v>183</v>
      </c>
      <c r="N3818">
        <v>25.49</v>
      </c>
      <c r="O3818">
        <v>4402.63</v>
      </c>
      <c r="P3818">
        <v>0</v>
      </c>
      <c r="Q3818">
        <v>4402.63</v>
      </c>
      <c r="R3818">
        <v>704.42</v>
      </c>
      <c r="S3818">
        <v>176.11</v>
      </c>
      <c r="T3818">
        <v>4930.9399999999996</v>
      </c>
      <c r="U3818" t="s">
        <v>4399</v>
      </c>
      <c r="V3818" t="s">
        <v>9408</v>
      </c>
      <c r="W3818" t="s">
        <v>423</v>
      </c>
    </row>
    <row r="3819" spans="1:23" hidden="1" x14ac:dyDescent="0.2">
      <c r="A3819">
        <v>2012</v>
      </c>
      <c r="B3819" t="s">
        <v>303</v>
      </c>
      <c r="C3819" s="733">
        <v>40933</v>
      </c>
      <c r="D38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19" t="s">
        <v>478</v>
      </c>
      <c r="F3819" t="s">
        <v>4128</v>
      </c>
      <c r="G3819" t="s">
        <v>4510</v>
      </c>
      <c r="H3819">
        <v>34920</v>
      </c>
      <c r="I3819" t="s">
        <v>423</v>
      </c>
      <c r="J3819" t="s">
        <v>4509</v>
      </c>
      <c r="K3819" t="s">
        <v>4397</v>
      </c>
      <c r="L3819" t="s">
        <v>4398</v>
      </c>
      <c r="M3819">
        <v>183</v>
      </c>
      <c r="N3819">
        <v>29.074999999999999</v>
      </c>
      <c r="O3819">
        <v>5021.83</v>
      </c>
      <c r="P3819">
        <v>0</v>
      </c>
      <c r="Q3819">
        <v>5021.83</v>
      </c>
      <c r="R3819">
        <v>803.49</v>
      </c>
      <c r="S3819">
        <v>200.87</v>
      </c>
      <c r="T3819">
        <v>5624.45</v>
      </c>
      <c r="U3819" t="s">
        <v>4402</v>
      </c>
      <c r="V3819" t="s">
        <v>9408</v>
      </c>
      <c r="W3819" t="s">
        <v>423</v>
      </c>
    </row>
    <row r="3820" spans="1:23" hidden="1" x14ac:dyDescent="0.2">
      <c r="A3820">
        <v>2012</v>
      </c>
      <c r="B3820" t="s">
        <v>304</v>
      </c>
      <c r="C3820" s="733">
        <v>40956</v>
      </c>
      <c r="D38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20" t="s">
        <v>478</v>
      </c>
      <c r="F3820" t="s">
        <v>2622</v>
      </c>
      <c r="G3820" t="s">
        <v>7613</v>
      </c>
      <c r="H3820">
        <v>35793</v>
      </c>
      <c r="I3820" t="s">
        <v>423</v>
      </c>
      <c r="J3820" t="s">
        <v>4509</v>
      </c>
      <c r="K3820" t="s">
        <v>4397</v>
      </c>
      <c r="L3820" t="s">
        <v>4398</v>
      </c>
      <c r="M3820">
        <v>183</v>
      </c>
      <c r="N3820">
        <v>30</v>
      </c>
      <c r="O3820">
        <v>5181.6000000000004</v>
      </c>
      <c r="P3820">
        <v>0</v>
      </c>
      <c r="Q3820">
        <v>5181.6000000000004</v>
      </c>
      <c r="R3820">
        <v>829.06</v>
      </c>
      <c r="S3820">
        <v>207.26</v>
      </c>
      <c r="T3820">
        <v>5803.4</v>
      </c>
      <c r="U3820" t="s">
        <v>8384</v>
      </c>
      <c r="V3820" t="s">
        <v>9408</v>
      </c>
      <c r="W3820" t="s">
        <v>423</v>
      </c>
    </row>
    <row r="3821" spans="1:23" hidden="1" x14ac:dyDescent="0.2">
      <c r="A3821">
        <v>2012</v>
      </c>
      <c r="B3821" t="s">
        <v>304</v>
      </c>
      <c r="C3821" s="733">
        <v>40948</v>
      </c>
      <c r="D38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21" t="s">
        <v>478</v>
      </c>
      <c r="F3821" t="s">
        <v>2622</v>
      </c>
      <c r="G3821" t="s">
        <v>5243</v>
      </c>
      <c r="H3821">
        <v>35322</v>
      </c>
      <c r="I3821" t="s">
        <v>423</v>
      </c>
      <c r="J3821" t="s">
        <v>4279</v>
      </c>
      <c r="K3821" t="s">
        <v>425</v>
      </c>
      <c r="L3821" t="s">
        <v>2145</v>
      </c>
      <c r="M3821">
        <v>381</v>
      </c>
      <c r="N3821">
        <v>38.96</v>
      </c>
      <c r="O3821">
        <v>9755.19</v>
      </c>
      <c r="P3821">
        <v>0</v>
      </c>
      <c r="Q3821">
        <v>9755.19</v>
      </c>
      <c r="R3821">
        <v>1560.83</v>
      </c>
      <c r="S3821">
        <v>390.21</v>
      </c>
      <c r="T3821">
        <v>10925.81</v>
      </c>
      <c r="U3821" t="s">
        <v>3115</v>
      </c>
      <c r="V3821" t="s">
        <v>9408</v>
      </c>
      <c r="W3821" t="s">
        <v>423</v>
      </c>
    </row>
    <row r="3822" spans="1:23" hidden="1" x14ac:dyDescent="0.2">
      <c r="A3822">
        <v>2012</v>
      </c>
      <c r="B3822" t="s">
        <v>303</v>
      </c>
      <c r="C3822" s="733">
        <v>40914</v>
      </c>
      <c r="D38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22" t="s">
        <v>505</v>
      </c>
      <c r="F3822" t="s">
        <v>1915</v>
      </c>
      <c r="G3822" t="s">
        <v>5252</v>
      </c>
      <c r="H3822">
        <v>21833</v>
      </c>
      <c r="I3822" t="s">
        <v>423</v>
      </c>
      <c r="J3822" t="s">
        <v>5253</v>
      </c>
      <c r="K3822" t="s">
        <v>1918</v>
      </c>
      <c r="L3822" t="s">
        <v>1919</v>
      </c>
      <c r="M3822">
        <v>88</v>
      </c>
      <c r="N3822">
        <v>27.24</v>
      </c>
      <c r="O3822">
        <v>3795.08</v>
      </c>
      <c r="P3822">
        <v>0</v>
      </c>
      <c r="Q3822">
        <v>3795.08</v>
      </c>
      <c r="R3822">
        <v>607.21</v>
      </c>
      <c r="S3822">
        <v>151.80000000000001</v>
      </c>
      <c r="T3822">
        <v>4250.49</v>
      </c>
      <c r="U3822" t="s">
        <v>1931</v>
      </c>
      <c r="V3822" t="s">
        <v>9408</v>
      </c>
      <c r="W3822" t="s">
        <v>423</v>
      </c>
    </row>
    <row r="3823" spans="1:23" x14ac:dyDescent="0.2">
      <c r="A3823">
        <v>2012</v>
      </c>
      <c r="B3823" t="s">
        <v>304</v>
      </c>
      <c r="C3823" s="733">
        <v>40967</v>
      </c>
      <c r="D38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23" t="s">
        <v>485</v>
      </c>
      <c r="F3823" t="s">
        <v>2048</v>
      </c>
      <c r="G3823" t="s">
        <v>9081</v>
      </c>
      <c r="H3823">
        <v>42604</v>
      </c>
      <c r="I3823" t="s">
        <v>423</v>
      </c>
      <c r="J3823" t="s">
        <v>4086</v>
      </c>
      <c r="K3823" t="s">
        <v>2051</v>
      </c>
      <c r="L3823" t="s">
        <v>2052</v>
      </c>
      <c r="M3823">
        <v>341</v>
      </c>
      <c r="N3823">
        <v>56.85</v>
      </c>
      <c r="O3823">
        <v>13902.67</v>
      </c>
      <c r="P3823">
        <v>0</v>
      </c>
      <c r="Q3823">
        <v>13902.67</v>
      </c>
      <c r="R3823">
        <v>2224.4299999999998</v>
      </c>
      <c r="S3823">
        <v>556.11</v>
      </c>
      <c r="T3823">
        <v>15570.99</v>
      </c>
      <c r="V3823" t="s">
        <v>9409</v>
      </c>
      <c r="W3823" t="s">
        <v>423</v>
      </c>
    </row>
    <row r="3824" spans="1:23" hidden="1" x14ac:dyDescent="0.2">
      <c r="A3824">
        <v>2012</v>
      </c>
      <c r="B3824" t="s">
        <v>303</v>
      </c>
      <c r="C3824" s="733">
        <v>40929</v>
      </c>
      <c r="D38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24" t="s">
        <v>505</v>
      </c>
      <c r="F3824" t="s">
        <v>1915</v>
      </c>
      <c r="G3824" t="s">
        <v>5033</v>
      </c>
      <c r="H3824">
        <v>22160</v>
      </c>
      <c r="I3824" t="s">
        <v>423</v>
      </c>
      <c r="J3824" t="s">
        <v>4158</v>
      </c>
      <c r="K3824" t="s">
        <v>1918</v>
      </c>
      <c r="L3824" t="s">
        <v>1919</v>
      </c>
      <c r="M3824">
        <v>274</v>
      </c>
      <c r="N3824">
        <v>24.95</v>
      </c>
      <c r="O3824">
        <v>6888.7</v>
      </c>
      <c r="P3824">
        <v>0</v>
      </c>
      <c r="Q3824">
        <v>6888.7</v>
      </c>
      <c r="R3824">
        <v>1102.19</v>
      </c>
      <c r="S3824">
        <v>275.55</v>
      </c>
      <c r="T3824">
        <v>7715.34</v>
      </c>
      <c r="U3824" t="s">
        <v>1936</v>
      </c>
      <c r="V3824" t="s">
        <v>9408</v>
      </c>
      <c r="W3824" t="s">
        <v>423</v>
      </c>
    </row>
    <row r="3825" spans="1:23" hidden="1" x14ac:dyDescent="0.2">
      <c r="A3825">
        <v>2012</v>
      </c>
      <c r="B3825" t="s">
        <v>303</v>
      </c>
      <c r="C3825" s="733">
        <v>40932.60050925926</v>
      </c>
      <c r="D38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25" t="s">
        <v>478</v>
      </c>
      <c r="F3825" t="s">
        <v>2136</v>
      </c>
      <c r="G3825" t="s">
        <v>5049</v>
      </c>
      <c r="H3825">
        <v>34912</v>
      </c>
      <c r="I3825" t="s">
        <v>423</v>
      </c>
      <c r="J3825" t="s">
        <v>4276</v>
      </c>
      <c r="K3825" t="s">
        <v>425</v>
      </c>
      <c r="L3825" t="s">
        <v>2145</v>
      </c>
      <c r="M3825">
        <v>60</v>
      </c>
      <c r="N3825">
        <v>22.37</v>
      </c>
      <c r="O3825">
        <v>3003.17</v>
      </c>
      <c r="P3825">
        <v>0</v>
      </c>
      <c r="Q3825">
        <v>3003.17</v>
      </c>
      <c r="R3825">
        <v>480.51</v>
      </c>
      <c r="S3825">
        <v>120.13</v>
      </c>
      <c r="T3825">
        <v>3363.55</v>
      </c>
      <c r="U3825" t="s">
        <v>3234</v>
      </c>
      <c r="V3825" t="s">
        <v>9408</v>
      </c>
      <c r="W3825" t="s">
        <v>423</v>
      </c>
    </row>
    <row r="3826" spans="1:23" hidden="1" x14ac:dyDescent="0.2">
      <c r="A3826">
        <v>2012</v>
      </c>
      <c r="B3826" t="s">
        <v>303</v>
      </c>
      <c r="C3826" s="733">
        <v>40936</v>
      </c>
      <c r="D38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26" t="s">
        <v>478</v>
      </c>
      <c r="F3826" t="s">
        <v>2136</v>
      </c>
      <c r="G3826" t="s">
        <v>5051</v>
      </c>
      <c r="H3826">
        <v>35038</v>
      </c>
      <c r="I3826" t="s">
        <v>423</v>
      </c>
      <c r="J3826" t="s">
        <v>4276</v>
      </c>
      <c r="K3826" t="s">
        <v>425</v>
      </c>
      <c r="L3826" t="s">
        <v>2145</v>
      </c>
      <c r="M3826">
        <v>60</v>
      </c>
      <c r="N3826">
        <v>24.38</v>
      </c>
      <c r="O3826">
        <v>3273.02</v>
      </c>
      <c r="P3826">
        <v>0</v>
      </c>
      <c r="Q3826">
        <v>3273.02</v>
      </c>
      <c r="R3826">
        <v>523.67999999999995</v>
      </c>
      <c r="S3826">
        <v>130.91999999999999</v>
      </c>
      <c r="T3826">
        <v>3665.78</v>
      </c>
      <c r="U3826" t="s">
        <v>2580</v>
      </c>
      <c r="V3826" t="s">
        <v>9408</v>
      </c>
      <c r="W3826" t="s">
        <v>423</v>
      </c>
    </row>
    <row r="3827" spans="1:23" hidden="1" x14ac:dyDescent="0.2">
      <c r="A3827">
        <v>2012</v>
      </c>
      <c r="B3827" t="s">
        <v>303</v>
      </c>
      <c r="C3827" s="733">
        <v>40912</v>
      </c>
      <c r="D38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27" t="s">
        <v>478</v>
      </c>
      <c r="F3827" t="s">
        <v>2136</v>
      </c>
      <c r="G3827" t="s">
        <v>5050</v>
      </c>
      <c r="H3827">
        <v>34107</v>
      </c>
      <c r="I3827" t="s">
        <v>423</v>
      </c>
      <c r="J3827" t="s">
        <v>4276</v>
      </c>
      <c r="K3827" t="s">
        <v>425</v>
      </c>
      <c r="L3827" t="s">
        <v>2145</v>
      </c>
      <c r="M3827">
        <v>60</v>
      </c>
      <c r="N3827">
        <v>24.68</v>
      </c>
      <c r="O3827">
        <v>1394.91</v>
      </c>
      <c r="P3827">
        <v>1570.51522</v>
      </c>
      <c r="Q3827">
        <v>2965.4252200000001</v>
      </c>
      <c r="R3827">
        <v>474.46803499999999</v>
      </c>
      <c r="S3827">
        <v>118.617009</v>
      </c>
      <c r="T3827">
        <v>3321.2762459999999</v>
      </c>
      <c r="U3827" t="s">
        <v>3118</v>
      </c>
      <c r="V3827" t="s">
        <v>9408</v>
      </c>
      <c r="W3827" t="s">
        <v>423</v>
      </c>
    </row>
    <row r="3828" spans="1:23" hidden="1" x14ac:dyDescent="0.2">
      <c r="A3828">
        <v>2012</v>
      </c>
      <c r="B3828" t="s">
        <v>304</v>
      </c>
      <c r="C3828" s="733">
        <v>40960</v>
      </c>
      <c r="D38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28" t="s">
        <v>485</v>
      </c>
      <c r="F3828" t="s">
        <v>2048</v>
      </c>
      <c r="G3828" t="s">
        <v>8098</v>
      </c>
      <c r="H3828">
        <v>42302</v>
      </c>
      <c r="I3828" t="s">
        <v>423</v>
      </c>
      <c r="J3828" t="s">
        <v>4086</v>
      </c>
      <c r="K3828" t="s">
        <v>2051</v>
      </c>
      <c r="L3828" t="s">
        <v>2052</v>
      </c>
      <c r="M3828">
        <v>341</v>
      </c>
      <c r="N3828">
        <v>52.3</v>
      </c>
      <c r="O3828">
        <v>12789.96</v>
      </c>
      <c r="P3828">
        <v>0</v>
      </c>
      <c r="Q3828">
        <v>12789.96</v>
      </c>
      <c r="R3828">
        <v>2046.39</v>
      </c>
      <c r="S3828">
        <v>511.6</v>
      </c>
      <c r="T3828">
        <v>14324.75</v>
      </c>
      <c r="U3828" t="s">
        <v>8780</v>
      </c>
      <c r="V3828" t="s">
        <v>9409</v>
      </c>
      <c r="W3828" t="s">
        <v>423</v>
      </c>
    </row>
    <row r="3829" spans="1:23" x14ac:dyDescent="0.2">
      <c r="A3829">
        <v>2012</v>
      </c>
      <c r="B3829" t="s">
        <v>304</v>
      </c>
      <c r="C3829" s="733">
        <v>40967</v>
      </c>
      <c r="D38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29" t="s">
        <v>485</v>
      </c>
      <c r="F3829" t="s">
        <v>2048</v>
      </c>
      <c r="G3829" t="s">
        <v>9083</v>
      </c>
      <c r="H3829">
        <v>41887</v>
      </c>
      <c r="I3829" t="s">
        <v>423</v>
      </c>
      <c r="J3829" t="s">
        <v>2972</v>
      </c>
      <c r="K3829" t="s">
        <v>2051</v>
      </c>
      <c r="L3829" t="s">
        <v>2052</v>
      </c>
      <c r="M3829">
        <v>398</v>
      </c>
      <c r="N3829">
        <v>52.75</v>
      </c>
      <c r="O3829">
        <v>14589.07</v>
      </c>
      <c r="P3829">
        <v>0</v>
      </c>
      <c r="Q3829">
        <v>14589.07</v>
      </c>
      <c r="R3829">
        <v>2334.25</v>
      </c>
      <c r="S3829">
        <v>583.55999999999995</v>
      </c>
      <c r="T3829">
        <v>16339.76</v>
      </c>
      <c r="U3829" t="s">
        <v>8780</v>
      </c>
      <c r="V3829" t="s">
        <v>9409</v>
      </c>
      <c r="W3829" t="s">
        <v>423</v>
      </c>
    </row>
    <row r="3830" spans="1:23" hidden="1" x14ac:dyDescent="0.2">
      <c r="A3830">
        <v>2012</v>
      </c>
      <c r="B3830" t="s">
        <v>304</v>
      </c>
      <c r="C3830" s="733">
        <v>40959</v>
      </c>
      <c r="D38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30" t="s">
        <v>485</v>
      </c>
      <c r="F3830" t="s">
        <v>2065</v>
      </c>
      <c r="G3830" t="s">
        <v>7949</v>
      </c>
      <c r="H3830">
        <v>42191</v>
      </c>
      <c r="I3830" t="s">
        <v>423</v>
      </c>
      <c r="J3830" t="s">
        <v>3965</v>
      </c>
      <c r="K3830" t="s">
        <v>2183</v>
      </c>
      <c r="L3830" t="s">
        <v>2184</v>
      </c>
      <c r="M3830">
        <v>696</v>
      </c>
      <c r="N3830">
        <v>25.46</v>
      </c>
      <c r="O3830">
        <v>10318.68</v>
      </c>
      <c r="P3830">
        <v>0</v>
      </c>
      <c r="Q3830">
        <v>10318.68</v>
      </c>
      <c r="R3830">
        <v>1650.99</v>
      </c>
      <c r="S3830">
        <v>412.75</v>
      </c>
      <c r="T3830">
        <v>11556.92</v>
      </c>
      <c r="U3830" t="s">
        <v>9411</v>
      </c>
      <c r="V3830" t="s">
        <v>9408</v>
      </c>
      <c r="W3830" t="s">
        <v>423</v>
      </c>
    </row>
    <row r="3831" spans="1:23" hidden="1" x14ac:dyDescent="0.2">
      <c r="A3831">
        <v>2012</v>
      </c>
      <c r="B3831" t="s">
        <v>304</v>
      </c>
      <c r="C3831" s="733">
        <v>40960</v>
      </c>
      <c r="D38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31" t="s">
        <v>485</v>
      </c>
      <c r="F3831" t="s">
        <v>2048</v>
      </c>
      <c r="G3831" t="s">
        <v>8125</v>
      </c>
      <c r="H3831">
        <v>42344</v>
      </c>
      <c r="I3831" t="s">
        <v>423</v>
      </c>
      <c r="J3831" t="s">
        <v>2972</v>
      </c>
      <c r="K3831" t="s">
        <v>2051</v>
      </c>
      <c r="L3831" t="s">
        <v>2052</v>
      </c>
      <c r="M3831">
        <v>398</v>
      </c>
      <c r="N3831">
        <v>45.09</v>
      </c>
      <c r="O3831">
        <v>12470.54</v>
      </c>
      <c r="P3831">
        <v>0</v>
      </c>
      <c r="Q3831">
        <v>12470.54</v>
      </c>
      <c r="R3831">
        <v>1995.29</v>
      </c>
      <c r="S3831">
        <v>498.82</v>
      </c>
      <c r="T3831">
        <v>13967.01</v>
      </c>
      <c r="V3831" t="s">
        <v>9409</v>
      </c>
      <c r="W3831" t="s">
        <v>423</v>
      </c>
    </row>
    <row r="3832" spans="1:23" x14ac:dyDescent="0.2">
      <c r="A3832">
        <v>2012</v>
      </c>
      <c r="B3832" t="s">
        <v>304</v>
      </c>
      <c r="C3832" s="733">
        <v>40967</v>
      </c>
      <c r="D38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32" t="s">
        <v>485</v>
      </c>
      <c r="F3832" t="s">
        <v>2065</v>
      </c>
      <c r="G3832" t="s">
        <v>9082</v>
      </c>
      <c r="H3832">
        <v>42598</v>
      </c>
      <c r="I3832" t="s">
        <v>423</v>
      </c>
      <c r="J3832" t="s">
        <v>2972</v>
      </c>
      <c r="K3832" t="s">
        <v>2051</v>
      </c>
      <c r="L3832" t="s">
        <v>2052</v>
      </c>
      <c r="M3832">
        <v>398</v>
      </c>
      <c r="N3832">
        <v>25</v>
      </c>
      <c r="O3832">
        <v>6914.25</v>
      </c>
      <c r="P3832">
        <v>0</v>
      </c>
      <c r="Q3832">
        <v>6914.25</v>
      </c>
      <c r="R3832">
        <v>1106.28</v>
      </c>
      <c r="S3832">
        <v>276.57</v>
      </c>
      <c r="T3832">
        <v>7743.96</v>
      </c>
      <c r="V3832" t="s">
        <v>9408</v>
      </c>
      <c r="W3832" t="s">
        <v>423</v>
      </c>
    </row>
    <row r="3833" spans="1:23" hidden="1" x14ac:dyDescent="0.2">
      <c r="A3833">
        <v>2012</v>
      </c>
      <c r="B3833" t="s">
        <v>303</v>
      </c>
      <c r="C3833" s="733">
        <v>40939</v>
      </c>
      <c r="D38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33" t="s">
        <v>505</v>
      </c>
      <c r="F3833" t="s">
        <v>1915</v>
      </c>
      <c r="G3833" t="s">
        <v>1949</v>
      </c>
      <c r="H3833">
        <v>21741</v>
      </c>
      <c r="I3833" t="s">
        <v>423</v>
      </c>
      <c r="J3833" t="s">
        <v>1947</v>
      </c>
      <c r="K3833" t="s">
        <v>1918</v>
      </c>
      <c r="L3833" t="s">
        <v>1919</v>
      </c>
      <c r="M3833">
        <v>973</v>
      </c>
      <c r="N3833">
        <v>54.27</v>
      </c>
      <c r="O3833">
        <v>31691.51</v>
      </c>
      <c r="P3833">
        <v>0</v>
      </c>
      <c r="Q3833">
        <v>31691.51</v>
      </c>
      <c r="R3833">
        <v>5070.6400000000003</v>
      </c>
      <c r="S3833">
        <v>1267.6600000000001</v>
      </c>
      <c r="T3833">
        <v>35494.49</v>
      </c>
      <c r="U3833" t="s">
        <v>1936</v>
      </c>
      <c r="V3833" t="s">
        <v>9409</v>
      </c>
      <c r="W3833" t="s">
        <v>423</v>
      </c>
    </row>
    <row r="3834" spans="1:23" hidden="1" x14ac:dyDescent="0.2">
      <c r="A3834">
        <v>2012</v>
      </c>
      <c r="B3834" t="s">
        <v>303</v>
      </c>
      <c r="C3834" s="733">
        <v>40918.548668981479</v>
      </c>
      <c r="D38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34" t="s">
        <v>505</v>
      </c>
      <c r="F3834" t="s">
        <v>1915</v>
      </c>
      <c r="G3834" t="s">
        <v>1950</v>
      </c>
      <c r="H3834">
        <v>21871</v>
      </c>
      <c r="I3834" t="s">
        <v>423</v>
      </c>
      <c r="J3834" t="s">
        <v>1947</v>
      </c>
      <c r="K3834" t="s">
        <v>1918</v>
      </c>
      <c r="L3834" t="s">
        <v>1919</v>
      </c>
      <c r="M3834">
        <v>973</v>
      </c>
      <c r="N3834">
        <v>50.04</v>
      </c>
      <c r="O3834">
        <v>29221.360000000001</v>
      </c>
      <c r="P3834">
        <v>0</v>
      </c>
      <c r="Q3834">
        <v>29221.360000000001</v>
      </c>
      <c r="R3834">
        <v>4675.42</v>
      </c>
      <c r="S3834">
        <v>1168.8499999999999</v>
      </c>
      <c r="T3834">
        <v>32727.93</v>
      </c>
      <c r="U3834" t="s">
        <v>1931</v>
      </c>
      <c r="V3834" t="s">
        <v>9409</v>
      </c>
      <c r="W3834" t="s">
        <v>423</v>
      </c>
    </row>
    <row r="3835" spans="1:23" hidden="1" x14ac:dyDescent="0.2">
      <c r="A3835">
        <v>2012</v>
      </c>
      <c r="B3835" t="s">
        <v>303</v>
      </c>
      <c r="C3835" s="733">
        <v>40934</v>
      </c>
      <c r="D38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35" t="s">
        <v>505</v>
      </c>
      <c r="F3835" t="s">
        <v>1915</v>
      </c>
      <c r="G3835" t="s">
        <v>1946</v>
      </c>
      <c r="H3835">
        <v>22216</v>
      </c>
      <c r="I3835" t="s">
        <v>423</v>
      </c>
      <c r="J3835" t="s">
        <v>1947</v>
      </c>
      <c r="K3835" t="s">
        <v>1918</v>
      </c>
      <c r="L3835" t="s">
        <v>1919</v>
      </c>
      <c r="M3835">
        <v>973</v>
      </c>
      <c r="N3835">
        <v>50.15</v>
      </c>
      <c r="O3835">
        <v>29285.59</v>
      </c>
      <c r="P3835">
        <v>0</v>
      </c>
      <c r="Q3835">
        <v>29285.59</v>
      </c>
      <c r="R3835">
        <v>4685.7</v>
      </c>
      <c r="S3835">
        <v>1171.42</v>
      </c>
      <c r="T3835">
        <v>32799.870000000003</v>
      </c>
      <c r="U3835" t="s">
        <v>1926</v>
      </c>
      <c r="V3835" t="s">
        <v>9409</v>
      </c>
      <c r="W3835" t="s">
        <v>423</v>
      </c>
    </row>
    <row r="3836" spans="1:23" hidden="1" x14ac:dyDescent="0.2">
      <c r="A3836">
        <v>2012</v>
      </c>
      <c r="B3836" t="s">
        <v>304</v>
      </c>
      <c r="C3836" s="733">
        <v>40956</v>
      </c>
      <c r="D38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36" t="s">
        <v>485</v>
      </c>
      <c r="F3836" t="s">
        <v>2065</v>
      </c>
      <c r="G3836" t="s">
        <v>7928</v>
      </c>
      <c r="H3836">
        <v>41939</v>
      </c>
      <c r="I3836" t="s">
        <v>423</v>
      </c>
      <c r="J3836" t="s">
        <v>2189</v>
      </c>
      <c r="K3836" t="s">
        <v>2183</v>
      </c>
      <c r="L3836" t="s">
        <v>2115</v>
      </c>
      <c r="M3836">
        <v>720</v>
      </c>
      <c r="N3836">
        <v>25.31</v>
      </c>
      <c r="O3836">
        <v>10257.89</v>
      </c>
      <c r="P3836">
        <v>0</v>
      </c>
      <c r="Q3836">
        <v>10257.89</v>
      </c>
      <c r="R3836">
        <v>1641.26</v>
      </c>
      <c r="S3836">
        <v>410.32</v>
      </c>
      <c r="T3836">
        <v>11488.83</v>
      </c>
      <c r="U3836" t="s">
        <v>8048</v>
      </c>
      <c r="V3836" t="s">
        <v>9408</v>
      </c>
      <c r="W3836" t="s">
        <v>423</v>
      </c>
    </row>
    <row r="3837" spans="1:23" hidden="1" x14ac:dyDescent="0.2">
      <c r="A3837">
        <v>2012</v>
      </c>
      <c r="B3837" t="s">
        <v>305</v>
      </c>
      <c r="C3837" s="733">
        <v>40969</v>
      </c>
      <c r="D3837" s="733" t="str">
        <f>CHOOSE(MONTH(Tabla_sqldatos_bonampakdb_Bon_v_ingresos2012[[#This Row],[fecha_guia]]),"Enero","Febrero","Marzo","Abril","Mayo","Junio","Julio","Agosto","Septiembre","Octubre","Noviembre","Diciembre")</f>
        <v>Marzo</v>
      </c>
      <c r="E3837" t="s">
        <v>485</v>
      </c>
      <c r="F3837" t="s">
        <v>2065</v>
      </c>
      <c r="G3837" t="s">
        <v>9632</v>
      </c>
      <c r="H3837">
        <v>42808</v>
      </c>
      <c r="I3837" t="s">
        <v>423</v>
      </c>
      <c r="J3837" t="s">
        <v>3965</v>
      </c>
      <c r="K3837" t="s">
        <v>2183</v>
      </c>
      <c r="L3837" t="s">
        <v>2184</v>
      </c>
      <c r="M3837">
        <v>696</v>
      </c>
      <c r="N3837">
        <v>24</v>
      </c>
      <c r="O3837">
        <v>9726.9599999999991</v>
      </c>
      <c r="P3837">
        <v>0</v>
      </c>
      <c r="Q3837">
        <v>9726.9599999999991</v>
      </c>
      <c r="R3837">
        <v>1556.31</v>
      </c>
      <c r="S3837">
        <v>389.08</v>
      </c>
      <c r="T3837">
        <v>10894.19</v>
      </c>
      <c r="V3837" t="s">
        <v>9408</v>
      </c>
      <c r="W3837" t="s">
        <v>423</v>
      </c>
    </row>
    <row r="3838" spans="1:23" hidden="1" x14ac:dyDescent="0.2">
      <c r="A3838">
        <v>2012</v>
      </c>
      <c r="B3838" t="s">
        <v>304</v>
      </c>
      <c r="C3838" s="733">
        <v>40946</v>
      </c>
      <c r="D38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38" t="s">
        <v>485</v>
      </c>
      <c r="F3838" t="s">
        <v>2065</v>
      </c>
      <c r="G3838" t="s">
        <v>6776</v>
      </c>
      <c r="H3838">
        <v>41350</v>
      </c>
      <c r="I3838" t="s">
        <v>423</v>
      </c>
      <c r="J3838" t="s">
        <v>2126</v>
      </c>
      <c r="K3838" t="s">
        <v>2102</v>
      </c>
      <c r="L3838" t="s">
        <v>2115</v>
      </c>
      <c r="M3838">
        <v>930</v>
      </c>
      <c r="N3838">
        <v>24.7</v>
      </c>
      <c r="O3838">
        <v>14500.88</v>
      </c>
      <c r="P3838">
        <v>0</v>
      </c>
      <c r="Q3838">
        <v>14500.88</v>
      </c>
      <c r="R3838">
        <v>2320.14</v>
      </c>
      <c r="S3838">
        <v>580.04</v>
      </c>
      <c r="T3838">
        <v>16240.98</v>
      </c>
      <c r="U3838" t="s">
        <v>7462</v>
      </c>
      <c r="V3838" t="s">
        <v>9409</v>
      </c>
      <c r="W3838" t="s">
        <v>423</v>
      </c>
    </row>
    <row r="3839" spans="1:23" hidden="1" x14ac:dyDescent="0.2">
      <c r="A3839">
        <v>2012</v>
      </c>
      <c r="B3839" t="s">
        <v>303</v>
      </c>
      <c r="C3839" s="733">
        <v>40925</v>
      </c>
      <c r="D38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39" t="s">
        <v>478</v>
      </c>
      <c r="F3839" t="s">
        <v>2136</v>
      </c>
      <c r="G3839" t="s">
        <v>5626</v>
      </c>
      <c r="H3839">
        <v>34529</v>
      </c>
      <c r="I3839" t="s">
        <v>423</v>
      </c>
      <c r="J3839" t="s">
        <v>3326</v>
      </c>
      <c r="K3839" t="s">
        <v>425</v>
      </c>
      <c r="L3839" t="s">
        <v>2145</v>
      </c>
      <c r="M3839">
        <v>1218</v>
      </c>
      <c r="N3839">
        <v>25.81</v>
      </c>
      <c r="O3839">
        <v>14131.75</v>
      </c>
      <c r="P3839">
        <v>0</v>
      </c>
      <c r="Q3839">
        <v>14131.75</v>
      </c>
      <c r="R3839">
        <v>2261.08</v>
      </c>
      <c r="S3839">
        <v>565.27</v>
      </c>
      <c r="T3839">
        <v>15827.56</v>
      </c>
      <c r="U3839" t="s">
        <v>2150</v>
      </c>
      <c r="V3839" t="s">
        <v>9408</v>
      </c>
      <c r="W3839" t="s">
        <v>423</v>
      </c>
    </row>
    <row r="3840" spans="1:23" hidden="1" x14ac:dyDescent="0.2">
      <c r="A3840">
        <v>2012</v>
      </c>
      <c r="B3840" t="s">
        <v>303</v>
      </c>
      <c r="C3840" s="733">
        <v>40911.406030092592</v>
      </c>
      <c r="D38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40" t="s">
        <v>485</v>
      </c>
      <c r="F3840" t="s">
        <v>2065</v>
      </c>
      <c r="G3840" t="s">
        <v>6504</v>
      </c>
      <c r="H3840">
        <v>39693</v>
      </c>
      <c r="I3840" t="s">
        <v>2821</v>
      </c>
      <c r="J3840" t="s">
        <v>3544</v>
      </c>
      <c r="K3840" t="s">
        <v>4524</v>
      </c>
      <c r="L3840" t="s">
        <v>2184</v>
      </c>
      <c r="M3840">
        <v>430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V3840" t="s">
        <v>9408</v>
      </c>
      <c r="W3840" t="s">
        <v>2821</v>
      </c>
    </row>
    <row r="3841" spans="1:23" hidden="1" x14ac:dyDescent="0.2">
      <c r="A3841">
        <v>2012</v>
      </c>
      <c r="B3841" t="s">
        <v>303</v>
      </c>
      <c r="C3841" s="733">
        <v>40924</v>
      </c>
      <c r="D38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41" t="s">
        <v>485</v>
      </c>
      <c r="F3841" t="s">
        <v>2099</v>
      </c>
      <c r="G3841" t="s">
        <v>6964</v>
      </c>
      <c r="H3841">
        <v>40368</v>
      </c>
      <c r="I3841" t="s">
        <v>423</v>
      </c>
      <c r="J3841" t="s">
        <v>2101</v>
      </c>
      <c r="K3841" t="s">
        <v>2102</v>
      </c>
      <c r="L3841" t="s">
        <v>2103</v>
      </c>
      <c r="M3841">
        <v>119</v>
      </c>
      <c r="N3841">
        <v>24.18</v>
      </c>
      <c r="O3841">
        <v>4055.71</v>
      </c>
      <c r="P3841">
        <v>0</v>
      </c>
      <c r="Q3841">
        <v>4055.71</v>
      </c>
      <c r="R3841">
        <v>648.91</v>
      </c>
      <c r="S3841">
        <v>162.22999999999999</v>
      </c>
      <c r="T3841">
        <v>4542.3900000000003</v>
      </c>
      <c r="U3841" t="s">
        <v>2106</v>
      </c>
      <c r="V3841" t="s">
        <v>9408</v>
      </c>
      <c r="W3841" t="s">
        <v>423</v>
      </c>
    </row>
    <row r="3842" spans="1:23" hidden="1" x14ac:dyDescent="0.2">
      <c r="A3842">
        <v>2012</v>
      </c>
      <c r="B3842" t="s">
        <v>303</v>
      </c>
      <c r="C3842" s="733">
        <v>40918</v>
      </c>
      <c r="D38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42" t="s">
        <v>485</v>
      </c>
      <c r="F3842" t="s">
        <v>2099</v>
      </c>
      <c r="G3842" t="s">
        <v>3748</v>
      </c>
      <c r="H3842">
        <v>39983</v>
      </c>
      <c r="I3842" t="s">
        <v>423</v>
      </c>
      <c r="J3842" t="s">
        <v>2101</v>
      </c>
      <c r="K3842" t="s">
        <v>2102</v>
      </c>
      <c r="L3842" t="s">
        <v>2103</v>
      </c>
      <c r="M3842">
        <v>119</v>
      </c>
      <c r="N3842">
        <v>25.91</v>
      </c>
      <c r="O3842">
        <v>4345.88</v>
      </c>
      <c r="P3842">
        <v>0</v>
      </c>
      <c r="Q3842">
        <v>4345.88</v>
      </c>
      <c r="R3842">
        <v>695.34</v>
      </c>
      <c r="S3842">
        <v>173.84</v>
      </c>
      <c r="T3842">
        <v>4867.38</v>
      </c>
      <c r="U3842" t="s">
        <v>2106</v>
      </c>
      <c r="V3842" t="s">
        <v>9409</v>
      </c>
      <c r="W3842" t="s">
        <v>423</v>
      </c>
    </row>
    <row r="3843" spans="1:23" hidden="1" x14ac:dyDescent="0.2">
      <c r="A3843">
        <v>2012</v>
      </c>
      <c r="B3843" t="s">
        <v>304</v>
      </c>
      <c r="C3843" s="733">
        <v>40941</v>
      </c>
      <c r="D38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43" t="s">
        <v>485</v>
      </c>
      <c r="F3843" t="s">
        <v>2099</v>
      </c>
      <c r="G3843" t="s">
        <v>3749</v>
      </c>
      <c r="H3843">
        <v>39989</v>
      </c>
      <c r="I3843" t="s">
        <v>423</v>
      </c>
      <c r="J3843" t="s">
        <v>2101</v>
      </c>
      <c r="K3843" t="s">
        <v>2102</v>
      </c>
      <c r="L3843" t="s">
        <v>2103</v>
      </c>
      <c r="M3843">
        <v>119</v>
      </c>
      <c r="N3843">
        <v>26.06</v>
      </c>
      <c r="O3843">
        <v>4371.04</v>
      </c>
      <c r="P3843">
        <v>0</v>
      </c>
      <c r="Q3843">
        <v>4371.04</v>
      </c>
      <c r="R3843">
        <v>699.37</v>
      </c>
      <c r="S3843">
        <v>174.84</v>
      </c>
      <c r="T3843">
        <v>4895.57</v>
      </c>
      <c r="U3843" t="s">
        <v>7462</v>
      </c>
      <c r="V3843" t="s">
        <v>9408</v>
      </c>
      <c r="W3843" t="s">
        <v>423</v>
      </c>
    </row>
    <row r="3844" spans="1:23" hidden="1" x14ac:dyDescent="0.2">
      <c r="A3844">
        <v>2012</v>
      </c>
      <c r="B3844" t="s">
        <v>304</v>
      </c>
      <c r="C3844" s="733">
        <v>40942</v>
      </c>
      <c r="D38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44" t="s">
        <v>485</v>
      </c>
      <c r="F3844" t="s">
        <v>2099</v>
      </c>
      <c r="G3844" t="s">
        <v>7178</v>
      </c>
      <c r="H3844">
        <v>41391</v>
      </c>
      <c r="I3844" t="s">
        <v>423</v>
      </c>
      <c r="J3844" t="s">
        <v>2101</v>
      </c>
      <c r="K3844" t="s">
        <v>2102</v>
      </c>
      <c r="L3844" t="s">
        <v>2103</v>
      </c>
      <c r="M3844">
        <v>119</v>
      </c>
      <c r="N3844">
        <v>25.77</v>
      </c>
      <c r="O3844">
        <v>4322.3999999999996</v>
      </c>
      <c r="P3844">
        <v>0</v>
      </c>
      <c r="Q3844">
        <v>4322.3999999999996</v>
      </c>
      <c r="R3844">
        <v>691.58</v>
      </c>
      <c r="S3844">
        <v>172.9</v>
      </c>
      <c r="T3844">
        <v>4841.08</v>
      </c>
      <c r="U3844" t="s">
        <v>2110</v>
      </c>
      <c r="V3844" t="s">
        <v>9408</v>
      </c>
      <c r="W3844" t="s">
        <v>423</v>
      </c>
    </row>
    <row r="3845" spans="1:23" hidden="1" x14ac:dyDescent="0.2">
      <c r="A3845">
        <v>2012</v>
      </c>
      <c r="B3845" t="s">
        <v>303</v>
      </c>
      <c r="C3845" s="733">
        <v>40924</v>
      </c>
      <c r="D38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45" t="s">
        <v>485</v>
      </c>
      <c r="F3845" t="s">
        <v>2054</v>
      </c>
      <c r="G3845" t="s">
        <v>6507</v>
      </c>
      <c r="H3845">
        <v>10063</v>
      </c>
      <c r="I3845" t="s">
        <v>423</v>
      </c>
      <c r="J3845" t="s">
        <v>2098</v>
      </c>
      <c r="K3845" t="s">
        <v>2057</v>
      </c>
      <c r="L3845" t="s">
        <v>2058</v>
      </c>
      <c r="M3845">
        <v>565</v>
      </c>
      <c r="N3845">
        <v>47.05</v>
      </c>
      <c r="O3845">
        <v>15903.84</v>
      </c>
      <c r="P3845">
        <v>0</v>
      </c>
      <c r="Q3845">
        <v>15903.84</v>
      </c>
      <c r="R3845">
        <v>2544.61</v>
      </c>
      <c r="S3845">
        <v>636.15</v>
      </c>
      <c r="T3845">
        <v>17812.3</v>
      </c>
      <c r="U3845" t="s">
        <v>2059</v>
      </c>
      <c r="V3845" t="s">
        <v>9409</v>
      </c>
      <c r="W3845" t="s">
        <v>423</v>
      </c>
    </row>
    <row r="3846" spans="1:23" hidden="1" x14ac:dyDescent="0.2">
      <c r="A3846">
        <v>2012</v>
      </c>
      <c r="B3846" t="s">
        <v>305</v>
      </c>
      <c r="C3846" s="733">
        <v>40969.479560185187</v>
      </c>
      <c r="D3846" s="733" t="str">
        <f>CHOOSE(MONTH(Tabla_sqldatos_bonampakdb_Bon_v_ingresos2012[[#This Row],[fecha_guia]]),"Enero","Febrero","Marzo","Abril","Mayo","Junio","Julio","Agosto","Septiembre","Octubre","Noviembre","Diciembre")</f>
        <v>Marzo</v>
      </c>
      <c r="E3846" t="s">
        <v>485</v>
      </c>
      <c r="F3846" t="s">
        <v>2054</v>
      </c>
      <c r="G3846" t="s">
        <v>9470</v>
      </c>
      <c r="H3846">
        <v>10615</v>
      </c>
      <c r="I3846" t="s">
        <v>423</v>
      </c>
      <c r="J3846" t="s">
        <v>2098</v>
      </c>
      <c r="K3846" t="s">
        <v>2057</v>
      </c>
      <c r="L3846" t="s">
        <v>2058</v>
      </c>
      <c r="M3846">
        <v>565</v>
      </c>
      <c r="N3846">
        <v>45.71</v>
      </c>
      <c r="O3846">
        <v>15450.89</v>
      </c>
      <c r="P3846">
        <v>0</v>
      </c>
      <c r="Q3846">
        <v>15450.89</v>
      </c>
      <c r="R3846">
        <v>1699.6</v>
      </c>
      <c r="S3846">
        <v>618.04</v>
      </c>
      <c r="T3846">
        <v>16532.45</v>
      </c>
      <c r="V3846" t="s">
        <v>9409</v>
      </c>
      <c r="W3846" t="s">
        <v>423</v>
      </c>
    </row>
    <row r="3847" spans="1:23" hidden="1" x14ac:dyDescent="0.2">
      <c r="A3847">
        <v>2012</v>
      </c>
      <c r="B3847" t="s">
        <v>303</v>
      </c>
      <c r="C3847" s="733">
        <v>40932</v>
      </c>
      <c r="D38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47" t="s">
        <v>485</v>
      </c>
      <c r="F3847" t="s">
        <v>2084</v>
      </c>
      <c r="G3847" t="s">
        <v>6154</v>
      </c>
      <c r="H3847">
        <v>40699</v>
      </c>
      <c r="I3847" t="s">
        <v>423</v>
      </c>
      <c r="J3847" t="s">
        <v>2836</v>
      </c>
      <c r="K3847" t="s">
        <v>2814</v>
      </c>
      <c r="L3847" t="s">
        <v>2815</v>
      </c>
      <c r="M3847">
        <v>70</v>
      </c>
      <c r="N3847">
        <v>24.199000000000002</v>
      </c>
      <c r="O3847">
        <v>2731.34</v>
      </c>
      <c r="P3847">
        <v>0</v>
      </c>
      <c r="Q3847">
        <v>2731.34</v>
      </c>
      <c r="R3847">
        <v>437.01</v>
      </c>
      <c r="S3847">
        <v>109.25</v>
      </c>
      <c r="T3847">
        <v>3059.1</v>
      </c>
      <c r="U3847" t="s">
        <v>2826</v>
      </c>
      <c r="V3847" t="s">
        <v>9408</v>
      </c>
      <c r="W3847" t="s">
        <v>423</v>
      </c>
    </row>
    <row r="3848" spans="1:23" hidden="1" x14ac:dyDescent="0.2">
      <c r="A3848">
        <v>2012</v>
      </c>
      <c r="B3848" t="s">
        <v>304</v>
      </c>
      <c r="C3848" s="733">
        <v>40964</v>
      </c>
      <c r="D38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48" t="s">
        <v>485</v>
      </c>
      <c r="F3848" t="s">
        <v>2054</v>
      </c>
      <c r="G3848" t="s">
        <v>8745</v>
      </c>
      <c r="H3848">
        <v>10549</v>
      </c>
      <c r="I3848" t="s">
        <v>423</v>
      </c>
      <c r="J3848" t="s">
        <v>2098</v>
      </c>
      <c r="K3848" t="s">
        <v>2057</v>
      </c>
      <c r="L3848" t="s">
        <v>2058</v>
      </c>
      <c r="M3848">
        <v>565</v>
      </c>
      <c r="N3848">
        <v>45.96</v>
      </c>
      <c r="O3848">
        <v>15535.4</v>
      </c>
      <c r="P3848">
        <v>0</v>
      </c>
      <c r="Q3848">
        <v>15535.4</v>
      </c>
      <c r="R3848">
        <v>1708.89</v>
      </c>
      <c r="S3848">
        <v>621.41999999999996</v>
      </c>
      <c r="T3848">
        <v>16622.87</v>
      </c>
      <c r="U3848" t="s">
        <v>8864</v>
      </c>
      <c r="V3848" t="s">
        <v>9409</v>
      </c>
      <c r="W3848" t="s">
        <v>423</v>
      </c>
    </row>
    <row r="3849" spans="1:23" hidden="1" x14ac:dyDescent="0.2">
      <c r="A3849">
        <v>2012</v>
      </c>
      <c r="B3849" t="s">
        <v>304</v>
      </c>
      <c r="C3849" s="733">
        <v>40942.713877314818</v>
      </c>
      <c r="D38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49" t="s">
        <v>485</v>
      </c>
      <c r="F3849" t="s">
        <v>2054</v>
      </c>
      <c r="G3849" t="s">
        <v>6508</v>
      </c>
      <c r="H3849">
        <v>10304</v>
      </c>
      <c r="I3849" t="s">
        <v>423</v>
      </c>
      <c r="J3849" t="s">
        <v>2098</v>
      </c>
      <c r="K3849" t="s">
        <v>2057</v>
      </c>
      <c r="L3849" t="s">
        <v>2058</v>
      </c>
      <c r="M3849">
        <v>565</v>
      </c>
      <c r="N3849">
        <v>30.81</v>
      </c>
      <c r="O3849">
        <v>10414.4</v>
      </c>
      <c r="P3849">
        <v>0</v>
      </c>
      <c r="Q3849">
        <v>10414.4</v>
      </c>
      <c r="R3849">
        <v>1666.3</v>
      </c>
      <c r="S3849">
        <v>416.58</v>
      </c>
      <c r="T3849">
        <v>11664.12</v>
      </c>
      <c r="U3849" t="s">
        <v>2075</v>
      </c>
      <c r="V3849" t="s">
        <v>9408</v>
      </c>
      <c r="W3849" t="s">
        <v>423</v>
      </c>
    </row>
    <row r="3850" spans="1:23" hidden="1" x14ac:dyDescent="0.2">
      <c r="A3850">
        <v>2012</v>
      </c>
      <c r="B3850" t="s">
        <v>303</v>
      </c>
      <c r="C3850" s="733">
        <v>40919</v>
      </c>
      <c r="D38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50" t="s">
        <v>485</v>
      </c>
      <c r="F3850" t="s">
        <v>2054</v>
      </c>
      <c r="G3850" t="s">
        <v>6506</v>
      </c>
      <c r="H3850">
        <v>10011</v>
      </c>
      <c r="I3850" t="s">
        <v>423</v>
      </c>
      <c r="J3850" t="s">
        <v>2098</v>
      </c>
      <c r="K3850" t="s">
        <v>2057</v>
      </c>
      <c r="L3850" t="s">
        <v>2058</v>
      </c>
      <c r="M3850">
        <v>565</v>
      </c>
      <c r="N3850">
        <v>23.63</v>
      </c>
      <c r="O3850">
        <v>7987.41</v>
      </c>
      <c r="P3850">
        <v>0</v>
      </c>
      <c r="Q3850">
        <v>7987.41</v>
      </c>
      <c r="R3850">
        <v>1277.99</v>
      </c>
      <c r="S3850">
        <v>319.5</v>
      </c>
      <c r="T3850">
        <v>8945.9</v>
      </c>
      <c r="U3850" t="s">
        <v>2070</v>
      </c>
      <c r="V3850" t="s">
        <v>9409</v>
      </c>
      <c r="W3850" t="s">
        <v>423</v>
      </c>
    </row>
    <row r="3851" spans="1:23" hidden="1" x14ac:dyDescent="0.2">
      <c r="A3851">
        <v>2012</v>
      </c>
      <c r="B3851" t="s">
        <v>304</v>
      </c>
      <c r="C3851" s="733">
        <v>40953.558472222219</v>
      </c>
      <c r="D38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51" t="s">
        <v>485</v>
      </c>
      <c r="F3851" t="s">
        <v>2054</v>
      </c>
      <c r="G3851" t="s">
        <v>6516</v>
      </c>
      <c r="H3851">
        <v>10435</v>
      </c>
      <c r="I3851" t="s">
        <v>423</v>
      </c>
      <c r="J3851" t="s">
        <v>2098</v>
      </c>
      <c r="K3851" t="s">
        <v>2057</v>
      </c>
      <c r="L3851" t="s">
        <v>2058</v>
      </c>
      <c r="M3851">
        <v>565</v>
      </c>
      <c r="N3851">
        <v>48.08</v>
      </c>
      <c r="O3851">
        <v>16252</v>
      </c>
      <c r="P3851">
        <v>0</v>
      </c>
      <c r="Q3851">
        <v>16252</v>
      </c>
      <c r="R3851">
        <v>1787.72</v>
      </c>
      <c r="S3851">
        <v>650.08000000000004</v>
      </c>
      <c r="T3851">
        <v>17389.64</v>
      </c>
      <c r="U3851" t="s">
        <v>8047</v>
      </c>
      <c r="V3851" t="s">
        <v>9409</v>
      </c>
      <c r="W3851" t="s">
        <v>423</v>
      </c>
    </row>
    <row r="3852" spans="1:23" hidden="1" x14ac:dyDescent="0.2">
      <c r="A3852">
        <v>2012</v>
      </c>
      <c r="B3852" t="s">
        <v>304</v>
      </c>
      <c r="C3852" s="733">
        <v>40959.612083333333</v>
      </c>
      <c r="D38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52" t="s">
        <v>485</v>
      </c>
      <c r="F3852" t="s">
        <v>2054</v>
      </c>
      <c r="G3852" t="s">
        <v>8212</v>
      </c>
      <c r="H3852">
        <v>10498</v>
      </c>
      <c r="I3852" t="s">
        <v>423</v>
      </c>
      <c r="J3852" t="s">
        <v>2098</v>
      </c>
      <c r="K3852" t="s">
        <v>2057</v>
      </c>
      <c r="L3852" t="s">
        <v>2058</v>
      </c>
      <c r="M3852">
        <v>565</v>
      </c>
      <c r="N3852">
        <v>46.43</v>
      </c>
      <c r="O3852">
        <v>15694.27</v>
      </c>
      <c r="P3852">
        <v>0</v>
      </c>
      <c r="Q3852">
        <v>15694.27</v>
      </c>
      <c r="R3852">
        <v>1726.37</v>
      </c>
      <c r="S3852">
        <v>627.77</v>
      </c>
      <c r="T3852">
        <v>16792.87</v>
      </c>
      <c r="U3852" t="s">
        <v>8864</v>
      </c>
      <c r="V3852" t="s">
        <v>9409</v>
      </c>
      <c r="W3852" t="s">
        <v>423</v>
      </c>
    </row>
    <row r="3853" spans="1:23" hidden="1" x14ac:dyDescent="0.2">
      <c r="A3853">
        <v>2012</v>
      </c>
      <c r="B3853" t="s">
        <v>304</v>
      </c>
      <c r="C3853" s="733">
        <v>40959.481041666666</v>
      </c>
      <c r="D38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53" t="s">
        <v>485</v>
      </c>
      <c r="F3853" t="s">
        <v>2054</v>
      </c>
      <c r="G3853" t="s">
        <v>8207</v>
      </c>
      <c r="H3853">
        <v>10487</v>
      </c>
      <c r="I3853" t="s">
        <v>423</v>
      </c>
      <c r="J3853" t="s">
        <v>2098</v>
      </c>
      <c r="K3853" t="s">
        <v>2057</v>
      </c>
      <c r="L3853" t="s">
        <v>2058</v>
      </c>
      <c r="M3853">
        <v>565</v>
      </c>
      <c r="N3853">
        <v>45.97</v>
      </c>
      <c r="O3853">
        <v>15538.78</v>
      </c>
      <c r="P3853">
        <v>0</v>
      </c>
      <c r="Q3853">
        <v>15538.78</v>
      </c>
      <c r="R3853">
        <v>1709.27</v>
      </c>
      <c r="S3853">
        <v>621.54999999999995</v>
      </c>
      <c r="T3853">
        <v>16626.5</v>
      </c>
      <c r="U3853" t="s">
        <v>8864</v>
      </c>
      <c r="V3853" t="s">
        <v>9409</v>
      </c>
      <c r="W3853" t="s">
        <v>423</v>
      </c>
    </row>
    <row r="3854" spans="1:23" hidden="1" x14ac:dyDescent="0.2">
      <c r="A3854">
        <v>2012</v>
      </c>
      <c r="B3854" t="s">
        <v>303</v>
      </c>
      <c r="C3854" s="733">
        <v>40924</v>
      </c>
      <c r="D38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54" t="s">
        <v>485</v>
      </c>
      <c r="F3854" t="s">
        <v>2054</v>
      </c>
      <c r="G3854" t="s">
        <v>6517</v>
      </c>
      <c r="H3854">
        <v>10066</v>
      </c>
      <c r="I3854" t="s">
        <v>423</v>
      </c>
      <c r="J3854" t="s">
        <v>4733</v>
      </c>
      <c r="K3854" t="s">
        <v>2057</v>
      </c>
      <c r="L3854" t="s">
        <v>2058</v>
      </c>
      <c r="M3854">
        <v>184</v>
      </c>
      <c r="N3854">
        <v>25.35</v>
      </c>
      <c r="O3854">
        <v>8568.81</v>
      </c>
      <c r="P3854">
        <v>0</v>
      </c>
      <c r="Q3854">
        <v>8568.81</v>
      </c>
      <c r="R3854">
        <v>1371.01</v>
      </c>
      <c r="S3854">
        <v>342.75</v>
      </c>
      <c r="T3854">
        <v>9597.07</v>
      </c>
      <c r="U3854" t="s">
        <v>2059</v>
      </c>
      <c r="V3854" t="s">
        <v>9408</v>
      </c>
      <c r="W3854" t="s">
        <v>423</v>
      </c>
    </row>
    <row r="3855" spans="1:23" hidden="1" x14ac:dyDescent="0.2">
      <c r="A3855">
        <v>2012</v>
      </c>
      <c r="B3855" t="s">
        <v>303</v>
      </c>
      <c r="C3855" s="733">
        <v>40928</v>
      </c>
      <c r="D38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55" t="s">
        <v>485</v>
      </c>
      <c r="F3855" t="s">
        <v>2054</v>
      </c>
      <c r="G3855" t="s">
        <v>6767</v>
      </c>
      <c r="H3855">
        <v>10139</v>
      </c>
      <c r="I3855" t="s">
        <v>423</v>
      </c>
      <c r="J3855" t="s">
        <v>4560</v>
      </c>
      <c r="K3855" t="s">
        <v>2057</v>
      </c>
      <c r="L3855" t="s">
        <v>2058</v>
      </c>
      <c r="M3855">
        <v>403</v>
      </c>
      <c r="N3855">
        <v>29.91</v>
      </c>
      <c r="O3855">
        <v>8173.8</v>
      </c>
      <c r="P3855">
        <v>0</v>
      </c>
      <c r="Q3855">
        <v>8173.8</v>
      </c>
      <c r="R3855">
        <v>1307.81</v>
      </c>
      <c r="S3855">
        <v>326.95</v>
      </c>
      <c r="T3855">
        <v>9154.66</v>
      </c>
      <c r="U3855" t="s">
        <v>2077</v>
      </c>
      <c r="V3855" t="s">
        <v>9408</v>
      </c>
      <c r="W3855" t="s">
        <v>423</v>
      </c>
    </row>
    <row r="3856" spans="1:23" hidden="1" x14ac:dyDescent="0.2">
      <c r="A3856">
        <v>2012</v>
      </c>
      <c r="B3856" t="s">
        <v>304</v>
      </c>
      <c r="C3856" s="733">
        <v>40948</v>
      </c>
      <c r="D38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56" t="s">
        <v>485</v>
      </c>
      <c r="F3856" t="s">
        <v>2099</v>
      </c>
      <c r="G3856" t="s">
        <v>3772</v>
      </c>
      <c r="H3856">
        <v>41636</v>
      </c>
      <c r="I3856" t="s">
        <v>423</v>
      </c>
      <c r="J3856" t="s">
        <v>2101</v>
      </c>
      <c r="K3856" t="s">
        <v>2102</v>
      </c>
      <c r="L3856" t="s">
        <v>2103</v>
      </c>
      <c r="M3856">
        <v>119</v>
      </c>
      <c r="N3856">
        <v>24.34</v>
      </c>
      <c r="O3856">
        <v>4082.55</v>
      </c>
      <c r="P3856">
        <v>0</v>
      </c>
      <c r="Q3856">
        <v>4082.55</v>
      </c>
      <c r="R3856">
        <v>653.21</v>
      </c>
      <c r="S3856">
        <v>163.30000000000001</v>
      </c>
      <c r="T3856">
        <v>4572.46</v>
      </c>
      <c r="U3856" t="s">
        <v>7462</v>
      </c>
      <c r="V3856" t="s">
        <v>9408</v>
      </c>
      <c r="W3856" t="s">
        <v>423</v>
      </c>
    </row>
    <row r="3857" spans="1:23" hidden="1" x14ac:dyDescent="0.2">
      <c r="A3857">
        <v>2012</v>
      </c>
      <c r="B3857" t="s">
        <v>305</v>
      </c>
      <c r="C3857" s="733">
        <v>40970</v>
      </c>
      <c r="D3857" s="733" t="str">
        <f>CHOOSE(MONTH(Tabla_sqldatos_bonampakdb_Bon_v_ingresos2012[[#This Row],[fecha_guia]]),"Enero","Febrero","Marzo","Abril","Mayo","Junio","Julio","Agosto","Septiembre","Octubre","Noviembre","Diciembre")</f>
        <v>Marzo</v>
      </c>
      <c r="E3857" t="s">
        <v>485</v>
      </c>
      <c r="F3857" t="s">
        <v>2099</v>
      </c>
      <c r="G3857" t="s">
        <v>9726</v>
      </c>
      <c r="H3857">
        <v>42922</v>
      </c>
      <c r="I3857" t="s">
        <v>423</v>
      </c>
      <c r="J3857" t="s">
        <v>2101</v>
      </c>
      <c r="K3857" t="s">
        <v>2102</v>
      </c>
      <c r="L3857" t="s">
        <v>2103</v>
      </c>
      <c r="M3857">
        <v>119</v>
      </c>
      <c r="N3857">
        <v>25.2</v>
      </c>
      <c r="O3857">
        <v>4226.8</v>
      </c>
      <c r="P3857">
        <v>0</v>
      </c>
      <c r="Q3857">
        <v>4226.8</v>
      </c>
      <c r="R3857">
        <v>676.29</v>
      </c>
      <c r="S3857">
        <v>169.07</v>
      </c>
      <c r="T3857">
        <v>4734.0200000000004</v>
      </c>
      <c r="V3857" t="s">
        <v>9408</v>
      </c>
      <c r="W3857" t="s">
        <v>423</v>
      </c>
    </row>
    <row r="3858" spans="1:23" hidden="1" x14ac:dyDescent="0.2">
      <c r="A3858">
        <v>2012</v>
      </c>
      <c r="B3858" t="s">
        <v>304</v>
      </c>
      <c r="C3858" s="733">
        <v>40967</v>
      </c>
      <c r="D38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58" t="s">
        <v>478</v>
      </c>
      <c r="F3858" t="s">
        <v>2136</v>
      </c>
      <c r="G3858" t="s">
        <v>8992</v>
      </c>
      <c r="H3858">
        <v>36062</v>
      </c>
      <c r="I3858" t="s">
        <v>423</v>
      </c>
      <c r="J3858" t="s">
        <v>5384</v>
      </c>
      <c r="K3858" t="s">
        <v>425</v>
      </c>
      <c r="L3858" t="s">
        <v>2145</v>
      </c>
      <c r="M3858">
        <v>1472</v>
      </c>
      <c r="N3858">
        <v>26.73</v>
      </c>
      <c r="O3858">
        <v>19092.97</v>
      </c>
      <c r="P3858">
        <v>0</v>
      </c>
      <c r="Q3858">
        <v>19092.97</v>
      </c>
      <c r="R3858">
        <v>3054.88</v>
      </c>
      <c r="S3858">
        <v>763.72</v>
      </c>
      <c r="T3858">
        <v>21384.13</v>
      </c>
      <c r="U3858" t="s">
        <v>9430</v>
      </c>
      <c r="V3858" t="s">
        <v>9408</v>
      </c>
      <c r="W3858" t="s">
        <v>423</v>
      </c>
    </row>
    <row r="3859" spans="1:23" hidden="1" x14ac:dyDescent="0.2">
      <c r="A3859">
        <v>2012</v>
      </c>
      <c r="B3859" t="s">
        <v>303</v>
      </c>
      <c r="C3859" s="733">
        <v>40936.6016087963</v>
      </c>
      <c r="D38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59" t="s">
        <v>485</v>
      </c>
      <c r="F3859" t="s">
        <v>2054</v>
      </c>
      <c r="G3859" t="s">
        <v>2749</v>
      </c>
      <c r="H3859">
        <v>10245</v>
      </c>
      <c r="I3859" t="s">
        <v>423</v>
      </c>
      <c r="J3859" t="s">
        <v>2098</v>
      </c>
      <c r="K3859" t="s">
        <v>2057</v>
      </c>
      <c r="L3859" t="s">
        <v>2058</v>
      </c>
      <c r="M3859">
        <v>565</v>
      </c>
      <c r="N3859">
        <v>47.45</v>
      </c>
      <c r="O3859">
        <v>16039.05</v>
      </c>
      <c r="P3859">
        <v>0</v>
      </c>
      <c r="Q3859">
        <v>16039.05</v>
      </c>
      <c r="R3859">
        <v>2566.25</v>
      </c>
      <c r="S3859">
        <v>641.55999999999995</v>
      </c>
      <c r="T3859">
        <v>17963.740000000002</v>
      </c>
      <c r="U3859" t="s">
        <v>2073</v>
      </c>
      <c r="V3859" t="s">
        <v>9409</v>
      </c>
      <c r="W3859" t="s">
        <v>423</v>
      </c>
    </row>
    <row r="3860" spans="1:23" hidden="1" x14ac:dyDescent="0.2">
      <c r="A3860">
        <v>2012</v>
      </c>
      <c r="B3860" t="s">
        <v>304</v>
      </c>
      <c r="C3860" s="733">
        <v>40948.576851851853</v>
      </c>
      <c r="D38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60" t="s">
        <v>485</v>
      </c>
      <c r="F3860" t="s">
        <v>2054</v>
      </c>
      <c r="G3860" t="s">
        <v>6518</v>
      </c>
      <c r="H3860">
        <v>10361</v>
      </c>
      <c r="I3860" t="s">
        <v>423</v>
      </c>
      <c r="J3860" t="s">
        <v>4733</v>
      </c>
      <c r="K3860" t="s">
        <v>2057</v>
      </c>
      <c r="L3860" t="s">
        <v>2058</v>
      </c>
      <c r="M3860">
        <v>184</v>
      </c>
      <c r="N3860">
        <v>22.9</v>
      </c>
      <c r="O3860">
        <v>7740.66</v>
      </c>
      <c r="P3860">
        <v>0</v>
      </c>
      <c r="Q3860">
        <v>7740.66</v>
      </c>
      <c r="R3860">
        <v>851.47</v>
      </c>
      <c r="S3860">
        <v>309.63</v>
      </c>
      <c r="T3860">
        <v>8282.5</v>
      </c>
      <c r="U3860" t="s">
        <v>2082</v>
      </c>
      <c r="V3860" t="s">
        <v>9408</v>
      </c>
      <c r="W3860" t="s">
        <v>423</v>
      </c>
    </row>
    <row r="3861" spans="1:23" hidden="1" x14ac:dyDescent="0.2">
      <c r="A3861">
        <v>2012</v>
      </c>
      <c r="B3861" t="s">
        <v>303</v>
      </c>
      <c r="C3861" s="733">
        <v>40933</v>
      </c>
      <c r="D38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61" t="s">
        <v>485</v>
      </c>
      <c r="F3861" t="s">
        <v>2136</v>
      </c>
      <c r="G3861" t="s">
        <v>6963</v>
      </c>
      <c r="H3861">
        <v>40883</v>
      </c>
      <c r="I3861" t="s">
        <v>423</v>
      </c>
      <c r="J3861" t="s">
        <v>2101</v>
      </c>
      <c r="K3861" t="s">
        <v>2102</v>
      </c>
      <c r="L3861" t="s">
        <v>2103</v>
      </c>
      <c r="M3861">
        <v>119</v>
      </c>
      <c r="N3861">
        <v>21.88</v>
      </c>
      <c r="O3861">
        <v>3669.93</v>
      </c>
      <c r="P3861">
        <v>0</v>
      </c>
      <c r="Q3861">
        <v>3669.93</v>
      </c>
      <c r="R3861">
        <v>587.19000000000005</v>
      </c>
      <c r="S3861">
        <v>146.80000000000001</v>
      </c>
      <c r="T3861">
        <v>4110.32</v>
      </c>
      <c r="U3861" t="s">
        <v>2108</v>
      </c>
      <c r="V3861" t="s">
        <v>9408</v>
      </c>
      <c r="W3861" t="s">
        <v>423</v>
      </c>
    </row>
    <row r="3862" spans="1:23" hidden="1" x14ac:dyDescent="0.2">
      <c r="A3862">
        <v>2012</v>
      </c>
      <c r="B3862" t="s">
        <v>303</v>
      </c>
      <c r="C3862" s="733">
        <v>40910</v>
      </c>
      <c r="D38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62" t="s">
        <v>505</v>
      </c>
      <c r="F3862" t="s">
        <v>2065</v>
      </c>
      <c r="G3862" t="s">
        <v>7164</v>
      </c>
      <c r="H3862">
        <v>21651</v>
      </c>
      <c r="I3862" t="s">
        <v>424</v>
      </c>
      <c r="J3862" t="s">
        <v>7165</v>
      </c>
      <c r="K3862" t="s">
        <v>1918</v>
      </c>
      <c r="L3862" t="s">
        <v>1919</v>
      </c>
      <c r="M3862">
        <v>859</v>
      </c>
      <c r="N3862">
        <v>30</v>
      </c>
      <c r="O3862">
        <v>6764.1</v>
      </c>
      <c r="P3862">
        <v>3887.2606289999999</v>
      </c>
      <c r="Q3862">
        <v>10651.360629000001</v>
      </c>
      <c r="R3862">
        <v>1704.217701</v>
      </c>
      <c r="S3862">
        <v>426.05442499999998</v>
      </c>
      <c r="T3862">
        <v>11929.523905</v>
      </c>
      <c r="U3862" t="s">
        <v>1984</v>
      </c>
      <c r="V3862" t="s">
        <v>9408</v>
      </c>
      <c r="W3862" t="s">
        <v>424</v>
      </c>
    </row>
    <row r="3863" spans="1:23" hidden="1" x14ac:dyDescent="0.2">
      <c r="A3863">
        <v>2012</v>
      </c>
      <c r="B3863" t="s">
        <v>304</v>
      </c>
      <c r="C3863" s="733">
        <v>40957</v>
      </c>
      <c r="D38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63" t="s">
        <v>505</v>
      </c>
      <c r="F3863" t="s">
        <v>1915</v>
      </c>
      <c r="G3863" t="s">
        <v>7736</v>
      </c>
      <c r="H3863">
        <v>22784</v>
      </c>
      <c r="I3863" t="s">
        <v>1979</v>
      </c>
      <c r="J3863" t="s">
        <v>5363</v>
      </c>
      <c r="K3863" t="s">
        <v>1918</v>
      </c>
      <c r="L3863" t="s">
        <v>1919</v>
      </c>
      <c r="M3863">
        <v>856</v>
      </c>
      <c r="N3863">
        <v>50.18</v>
      </c>
      <c r="O3863">
        <v>25441.26</v>
      </c>
      <c r="P3863">
        <v>0</v>
      </c>
      <c r="Q3863">
        <v>25441.26</v>
      </c>
      <c r="R3863">
        <v>4070.6</v>
      </c>
      <c r="S3863">
        <v>1017.65</v>
      </c>
      <c r="T3863">
        <v>28494.21</v>
      </c>
      <c r="U3863" t="s">
        <v>8491</v>
      </c>
      <c r="V3863" t="s">
        <v>9409</v>
      </c>
      <c r="W3863" t="s">
        <v>1979</v>
      </c>
    </row>
    <row r="3864" spans="1:23" hidden="1" x14ac:dyDescent="0.2">
      <c r="A3864">
        <v>2012</v>
      </c>
      <c r="B3864" t="s">
        <v>303</v>
      </c>
      <c r="C3864" s="733">
        <v>40939</v>
      </c>
      <c r="D38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64" t="s">
        <v>505</v>
      </c>
      <c r="F3864" t="s">
        <v>1915</v>
      </c>
      <c r="G3864" t="s">
        <v>7168</v>
      </c>
      <c r="H3864">
        <v>22366</v>
      </c>
      <c r="I3864" t="s">
        <v>423</v>
      </c>
      <c r="J3864" t="s">
        <v>4259</v>
      </c>
      <c r="K3864" t="s">
        <v>1918</v>
      </c>
      <c r="L3864" t="s">
        <v>1919</v>
      </c>
      <c r="M3864">
        <v>467</v>
      </c>
      <c r="N3864">
        <v>54.13</v>
      </c>
      <c r="O3864">
        <v>16798.7</v>
      </c>
      <c r="P3864">
        <v>0</v>
      </c>
      <c r="Q3864">
        <v>16798.7</v>
      </c>
      <c r="R3864">
        <v>2687.79</v>
      </c>
      <c r="S3864">
        <v>671.95</v>
      </c>
      <c r="T3864">
        <v>18814.54</v>
      </c>
      <c r="U3864" t="s">
        <v>1926</v>
      </c>
      <c r="V3864" t="s">
        <v>9409</v>
      </c>
      <c r="W3864" t="s">
        <v>423</v>
      </c>
    </row>
    <row r="3865" spans="1:23" hidden="1" x14ac:dyDescent="0.2">
      <c r="A3865">
        <v>2012</v>
      </c>
      <c r="B3865" t="s">
        <v>303</v>
      </c>
      <c r="C3865" s="733">
        <v>40918</v>
      </c>
      <c r="D38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65" t="s">
        <v>478</v>
      </c>
      <c r="F3865" t="s">
        <v>2136</v>
      </c>
      <c r="G3865" t="s">
        <v>5787</v>
      </c>
      <c r="H3865">
        <v>34123</v>
      </c>
      <c r="I3865" t="s">
        <v>423</v>
      </c>
      <c r="J3865" t="s">
        <v>5689</v>
      </c>
      <c r="K3865" t="s">
        <v>425</v>
      </c>
      <c r="L3865" t="s">
        <v>2145</v>
      </c>
      <c r="M3865">
        <v>764</v>
      </c>
      <c r="N3865">
        <v>47.72</v>
      </c>
      <c r="O3865">
        <v>8709.85</v>
      </c>
      <c r="P3865">
        <v>9806.33</v>
      </c>
      <c r="Q3865">
        <v>18516.18</v>
      </c>
      <c r="R3865">
        <v>2962.59</v>
      </c>
      <c r="S3865">
        <v>740.65</v>
      </c>
      <c r="T3865">
        <v>20738.12</v>
      </c>
      <c r="U3865" t="s">
        <v>5788</v>
      </c>
      <c r="V3865" t="s">
        <v>9409</v>
      </c>
      <c r="W3865" t="s">
        <v>423</v>
      </c>
    </row>
    <row r="3866" spans="1:23" hidden="1" x14ac:dyDescent="0.2">
      <c r="A3866">
        <v>2012</v>
      </c>
      <c r="B3866" t="s">
        <v>303</v>
      </c>
      <c r="C3866" s="733">
        <v>40931</v>
      </c>
      <c r="D38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66" t="s">
        <v>478</v>
      </c>
      <c r="F3866" t="s">
        <v>2136</v>
      </c>
      <c r="G3866" t="s">
        <v>5789</v>
      </c>
      <c r="H3866">
        <v>34757</v>
      </c>
      <c r="I3866" t="s">
        <v>423</v>
      </c>
      <c r="J3866" t="s">
        <v>5689</v>
      </c>
      <c r="K3866" t="s">
        <v>425</v>
      </c>
      <c r="L3866" t="s">
        <v>2145</v>
      </c>
      <c r="M3866">
        <v>764</v>
      </c>
      <c r="N3866">
        <v>49.13</v>
      </c>
      <c r="O3866">
        <v>15697.04</v>
      </c>
      <c r="P3866">
        <v>0</v>
      </c>
      <c r="Q3866">
        <v>15697.04</v>
      </c>
      <c r="R3866">
        <v>2511.5300000000002</v>
      </c>
      <c r="S3866">
        <v>627.88</v>
      </c>
      <c r="T3866">
        <v>17580.689999999999</v>
      </c>
      <c r="U3866" t="s">
        <v>2355</v>
      </c>
      <c r="V3866" t="s">
        <v>9409</v>
      </c>
      <c r="W3866" t="s">
        <v>423</v>
      </c>
    </row>
    <row r="3867" spans="1:23" hidden="1" x14ac:dyDescent="0.2">
      <c r="A3867">
        <v>2012</v>
      </c>
      <c r="B3867" t="s">
        <v>303</v>
      </c>
      <c r="C3867" s="733">
        <v>40938</v>
      </c>
      <c r="D38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67" t="s">
        <v>485</v>
      </c>
      <c r="F3867" t="s">
        <v>2065</v>
      </c>
      <c r="G3867" t="s">
        <v>4352</v>
      </c>
      <c r="H3867">
        <v>41001</v>
      </c>
      <c r="I3867" t="s">
        <v>423</v>
      </c>
      <c r="J3867" t="s">
        <v>3204</v>
      </c>
      <c r="K3867" t="s">
        <v>2183</v>
      </c>
      <c r="L3867" t="s">
        <v>2184</v>
      </c>
      <c r="M3867">
        <v>80</v>
      </c>
      <c r="N3867">
        <v>25.57</v>
      </c>
      <c r="O3867">
        <v>2886.09</v>
      </c>
      <c r="P3867">
        <v>0</v>
      </c>
      <c r="Q3867">
        <v>2886.09</v>
      </c>
      <c r="R3867">
        <v>461.77</v>
      </c>
      <c r="S3867">
        <v>115.44</v>
      </c>
      <c r="T3867">
        <v>3232.42</v>
      </c>
      <c r="U3867" t="s">
        <v>2187</v>
      </c>
      <c r="V3867" t="s">
        <v>9409</v>
      </c>
      <c r="W3867" t="s">
        <v>423</v>
      </c>
    </row>
    <row r="3868" spans="1:23" hidden="1" x14ac:dyDescent="0.2">
      <c r="A3868">
        <v>2012</v>
      </c>
      <c r="B3868" t="s">
        <v>303</v>
      </c>
      <c r="C3868" s="733">
        <v>40939</v>
      </c>
      <c r="D38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68" t="s">
        <v>505</v>
      </c>
      <c r="F3868" t="s">
        <v>1915</v>
      </c>
      <c r="G3868" t="s">
        <v>5605</v>
      </c>
      <c r="H3868">
        <v>21740</v>
      </c>
      <c r="I3868" t="s">
        <v>423</v>
      </c>
      <c r="J3868" t="s">
        <v>5606</v>
      </c>
      <c r="K3868" t="s">
        <v>1918</v>
      </c>
      <c r="L3868" t="s">
        <v>1919</v>
      </c>
      <c r="M3868">
        <v>383</v>
      </c>
      <c r="N3868">
        <v>53.5</v>
      </c>
      <c r="O3868">
        <v>6604.99</v>
      </c>
      <c r="P3868">
        <v>7436.4921910000003</v>
      </c>
      <c r="Q3868">
        <v>14041.482190999999</v>
      </c>
      <c r="R3868">
        <v>2246.6371509999999</v>
      </c>
      <c r="S3868">
        <v>561.65928799999995</v>
      </c>
      <c r="T3868">
        <v>15726.460053999999</v>
      </c>
      <c r="U3868" t="s">
        <v>1926</v>
      </c>
      <c r="V3868" t="s">
        <v>9409</v>
      </c>
      <c r="W3868" t="s">
        <v>423</v>
      </c>
    </row>
    <row r="3869" spans="1:23" hidden="1" x14ac:dyDescent="0.2">
      <c r="A3869">
        <v>2012</v>
      </c>
      <c r="B3869" t="s">
        <v>303</v>
      </c>
      <c r="C3869" s="733">
        <v>40926</v>
      </c>
      <c r="D38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69" t="s">
        <v>505</v>
      </c>
      <c r="F3869" t="s">
        <v>1915</v>
      </c>
      <c r="G3869" t="s">
        <v>5434</v>
      </c>
      <c r="H3869">
        <v>21980</v>
      </c>
      <c r="I3869" t="s">
        <v>423</v>
      </c>
      <c r="J3869" t="s">
        <v>1945</v>
      </c>
      <c r="K3869" t="s">
        <v>1918</v>
      </c>
      <c r="L3869" t="s">
        <v>1919</v>
      </c>
      <c r="M3869">
        <v>949</v>
      </c>
      <c r="N3869">
        <v>49.95</v>
      </c>
      <c r="O3869">
        <v>37369.089999999997</v>
      </c>
      <c r="P3869">
        <v>0</v>
      </c>
      <c r="Q3869">
        <v>37369.089999999997</v>
      </c>
      <c r="R3869">
        <v>5979.05</v>
      </c>
      <c r="S3869">
        <v>1494.76</v>
      </c>
      <c r="T3869">
        <v>41853.379999999997</v>
      </c>
      <c r="U3869" t="s">
        <v>1928</v>
      </c>
      <c r="V3869" t="s">
        <v>9409</v>
      </c>
      <c r="W3869" t="s">
        <v>423</v>
      </c>
    </row>
    <row r="3870" spans="1:23" hidden="1" x14ac:dyDescent="0.2">
      <c r="A3870">
        <v>2012</v>
      </c>
      <c r="B3870" t="s">
        <v>303</v>
      </c>
      <c r="C3870" s="733">
        <v>40939</v>
      </c>
      <c r="D38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70" t="s">
        <v>505</v>
      </c>
      <c r="F3870" t="s">
        <v>1915</v>
      </c>
      <c r="G3870" t="s">
        <v>5433</v>
      </c>
      <c r="H3870">
        <v>21681</v>
      </c>
      <c r="I3870" t="s">
        <v>423</v>
      </c>
      <c r="J3870" t="s">
        <v>1945</v>
      </c>
      <c r="K3870" t="s">
        <v>1918</v>
      </c>
      <c r="L3870" t="s">
        <v>1919</v>
      </c>
      <c r="M3870">
        <v>949</v>
      </c>
      <c r="N3870">
        <v>25.03</v>
      </c>
      <c r="O3870">
        <v>18725.689999999999</v>
      </c>
      <c r="P3870">
        <v>0</v>
      </c>
      <c r="Q3870">
        <v>18725.689999999999</v>
      </c>
      <c r="R3870">
        <v>2996.11</v>
      </c>
      <c r="S3870">
        <v>749.03</v>
      </c>
      <c r="T3870">
        <v>20972.77</v>
      </c>
      <c r="U3870" t="s">
        <v>1936</v>
      </c>
      <c r="V3870" t="s">
        <v>9408</v>
      </c>
      <c r="W3870" t="s">
        <v>423</v>
      </c>
    </row>
    <row r="3871" spans="1:23" hidden="1" x14ac:dyDescent="0.2">
      <c r="A3871">
        <v>2012</v>
      </c>
      <c r="B3871" t="s">
        <v>303</v>
      </c>
      <c r="C3871" s="733">
        <v>40935</v>
      </c>
      <c r="D38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71" t="s">
        <v>505</v>
      </c>
      <c r="F3871" t="s">
        <v>1915</v>
      </c>
      <c r="G3871" t="s">
        <v>5441</v>
      </c>
      <c r="H3871">
        <v>22279</v>
      </c>
      <c r="I3871" t="s">
        <v>423</v>
      </c>
      <c r="J3871" t="s">
        <v>3207</v>
      </c>
      <c r="K3871" t="s">
        <v>1918</v>
      </c>
      <c r="L3871" t="s">
        <v>1919</v>
      </c>
      <c r="M3871">
        <v>334</v>
      </c>
      <c r="N3871">
        <v>49.72</v>
      </c>
      <c r="O3871">
        <v>13729.68</v>
      </c>
      <c r="P3871">
        <v>0</v>
      </c>
      <c r="Q3871">
        <v>13729.68</v>
      </c>
      <c r="R3871">
        <v>2196.75</v>
      </c>
      <c r="S3871">
        <v>549.19000000000005</v>
      </c>
      <c r="T3871">
        <v>15377.24</v>
      </c>
      <c r="U3871" t="s">
        <v>1926</v>
      </c>
      <c r="V3871" t="s">
        <v>9409</v>
      </c>
      <c r="W3871" t="s">
        <v>423</v>
      </c>
    </row>
    <row r="3872" spans="1:23" hidden="1" x14ac:dyDescent="0.2">
      <c r="A3872">
        <v>2012</v>
      </c>
      <c r="B3872" t="s">
        <v>303</v>
      </c>
      <c r="C3872" s="733">
        <v>40915</v>
      </c>
      <c r="D38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72" t="s">
        <v>505</v>
      </c>
      <c r="F3872" t="s">
        <v>1915</v>
      </c>
      <c r="G3872" t="s">
        <v>5435</v>
      </c>
      <c r="H3872">
        <v>21743</v>
      </c>
      <c r="I3872" t="s">
        <v>423</v>
      </c>
      <c r="J3872" t="s">
        <v>1945</v>
      </c>
      <c r="K3872" t="s">
        <v>1918</v>
      </c>
      <c r="L3872" t="s">
        <v>1919</v>
      </c>
      <c r="M3872">
        <v>949</v>
      </c>
      <c r="N3872">
        <v>24.71</v>
      </c>
      <c r="O3872">
        <v>14429.65</v>
      </c>
      <c r="P3872">
        <v>0</v>
      </c>
      <c r="Q3872">
        <v>14429.65</v>
      </c>
      <c r="R3872">
        <v>2308.7399999999998</v>
      </c>
      <c r="S3872">
        <v>577.19000000000005</v>
      </c>
      <c r="T3872">
        <v>16161.2</v>
      </c>
      <c r="U3872" t="s">
        <v>1920</v>
      </c>
      <c r="V3872" t="s">
        <v>9408</v>
      </c>
      <c r="W3872" t="s">
        <v>423</v>
      </c>
    </row>
    <row r="3873" spans="1:23" hidden="1" x14ac:dyDescent="0.2">
      <c r="A3873">
        <v>2012</v>
      </c>
      <c r="B3873" t="s">
        <v>303</v>
      </c>
      <c r="C3873" s="733">
        <v>40921</v>
      </c>
      <c r="D38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73" t="s">
        <v>505</v>
      </c>
      <c r="F3873" t="s">
        <v>1915</v>
      </c>
      <c r="G3873" t="s">
        <v>5427</v>
      </c>
      <c r="H3873">
        <v>21921</v>
      </c>
      <c r="I3873" t="s">
        <v>423</v>
      </c>
      <c r="J3873" t="s">
        <v>3207</v>
      </c>
      <c r="K3873" t="s">
        <v>1918</v>
      </c>
      <c r="L3873" t="s">
        <v>1919</v>
      </c>
      <c r="M3873">
        <v>334</v>
      </c>
      <c r="N3873">
        <v>25.98</v>
      </c>
      <c r="O3873">
        <v>7174.12</v>
      </c>
      <c r="P3873">
        <v>0</v>
      </c>
      <c r="Q3873">
        <v>7174.12</v>
      </c>
      <c r="R3873">
        <v>1147.8599999999999</v>
      </c>
      <c r="S3873">
        <v>286.95999999999998</v>
      </c>
      <c r="T3873">
        <v>8035.02</v>
      </c>
      <c r="U3873" t="s">
        <v>1931</v>
      </c>
      <c r="V3873" t="s">
        <v>9408</v>
      </c>
      <c r="W3873" t="s">
        <v>423</v>
      </c>
    </row>
    <row r="3874" spans="1:23" hidden="1" x14ac:dyDescent="0.2">
      <c r="A3874">
        <v>2012</v>
      </c>
      <c r="B3874" t="s">
        <v>304</v>
      </c>
      <c r="C3874" s="733">
        <v>40963</v>
      </c>
      <c r="D38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74" t="s">
        <v>505</v>
      </c>
      <c r="F3874" t="s">
        <v>1915</v>
      </c>
      <c r="G3874" t="s">
        <v>8721</v>
      </c>
      <c r="H3874">
        <v>22980</v>
      </c>
      <c r="I3874" t="s">
        <v>423</v>
      </c>
      <c r="J3874" t="s">
        <v>3207</v>
      </c>
      <c r="K3874" t="s">
        <v>1918</v>
      </c>
      <c r="L3874" t="s">
        <v>1919</v>
      </c>
      <c r="M3874">
        <v>334</v>
      </c>
      <c r="N3874">
        <v>49.59</v>
      </c>
      <c r="O3874">
        <v>13693.78</v>
      </c>
      <c r="P3874">
        <v>0</v>
      </c>
      <c r="Q3874">
        <v>13693.78</v>
      </c>
      <c r="R3874">
        <v>2191.0100000000002</v>
      </c>
      <c r="S3874">
        <v>547.75</v>
      </c>
      <c r="T3874">
        <v>15337.04</v>
      </c>
      <c r="U3874" t="s">
        <v>8778</v>
      </c>
      <c r="V3874" t="s">
        <v>9409</v>
      </c>
      <c r="W3874" t="s">
        <v>423</v>
      </c>
    </row>
    <row r="3875" spans="1:23" hidden="1" x14ac:dyDescent="0.2">
      <c r="A3875">
        <v>2012</v>
      </c>
      <c r="B3875" t="s">
        <v>303</v>
      </c>
      <c r="C3875" s="733">
        <v>40936</v>
      </c>
      <c r="D38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75" t="s">
        <v>478</v>
      </c>
      <c r="F3875" t="s">
        <v>3787</v>
      </c>
      <c r="G3875" t="s">
        <v>4726</v>
      </c>
      <c r="H3875">
        <v>35014</v>
      </c>
      <c r="I3875" t="s">
        <v>423</v>
      </c>
      <c r="J3875" t="s">
        <v>3797</v>
      </c>
      <c r="K3875" t="s">
        <v>3481</v>
      </c>
      <c r="L3875" t="s">
        <v>3482</v>
      </c>
      <c r="M3875">
        <v>266</v>
      </c>
      <c r="N3875">
        <v>24.71</v>
      </c>
      <c r="O3875">
        <v>5518.24</v>
      </c>
      <c r="P3875">
        <v>0</v>
      </c>
      <c r="Q3875">
        <v>5518.24</v>
      </c>
      <c r="R3875">
        <v>882.92</v>
      </c>
      <c r="S3875">
        <v>220.73</v>
      </c>
      <c r="T3875">
        <v>6180.43</v>
      </c>
      <c r="U3875" t="s">
        <v>3784</v>
      </c>
      <c r="V3875" t="s">
        <v>9408</v>
      </c>
      <c r="W3875" t="s">
        <v>423</v>
      </c>
    </row>
    <row r="3876" spans="1:23" hidden="1" x14ac:dyDescent="0.2">
      <c r="A3876">
        <v>2012</v>
      </c>
      <c r="B3876" t="s">
        <v>303</v>
      </c>
      <c r="C3876" s="733">
        <v>40932</v>
      </c>
      <c r="D38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76" t="s">
        <v>485</v>
      </c>
      <c r="F3876" t="s">
        <v>2065</v>
      </c>
      <c r="G3876" t="s">
        <v>3947</v>
      </c>
      <c r="H3876">
        <v>40778</v>
      </c>
      <c r="I3876" t="s">
        <v>423</v>
      </c>
      <c r="J3876" t="s">
        <v>2182</v>
      </c>
      <c r="K3876" t="s">
        <v>2183</v>
      </c>
      <c r="L3876" t="s">
        <v>2184</v>
      </c>
      <c r="M3876">
        <v>62</v>
      </c>
      <c r="N3876">
        <v>15.72</v>
      </c>
      <c r="O3876">
        <v>2328.7600000000002</v>
      </c>
      <c r="P3876">
        <v>0</v>
      </c>
      <c r="Q3876">
        <v>2328.7600000000002</v>
      </c>
      <c r="R3876">
        <v>372.6</v>
      </c>
      <c r="S3876">
        <v>93.15</v>
      </c>
      <c r="T3876">
        <v>2608.21</v>
      </c>
      <c r="U3876" t="s">
        <v>2187</v>
      </c>
      <c r="V3876" t="s">
        <v>9408</v>
      </c>
      <c r="W3876" t="s">
        <v>423</v>
      </c>
    </row>
    <row r="3877" spans="1:23" hidden="1" x14ac:dyDescent="0.2">
      <c r="A3877">
        <v>2012</v>
      </c>
      <c r="B3877" t="s">
        <v>304</v>
      </c>
      <c r="C3877" s="733">
        <v>40959</v>
      </c>
      <c r="D38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77" t="s">
        <v>485</v>
      </c>
      <c r="F3877" t="s">
        <v>2065</v>
      </c>
      <c r="G3877" t="s">
        <v>7602</v>
      </c>
      <c r="H3877">
        <v>42188</v>
      </c>
      <c r="I3877" t="s">
        <v>423</v>
      </c>
      <c r="J3877" t="s">
        <v>2182</v>
      </c>
      <c r="K3877" t="s">
        <v>2183</v>
      </c>
      <c r="L3877" t="s">
        <v>2184</v>
      </c>
      <c r="M3877">
        <v>62</v>
      </c>
      <c r="N3877">
        <v>50.03</v>
      </c>
      <c r="O3877">
        <v>7411.44</v>
      </c>
      <c r="P3877">
        <v>0</v>
      </c>
      <c r="Q3877">
        <v>7411.44</v>
      </c>
      <c r="R3877">
        <v>1185.83</v>
      </c>
      <c r="S3877">
        <v>296.45999999999998</v>
      </c>
      <c r="T3877">
        <v>8300.81</v>
      </c>
      <c r="U3877" t="s">
        <v>9411</v>
      </c>
      <c r="V3877" t="s">
        <v>9409</v>
      </c>
      <c r="W3877" t="s">
        <v>423</v>
      </c>
    </row>
    <row r="3878" spans="1:23" hidden="1" x14ac:dyDescent="0.2">
      <c r="A3878">
        <v>2012</v>
      </c>
      <c r="B3878" t="s">
        <v>304</v>
      </c>
      <c r="C3878" s="733">
        <v>40942</v>
      </c>
      <c r="D38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78" t="s">
        <v>505</v>
      </c>
      <c r="F3878" t="s">
        <v>1915</v>
      </c>
      <c r="G3878" t="s">
        <v>2615</v>
      </c>
      <c r="H3878">
        <v>22450</v>
      </c>
      <c r="I3878" t="s">
        <v>423</v>
      </c>
      <c r="J3878" t="s">
        <v>1943</v>
      </c>
      <c r="K3878" t="s">
        <v>1918</v>
      </c>
      <c r="L3878" t="s">
        <v>1919</v>
      </c>
      <c r="M3878">
        <v>319</v>
      </c>
      <c r="N3878">
        <v>54.31</v>
      </c>
      <c r="O3878">
        <v>15925.86</v>
      </c>
      <c r="P3878">
        <v>0</v>
      </c>
      <c r="Q3878">
        <v>15925.86</v>
      </c>
      <c r="R3878">
        <v>2548.14</v>
      </c>
      <c r="S3878">
        <v>637.03</v>
      </c>
      <c r="T3878">
        <v>17836.97</v>
      </c>
      <c r="U3878" t="s">
        <v>1924</v>
      </c>
      <c r="V3878" t="s">
        <v>9409</v>
      </c>
      <c r="W3878" t="s">
        <v>423</v>
      </c>
    </row>
    <row r="3879" spans="1:23" hidden="1" x14ac:dyDescent="0.2">
      <c r="A3879">
        <v>2012</v>
      </c>
      <c r="B3879" t="s">
        <v>304</v>
      </c>
      <c r="C3879" s="733">
        <v>40959</v>
      </c>
      <c r="D38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79" t="s">
        <v>505</v>
      </c>
      <c r="F3879" t="s">
        <v>1915</v>
      </c>
      <c r="G3879" t="s">
        <v>8115</v>
      </c>
      <c r="H3879">
        <v>22869</v>
      </c>
      <c r="I3879" t="s">
        <v>423</v>
      </c>
      <c r="J3879" t="s">
        <v>1943</v>
      </c>
      <c r="K3879" t="s">
        <v>1918</v>
      </c>
      <c r="L3879" t="s">
        <v>1919</v>
      </c>
      <c r="M3879">
        <v>319</v>
      </c>
      <c r="N3879">
        <v>26.89</v>
      </c>
      <c r="O3879">
        <v>7885.22</v>
      </c>
      <c r="P3879">
        <v>0</v>
      </c>
      <c r="Q3879">
        <v>7885.22</v>
      </c>
      <c r="R3879">
        <v>1261.6400000000001</v>
      </c>
      <c r="S3879">
        <v>315.41000000000003</v>
      </c>
      <c r="T3879">
        <v>8831.4500000000007</v>
      </c>
      <c r="U3879" t="s">
        <v>8491</v>
      </c>
      <c r="V3879" t="s">
        <v>9408</v>
      </c>
      <c r="W3879" t="s">
        <v>423</v>
      </c>
    </row>
    <row r="3880" spans="1:23" hidden="1" x14ac:dyDescent="0.2">
      <c r="A3880">
        <v>2012</v>
      </c>
      <c r="B3880" t="s">
        <v>303</v>
      </c>
      <c r="C3880" s="733">
        <v>40933</v>
      </c>
      <c r="D38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80" t="s">
        <v>505</v>
      </c>
      <c r="F3880" t="s">
        <v>1915</v>
      </c>
      <c r="G3880" t="s">
        <v>2617</v>
      </c>
      <c r="H3880">
        <v>22222</v>
      </c>
      <c r="I3880" t="s">
        <v>423</v>
      </c>
      <c r="J3880" t="s">
        <v>1943</v>
      </c>
      <c r="K3880" t="s">
        <v>1918</v>
      </c>
      <c r="L3880" t="s">
        <v>1919</v>
      </c>
      <c r="M3880">
        <v>319</v>
      </c>
      <c r="N3880">
        <v>54.39</v>
      </c>
      <c r="O3880">
        <v>15949.32</v>
      </c>
      <c r="P3880">
        <v>0</v>
      </c>
      <c r="Q3880">
        <v>15949.32</v>
      </c>
      <c r="R3880">
        <v>2551.89</v>
      </c>
      <c r="S3880">
        <v>637.97</v>
      </c>
      <c r="T3880">
        <v>17863.240000000002</v>
      </c>
      <c r="U3880" t="s">
        <v>1936</v>
      </c>
      <c r="V3880" t="s">
        <v>9409</v>
      </c>
      <c r="W3880" t="s">
        <v>423</v>
      </c>
    </row>
    <row r="3881" spans="1:23" hidden="1" x14ac:dyDescent="0.2">
      <c r="A3881">
        <v>2012</v>
      </c>
      <c r="B3881" t="s">
        <v>303</v>
      </c>
      <c r="C3881" s="733">
        <v>40935</v>
      </c>
      <c r="D38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81" t="s">
        <v>505</v>
      </c>
      <c r="F3881" t="s">
        <v>1915</v>
      </c>
      <c r="G3881" t="s">
        <v>2619</v>
      </c>
      <c r="H3881">
        <v>22276</v>
      </c>
      <c r="I3881" t="s">
        <v>423</v>
      </c>
      <c r="J3881" t="s">
        <v>1943</v>
      </c>
      <c r="K3881" t="s">
        <v>1918</v>
      </c>
      <c r="L3881" t="s">
        <v>1919</v>
      </c>
      <c r="M3881">
        <v>319</v>
      </c>
      <c r="N3881">
        <v>53.66</v>
      </c>
      <c r="O3881">
        <v>15735.26</v>
      </c>
      <c r="P3881">
        <v>0</v>
      </c>
      <c r="Q3881">
        <v>15735.26</v>
      </c>
      <c r="R3881">
        <v>2517.64</v>
      </c>
      <c r="S3881">
        <v>629.41</v>
      </c>
      <c r="T3881">
        <v>17623.490000000002</v>
      </c>
      <c r="U3881" t="s">
        <v>1926</v>
      </c>
      <c r="V3881" t="s">
        <v>9409</v>
      </c>
      <c r="W3881" t="s">
        <v>423</v>
      </c>
    </row>
    <row r="3882" spans="1:23" hidden="1" x14ac:dyDescent="0.2">
      <c r="A3882">
        <v>2012</v>
      </c>
      <c r="B3882" t="s">
        <v>304</v>
      </c>
      <c r="C3882" s="733">
        <v>40963</v>
      </c>
      <c r="D38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82" t="s">
        <v>505</v>
      </c>
      <c r="F3882" t="s">
        <v>1915</v>
      </c>
      <c r="G3882" t="s">
        <v>8716</v>
      </c>
      <c r="H3882">
        <v>22977</v>
      </c>
      <c r="I3882" t="s">
        <v>423</v>
      </c>
      <c r="J3882" t="s">
        <v>1943</v>
      </c>
      <c r="K3882" t="s">
        <v>1918</v>
      </c>
      <c r="L3882" t="s">
        <v>1919</v>
      </c>
      <c r="M3882">
        <v>319</v>
      </c>
      <c r="N3882">
        <v>53.9</v>
      </c>
      <c r="O3882">
        <v>15805.64</v>
      </c>
      <c r="P3882">
        <v>0</v>
      </c>
      <c r="Q3882">
        <v>15805.64</v>
      </c>
      <c r="R3882">
        <v>2528.9</v>
      </c>
      <c r="S3882">
        <v>632.23</v>
      </c>
      <c r="T3882">
        <v>17702.310000000001</v>
      </c>
      <c r="U3882" t="s">
        <v>8778</v>
      </c>
      <c r="V3882" t="s">
        <v>9409</v>
      </c>
      <c r="W3882" t="s">
        <v>423</v>
      </c>
    </row>
    <row r="3883" spans="1:23" hidden="1" x14ac:dyDescent="0.2">
      <c r="A3883">
        <v>2012</v>
      </c>
      <c r="B3883" t="s">
        <v>304</v>
      </c>
      <c r="C3883" s="733">
        <v>40948</v>
      </c>
      <c r="D38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83" t="s">
        <v>505</v>
      </c>
      <c r="F3883" t="s">
        <v>1915</v>
      </c>
      <c r="G3883" t="s">
        <v>5596</v>
      </c>
      <c r="H3883">
        <v>22566</v>
      </c>
      <c r="I3883" t="s">
        <v>423</v>
      </c>
      <c r="J3883" t="s">
        <v>1943</v>
      </c>
      <c r="K3883" t="s">
        <v>1918</v>
      </c>
      <c r="L3883" t="s">
        <v>1919</v>
      </c>
      <c r="M3883">
        <v>319</v>
      </c>
      <c r="N3883">
        <v>53.59</v>
      </c>
      <c r="O3883">
        <v>15714.73</v>
      </c>
      <c r="P3883">
        <v>0</v>
      </c>
      <c r="Q3883">
        <v>15714.73</v>
      </c>
      <c r="R3883">
        <v>2514.36</v>
      </c>
      <c r="S3883">
        <v>628.59</v>
      </c>
      <c r="T3883">
        <v>17600.5</v>
      </c>
      <c r="U3883" t="s">
        <v>1924</v>
      </c>
      <c r="V3883" t="s">
        <v>9409</v>
      </c>
      <c r="W3883" t="s">
        <v>423</v>
      </c>
    </row>
    <row r="3884" spans="1:23" hidden="1" x14ac:dyDescent="0.2">
      <c r="A3884">
        <v>2012</v>
      </c>
      <c r="B3884" t="s">
        <v>304</v>
      </c>
      <c r="C3884" s="733">
        <v>40963</v>
      </c>
      <c r="D38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84" t="s">
        <v>505</v>
      </c>
      <c r="F3884" t="s">
        <v>1915</v>
      </c>
      <c r="G3884" t="s">
        <v>8731</v>
      </c>
      <c r="H3884">
        <v>22983</v>
      </c>
      <c r="I3884" t="s">
        <v>423</v>
      </c>
      <c r="J3884" t="s">
        <v>1943</v>
      </c>
      <c r="K3884" t="s">
        <v>1918</v>
      </c>
      <c r="L3884" t="s">
        <v>1919</v>
      </c>
      <c r="M3884">
        <v>319</v>
      </c>
      <c r="N3884">
        <v>54.16</v>
      </c>
      <c r="O3884">
        <v>15881.88</v>
      </c>
      <c r="P3884">
        <v>0</v>
      </c>
      <c r="Q3884">
        <v>15881.88</v>
      </c>
      <c r="R3884">
        <v>2541.1</v>
      </c>
      <c r="S3884">
        <v>635.28</v>
      </c>
      <c r="T3884">
        <v>17787.7</v>
      </c>
      <c r="U3884" t="s">
        <v>8778</v>
      </c>
      <c r="V3884" t="s">
        <v>9409</v>
      </c>
      <c r="W3884" t="s">
        <v>423</v>
      </c>
    </row>
    <row r="3885" spans="1:23" hidden="1" x14ac:dyDescent="0.2">
      <c r="A3885">
        <v>2012</v>
      </c>
      <c r="B3885" t="s">
        <v>304</v>
      </c>
      <c r="C3885" s="733">
        <v>40952</v>
      </c>
      <c r="D38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85" t="s">
        <v>485</v>
      </c>
      <c r="F3885" t="s">
        <v>2065</v>
      </c>
      <c r="G3885" t="s">
        <v>3243</v>
      </c>
      <c r="H3885">
        <v>41668</v>
      </c>
      <c r="I3885" t="s">
        <v>423</v>
      </c>
      <c r="J3885" t="s">
        <v>2126</v>
      </c>
      <c r="K3885" t="s">
        <v>2102</v>
      </c>
      <c r="L3885" t="s">
        <v>2115</v>
      </c>
      <c r="M3885">
        <v>930</v>
      </c>
      <c r="N3885">
        <v>51.76</v>
      </c>
      <c r="O3885">
        <v>30387.26</v>
      </c>
      <c r="P3885">
        <v>0</v>
      </c>
      <c r="Q3885">
        <v>30387.26</v>
      </c>
      <c r="R3885">
        <v>4861.96</v>
      </c>
      <c r="S3885">
        <v>1215.49</v>
      </c>
      <c r="T3885">
        <v>34033.730000000003</v>
      </c>
      <c r="U3885" t="s">
        <v>8051</v>
      </c>
      <c r="V3885" t="s">
        <v>9409</v>
      </c>
      <c r="W3885" t="s">
        <v>423</v>
      </c>
    </row>
    <row r="3886" spans="1:23" hidden="1" x14ac:dyDescent="0.2">
      <c r="A3886">
        <v>2012</v>
      </c>
      <c r="B3886" t="s">
        <v>303</v>
      </c>
      <c r="C3886" s="733">
        <v>40935</v>
      </c>
      <c r="D38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86" t="s">
        <v>485</v>
      </c>
      <c r="F3886" t="s">
        <v>2065</v>
      </c>
      <c r="G3886" t="s">
        <v>5785</v>
      </c>
      <c r="H3886">
        <v>40885</v>
      </c>
      <c r="I3886" t="s">
        <v>423</v>
      </c>
      <c r="J3886" t="s">
        <v>2126</v>
      </c>
      <c r="K3886" t="s">
        <v>2102</v>
      </c>
      <c r="L3886" t="s">
        <v>2115</v>
      </c>
      <c r="M3886">
        <v>930</v>
      </c>
      <c r="N3886">
        <v>25.35</v>
      </c>
      <c r="O3886">
        <v>14882.48</v>
      </c>
      <c r="P3886">
        <v>0</v>
      </c>
      <c r="Q3886">
        <v>14882.48</v>
      </c>
      <c r="R3886">
        <v>2381.1999999999998</v>
      </c>
      <c r="S3886">
        <v>595.29999999999995</v>
      </c>
      <c r="T3886">
        <v>16668.38</v>
      </c>
      <c r="U3886" t="s">
        <v>2110</v>
      </c>
      <c r="V3886" t="s">
        <v>9409</v>
      </c>
      <c r="W3886" t="s">
        <v>423</v>
      </c>
    </row>
    <row r="3887" spans="1:23" hidden="1" x14ac:dyDescent="0.2">
      <c r="A3887">
        <v>2012</v>
      </c>
      <c r="B3887" t="s">
        <v>304</v>
      </c>
      <c r="C3887" s="733">
        <v>40946</v>
      </c>
      <c r="D38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87" t="s">
        <v>485</v>
      </c>
      <c r="F3887" t="s">
        <v>2065</v>
      </c>
      <c r="G3887" t="s">
        <v>5784</v>
      </c>
      <c r="H3887">
        <v>41393</v>
      </c>
      <c r="I3887" t="s">
        <v>423</v>
      </c>
      <c r="J3887" t="s">
        <v>2126</v>
      </c>
      <c r="K3887" t="s">
        <v>2102</v>
      </c>
      <c r="L3887" t="s">
        <v>2115</v>
      </c>
      <c r="M3887">
        <v>930</v>
      </c>
      <c r="N3887">
        <v>51.94</v>
      </c>
      <c r="O3887">
        <v>30492.94</v>
      </c>
      <c r="P3887">
        <v>0</v>
      </c>
      <c r="Q3887">
        <v>30492.94</v>
      </c>
      <c r="R3887">
        <v>4878.87</v>
      </c>
      <c r="S3887">
        <v>1219.72</v>
      </c>
      <c r="T3887">
        <v>34152.089999999997</v>
      </c>
      <c r="U3887" t="s">
        <v>7462</v>
      </c>
      <c r="V3887" t="s">
        <v>9409</v>
      </c>
      <c r="W3887" t="s">
        <v>423</v>
      </c>
    </row>
    <row r="3888" spans="1:23" hidden="1" x14ac:dyDescent="0.2">
      <c r="A3888">
        <v>2012</v>
      </c>
      <c r="B3888" t="s">
        <v>303</v>
      </c>
      <c r="C3888" s="733">
        <v>40935</v>
      </c>
      <c r="D38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88" t="s">
        <v>485</v>
      </c>
      <c r="F3888" t="s">
        <v>2065</v>
      </c>
      <c r="G3888" t="s">
        <v>5622</v>
      </c>
      <c r="H3888">
        <v>40885</v>
      </c>
      <c r="I3888" t="s">
        <v>423</v>
      </c>
      <c r="J3888" t="s">
        <v>2126</v>
      </c>
      <c r="K3888" t="s">
        <v>2102</v>
      </c>
      <c r="L3888" t="s">
        <v>2115</v>
      </c>
      <c r="M3888">
        <v>930</v>
      </c>
      <c r="N3888">
        <v>25.55</v>
      </c>
      <c r="O3888">
        <v>14999.89</v>
      </c>
      <c r="P3888">
        <v>0</v>
      </c>
      <c r="Q3888">
        <v>14999.89</v>
      </c>
      <c r="R3888">
        <v>2399.98</v>
      </c>
      <c r="S3888">
        <v>600</v>
      </c>
      <c r="T3888">
        <v>16799.87</v>
      </c>
      <c r="U3888" t="s">
        <v>2110</v>
      </c>
      <c r="V3888" t="s">
        <v>9409</v>
      </c>
      <c r="W3888" t="s">
        <v>423</v>
      </c>
    </row>
    <row r="3889" spans="1:23" hidden="1" x14ac:dyDescent="0.2">
      <c r="A3889">
        <v>2012</v>
      </c>
      <c r="B3889" t="s">
        <v>303</v>
      </c>
      <c r="C3889" s="733">
        <v>40936</v>
      </c>
      <c r="D38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89" t="s">
        <v>478</v>
      </c>
      <c r="F3889" t="s">
        <v>3787</v>
      </c>
      <c r="G3889" t="s">
        <v>4724</v>
      </c>
      <c r="H3889">
        <v>34777</v>
      </c>
      <c r="I3889" t="s">
        <v>423</v>
      </c>
      <c r="J3889" t="s">
        <v>3480</v>
      </c>
      <c r="K3889" t="s">
        <v>3481</v>
      </c>
      <c r="L3889" t="s">
        <v>3482</v>
      </c>
      <c r="M3889">
        <v>75</v>
      </c>
      <c r="N3889">
        <v>24.67</v>
      </c>
      <c r="O3889">
        <v>2784.5</v>
      </c>
      <c r="P3889">
        <v>0</v>
      </c>
      <c r="Q3889">
        <v>2784.5</v>
      </c>
      <c r="R3889">
        <v>445.52</v>
      </c>
      <c r="S3889">
        <v>111.38</v>
      </c>
      <c r="T3889">
        <v>3118.64</v>
      </c>
      <c r="U3889" t="s">
        <v>3784</v>
      </c>
      <c r="V3889" t="s">
        <v>9408</v>
      </c>
      <c r="W3889" t="s">
        <v>423</v>
      </c>
    </row>
    <row r="3890" spans="1:23" hidden="1" x14ac:dyDescent="0.2">
      <c r="A3890">
        <v>2012</v>
      </c>
      <c r="B3890" t="s">
        <v>303</v>
      </c>
      <c r="C3890" s="733">
        <v>40936</v>
      </c>
      <c r="D38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90" t="s">
        <v>478</v>
      </c>
      <c r="F3890" t="s">
        <v>3787</v>
      </c>
      <c r="G3890" t="s">
        <v>4725</v>
      </c>
      <c r="H3890">
        <v>34780</v>
      </c>
      <c r="I3890" t="s">
        <v>423</v>
      </c>
      <c r="J3890" t="s">
        <v>3480</v>
      </c>
      <c r="K3890" t="s">
        <v>3481</v>
      </c>
      <c r="L3890" t="s">
        <v>3482</v>
      </c>
      <c r="M3890">
        <v>75</v>
      </c>
      <c r="N3890">
        <v>24.024999999999999</v>
      </c>
      <c r="O3890">
        <v>2711.7</v>
      </c>
      <c r="P3890">
        <v>0</v>
      </c>
      <c r="Q3890">
        <v>2711.7</v>
      </c>
      <c r="R3890">
        <v>433.87</v>
      </c>
      <c r="S3890">
        <v>108.47</v>
      </c>
      <c r="T3890">
        <v>3037.1</v>
      </c>
      <c r="U3890" t="s">
        <v>3784</v>
      </c>
      <c r="V3890" t="s">
        <v>9408</v>
      </c>
      <c r="W3890" t="s">
        <v>423</v>
      </c>
    </row>
    <row r="3891" spans="1:23" hidden="1" x14ac:dyDescent="0.2">
      <c r="A3891">
        <v>2012</v>
      </c>
      <c r="B3891" t="s">
        <v>304</v>
      </c>
      <c r="C3891" s="733">
        <v>40967</v>
      </c>
      <c r="D38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91" t="s">
        <v>478</v>
      </c>
      <c r="F3891" t="s">
        <v>2136</v>
      </c>
      <c r="G3891" t="s">
        <v>9105</v>
      </c>
      <c r="H3891">
        <v>35767</v>
      </c>
      <c r="I3891" t="s">
        <v>423</v>
      </c>
      <c r="J3891" t="s">
        <v>2793</v>
      </c>
      <c r="K3891" t="s">
        <v>425</v>
      </c>
      <c r="L3891" t="s">
        <v>2145</v>
      </c>
      <c r="M3891">
        <v>1147</v>
      </c>
      <c r="N3891">
        <v>24.73</v>
      </c>
      <c r="O3891">
        <v>11409.93</v>
      </c>
      <c r="P3891">
        <v>0</v>
      </c>
      <c r="Q3891">
        <v>11409.93</v>
      </c>
      <c r="R3891">
        <v>1825.59</v>
      </c>
      <c r="S3891">
        <v>456.4</v>
      </c>
      <c r="T3891">
        <v>12779.12</v>
      </c>
      <c r="U3891" t="s">
        <v>9430</v>
      </c>
      <c r="V3891" t="s">
        <v>9408</v>
      </c>
      <c r="W3891" t="s">
        <v>423</v>
      </c>
    </row>
    <row r="3892" spans="1:23" hidden="1" x14ac:dyDescent="0.2">
      <c r="A3892">
        <v>2012</v>
      </c>
      <c r="B3892" t="s">
        <v>305</v>
      </c>
      <c r="C3892" s="733">
        <v>40970</v>
      </c>
      <c r="D3892" s="733" t="str">
        <f>CHOOSE(MONTH(Tabla_sqldatos_bonampakdb_Bon_v_ingresos2012[[#This Row],[fecha_guia]]),"Enero","Febrero","Marzo","Abril","Mayo","Junio","Julio","Agosto","Septiembre","Octubre","Noviembre","Diciembre")</f>
        <v>Marzo</v>
      </c>
      <c r="E3892" t="s">
        <v>478</v>
      </c>
      <c r="F3892" t="s">
        <v>2136</v>
      </c>
      <c r="G3892" t="s">
        <v>9727</v>
      </c>
      <c r="H3892">
        <v>36253</v>
      </c>
      <c r="I3892" t="s">
        <v>423</v>
      </c>
      <c r="J3892" t="s">
        <v>2936</v>
      </c>
      <c r="K3892" t="s">
        <v>425</v>
      </c>
      <c r="L3892" t="s">
        <v>2145</v>
      </c>
      <c r="M3892">
        <v>604</v>
      </c>
      <c r="N3892">
        <v>20.350000000000001</v>
      </c>
      <c r="O3892">
        <v>6371.38</v>
      </c>
      <c r="P3892">
        <v>0</v>
      </c>
      <c r="Q3892">
        <v>6371.38</v>
      </c>
      <c r="R3892">
        <v>1019.42</v>
      </c>
      <c r="S3892">
        <v>254.86</v>
      </c>
      <c r="T3892">
        <v>7135.94</v>
      </c>
      <c r="V3892" t="s">
        <v>9408</v>
      </c>
      <c r="W3892" t="s">
        <v>423</v>
      </c>
    </row>
    <row r="3893" spans="1:23" hidden="1" x14ac:dyDescent="0.2">
      <c r="A3893">
        <v>2012</v>
      </c>
      <c r="B3893" t="s">
        <v>304</v>
      </c>
      <c r="C3893" s="733">
        <v>40960</v>
      </c>
      <c r="D38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93" t="s">
        <v>478</v>
      </c>
      <c r="F3893" t="s">
        <v>2136</v>
      </c>
      <c r="G3893" t="s">
        <v>8396</v>
      </c>
      <c r="H3893">
        <v>35827</v>
      </c>
      <c r="I3893" t="s">
        <v>423</v>
      </c>
      <c r="J3893" t="s">
        <v>2936</v>
      </c>
      <c r="K3893" t="s">
        <v>425</v>
      </c>
      <c r="L3893" t="s">
        <v>2145</v>
      </c>
      <c r="M3893">
        <v>604</v>
      </c>
      <c r="N3893">
        <v>26.4</v>
      </c>
      <c r="O3893">
        <v>8265.58</v>
      </c>
      <c r="P3893">
        <v>0</v>
      </c>
      <c r="Q3893">
        <v>8265.58</v>
      </c>
      <c r="R3893">
        <v>1322.49</v>
      </c>
      <c r="S3893">
        <v>330.62</v>
      </c>
      <c r="T3893">
        <v>9257.4500000000007</v>
      </c>
      <c r="U3893" t="s">
        <v>8252</v>
      </c>
      <c r="V3893" t="s">
        <v>9408</v>
      </c>
      <c r="W3893" t="s">
        <v>423</v>
      </c>
    </row>
    <row r="3894" spans="1:23" hidden="1" x14ac:dyDescent="0.2">
      <c r="A3894">
        <v>2012</v>
      </c>
      <c r="B3894" t="s">
        <v>304</v>
      </c>
      <c r="C3894" s="733">
        <v>40940</v>
      </c>
      <c r="D38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94" t="s">
        <v>478</v>
      </c>
      <c r="F3894" t="s">
        <v>2136</v>
      </c>
      <c r="G3894" t="s">
        <v>7085</v>
      </c>
      <c r="H3894">
        <v>35039</v>
      </c>
      <c r="I3894" t="s">
        <v>423</v>
      </c>
      <c r="J3894" t="s">
        <v>5307</v>
      </c>
      <c r="K3894" t="s">
        <v>425</v>
      </c>
      <c r="L3894" t="s">
        <v>2145</v>
      </c>
      <c r="M3894">
        <v>1365</v>
      </c>
      <c r="N3894">
        <v>47.78</v>
      </c>
      <c r="O3894">
        <v>43326.43</v>
      </c>
      <c r="P3894">
        <v>0</v>
      </c>
      <c r="Q3894">
        <v>43326.43</v>
      </c>
      <c r="R3894">
        <v>6932.23</v>
      </c>
      <c r="S3894">
        <v>1733.06</v>
      </c>
      <c r="T3894">
        <v>48525.599999999999</v>
      </c>
      <c r="U3894" t="s">
        <v>2914</v>
      </c>
      <c r="V3894" t="s">
        <v>9409</v>
      </c>
      <c r="W3894" t="s">
        <v>423</v>
      </c>
    </row>
    <row r="3895" spans="1:23" hidden="1" x14ac:dyDescent="0.2">
      <c r="A3895">
        <v>2012</v>
      </c>
      <c r="B3895" t="s">
        <v>304</v>
      </c>
      <c r="C3895" s="733">
        <v>40966</v>
      </c>
      <c r="D38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95" t="s">
        <v>478</v>
      </c>
      <c r="F3895" t="s">
        <v>2136</v>
      </c>
      <c r="G3895" t="s">
        <v>9252</v>
      </c>
      <c r="H3895">
        <v>36036</v>
      </c>
      <c r="I3895" t="s">
        <v>423</v>
      </c>
      <c r="J3895" t="s">
        <v>4270</v>
      </c>
      <c r="K3895" t="s">
        <v>425</v>
      </c>
      <c r="L3895" t="s">
        <v>2145</v>
      </c>
      <c r="M3895">
        <v>560</v>
      </c>
      <c r="N3895">
        <v>20.49</v>
      </c>
      <c r="O3895">
        <v>6546.56</v>
      </c>
      <c r="P3895">
        <v>0</v>
      </c>
      <c r="Q3895">
        <v>6546.56</v>
      </c>
      <c r="R3895">
        <v>1047.45</v>
      </c>
      <c r="S3895">
        <v>261.86</v>
      </c>
      <c r="T3895">
        <v>7332.15</v>
      </c>
      <c r="U3895" t="s">
        <v>9457</v>
      </c>
      <c r="V3895" t="s">
        <v>9408</v>
      </c>
      <c r="W3895" t="s">
        <v>423</v>
      </c>
    </row>
    <row r="3896" spans="1:23" hidden="1" x14ac:dyDescent="0.2">
      <c r="A3896">
        <v>2012</v>
      </c>
      <c r="B3896" t="s">
        <v>304</v>
      </c>
      <c r="C3896" s="733">
        <v>40946</v>
      </c>
      <c r="D38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96" t="s">
        <v>478</v>
      </c>
      <c r="F3896" t="s">
        <v>2136</v>
      </c>
      <c r="G3896" t="s">
        <v>5124</v>
      </c>
      <c r="H3896">
        <v>35321</v>
      </c>
      <c r="I3896" t="s">
        <v>423</v>
      </c>
      <c r="J3896" t="s">
        <v>4270</v>
      </c>
      <c r="K3896" t="s">
        <v>425</v>
      </c>
      <c r="L3896" t="s">
        <v>2145</v>
      </c>
      <c r="M3896">
        <v>560</v>
      </c>
      <c r="N3896">
        <v>22.23</v>
      </c>
      <c r="O3896">
        <v>7102.48</v>
      </c>
      <c r="P3896">
        <v>0</v>
      </c>
      <c r="Q3896">
        <v>7102.48</v>
      </c>
      <c r="R3896">
        <v>1136.4000000000001</v>
      </c>
      <c r="S3896">
        <v>284.10000000000002</v>
      </c>
      <c r="T3896">
        <v>7954.78</v>
      </c>
      <c r="U3896" t="s">
        <v>2938</v>
      </c>
      <c r="V3896" t="s">
        <v>9408</v>
      </c>
      <c r="W3896" t="s">
        <v>423</v>
      </c>
    </row>
    <row r="3897" spans="1:23" hidden="1" x14ac:dyDescent="0.2">
      <c r="A3897">
        <v>2012</v>
      </c>
      <c r="B3897" t="s">
        <v>303</v>
      </c>
      <c r="C3897" s="733">
        <v>40919</v>
      </c>
      <c r="D38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97" t="s">
        <v>478</v>
      </c>
      <c r="F3897" t="s">
        <v>2136</v>
      </c>
      <c r="G3897" t="s">
        <v>5123</v>
      </c>
      <c r="H3897">
        <v>34404</v>
      </c>
      <c r="I3897" t="s">
        <v>423</v>
      </c>
      <c r="J3897" t="s">
        <v>4270</v>
      </c>
      <c r="K3897" t="s">
        <v>425</v>
      </c>
      <c r="L3897" t="s">
        <v>2145</v>
      </c>
      <c r="M3897">
        <v>560</v>
      </c>
      <c r="N3897">
        <v>24.73</v>
      </c>
      <c r="O3897">
        <v>7901.24</v>
      </c>
      <c r="P3897">
        <v>0</v>
      </c>
      <c r="Q3897">
        <v>7901.24</v>
      </c>
      <c r="R3897">
        <v>1264.2</v>
      </c>
      <c r="S3897">
        <v>316.05</v>
      </c>
      <c r="T3897">
        <v>8849.39</v>
      </c>
      <c r="U3897" t="s">
        <v>2927</v>
      </c>
      <c r="V3897" t="s">
        <v>9408</v>
      </c>
      <c r="W3897" t="s">
        <v>423</v>
      </c>
    </row>
    <row r="3898" spans="1:23" hidden="1" x14ac:dyDescent="0.2">
      <c r="A3898">
        <v>2012</v>
      </c>
      <c r="B3898" t="s">
        <v>303</v>
      </c>
      <c r="C3898" s="733">
        <v>40913</v>
      </c>
      <c r="D38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898" t="s">
        <v>478</v>
      </c>
      <c r="F3898" t="s">
        <v>2136</v>
      </c>
      <c r="G3898" t="s">
        <v>5116</v>
      </c>
      <c r="H3898">
        <v>34233</v>
      </c>
      <c r="I3898" t="s">
        <v>423</v>
      </c>
      <c r="J3898" t="s">
        <v>3329</v>
      </c>
      <c r="K3898" t="s">
        <v>425</v>
      </c>
      <c r="L3898" t="s">
        <v>2145</v>
      </c>
      <c r="M3898">
        <v>596</v>
      </c>
      <c r="N3898">
        <v>45.61</v>
      </c>
      <c r="O3898">
        <v>6231.24</v>
      </c>
      <c r="P3898">
        <v>7015.6908039999998</v>
      </c>
      <c r="Q3898">
        <v>13246.930804</v>
      </c>
      <c r="R3898">
        <v>2119.5089290000001</v>
      </c>
      <c r="S3898">
        <v>529.87723200000005</v>
      </c>
      <c r="T3898">
        <v>14836.562501</v>
      </c>
      <c r="V3898" t="s">
        <v>9409</v>
      </c>
      <c r="W3898" t="s">
        <v>423</v>
      </c>
    </row>
    <row r="3899" spans="1:23" hidden="1" x14ac:dyDescent="0.2">
      <c r="A3899">
        <v>2012</v>
      </c>
      <c r="B3899" t="s">
        <v>304</v>
      </c>
      <c r="C3899" s="733">
        <v>40966</v>
      </c>
      <c r="D38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899" t="s">
        <v>478</v>
      </c>
      <c r="F3899" t="s">
        <v>2136</v>
      </c>
      <c r="G3899" t="s">
        <v>9251</v>
      </c>
      <c r="H3899">
        <v>36027</v>
      </c>
      <c r="I3899" t="s">
        <v>423</v>
      </c>
      <c r="J3899" t="s">
        <v>4270</v>
      </c>
      <c r="K3899" t="s">
        <v>425</v>
      </c>
      <c r="L3899" t="s">
        <v>2145</v>
      </c>
      <c r="M3899">
        <v>560</v>
      </c>
      <c r="N3899">
        <v>21.39</v>
      </c>
      <c r="O3899">
        <v>6941.06</v>
      </c>
      <c r="P3899">
        <v>0</v>
      </c>
      <c r="Q3899">
        <v>6941.06</v>
      </c>
      <c r="R3899">
        <v>1110.57</v>
      </c>
      <c r="S3899">
        <v>277.64</v>
      </c>
      <c r="T3899">
        <v>7773.99</v>
      </c>
      <c r="U3899" t="s">
        <v>9457</v>
      </c>
      <c r="V3899" t="s">
        <v>9409</v>
      </c>
      <c r="W3899" t="s">
        <v>423</v>
      </c>
    </row>
    <row r="3900" spans="1:23" hidden="1" x14ac:dyDescent="0.2">
      <c r="A3900">
        <v>2012</v>
      </c>
      <c r="B3900" t="s">
        <v>303</v>
      </c>
      <c r="C3900" s="733">
        <v>40938</v>
      </c>
      <c r="D39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00" t="s">
        <v>505</v>
      </c>
      <c r="F3900" t="s">
        <v>1915</v>
      </c>
      <c r="G3900" t="s">
        <v>6925</v>
      </c>
      <c r="H3900">
        <v>22288</v>
      </c>
      <c r="I3900" t="s">
        <v>1979</v>
      </c>
      <c r="J3900" t="s">
        <v>4254</v>
      </c>
      <c r="K3900" t="s">
        <v>1918</v>
      </c>
      <c r="L3900" t="s">
        <v>1919</v>
      </c>
      <c r="M3900">
        <v>2819</v>
      </c>
      <c r="N3900">
        <v>49.82</v>
      </c>
      <c r="O3900">
        <v>58060.73</v>
      </c>
      <c r="P3900">
        <v>0</v>
      </c>
      <c r="Q3900">
        <v>58060.73</v>
      </c>
      <c r="R3900">
        <v>9289.7199999999993</v>
      </c>
      <c r="S3900">
        <v>2322.4299999999998</v>
      </c>
      <c r="T3900">
        <v>65028.02</v>
      </c>
      <c r="U3900" t="s">
        <v>1936</v>
      </c>
      <c r="V3900" t="s">
        <v>9409</v>
      </c>
      <c r="W3900" t="s">
        <v>1979</v>
      </c>
    </row>
    <row r="3901" spans="1:23" hidden="1" x14ac:dyDescent="0.2">
      <c r="A3901">
        <v>2012</v>
      </c>
      <c r="B3901" t="s">
        <v>303</v>
      </c>
      <c r="C3901" s="733">
        <v>40926</v>
      </c>
      <c r="D39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01" t="s">
        <v>505</v>
      </c>
      <c r="F3901" t="s">
        <v>1915</v>
      </c>
      <c r="G3901" t="s">
        <v>6926</v>
      </c>
      <c r="H3901">
        <v>21993</v>
      </c>
      <c r="I3901" t="s">
        <v>1979</v>
      </c>
      <c r="J3901" t="s">
        <v>4254</v>
      </c>
      <c r="K3901" t="s">
        <v>1918</v>
      </c>
      <c r="L3901" t="s">
        <v>1919</v>
      </c>
      <c r="M3901">
        <v>2819</v>
      </c>
      <c r="N3901">
        <v>49.72</v>
      </c>
      <c r="O3901">
        <v>57944.19</v>
      </c>
      <c r="P3901">
        <v>0</v>
      </c>
      <c r="Q3901">
        <v>57944.19</v>
      </c>
      <c r="R3901">
        <v>9271.07</v>
      </c>
      <c r="S3901">
        <v>2317.77</v>
      </c>
      <c r="T3901">
        <v>64897.49</v>
      </c>
      <c r="U3901" t="s">
        <v>1936</v>
      </c>
      <c r="V3901" t="s">
        <v>9409</v>
      </c>
      <c r="W3901" t="s">
        <v>1979</v>
      </c>
    </row>
    <row r="3902" spans="1:23" hidden="1" x14ac:dyDescent="0.2">
      <c r="A3902">
        <v>2012</v>
      </c>
      <c r="B3902" t="s">
        <v>303</v>
      </c>
      <c r="C3902" s="733">
        <v>40918</v>
      </c>
      <c r="D39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02" t="s">
        <v>505</v>
      </c>
      <c r="F3902" t="s">
        <v>1915</v>
      </c>
      <c r="G3902" t="s">
        <v>6927</v>
      </c>
      <c r="H3902">
        <v>21816</v>
      </c>
      <c r="I3902" t="s">
        <v>1979</v>
      </c>
      <c r="J3902" t="s">
        <v>4254</v>
      </c>
      <c r="K3902" t="s">
        <v>1918</v>
      </c>
      <c r="L3902" t="s">
        <v>1919</v>
      </c>
      <c r="M3902">
        <v>2819</v>
      </c>
      <c r="N3902">
        <v>49.73</v>
      </c>
      <c r="O3902">
        <v>57955.839999999997</v>
      </c>
      <c r="P3902">
        <v>0</v>
      </c>
      <c r="Q3902">
        <v>57955.839999999997</v>
      </c>
      <c r="R3902">
        <v>9272.93</v>
      </c>
      <c r="S3902">
        <v>2318.23</v>
      </c>
      <c r="T3902">
        <v>64910.54</v>
      </c>
      <c r="U3902" t="s">
        <v>1931</v>
      </c>
      <c r="V3902" t="s">
        <v>9409</v>
      </c>
      <c r="W3902" t="s">
        <v>1979</v>
      </c>
    </row>
    <row r="3903" spans="1:23" hidden="1" x14ac:dyDescent="0.2">
      <c r="A3903">
        <v>2012</v>
      </c>
      <c r="B3903" t="s">
        <v>303</v>
      </c>
      <c r="C3903" s="733">
        <v>40924</v>
      </c>
      <c r="D39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03" t="s">
        <v>478</v>
      </c>
      <c r="F3903" t="s">
        <v>2136</v>
      </c>
      <c r="G3903" t="s">
        <v>4695</v>
      </c>
      <c r="H3903">
        <v>34513</v>
      </c>
      <c r="I3903" t="s">
        <v>423</v>
      </c>
      <c r="J3903" t="s">
        <v>2936</v>
      </c>
      <c r="K3903" t="s">
        <v>425</v>
      </c>
      <c r="L3903" t="s">
        <v>2145</v>
      </c>
      <c r="M3903">
        <v>604</v>
      </c>
      <c r="N3903">
        <v>51.01</v>
      </c>
      <c r="O3903">
        <v>15970.72</v>
      </c>
      <c r="P3903">
        <v>0</v>
      </c>
      <c r="Q3903">
        <v>15970.72</v>
      </c>
      <c r="R3903">
        <v>2555.3200000000002</v>
      </c>
      <c r="S3903">
        <v>638.83000000000004</v>
      </c>
      <c r="T3903">
        <v>17887.21</v>
      </c>
      <c r="U3903" t="s">
        <v>2146</v>
      </c>
      <c r="V3903" t="s">
        <v>9409</v>
      </c>
      <c r="W3903" t="s">
        <v>423</v>
      </c>
    </row>
    <row r="3904" spans="1:23" hidden="1" x14ac:dyDescent="0.2">
      <c r="A3904">
        <v>2012</v>
      </c>
      <c r="B3904" t="s">
        <v>303</v>
      </c>
      <c r="C3904" s="733">
        <v>40921</v>
      </c>
      <c r="D39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04" t="s">
        <v>485</v>
      </c>
      <c r="F3904" t="s">
        <v>2065</v>
      </c>
      <c r="G3904" t="s">
        <v>4692</v>
      </c>
      <c r="H3904">
        <v>40169</v>
      </c>
      <c r="I3904" t="s">
        <v>423</v>
      </c>
      <c r="J3904" t="s">
        <v>2135</v>
      </c>
      <c r="K3904" t="s">
        <v>2102</v>
      </c>
      <c r="L3904" t="s">
        <v>2115</v>
      </c>
      <c r="M3904">
        <v>494</v>
      </c>
      <c r="N3904">
        <v>50.16</v>
      </c>
      <c r="O3904">
        <v>16866.3</v>
      </c>
      <c r="P3904">
        <v>0</v>
      </c>
      <c r="Q3904">
        <v>16866.3</v>
      </c>
      <c r="R3904">
        <v>2698.61</v>
      </c>
      <c r="S3904">
        <v>674.65</v>
      </c>
      <c r="T3904">
        <v>18890.259999999998</v>
      </c>
      <c r="U3904" t="s">
        <v>2106</v>
      </c>
      <c r="V3904" t="s">
        <v>9409</v>
      </c>
      <c r="W3904" t="s">
        <v>423</v>
      </c>
    </row>
    <row r="3905" spans="1:23" hidden="1" x14ac:dyDescent="0.2">
      <c r="A3905">
        <v>2012</v>
      </c>
      <c r="B3905" t="s">
        <v>304</v>
      </c>
      <c r="C3905" s="733">
        <v>40941</v>
      </c>
      <c r="D39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05" t="s">
        <v>485</v>
      </c>
      <c r="F3905" t="s">
        <v>2065</v>
      </c>
      <c r="G3905" t="s">
        <v>4689</v>
      </c>
      <c r="H3905">
        <v>39681</v>
      </c>
      <c r="I3905" t="s">
        <v>423</v>
      </c>
      <c r="J3905" t="s">
        <v>2114</v>
      </c>
      <c r="K3905" t="s">
        <v>2102</v>
      </c>
      <c r="L3905" t="s">
        <v>2115</v>
      </c>
      <c r="M3905">
        <v>500</v>
      </c>
      <c r="N3905">
        <v>51.67</v>
      </c>
      <c r="O3905">
        <v>17374.04</v>
      </c>
      <c r="P3905">
        <v>0</v>
      </c>
      <c r="Q3905">
        <v>17374.04</v>
      </c>
      <c r="R3905">
        <v>2779.85</v>
      </c>
      <c r="S3905">
        <v>694.96</v>
      </c>
      <c r="T3905">
        <v>19458.93</v>
      </c>
      <c r="U3905" t="s">
        <v>2110</v>
      </c>
      <c r="V3905" t="s">
        <v>9409</v>
      </c>
      <c r="W3905" t="s">
        <v>423</v>
      </c>
    </row>
    <row r="3906" spans="1:23" hidden="1" x14ac:dyDescent="0.2">
      <c r="A3906">
        <v>2012</v>
      </c>
      <c r="B3906" t="s">
        <v>304</v>
      </c>
      <c r="C3906" s="733">
        <v>40959</v>
      </c>
      <c r="D39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06" t="s">
        <v>485</v>
      </c>
      <c r="F3906" t="s">
        <v>2065</v>
      </c>
      <c r="G3906" t="s">
        <v>7829</v>
      </c>
      <c r="H3906">
        <v>42103</v>
      </c>
      <c r="I3906" t="s">
        <v>423</v>
      </c>
      <c r="J3906" t="s">
        <v>2114</v>
      </c>
      <c r="K3906" t="s">
        <v>2102</v>
      </c>
      <c r="L3906" t="s">
        <v>2115</v>
      </c>
      <c r="M3906">
        <v>500</v>
      </c>
      <c r="N3906">
        <v>52.96</v>
      </c>
      <c r="O3906">
        <v>17807.8</v>
      </c>
      <c r="P3906">
        <v>0</v>
      </c>
      <c r="Q3906">
        <v>17807.8</v>
      </c>
      <c r="R3906">
        <v>2849.25</v>
      </c>
      <c r="S3906">
        <v>712.31</v>
      </c>
      <c r="T3906">
        <v>19944.740000000002</v>
      </c>
      <c r="U3906" t="s">
        <v>8883</v>
      </c>
      <c r="V3906" t="s">
        <v>9409</v>
      </c>
      <c r="W3906" t="s">
        <v>423</v>
      </c>
    </row>
    <row r="3907" spans="1:23" hidden="1" x14ac:dyDescent="0.2">
      <c r="A3907">
        <v>2012</v>
      </c>
      <c r="B3907" t="s">
        <v>304</v>
      </c>
      <c r="C3907" s="733">
        <v>40941</v>
      </c>
      <c r="D39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07" t="s">
        <v>485</v>
      </c>
      <c r="F3907" t="s">
        <v>2065</v>
      </c>
      <c r="G3907" t="s">
        <v>4683</v>
      </c>
      <c r="H3907">
        <v>41225</v>
      </c>
      <c r="I3907" t="s">
        <v>423</v>
      </c>
      <c r="J3907" t="s">
        <v>2114</v>
      </c>
      <c r="K3907" t="s">
        <v>2102</v>
      </c>
      <c r="L3907" t="s">
        <v>2115</v>
      </c>
      <c r="M3907">
        <v>500</v>
      </c>
      <c r="N3907">
        <v>54.26</v>
      </c>
      <c r="O3907">
        <v>18244.919999999998</v>
      </c>
      <c r="P3907">
        <v>0</v>
      </c>
      <c r="Q3907">
        <v>18244.919999999998</v>
      </c>
      <c r="R3907">
        <v>2919.19</v>
      </c>
      <c r="S3907">
        <v>729.8</v>
      </c>
      <c r="T3907">
        <v>20434.310000000001</v>
      </c>
      <c r="V3907" t="s">
        <v>9409</v>
      </c>
      <c r="W3907" t="s">
        <v>423</v>
      </c>
    </row>
    <row r="3908" spans="1:23" hidden="1" x14ac:dyDescent="0.2">
      <c r="A3908">
        <v>2012</v>
      </c>
      <c r="B3908" t="s">
        <v>303</v>
      </c>
      <c r="C3908" s="733">
        <v>40939</v>
      </c>
      <c r="D39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08" t="s">
        <v>485</v>
      </c>
      <c r="F3908" t="s">
        <v>2065</v>
      </c>
      <c r="G3908" t="s">
        <v>4493</v>
      </c>
      <c r="H3908">
        <v>39917</v>
      </c>
      <c r="I3908" t="s">
        <v>423</v>
      </c>
      <c r="J3908" t="s">
        <v>2182</v>
      </c>
      <c r="K3908" t="s">
        <v>2183</v>
      </c>
      <c r="L3908" t="s">
        <v>2184</v>
      </c>
      <c r="M3908">
        <v>62</v>
      </c>
      <c r="N3908">
        <v>54.14</v>
      </c>
      <c r="O3908">
        <v>8020.3</v>
      </c>
      <c r="P3908">
        <v>0</v>
      </c>
      <c r="Q3908">
        <v>8020.3</v>
      </c>
      <c r="R3908">
        <v>1283.25</v>
      </c>
      <c r="S3908">
        <v>320.81</v>
      </c>
      <c r="T3908">
        <v>8982.74</v>
      </c>
      <c r="U3908" t="s">
        <v>2192</v>
      </c>
      <c r="V3908" t="s">
        <v>9409</v>
      </c>
      <c r="W3908" t="s">
        <v>423</v>
      </c>
    </row>
    <row r="3909" spans="1:23" hidden="1" x14ac:dyDescent="0.2">
      <c r="A3909">
        <v>2012</v>
      </c>
      <c r="B3909" t="s">
        <v>303</v>
      </c>
      <c r="C3909" s="733">
        <v>40934.461226851854</v>
      </c>
      <c r="D39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09" t="s">
        <v>485</v>
      </c>
      <c r="F3909" t="s">
        <v>2065</v>
      </c>
      <c r="G3909" t="s">
        <v>4478</v>
      </c>
      <c r="H3909">
        <v>40933</v>
      </c>
      <c r="I3909" t="s">
        <v>423</v>
      </c>
      <c r="J3909" t="s">
        <v>2182</v>
      </c>
      <c r="K3909" t="s">
        <v>2183</v>
      </c>
      <c r="L3909" t="s">
        <v>2184</v>
      </c>
      <c r="M3909">
        <v>62</v>
      </c>
      <c r="N3909">
        <v>18.260000000000002</v>
      </c>
      <c r="O3909">
        <v>2705.04</v>
      </c>
      <c r="P3909">
        <v>0</v>
      </c>
      <c r="Q3909">
        <v>2705.04</v>
      </c>
      <c r="R3909">
        <v>432.81</v>
      </c>
      <c r="S3909">
        <v>108.2</v>
      </c>
      <c r="T3909">
        <v>3029.65</v>
      </c>
      <c r="U3909" t="s">
        <v>2187</v>
      </c>
      <c r="V3909" t="s">
        <v>9408</v>
      </c>
      <c r="W3909" t="s">
        <v>423</v>
      </c>
    </row>
    <row r="3910" spans="1:23" hidden="1" x14ac:dyDescent="0.2">
      <c r="A3910">
        <v>2012</v>
      </c>
      <c r="B3910" t="s">
        <v>304</v>
      </c>
      <c r="C3910" s="733">
        <v>40946</v>
      </c>
      <c r="D39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10" t="s">
        <v>485</v>
      </c>
      <c r="F3910" t="s">
        <v>2065</v>
      </c>
      <c r="G3910" t="s">
        <v>4479</v>
      </c>
      <c r="H3910">
        <v>41540</v>
      </c>
      <c r="I3910" t="s">
        <v>423</v>
      </c>
      <c r="J3910" t="s">
        <v>2182</v>
      </c>
      <c r="K3910" t="s">
        <v>2183</v>
      </c>
      <c r="L3910" t="s">
        <v>2184</v>
      </c>
      <c r="M3910">
        <v>62</v>
      </c>
      <c r="N3910">
        <v>16.71</v>
      </c>
      <c r="O3910">
        <v>2475.42</v>
      </c>
      <c r="P3910">
        <v>0</v>
      </c>
      <c r="Q3910">
        <v>2475.42</v>
      </c>
      <c r="R3910">
        <v>396.07</v>
      </c>
      <c r="S3910">
        <v>99.02</v>
      </c>
      <c r="T3910">
        <v>2772.47</v>
      </c>
      <c r="U3910" t="s">
        <v>2192</v>
      </c>
      <c r="V3910" t="s">
        <v>9408</v>
      </c>
      <c r="W3910" t="s">
        <v>423</v>
      </c>
    </row>
    <row r="3911" spans="1:23" hidden="1" x14ac:dyDescent="0.2">
      <c r="A3911">
        <v>2012</v>
      </c>
      <c r="B3911" t="s">
        <v>305</v>
      </c>
      <c r="C3911" s="733">
        <v>40970</v>
      </c>
      <c r="D3911" s="733" t="str">
        <f>CHOOSE(MONTH(Tabla_sqldatos_bonampakdb_Bon_v_ingresos2012[[#This Row],[fecha_guia]]),"Enero","Febrero","Marzo","Abril","Mayo","Junio","Julio","Agosto","Septiembre","Octubre","Noviembre","Diciembre")</f>
        <v>Marzo</v>
      </c>
      <c r="E3911" t="s">
        <v>485</v>
      </c>
      <c r="F3911" t="s">
        <v>2065</v>
      </c>
      <c r="G3911" t="s">
        <v>9562</v>
      </c>
      <c r="H3911">
        <v>42911</v>
      </c>
      <c r="I3911" t="s">
        <v>423</v>
      </c>
      <c r="J3911" t="s">
        <v>2182</v>
      </c>
      <c r="K3911" t="s">
        <v>2183</v>
      </c>
      <c r="L3911" t="s">
        <v>2184</v>
      </c>
      <c r="M3911">
        <v>62</v>
      </c>
      <c r="N3911">
        <v>16.11</v>
      </c>
      <c r="O3911">
        <v>2386.54</v>
      </c>
      <c r="P3911">
        <v>0</v>
      </c>
      <c r="Q3911">
        <v>2386.54</v>
      </c>
      <c r="R3911">
        <v>381.85</v>
      </c>
      <c r="S3911">
        <v>95.46</v>
      </c>
      <c r="T3911">
        <v>2672.93</v>
      </c>
      <c r="V3911" t="s">
        <v>9408</v>
      </c>
      <c r="W3911" t="s">
        <v>423</v>
      </c>
    </row>
    <row r="3912" spans="1:23" hidden="1" x14ac:dyDescent="0.2">
      <c r="A3912">
        <v>2012</v>
      </c>
      <c r="B3912" t="s">
        <v>303</v>
      </c>
      <c r="C3912" s="733">
        <v>40913.421886574077</v>
      </c>
      <c r="D39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12" t="s">
        <v>485</v>
      </c>
      <c r="F3912" t="s">
        <v>2065</v>
      </c>
      <c r="G3912" t="s">
        <v>4483</v>
      </c>
      <c r="H3912">
        <v>39808</v>
      </c>
      <c r="I3912" t="s">
        <v>423</v>
      </c>
      <c r="J3912" t="s">
        <v>2182</v>
      </c>
      <c r="K3912" t="s">
        <v>2183</v>
      </c>
      <c r="L3912" t="s">
        <v>2184</v>
      </c>
      <c r="M3912">
        <v>62</v>
      </c>
      <c r="N3912">
        <v>15.51</v>
      </c>
      <c r="O3912">
        <v>967.36</v>
      </c>
      <c r="P3912">
        <v>1089.14095</v>
      </c>
      <c r="Q3912">
        <v>2056.5009500000001</v>
      </c>
      <c r="R3912">
        <v>329.04015199999998</v>
      </c>
      <c r="S3912">
        <v>82.260037999999994</v>
      </c>
      <c r="T3912">
        <v>2303.2810639999998</v>
      </c>
      <c r="V3912" t="s">
        <v>9408</v>
      </c>
      <c r="W3912" t="s">
        <v>423</v>
      </c>
    </row>
    <row r="3913" spans="1:23" hidden="1" x14ac:dyDescent="0.2">
      <c r="A3913">
        <v>2012</v>
      </c>
      <c r="B3913" t="s">
        <v>303</v>
      </c>
      <c r="C3913" s="733">
        <v>40928.500069444446</v>
      </c>
      <c r="D39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13" t="s">
        <v>485</v>
      </c>
      <c r="F3913" t="s">
        <v>2065</v>
      </c>
      <c r="G3913" t="s">
        <v>4484</v>
      </c>
      <c r="H3913">
        <v>40631</v>
      </c>
      <c r="I3913" t="s">
        <v>423</v>
      </c>
      <c r="J3913" t="s">
        <v>2182</v>
      </c>
      <c r="K3913" t="s">
        <v>2183</v>
      </c>
      <c r="L3913" t="s">
        <v>2184</v>
      </c>
      <c r="M3913">
        <v>62</v>
      </c>
      <c r="N3913">
        <v>15.39</v>
      </c>
      <c r="O3913">
        <v>2279.87</v>
      </c>
      <c r="P3913">
        <v>0</v>
      </c>
      <c r="Q3913">
        <v>2279.87</v>
      </c>
      <c r="R3913">
        <v>364.78</v>
      </c>
      <c r="S3913">
        <v>91.19</v>
      </c>
      <c r="T3913">
        <v>2553.46</v>
      </c>
      <c r="U3913" t="s">
        <v>2187</v>
      </c>
      <c r="V3913" t="s">
        <v>9408</v>
      </c>
      <c r="W3913" t="s">
        <v>423</v>
      </c>
    </row>
    <row r="3914" spans="1:23" x14ac:dyDescent="0.2">
      <c r="A3914">
        <v>2012</v>
      </c>
      <c r="B3914" t="s">
        <v>304</v>
      </c>
      <c r="C3914" s="733">
        <v>40968.487488425926</v>
      </c>
      <c r="D39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14" t="s">
        <v>485</v>
      </c>
      <c r="F3914" t="s">
        <v>2065</v>
      </c>
      <c r="G3914" t="s">
        <v>9435</v>
      </c>
      <c r="H3914">
        <v>42871</v>
      </c>
      <c r="I3914" t="s">
        <v>423</v>
      </c>
      <c r="J3914" t="s">
        <v>2182</v>
      </c>
      <c r="K3914" t="s">
        <v>2183</v>
      </c>
      <c r="L3914" t="s">
        <v>2184</v>
      </c>
      <c r="M3914">
        <v>62</v>
      </c>
      <c r="N3914">
        <v>15.55</v>
      </c>
      <c r="O3914">
        <v>2303.58</v>
      </c>
      <c r="P3914">
        <v>0</v>
      </c>
      <c r="Q3914">
        <v>2303.58</v>
      </c>
      <c r="R3914">
        <v>368.57</v>
      </c>
      <c r="S3914">
        <v>92.14</v>
      </c>
      <c r="T3914">
        <v>2580.0100000000002</v>
      </c>
      <c r="V3914" t="s">
        <v>9408</v>
      </c>
      <c r="W3914" t="s">
        <v>423</v>
      </c>
    </row>
    <row r="3915" spans="1:23" hidden="1" x14ac:dyDescent="0.2">
      <c r="A3915">
        <v>2012</v>
      </c>
      <c r="B3915" t="s">
        <v>305</v>
      </c>
      <c r="C3915" s="733">
        <v>40969</v>
      </c>
      <c r="D3915" s="733" t="str">
        <f>CHOOSE(MONTH(Tabla_sqldatos_bonampakdb_Bon_v_ingresos2012[[#This Row],[fecha_guia]]),"Enero","Febrero","Marzo","Abril","Mayo","Junio","Julio","Agosto","Septiembre","Octubre","Noviembre","Diciembre")</f>
        <v>Marzo</v>
      </c>
      <c r="E3915" t="s">
        <v>505</v>
      </c>
      <c r="F3915" t="s">
        <v>1915</v>
      </c>
      <c r="G3915" t="s">
        <v>9436</v>
      </c>
      <c r="H3915">
        <v>23108</v>
      </c>
      <c r="I3915" t="s">
        <v>423</v>
      </c>
      <c r="J3915" t="s">
        <v>3207</v>
      </c>
      <c r="K3915" t="s">
        <v>1918</v>
      </c>
      <c r="L3915" t="s">
        <v>1919</v>
      </c>
      <c r="M3915">
        <v>334</v>
      </c>
      <c r="N3915">
        <v>24.92</v>
      </c>
      <c r="O3915">
        <v>6881.41</v>
      </c>
      <c r="P3915">
        <v>0</v>
      </c>
      <c r="Q3915">
        <v>6881.41</v>
      </c>
      <c r="R3915">
        <v>1101.03</v>
      </c>
      <c r="S3915">
        <v>275.26</v>
      </c>
      <c r="T3915">
        <v>7707.18</v>
      </c>
      <c r="V3915" t="s">
        <v>9408</v>
      </c>
      <c r="W3915" t="s">
        <v>423</v>
      </c>
    </row>
    <row r="3916" spans="1:23" hidden="1" x14ac:dyDescent="0.2">
      <c r="A3916">
        <v>2012</v>
      </c>
      <c r="B3916" t="s">
        <v>303</v>
      </c>
      <c r="C3916" s="733">
        <v>40933</v>
      </c>
      <c r="D39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16" t="s">
        <v>505</v>
      </c>
      <c r="F3916" t="s">
        <v>1915</v>
      </c>
      <c r="G3916" t="s">
        <v>6086</v>
      </c>
      <c r="H3916">
        <v>22228</v>
      </c>
      <c r="I3916" t="s">
        <v>423</v>
      </c>
      <c r="J3916" t="s">
        <v>3207</v>
      </c>
      <c r="K3916" t="s">
        <v>1918</v>
      </c>
      <c r="L3916" t="s">
        <v>1919</v>
      </c>
      <c r="M3916">
        <v>334</v>
      </c>
      <c r="N3916">
        <v>50.03</v>
      </c>
      <c r="O3916">
        <v>13815.28</v>
      </c>
      <c r="P3916">
        <v>0</v>
      </c>
      <c r="Q3916">
        <v>13815.28</v>
      </c>
      <c r="R3916">
        <v>2210.4499999999998</v>
      </c>
      <c r="S3916">
        <v>552.61</v>
      </c>
      <c r="T3916">
        <v>15473.12</v>
      </c>
      <c r="U3916" t="s">
        <v>8778</v>
      </c>
      <c r="V3916" t="s">
        <v>9409</v>
      </c>
      <c r="W3916" t="s">
        <v>423</v>
      </c>
    </row>
    <row r="3917" spans="1:23" hidden="1" x14ac:dyDescent="0.2">
      <c r="A3917">
        <v>2012</v>
      </c>
      <c r="B3917" t="s">
        <v>304</v>
      </c>
      <c r="C3917" s="733">
        <v>40949</v>
      </c>
      <c r="D39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17" t="s">
        <v>505</v>
      </c>
      <c r="F3917" t="s">
        <v>1915</v>
      </c>
      <c r="G3917" t="s">
        <v>6087</v>
      </c>
      <c r="H3917">
        <v>22645</v>
      </c>
      <c r="I3917" t="s">
        <v>423</v>
      </c>
      <c r="J3917" t="s">
        <v>3207</v>
      </c>
      <c r="K3917" t="s">
        <v>1918</v>
      </c>
      <c r="L3917" t="s">
        <v>1919</v>
      </c>
      <c r="M3917">
        <v>334</v>
      </c>
      <c r="N3917">
        <v>24.83</v>
      </c>
      <c r="O3917">
        <v>6856.56</v>
      </c>
      <c r="P3917">
        <v>0</v>
      </c>
      <c r="Q3917">
        <v>6856.56</v>
      </c>
      <c r="R3917">
        <v>1097.05</v>
      </c>
      <c r="S3917">
        <v>274.26</v>
      </c>
      <c r="T3917">
        <v>7679.35</v>
      </c>
      <c r="U3917" t="s">
        <v>7522</v>
      </c>
      <c r="V3917" t="s">
        <v>9408</v>
      </c>
      <c r="W3917" t="s">
        <v>423</v>
      </c>
    </row>
    <row r="3918" spans="1:23" hidden="1" x14ac:dyDescent="0.2">
      <c r="A3918">
        <v>2012</v>
      </c>
      <c r="B3918" t="s">
        <v>304</v>
      </c>
      <c r="C3918" s="733">
        <v>40940</v>
      </c>
      <c r="D39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18" t="s">
        <v>485</v>
      </c>
      <c r="F3918" t="s">
        <v>2065</v>
      </c>
      <c r="G3918" t="s">
        <v>4675</v>
      </c>
      <c r="H3918">
        <v>40051</v>
      </c>
      <c r="I3918" t="s">
        <v>423</v>
      </c>
      <c r="J3918" t="s">
        <v>3204</v>
      </c>
      <c r="K3918" t="s">
        <v>2183</v>
      </c>
      <c r="L3918" t="s">
        <v>2184</v>
      </c>
      <c r="M3918">
        <v>80</v>
      </c>
      <c r="N3918">
        <v>15.93</v>
      </c>
      <c r="O3918">
        <v>1798.02</v>
      </c>
      <c r="P3918">
        <v>0</v>
      </c>
      <c r="Q3918">
        <v>1798.02</v>
      </c>
      <c r="R3918">
        <v>287.68</v>
      </c>
      <c r="S3918">
        <v>71.92</v>
      </c>
      <c r="T3918">
        <v>2013.78</v>
      </c>
      <c r="U3918" t="s">
        <v>9411</v>
      </c>
      <c r="V3918" t="s">
        <v>9408</v>
      </c>
      <c r="W3918" t="s">
        <v>423</v>
      </c>
    </row>
    <row r="3919" spans="1:23" hidden="1" x14ac:dyDescent="0.2">
      <c r="A3919">
        <v>2012</v>
      </c>
      <c r="B3919" t="s">
        <v>304</v>
      </c>
      <c r="C3919" s="733">
        <v>40967</v>
      </c>
      <c r="D39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19" t="s">
        <v>505</v>
      </c>
      <c r="F3919" t="s">
        <v>1915</v>
      </c>
      <c r="G3919" t="s">
        <v>9059</v>
      </c>
      <c r="H3919">
        <v>23056</v>
      </c>
      <c r="I3919" t="s">
        <v>424</v>
      </c>
      <c r="J3919" t="s">
        <v>1917</v>
      </c>
      <c r="K3919" t="s">
        <v>1918</v>
      </c>
      <c r="L3919" t="s">
        <v>1919</v>
      </c>
      <c r="M3919">
        <v>267</v>
      </c>
      <c r="N3919">
        <v>30</v>
      </c>
      <c r="O3919">
        <v>4613.7</v>
      </c>
      <c r="P3919">
        <v>0</v>
      </c>
      <c r="Q3919">
        <v>4613.7</v>
      </c>
      <c r="R3919">
        <v>738.19</v>
      </c>
      <c r="S3919">
        <v>184.55</v>
      </c>
      <c r="T3919">
        <v>5167.34</v>
      </c>
      <c r="U3919" t="s">
        <v>9415</v>
      </c>
      <c r="V3919" t="s">
        <v>9408</v>
      </c>
      <c r="W3919" t="s">
        <v>424</v>
      </c>
    </row>
    <row r="3920" spans="1:23" hidden="1" x14ac:dyDescent="0.2">
      <c r="A3920">
        <v>2012</v>
      </c>
      <c r="B3920" t="s">
        <v>303</v>
      </c>
      <c r="C3920" s="733">
        <v>40926</v>
      </c>
      <c r="D39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20" t="s">
        <v>485</v>
      </c>
      <c r="F3920" t="s">
        <v>2065</v>
      </c>
      <c r="G3920" t="s">
        <v>7112</v>
      </c>
      <c r="H3920">
        <v>40412</v>
      </c>
      <c r="I3920" t="s">
        <v>423</v>
      </c>
      <c r="J3920" t="s">
        <v>2114</v>
      </c>
      <c r="K3920" t="s">
        <v>2102</v>
      </c>
      <c r="L3920" t="s">
        <v>2115</v>
      </c>
      <c r="M3920">
        <v>500</v>
      </c>
      <c r="N3920">
        <v>33.590000000000003</v>
      </c>
      <c r="O3920">
        <v>24853.91</v>
      </c>
      <c r="P3920">
        <v>0</v>
      </c>
      <c r="Q3920">
        <v>24853.91</v>
      </c>
      <c r="R3920">
        <v>3976.63</v>
      </c>
      <c r="S3920">
        <v>994.16</v>
      </c>
      <c r="T3920">
        <v>27836.38</v>
      </c>
      <c r="U3920" t="s">
        <v>2106</v>
      </c>
      <c r="V3920" t="s">
        <v>9409</v>
      </c>
      <c r="W3920" t="s">
        <v>423</v>
      </c>
    </row>
    <row r="3921" spans="1:23" hidden="1" x14ac:dyDescent="0.2">
      <c r="A3921">
        <v>2012</v>
      </c>
      <c r="B3921" t="s">
        <v>305</v>
      </c>
      <c r="C3921" s="733">
        <v>40971</v>
      </c>
      <c r="D3921" s="733" t="str">
        <f>CHOOSE(MONTH(Tabla_sqldatos_bonampakdb_Bon_v_ingresos2012[[#This Row],[fecha_guia]]),"Enero","Febrero","Marzo","Abril","Mayo","Junio","Julio","Agosto","Septiembre","Octubre","Noviembre","Diciembre")</f>
        <v>Marzo</v>
      </c>
      <c r="E3921" t="s">
        <v>505</v>
      </c>
      <c r="F3921" t="s">
        <v>1915</v>
      </c>
      <c r="G3921" t="s">
        <v>9728</v>
      </c>
      <c r="H3921">
        <v>23176</v>
      </c>
      <c r="I3921" t="s">
        <v>423</v>
      </c>
      <c r="J3921" t="s">
        <v>4760</v>
      </c>
      <c r="K3921" t="s">
        <v>1918</v>
      </c>
      <c r="L3921" t="s">
        <v>1919</v>
      </c>
      <c r="M3921">
        <v>444</v>
      </c>
      <c r="N3921">
        <v>27</v>
      </c>
      <c r="O3921">
        <v>8379.18</v>
      </c>
      <c r="P3921">
        <v>0</v>
      </c>
      <c r="Q3921">
        <v>8379.18</v>
      </c>
      <c r="R3921">
        <v>1340.67</v>
      </c>
      <c r="S3921">
        <v>335.17</v>
      </c>
      <c r="T3921">
        <v>9384.68</v>
      </c>
      <c r="V3921" t="s">
        <v>9408</v>
      </c>
      <c r="W3921" t="s">
        <v>423</v>
      </c>
    </row>
    <row r="3922" spans="1:23" hidden="1" x14ac:dyDescent="0.2">
      <c r="A3922">
        <v>2012</v>
      </c>
      <c r="B3922" t="s">
        <v>304</v>
      </c>
      <c r="C3922" s="733">
        <v>40952</v>
      </c>
      <c r="D39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22" t="s">
        <v>478</v>
      </c>
      <c r="F3922" t="s">
        <v>3787</v>
      </c>
      <c r="G3922" t="s">
        <v>5213</v>
      </c>
      <c r="H3922">
        <v>35538</v>
      </c>
      <c r="I3922" t="s">
        <v>423</v>
      </c>
      <c r="J3922" t="s">
        <v>3789</v>
      </c>
      <c r="K3922" t="s">
        <v>3481</v>
      </c>
      <c r="L3922" t="s">
        <v>3482</v>
      </c>
      <c r="M3922">
        <v>27</v>
      </c>
      <c r="N3922">
        <v>29.63</v>
      </c>
      <c r="O3922">
        <v>3344.34</v>
      </c>
      <c r="P3922">
        <v>0</v>
      </c>
      <c r="Q3922">
        <v>3344.34</v>
      </c>
      <c r="R3922">
        <v>535.09</v>
      </c>
      <c r="S3922">
        <v>133.77000000000001</v>
      </c>
      <c r="T3922">
        <v>3745.66</v>
      </c>
      <c r="U3922" t="s">
        <v>3483</v>
      </c>
      <c r="V3922" t="s">
        <v>9408</v>
      </c>
      <c r="W3922" t="s">
        <v>423</v>
      </c>
    </row>
    <row r="3923" spans="1:23" hidden="1" x14ac:dyDescent="0.2">
      <c r="A3923">
        <v>2012</v>
      </c>
      <c r="B3923" t="s">
        <v>304</v>
      </c>
      <c r="C3923" s="733">
        <v>40967.460833333331</v>
      </c>
      <c r="D39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23" t="s">
        <v>478</v>
      </c>
      <c r="F3923" t="s">
        <v>2622</v>
      </c>
      <c r="G3923" t="s">
        <v>8980</v>
      </c>
      <c r="H3923">
        <v>36112</v>
      </c>
      <c r="I3923" t="s">
        <v>423</v>
      </c>
      <c r="J3923" t="s">
        <v>2629</v>
      </c>
      <c r="K3923" t="s">
        <v>2625</v>
      </c>
      <c r="L3923" t="s">
        <v>2626</v>
      </c>
      <c r="M3923">
        <v>33</v>
      </c>
      <c r="N3923">
        <v>25.97</v>
      </c>
      <c r="O3923">
        <v>3029.14</v>
      </c>
      <c r="P3923">
        <v>0</v>
      </c>
      <c r="Q3923">
        <v>3029.14</v>
      </c>
      <c r="R3923">
        <v>484.66</v>
      </c>
      <c r="S3923">
        <v>121.17</v>
      </c>
      <c r="T3923">
        <v>3392.63</v>
      </c>
      <c r="U3923" t="s">
        <v>9428</v>
      </c>
      <c r="V3923" t="s">
        <v>9408</v>
      </c>
      <c r="W3923" t="s">
        <v>423</v>
      </c>
    </row>
    <row r="3924" spans="1:23" hidden="1" x14ac:dyDescent="0.2">
      <c r="A3924">
        <v>2012</v>
      </c>
      <c r="B3924" t="s">
        <v>304</v>
      </c>
      <c r="C3924" s="733">
        <v>40948</v>
      </c>
      <c r="D39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24" t="s">
        <v>485</v>
      </c>
      <c r="F3924" t="s">
        <v>2065</v>
      </c>
      <c r="G3924" t="s">
        <v>5821</v>
      </c>
      <c r="H3924">
        <v>41546</v>
      </c>
      <c r="I3924" t="s">
        <v>423</v>
      </c>
      <c r="J3924" t="s">
        <v>2189</v>
      </c>
      <c r="K3924" t="s">
        <v>2183</v>
      </c>
      <c r="L3924" t="s">
        <v>2184</v>
      </c>
      <c r="M3924">
        <v>720</v>
      </c>
      <c r="N3924">
        <v>26.49</v>
      </c>
      <c r="O3924">
        <v>11758.65</v>
      </c>
      <c r="P3924">
        <v>0</v>
      </c>
      <c r="Q3924">
        <v>11758.65</v>
      </c>
      <c r="R3924">
        <v>1881.38</v>
      </c>
      <c r="S3924">
        <v>470.35</v>
      </c>
      <c r="T3924">
        <v>13169.68</v>
      </c>
      <c r="U3924" t="s">
        <v>2192</v>
      </c>
      <c r="V3924" t="s">
        <v>9408</v>
      </c>
      <c r="W3924" t="s">
        <v>423</v>
      </c>
    </row>
    <row r="3925" spans="1:23" hidden="1" x14ac:dyDescent="0.2">
      <c r="A3925">
        <v>2012</v>
      </c>
      <c r="B3925" t="s">
        <v>303</v>
      </c>
      <c r="C3925" s="733">
        <v>40938</v>
      </c>
      <c r="D39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25" t="s">
        <v>485</v>
      </c>
      <c r="F3925" t="s">
        <v>2065</v>
      </c>
      <c r="G3925" t="s">
        <v>6060</v>
      </c>
      <c r="H3925">
        <v>41111</v>
      </c>
      <c r="I3925" t="s">
        <v>423</v>
      </c>
      <c r="J3925" t="s">
        <v>2274</v>
      </c>
      <c r="K3925" t="s">
        <v>2051</v>
      </c>
      <c r="L3925" t="s">
        <v>2052</v>
      </c>
      <c r="M3925">
        <v>573</v>
      </c>
      <c r="N3925">
        <v>54.45</v>
      </c>
      <c r="O3925">
        <v>17669.02</v>
      </c>
      <c r="P3925">
        <v>0</v>
      </c>
      <c r="Q3925">
        <v>17669.02</v>
      </c>
      <c r="R3925">
        <v>2827.04</v>
      </c>
      <c r="S3925">
        <v>706.76</v>
      </c>
      <c r="T3925">
        <v>19789.3</v>
      </c>
      <c r="U3925" t="s">
        <v>2064</v>
      </c>
      <c r="V3925" t="s">
        <v>9409</v>
      </c>
      <c r="W3925" t="s">
        <v>423</v>
      </c>
    </row>
    <row r="3926" spans="1:23" hidden="1" x14ac:dyDescent="0.2">
      <c r="A3926">
        <v>2012</v>
      </c>
      <c r="B3926" t="s">
        <v>303</v>
      </c>
      <c r="C3926" s="733">
        <v>40926</v>
      </c>
      <c r="D39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26" t="s">
        <v>485</v>
      </c>
      <c r="F3926" t="s">
        <v>2048</v>
      </c>
      <c r="G3926" t="s">
        <v>6061</v>
      </c>
      <c r="H3926">
        <v>40509</v>
      </c>
      <c r="I3926" t="s">
        <v>423</v>
      </c>
      <c r="J3926" t="s">
        <v>2274</v>
      </c>
      <c r="K3926" t="s">
        <v>2051</v>
      </c>
      <c r="L3926" t="s">
        <v>2052</v>
      </c>
      <c r="M3926">
        <v>573</v>
      </c>
      <c r="N3926">
        <v>53.8</v>
      </c>
      <c r="O3926">
        <v>17458.099999999999</v>
      </c>
      <c r="P3926">
        <v>0</v>
      </c>
      <c r="Q3926">
        <v>17458.099999999999</v>
      </c>
      <c r="R3926">
        <v>2793.3</v>
      </c>
      <c r="S3926">
        <v>698.32</v>
      </c>
      <c r="T3926">
        <v>19553.080000000002</v>
      </c>
      <c r="U3926" t="s">
        <v>2062</v>
      </c>
      <c r="V3926" t="s">
        <v>9409</v>
      </c>
      <c r="W3926" t="s">
        <v>423</v>
      </c>
    </row>
    <row r="3927" spans="1:23" hidden="1" x14ac:dyDescent="0.2">
      <c r="A3927">
        <v>2012</v>
      </c>
      <c r="B3927" t="s">
        <v>304</v>
      </c>
      <c r="C3927" s="733">
        <v>40949</v>
      </c>
      <c r="D39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27" t="s">
        <v>478</v>
      </c>
      <c r="F3927" t="s">
        <v>2136</v>
      </c>
      <c r="G3927" t="s">
        <v>3108</v>
      </c>
      <c r="H3927">
        <v>35434</v>
      </c>
      <c r="I3927" t="s">
        <v>423</v>
      </c>
      <c r="J3927" t="s">
        <v>2144</v>
      </c>
      <c r="K3927" t="s">
        <v>425</v>
      </c>
      <c r="L3927" t="s">
        <v>2145</v>
      </c>
      <c r="M3927">
        <v>1354</v>
      </c>
      <c r="N3927">
        <v>45</v>
      </c>
      <c r="O3927">
        <v>40805.550000000003</v>
      </c>
      <c r="P3927">
        <v>0</v>
      </c>
      <c r="Q3927">
        <v>40805.550000000003</v>
      </c>
      <c r="R3927">
        <v>6528.89</v>
      </c>
      <c r="S3927">
        <v>1632.22</v>
      </c>
      <c r="T3927">
        <v>45702.22</v>
      </c>
      <c r="U3927" t="s">
        <v>7523</v>
      </c>
      <c r="V3927" t="s">
        <v>9409</v>
      </c>
      <c r="W3927" t="s">
        <v>423</v>
      </c>
    </row>
    <row r="3928" spans="1:23" hidden="1" x14ac:dyDescent="0.2">
      <c r="A3928">
        <v>2012</v>
      </c>
      <c r="B3928" t="s">
        <v>303</v>
      </c>
      <c r="C3928" s="733">
        <v>40913</v>
      </c>
      <c r="D39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28" t="s">
        <v>478</v>
      </c>
      <c r="F3928" t="s">
        <v>2136</v>
      </c>
      <c r="G3928" t="s">
        <v>6278</v>
      </c>
      <c r="H3928">
        <v>34064</v>
      </c>
      <c r="I3928" t="s">
        <v>423</v>
      </c>
      <c r="J3928" t="s">
        <v>2144</v>
      </c>
      <c r="K3928" t="s">
        <v>425</v>
      </c>
      <c r="L3928" t="s">
        <v>2145</v>
      </c>
      <c r="M3928">
        <v>1354</v>
      </c>
      <c r="N3928">
        <v>52.92</v>
      </c>
      <c r="O3928">
        <v>13468.14</v>
      </c>
      <c r="P3928">
        <v>29482.835910999998</v>
      </c>
      <c r="Q3928">
        <v>42950.975911000001</v>
      </c>
      <c r="R3928">
        <v>6872.1561460000003</v>
      </c>
      <c r="S3928">
        <v>1718.0390359999999</v>
      </c>
      <c r="T3928">
        <v>48105.093021000001</v>
      </c>
      <c r="U3928" t="s">
        <v>3118</v>
      </c>
      <c r="V3928" t="s">
        <v>9409</v>
      </c>
      <c r="W3928" t="s">
        <v>423</v>
      </c>
    </row>
    <row r="3929" spans="1:23" hidden="1" x14ac:dyDescent="0.2">
      <c r="A3929">
        <v>2012</v>
      </c>
      <c r="B3929" t="s">
        <v>303</v>
      </c>
      <c r="C3929" s="733">
        <v>40918</v>
      </c>
      <c r="D39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29" t="s">
        <v>478</v>
      </c>
      <c r="F3929" t="s">
        <v>2136</v>
      </c>
      <c r="G3929" t="s">
        <v>6276</v>
      </c>
      <c r="H3929">
        <v>34246</v>
      </c>
      <c r="I3929" t="s">
        <v>423</v>
      </c>
      <c r="J3929" t="s">
        <v>2144</v>
      </c>
      <c r="K3929" t="s">
        <v>425</v>
      </c>
      <c r="L3929" t="s">
        <v>2145</v>
      </c>
      <c r="M3929">
        <v>1354</v>
      </c>
      <c r="N3929">
        <v>52.57</v>
      </c>
      <c r="O3929">
        <v>47669.95</v>
      </c>
      <c r="P3929">
        <v>0</v>
      </c>
      <c r="Q3929">
        <v>47669.95</v>
      </c>
      <c r="R3929">
        <v>7627.19</v>
      </c>
      <c r="S3929">
        <v>1906.8</v>
      </c>
      <c r="T3929">
        <v>53390.34</v>
      </c>
      <c r="U3929" t="s">
        <v>2350</v>
      </c>
      <c r="V3929" t="s">
        <v>9409</v>
      </c>
      <c r="W3929" t="s">
        <v>423</v>
      </c>
    </row>
    <row r="3930" spans="1:23" hidden="1" x14ac:dyDescent="0.2">
      <c r="A3930">
        <v>2012</v>
      </c>
      <c r="B3930" t="s">
        <v>303</v>
      </c>
      <c r="C3930" s="733">
        <v>40931</v>
      </c>
      <c r="D39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30" t="s">
        <v>478</v>
      </c>
      <c r="F3930" t="s">
        <v>2136</v>
      </c>
      <c r="G3930" t="s">
        <v>6275</v>
      </c>
      <c r="H3930">
        <v>34760</v>
      </c>
      <c r="I3930" t="s">
        <v>423</v>
      </c>
      <c r="J3930" t="s">
        <v>2144</v>
      </c>
      <c r="K3930" t="s">
        <v>425</v>
      </c>
      <c r="L3930" t="s">
        <v>2145</v>
      </c>
      <c r="M3930">
        <v>1354</v>
      </c>
      <c r="N3930">
        <v>45.42</v>
      </c>
      <c r="O3930">
        <v>41186.400000000001</v>
      </c>
      <c r="P3930">
        <v>0</v>
      </c>
      <c r="Q3930">
        <v>41186.400000000001</v>
      </c>
      <c r="R3930">
        <v>6589.82</v>
      </c>
      <c r="S3930">
        <v>1647.46</v>
      </c>
      <c r="T3930">
        <v>46128.76</v>
      </c>
      <c r="U3930" t="s">
        <v>2150</v>
      </c>
      <c r="V3930" t="s">
        <v>9409</v>
      </c>
      <c r="W3930" t="s">
        <v>423</v>
      </c>
    </row>
    <row r="3931" spans="1:23" hidden="1" x14ac:dyDescent="0.2">
      <c r="A3931">
        <v>2012</v>
      </c>
      <c r="B3931" t="s">
        <v>303</v>
      </c>
      <c r="C3931" s="733">
        <v>40924</v>
      </c>
      <c r="D39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31" t="s">
        <v>478</v>
      </c>
      <c r="F3931" t="s">
        <v>2136</v>
      </c>
      <c r="G3931" t="s">
        <v>6277</v>
      </c>
      <c r="H3931">
        <v>34469</v>
      </c>
      <c r="I3931" t="s">
        <v>423</v>
      </c>
      <c r="J3931" t="s">
        <v>2144</v>
      </c>
      <c r="K3931" t="s">
        <v>425</v>
      </c>
      <c r="L3931" t="s">
        <v>2145</v>
      </c>
      <c r="M3931">
        <v>1354</v>
      </c>
      <c r="N3931">
        <v>52.04</v>
      </c>
      <c r="O3931">
        <v>47189.35</v>
      </c>
      <c r="P3931">
        <v>0</v>
      </c>
      <c r="Q3931">
        <v>47189.35</v>
      </c>
      <c r="R3931">
        <v>7550.3</v>
      </c>
      <c r="S3931">
        <v>1887.57</v>
      </c>
      <c r="T3931">
        <v>52852.08</v>
      </c>
      <c r="U3931" t="s">
        <v>2146</v>
      </c>
      <c r="V3931" t="s">
        <v>9409</v>
      </c>
      <c r="W3931" t="s">
        <v>423</v>
      </c>
    </row>
    <row r="3932" spans="1:23" hidden="1" x14ac:dyDescent="0.2">
      <c r="A3932">
        <v>2012</v>
      </c>
      <c r="B3932" t="s">
        <v>304</v>
      </c>
      <c r="C3932" s="733">
        <v>40966</v>
      </c>
      <c r="D39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32" t="s">
        <v>478</v>
      </c>
      <c r="F3932" t="s">
        <v>2142</v>
      </c>
      <c r="G3932" t="s">
        <v>9053</v>
      </c>
      <c r="H3932">
        <v>35964</v>
      </c>
      <c r="I3932" t="s">
        <v>423</v>
      </c>
      <c r="J3932" t="s">
        <v>2144</v>
      </c>
      <c r="K3932" t="s">
        <v>425</v>
      </c>
      <c r="L3932" t="s">
        <v>2145</v>
      </c>
      <c r="M3932">
        <v>1354</v>
      </c>
      <c r="N3932">
        <v>43.55</v>
      </c>
      <c r="O3932">
        <v>39490.699999999997</v>
      </c>
      <c r="P3932">
        <v>0</v>
      </c>
      <c r="Q3932">
        <v>39490.699999999997</v>
      </c>
      <c r="R3932">
        <v>6318.51</v>
      </c>
      <c r="S3932">
        <v>1579.63</v>
      </c>
      <c r="T3932">
        <v>44229.58</v>
      </c>
      <c r="U3932" t="s">
        <v>9430</v>
      </c>
      <c r="V3932" t="s">
        <v>9409</v>
      </c>
      <c r="W3932" t="s">
        <v>423</v>
      </c>
    </row>
    <row r="3933" spans="1:23" hidden="1" x14ac:dyDescent="0.2">
      <c r="A3933">
        <v>2012</v>
      </c>
      <c r="B3933" t="s">
        <v>304</v>
      </c>
      <c r="C3933" s="733">
        <v>40961</v>
      </c>
      <c r="D39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33" t="s">
        <v>478</v>
      </c>
      <c r="F3933" t="s">
        <v>2136</v>
      </c>
      <c r="G3933" t="s">
        <v>8288</v>
      </c>
      <c r="H3933">
        <v>35805</v>
      </c>
      <c r="I3933" t="s">
        <v>423</v>
      </c>
      <c r="J3933" t="s">
        <v>2144</v>
      </c>
      <c r="K3933" t="s">
        <v>425</v>
      </c>
      <c r="L3933" t="s">
        <v>2145</v>
      </c>
      <c r="M3933">
        <v>1354</v>
      </c>
      <c r="N3933">
        <v>43.81</v>
      </c>
      <c r="O3933">
        <v>39726.47</v>
      </c>
      <c r="P3933">
        <v>0</v>
      </c>
      <c r="Q3933">
        <v>39726.47</v>
      </c>
      <c r="R3933">
        <v>6356.24</v>
      </c>
      <c r="S3933">
        <v>1589.06</v>
      </c>
      <c r="T3933">
        <v>44493.65</v>
      </c>
      <c r="U3933" t="s">
        <v>9430</v>
      </c>
      <c r="V3933" t="s">
        <v>9409</v>
      </c>
      <c r="W3933" t="s">
        <v>423</v>
      </c>
    </row>
    <row r="3934" spans="1:23" hidden="1" x14ac:dyDescent="0.2">
      <c r="A3934">
        <v>2012</v>
      </c>
      <c r="B3934" t="s">
        <v>304</v>
      </c>
      <c r="C3934" s="733">
        <v>40963.406875000001</v>
      </c>
      <c r="D39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34" t="s">
        <v>478</v>
      </c>
      <c r="F3934" t="s">
        <v>2622</v>
      </c>
      <c r="G3934" t="s">
        <v>9054</v>
      </c>
      <c r="H3934">
        <v>35983</v>
      </c>
      <c r="I3934" t="s">
        <v>423</v>
      </c>
      <c r="J3934" t="s">
        <v>2624</v>
      </c>
      <c r="K3934" t="s">
        <v>2625</v>
      </c>
      <c r="L3934" t="s">
        <v>2626</v>
      </c>
      <c r="M3934">
        <v>10</v>
      </c>
      <c r="N3934">
        <v>23.19</v>
      </c>
      <c r="O3934">
        <v>2616.9899999999998</v>
      </c>
      <c r="P3934">
        <v>0</v>
      </c>
      <c r="Q3934">
        <v>2616.9899999999998</v>
      </c>
      <c r="R3934">
        <v>418.72</v>
      </c>
      <c r="S3934">
        <v>104.68</v>
      </c>
      <c r="T3934">
        <v>2931.03</v>
      </c>
      <c r="U3934" t="s">
        <v>9428</v>
      </c>
      <c r="V3934" t="s">
        <v>9408</v>
      </c>
      <c r="W3934" t="s">
        <v>423</v>
      </c>
    </row>
    <row r="3935" spans="1:23" hidden="1" x14ac:dyDescent="0.2">
      <c r="A3935">
        <v>2012</v>
      </c>
      <c r="B3935" t="s">
        <v>303</v>
      </c>
      <c r="C3935" s="733">
        <v>40914.877858796295</v>
      </c>
      <c r="D39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35" t="s">
        <v>478</v>
      </c>
      <c r="F3935" t="s">
        <v>2622</v>
      </c>
      <c r="G3935" t="s">
        <v>5799</v>
      </c>
      <c r="H3935">
        <v>34297</v>
      </c>
      <c r="I3935" t="s">
        <v>423</v>
      </c>
      <c r="J3935" t="s">
        <v>2624</v>
      </c>
      <c r="K3935" t="s">
        <v>2625</v>
      </c>
      <c r="L3935" t="s">
        <v>2626</v>
      </c>
      <c r="M3935">
        <v>10</v>
      </c>
      <c r="N3935">
        <v>23.88</v>
      </c>
      <c r="O3935">
        <v>2694.86</v>
      </c>
      <c r="P3935">
        <v>0</v>
      </c>
      <c r="Q3935">
        <v>2694.86</v>
      </c>
      <c r="R3935">
        <v>431.18</v>
      </c>
      <c r="S3935">
        <v>107.79</v>
      </c>
      <c r="T3935">
        <v>3018.25</v>
      </c>
      <c r="U3935" t="s">
        <v>2635</v>
      </c>
      <c r="V3935" t="s">
        <v>9408</v>
      </c>
      <c r="W3935" t="s">
        <v>423</v>
      </c>
    </row>
    <row r="3936" spans="1:23" hidden="1" x14ac:dyDescent="0.2">
      <c r="A3936">
        <v>2012</v>
      </c>
      <c r="B3936" t="s">
        <v>303</v>
      </c>
      <c r="C3936" s="733">
        <v>40924.946979166663</v>
      </c>
      <c r="D39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36" t="s">
        <v>478</v>
      </c>
      <c r="F3936" t="s">
        <v>2622</v>
      </c>
      <c r="G3936" t="s">
        <v>5221</v>
      </c>
      <c r="H3936">
        <v>34578</v>
      </c>
      <c r="I3936" t="s">
        <v>423</v>
      </c>
      <c r="J3936" t="s">
        <v>2624</v>
      </c>
      <c r="K3936" t="s">
        <v>2625</v>
      </c>
      <c r="L3936" t="s">
        <v>2626</v>
      </c>
      <c r="M3936">
        <v>10</v>
      </c>
      <c r="N3936">
        <v>25.28</v>
      </c>
      <c r="O3936">
        <v>2852.85</v>
      </c>
      <c r="P3936">
        <v>0</v>
      </c>
      <c r="Q3936">
        <v>2852.85</v>
      </c>
      <c r="R3936">
        <v>456.46</v>
      </c>
      <c r="S3936">
        <v>114.11</v>
      </c>
      <c r="T3936">
        <v>3195.2</v>
      </c>
      <c r="U3936" t="s">
        <v>2627</v>
      </c>
      <c r="V3936" t="s">
        <v>9408</v>
      </c>
      <c r="W3936" t="s">
        <v>423</v>
      </c>
    </row>
    <row r="3937" spans="1:23" hidden="1" x14ac:dyDescent="0.2">
      <c r="A3937">
        <v>2012</v>
      </c>
      <c r="B3937" t="s">
        <v>304</v>
      </c>
      <c r="C3937" s="733">
        <v>40946.735324074078</v>
      </c>
      <c r="D39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37" t="s">
        <v>478</v>
      </c>
      <c r="F3937" t="s">
        <v>2622</v>
      </c>
      <c r="G3937" t="s">
        <v>5215</v>
      </c>
      <c r="H3937">
        <v>35377</v>
      </c>
      <c r="I3937" t="s">
        <v>423</v>
      </c>
      <c r="J3937" t="s">
        <v>2624</v>
      </c>
      <c r="K3937" t="s">
        <v>2625</v>
      </c>
      <c r="L3937" t="s">
        <v>2626</v>
      </c>
      <c r="M3937">
        <v>10</v>
      </c>
      <c r="N3937">
        <v>25.13</v>
      </c>
      <c r="O3937">
        <v>2835.92</v>
      </c>
      <c r="P3937">
        <v>0</v>
      </c>
      <c r="Q3937">
        <v>2835.92</v>
      </c>
      <c r="R3937">
        <v>453.75</v>
      </c>
      <c r="S3937">
        <v>113.44</v>
      </c>
      <c r="T3937">
        <v>3176.23</v>
      </c>
      <c r="V3937" t="s">
        <v>9408</v>
      </c>
      <c r="W3937" t="s">
        <v>423</v>
      </c>
    </row>
    <row r="3938" spans="1:23" hidden="1" x14ac:dyDescent="0.2">
      <c r="A3938">
        <v>2012</v>
      </c>
      <c r="B3938" t="s">
        <v>303</v>
      </c>
      <c r="C3938" s="733">
        <v>40939.463888888888</v>
      </c>
      <c r="D39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38" t="s">
        <v>478</v>
      </c>
      <c r="F3938" t="s">
        <v>2622</v>
      </c>
      <c r="G3938" t="s">
        <v>5216</v>
      </c>
      <c r="H3938">
        <v>35102</v>
      </c>
      <c r="I3938" t="s">
        <v>423</v>
      </c>
      <c r="J3938" t="s">
        <v>2624</v>
      </c>
      <c r="K3938" t="s">
        <v>2625</v>
      </c>
      <c r="L3938" t="s">
        <v>2626</v>
      </c>
      <c r="M3938">
        <v>10</v>
      </c>
      <c r="N3938">
        <v>24.79</v>
      </c>
      <c r="O3938">
        <v>2797.55</v>
      </c>
      <c r="P3938">
        <v>0</v>
      </c>
      <c r="Q3938">
        <v>2797.55</v>
      </c>
      <c r="R3938">
        <v>447.61</v>
      </c>
      <c r="S3938">
        <v>111.9</v>
      </c>
      <c r="T3938">
        <v>3133.26</v>
      </c>
      <c r="U3938" t="s">
        <v>7548</v>
      </c>
      <c r="V3938" t="s">
        <v>9408</v>
      </c>
      <c r="W3938" t="s">
        <v>423</v>
      </c>
    </row>
    <row r="3939" spans="1:23" hidden="1" x14ac:dyDescent="0.2">
      <c r="A3939">
        <v>2012</v>
      </c>
      <c r="B3939" t="s">
        <v>304</v>
      </c>
      <c r="C3939" s="733">
        <v>40963</v>
      </c>
      <c r="D39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39" t="s">
        <v>478</v>
      </c>
      <c r="F3939" t="s">
        <v>2622</v>
      </c>
      <c r="G3939" t="s">
        <v>9057</v>
      </c>
      <c r="H3939">
        <v>35879</v>
      </c>
      <c r="I3939" t="s">
        <v>423</v>
      </c>
      <c r="J3939" t="s">
        <v>2668</v>
      </c>
      <c r="K3939" t="s">
        <v>2625</v>
      </c>
      <c r="L3939" t="s">
        <v>2626</v>
      </c>
      <c r="M3939">
        <v>76</v>
      </c>
      <c r="N3939">
        <v>21.75</v>
      </c>
      <c r="O3939">
        <v>2454.4899999999998</v>
      </c>
      <c r="P3939">
        <v>0</v>
      </c>
      <c r="Q3939">
        <v>2454.4899999999998</v>
      </c>
      <c r="R3939">
        <v>392.72</v>
      </c>
      <c r="S3939">
        <v>98.18</v>
      </c>
      <c r="T3939">
        <v>2749.03</v>
      </c>
      <c r="V3939" t="s">
        <v>9408</v>
      </c>
      <c r="W3939" t="s">
        <v>423</v>
      </c>
    </row>
    <row r="3940" spans="1:23" hidden="1" x14ac:dyDescent="0.2">
      <c r="A3940">
        <v>2012</v>
      </c>
      <c r="B3940" t="s">
        <v>304</v>
      </c>
      <c r="C3940" s="733">
        <v>40947</v>
      </c>
      <c r="D39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40" t="s">
        <v>478</v>
      </c>
      <c r="F3940" t="s">
        <v>2142</v>
      </c>
      <c r="G3940" t="s">
        <v>5224</v>
      </c>
      <c r="H3940">
        <v>35224</v>
      </c>
      <c r="I3940" t="s">
        <v>423</v>
      </c>
      <c r="J3940" t="s">
        <v>2639</v>
      </c>
      <c r="K3940" t="s">
        <v>2640</v>
      </c>
      <c r="L3940" t="s">
        <v>2641</v>
      </c>
      <c r="M3940">
        <v>274</v>
      </c>
      <c r="N3940">
        <v>54.99</v>
      </c>
      <c r="O3940">
        <v>7068.41</v>
      </c>
      <c r="P3940">
        <v>0</v>
      </c>
      <c r="Q3940">
        <v>7068.41</v>
      </c>
      <c r="R3940">
        <v>1130.95</v>
      </c>
      <c r="S3940">
        <v>282.74</v>
      </c>
      <c r="T3940">
        <v>7916.62</v>
      </c>
      <c r="U3940" t="s">
        <v>2887</v>
      </c>
      <c r="V3940" t="s">
        <v>9409</v>
      </c>
      <c r="W3940" t="s">
        <v>423</v>
      </c>
    </row>
    <row r="3941" spans="1:23" hidden="1" x14ac:dyDescent="0.2">
      <c r="A3941">
        <v>2012</v>
      </c>
      <c r="B3941" t="s">
        <v>303</v>
      </c>
      <c r="C3941" s="733">
        <v>40926</v>
      </c>
      <c r="D39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41" t="s">
        <v>478</v>
      </c>
      <c r="F3941" t="s">
        <v>2142</v>
      </c>
      <c r="G3941" t="s">
        <v>5222</v>
      </c>
      <c r="H3941">
        <v>34466</v>
      </c>
      <c r="I3941" t="s">
        <v>423</v>
      </c>
      <c r="J3941" t="s">
        <v>2639</v>
      </c>
      <c r="K3941" t="s">
        <v>2640</v>
      </c>
      <c r="L3941" t="s">
        <v>2641</v>
      </c>
      <c r="M3941">
        <v>274</v>
      </c>
      <c r="N3941">
        <v>55.22</v>
      </c>
      <c r="O3941">
        <v>7097.98</v>
      </c>
      <c r="P3941">
        <v>0</v>
      </c>
      <c r="Q3941">
        <v>7097.98</v>
      </c>
      <c r="R3941">
        <v>1135.68</v>
      </c>
      <c r="S3941">
        <v>283.92</v>
      </c>
      <c r="T3941">
        <v>7949.74</v>
      </c>
      <c r="U3941" t="s">
        <v>2992</v>
      </c>
      <c r="V3941" t="s">
        <v>9409</v>
      </c>
      <c r="W3941" t="s">
        <v>423</v>
      </c>
    </row>
    <row r="3942" spans="1:23" hidden="1" x14ac:dyDescent="0.2">
      <c r="A3942">
        <v>2012</v>
      </c>
      <c r="B3942" t="s">
        <v>304</v>
      </c>
      <c r="C3942" s="733">
        <v>40961</v>
      </c>
      <c r="D39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42" t="s">
        <v>485</v>
      </c>
      <c r="F3942" t="s">
        <v>2065</v>
      </c>
      <c r="G3942" t="s">
        <v>8413</v>
      </c>
      <c r="H3942">
        <v>41327</v>
      </c>
      <c r="I3942" t="s">
        <v>423</v>
      </c>
      <c r="J3942" t="s">
        <v>4093</v>
      </c>
      <c r="K3942" t="s">
        <v>2051</v>
      </c>
      <c r="L3942" t="s">
        <v>2052</v>
      </c>
      <c r="M3942">
        <v>647</v>
      </c>
      <c r="N3942">
        <v>54.1</v>
      </c>
      <c r="O3942">
        <v>20467.650000000001</v>
      </c>
      <c r="P3942">
        <v>0</v>
      </c>
      <c r="Q3942">
        <v>20467.650000000001</v>
      </c>
      <c r="R3942">
        <v>3274.82</v>
      </c>
      <c r="S3942">
        <v>818.71</v>
      </c>
      <c r="T3942">
        <v>22923.759999999998</v>
      </c>
      <c r="U3942" t="s">
        <v>8780</v>
      </c>
      <c r="V3942" t="s">
        <v>9409</v>
      </c>
      <c r="W3942" t="s">
        <v>423</v>
      </c>
    </row>
    <row r="3943" spans="1:23" hidden="1" x14ac:dyDescent="0.2">
      <c r="A3943">
        <v>2012</v>
      </c>
      <c r="B3943" t="s">
        <v>304</v>
      </c>
      <c r="C3943" s="733">
        <v>40966</v>
      </c>
      <c r="D39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43" t="s">
        <v>485</v>
      </c>
      <c r="F3943" t="s">
        <v>2054</v>
      </c>
      <c r="G3943" t="s">
        <v>9055</v>
      </c>
      <c r="H3943">
        <v>42611</v>
      </c>
      <c r="I3943" t="s">
        <v>423</v>
      </c>
      <c r="J3943" t="s">
        <v>4093</v>
      </c>
      <c r="K3943" t="s">
        <v>2051</v>
      </c>
      <c r="L3943" t="s">
        <v>2052</v>
      </c>
      <c r="M3943">
        <v>647</v>
      </c>
      <c r="N3943">
        <v>51.65</v>
      </c>
      <c r="O3943">
        <v>19540.740000000002</v>
      </c>
      <c r="P3943">
        <v>0</v>
      </c>
      <c r="Q3943">
        <v>19540.740000000002</v>
      </c>
      <c r="R3943">
        <v>3126.52</v>
      </c>
      <c r="S3943">
        <v>781.63</v>
      </c>
      <c r="T3943">
        <v>21885.63</v>
      </c>
      <c r="V3943" t="s">
        <v>9409</v>
      </c>
      <c r="W3943" t="s">
        <v>423</v>
      </c>
    </row>
    <row r="3944" spans="1:23" hidden="1" x14ac:dyDescent="0.2">
      <c r="A3944">
        <v>2012</v>
      </c>
      <c r="B3944" t="s">
        <v>304</v>
      </c>
      <c r="C3944" s="733">
        <v>40963</v>
      </c>
      <c r="D39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44" t="s">
        <v>485</v>
      </c>
      <c r="F3944" t="s">
        <v>2048</v>
      </c>
      <c r="G3944" t="s">
        <v>8772</v>
      </c>
      <c r="H3944">
        <v>42617</v>
      </c>
      <c r="I3944" t="s">
        <v>423</v>
      </c>
      <c r="J3944" t="s">
        <v>4093</v>
      </c>
      <c r="K3944" t="s">
        <v>2051</v>
      </c>
      <c r="L3944" t="s">
        <v>2052</v>
      </c>
      <c r="M3944">
        <v>647</v>
      </c>
      <c r="N3944">
        <v>25.75</v>
      </c>
      <c r="O3944">
        <v>9742</v>
      </c>
      <c r="P3944">
        <v>0</v>
      </c>
      <c r="Q3944">
        <v>9742</v>
      </c>
      <c r="R3944">
        <v>1558.72</v>
      </c>
      <c r="S3944">
        <v>389.68</v>
      </c>
      <c r="T3944">
        <v>10911.04</v>
      </c>
      <c r="V3944" t="s">
        <v>9408</v>
      </c>
      <c r="W3944" t="s">
        <v>423</v>
      </c>
    </row>
    <row r="3945" spans="1:23" hidden="1" x14ac:dyDescent="0.2">
      <c r="A3945">
        <v>2012</v>
      </c>
      <c r="B3945" t="s">
        <v>303</v>
      </c>
      <c r="C3945" s="733">
        <v>40927</v>
      </c>
      <c r="D39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45" t="s">
        <v>478</v>
      </c>
      <c r="F3945" t="s">
        <v>2622</v>
      </c>
      <c r="G3945" t="s">
        <v>5806</v>
      </c>
      <c r="H3945">
        <v>34637</v>
      </c>
      <c r="I3945" t="s">
        <v>423</v>
      </c>
      <c r="J3945" t="s">
        <v>2624</v>
      </c>
      <c r="K3945" t="s">
        <v>2625</v>
      </c>
      <c r="L3945" t="s">
        <v>2626</v>
      </c>
      <c r="M3945">
        <v>10</v>
      </c>
      <c r="N3945">
        <v>23.91</v>
      </c>
      <c r="O3945">
        <v>2698.24</v>
      </c>
      <c r="P3945">
        <v>0</v>
      </c>
      <c r="Q3945">
        <v>2698.24</v>
      </c>
      <c r="R3945">
        <v>431.72</v>
      </c>
      <c r="S3945">
        <v>107.93</v>
      </c>
      <c r="T3945">
        <v>3022.03</v>
      </c>
      <c r="U3945" t="s">
        <v>2627</v>
      </c>
      <c r="V3945" t="s">
        <v>9408</v>
      </c>
      <c r="W3945" t="s">
        <v>423</v>
      </c>
    </row>
    <row r="3946" spans="1:23" hidden="1" x14ac:dyDescent="0.2">
      <c r="A3946">
        <v>2012</v>
      </c>
      <c r="B3946" t="s">
        <v>304</v>
      </c>
      <c r="C3946" s="733">
        <v>40949</v>
      </c>
      <c r="D39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46" t="s">
        <v>485</v>
      </c>
      <c r="F3946" t="s">
        <v>2065</v>
      </c>
      <c r="G3946" t="s">
        <v>4830</v>
      </c>
      <c r="H3946">
        <v>41409</v>
      </c>
      <c r="I3946" t="s">
        <v>423</v>
      </c>
      <c r="J3946" t="s">
        <v>4533</v>
      </c>
      <c r="K3946" t="s">
        <v>2183</v>
      </c>
      <c r="L3946" t="s">
        <v>2184</v>
      </c>
      <c r="M3946">
        <v>253</v>
      </c>
      <c r="N3946">
        <v>27.05</v>
      </c>
      <c r="O3946">
        <v>5682.12</v>
      </c>
      <c r="P3946">
        <v>0</v>
      </c>
      <c r="Q3946">
        <v>5682.12</v>
      </c>
      <c r="R3946">
        <v>909.14</v>
      </c>
      <c r="S3946">
        <v>227.28</v>
      </c>
      <c r="T3946">
        <v>6363.98</v>
      </c>
      <c r="U3946" t="s">
        <v>8048</v>
      </c>
      <c r="V3946" t="s">
        <v>9408</v>
      </c>
      <c r="W3946" t="s">
        <v>423</v>
      </c>
    </row>
    <row r="3947" spans="1:23" hidden="1" x14ac:dyDescent="0.2">
      <c r="A3947">
        <v>2012</v>
      </c>
      <c r="B3947" t="s">
        <v>303</v>
      </c>
      <c r="C3947" s="733">
        <v>40919</v>
      </c>
      <c r="D39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47" t="s">
        <v>478</v>
      </c>
      <c r="F3947" t="s">
        <v>4128</v>
      </c>
      <c r="G3947" t="s">
        <v>4662</v>
      </c>
      <c r="H3947">
        <v>34402</v>
      </c>
      <c r="I3947" t="s">
        <v>423</v>
      </c>
      <c r="J3947" t="s">
        <v>4396</v>
      </c>
      <c r="K3947" t="s">
        <v>4397</v>
      </c>
      <c r="L3947" t="s">
        <v>4398</v>
      </c>
      <c r="M3947">
        <v>112</v>
      </c>
      <c r="N3947">
        <v>24.605</v>
      </c>
      <c r="O3947">
        <v>2777.17</v>
      </c>
      <c r="P3947">
        <v>0</v>
      </c>
      <c r="Q3947">
        <v>2777.17</v>
      </c>
      <c r="R3947">
        <v>444.35</v>
      </c>
      <c r="S3947">
        <v>111.09</v>
      </c>
      <c r="T3947">
        <v>3110.43</v>
      </c>
      <c r="U3947" t="s">
        <v>4399</v>
      </c>
      <c r="V3947" t="s">
        <v>9408</v>
      </c>
      <c r="W3947" t="s">
        <v>423</v>
      </c>
    </row>
    <row r="3948" spans="1:23" hidden="1" x14ac:dyDescent="0.2">
      <c r="A3948">
        <v>2012</v>
      </c>
      <c r="B3948" t="s">
        <v>304</v>
      </c>
      <c r="C3948" s="733">
        <v>40961</v>
      </c>
      <c r="D39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48" t="s">
        <v>478</v>
      </c>
      <c r="F3948" t="s">
        <v>2622</v>
      </c>
      <c r="G3948" t="s">
        <v>8412</v>
      </c>
      <c r="H3948">
        <v>35917</v>
      </c>
      <c r="I3948" t="s">
        <v>423</v>
      </c>
      <c r="J3948" t="s">
        <v>4289</v>
      </c>
      <c r="K3948" t="s">
        <v>425</v>
      </c>
      <c r="L3948" t="s">
        <v>2145</v>
      </c>
      <c r="M3948">
        <v>775</v>
      </c>
      <c r="N3948">
        <v>23.98</v>
      </c>
      <c r="O3948">
        <v>9182.66</v>
      </c>
      <c r="P3948">
        <v>0</v>
      </c>
      <c r="Q3948">
        <v>9182.66</v>
      </c>
      <c r="R3948">
        <v>1469.23</v>
      </c>
      <c r="S3948">
        <v>367.31</v>
      </c>
      <c r="T3948">
        <v>10284.58</v>
      </c>
      <c r="U3948" t="s">
        <v>9457</v>
      </c>
      <c r="V3948" t="s">
        <v>9408</v>
      </c>
      <c r="W3948" t="s">
        <v>423</v>
      </c>
    </row>
    <row r="3949" spans="1:23" hidden="1" x14ac:dyDescent="0.2">
      <c r="A3949">
        <v>2012</v>
      </c>
      <c r="B3949" t="s">
        <v>304</v>
      </c>
      <c r="C3949" s="733">
        <v>40957</v>
      </c>
      <c r="D39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49" t="s">
        <v>505</v>
      </c>
      <c r="F3949" t="s">
        <v>1915</v>
      </c>
      <c r="G3949" t="s">
        <v>7890</v>
      </c>
      <c r="H3949">
        <v>22776</v>
      </c>
      <c r="I3949" t="s">
        <v>423</v>
      </c>
      <c r="J3949" t="s">
        <v>4153</v>
      </c>
      <c r="K3949" t="s">
        <v>1918</v>
      </c>
      <c r="L3949" t="s">
        <v>1919</v>
      </c>
      <c r="M3949">
        <v>850</v>
      </c>
      <c r="N3949">
        <v>49.8</v>
      </c>
      <c r="O3949">
        <v>31118.03</v>
      </c>
      <c r="P3949">
        <v>0</v>
      </c>
      <c r="Q3949">
        <v>31118.03</v>
      </c>
      <c r="R3949">
        <v>4978.88</v>
      </c>
      <c r="S3949">
        <v>1244.72</v>
      </c>
      <c r="T3949">
        <v>34852.19</v>
      </c>
      <c r="U3949" t="s">
        <v>8491</v>
      </c>
      <c r="V3949" t="s">
        <v>9409</v>
      </c>
      <c r="W3949" t="s">
        <v>423</v>
      </c>
    </row>
    <row r="3950" spans="1:23" hidden="1" x14ac:dyDescent="0.2">
      <c r="A3950">
        <v>2012</v>
      </c>
      <c r="B3950" t="s">
        <v>304</v>
      </c>
      <c r="C3950" s="733">
        <v>40957</v>
      </c>
      <c r="D39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50" t="s">
        <v>505</v>
      </c>
      <c r="F3950" t="s">
        <v>1915</v>
      </c>
      <c r="G3950" t="s">
        <v>7969</v>
      </c>
      <c r="H3950">
        <v>22835</v>
      </c>
      <c r="I3950" t="s">
        <v>423</v>
      </c>
      <c r="J3950" t="s">
        <v>3207</v>
      </c>
      <c r="K3950" t="s">
        <v>1918</v>
      </c>
      <c r="L3950" t="s">
        <v>1919</v>
      </c>
      <c r="M3950">
        <v>334</v>
      </c>
      <c r="N3950">
        <v>49.97</v>
      </c>
      <c r="O3950">
        <v>31224.25</v>
      </c>
      <c r="P3950">
        <v>0</v>
      </c>
      <c r="Q3950">
        <v>31224.25</v>
      </c>
      <c r="R3950">
        <v>4995.88</v>
      </c>
      <c r="S3950">
        <v>1248.97</v>
      </c>
      <c r="T3950">
        <v>34971.160000000003</v>
      </c>
      <c r="U3950" t="s">
        <v>8491</v>
      </c>
      <c r="V3950" t="s">
        <v>9409</v>
      </c>
      <c r="W3950" t="s">
        <v>423</v>
      </c>
    </row>
    <row r="3951" spans="1:23" hidden="1" x14ac:dyDescent="0.2">
      <c r="A3951">
        <v>2012</v>
      </c>
      <c r="B3951" t="s">
        <v>304</v>
      </c>
      <c r="C3951" s="733">
        <v>40954</v>
      </c>
      <c r="D39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51" t="s">
        <v>485</v>
      </c>
      <c r="F3951" t="s">
        <v>2065</v>
      </c>
      <c r="G3951" t="s">
        <v>7466</v>
      </c>
      <c r="H3951">
        <v>41805</v>
      </c>
      <c r="I3951" t="s">
        <v>423</v>
      </c>
      <c r="J3951" t="s">
        <v>2139</v>
      </c>
      <c r="K3951" t="s">
        <v>2102</v>
      </c>
      <c r="L3951" t="s">
        <v>2115</v>
      </c>
      <c r="M3951">
        <v>543</v>
      </c>
      <c r="N3951">
        <v>51.8</v>
      </c>
      <c r="O3951">
        <v>17417.75</v>
      </c>
      <c r="P3951">
        <v>0</v>
      </c>
      <c r="Q3951">
        <v>17417.75</v>
      </c>
      <c r="R3951">
        <v>2786.84</v>
      </c>
      <c r="S3951">
        <v>696.71</v>
      </c>
      <c r="T3951">
        <v>19507.88</v>
      </c>
      <c r="U3951" t="s">
        <v>8051</v>
      </c>
      <c r="V3951" t="s">
        <v>9409</v>
      </c>
      <c r="W3951" t="s">
        <v>423</v>
      </c>
    </row>
    <row r="3952" spans="1:23" hidden="1" x14ac:dyDescent="0.2">
      <c r="A3952">
        <v>2012</v>
      </c>
      <c r="B3952" t="s">
        <v>303</v>
      </c>
      <c r="C3952" s="733">
        <v>40927</v>
      </c>
      <c r="D39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52" t="s">
        <v>485</v>
      </c>
      <c r="F3952" t="s">
        <v>2065</v>
      </c>
      <c r="G3952" t="s">
        <v>3015</v>
      </c>
      <c r="H3952">
        <v>40422</v>
      </c>
      <c r="I3952" t="s">
        <v>423</v>
      </c>
      <c r="J3952" t="s">
        <v>2139</v>
      </c>
      <c r="K3952" t="s">
        <v>2102</v>
      </c>
      <c r="L3952" t="s">
        <v>2184</v>
      </c>
      <c r="M3952">
        <v>543</v>
      </c>
      <c r="N3952">
        <v>47.99</v>
      </c>
      <c r="O3952">
        <v>16136.64</v>
      </c>
      <c r="P3952">
        <v>0</v>
      </c>
      <c r="Q3952">
        <v>16136.64</v>
      </c>
      <c r="R3952">
        <v>2581.86</v>
      </c>
      <c r="S3952">
        <v>645.47</v>
      </c>
      <c r="T3952">
        <v>18073.03</v>
      </c>
      <c r="U3952" t="s">
        <v>2108</v>
      </c>
      <c r="V3952" t="s">
        <v>9409</v>
      </c>
      <c r="W3952" t="s">
        <v>423</v>
      </c>
    </row>
    <row r="3953" spans="1:23" hidden="1" x14ac:dyDescent="0.2">
      <c r="A3953">
        <v>2012</v>
      </c>
      <c r="B3953" t="s">
        <v>303</v>
      </c>
      <c r="C3953" s="733">
        <v>40938</v>
      </c>
      <c r="D39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53" t="s">
        <v>485</v>
      </c>
      <c r="F3953" t="s">
        <v>2065</v>
      </c>
      <c r="G3953" t="s">
        <v>3904</v>
      </c>
      <c r="H3953">
        <v>41098</v>
      </c>
      <c r="I3953" t="s">
        <v>423</v>
      </c>
      <c r="J3953" t="s">
        <v>2196</v>
      </c>
      <c r="K3953" t="s">
        <v>2183</v>
      </c>
      <c r="L3953" t="s">
        <v>2184</v>
      </c>
      <c r="M3953">
        <v>10</v>
      </c>
      <c r="N3953">
        <v>24.79</v>
      </c>
      <c r="O3953">
        <v>2798.05</v>
      </c>
      <c r="P3953">
        <v>0</v>
      </c>
      <c r="Q3953">
        <v>2798.05</v>
      </c>
      <c r="R3953">
        <v>447.69</v>
      </c>
      <c r="S3953">
        <v>111.92</v>
      </c>
      <c r="T3953">
        <v>3133.82</v>
      </c>
      <c r="U3953" t="s">
        <v>2187</v>
      </c>
      <c r="V3953" t="s">
        <v>9408</v>
      </c>
      <c r="W3953" t="s">
        <v>423</v>
      </c>
    </row>
    <row r="3954" spans="1:23" hidden="1" x14ac:dyDescent="0.2">
      <c r="A3954">
        <v>2012</v>
      </c>
      <c r="B3954" t="s">
        <v>303</v>
      </c>
      <c r="C3954" s="733">
        <v>40926</v>
      </c>
      <c r="D39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54" t="s">
        <v>485</v>
      </c>
      <c r="F3954" t="s">
        <v>2065</v>
      </c>
      <c r="G3954" t="s">
        <v>3917</v>
      </c>
      <c r="H3954">
        <v>39873</v>
      </c>
      <c r="I3954" t="s">
        <v>423</v>
      </c>
      <c r="J3954" t="s">
        <v>2196</v>
      </c>
      <c r="K3954" t="s">
        <v>2183</v>
      </c>
      <c r="L3954" t="s">
        <v>2184</v>
      </c>
      <c r="M3954">
        <v>10</v>
      </c>
      <c r="N3954">
        <v>25.56</v>
      </c>
      <c r="O3954">
        <v>2884.96</v>
      </c>
      <c r="P3954">
        <v>0</v>
      </c>
      <c r="Q3954">
        <v>2884.96</v>
      </c>
      <c r="R3954">
        <v>461.59</v>
      </c>
      <c r="S3954">
        <v>115.4</v>
      </c>
      <c r="T3954">
        <v>3231.15</v>
      </c>
      <c r="U3954" t="s">
        <v>7554</v>
      </c>
      <c r="V3954" t="s">
        <v>9408</v>
      </c>
      <c r="W3954" t="s">
        <v>423</v>
      </c>
    </row>
    <row r="3955" spans="1:23" hidden="1" x14ac:dyDescent="0.2">
      <c r="A3955">
        <v>2012</v>
      </c>
      <c r="B3955" t="s">
        <v>304</v>
      </c>
      <c r="C3955" s="733">
        <v>40955</v>
      </c>
      <c r="D39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55" t="s">
        <v>478</v>
      </c>
      <c r="F3955" t="s">
        <v>2136</v>
      </c>
      <c r="G3955" t="s">
        <v>7852</v>
      </c>
      <c r="H3955">
        <v>35681</v>
      </c>
      <c r="I3955" t="s">
        <v>423</v>
      </c>
      <c r="J3955" t="s">
        <v>4285</v>
      </c>
      <c r="K3955" t="s">
        <v>425</v>
      </c>
      <c r="L3955" t="s">
        <v>2145</v>
      </c>
      <c r="M3955">
        <v>110</v>
      </c>
      <c r="N3955">
        <v>22.08</v>
      </c>
      <c r="O3955">
        <v>3593.52</v>
      </c>
      <c r="P3955">
        <v>0</v>
      </c>
      <c r="Q3955">
        <v>3593.52</v>
      </c>
      <c r="R3955">
        <v>574.96</v>
      </c>
      <c r="S3955">
        <v>143.74</v>
      </c>
      <c r="T3955">
        <v>4024.74</v>
      </c>
      <c r="U3955" t="s">
        <v>7523</v>
      </c>
      <c r="V3955" t="s">
        <v>9409</v>
      </c>
      <c r="W3955" t="s">
        <v>423</v>
      </c>
    </row>
    <row r="3956" spans="1:23" hidden="1" x14ac:dyDescent="0.2">
      <c r="A3956">
        <v>2012</v>
      </c>
      <c r="B3956" t="s">
        <v>303</v>
      </c>
      <c r="C3956" s="733">
        <v>40939.38925925926</v>
      </c>
      <c r="D39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56" t="s">
        <v>478</v>
      </c>
      <c r="F3956" t="s">
        <v>2136</v>
      </c>
      <c r="G3956" t="s">
        <v>5313</v>
      </c>
      <c r="H3956">
        <v>35111</v>
      </c>
      <c r="I3956" t="s">
        <v>423</v>
      </c>
      <c r="J3956" t="s">
        <v>4285</v>
      </c>
      <c r="K3956" t="s">
        <v>425</v>
      </c>
      <c r="L3956" t="s">
        <v>2145</v>
      </c>
      <c r="M3956">
        <v>110</v>
      </c>
      <c r="N3956">
        <v>35.28</v>
      </c>
      <c r="O3956">
        <v>5741.82</v>
      </c>
      <c r="P3956">
        <v>0</v>
      </c>
      <c r="Q3956">
        <v>5741.82</v>
      </c>
      <c r="R3956">
        <v>918.69</v>
      </c>
      <c r="S3956">
        <v>229.67</v>
      </c>
      <c r="T3956">
        <v>6430.84</v>
      </c>
      <c r="U3956" t="s">
        <v>2914</v>
      </c>
      <c r="V3956" t="s">
        <v>9408</v>
      </c>
      <c r="W3956" t="s">
        <v>423</v>
      </c>
    </row>
    <row r="3957" spans="1:23" hidden="1" x14ac:dyDescent="0.2">
      <c r="A3957">
        <v>2012</v>
      </c>
      <c r="B3957" t="s">
        <v>304</v>
      </c>
      <c r="C3957" s="733">
        <v>40942</v>
      </c>
      <c r="D39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57" t="s">
        <v>485</v>
      </c>
      <c r="F3957" t="s">
        <v>2065</v>
      </c>
      <c r="G3957" t="s">
        <v>3906</v>
      </c>
      <c r="H3957">
        <v>41362</v>
      </c>
      <c r="I3957" t="s">
        <v>423</v>
      </c>
      <c r="J3957" t="s">
        <v>2196</v>
      </c>
      <c r="K3957" t="s">
        <v>2183</v>
      </c>
      <c r="L3957" t="s">
        <v>2184</v>
      </c>
      <c r="M3957">
        <v>10</v>
      </c>
      <c r="N3957">
        <v>28.22</v>
      </c>
      <c r="O3957">
        <v>3185.19</v>
      </c>
      <c r="P3957">
        <v>0</v>
      </c>
      <c r="Q3957">
        <v>3185.19</v>
      </c>
      <c r="R3957">
        <v>509.63</v>
      </c>
      <c r="S3957">
        <v>127.41</v>
      </c>
      <c r="T3957">
        <v>3567.41</v>
      </c>
      <c r="U3957" t="s">
        <v>2192</v>
      </c>
      <c r="V3957" t="s">
        <v>9408</v>
      </c>
      <c r="W3957" t="s">
        <v>423</v>
      </c>
    </row>
    <row r="3958" spans="1:23" hidden="1" x14ac:dyDescent="0.2">
      <c r="A3958">
        <v>2012</v>
      </c>
      <c r="B3958" t="s">
        <v>303</v>
      </c>
      <c r="C3958" s="733">
        <v>40920.427199074074</v>
      </c>
      <c r="D39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58" t="s">
        <v>485</v>
      </c>
      <c r="F3958" t="s">
        <v>2065</v>
      </c>
      <c r="G3958" t="s">
        <v>3921</v>
      </c>
      <c r="H3958">
        <v>40188</v>
      </c>
      <c r="I3958" t="s">
        <v>423</v>
      </c>
      <c r="J3958" t="s">
        <v>2196</v>
      </c>
      <c r="K3958" t="s">
        <v>2183</v>
      </c>
      <c r="L3958" t="s">
        <v>2184</v>
      </c>
      <c r="M3958">
        <v>10</v>
      </c>
      <c r="N3958">
        <v>22.74</v>
      </c>
      <c r="O3958">
        <v>2566.66</v>
      </c>
      <c r="P3958">
        <v>0</v>
      </c>
      <c r="Q3958">
        <v>2566.66</v>
      </c>
      <c r="R3958">
        <v>410.67</v>
      </c>
      <c r="S3958">
        <v>102.67</v>
      </c>
      <c r="T3958">
        <v>2874.66</v>
      </c>
      <c r="U3958" t="s">
        <v>7520</v>
      </c>
      <c r="V3958" t="s">
        <v>9408</v>
      </c>
      <c r="W3958" t="s">
        <v>423</v>
      </c>
    </row>
    <row r="3959" spans="1:23" hidden="1" x14ac:dyDescent="0.2">
      <c r="A3959">
        <v>2012</v>
      </c>
      <c r="B3959" t="s">
        <v>304</v>
      </c>
      <c r="C3959" s="733">
        <v>40959</v>
      </c>
      <c r="D39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59" t="s">
        <v>485</v>
      </c>
      <c r="F3959" t="s">
        <v>2065</v>
      </c>
      <c r="G3959" t="s">
        <v>7808</v>
      </c>
      <c r="H3959">
        <v>42185</v>
      </c>
      <c r="I3959" t="s">
        <v>423</v>
      </c>
      <c r="J3959" t="s">
        <v>2196</v>
      </c>
      <c r="K3959" t="s">
        <v>2183</v>
      </c>
      <c r="L3959" t="s">
        <v>2184</v>
      </c>
      <c r="M3959">
        <v>10</v>
      </c>
      <c r="N3959">
        <v>50.03</v>
      </c>
      <c r="O3959">
        <v>5646.89</v>
      </c>
      <c r="P3959">
        <v>0</v>
      </c>
      <c r="Q3959">
        <v>5646.89</v>
      </c>
      <c r="R3959">
        <v>903.5</v>
      </c>
      <c r="S3959">
        <v>225.88</v>
      </c>
      <c r="T3959">
        <v>6324.51</v>
      </c>
      <c r="U3959" t="s">
        <v>9411</v>
      </c>
      <c r="V3959" t="s">
        <v>9409</v>
      </c>
      <c r="W3959" t="s">
        <v>423</v>
      </c>
    </row>
    <row r="3960" spans="1:23" hidden="1" x14ac:dyDescent="0.2">
      <c r="A3960">
        <v>2012</v>
      </c>
      <c r="B3960" t="s">
        <v>303</v>
      </c>
      <c r="C3960" s="733">
        <v>40934</v>
      </c>
      <c r="D39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60" t="s">
        <v>485</v>
      </c>
      <c r="F3960" t="s">
        <v>2065</v>
      </c>
      <c r="G3960" t="s">
        <v>3913</v>
      </c>
      <c r="H3960">
        <v>40811</v>
      </c>
      <c r="I3960" t="s">
        <v>423</v>
      </c>
      <c r="J3960" t="s">
        <v>2196</v>
      </c>
      <c r="K3960" t="s">
        <v>2183</v>
      </c>
      <c r="L3960" t="s">
        <v>2184</v>
      </c>
      <c r="M3960">
        <v>10</v>
      </c>
      <c r="N3960">
        <v>49.73</v>
      </c>
      <c r="O3960">
        <v>5613.03</v>
      </c>
      <c r="P3960">
        <v>0</v>
      </c>
      <c r="Q3960">
        <v>5613.03</v>
      </c>
      <c r="R3960">
        <v>898.08</v>
      </c>
      <c r="S3960">
        <v>224.52</v>
      </c>
      <c r="T3960">
        <v>6286.59</v>
      </c>
      <c r="U3960" t="s">
        <v>2187</v>
      </c>
      <c r="V3960" t="s">
        <v>9409</v>
      </c>
      <c r="W3960" t="s">
        <v>423</v>
      </c>
    </row>
    <row r="3961" spans="1:23" hidden="1" x14ac:dyDescent="0.2">
      <c r="A3961">
        <v>2012</v>
      </c>
      <c r="B3961" t="s">
        <v>303</v>
      </c>
      <c r="C3961" s="733">
        <v>40918</v>
      </c>
      <c r="D39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61" t="s">
        <v>485</v>
      </c>
      <c r="F3961" t="s">
        <v>2065</v>
      </c>
      <c r="G3961" t="s">
        <v>3908</v>
      </c>
      <c r="H3961">
        <v>39973</v>
      </c>
      <c r="I3961" t="s">
        <v>423</v>
      </c>
      <c r="J3961" t="s">
        <v>2196</v>
      </c>
      <c r="K3961" t="s">
        <v>2183</v>
      </c>
      <c r="L3961" t="s">
        <v>2184</v>
      </c>
      <c r="M3961">
        <v>10</v>
      </c>
      <c r="N3961">
        <v>26.52</v>
      </c>
      <c r="O3961">
        <v>2993.31</v>
      </c>
      <c r="P3961">
        <v>0</v>
      </c>
      <c r="Q3961">
        <v>2993.31</v>
      </c>
      <c r="R3961">
        <v>478.93</v>
      </c>
      <c r="S3961">
        <v>119.73</v>
      </c>
      <c r="T3961">
        <v>3352.51</v>
      </c>
      <c r="U3961" t="s">
        <v>9411</v>
      </c>
      <c r="V3961" t="s">
        <v>9408</v>
      </c>
      <c r="W3961" t="s">
        <v>423</v>
      </c>
    </row>
    <row r="3962" spans="1:23" hidden="1" x14ac:dyDescent="0.2">
      <c r="A3962">
        <v>2012</v>
      </c>
      <c r="B3962" t="s">
        <v>303</v>
      </c>
      <c r="C3962" s="733">
        <v>40926</v>
      </c>
      <c r="D39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62" t="s">
        <v>485</v>
      </c>
      <c r="F3962" t="s">
        <v>2065</v>
      </c>
      <c r="G3962" t="s">
        <v>3912</v>
      </c>
      <c r="H3962">
        <v>40446</v>
      </c>
      <c r="I3962" t="s">
        <v>423</v>
      </c>
      <c r="J3962" t="s">
        <v>2196</v>
      </c>
      <c r="K3962" t="s">
        <v>2183</v>
      </c>
      <c r="L3962" t="s">
        <v>2184</v>
      </c>
      <c r="M3962">
        <v>10</v>
      </c>
      <c r="N3962">
        <v>25.13</v>
      </c>
      <c r="O3962">
        <v>2836.42</v>
      </c>
      <c r="P3962">
        <v>0</v>
      </c>
      <c r="Q3962">
        <v>2836.42</v>
      </c>
      <c r="R3962">
        <v>453.83</v>
      </c>
      <c r="S3962">
        <v>113.46</v>
      </c>
      <c r="T3962">
        <v>3176.79</v>
      </c>
      <c r="U3962" t="s">
        <v>7554</v>
      </c>
      <c r="V3962" t="s">
        <v>9408</v>
      </c>
      <c r="W3962" t="s">
        <v>423</v>
      </c>
    </row>
    <row r="3963" spans="1:23" hidden="1" x14ac:dyDescent="0.2">
      <c r="A3963">
        <v>2012</v>
      </c>
      <c r="B3963" t="s">
        <v>303</v>
      </c>
      <c r="C3963" s="733">
        <v>40928</v>
      </c>
      <c r="D39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63" t="s">
        <v>485</v>
      </c>
      <c r="F3963" t="s">
        <v>2065</v>
      </c>
      <c r="G3963" t="s">
        <v>3907</v>
      </c>
      <c r="H3963">
        <v>40547</v>
      </c>
      <c r="I3963" t="s">
        <v>423</v>
      </c>
      <c r="J3963" t="s">
        <v>2196</v>
      </c>
      <c r="K3963" t="s">
        <v>2183</v>
      </c>
      <c r="L3963" t="s">
        <v>2184</v>
      </c>
      <c r="M3963">
        <v>10</v>
      </c>
      <c r="N3963">
        <v>51.45</v>
      </c>
      <c r="O3963">
        <v>5807.16</v>
      </c>
      <c r="P3963">
        <v>0</v>
      </c>
      <c r="Q3963">
        <v>5807.16</v>
      </c>
      <c r="R3963">
        <v>929.15</v>
      </c>
      <c r="S3963">
        <v>232.29</v>
      </c>
      <c r="T3963">
        <v>6504.02</v>
      </c>
      <c r="U3963" t="s">
        <v>2187</v>
      </c>
      <c r="V3963" t="s">
        <v>9409</v>
      </c>
      <c r="W3963" t="s">
        <v>423</v>
      </c>
    </row>
    <row r="3964" spans="1:23" hidden="1" x14ac:dyDescent="0.2">
      <c r="A3964">
        <v>2012</v>
      </c>
      <c r="B3964" t="s">
        <v>304</v>
      </c>
      <c r="C3964" s="733">
        <v>40947</v>
      </c>
      <c r="D39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64" t="s">
        <v>485</v>
      </c>
      <c r="F3964" t="s">
        <v>2065</v>
      </c>
      <c r="G3964" t="s">
        <v>3905</v>
      </c>
      <c r="H3964">
        <v>41533</v>
      </c>
      <c r="I3964" t="s">
        <v>423</v>
      </c>
      <c r="J3964" t="s">
        <v>2196</v>
      </c>
      <c r="K3964" t="s">
        <v>2183</v>
      </c>
      <c r="L3964" t="s">
        <v>2184</v>
      </c>
      <c r="M3964">
        <v>10</v>
      </c>
      <c r="N3964">
        <v>16.12</v>
      </c>
      <c r="O3964">
        <v>1819.46</v>
      </c>
      <c r="P3964">
        <v>0</v>
      </c>
      <c r="Q3964">
        <v>1819.46</v>
      </c>
      <c r="R3964">
        <v>291.11</v>
      </c>
      <c r="S3964">
        <v>72.78</v>
      </c>
      <c r="T3964">
        <v>2037.79</v>
      </c>
      <c r="U3964" t="s">
        <v>2192</v>
      </c>
      <c r="V3964" t="s">
        <v>9408</v>
      </c>
      <c r="W3964" t="s">
        <v>423</v>
      </c>
    </row>
    <row r="3965" spans="1:23" hidden="1" x14ac:dyDescent="0.2">
      <c r="A3965">
        <v>2012</v>
      </c>
      <c r="B3965" t="s">
        <v>303</v>
      </c>
      <c r="C3965" s="733">
        <v>40921</v>
      </c>
      <c r="D39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65" t="s">
        <v>485</v>
      </c>
      <c r="F3965" t="s">
        <v>2065</v>
      </c>
      <c r="G3965" t="s">
        <v>3914</v>
      </c>
      <c r="H3965">
        <v>40227</v>
      </c>
      <c r="I3965" t="s">
        <v>423</v>
      </c>
      <c r="J3965" t="s">
        <v>2196</v>
      </c>
      <c r="K3965" t="s">
        <v>2183</v>
      </c>
      <c r="L3965" t="s">
        <v>2184</v>
      </c>
      <c r="M3965">
        <v>10</v>
      </c>
      <c r="N3965">
        <v>15.12</v>
      </c>
      <c r="O3965">
        <v>1706.59</v>
      </c>
      <c r="P3965">
        <v>0</v>
      </c>
      <c r="Q3965">
        <v>1706.59</v>
      </c>
      <c r="R3965">
        <v>273.06</v>
      </c>
      <c r="S3965">
        <v>68.260000000000005</v>
      </c>
      <c r="T3965">
        <v>1911.39</v>
      </c>
      <c r="U3965" t="s">
        <v>9411</v>
      </c>
      <c r="V3965" t="s">
        <v>9408</v>
      </c>
      <c r="W3965" t="s">
        <v>423</v>
      </c>
    </row>
    <row r="3966" spans="1:23" hidden="1" x14ac:dyDescent="0.2">
      <c r="A3966">
        <v>2012</v>
      </c>
      <c r="B3966" t="s">
        <v>304</v>
      </c>
      <c r="C3966" s="733">
        <v>40947</v>
      </c>
      <c r="D39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66" t="s">
        <v>485</v>
      </c>
      <c r="F3966" t="s">
        <v>2065</v>
      </c>
      <c r="G3966" t="s">
        <v>3916</v>
      </c>
      <c r="H3966">
        <v>41524</v>
      </c>
      <c r="I3966" t="s">
        <v>423</v>
      </c>
      <c r="J3966" t="s">
        <v>2196</v>
      </c>
      <c r="K3966" t="s">
        <v>2183</v>
      </c>
      <c r="L3966" t="s">
        <v>2184</v>
      </c>
      <c r="M3966">
        <v>10</v>
      </c>
      <c r="N3966">
        <v>15.86</v>
      </c>
      <c r="O3966">
        <v>1790.12</v>
      </c>
      <c r="P3966">
        <v>0</v>
      </c>
      <c r="Q3966">
        <v>1790.12</v>
      </c>
      <c r="R3966">
        <v>286.42</v>
      </c>
      <c r="S3966">
        <v>71.599999999999994</v>
      </c>
      <c r="T3966">
        <v>2004.94</v>
      </c>
      <c r="U3966" t="s">
        <v>2192</v>
      </c>
      <c r="V3966" t="s">
        <v>9408</v>
      </c>
      <c r="W3966" t="s">
        <v>423</v>
      </c>
    </row>
    <row r="3967" spans="1:23" hidden="1" x14ac:dyDescent="0.2">
      <c r="A3967">
        <v>2012</v>
      </c>
      <c r="B3967" t="s">
        <v>303</v>
      </c>
      <c r="C3967" s="733">
        <v>40935</v>
      </c>
      <c r="D39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67" t="s">
        <v>485</v>
      </c>
      <c r="F3967" t="s">
        <v>2065</v>
      </c>
      <c r="G3967" t="s">
        <v>3014</v>
      </c>
      <c r="H3967">
        <v>40901</v>
      </c>
      <c r="I3967" t="s">
        <v>423</v>
      </c>
      <c r="J3967" t="s">
        <v>2139</v>
      </c>
      <c r="K3967" t="s">
        <v>2102</v>
      </c>
      <c r="L3967" t="s">
        <v>2115</v>
      </c>
      <c r="M3967">
        <v>543</v>
      </c>
      <c r="N3967">
        <v>52.51</v>
      </c>
      <c r="O3967">
        <v>17656.490000000002</v>
      </c>
      <c r="P3967">
        <v>0</v>
      </c>
      <c r="Q3967">
        <v>17656.490000000002</v>
      </c>
      <c r="R3967">
        <v>2825.04</v>
      </c>
      <c r="S3967">
        <v>706.26</v>
      </c>
      <c r="T3967">
        <v>19775.27</v>
      </c>
      <c r="U3967" t="s">
        <v>2110</v>
      </c>
      <c r="V3967" t="s">
        <v>9409</v>
      </c>
      <c r="W3967" t="s">
        <v>423</v>
      </c>
    </row>
    <row r="3968" spans="1:23" hidden="1" x14ac:dyDescent="0.2">
      <c r="A3968">
        <v>2012</v>
      </c>
      <c r="B3968" t="s">
        <v>304</v>
      </c>
      <c r="C3968" s="733">
        <v>40968</v>
      </c>
      <c r="D39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68" t="s">
        <v>478</v>
      </c>
      <c r="F3968" t="s">
        <v>2136</v>
      </c>
      <c r="G3968" t="s">
        <v>9627</v>
      </c>
      <c r="H3968">
        <v>36040</v>
      </c>
      <c r="I3968" t="s">
        <v>423</v>
      </c>
      <c r="J3968" t="s">
        <v>4285</v>
      </c>
      <c r="K3968" t="s">
        <v>425</v>
      </c>
      <c r="L3968" t="s">
        <v>2145</v>
      </c>
      <c r="M3968">
        <v>110</v>
      </c>
      <c r="N3968">
        <v>20.69</v>
      </c>
      <c r="O3968">
        <v>3367.3</v>
      </c>
      <c r="P3968">
        <v>0</v>
      </c>
      <c r="Q3968">
        <v>3367.3</v>
      </c>
      <c r="R3968">
        <v>538.77</v>
      </c>
      <c r="S3968">
        <v>134.69</v>
      </c>
      <c r="T3968">
        <v>3771.38</v>
      </c>
      <c r="U3968" t="s">
        <v>9430</v>
      </c>
      <c r="V3968" t="s">
        <v>9409</v>
      </c>
      <c r="W3968" t="s">
        <v>423</v>
      </c>
    </row>
    <row r="3969" spans="1:23" hidden="1" x14ac:dyDescent="0.2">
      <c r="A3969">
        <v>2012</v>
      </c>
      <c r="B3969" t="s">
        <v>304</v>
      </c>
      <c r="C3969" s="733">
        <v>40953</v>
      </c>
      <c r="D39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69" t="s">
        <v>478</v>
      </c>
      <c r="F3969" t="s">
        <v>2136</v>
      </c>
      <c r="G3969" t="s">
        <v>5314</v>
      </c>
      <c r="H3969">
        <v>35511</v>
      </c>
      <c r="I3969" t="s">
        <v>423</v>
      </c>
      <c r="J3969" t="s">
        <v>4285</v>
      </c>
      <c r="K3969" t="s">
        <v>425</v>
      </c>
      <c r="L3969" t="s">
        <v>2145</v>
      </c>
      <c r="M3969">
        <v>110</v>
      </c>
      <c r="N3969">
        <v>33.130000000000003</v>
      </c>
      <c r="O3969">
        <v>5391.91</v>
      </c>
      <c r="P3969">
        <v>0</v>
      </c>
      <c r="Q3969">
        <v>5391.91</v>
      </c>
      <c r="R3969">
        <v>862.71</v>
      </c>
      <c r="S3969">
        <v>215.68</v>
      </c>
      <c r="T3969">
        <v>6038.94</v>
      </c>
      <c r="U3969" t="s">
        <v>7553</v>
      </c>
      <c r="V3969" t="s">
        <v>9408</v>
      </c>
      <c r="W3969" t="s">
        <v>423</v>
      </c>
    </row>
    <row r="3970" spans="1:23" hidden="1" x14ac:dyDescent="0.2">
      <c r="A3970">
        <v>2012</v>
      </c>
      <c r="B3970" t="s">
        <v>304</v>
      </c>
      <c r="C3970" s="733">
        <v>40966</v>
      </c>
      <c r="D39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70" t="s">
        <v>485</v>
      </c>
      <c r="F3970" t="s">
        <v>2065</v>
      </c>
      <c r="G3970" t="s">
        <v>8847</v>
      </c>
      <c r="H3970">
        <v>42686</v>
      </c>
      <c r="I3970" t="s">
        <v>423</v>
      </c>
      <c r="J3970" t="s">
        <v>2196</v>
      </c>
      <c r="K3970" t="s">
        <v>2183</v>
      </c>
      <c r="L3970" t="s">
        <v>2184</v>
      </c>
      <c r="M3970">
        <v>10</v>
      </c>
      <c r="N3970">
        <v>15.58</v>
      </c>
      <c r="O3970">
        <v>1758.51</v>
      </c>
      <c r="P3970">
        <v>0</v>
      </c>
      <c r="Q3970">
        <v>1758.51</v>
      </c>
      <c r="R3970">
        <v>281.36</v>
      </c>
      <c r="S3970">
        <v>70.34</v>
      </c>
      <c r="T3970">
        <v>1969.53</v>
      </c>
      <c r="V3970" t="s">
        <v>9408</v>
      </c>
      <c r="W3970" t="s">
        <v>423</v>
      </c>
    </row>
    <row r="3971" spans="1:23" hidden="1" x14ac:dyDescent="0.2">
      <c r="A3971">
        <v>2012</v>
      </c>
      <c r="B3971" t="s">
        <v>303</v>
      </c>
      <c r="C3971" s="733">
        <v>40921</v>
      </c>
      <c r="D39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71" t="s">
        <v>485</v>
      </c>
      <c r="F3971" t="s">
        <v>2065</v>
      </c>
      <c r="G3971" t="s">
        <v>3920</v>
      </c>
      <c r="H3971">
        <v>40238</v>
      </c>
      <c r="I3971" t="s">
        <v>423</v>
      </c>
      <c r="J3971" t="s">
        <v>2196</v>
      </c>
      <c r="K3971" t="s">
        <v>2183</v>
      </c>
      <c r="L3971" t="s">
        <v>2184</v>
      </c>
      <c r="M3971">
        <v>10</v>
      </c>
      <c r="N3971">
        <v>26.07</v>
      </c>
      <c r="O3971">
        <v>2942.52</v>
      </c>
      <c r="P3971">
        <v>0</v>
      </c>
      <c r="Q3971">
        <v>2942.52</v>
      </c>
      <c r="R3971">
        <v>470.8</v>
      </c>
      <c r="S3971">
        <v>117.7</v>
      </c>
      <c r="T3971">
        <v>3295.62</v>
      </c>
      <c r="U3971" t="s">
        <v>7520</v>
      </c>
      <c r="V3971" t="s">
        <v>9408</v>
      </c>
      <c r="W3971" t="s">
        <v>423</v>
      </c>
    </row>
    <row r="3972" spans="1:23" hidden="1" x14ac:dyDescent="0.2">
      <c r="A3972">
        <v>2012</v>
      </c>
      <c r="B3972" t="s">
        <v>304</v>
      </c>
      <c r="C3972" s="733">
        <v>40959</v>
      </c>
      <c r="D39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72" t="s">
        <v>485</v>
      </c>
      <c r="F3972" t="s">
        <v>2065</v>
      </c>
      <c r="G3972" t="s">
        <v>7929</v>
      </c>
      <c r="H3972">
        <v>42190</v>
      </c>
      <c r="I3972" t="s">
        <v>423</v>
      </c>
      <c r="J3972" t="s">
        <v>3965</v>
      </c>
      <c r="K3972" t="s">
        <v>2183</v>
      </c>
      <c r="L3972" t="s">
        <v>2184</v>
      </c>
      <c r="M3972">
        <v>696</v>
      </c>
      <c r="N3972">
        <v>26.13</v>
      </c>
      <c r="O3972">
        <v>10590.23</v>
      </c>
      <c r="P3972">
        <v>0</v>
      </c>
      <c r="Q3972">
        <v>10590.23</v>
      </c>
      <c r="R3972">
        <v>1694.44</v>
      </c>
      <c r="S3972">
        <v>423.61</v>
      </c>
      <c r="T3972">
        <v>11861.06</v>
      </c>
      <c r="U3972" t="s">
        <v>9411</v>
      </c>
      <c r="V3972" t="s">
        <v>9408</v>
      </c>
      <c r="W3972" t="s">
        <v>423</v>
      </c>
    </row>
    <row r="3973" spans="1:23" hidden="1" x14ac:dyDescent="0.2">
      <c r="A3973">
        <v>2012</v>
      </c>
      <c r="B3973" t="s">
        <v>303</v>
      </c>
      <c r="C3973" s="733">
        <v>40931</v>
      </c>
      <c r="D39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73" t="s">
        <v>485</v>
      </c>
      <c r="F3973" t="s">
        <v>2065</v>
      </c>
      <c r="G3973" t="s">
        <v>4513</v>
      </c>
      <c r="H3973">
        <v>40681</v>
      </c>
      <c r="I3973" t="s">
        <v>423</v>
      </c>
      <c r="J3973" t="s">
        <v>2189</v>
      </c>
      <c r="K3973" t="s">
        <v>2183</v>
      </c>
      <c r="L3973" t="s">
        <v>2184</v>
      </c>
      <c r="M3973">
        <v>720</v>
      </c>
      <c r="N3973">
        <v>27.07</v>
      </c>
      <c r="O3973">
        <v>10971.44</v>
      </c>
      <c r="P3973">
        <v>0</v>
      </c>
      <c r="Q3973">
        <v>10971.44</v>
      </c>
      <c r="R3973">
        <v>1755.43</v>
      </c>
      <c r="S3973">
        <v>438.86</v>
      </c>
      <c r="T3973">
        <v>12288.01</v>
      </c>
      <c r="U3973" t="s">
        <v>2187</v>
      </c>
      <c r="V3973" t="s">
        <v>9408</v>
      </c>
      <c r="W3973" t="s">
        <v>423</v>
      </c>
    </row>
    <row r="3974" spans="1:23" hidden="1" x14ac:dyDescent="0.2">
      <c r="A3974">
        <v>2012</v>
      </c>
      <c r="B3974" t="s">
        <v>303</v>
      </c>
      <c r="C3974" s="733">
        <v>40935</v>
      </c>
      <c r="D39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74" t="s">
        <v>505</v>
      </c>
      <c r="F3974" t="s">
        <v>1915</v>
      </c>
      <c r="G3974" t="s">
        <v>1948</v>
      </c>
      <c r="H3974">
        <v>22277</v>
      </c>
      <c r="I3974" t="s">
        <v>423</v>
      </c>
      <c r="J3974" t="s">
        <v>1947</v>
      </c>
      <c r="K3974" t="s">
        <v>1918</v>
      </c>
      <c r="L3974" t="s">
        <v>1919</v>
      </c>
      <c r="M3974">
        <v>973</v>
      </c>
      <c r="N3974">
        <v>49.76</v>
      </c>
      <c r="O3974">
        <v>29057.85</v>
      </c>
      <c r="P3974">
        <v>0</v>
      </c>
      <c r="Q3974">
        <v>29057.85</v>
      </c>
      <c r="R3974">
        <v>4649.26</v>
      </c>
      <c r="S3974">
        <v>1162.31</v>
      </c>
      <c r="T3974">
        <v>32544.799999999999</v>
      </c>
      <c r="U3974" t="s">
        <v>1926</v>
      </c>
      <c r="V3974" t="s">
        <v>9409</v>
      </c>
      <c r="W3974" t="s">
        <v>423</v>
      </c>
    </row>
    <row r="3975" spans="1:23" hidden="1" x14ac:dyDescent="0.2">
      <c r="A3975">
        <v>2012</v>
      </c>
      <c r="B3975" t="s">
        <v>303</v>
      </c>
      <c r="C3975" s="733">
        <v>40919.970138888886</v>
      </c>
      <c r="D39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75" t="s">
        <v>478</v>
      </c>
      <c r="F3975" t="s">
        <v>2136</v>
      </c>
      <c r="G3975" t="s">
        <v>5237</v>
      </c>
      <c r="H3975">
        <v>34454</v>
      </c>
      <c r="I3975" t="s">
        <v>423</v>
      </c>
      <c r="J3975" t="s">
        <v>5238</v>
      </c>
      <c r="K3975" t="s">
        <v>425</v>
      </c>
      <c r="L3975" t="s">
        <v>2145</v>
      </c>
      <c r="M3975">
        <v>80</v>
      </c>
      <c r="N3975">
        <v>25.58</v>
      </c>
      <c r="O3975">
        <v>3434.12</v>
      </c>
      <c r="P3975">
        <v>0</v>
      </c>
      <c r="Q3975">
        <v>3434.12</v>
      </c>
      <c r="R3975">
        <v>549.46</v>
      </c>
      <c r="S3975">
        <v>137.36000000000001</v>
      </c>
      <c r="T3975">
        <v>3846.22</v>
      </c>
      <c r="U3975" t="s">
        <v>2352</v>
      </c>
      <c r="V3975" t="s">
        <v>9408</v>
      </c>
      <c r="W3975" t="s">
        <v>423</v>
      </c>
    </row>
    <row r="3976" spans="1:23" hidden="1" x14ac:dyDescent="0.2">
      <c r="A3976">
        <v>2012</v>
      </c>
      <c r="B3976" t="s">
        <v>303</v>
      </c>
      <c r="C3976" s="733">
        <v>40936</v>
      </c>
      <c r="D39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76" t="s">
        <v>478</v>
      </c>
      <c r="F3976" t="s">
        <v>2142</v>
      </c>
      <c r="G3976" t="s">
        <v>5239</v>
      </c>
      <c r="H3976">
        <v>35024</v>
      </c>
      <c r="I3976" t="s">
        <v>423</v>
      </c>
      <c r="J3976" t="s">
        <v>5238</v>
      </c>
      <c r="K3976" t="s">
        <v>425</v>
      </c>
      <c r="L3976" t="s">
        <v>2145</v>
      </c>
      <c r="M3976">
        <v>80</v>
      </c>
      <c r="N3976">
        <v>23.4</v>
      </c>
      <c r="O3976">
        <v>3141.45</v>
      </c>
      <c r="P3976">
        <v>0</v>
      </c>
      <c r="Q3976">
        <v>3141.45</v>
      </c>
      <c r="R3976">
        <v>502.63</v>
      </c>
      <c r="S3976">
        <v>125.66</v>
      </c>
      <c r="T3976">
        <v>3518.42</v>
      </c>
      <c r="U3976" t="s">
        <v>2580</v>
      </c>
      <c r="V3976" t="s">
        <v>9408</v>
      </c>
      <c r="W3976" t="s">
        <v>423</v>
      </c>
    </row>
    <row r="3977" spans="1:23" hidden="1" x14ac:dyDescent="0.2">
      <c r="A3977">
        <v>2012</v>
      </c>
      <c r="B3977" t="s">
        <v>303</v>
      </c>
      <c r="C3977" s="733">
        <v>40927</v>
      </c>
      <c r="D39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77" t="s">
        <v>505</v>
      </c>
      <c r="F3977" t="s">
        <v>1915</v>
      </c>
      <c r="G3977" t="s">
        <v>5040</v>
      </c>
      <c r="H3977">
        <v>22102</v>
      </c>
      <c r="I3977" t="s">
        <v>423</v>
      </c>
      <c r="J3977" t="s">
        <v>4158</v>
      </c>
      <c r="K3977" t="s">
        <v>1918</v>
      </c>
      <c r="L3977" t="s">
        <v>1919</v>
      </c>
      <c r="M3977">
        <v>274</v>
      </c>
      <c r="N3977">
        <v>28.11</v>
      </c>
      <c r="O3977">
        <v>7761.17</v>
      </c>
      <c r="P3977">
        <v>0</v>
      </c>
      <c r="Q3977">
        <v>7761.17</v>
      </c>
      <c r="R3977">
        <v>1241.79</v>
      </c>
      <c r="S3977">
        <v>310.45</v>
      </c>
      <c r="T3977">
        <v>8692.51</v>
      </c>
      <c r="U3977" t="s">
        <v>1936</v>
      </c>
      <c r="V3977" t="s">
        <v>9408</v>
      </c>
      <c r="W3977" t="s">
        <v>423</v>
      </c>
    </row>
    <row r="3978" spans="1:23" hidden="1" x14ac:dyDescent="0.2">
      <c r="A3978">
        <v>2012</v>
      </c>
      <c r="B3978" t="s">
        <v>304</v>
      </c>
      <c r="C3978" s="733">
        <v>40942</v>
      </c>
      <c r="D39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78" t="s">
        <v>505</v>
      </c>
      <c r="F3978" t="s">
        <v>1915</v>
      </c>
      <c r="G3978" t="s">
        <v>5034</v>
      </c>
      <c r="H3978">
        <v>22458</v>
      </c>
      <c r="I3978" t="s">
        <v>423</v>
      </c>
      <c r="J3978" t="s">
        <v>4158</v>
      </c>
      <c r="K3978" t="s">
        <v>1918</v>
      </c>
      <c r="L3978" t="s">
        <v>1919</v>
      </c>
      <c r="M3978">
        <v>274</v>
      </c>
      <c r="N3978">
        <v>53.63</v>
      </c>
      <c r="O3978">
        <v>14807.24</v>
      </c>
      <c r="P3978">
        <v>0</v>
      </c>
      <c r="Q3978">
        <v>14807.24</v>
      </c>
      <c r="R3978">
        <v>2369.16</v>
      </c>
      <c r="S3978">
        <v>592.29</v>
      </c>
      <c r="T3978">
        <v>16584.11</v>
      </c>
      <c r="U3978" t="s">
        <v>1924</v>
      </c>
      <c r="V3978" t="s">
        <v>9409</v>
      </c>
      <c r="W3978" t="s">
        <v>423</v>
      </c>
    </row>
    <row r="3979" spans="1:23" hidden="1" x14ac:dyDescent="0.2">
      <c r="A3979">
        <v>2012</v>
      </c>
      <c r="B3979" t="s">
        <v>303</v>
      </c>
      <c r="C3979" s="733">
        <v>40934.444803240738</v>
      </c>
      <c r="D39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79" t="s">
        <v>485</v>
      </c>
      <c r="F3979" t="s">
        <v>2054</v>
      </c>
      <c r="G3979" t="s">
        <v>4528</v>
      </c>
      <c r="H3979">
        <v>10217</v>
      </c>
      <c r="I3979" t="s">
        <v>423</v>
      </c>
      <c r="J3979" t="s">
        <v>2056</v>
      </c>
      <c r="K3979" t="s">
        <v>2057</v>
      </c>
      <c r="L3979" t="s">
        <v>2058</v>
      </c>
      <c r="M3979">
        <v>19</v>
      </c>
      <c r="N3979">
        <v>24</v>
      </c>
      <c r="O3979">
        <v>2708.88</v>
      </c>
      <c r="P3979">
        <v>0</v>
      </c>
      <c r="Q3979">
        <v>2708.88</v>
      </c>
      <c r="R3979">
        <v>433.42</v>
      </c>
      <c r="S3979">
        <v>108.36</v>
      </c>
      <c r="T3979">
        <v>3033.94</v>
      </c>
      <c r="U3979" t="s">
        <v>2073</v>
      </c>
      <c r="V3979" t="s">
        <v>9408</v>
      </c>
      <c r="W3979" t="s">
        <v>423</v>
      </c>
    </row>
    <row r="3980" spans="1:23" hidden="1" x14ac:dyDescent="0.2">
      <c r="A3980">
        <v>2012</v>
      </c>
      <c r="B3980" t="s">
        <v>304</v>
      </c>
      <c r="C3980" s="733">
        <v>40960</v>
      </c>
      <c r="D39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80" t="s">
        <v>485</v>
      </c>
      <c r="F3980" t="s">
        <v>2065</v>
      </c>
      <c r="G3980" t="s">
        <v>8126</v>
      </c>
      <c r="H3980">
        <v>41969</v>
      </c>
      <c r="I3980" t="s">
        <v>2821</v>
      </c>
      <c r="J3980" t="s">
        <v>8127</v>
      </c>
      <c r="K3980" t="s">
        <v>4524</v>
      </c>
      <c r="L3980" t="s">
        <v>2184</v>
      </c>
      <c r="M3980">
        <v>2934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V3980" t="s">
        <v>9409</v>
      </c>
      <c r="W3980" t="s">
        <v>2821</v>
      </c>
    </row>
    <row r="3981" spans="1:23" hidden="1" x14ac:dyDescent="0.2">
      <c r="A3981">
        <v>2012</v>
      </c>
      <c r="B3981" t="s">
        <v>303</v>
      </c>
      <c r="C3981" s="733">
        <v>40939.531273148146</v>
      </c>
      <c r="D39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81" t="s">
        <v>478</v>
      </c>
      <c r="F3981" t="s">
        <v>2622</v>
      </c>
      <c r="G3981" t="s">
        <v>2902</v>
      </c>
      <c r="H3981">
        <v>35140</v>
      </c>
      <c r="I3981" t="s">
        <v>423</v>
      </c>
      <c r="J3981" t="s">
        <v>2662</v>
      </c>
      <c r="K3981" t="s">
        <v>2625</v>
      </c>
      <c r="L3981" t="s">
        <v>2626</v>
      </c>
      <c r="M3981">
        <v>66</v>
      </c>
      <c r="N3981">
        <v>25.21</v>
      </c>
      <c r="O3981">
        <v>2967.97</v>
      </c>
      <c r="P3981">
        <v>0</v>
      </c>
      <c r="Q3981">
        <v>2967.97</v>
      </c>
      <c r="R3981">
        <v>474.88</v>
      </c>
      <c r="S3981">
        <v>118.72</v>
      </c>
      <c r="T3981">
        <v>3324.13</v>
      </c>
      <c r="U3981" t="s">
        <v>2648</v>
      </c>
      <c r="V3981" t="s">
        <v>9408</v>
      </c>
      <c r="W3981" t="s">
        <v>423</v>
      </c>
    </row>
    <row r="3982" spans="1:23" hidden="1" x14ac:dyDescent="0.2">
      <c r="A3982">
        <v>2012</v>
      </c>
      <c r="B3982" t="s">
        <v>303</v>
      </c>
      <c r="C3982" s="733">
        <v>40914.85328703704</v>
      </c>
      <c r="D39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82" t="s">
        <v>478</v>
      </c>
      <c r="F3982" t="s">
        <v>2622</v>
      </c>
      <c r="G3982" t="s">
        <v>4345</v>
      </c>
      <c r="H3982">
        <v>34281</v>
      </c>
      <c r="I3982" t="s">
        <v>423</v>
      </c>
      <c r="J3982" t="s">
        <v>2662</v>
      </c>
      <c r="K3982" t="s">
        <v>2625</v>
      </c>
      <c r="L3982" t="s">
        <v>2626</v>
      </c>
      <c r="M3982">
        <v>66</v>
      </c>
      <c r="N3982">
        <v>24.57</v>
      </c>
      <c r="O3982">
        <v>2892.63</v>
      </c>
      <c r="P3982">
        <v>0</v>
      </c>
      <c r="Q3982">
        <v>2892.63</v>
      </c>
      <c r="R3982">
        <v>462.82</v>
      </c>
      <c r="S3982">
        <v>115.71</v>
      </c>
      <c r="T3982">
        <v>3239.74</v>
      </c>
      <c r="U3982" t="s">
        <v>2635</v>
      </c>
      <c r="V3982" t="s">
        <v>9408</v>
      </c>
      <c r="W3982" t="s">
        <v>423</v>
      </c>
    </row>
    <row r="3983" spans="1:23" hidden="1" x14ac:dyDescent="0.2">
      <c r="A3983">
        <v>2012</v>
      </c>
      <c r="B3983" t="s">
        <v>304</v>
      </c>
      <c r="C3983" s="733">
        <v>40966.935937499999</v>
      </c>
      <c r="D39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83" t="s">
        <v>478</v>
      </c>
      <c r="F3983" t="s">
        <v>2622</v>
      </c>
      <c r="G3983" t="s">
        <v>9321</v>
      </c>
      <c r="H3983">
        <v>36070</v>
      </c>
      <c r="I3983" t="s">
        <v>423</v>
      </c>
      <c r="J3983" t="s">
        <v>2662</v>
      </c>
      <c r="K3983" t="s">
        <v>2625</v>
      </c>
      <c r="L3983" t="s">
        <v>2626</v>
      </c>
      <c r="M3983">
        <v>66</v>
      </c>
      <c r="N3983">
        <v>25.47</v>
      </c>
      <c r="O3983">
        <v>2998.58</v>
      </c>
      <c r="P3983">
        <v>0</v>
      </c>
      <c r="Q3983">
        <v>2998.58</v>
      </c>
      <c r="R3983">
        <v>479.77</v>
      </c>
      <c r="S3983">
        <v>119.94</v>
      </c>
      <c r="T3983">
        <v>3358.41</v>
      </c>
      <c r="U3983" t="s">
        <v>9428</v>
      </c>
      <c r="V3983" t="s">
        <v>9408</v>
      </c>
      <c r="W3983" t="s">
        <v>423</v>
      </c>
    </row>
    <row r="3984" spans="1:23" hidden="1" x14ac:dyDescent="0.2">
      <c r="A3984">
        <v>2012</v>
      </c>
      <c r="B3984" t="s">
        <v>304</v>
      </c>
      <c r="C3984" s="733">
        <v>40947</v>
      </c>
      <c r="D39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84" t="s">
        <v>485</v>
      </c>
      <c r="F3984" t="s">
        <v>2054</v>
      </c>
      <c r="G3984" t="s">
        <v>4531</v>
      </c>
      <c r="H3984">
        <v>10342</v>
      </c>
      <c r="I3984" t="s">
        <v>423</v>
      </c>
      <c r="J3984" t="s">
        <v>4078</v>
      </c>
      <c r="K3984" t="s">
        <v>2057</v>
      </c>
      <c r="L3984" t="s">
        <v>2058</v>
      </c>
      <c r="M3984">
        <v>154</v>
      </c>
      <c r="N3984">
        <v>23.6</v>
      </c>
      <c r="O3984">
        <v>3977.07</v>
      </c>
      <c r="P3984">
        <v>0</v>
      </c>
      <c r="Q3984">
        <v>3977.07</v>
      </c>
      <c r="R3984">
        <v>437.48</v>
      </c>
      <c r="S3984">
        <v>159.08000000000001</v>
      </c>
      <c r="T3984">
        <v>4255.47</v>
      </c>
      <c r="U3984" t="s">
        <v>2082</v>
      </c>
      <c r="V3984" t="s">
        <v>9408</v>
      </c>
      <c r="W3984" t="s">
        <v>423</v>
      </c>
    </row>
    <row r="3985" spans="1:23" hidden="1" x14ac:dyDescent="0.2">
      <c r="A3985">
        <v>2012</v>
      </c>
      <c r="B3985" t="s">
        <v>304</v>
      </c>
      <c r="C3985" s="733">
        <v>40949</v>
      </c>
      <c r="D39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85" t="s">
        <v>478</v>
      </c>
      <c r="F3985" t="s">
        <v>2136</v>
      </c>
      <c r="G3985" t="s">
        <v>5043</v>
      </c>
      <c r="H3985">
        <v>35493</v>
      </c>
      <c r="I3985" t="s">
        <v>423</v>
      </c>
      <c r="J3985" t="s">
        <v>3636</v>
      </c>
      <c r="K3985" t="s">
        <v>425</v>
      </c>
      <c r="L3985" t="s">
        <v>2145</v>
      </c>
      <c r="M3985">
        <v>244</v>
      </c>
      <c r="N3985">
        <v>50.8</v>
      </c>
      <c r="O3985">
        <v>8484.6200000000008</v>
      </c>
      <c r="P3985">
        <v>0</v>
      </c>
      <c r="Q3985">
        <v>8484.6200000000008</v>
      </c>
      <c r="R3985">
        <v>1357.54</v>
      </c>
      <c r="S3985">
        <v>339.38</v>
      </c>
      <c r="T3985">
        <v>9502.7800000000007</v>
      </c>
      <c r="U3985" t="s">
        <v>7523</v>
      </c>
      <c r="V3985" t="s">
        <v>9409</v>
      </c>
      <c r="W3985" t="s">
        <v>423</v>
      </c>
    </row>
    <row r="3986" spans="1:23" hidden="1" x14ac:dyDescent="0.2">
      <c r="A3986">
        <v>2012</v>
      </c>
      <c r="B3986" t="s">
        <v>304</v>
      </c>
      <c r="C3986" s="733">
        <v>40967</v>
      </c>
      <c r="D39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86" t="s">
        <v>478</v>
      </c>
      <c r="F3986" t="s">
        <v>2136</v>
      </c>
      <c r="G3986" t="s">
        <v>9323</v>
      </c>
      <c r="H3986">
        <v>36067</v>
      </c>
      <c r="I3986" t="s">
        <v>423</v>
      </c>
      <c r="J3986" t="s">
        <v>5077</v>
      </c>
      <c r="K3986" t="s">
        <v>425</v>
      </c>
      <c r="L3986" t="s">
        <v>2145</v>
      </c>
      <c r="M3986">
        <v>876</v>
      </c>
      <c r="N3986">
        <v>23.53</v>
      </c>
      <c r="O3986">
        <v>10200.73</v>
      </c>
      <c r="P3986">
        <v>0</v>
      </c>
      <c r="Q3986">
        <v>10200.73</v>
      </c>
      <c r="R3986">
        <v>1632.12</v>
      </c>
      <c r="S3986">
        <v>408.03</v>
      </c>
      <c r="T3986">
        <v>11424.82</v>
      </c>
      <c r="U3986" t="s">
        <v>9457</v>
      </c>
      <c r="V3986" t="s">
        <v>9408</v>
      </c>
      <c r="W3986" t="s">
        <v>423</v>
      </c>
    </row>
    <row r="3987" spans="1:23" hidden="1" x14ac:dyDescent="0.2">
      <c r="A3987">
        <v>2012</v>
      </c>
      <c r="B3987" t="s">
        <v>303</v>
      </c>
      <c r="C3987" s="733">
        <v>40938.925219907411</v>
      </c>
      <c r="D39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87" t="s">
        <v>478</v>
      </c>
      <c r="F3987" t="s">
        <v>2622</v>
      </c>
      <c r="G3987" t="s">
        <v>2903</v>
      </c>
      <c r="H3987">
        <v>35080</v>
      </c>
      <c r="I3987" t="s">
        <v>423</v>
      </c>
      <c r="J3987" t="s">
        <v>2662</v>
      </c>
      <c r="K3987" t="s">
        <v>2625</v>
      </c>
      <c r="L3987" t="s">
        <v>2626</v>
      </c>
      <c r="M3987">
        <v>66</v>
      </c>
      <c r="N3987">
        <v>24.6</v>
      </c>
      <c r="O3987">
        <v>2896.16</v>
      </c>
      <c r="P3987">
        <v>0</v>
      </c>
      <c r="Q3987">
        <v>2896.16</v>
      </c>
      <c r="R3987">
        <v>463.39</v>
      </c>
      <c r="S3987">
        <v>115.85</v>
      </c>
      <c r="T3987">
        <v>3243.7</v>
      </c>
      <c r="U3987" t="s">
        <v>2648</v>
      </c>
      <c r="V3987" t="s">
        <v>9408</v>
      </c>
      <c r="W3987" t="s">
        <v>423</v>
      </c>
    </row>
    <row r="3988" spans="1:23" hidden="1" x14ac:dyDescent="0.2">
      <c r="A3988">
        <v>2012</v>
      </c>
      <c r="B3988" t="s">
        <v>303</v>
      </c>
      <c r="C3988" s="733">
        <v>40926.745393518519</v>
      </c>
      <c r="D39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88" t="s">
        <v>478</v>
      </c>
      <c r="F3988" t="s">
        <v>2622</v>
      </c>
      <c r="G3988" t="s">
        <v>4344</v>
      </c>
      <c r="H3988">
        <v>34693</v>
      </c>
      <c r="I3988" t="s">
        <v>423</v>
      </c>
      <c r="J3988" t="s">
        <v>2662</v>
      </c>
      <c r="K3988" t="s">
        <v>2625</v>
      </c>
      <c r="L3988" t="s">
        <v>2626</v>
      </c>
      <c r="M3988">
        <v>66</v>
      </c>
      <c r="N3988">
        <v>23.61</v>
      </c>
      <c r="O3988">
        <v>2779.61</v>
      </c>
      <c r="P3988">
        <v>0</v>
      </c>
      <c r="Q3988">
        <v>2779.61</v>
      </c>
      <c r="R3988">
        <v>444.74</v>
      </c>
      <c r="S3988">
        <v>111.18</v>
      </c>
      <c r="T3988">
        <v>3113.17</v>
      </c>
      <c r="U3988" t="s">
        <v>2633</v>
      </c>
      <c r="V3988" t="s">
        <v>9408</v>
      </c>
      <c r="W3988" t="s">
        <v>423</v>
      </c>
    </row>
    <row r="3989" spans="1:23" hidden="1" x14ac:dyDescent="0.2">
      <c r="A3989">
        <v>2012</v>
      </c>
      <c r="B3989" t="s">
        <v>304</v>
      </c>
      <c r="C3989" s="733">
        <v>40966.650983796295</v>
      </c>
      <c r="D39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89" t="s">
        <v>485</v>
      </c>
      <c r="F3989" t="s">
        <v>2054</v>
      </c>
      <c r="G3989" t="s">
        <v>9313</v>
      </c>
      <c r="H3989">
        <v>10588</v>
      </c>
      <c r="I3989" t="s">
        <v>423</v>
      </c>
      <c r="J3989" t="s">
        <v>4078</v>
      </c>
      <c r="K3989" t="s">
        <v>2057</v>
      </c>
      <c r="L3989" t="s">
        <v>2058</v>
      </c>
      <c r="M3989">
        <v>154</v>
      </c>
      <c r="N3989">
        <v>45.29</v>
      </c>
      <c r="O3989">
        <v>7632.27</v>
      </c>
      <c r="P3989">
        <v>0</v>
      </c>
      <c r="Q3989">
        <v>7632.27</v>
      </c>
      <c r="R3989">
        <v>839.55</v>
      </c>
      <c r="S3989">
        <v>305.29000000000002</v>
      </c>
      <c r="T3989">
        <v>8166.53</v>
      </c>
      <c r="U3989" t="s">
        <v>8864</v>
      </c>
      <c r="V3989" t="s">
        <v>9409</v>
      </c>
      <c r="W3989" t="s">
        <v>423</v>
      </c>
    </row>
    <row r="3990" spans="1:23" hidden="1" x14ac:dyDescent="0.2">
      <c r="A3990">
        <v>2012</v>
      </c>
      <c r="B3990" t="s">
        <v>303</v>
      </c>
      <c r="C3990" s="733">
        <v>40929.42869212963</v>
      </c>
      <c r="D39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90" t="s">
        <v>485</v>
      </c>
      <c r="F3990" t="s">
        <v>2054</v>
      </c>
      <c r="G3990" t="s">
        <v>4529</v>
      </c>
      <c r="H3990">
        <v>10168</v>
      </c>
      <c r="I3990" t="s">
        <v>423</v>
      </c>
      <c r="J3990" t="s">
        <v>4078</v>
      </c>
      <c r="K3990" t="s">
        <v>2057</v>
      </c>
      <c r="L3990" t="s">
        <v>2058</v>
      </c>
      <c r="M3990">
        <v>154</v>
      </c>
      <c r="N3990">
        <v>22.58</v>
      </c>
      <c r="O3990">
        <v>3805.18</v>
      </c>
      <c r="P3990">
        <v>0</v>
      </c>
      <c r="Q3990">
        <v>3805.18</v>
      </c>
      <c r="R3990">
        <v>608.83000000000004</v>
      </c>
      <c r="S3990">
        <v>152.21</v>
      </c>
      <c r="T3990">
        <v>4261.8</v>
      </c>
      <c r="U3990" t="s">
        <v>2077</v>
      </c>
      <c r="V3990" t="s">
        <v>9408</v>
      </c>
      <c r="W3990" t="s">
        <v>423</v>
      </c>
    </row>
    <row r="3991" spans="1:23" hidden="1" x14ac:dyDescent="0.2">
      <c r="A3991">
        <v>2012</v>
      </c>
      <c r="B3991" t="s">
        <v>303</v>
      </c>
      <c r="C3991" s="733">
        <v>40935</v>
      </c>
      <c r="D39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91" t="s">
        <v>485</v>
      </c>
      <c r="F3991" t="s">
        <v>2054</v>
      </c>
      <c r="G3991" t="s">
        <v>4530</v>
      </c>
      <c r="H3991">
        <v>10224</v>
      </c>
      <c r="I3991" t="s">
        <v>423</v>
      </c>
      <c r="J3991" t="s">
        <v>4078</v>
      </c>
      <c r="K3991" t="s">
        <v>2057</v>
      </c>
      <c r="L3991" t="s">
        <v>2058</v>
      </c>
      <c r="M3991">
        <v>154</v>
      </c>
      <c r="N3991">
        <v>22.64</v>
      </c>
      <c r="O3991">
        <v>3815.29</v>
      </c>
      <c r="P3991">
        <v>0</v>
      </c>
      <c r="Q3991">
        <v>3815.29</v>
      </c>
      <c r="R3991">
        <v>610.45000000000005</v>
      </c>
      <c r="S3991">
        <v>152.61000000000001</v>
      </c>
      <c r="T3991">
        <v>4273.13</v>
      </c>
      <c r="U3991" t="s">
        <v>2073</v>
      </c>
      <c r="V3991" t="s">
        <v>9408</v>
      </c>
      <c r="W3991" t="s">
        <v>423</v>
      </c>
    </row>
    <row r="3992" spans="1:23" hidden="1" x14ac:dyDescent="0.2">
      <c r="A3992">
        <v>2012</v>
      </c>
      <c r="B3992" t="s">
        <v>304</v>
      </c>
      <c r="C3992" s="733">
        <v>40957.429490740738</v>
      </c>
      <c r="D39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92" t="s">
        <v>485</v>
      </c>
      <c r="F3992" t="s">
        <v>2054</v>
      </c>
      <c r="G3992" t="s">
        <v>7672</v>
      </c>
      <c r="H3992">
        <v>10466</v>
      </c>
      <c r="I3992" t="s">
        <v>423</v>
      </c>
      <c r="J3992" t="s">
        <v>4078</v>
      </c>
      <c r="K3992" t="s">
        <v>2057</v>
      </c>
      <c r="L3992" t="s">
        <v>2058</v>
      </c>
      <c r="M3992">
        <v>154</v>
      </c>
      <c r="N3992">
        <v>47.15</v>
      </c>
      <c r="O3992">
        <v>7945.72</v>
      </c>
      <c r="P3992">
        <v>0</v>
      </c>
      <c r="Q3992">
        <v>7945.72</v>
      </c>
      <c r="R3992">
        <v>874.03</v>
      </c>
      <c r="S3992">
        <v>317.83</v>
      </c>
      <c r="T3992">
        <v>8501.92</v>
      </c>
      <c r="U3992" t="s">
        <v>8047</v>
      </c>
      <c r="V3992" t="s">
        <v>9409</v>
      </c>
      <c r="W3992" t="s">
        <v>423</v>
      </c>
    </row>
    <row r="3993" spans="1:23" hidden="1" x14ac:dyDescent="0.2">
      <c r="A3993">
        <v>2012</v>
      </c>
      <c r="B3993" t="s">
        <v>304</v>
      </c>
      <c r="C3993" s="733">
        <v>40959</v>
      </c>
      <c r="D39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93" t="s">
        <v>505</v>
      </c>
      <c r="F3993" t="s">
        <v>1915</v>
      </c>
      <c r="G3993" t="s">
        <v>7950</v>
      </c>
      <c r="H3993">
        <v>22866</v>
      </c>
      <c r="I3993" t="s">
        <v>1979</v>
      </c>
      <c r="J3993" t="s">
        <v>1980</v>
      </c>
      <c r="K3993" t="s">
        <v>1918</v>
      </c>
      <c r="L3993" t="s">
        <v>1919</v>
      </c>
      <c r="M3993">
        <v>732</v>
      </c>
      <c r="N3993">
        <v>49.92</v>
      </c>
      <c r="O3993">
        <v>23602.18</v>
      </c>
      <c r="P3993">
        <v>0</v>
      </c>
      <c r="Q3993">
        <v>23602.18</v>
      </c>
      <c r="R3993">
        <v>3776.35</v>
      </c>
      <c r="S3993">
        <v>944.09</v>
      </c>
      <c r="T3993">
        <v>26434.44</v>
      </c>
      <c r="U3993" t="s">
        <v>8491</v>
      </c>
      <c r="V3993" t="s">
        <v>9409</v>
      </c>
      <c r="W3993" t="s">
        <v>1979</v>
      </c>
    </row>
    <row r="3994" spans="1:23" hidden="1" x14ac:dyDescent="0.2">
      <c r="A3994">
        <v>2012</v>
      </c>
      <c r="B3994" t="s">
        <v>304</v>
      </c>
      <c r="C3994" s="733">
        <v>40962</v>
      </c>
      <c r="D39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94" t="s">
        <v>505</v>
      </c>
      <c r="F3994" t="s">
        <v>1915</v>
      </c>
      <c r="G3994" t="s">
        <v>8394</v>
      </c>
      <c r="H3994">
        <v>22932</v>
      </c>
      <c r="I3994" t="s">
        <v>1979</v>
      </c>
      <c r="J3994" t="s">
        <v>1980</v>
      </c>
      <c r="K3994" t="s">
        <v>1918</v>
      </c>
      <c r="L3994" t="s">
        <v>1919</v>
      </c>
      <c r="M3994">
        <v>732</v>
      </c>
      <c r="N3994">
        <v>49.5</v>
      </c>
      <c r="O3994">
        <v>21710.7</v>
      </c>
      <c r="P3994">
        <v>0</v>
      </c>
      <c r="Q3994">
        <v>21710.7</v>
      </c>
      <c r="R3994">
        <v>3473.71</v>
      </c>
      <c r="S3994">
        <v>868.43</v>
      </c>
      <c r="T3994">
        <v>24315.98</v>
      </c>
      <c r="U3994" t="s">
        <v>8778</v>
      </c>
      <c r="V3994" t="s">
        <v>9409</v>
      </c>
      <c r="W3994" t="s">
        <v>1979</v>
      </c>
    </row>
    <row r="3995" spans="1:23" hidden="1" x14ac:dyDescent="0.2">
      <c r="A3995">
        <v>2012</v>
      </c>
      <c r="B3995" t="s">
        <v>304</v>
      </c>
      <c r="C3995" s="733">
        <v>40968</v>
      </c>
      <c r="D39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95" t="s">
        <v>505</v>
      </c>
      <c r="F3995" t="s">
        <v>1915</v>
      </c>
      <c r="G3995" t="s">
        <v>9322</v>
      </c>
      <c r="H3995">
        <v>22984</v>
      </c>
      <c r="I3995" t="s">
        <v>423</v>
      </c>
      <c r="J3995" t="s">
        <v>1980</v>
      </c>
      <c r="K3995" t="s">
        <v>1918</v>
      </c>
      <c r="L3995" t="s">
        <v>1919</v>
      </c>
      <c r="M3995">
        <v>732</v>
      </c>
      <c r="N3995">
        <v>28.35</v>
      </c>
      <c r="O3995">
        <v>14373.45</v>
      </c>
      <c r="P3995">
        <v>0</v>
      </c>
      <c r="Q3995">
        <v>14373.45</v>
      </c>
      <c r="R3995">
        <v>2299.75</v>
      </c>
      <c r="S3995">
        <v>574.94000000000005</v>
      </c>
      <c r="T3995">
        <v>16098.26</v>
      </c>
      <c r="V3995" t="s">
        <v>9408</v>
      </c>
      <c r="W3995" t="s">
        <v>423</v>
      </c>
    </row>
    <row r="3996" spans="1:23" hidden="1" x14ac:dyDescent="0.2">
      <c r="A3996">
        <v>2012</v>
      </c>
      <c r="B3996" t="s">
        <v>304</v>
      </c>
      <c r="C3996" s="733">
        <v>40954</v>
      </c>
      <c r="D39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96" t="s">
        <v>505</v>
      </c>
      <c r="F3996" t="s">
        <v>1915</v>
      </c>
      <c r="G3996" t="s">
        <v>5026</v>
      </c>
      <c r="H3996">
        <v>22691</v>
      </c>
      <c r="I3996" t="s">
        <v>1979</v>
      </c>
      <c r="J3996" t="s">
        <v>1980</v>
      </c>
      <c r="K3996" t="s">
        <v>1918</v>
      </c>
      <c r="L3996" t="s">
        <v>1919</v>
      </c>
      <c r="M3996">
        <v>732</v>
      </c>
      <c r="N3996">
        <v>49.99</v>
      </c>
      <c r="O3996">
        <v>21925.61</v>
      </c>
      <c r="P3996">
        <v>0</v>
      </c>
      <c r="Q3996">
        <v>21925.61</v>
      </c>
      <c r="R3996">
        <v>3508.1</v>
      </c>
      <c r="S3996">
        <v>877.02</v>
      </c>
      <c r="T3996">
        <v>24556.69</v>
      </c>
      <c r="U3996" t="s">
        <v>7529</v>
      </c>
      <c r="V3996" t="s">
        <v>9409</v>
      </c>
      <c r="W3996" t="s">
        <v>1979</v>
      </c>
    </row>
    <row r="3997" spans="1:23" hidden="1" x14ac:dyDescent="0.2">
      <c r="A3997">
        <v>2012</v>
      </c>
      <c r="B3997" t="s">
        <v>304</v>
      </c>
      <c r="C3997" s="733">
        <v>40964</v>
      </c>
      <c r="D39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97" t="s">
        <v>505</v>
      </c>
      <c r="F3997" t="s">
        <v>1915</v>
      </c>
      <c r="G3997" t="s">
        <v>8739</v>
      </c>
      <c r="H3997">
        <v>22987</v>
      </c>
      <c r="I3997" t="s">
        <v>1979</v>
      </c>
      <c r="J3997" t="s">
        <v>1980</v>
      </c>
      <c r="K3997" t="s">
        <v>1918</v>
      </c>
      <c r="L3997" t="s">
        <v>1919</v>
      </c>
      <c r="M3997">
        <v>732</v>
      </c>
      <c r="N3997">
        <v>50.58</v>
      </c>
      <c r="O3997">
        <v>23914.22</v>
      </c>
      <c r="P3997">
        <v>0</v>
      </c>
      <c r="Q3997">
        <v>23914.22</v>
      </c>
      <c r="R3997">
        <v>3826.28</v>
      </c>
      <c r="S3997">
        <v>956.57</v>
      </c>
      <c r="T3997">
        <v>26783.93</v>
      </c>
      <c r="U3997" t="s">
        <v>9415</v>
      </c>
      <c r="V3997" t="s">
        <v>9409</v>
      </c>
      <c r="W3997" t="s">
        <v>1979</v>
      </c>
    </row>
    <row r="3998" spans="1:23" hidden="1" x14ac:dyDescent="0.2">
      <c r="A3998">
        <v>2012</v>
      </c>
      <c r="B3998" t="s">
        <v>303</v>
      </c>
      <c r="C3998" s="733">
        <v>40928</v>
      </c>
      <c r="D39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3998" t="s">
        <v>505</v>
      </c>
      <c r="F3998" t="s">
        <v>1915</v>
      </c>
      <c r="G3998" t="s">
        <v>1944</v>
      </c>
      <c r="H3998">
        <v>22109</v>
      </c>
      <c r="I3998" t="s">
        <v>423</v>
      </c>
      <c r="J3998" t="s">
        <v>1945</v>
      </c>
      <c r="K3998" t="s">
        <v>1918</v>
      </c>
      <c r="L3998" t="s">
        <v>1919</v>
      </c>
      <c r="M3998">
        <v>949</v>
      </c>
      <c r="N3998">
        <v>26.91</v>
      </c>
      <c r="O3998">
        <v>15484.28</v>
      </c>
      <c r="P3998">
        <v>0</v>
      </c>
      <c r="Q3998">
        <v>15484.28</v>
      </c>
      <c r="R3998">
        <v>2477.4899999999998</v>
      </c>
      <c r="S3998">
        <v>619.37</v>
      </c>
      <c r="T3998">
        <v>17342.400000000001</v>
      </c>
      <c r="U3998" t="s">
        <v>8778</v>
      </c>
      <c r="V3998" t="s">
        <v>9408</v>
      </c>
      <c r="W3998" t="s">
        <v>423</v>
      </c>
    </row>
    <row r="3999" spans="1:23" x14ac:dyDescent="0.2">
      <c r="A3999">
        <v>2012</v>
      </c>
      <c r="B3999" t="s">
        <v>304</v>
      </c>
      <c r="C3999" s="733">
        <v>40968</v>
      </c>
      <c r="D39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3999" t="s">
        <v>485</v>
      </c>
      <c r="F3999" t="s">
        <v>2065</v>
      </c>
      <c r="G3999" t="s">
        <v>9156</v>
      </c>
      <c r="H3999">
        <v>42695</v>
      </c>
      <c r="I3999" t="s">
        <v>423</v>
      </c>
      <c r="J3999" t="s">
        <v>3147</v>
      </c>
      <c r="K3999" t="s">
        <v>2183</v>
      </c>
      <c r="L3999" t="s">
        <v>2115</v>
      </c>
      <c r="M3999">
        <v>528</v>
      </c>
      <c r="N3999">
        <v>54.4</v>
      </c>
      <c r="O3999">
        <v>17105.400000000001</v>
      </c>
      <c r="P3999">
        <v>0</v>
      </c>
      <c r="Q3999">
        <v>17105.400000000001</v>
      </c>
      <c r="R3999">
        <v>2736.86</v>
      </c>
      <c r="S3999">
        <v>684.22</v>
      </c>
      <c r="T3999">
        <v>19158.04</v>
      </c>
      <c r="V3999" t="s">
        <v>9409</v>
      </c>
      <c r="W3999" t="s">
        <v>423</v>
      </c>
    </row>
    <row r="4000" spans="1:23" hidden="1" x14ac:dyDescent="0.2">
      <c r="A4000">
        <v>2012</v>
      </c>
      <c r="B4000" t="s">
        <v>304</v>
      </c>
      <c r="C4000" s="733">
        <v>40956</v>
      </c>
      <c r="D40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00" t="s">
        <v>485</v>
      </c>
      <c r="F4000" t="s">
        <v>2065</v>
      </c>
      <c r="G4000" t="s">
        <v>7582</v>
      </c>
      <c r="H4000">
        <v>42031</v>
      </c>
      <c r="I4000" t="s">
        <v>423</v>
      </c>
      <c r="J4000" t="s">
        <v>2135</v>
      </c>
      <c r="K4000" t="s">
        <v>2102</v>
      </c>
      <c r="L4000" t="s">
        <v>2115</v>
      </c>
      <c r="M4000">
        <v>494</v>
      </c>
      <c r="N4000">
        <v>51.75</v>
      </c>
      <c r="O4000">
        <v>17400.939999999999</v>
      </c>
      <c r="P4000">
        <v>0</v>
      </c>
      <c r="Q4000">
        <v>17400.939999999999</v>
      </c>
      <c r="R4000">
        <v>2784.15</v>
      </c>
      <c r="S4000">
        <v>696.04</v>
      </c>
      <c r="T4000">
        <v>19489.05</v>
      </c>
      <c r="U4000" t="s">
        <v>8883</v>
      </c>
      <c r="V4000" t="s">
        <v>9409</v>
      </c>
      <c r="W4000" t="s">
        <v>423</v>
      </c>
    </row>
    <row r="4001" spans="1:23" hidden="1" x14ac:dyDescent="0.2">
      <c r="A4001">
        <v>2012</v>
      </c>
      <c r="B4001" t="s">
        <v>304</v>
      </c>
      <c r="C4001" s="733">
        <v>40962</v>
      </c>
      <c r="D40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01" t="s">
        <v>478</v>
      </c>
      <c r="F4001" t="s">
        <v>2136</v>
      </c>
      <c r="G4001" t="s">
        <v>8672</v>
      </c>
      <c r="H4001">
        <v>35501</v>
      </c>
      <c r="I4001" t="s">
        <v>423</v>
      </c>
      <c r="J4001" t="s">
        <v>5689</v>
      </c>
      <c r="K4001" t="s">
        <v>425</v>
      </c>
      <c r="L4001" t="s">
        <v>2145</v>
      </c>
      <c r="M4001">
        <v>764</v>
      </c>
      <c r="N4001">
        <v>44.48</v>
      </c>
      <c r="O4001">
        <v>14211.36</v>
      </c>
      <c r="P4001">
        <v>0</v>
      </c>
      <c r="Q4001">
        <v>14211.36</v>
      </c>
      <c r="R4001">
        <v>2273.8200000000002</v>
      </c>
      <c r="S4001">
        <v>568.45000000000005</v>
      </c>
      <c r="T4001">
        <v>15916.73</v>
      </c>
      <c r="U4001" t="s">
        <v>8510</v>
      </c>
      <c r="V4001" t="s">
        <v>9409</v>
      </c>
      <c r="W4001" t="s">
        <v>423</v>
      </c>
    </row>
    <row r="4002" spans="1:23" hidden="1" x14ac:dyDescent="0.2">
      <c r="A4002">
        <v>2012</v>
      </c>
      <c r="B4002" t="s">
        <v>303</v>
      </c>
      <c r="C4002" s="733">
        <v>40931</v>
      </c>
      <c r="D40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02" t="s">
        <v>485</v>
      </c>
      <c r="F4002" t="s">
        <v>2065</v>
      </c>
      <c r="G4002" t="s">
        <v>4677</v>
      </c>
      <c r="H4002">
        <v>40708</v>
      </c>
      <c r="I4002" t="s">
        <v>423</v>
      </c>
      <c r="J4002" t="s">
        <v>3147</v>
      </c>
      <c r="K4002" t="s">
        <v>2183</v>
      </c>
      <c r="L4002" t="s">
        <v>2184</v>
      </c>
      <c r="M4002">
        <v>528</v>
      </c>
      <c r="N4002">
        <v>25.8</v>
      </c>
      <c r="O4002">
        <v>7987.68</v>
      </c>
      <c r="P4002">
        <v>0</v>
      </c>
      <c r="Q4002">
        <v>7987.68</v>
      </c>
      <c r="R4002">
        <v>1278.03</v>
      </c>
      <c r="S4002">
        <v>319.51</v>
      </c>
      <c r="T4002">
        <v>8946.2000000000007</v>
      </c>
      <c r="U4002" t="s">
        <v>2187</v>
      </c>
      <c r="V4002" t="s">
        <v>9408</v>
      </c>
      <c r="W4002" t="s">
        <v>423</v>
      </c>
    </row>
    <row r="4003" spans="1:23" hidden="1" x14ac:dyDescent="0.2">
      <c r="A4003">
        <v>2012</v>
      </c>
      <c r="B4003" t="s">
        <v>303</v>
      </c>
      <c r="C4003" s="733">
        <v>40924</v>
      </c>
      <c r="D40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03" t="s">
        <v>485</v>
      </c>
      <c r="F4003" t="s">
        <v>2065</v>
      </c>
      <c r="G4003" t="s">
        <v>4674</v>
      </c>
      <c r="H4003">
        <v>40297</v>
      </c>
      <c r="I4003" t="s">
        <v>423</v>
      </c>
      <c r="J4003" t="s">
        <v>3204</v>
      </c>
      <c r="K4003" t="s">
        <v>2183</v>
      </c>
      <c r="L4003" t="s">
        <v>2184</v>
      </c>
      <c r="M4003">
        <v>80</v>
      </c>
      <c r="N4003">
        <v>50.35</v>
      </c>
      <c r="O4003">
        <v>5683</v>
      </c>
      <c r="P4003">
        <v>0</v>
      </c>
      <c r="Q4003">
        <v>5683</v>
      </c>
      <c r="R4003">
        <v>909.28</v>
      </c>
      <c r="S4003">
        <v>227.32</v>
      </c>
      <c r="T4003">
        <v>6364.96</v>
      </c>
      <c r="U4003" t="s">
        <v>7587</v>
      </c>
      <c r="V4003" t="s">
        <v>9409</v>
      </c>
      <c r="W4003" t="s">
        <v>423</v>
      </c>
    </row>
    <row r="4004" spans="1:23" hidden="1" x14ac:dyDescent="0.2">
      <c r="A4004">
        <v>2012</v>
      </c>
      <c r="B4004" t="s">
        <v>304</v>
      </c>
      <c r="C4004" s="733">
        <v>40960</v>
      </c>
      <c r="D40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04" t="s">
        <v>485</v>
      </c>
      <c r="F4004" t="s">
        <v>2065</v>
      </c>
      <c r="G4004" t="s">
        <v>8046</v>
      </c>
      <c r="H4004">
        <v>42215</v>
      </c>
      <c r="I4004" t="s">
        <v>423</v>
      </c>
      <c r="J4004" t="s">
        <v>3204</v>
      </c>
      <c r="K4004" t="s">
        <v>2183</v>
      </c>
      <c r="L4004" t="s">
        <v>2184</v>
      </c>
      <c r="M4004">
        <v>80</v>
      </c>
      <c r="N4004">
        <v>48.41</v>
      </c>
      <c r="O4004">
        <v>5464.04</v>
      </c>
      <c r="P4004">
        <v>0</v>
      </c>
      <c r="Q4004">
        <v>5464.04</v>
      </c>
      <c r="R4004">
        <v>874.25</v>
      </c>
      <c r="S4004">
        <v>218.56</v>
      </c>
      <c r="T4004">
        <v>6119.73</v>
      </c>
      <c r="U4004" t="s">
        <v>9411</v>
      </c>
      <c r="V4004" t="s">
        <v>9409</v>
      </c>
      <c r="W4004" t="s">
        <v>423</v>
      </c>
    </row>
    <row r="4005" spans="1:23" hidden="1" x14ac:dyDescent="0.2">
      <c r="A4005">
        <v>2012</v>
      </c>
      <c r="B4005" t="s">
        <v>304</v>
      </c>
      <c r="C4005" s="733">
        <v>40967.370381944442</v>
      </c>
      <c r="D40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05" t="s">
        <v>478</v>
      </c>
      <c r="F4005" t="s">
        <v>2136</v>
      </c>
      <c r="G4005" t="s">
        <v>8908</v>
      </c>
      <c r="H4005">
        <v>36087</v>
      </c>
      <c r="I4005" t="s">
        <v>423</v>
      </c>
      <c r="J4005" t="s">
        <v>3797</v>
      </c>
      <c r="K4005" t="s">
        <v>3481</v>
      </c>
      <c r="L4005" t="s">
        <v>3482</v>
      </c>
      <c r="M4005">
        <v>266</v>
      </c>
      <c r="N4005">
        <v>29.37</v>
      </c>
      <c r="O4005">
        <v>6558.91</v>
      </c>
      <c r="P4005">
        <v>0</v>
      </c>
      <c r="Q4005">
        <v>6558.91</v>
      </c>
      <c r="R4005">
        <v>1049.43</v>
      </c>
      <c r="S4005">
        <v>262.36</v>
      </c>
      <c r="T4005">
        <v>7345.98</v>
      </c>
      <c r="U4005" t="s">
        <v>9462</v>
      </c>
      <c r="V4005" t="s">
        <v>9408</v>
      </c>
      <c r="W4005" t="s">
        <v>423</v>
      </c>
    </row>
    <row r="4006" spans="1:23" hidden="1" x14ac:dyDescent="0.2">
      <c r="A4006">
        <v>2012</v>
      </c>
      <c r="B4006" t="s">
        <v>304</v>
      </c>
      <c r="C4006" s="733">
        <v>40962</v>
      </c>
      <c r="D40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06" t="s">
        <v>478</v>
      </c>
      <c r="F4006" t="s">
        <v>3358</v>
      </c>
      <c r="G4006" t="s">
        <v>8673</v>
      </c>
      <c r="H4006">
        <v>35910</v>
      </c>
      <c r="I4006" t="s">
        <v>423</v>
      </c>
      <c r="J4006" t="s">
        <v>3360</v>
      </c>
      <c r="K4006" t="s">
        <v>483</v>
      </c>
      <c r="L4006" t="s">
        <v>3361</v>
      </c>
      <c r="M4006">
        <v>49</v>
      </c>
      <c r="N4006">
        <v>26.5</v>
      </c>
      <c r="O4006">
        <v>2991.06</v>
      </c>
      <c r="P4006">
        <v>0</v>
      </c>
      <c r="Q4006">
        <v>2991.06</v>
      </c>
      <c r="R4006">
        <v>478.57</v>
      </c>
      <c r="S4006">
        <v>119.64</v>
      </c>
      <c r="T4006">
        <v>3349.99</v>
      </c>
      <c r="V4006" t="s">
        <v>9408</v>
      </c>
      <c r="W4006" t="s">
        <v>423</v>
      </c>
    </row>
    <row r="4007" spans="1:23" hidden="1" x14ac:dyDescent="0.2">
      <c r="A4007">
        <v>2012</v>
      </c>
      <c r="B4007" t="s">
        <v>304</v>
      </c>
      <c r="C4007" s="733">
        <v>40947.58798611111</v>
      </c>
      <c r="D40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07" t="s">
        <v>478</v>
      </c>
      <c r="F4007" t="s">
        <v>3358</v>
      </c>
      <c r="G4007" t="s">
        <v>5136</v>
      </c>
      <c r="H4007">
        <v>35453</v>
      </c>
      <c r="I4007" t="s">
        <v>423</v>
      </c>
      <c r="J4007" t="s">
        <v>3360</v>
      </c>
      <c r="K4007" t="s">
        <v>483</v>
      </c>
      <c r="L4007" t="s">
        <v>3361</v>
      </c>
      <c r="M4007">
        <v>49</v>
      </c>
      <c r="N4007">
        <v>27.76</v>
      </c>
      <c r="O4007">
        <v>3133.27</v>
      </c>
      <c r="P4007">
        <v>0</v>
      </c>
      <c r="Q4007">
        <v>3133.27</v>
      </c>
      <c r="R4007">
        <v>501.32</v>
      </c>
      <c r="S4007">
        <v>125.33</v>
      </c>
      <c r="T4007">
        <v>3509.26</v>
      </c>
      <c r="U4007" t="s">
        <v>5137</v>
      </c>
      <c r="V4007" t="s">
        <v>9408</v>
      </c>
      <c r="W4007" t="s">
        <v>423</v>
      </c>
    </row>
    <row r="4008" spans="1:23" hidden="1" x14ac:dyDescent="0.2">
      <c r="A4008">
        <v>2012</v>
      </c>
      <c r="B4008" t="s">
        <v>304</v>
      </c>
      <c r="C4008" s="733">
        <v>40962</v>
      </c>
      <c r="D40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08" t="s">
        <v>505</v>
      </c>
      <c r="F4008" t="s">
        <v>1915</v>
      </c>
      <c r="G4008" t="s">
        <v>8275</v>
      </c>
      <c r="H4008">
        <v>22934</v>
      </c>
      <c r="I4008" t="s">
        <v>423</v>
      </c>
      <c r="J4008" t="s">
        <v>3207</v>
      </c>
      <c r="K4008" t="s">
        <v>1918</v>
      </c>
      <c r="L4008" t="s">
        <v>1919</v>
      </c>
      <c r="M4008">
        <v>334</v>
      </c>
      <c r="N4008">
        <v>50.29</v>
      </c>
      <c r="O4008">
        <v>13887.08</v>
      </c>
      <c r="P4008">
        <v>0</v>
      </c>
      <c r="Q4008">
        <v>13887.08</v>
      </c>
      <c r="R4008">
        <v>2221.9299999999998</v>
      </c>
      <c r="S4008">
        <v>555.48</v>
      </c>
      <c r="T4008">
        <v>15553.53</v>
      </c>
      <c r="U4008" t="s">
        <v>8778</v>
      </c>
      <c r="V4008" t="s">
        <v>9409</v>
      </c>
      <c r="W4008" t="s">
        <v>423</v>
      </c>
    </row>
    <row r="4009" spans="1:23" hidden="1" x14ac:dyDescent="0.2">
      <c r="A4009">
        <v>2012</v>
      </c>
      <c r="B4009" t="s">
        <v>304</v>
      </c>
      <c r="C4009" s="733">
        <v>40941</v>
      </c>
      <c r="D40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09" t="s">
        <v>505</v>
      </c>
      <c r="F4009" t="s">
        <v>1915</v>
      </c>
      <c r="G4009" t="s">
        <v>6914</v>
      </c>
      <c r="H4009">
        <v>22409</v>
      </c>
      <c r="I4009" t="s">
        <v>4233</v>
      </c>
      <c r="J4009" t="s">
        <v>6915</v>
      </c>
      <c r="K4009" t="s">
        <v>1918</v>
      </c>
      <c r="L4009" t="s">
        <v>1919</v>
      </c>
      <c r="M4009">
        <v>733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V4009" t="s">
        <v>9408</v>
      </c>
      <c r="W4009" t="s">
        <v>4233</v>
      </c>
    </row>
    <row r="4010" spans="1:23" hidden="1" x14ac:dyDescent="0.2">
      <c r="A4010">
        <v>2012</v>
      </c>
      <c r="B4010" t="s">
        <v>303</v>
      </c>
      <c r="C4010" s="733">
        <v>40935</v>
      </c>
      <c r="D40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10" t="s">
        <v>505</v>
      </c>
      <c r="F4010" t="s">
        <v>1915</v>
      </c>
      <c r="G4010" t="s">
        <v>6089</v>
      </c>
      <c r="H4010">
        <v>22291</v>
      </c>
      <c r="I4010" t="s">
        <v>423</v>
      </c>
      <c r="J4010" t="s">
        <v>1945</v>
      </c>
      <c r="K4010" t="s">
        <v>1918</v>
      </c>
      <c r="L4010" t="s">
        <v>1919</v>
      </c>
      <c r="M4010">
        <v>949</v>
      </c>
      <c r="N4010">
        <v>25.43</v>
      </c>
      <c r="O4010">
        <v>19024.95</v>
      </c>
      <c r="P4010">
        <v>0</v>
      </c>
      <c r="Q4010">
        <v>19024.95</v>
      </c>
      <c r="R4010">
        <v>3043.99</v>
      </c>
      <c r="S4010">
        <v>761</v>
      </c>
      <c r="T4010">
        <v>21307.94</v>
      </c>
      <c r="U4010" t="s">
        <v>1926</v>
      </c>
      <c r="V4010" t="s">
        <v>9408</v>
      </c>
      <c r="W4010" t="s">
        <v>423</v>
      </c>
    </row>
    <row r="4011" spans="1:23" hidden="1" x14ac:dyDescent="0.2">
      <c r="A4011">
        <v>2012</v>
      </c>
      <c r="B4011" t="s">
        <v>304</v>
      </c>
      <c r="C4011" s="733">
        <v>40962</v>
      </c>
      <c r="D40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11" t="s">
        <v>478</v>
      </c>
      <c r="F4011" t="s">
        <v>3358</v>
      </c>
      <c r="G4011" t="s">
        <v>8650</v>
      </c>
      <c r="H4011">
        <v>35913</v>
      </c>
      <c r="I4011" t="s">
        <v>423</v>
      </c>
      <c r="J4011" t="s">
        <v>4396</v>
      </c>
      <c r="K4011" t="s">
        <v>4397</v>
      </c>
      <c r="L4011" t="s">
        <v>4398</v>
      </c>
      <c r="M4011">
        <v>112</v>
      </c>
      <c r="N4011">
        <v>26.574999999999999</v>
      </c>
      <c r="O4011">
        <v>2999.52</v>
      </c>
      <c r="P4011">
        <v>0</v>
      </c>
      <c r="Q4011">
        <v>2999.52</v>
      </c>
      <c r="R4011">
        <v>479.92</v>
      </c>
      <c r="S4011">
        <v>119.98</v>
      </c>
      <c r="T4011">
        <v>3359.46</v>
      </c>
      <c r="U4011" t="s">
        <v>8982</v>
      </c>
      <c r="V4011" t="s">
        <v>9408</v>
      </c>
      <c r="W4011" t="s">
        <v>423</v>
      </c>
    </row>
    <row r="4012" spans="1:23" hidden="1" x14ac:dyDescent="0.2">
      <c r="A4012">
        <v>2012</v>
      </c>
      <c r="B4012" t="s">
        <v>303</v>
      </c>
      <c r="C4012" s="733">
        <v>40914</v>
      </c>
      <c r="D40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12" t="s">
        <v>505</v>
      </c>
      <c r="F4012" t="s">
        <v>1915</v>
      </c>
      <c r="G4012" t="s">
        <v>6912</v>
      </c>
      <c r="H4012">
        <v>21750</v>
      </c>
      <c r="I4012" t="s">
        <v>423</v>
      </c>
      <c r="J4012" t="s">
        <v>4153</v>
      </c>
      <c r="K4012" t="s">
        <v>1918</v>
      </c>
      <c r="L4012" t="s">
        <v>1919</v>
      </c>
      <c r="M4012">
        <v>850</v>
      </c>
      <c r="N4012">
        <v>24.92</v>
      </c>
      <c r="O4012">
        <v>15571.51</v>
      </c>
      <c r="P4012">
        <v>0</v>
      </c>
      <c r="Q4012">
        <v>15571.51</v>
      </c>
      <c r="R4012">
        <v>2491.44</v>
      </c>
      <c r="S4012">
        <v>622.86</v>
      </c>
      <c r="T4012">
        <v>17440.09</v>
      </c>
      <c r="U4012" t="s">
        <v>1920</v>
      </c>
      <c r="V4012" t="s">
        <v>9408</v>
      </c>
      <c r="W4012" t="s">
        <v>423</v>
      </c>
    </row>
    <row r="4013" spans="1:23" hidden="1" x14ac:dyDescent="0.2">
      <c r="A4013">
        <v>2012</v>
      </c>
      <c r="B4013" t="s">
        <v>303</v>
      </c>
      <c r="C4013" s="733">
        <v>40914</v>
      </c>
      <c r="D40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13" t="s">
        <v>505</v>
      </c>
      <c r="F4013" t="s">
        <v>1915</v>
      </c>
      <c r="G4013" t="s">
        <v>6911</v>
      </c>
      <c r="H4013">
        <v>21757</v>
      </c>
      <c r="I4013" t="s">
        <v>423</v>
      </c>
      <c r="J4013" t="s">
        <v>4153</v>
      </c>
      <c r="K4013" t="s">
        <v>1918</v>
      </c>
      <c r="L4013" t="s">
        <v>1919</v>
      </c>
      <c r="M4013">
        <v>850</v>
      </c>
      <c r="N4013">
        <v>25.33</v>
      </c>
      <c r="O4013">
        <v>15827.7</v>
      </c>
      <c r="P4013">
        <v>0</v>
      </c>
      <c r="Q4013">
        <v>15827.7</v>
      </c>
      <c r="R4013">
        <v>2532.4299999999998</v>
      </c>
      <c r="S4013">
        <v>633.11</v>
      </c>
      <c r="T4013">
        <v>17727.02</v>
      </c>
      <c r="U4013" t="s">
        <v>1920</v>
      </c>
      <c r="V4013" t="s">
        <v>9408</v>
      </c>
      <c r="W4013" t="s">
        <v>423</v>
      </c>
    </row>
    <row r="4014" spans="1:23" hidden="1" x14ac:dyDescent="0.2">
      <c r="A4014">
        <v>2012</v>
      </c>
      <c r="B4014" t="s">
        <v>303</v>
      </c>
      <c r="C4014" s="733">
        <v>40927</v>
      </c>
      <c r="D40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14" t="s">
        <v>505</v>
      </c>
      <c r="F4014" t="s">
        <v>1915</v>
      </c>
      <c r="G4014" t="s">
        <v>6910</v>
      </c>
      <c r="H4014">
        <v>21987</v>
      </c>
      <c r="I4014" t="s">
        <v>423</v>
      </c>
      <c r="J4014" t="s">
        <v>4153</v>
      </c>
      <c r="K4014" t="s">
        <v>1918</v>
      </c>
      <c r="L4014" t="s">
        <v>1919</v>
      </c>
      <c r="M4014">
        <v>850</v>
      </c>
      <c r="N4014">
        <v>49.76</v>
      </c>
      <c r="O4014">
        <v>31093.03</v>
      </c>
      <c r="P4014">
        <v>0</v>
      </c>
      <c r="Q4014">
        <v>31093.03</v>
      </c>
      <c r="R4014">
        <v>4974.8900000000003</v>
      </c>
      <c r="S4014">
        <v>1243.72</v>
      </c>
      <c r="T4014">
        <v>34824.199999999997</v>
      </c>
      <c r="U4014" t="s">
        <v>1936</v>
      </c>
      <c r="V4014" t="s">
        <v>9409</v>
      </c>
      <c r="W4014" t="s">
        <v>423</v>
      </c>
    </row>
    <row r="4015" spans="1:23" hidden="1" x14ac:dyDescent="0.2">
      <c r="A4015">
        <v>2012</v>
      </c>
      <c r="B4015" t="s">
        <v>304</v>
      </c>
      <c r="C4015" s="733">
        <v>40949</v>
      </c>
      <c r="D40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15" t="s">
        <v>505</v>
      </c>
      <c r="F4015" t="s">
        <v>1915</v>
      </c>
      <c r="G4015" t="s">
        <v>6921</v>
      </c>
      <c r="H4015">
        <v>22579</v>
      </c>
      <c r="I4015" t="s">
        <v>423</v>
      </c>
      <c r="J4015" t="s">
        <v>4153</v>
      </c>
      <c r="K4015" t="s">
        <v>1918</v>
      </c>
      <c r="L4015" t="s">
        <v>1919</v>
      </c>
      <c r="M4015">
        <v>850</v>
      </c>
      <c r="N4015">
        <v>49.32</v>
      </c>
      <c r="O4015">
        <v>30818.1</v>
      </c>
      <c r="P4015">
        <v>0</v>
      </c>
      <c r="Q4015">
        <v>30818.1</v>
      </c>
      <c r="R4015">
        <v>4930.8999999999996</v>
      </c>
      <c r="S4015">
        <v>1232.72</v>
      </c>
      <c r="T4015">
        <v>34516.28</v>
      </c>
      <c r="U4015" t="s">
        <v>7522</v>
      </c>
      <c r="V4015" t="s">
        <v>9409</v>
      </c>
      <c r="W4015" t="s">
        <v>423</v>
      </c>
    </row>
    <row r="4016" spans="1:23" hidden="1" x14ac:dyDescent="0.2">
      <c r="A4016">
        <v>2012</v>
      </c>
      <c r="B4016" t="s">
        <v>304</v>
      </c>
      <c r="C4016" s="733">
        <v>40947.58630787037</v>
      </c>
      <c r="D40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16" t="s">
        <v>478</v>
      </c>
      <c r="F4016" t="s">
        <v>3358</v>
      </c>
      <c r="G4016" t="s">
        <v>5142</v>
      </c>
      <c r="H4016">
        <v>35450</v>
      </c>
      <c r="I4016" t="s">
        <v>423</v>
      </c>
      <c r="J4016" t="s">
        <v>4396</v>
      </c>
      <c r="K4016" t="s">
        <v>4397</v>
      </c>
      <c r="L4016" t="s">
        <v>4398</v>
      </c>
      <c r="M4016">
        <v>112</v>
      </c>
      <c r="N4016">
        <v>26.34</v>
      </c>
      <c r="O4016">
        <v>2973</v>
      </c>
      <c r="P4016">
        <v>0</v>
      </c>
      <c r="Q4016">
        <v>2973</v>
      </c>
      <c r="R4016">
        <v>475.68</v>
      </c>
      <c r="S4016">
        <v>118.92</v>
      </c>
      <c r="T4016">
        <v>3329.76</v>
      </c>
      <c r="U4016" t="s">
        <v>4503</v>
      </c>
      <c r="V4016" t="s">
        <v>9408</v>
      </c>
      <c r="W4016" t="s">
        <v>423</v>
      </c>
    </row>
    <row r="4017" spans="1:23" hidden="1" x14ac:dyDescent="0.2">
      <c r="A4017">
        <v>2012</v>
      </c>
      <c r="B4017" t="s">
        <v>303</v>
      </c>
      <c r="C4017" s="733">
        <v>40933</v>
      </c>
      <c r="D40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17" t="s">
        <v>478</v>
      </c>
      <c r="F4017" t="s">
        <v>4128</v>
      </c>
      <c r="G4017" t="s">
        <v>5143</v>
      </c>
      <c r="H4017">
        <v>34922</v>
      </c>
      <c r="I4017" t="s">
        <v>423</v>
      </c>
      <c r="J4017" t="s">
        <v>4396</v>
      </c>
      <c r="K4017" t="s">
        <v>4397</v>
      </c>
      <c r="L4017" t="s">
        <v>4398</v>
      </c>
      <c r="M4017">
        <v>112</v>
      </c>
      <c r="N4017">
        <v>27.535</v>
      </c>
      <c r="O4017">
        <v>3107.88</v>
      </c>
      <c r="P4017">
        <v>0</v>
      </c>
      <c r="Q4017">
        <v>3107.88</v>
      </c>
      <c r="R4017">
        <v>497.26</v>
      </c>
      <c r="S4017">
        <v>124.32</v>
      </c>
      <c r="T4017">
        <v>3480.82</v>
      </c>
      <c r="U4017" t="s">
        <v>4402</v>
      </c>
      <c r="V4017" t="s">
        <v>9408</v>
      </c>
      <c r="W4017" t="s">
        <v>423</v>
      </c>
    </row>
    <row r="4018" spans="1:23" hidden="1" x14ac:dyDescent="0.2">
      <c r="A4018">
        <v>2012</v>
      </c>
      <c r="B4018" t="s">
        <v>304</v>
      </c>
      <c r="C4018" s="733">
        <v>40966</v>
      </c>
      <c r="D40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18" t="s">
        <v>478</v>
      </c>
      <c r="F4018" t="s">
        <v>2136</v>
      </c>
      <c r="G4018" t="s">
        <v>9181</v>
      </c>
      <c r="H4018">
        <v>36026</v>
      </c>
      <c r="I4018" t="s">
        <v>423</v>
      </c>
      <c r="J4018" t="s">
        <v>4289</v>
      </c>
      <c r="K4018" t="s">
        <v>425</v>
      </c>
      <c r="L4018" t="s">
        <v>2145</v>
      </c>
      <c r="M4018">
        <v>775</v>
      </c>
      <c r="N4018">
        <v>22.64</v>
      </c>
      <c r="O4018">
        <v>8669.5400000000009</v>
      </c>
      <c r="P4018">
        <v>0</v>
      </c>
      <c r="Q4018">
        <v>8669.5400000000009</v>
      </c>
      <c r="R4018">
        <v>1387.13</v>
      </c>
      <c r="S4018">
        <v>346.78</v>
      </c>
      <c r="T4018">
        <v>9709.89</v>
      </c>
      <c r="U4018" t="s">
        <v>9430</v>
      </c>
      <c r="V4018" t="s">
        <v>9408</v>
      </c>
      <c r="W4018" t="s">
        <v>423</v>
      </c>
    </row>
    <row r="4019" spans="1:23" hidden="1" x14ac:dyDescent="0.2">
      <c r="A4019">
        <v>2012</v>
      </c>
      <c r="B4019" t="s">
        <v>304</v>
      </c>
      <c r="C4019" s="733">
        <v>40962</v>
      </c>
      <c r="D40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19" t="s">
        <v>478</v>
      </c>
      <c r="F4019" t="s">
        <v>2136</v>
      </c>
      <c r="G4019" t="s">
        <v>8651</v>
      </c>
      <c r="H4019">
        <v>35324</v>
      </c>
      <c r="I4019" t="s">
        <v>423</v>
      </c>
      <c r="J4019" t="s">
        <v>4294</v>
      </c>
      <c r="K4019" t="s">
        <v>425</v>
      </c>
      <c r="L4019" t="s">
        <v>2145</v>
      </c>
      <c r="M4019">
        <v>1089</v>
      </c>
      <c r="N4019">
        <v>40</v>
      </c>
      <c r="O4019">
        <v>20190.8</v>
      </c>
      <c r="P4019">
        <v>0</v>
      </c>
      <c r="Q4019">
        <v>20190.8</v>
      </c>
      <c r="R4019">
        <v>3230.53</v>
      </c>
      <c r="S4019">
        <v>807.63</v>
      </c>
      <c r="T4019">
        <v>22613.7</v>
      </c>
      <c r="U4019" t="s">
        <v>9455</v>
      </c>
      <c r="V4019" t="s">
        <v>9408</v>
      </c>
      <c r="W4019" t="s">
        <v>423</v>
      </c>
    </row>
    <row r="4020" spans="1:23" hidden="1" x14ac:dyDescent="0.2">
      <c r="A4020">
        <v>2012</v>
      </c>
      <c r="B4020" t="s">
        <v>303</v>
      </c>
      <c r="C4020" s="733">
        <v>40926</v>
      </c>
      <c r="D40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20" t="s">
        <v>485</v>
      </c>
      <c r="F4020" t="s">
        <v>2084</v>
      </c>
      <c r="G4020" t="s">
        <v>5133</v>
      </c>
      <c r="H4020">
        <v>40157</v>
      </c>
      <c r="I4020" t="s">
        <v>423</v>
      </c>
      <c r="J4020" t="s">
        <v>3355</v>
      </c>
      <c r="K4020" t="s">
        <v>2814</v>
      </c>
      <c r="L4020" t="s">
        <v>2815</v>
      </c>
      <c r="M4020">
        <v>417</v>
      </c>
      <c r="N4020">
        <v>23.402000000000001</v>
      </c>
      <c r="O4020">
        <v>6493.35</v>
      </c>
      <c r="P4020">
        <v>0</v>
      </c>
      <c r="Q4020">
        <v>6493.35</v>
      </c>
      <c r="R4020">
        <v>1038.94</v>
      </c>
      <c r="S4020">
        <v>259.73</v>
      </c>
      <c r="T4020">
        <v>7272.56</v>
      </c>
      <c r="U4020" t="s">
        <v>2826</v>
      </c>
      <c r="V4020" t="s">
        <v>9408</v>
      </c>
      <c r="W4020" t="s">
        <v>423</v>
      </c>
    </row>
    <row r="4021" spans="1:23" hidden="1" x14ac:dyDescent="0.2">
      <c r="A4021">
        <v>2012</v>
      </c>
      <c r="B4021" t="s">
        <v>304</v>
      </c>
      <c r="C4021" s="733">
        <v>40940</v>
      </c>
      <c r="D40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21" t="s">
        <v>485</v>
      </c>
      <c r="F4021" t="s">
        <v>2084</v>
      </c>
      <c r="G4021" t="s">
        <v>5134</v>
      </c>
      <c r="H4021">
        <v>41138</v>
      </c>
      <c r="I4021" t="s">
        <v>423</v>
      </c>
      <c r="J4021" t="s">
        <v>3355</v>
      </c>
      <c r="K4021" t="s">
        <v>2814</v>
      </c>
      <c r="L4021" t="s">
        <v>2815</v>
      </c>
      <c r="M4021">
        <v>417</v>
      </c>
      <c r="N4021">
        <v>23.408999999999999</v>
      </c>
      <c r="O4021">
        <v>6495.3</v>
      </c>
      <c r="P4021">
        <v>0</v>
      </c>
      <c r="Q4021">
        <v>6495.3</v>
      </c>
      <c r="R4021">
        <v>1039.25</v>
      </c>
      <c r="S4021">
        <v>259.81</v>
      </c>
      <c r="T4021">
        <v>7274.74</v>
      </c>
      <c r="U4021" t="s">
        <v>8522</v>
      </c>
      <c r="V4021" t="s">
        <v>9408</v>
      </c>
      <c r="W4021" t="s">
        <v>423</v>
      </c>
    </row>
    <row r="4022" spans="1:23" hidden="1" x14ac:dyDescent="0.2">
      <c r="A4022">
        <v>2012</v>
      </c>
      <c r="B4022" t="s">
        <v>303</v>
      </c>
      <c r="C4022" s="733">
        <v>40932</v>
      </c>
      <c r="D40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22" t="s">
        <v>485</v>
      </c>
      <c r="F4022" t="s">
        <v>2084</v>
      </c>
      <c r="G4022" t="s">
        <v>3514</v>
      </c>
      <c r="H4022">
        <v>40443</v>
      </c>
      <c r="I4022" t="s">
        <v>423</v>
      </c>
      <c r="J4022" t="s">
        <v>3355</v>
      </c>
      <c r="K4022" t="s">
        <v>2814</v>
      </c>
      <c r="L4022" t="s">
        <v>2815</v>
      </c>
      <c r="M4022">
        <v>417</v>
      </c>
      <c r="N4022">
        <v>24.201000000000001</v>
      </c>
      <c r="O4022">
        <v>6715.05</v>
      </c>
      <c r="P4022">
        <v>0</v>
      </c>
      <c r="Q4022">
        <v>6715.05</v>
      </c>
      <c r="R4022">
        <v>1074.4100000000001</v>
      </c>
      <c r="S4022">
        <v>268.60000000000002</v>
      </c>
      <c r="T4022">
        <v>7520.86</v>
      </c>
      <c r="U4022" t="s">
        <v>2826</v>
      </c>
      <c r="V4022" t="s">
        <v>9408</v>
      </c>
      <c r="W4022" t="s">
        <v>423</v>
      </c>
    </row>
    <row r="4023" spans="1:23" hidden="1" x14ac:dyDescent="0.2">
      <c r="A4023">
        <v>2012</v>
      </c>
      <c r="B4023" t="s">
        <v>303</v>
      </c>
      <c r="C4023" s="733">
        <v>40938</v>
      </c>
      <c r="D40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23" t="s">
        <v>485</v>
      </c>
      <c r="F4023" t="s">
        <v>2084</v>
      </c>
      <c r="G4023" t="s">
        <v>3515</v>
      </c>
      <c r="H4023">
        <v>39852</v>
      </c>
      <c r="I4023" t="s">
        <v>423</v>
      </c>
      <c r="J4023" t="s">
        <v>3355</v>
      </c>
      <c r="K4023" t="s">
        <v>2814</v>
      </c>
      <c r="L4023" t="s">
        <v>2815</v>
      </c>
      <c r="M4023">
        <v>417</v>
      </c>
      <c r="N4023">
        <v>24.212</v>
      </c>
      <c r="O4023">
        <v>6718.1</v>
      </c>
      <c r="P4023">
        <v>0</v>
      </c>
      <c r="Q4023">
        <v>6718.1</v>
      </c>
      <c r="R4023">
        <v>1074.9000000000001</v>
      </c>
      <c r="S4023">
        <v>268.72000000000003</v>
      </c>
      <c r="T4023">
        <v>7524.28</v>
      </c>
      <c r="U4023" t="s">
        <v>2826</v>
      </c>
      <c r="V4023" t="s">
        <v>9408</v>
      </c>
      <c r="W4023" t="s">
        <v>423</v>
      </c>
    </row>
    <row r="4024" spans="1:23" hidden="1" x14ac:dyDescent="0.2">
      <c r="A4024">
        <v>2012</v>
      </c>
      <c r="B4024" t="s">
        <v>303</v>
      </c>
      <c r="C4024" s="733">
        <v>40926</v>
      </c>
      <c r="D40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24" t="s">
        <v>485</v>
      </c>
      <c r="F4024" t="s">
        <v>3450</v>
      </c>
      <c r="G4024" t="s">
        <v>5330</v>
      </c>
      <c r="H4024">
        <v>40284</v>
      </c>
      <c r="I4024" t="s">
        <v>423</v>
      </c>
      <c r="J4024" t="s">
        <v>3952</v>
      </c>
      <c r="K4024" t="s">
        <v>3953</v>
      </c>
      <c r="L4024" t="s">
        <v>3454</v>
      </c>
      <c r="M4024">
        <v>54</v>
      </c>
      <c r="N4024">
        <v>27.75</v>
      </c>
      <c r="O4024">
        <v>3132.14</v>
      </c>
      <c r="P4024">
        <v>0</v>
      </c>
      <c r="Q4024">
        <v>3132.14</v>
      </c>
      <c r="R4024">
        <v>501.14</v>
      </c>
      <c r="S4024">
        <v>125.29</v>
      </c>
      <c r="T4024">
        <v>3507.99</v>
      </c>
      <c r="U4024" t="s">
        <v>3640</v>
      </c>
      <c r="V4024" t="s">
        <v>9408</v>
      </c>
      <c r="W4024" t="s">
        <v>423</v>
      </c>
    </row>
    <row r="4025" spans="1:23" hidden="1" x14ac:dyDescent="0.2">
      <c r="A4025">
        <v>2012</v>
      </c>
      <c r="B4025" t="s">
        <v>304</v>
      </c>
      <c r="C4025" s="733">
        <v>40948</v>
      </c>
      <c r="D40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25" t="s">
        <v>485</v>
      </c>
      <c r="F4025" t="s">
        <v>3450</v>
      </c>
      <c r="G4025" t="s">
        <v>5329</v>
      </c>
      <c r="H4025">
        <v>40160</v>
      </c>
      <c r="I4025" t="s">
        <v>423</v>
      </c>
      <c r="J4025" t="s">
        <v>3952</v>
      </c>
      <c r="K4025" t="s">
        <v>3953</v>
      </c>
      <c r="L4025" t="s">
        <v>3454</v>
      </c>
      <c r="M4025">
        <v>54</v>
      </c>
      <c r="N4025">
        <v>28.78</v>
      </c>
      <c r="O4025">
        <v>3248.4</v>
      </c>
      <c r="P4025">
        <v>0</v>
      </c>
      <c r="Q4025">
        <v>3248.4</v>
      </c>
      <c r="R4025">
        <v>519.74</v>
      </c>
      <c r="S4025">
        <v>129.94</v>
      </c>
      <c r="T4025">
        <v>3638.2</v>
      </c>
      <c r="U4025" t="s">
        <v>3455</v>
      </c>
      <c r="V4025" t="s">
        <v>9408</v>
      </c>
      <c r="W4025" t="s">
        <v>423</v>
      </c>
    </row>
    <row r="4026" spans="1:23" hidden="1" x14ac:dyDescent="0.2">
      <c r="A4026">
        <v>2012</v>
      </c>
      <c r="B4026" t="s">
        <v>304</v>
      </c>
      <c r="C4026" s="733">
        <v>40953</v>
      </c>
      <c r="D40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26" t="s">
        <v>485</v>
      </c>
      <c r="F4026" t="s">
        <v>3450</v>
      </c>
      <c r="G4026" t="s">
        <v>5770</v>
      </c>
      <c r="H4026">
        <v>41676</v>
      </c>
      <c r="I4026" t="s">
        <v>423</v>
      </c>
      <c r="J4026" t="s">
        <v>3452</v>
      </c>
      <c r="K4026" t="s">
        <v>3453</v>
      </c>
      <c r="L4026" t="s">
        <v>3454</v>
      </c>
      <c r="M4026">
        <v>19</v>
      </c>
      <c r="N4026">
        <v>27.8</v>
      </c>
      <c r="O4026">
        <v>3137.79</v>
      </c>
      <c r="P4026">
        <v>0</v>
      </c>
      <c r="Q4026">
        <v>3137.79</v>
      </c>
      <c r="R4026">
        <v>502.05</v>
      </c>
      <c r="S4026">
        <v>125.51</v>
      </c>
      <c r="T4026">
        <v>3514.33</v>
      </c>
      <c r="U4026" t="s">
        <v>7533</v>
      </c>
      <c r="V4026" t="s">
        <v>9408</v>
      </c>
      <c r="W4026" t="s">
        <v>423</v>
      </c>
    </row>
    <row r="4027" spans="1:23" hidden="1" x14ac:dyDescent="0.2">
      <c r="A4027">
        <v>2012</v>
      </c>
      <c r="B4027" t="s">
        <v>304</v>
      </c>
      <c r="C4027" s="733">
        <v>40953</v>
      </c>
      <c r="D40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27" t="s">
        <v>485</v>
      </c>
      <c r="F4027" t="s">
        <v>3450</v>
      </c>
      <c r="G4027" t="s">
        <v>5771</v>
      </c>
      <c r="H4027">
        <v>41679</v>
      </c>
      <c r="I4027" t="s">
        <v>423</v>
      </c>
      <c r="J4027" t="s">
        <v>3452</v>
      </c>
      <c r="K4027" t="s">
        <v>3453</v>
      </c>
      <c r="L4027" t="s">
        <v>3454</v>
      </c>
      <c r="M4027">
        <v>19</v>
      </c>
      <c r="N4027">
        <v>27.18</v>
      </c>
      <c r="O4027">
        <v>3067.81</v>
      </c>
      <c r="P4027">
        <v>0</v>
      </c>
      <c r="Q4027">
        <v>3067.81</v>
      </c>
      <c r="R4027">
        <v>490.85</v>
      </c>
      <c r="S4027">
        <v>122.71</v>
      </c>
      <c r="T4027">
        <v>3435.95</v>
      </c>
      <c r="U4027" t="s">
        <v>7533</v>
      </c>
      <c r="V4027" t="s">
        <v>9408</v>
      </c>
      <c r="W4027" t="s">
        <v>423</v>
      </c>
    </row>
    <row r="4028" spans="1:23" hidden="1" x14ac:dyDescent="0.2">
      <c r="A4028">
        <v>2012</v>
      </c>
      <c r="B4028" t="s">
        <v>303</v>
      </c>
      <c r="C4028" s="733">
        <v>40926</v>
      </c>
      <c r="D40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28" t="s">
        <v>485</v>
      </c>
      <c r="F4028" t="s">
        <v>3450</v>
      </c>
      <c r="G4028" t="s">
        <v>5769</v>
      </c>
      <c r="H4028">
        <v>40282</v>
      </c>
      <c r="I4028" t="s">
        <v>423</v>
      </c>
      <c r="J4028" t="s">
        <v>3452</v>
      </c>
      <c r="K4028" t="s">
        <v>3453</v>
      </c>
      <c r="L4028" t="s">
        <v>3454</v>
      </c>
      <c r="M4028">
        <v>19</v>
      </c>
      <c r="N4028">
        <v>27.57</v>
      </c>
      <c r="O4028">
        <v>3111.83</v>
      </c>
      <c r="P4028">
        <v>0</v>
      </c>
      <c r="Q4028">
        <v>3111.83</v>
      </c>
      <c r="R4028">
        <v>497.89</v>
      </c>
      <c r="S4028">
        <v>124.47</v>
      </c>
      <c r="T4028">
        <v>3485.25</v>
      </c>
      <c r="U4028" t="s">
        <v>3459</v>
      </c>
      <c r="V4028" t="s">
        <v>9408</v>
      </c>
      <c r="W4028" t="s">
        <v>423</v>
      </c>
    </row>
    <row r="4029" spans="1:23" hidden="1" x14ac:dyDescent="0.2">
      <c r="A4029">
        <v>2012</v>
      </c>
      <c r="B4029" t="s">
        <v>304</v>
      </c>
      <c r="C4029" s="733">
        <v>40953</v>
      </c>
      <c r="D40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29" t="s">
        <v>485</v>
      </c>
      <c r="F4029" t="s">
        <v>3450</v>
      </c>
      <c r="G4029" t="s">
        <v>5772</v>
      </c>
      <c r="H4029">
        <v>41671</v>
      </c>
      <c r="I4029" t="s">
        <v>423</v>
      </c>
      <c r="J4029" t="s">
        <v>3452</v>
      </c>
      <c r="K4029" t="s">
        <v>3453</v>
      </c>
      <c r="L4029" t="s">
        <v>3454</v>
      </c>
      <c r="M4029">
        <v>19</v>
      </c>
      <c r="N4029">
        <v>27.76</v>
      </c>
      <c r="O4029">
        <v>3133.27</v>
      </c>
      <c r="P4029">
        <v>0</v>
      </c>
      <c r="Q4029">
        <v>3133.27</v>
      </c>
      <c r="R4029">
        <v>501.32</v>
      </c>
      <c r="S4029">
        <v>125.33</v>
      </c>
      <c r="T4029">
        <v>3509.26</v>
      </c>
      <c r="U4029" t="s">
        <v>7533</v>
      </c>
      <c r="V4029" t="s">
        <v>9408</v>
      </c>
      <c r="W4029" t="s">
        <v>423</v>
      </c>
    </row>
    <row r="4030" spans="1:23" hidden="1" x14ac:dyDescent="0.2">
      <c r="A4030">
        <v>2012</v>
      </c>
      <c r="B4030" t="s">
        <v>304</v>
      </c>
      <c r="C4030" s="733">
        <v>40948</v>
      </c>
      <c r="D40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30" t="s">
        <v>485</v>
      </c>
      <c r="F4030" t="s">
        <v>3450</v>
      </c>
      <c r="G4030" t="s">
        <v>5767</v>
      </c>
      <c r="H4030">
        <v>41461</v>
      </c>
      <c r="I4030" t="s">
        <v>423</v>
      </c>
      <c r="J4030" t="s">
        <v>3452</v>
      </c>
      <c r="K4030" t="s">
        <v>3453</v>
      </c>
      <c r="L4030" t="s">
        <v>3454</v>
      </c>
      <c r="M4030">
        <v>19</v>
      </c>
      <c r="N4030">
        <v>24.51</v>
      </c>
      <c r="O4030">
        <v>2766.44</v>
      </c>
      <c r="P4030">
        <v>0</v>
      </c>
      <c r="Q4030">
        <v>2766.44</v>
      </c>
      <c r="R4030">
        <v>442.63</v>
      </c>
      <c r="S4030">
        <v>110.66</v>
      </c>
      <c r="T4030">
        <v>3098.41</v>
      </c>
      <c r="U4030" t="s">
        <v>3455</v>
      </c>
      <c r="V4030" t="s">
        <v>9408</v>
      </c>
      <c r="W4030" t="s">
        <v>423</v>
      </c>
    </row>
    <row r="4031" spans="1:23" hidden="1" x14ac:dyDescent="0.2">
      <c r="A4031">
        <v>2012</v>
      </c>
      <c r="B4031" t="s">
        <v>303</v>
      </c>
      <c r="C4031" s="733">
        <v>40925</v>
      </c>
      <c r="D40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31" t="s">
        <v>478</v>
      </c>
      <c r="F4031" t="s">
        <v>2136</v>
      </c>
      <c r="G4031" t="s">
        <v>6977</v>
      </c>
      <c r="H4031">
        <v>34566</v>
      </c>
      <c r="I4031" t="s">
        <v>423</v>
      </c>
      <c r="J4031" t="s">
        <v>4279</v>
      </c>
      <c r="K4031" t="s">
        <v>425</v>
      </c>
      <c r="L4031" t="s">
        <v>2145</v>
      </c>
      <c r="M4031">
        <v>381</v>
      </c>
      <c r="N4031">
        <v>51.11</v>
      </c>
      <c r="O4031">
        <v>12797.43</v>
      </c>
      <c r="P4031">
        <v>0</v>
      </c>
      <c r="Q4031">
        <v>12797.43</v>
      </c>
      <c r="R4031">
        <v>2047.59</v>
      </c>
      <c r="S4031">
        <v>511.9</v>
      </c>
      <c r="T4031">
        <v>14333.12</v>
      </c>
      <c r="U4031" t="s">
        <v>2146</v>
      </c>
      <c r="V4031" t="s">
        <v>9409</v>
      </c>
      <c r="W4031" t="s">
        <v>423</v>
      </c>
    </row>
    <row r="4032" spans="1:23" x14ac:dyDescent="0.2">
      <c r="A4032">
        <v>2012</v>
      </c>
      <c r="B4032" t="s">
        <v>304</v>
      </c>
      <c r="C4032" s="733">
        <v>40968</v>
      </c>
      <c r="D40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32" t="s">
        <v>485</v>
      </c>
      <c r="F4032" t="s">
        <v>3450</v>
      </c>
      <c r="G4032" t="s">
        <v>9485</v>
      </c>
      <c r="H4032">
        <v>42671</v>
      </c>
      <c r="I4032" t="s">
        <v>423</v>
      </c>
      <c r="J4032" t="s">
        <v>3452</v>
      </c>
      <c r="K4032" t="s">
        <v>3453</v>
      </c>
      <c r="L4032" t="s">
        <v>3454</v>
      </c>
      <c r="M4032">
        <v>19</v>
      </c>
      <c r="N4032">
        <v>25.72</v>
      </c>
      <c r="O4032">
        <v>2903.02</v>
      </c>
      <c r="P4032">
        <v>0</v>
      </c>
      <c r="Q4032">
        <v>2903.02</v>
      </c>
      <c r="R4032">
        <v>464.48</v>
      </c>
      <c r="S4032">
        <v>116.12</v>
      </c>
      <c r="T4032">
        <v>3251.38</v>
      </c>
      <c r="V4032" t="s">
        <v>9408</v>
      </c>
      <c r="W4032" t="s">
        <v>423</v>
      </c>
    </row>
    <row r="4033" spans="1:23" x14ac:dyDescent="0.2">
      <c r="A4033">
        <v>2012</v>
      </c>
      <c r="B4033" t="s">
        <v>304</v>
      </c>
      <c r="C4033" s="733">
        <v>40968</v>
      </c>
      <c r="D40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33" t="s">
        <v>485</v>
      </c>
      <c r="F4033" t="s">
        <v>3450</v>
      </c>
      <c r="G4033" t="s">
        <v>9486</v>
      </c>
      <c r="H4033">
        <v>42325</v>
      </c>
      <c r="I4033" t="s">
        <v>423</v>
      </c>
      <c r="J4033" t="s">
        <v>3452</v>
      </c>
      <c r="K4033" t="s">
        <v>3453</v>
      </c>
      <c r="L4033" t="s">
        <v>3454</v>
      </c>
      <c r="M4033">
        <v>19</v>
      </c>
      <c r="N4033">
        <v>27.97</v>
      </c>
      <c r="O4033">
        <v>3156.97</v>
      </c>
      <c r="P4033">
        <v>0</v>
      </c>
      <c r="Q4033">
        <v>3156.97</v>
      </c>
      <c r="R4033">
        <v>505.12</v>
      </c>
      <c r="S4033">
        <v>126.28</v>
      </c>
      <c r="T4033">
        <v>3535.81</v>
      </c>
      <c r="V4033" t="s">
        <v>9408</v>
      </c>
      <c r="W4033" t="s">
        <v>423</v>
      </c>
    </row>
    <row r="4034" spans="1:23" hidden="1" x14ac:dyDescent="0.2">
      <c r="A4034">
        <v>2012</v>
      </c>
      <c r="B4034" t="s">
        <v>303</v>
      </c>
      <c r="C4034" s="733">
        <v>40926</v>
      </c>
      <c r="D40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34" t="s">
        <v>485</v>
      </c>
      <c r="F4034" t="s">
        <v>3450</v>
      </c>
      <c r="G4034" t="s">
        <v>5774</v>
      </c>
      <c r="H4034">
        <v>40285</v>
      </c>
      <c r="I4034" t="s">
        <v>423</v>
      </c>
      <c r="J4034" t="s">
        <v>3457</v>
      </c>
      <c r="K4034" t="s">
        <v>3453</v>
      </c>
      <c r="L4034" t="s">
        <v>3454</v>
      </c>
      <c r="M4034">
        <v>29</v>
      </c>
      <c r="N4034">
        <v>27.5</v>
      </c>
      <c r="O4034">
        <v>3103.92</v>
      </c>
      <c r="P4034">
        <v>0</v>
      </c>
      <c r="Q4034">
        <v>3103.92</v>
      </c>
      <c r="R4034">
        <v>496.63</v>
      </c>
      <c r="S4034">
        <v>124.16</v>
      </c>
      <c r="T4034">
        <v>3476.39</v>
      </c>
      <c r="U4034" t="s">
        <v>3459</v>
      </c>
      <c r="V4034" t="s">
        <v>9408</v>
      </c>
      <c r="W4034" t="s">
        <v>423</v>
      </c>
    </row>
    <row r="4035" spans="1:23" hidden="1" x14ac:dyDescent="0.2">
      <c r="A4035">
        <v>2012</v>
      </c>
      <c r="B4035" t="s">
        <v>303</v>
      </c>
      <c r="C4035" s="733">
        <v>40931</v>
      </c>
      <c r="D40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35" t="s">
        <v>485</v>
      </c>
      <c r="F4035" t="s">
        <v>3450</v>
      </c>
      <c r="G4035" t="s">
        <v>5773</v>
      </c>
      <c r="H4035">
        <v>40158</v>
      </c>
      <c r="I4035" t="s">
        <v>423</v>
      </c>
      <c r="J4035" t="s">
        <v>3457</v>
      </c>
      <c r="K4035" t="s">
        <v>3453</v>
      </c>
      <c r="L4035" t="s">
        <v>3454</v>
      </c>
      <c r="M4035">
        <v>29</v>
      </c>
      <c r="N4035">
        <v>25.57</v>
      </c>
      <c r="O4035">
        <v>2886.09</v>
      </c>
      <c r="P4035">
        <v>0</v>
      </c>
      <c r="Q4035">
        <v>2886.09</v>
      </c>
      <c r="R4035">
        <v>461.77</v>
      </c>
      <c r="S4035">
        <v>115.44</v>
      </c>
      <c r="T4035">
        <v>3232.42</v>
      </c>
      <c r="U4035" t="s">
        <v>3459</v>
      </c>
      <c r="V4035" t="s">
        <v>9408</v>
      </c>
      <c r="W4035" t="s">
        <v>423</v>
      </c>
    </row>
    <row r="4036" spans="1:23" hidden="1" x14ac:dyDescent="0.2">
      <c r="A4036">
        <v>2012</v>
      </c>
      <c r="B4036" t="s">
        <v>303</v>
      </c>
      <c r="C4036" s="733">
        <v>40933</v>
      </c>
      <c r="D40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36" t="s">
        <v>478</v>
      </c>
      <c r="F4036" t="s">
        <v>4128</v>
      </c>
      <c r="G4036" t="s">
        <v>5985</v>
      </c>
      <c r="H4036">
        <v>34918</v>
      </c>
      <c r="I4036" t="s">
        <v>423</v>
      </c>
      <c r="J4036" t="s">
        <v>4509</v>
      </c>
      <c r="K4036" t="s">
        <v>4397</v>
      </c>
      <c r="L4036" t="s">
        <v>4398</v>
      </c>
      <c r="M4036">
        <v>183</v>
      </c>
      <c r="N4036">
        <v>27.155000000000001</v>
      </c>
      <c r="O4036">
        <v>4690.21</v>
      </c>
      <c r="P4036">
        <v>0</v>
      </c>
      <c r="Q4036">
        <v>4690.21</v>
      </c>
      <c r="R4036">
        <v>750.43</v>
      </c>
      <c r="S4036">
        <v>187.61</v>
      </c>
      <c r="T4036">
        <v>5253.03</v>
      </c>
      <c r="U4036" t="s">
        <v>7540</v>
      </c>
      <c r="V4036" t="s">
        <v>9408</v>
      </c>
      <c r="W4036" t="s">
        <v>423</v>
      </c>
    </row>
    <row r="4037" spans="1:23" hidden="1" x14ac:dyDescent="0.2">
      <c r="A4037">
        <v>2012</v>
      </c>
      <c r="B4037" t="s">
        <v>304</v>
      </c>
      <c r="C4037" s="733">
        <v>40947.583715277775</v>
      </c>
      <c r="D40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37" t="s">
        <v>478</v>
      </c>
      <c r="F4037" t="s">
        <v>3358</v>
      </c>
      <c r="G4037" t="s">
        <v>5983</v>
      </c>
      <c r="H4037">
        <v>35446</v>
      </c>
      <c r="I4037" t="s">
        <v>423</v>
      </c>
      <c r="J4037" t="s">
        <v>4509</v>
      </c>
      <c r="K4037" t="s">
        <v>4397</v>
      </c>
      <c r="L4037" t="s">
        <v>4398</v>
      </c>
      <c r="M4037">
        <v>183</v>
      </c>
      <c r="N4037">
        <v>27.32</v>
      </c>
      <c r="O4037">
        <v>4718.71</v>
      </c>
      <c r="P4037">
        <v>0</v>
      </c>
      <c r="Q4037">
        <v>4718.71</v>
      </c>
      <c r="R4037">
        <v>754.99</v>
      </c>
      <c r="S4037">
        <v>188.75</v>
      </c>
      <c r="T4037">
        <v>5284.95</v>
      </c>
      <c r="U4037" t="s">
        <v>4503</v>
      </c>
      <c r="V4037" t="s">
        <v>9408</v>
      </c>
      <c r="W4037" t="s">
        <v>423</v>
      </c>
    </row>
    <row r="4038" spans="1:23" hidden="1" x14ac:dyDescent="0.2">
      <c r="A4038">
        <v>2012</v>
      </c>
      <c r="B4038" t="s">
        <v>304</v>
      </c>
      <c r="C4038" s="733">
        <v>40947.585636574076</v>
      </c>
      <c r="D40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38" t="s">
        <v>478</v>
      </c>
      <c r="F4038" t="s">
        <v>3358</v>
      </c>
      <c r="G4038" t="s">
        <v>5984</v>
      </c>
      <c r="H4038">
        <v>35449</v>
      </c>
      <c r="I4038" t="s">
        <v>423</v>
      </c>
      <c r="J4038" t="s">
        <v>4509</v>
      </c>
      <c r="K4038" t="s">
        <v>4397</v>
      </c>
      <c r="L4038" t="s">
        <v>4398</v>
      </c>
      <c r="M4038">
        <v>183</v>
      </c>
      <c r="N4038">
        <v>30.99</v>
      </c>
      <c r="O4038">
        <v>5352.59</v>
      </c>
      <c r="P4038">
        <v>0</v>
      </c>
      <c r="Q4038">
        <v>5352.59</v>
      </c>
      <c r="R4038">
        <v>856.41</v>
      </c>
      <c r="S4038">
        <v>214.1</v>
      </c>
      <c r="T4038">
        <v>5994.9</v>
      </c>
      <c r="U4038" t="s">
        <v>4503</v>
      </c>
      <c r="V4038" t="s">
        <v>9408</v>
      </c>
      <c r="W4038" t="s">
        <v>423</v>
      </c>
    </row>
    <row r="4039" spans="1:23" hidden="1" x14ac:dyDescent="0.2">
      <c r="A4039">
        <v>2012</v>
      </c>
      <c r="B4039" t="s">
        <v>304</v>
      </c>
      <c r="C4039" s="733">
        <v>40956</v>
      </c>
      <c r="D40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39" t="s">
        <v>478</v>
      </c>
      <c r="F4039" t="s">
        <v>2622</v>
      </c>
      <c r="G4039" t="s">
        <v>7707</v>
      </c>
      <c r="H4039">
        <v>35791</v>
      </c>
      <c r="I4039" t="s">
        <v>423</v>
      </c>
      <c r="J4039" t="s">
        <v>4509</v>
      </c>
      <c r="K4039" t="s">
        <v>4397</v>
      </c>
      <c r="L4039" t="s">
        <v>4398</v>
      </c>
      <c r="M4039">
        <v>183</v>
      </c>
      <c r="N4039">
        <v>22.324999999999999</v>
      </c>
      <c r="O4039">
        <v>3855.97</v>
      </c>
      <c r="P4039">
        <v>0</v>
      </c>
      <c r="Q4039">
        <v>3855.97</v>
      </c>
      <c r="R4039">
        <v>616.96</v>
      </c>
      <c r="S4039">
        <v>154.24</v>
      </c>
      <c r="T4039">
        <v>4318.6899999999996</v>
      </c>
      <c r="V4039" t="s">
        <v>9408</v>
      </c>
      <c r="W4039" t="s">
        <v>423</v>
      </c>
    </row>
    <row r="4040" spans="1:23" hidden="1" x14ac:dyDescent="0.2">
      <c r="A4040">
        <v>2012</v>
      </c>
      <c r="B4040" t="s">
        <v>303</v>
      </c>
      <c r="C4040" s="733">
        <v>40926</v>
      </c>
      <c r="D40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40" t="s">
        <v>505</v>
      </c>
      <c r="F4040" t="s">
        <v>1915</v>
      </c>
      <c r="G4040" t="s">
        <v>6547</v>
      </c>
      <c r="H4040">
        <v>22068</v>
      </c>
      <c r="I4040" t="s">
        <v>423</v>
      </c>
      <c r="J4040" t="s">
        <v>5253</v>
      </c>
      <c r="K4040" t="s">
        <v>1918</v>
      </c>
      <c r="L4040" t="s">
        <v>1919</v>
      </c>
      <c r="M4040">
        <v>88</v>
      </c>
      <c r="N4040">
        <v>26.44</v>
      </c>
      <c r="O4040">
        <v>3683.62</v>
      </c>
      <c r="P4040">
        <v>0</v>
      </c>
      <c r="Q4040">
        <v>3683.62</v>
      </c>
      <c r="R4040">
        <v>589.38</v>
      </c>
      <c r="S4040">
        <v>147.34</v>
      </c>
      <c r="T4040">
        <v>4125.66</v>
      </c>
      <c r="U4040" t="s">
        <v>8778</v>
      </c>
      <c r="V4040" t="s">
        <v>9408</v>
      </c>
      <c r="W4040" t="s">
        <v>423</v>
      </c>
    </row>
    <row r="4041" spans="1:23" hidden="1" x14ac:dyDescent="0.2">
      <c r="A4041">
        <v>2012</v>
      </c>
      <c r="B4041" t="s">
        <v>303</v>
      </c>
      <c r="C4041" s="733">
        <v>40928.455613425926</v>
      </c>
      <c r="D40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41" t="s">
        <v>505</v>
      </c>
      <c r="F4041" t="s">
        <v>1915</v>
      </c>
      <c r="G4041" t="s">
        <v>6548</v>
      </c>
      <c r="H4041">
        <v>22134</v>
      </c>
      <c r="I4041" t="s">
        <v>423</v>
      </c>
      <c r="J4041" t="s">
        <v>5253</v>
      </c>
      <c r="K4041" t="s">
        <v>1918</v>
      </c>
      <c r="L4041" t="s">
        <v>1919</v>
      </c>
      <c r="M4041">
        <v>88</v>
      </c>
      <c r="N4041">
        <v>26.9</v>
      </c>
      <c r="O4041">
        <v>3747.71</v>
      </c>
      <c r="P4041">
        <v>0</v>
      </c>
      <c r="Q4041">
        <v>3747.71</v>
      </c>
      <c r="R4041">
        <v>599.63</v>
      </c>
      <c r="S4041">
        <v>149.91</v>
      </c>
      <c r="T4041">
        <v>4197.43</v>
      </c>
      <c r="U4041" t="s">
        <v>8778</v>
      </c>
      <c r="V4041" t="s">
        <v>9408</v>
      </c>
      <c r="W4041" t="s">
        <v>423</v>
      </c>
    </row>
    <row r="4042" spans="1:23" hidden="1" x14ac:dyDescent="0.2">
      <c r="A4042">
        <v>2012</v>
      </c>
      <c r="B4042" t="s">
        <v>303</v>
      </c>
      <c r="C4042" s="733">
        <v>40915</v>
      </c>
      <c r="D40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42" t="s">
        <v>505</v>
      </c>
      <c r="F4042" t="s">
        <v>1915</v>
      </c>
      <c r="G4042" t="s">
        <v>6579</v>
      </c>
      <c r="H4042">
        <v>21768</v>
      </c>
      <c r="I4042" t="s">
        <v>423</v>
      </c>
      <c r="J4042" t="s">
        <v>5253</v>
      </c>
      <c r="K4042" t="s">
        <v>1918</v>
      </c>
      <c r="L4042" t="s">
        <v>1919</v>
      </c>
      <c r="M4042">
        <v>88</v>
      </c>
      <c r="N4042">
        <v>26.44</v>
      </c>
      <c r="O4042">
        <v>3683.62</v>
      </c>
      <c r="P4042">
        <v>0</v>
      </c>
      <c r="Q4042">
        <v>3683.62</v>
      </c>
      <c r="R4042">
        <v>589.38</v>
      </c>
      <c r="S4042">
        <v>147.34</v>
      </c>
      <c r="T4042">
        <v>4125.66</v>
      </c>
      <c r="U4042" t="s">
        <v>1920</v>
      </c>
      <c r="V4042" t="s">
        <v>9408</v>
      </c>
      <c r="W4042" t="s">
        <v>423</v>
      </c>
    </row>
    <row r="4043" spans="1:23" hidden="1" x14ac:dyDescent="0.2">
      <c r="A4043">
        <v>2012</v>
      </c>
      <c r="B4043" t="s">
        <v>303</v>
      </c>
      <c r="C4043" s="733">
        <v>40938.529085648152</v>
      </c>
      <c r="D40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43" t="s">
        <v>485</v>
      </c>
      <c r="F4043" t="s">
        <v>2048</v>
      </c>
      <c r="G4043" t="s">
        <v>6253</v>
      </c>
      <c r="H4043">
        <v>41117</v>
      </c>
      <c r="I4043" t="s">
        <v>423</v>
      </c>
      <c r="J4043" t="s">
        <v>4086</v>
      </c>
      <c r="K4043" t="s">
        <v>2051</v>
      </c>
      <c r="L4043" t="s">
        <v>2052</v>
      </c>
      <c r="M4043">
        <v>341</v>
      </c>
      <c r="N4043">
        <v>48.95</v>
      </c>
      <c r="O4043">
        <v>11970.72</v>
      </c>
      <c r="P4043">
        <v>0</v>
      </c>
      <c r="Q4043">
        <v>11970.72</v>
      </c>
      <c r="R4043">
        <v>1915.32</v>
      </c>
      <c r="S4043">
        <v>478.83</v>
      </c>
      <c r="T4043">
        <v>13407.21</v>
      </c>
      <c r="U4043" t="s">
        <v>2064</v>
      </c>
      <c r="V4043" t="s">
        <v>9409</v>
      </c>
      <c r="W4043" t="s">
        <v>423</v>
      </c>
    </row>
    <row r="4044" spans="1:23" hidden="1" x14ac:dyDescent="0.2">
      <c r="A4044">
        <v>2012</v>
      </c>
      <c r="B4044" t="s">
        <v>303</v>
      </c>
      <c r="C4044" s="733">
        <v>40931</v>
      </c>
      <c r="D40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44" t="s">
        <v>485</v>
      </c>
      <c r="F4044" t="s">
        <v>2048</v>
      </c>
      <c r="G4044" t="s">
        <v>6252</v>
      </c>
      <c r="H4044">
        <v>40753</v>
      </c>
      <c r="I4044" t="s">
        <v>423</v>
      </c>
      <c r="J4044" t="s">
        <v>4086</v>
      </c>
      <c r="K4044" t="s">
        <v>2051</v>
      </c>
      <c r="L4044" t="s">
        <v>2052</v>
      </c>
      <c r="M4044">
        <v>341</v>
      </c>
      <c r="N4044">
        <v>25.45</v>
      </c>
      <c r="O4044">
        <v>6223.8</v>
      </c>
      <c r="P4044">
        <v>0</v>
      </c>
      <c r="Q4044">
        <v>6223.8</v>
      </c>
      <c r="R4044">
        <v>995.81</v>
      </c>
      <c r="S4044">
        <v>248.95</v>
      </c>
      <c r="T4044">
        <v>6970.66</v>
      </c>
      <c r="U4044" t="s">
        <v>2053</v>
      </c>
      <c r="V4044" t="s">
        <v>9408</v>
      </c>
      <c r="W4044" t="s">
        <v>423</v>
      </c>
    </row>
    <row r="4045" spans="1:23" hidden="1" x14ac:dyDescent="0.2">
      <c r="A4045">
        <v>2012</v>
      </c>
      <c r="B4045" t="s">
        <v>304</v>
      </c>
      <c r="C4045" s="733">
        <v>40964</v>
      </c>
      <c r="D40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45" t="s">
        <v>505</v>
      </c>
      <c r="F4045" t="s">
        <v>1915</v>
      </c>
      <c r="G4045" t="s">
        <v>8753</v>
      </c>
      <c r="H4045">
        <v>23018</v>
      </c>
      <c r="I4045" t="s">
        <v>423</v>
      </c>
      <c r="J4045" t="s">
        <v>4158</v>
      </c>
      <c r="K4045" t="s">
        <v>1918</v>
      </c>
      <c r="L4045" t="s">
        <v>1919</v>
      </c>
      <c r="M4045">
        <v>274</v>
      </c>
      <c r="N4045">
        <v>26.83</v>
      </c>
      <c r="O4045">
        <v>7407.76</v>
      </c>
      <c r="P4045">
        <v>0</v>
      </c>
      <c r="Q4045">
        <v>7407.76</v>
      </c>
      <c r="R4045">
        <v>1185.24</v>
      </c>
      <c r="S4045">
        <v>296.31</v>
      </c>
      <c r="T4045">
        <v>8296.69</v>
      </c>
      <c r="U4045" t="s">
        <v>9415</v>
      </c>
      <c r="V4045" t="s">
        <v>9408</v>
      </c>
      <c r="W4045" t="s">
        <v>423</v>
      </c>
    </row>
    <row r="4046" spans="1:23" hidden="1" x14ac:dyDescent="0.2">
      <c r="A4046">
        <v>2012</v>
      </c>
      <c r="B4046" t="s">
        <v>304</v>
      </c>
      <c r="C4046" s="733">
        <v>40963</v>
      </c>
      <c r="D40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46" t="s">
        <v>478</v>
      </c>
      <c r="F4046" t="s">
        <v>2136</v>
      </c>
      <c r="G4046" t="s">
        <v>9133</v>
      </c>
      <c r="H4046">
        <v>35954</v>
      </c>
      <c r="I4046" t="s">
        <v>423</v>
      </c>
      <c r="J4046" t="s">
        <v>4276</v>
      </c>
      <c r="K4046" t="s">
        <v>425</v>
      </c>
      <c r="L4046" t="s">
        <v>2145</v>
      </c>
      <c r="M4046">
        <v>60</v>
      </c>
      <c r="N4046">
        <v>25.48</v>
      </c>
      <c r="O4046">
        <v>3420.69</v>
      </c>
      <c r="P4046">
        <v>0</v>
      </c>
      <c r="Q4046">
        <v>3420.69</v>
      </c>
      <c r="R4046">
        <v>547.30999999999995</v>
      </c>
      <c r="S4046">
        <v>136.83000000000001</v>
      </c>
      <c r="T4046">
        <v>3831.17</v>
      </c>
      <c r="V4046" t="s">
        <v>9408</v>
      </c>
      <c r="W4046" t="s">
        <v>423</v>
      </c>
    </row>
    <row r="4047" spans="1:23" hidden="1" x14ac:dyDescent="0.2">
      <c r="A4047">
        <v>2012</v>
      </c>
      <c r="B4047" t="s">
        <v>304</v>
      </c>
      <c r="C4047" s="733">
        <v>40962</v>
      </c>
      <c r="D40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47" t="s">
        <v>485</v>
      </c>
      <c r="F4047" t="s">
        <v>2048</v>
      </c>
      <c r="G4047" t="s">
        <v>8604</v>
      </c>
      <c r="H4047">
        <v>42495</v>
      </c>
      <c r="I4047" t="s">
        <v>423</v>
      </c>
      <c r="J4047" t="s">
        <v>2972</v>
      </c>
      <c r="K4047" t="s">
        <v>2051</v>
      </c>
      <c r="L4047" t="s">
        <v>2052</v>
      </c>
      <c r="M4047">
        <v>398</v>
      </c>
      <c r="N4047">
        <v>24.9</v>
      </c>
      <c r="O4047">
        <v>6886.59</v>
      </c>
      <c r="P4047">
        <v>0</v>
      </c>
      <c r="Q4047">
        <v>6886.59</v>
      </c>
      <c r="R4047">
        <v>1101.8499999999999</v>
      </c>
      <c r="S4047">
        <v>275.45999999999998</v>
      </c>
      <c r="T4047">
        <v>7712.98</v>
      </c>
      <c r="U4047" t="s">
        <v>8780</v>
      </c>
      <c r="V4047" t="s">
        <v>9408</v>
      </c>
      <c r="W4047" t="s">
        <v>423</v>
      </c>
    </row>
    <row r="4048" spans="1:23" hidden="1" x14ac:dyDescent="0.2">
      <c r="A4048">
        <v>2012</v>
      </c>
      <c r="B4048" t="s">
        <v>303</v>
      </c>
      <c r="C4048" s="733">
        <v>40935</v>
      </c>
      <c r="D40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48" t="s">
        <v>485</v>
      </c>
      <c r="F4048" t="s">
        <v>2048</v>
      </c>
      <c r="G4048" t="s">
        <v>6238</v>
      </c>
      <c r="H4048">
        <v>40984</v>
      </c>
      <c r="I4048" t="s">
        <v>423</v>
      </c>
      <c r="J4048" t="s">
        <v>2972</v>
      </c>
      <c r="K4048" t="s">
        <v>2051</v>
      </c>
      <c r="L4048" t="s">
        <v>2052</v>
      </c>
      <c r="M4048">
        <v>398</v>
      </c>
      <c r="N4048">
        <v>50.1</v>
      </c>
      <c r="O4048">
        <v>13856.16</v>
      </c>
      <c r="P4048">
        <v>0</v>
      </c>
      <c r="Q4048">
        <v>13856.16</v>
      </c>
      <c r="R4048">
        <v>2216.9899999999998</v>
      </c>
      <c r="S4048">
        <v>554.25</v>
      </c>
      <c r="T4048">
        <v>15518.9</v>
      </c>
      <c r="U4048" t="s">
        <v>2053</v>
      </c>
      <c r="V4048" t="s">
        <v>9409</v>
      </c>
      <c r="W4048" t="s">
        <v>423</v>
      </c>
    </row>
    <row r="4049" spans="1:23" hidden="1" x14ac:dyDescent="0.2">
      <c r="A4049">
        <v>2012</v>
      </c>
      <c r="B4049" t="s">
        <v>303</v>
      </c>
      <c r="C4049" s="733">
        <v>40928</v>
      </c>
      <c r="D40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49" t="s">
        <v>485</v>
      </c>
      <c r="F4049" t="s">
        <v>2065</v>
      </c>
      <c r="G4049" t="s">
        <v>5996</v>
      </c>
      <c r="H4049">
        <v>39742</v>
      </c>
      <c r="I4049" t="s">
        <v>423</v>
      </c>
      <c r="J4049" t="s">
        <v>2189</v>
      </c>
      <c r="K4049" t="s">
        <v>2183</v>
      </c>
      <c r="L4049" t="s">
        <v>2184</v>
      </c>
      <c r="M4049">
        <v>720</v>
      </c>
      <c r="N4049">
        <v>25.59</v>
      </c>
      <c r="O4049">
        <v>10371.6</v>
      </c>
      <c r="P4049">
        <v>0</v>
      </c>
      <c r="Q4049">
        <v>10371.6</v>
      </c>
      <c r="R4049">
        <v>1659.46</v>
      </c>
      <c r="S4049">
        <v>414.86</v>
      </c>
      <c r="T4049">
        <v>11616.2</v>
      </c>
      <c r="U4049" t="s">
        <v>7554</v>
      </c>
      <c r="V4049" t="s">
        <v>9408</v>
      </c>
      <c r="W4049" t="s">
        <v>423</v>
      </c>
    </row>
    <row r="4050" spans="1:23" hidden="1" x14ac:dyDescent="0.2">
      <c r="A4050">
        <v>2012</v>
      </c>
      <c r="B4050" t="s">
        <v>304</v>
      </c>
      <c r="C4050" s="733">
        <v>40952</v>
      </c>
      <c r="D40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50" t="s">
        <v>505</v>
      </c>
      <c r="F4050" t="s">
        <v>1915</v>
      </c>
      <c r="G4050" t="s">
        <v>6536</v>
      </c>
      <c r="H4050">
        <v>22659</v>
      </c>
      <c r="I4050" t="s">
        <v>423</v>
      </c>
      <c r="J4050" t="s">
        <v>4158</v>
      </c>
      <c r="K4050" t="s">
        <v>1918</v>
      </c>
      <c r="L4050" t="s">
        <v>1919</v>
      </c>
      <c r="M4050">
        <v>274</v>
      </c>
      <c r="N4050">
        <v>27.9</v>
      </c>
      <c r="O4050">
        <v>7703.19</v>
      </c>
      <c r="P4050">
        <v>0</v>
      </c>
      <c r="Q4050">
        <v>7703.19</v>
      </c>
      <c r="R4050">
        <v>1232.51</v>
      </c>
      <c r="S4050">
        <v>308.13</v>
      </c>
      <c r="T4050">
        <v>8627.57</v>
      </c>
      <c r="U4050" t="s">
        <v>7522</v>
      </c>
      <c r="V4050" t="s">
        <v>9408</v>
      </c>
      <c r="W4050" t="s">
        <v>423</v>
      </c>
    </row>
    <row r="4051" spans="1:23" hidden="1" x14ac:dyDescent="0.2">
      <c r="A4051">
        <v>2012</v>
      </c>
      <c r="B4051" t="s">
        <v>303</v>
      </c>
      <c r="C4051" s="733">
        <v>40915</v>
      </c>
      <c r="D40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51" t="s">
        <v>505</v>
      </c>
      <c r="F4051" t="s">
        <v>1915</v>
      </c>
      <c r="G4051" t="s">
        <v>6537</v>
      </c>
      <c r="H4051">
        <v>21834</v>
      </c>
      <c r="I4051" t="s">
        <v>423</v>
      </c>
      <c r="J4051" t="s">
        <v>4158</v>
      </c>
      <c r="K4051" t="s">
        <v>1918</v>
      </c>
      <c r="L4051" t="s">
        <v>1919</v>
      </c>
      <c r="M4051">
        <v>274</v>
      </c>
      <c r="N4051">
        <v>28.22</v>
      </c>
      <c r="O4051">
        <v>7791.54</v>
      </c>
      <c r="P4051">
        <v>0</v>
      </c>
      <c r="Q4051">
        <v>7791.54</v>
      </c>
      <c r="R4051">
        <v>1246.6500000000001</v>
      </c>
      <c r="S4051">
        <v>311.66000000000003</v>
      </c>
      <c r="T4051">
        <v>8726.5300000000007</v>
      </c>
      <c r="U4051" t="s">
        <v>1931</v>
      </c>
      <c r="V4051" t="s">
        <v>9408</v>
      </c>
      <c r="W4051" t="s">
        <v>423</v>
      </c>
    </row>
    <row r="4052" spans="1:23" hidden="1" x14ac:dyDescent="0.2">
      <c r="A4052">
        <v>2012</v>
      </c>
      <c r="B4052" t="s">
        <v>304</v>
      </c>
      <c r="C4052" s="733">
        <v>40963</v>
      </c>
      <c r="D40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52" t="s">
        <v>485</v>
      </c>
      <c r="F4052" t="s">
        <v>2065</v>
      </c>
      <c r="G4052" t="s">
        <v>8605</v>
      </c>
      <c r="H4052">
        <v>42444</v>
      </c>
      <c r="I4052" t="s">
        <v>423</v>
      </c>
      <c r="J4052" t="s">
        <v>2189</v>
      </c>
      <c r="K4052" t="s">
        <v>2183</v>
      </c>
      <c r="L4052" t="s">
        <v>2184</v>
      </c>
      <c r="M4052">
        <v>720</v>
      </c>
      <c r="N4052">
        <v>25.77</v>
      </c>
      <c r="O4052">
        <v>10444.32</v>
      </c>
      <c r="P4052">
        <v>0</v>
      </c>
      <c r="Q4052">
        <v>10444.32</v>
      </c>
      <c r="R4052">
        <v>1671.09</v>
      </c>
      <c r="S4052">
        <v>417.77</v>
      </c>
      <c r="T4052">
        <v>11697.64</v>
      </c>
      <c r="U4052" t="s">
        <v>9411</v>
      </c>
      <c r="V4052" t="s">
        <v>9408</v>
      </c>
      <c r="W4052" t="s">
        <v>423</v>
      </c>
    </row>
    <row r="4053" spans="1:23" hidden="1" x14ac:dyDescent="0.2">
      <c r="A4053">
        <v>2012</v>
      </c>
      <c r="B4053" t="s">
        <v>303</v>
      </c>
      <c r="C4053" s="733">
        <v>40932</v>
      </c>
      <c r="D40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53" t="s">
        <v>485</v>
      </c>
      <c r="F4053" t="s">
        <v>2065</v>
      </c>
      <c r="G4053" t="s">
        <v>5847</v>
      </c>
      <c r="H4053">
        <v>40697</v>
      </c>
      <c r="I4053" t="s">
        <v>423</v>
      </c>
      <c r="J4053" t="s">
        <v>2813</v>
      </c>
      <c r="K4053" t="s">
        <v>2814</v>
      </c>
      <c r="L4053" t="s">
        <v>2815</v>
      </c>
      <c r="M4053">
        <v>365</v>
      </c>
      <c r="N4053">
        <v>24.038</v>
      </c>
      <c r="O4053">
        <v>6470.55</v>
      </c>
      <c r="P4053">
        <v>0</v>
      </c>
      <c r="Q4053">
        <v>6470.55</v>
      </c>
      <c r="R4053">
        <v>1035.29</v>
      </c>
      <c r="S4053">
        <v>258.82</v>
      </c>
      <c r="T4053">
        <v>7247.02</v>
      </c>
      <c r="U4053" t="s">
        <v>8522</v>
      </c>
      <c r="V4053" t="s">
        <v>9408</v>
      </c>
      <c r="W4053" t="s">
        <v>423</v>
      </c>
    </row>
    <row r="4054" spans="1:23" hidden="1" x14ac:dyDescent="0.2">
      <c r="A4054">
        <v>2012</v>
      </c>
      <c r="B4054" t="s">
        <v>304</v>
      </c>
      <c r="C4054" s="733">
        <v>40953</v>
      </c>
      <c r="D40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54" t="s">
        <v>485</v>
      </c>
      <c r="F4054" t="s">
        <v>2065</v>
      </c>
      <c r="G4054" t="s">
        <v>5848</v>
      </c>
      <c r="H4054">
        <v>41755</v>
      </c>
      <c r="I4054" t="s">
        <v>423</v>
      </c>
      <c r="J4054" t="s">
        <v>2813</v>
      </c>
      <c r="K4054" t="s">
        <v>2814</v>
      </c>
      <c r="L4054" t="s">
        <v>2815</v>
      </c>
      <c r="M4054">
        <v>365</v>
      </c>
      <c r="N4054">
        <v>23.952000000000002</v>
      </c>
      <c r="O4054">
        <v>6447.4</v>
      </c>
      <c r="P4054">
        <v>0</v>
      </c>
      <c r="Q4054">
        <v>6447.4</v>
      </c>
      <c r="R4054">
        <v>709.21</v>
      </c>
      <c r="S4054">
        <v>257.89999999999998</v>
      </c>
      <c r="T4054">
        <v>6898.71</v>
      </c>
      <c r="U4054" t="s">
        <v>7527</v>
      </c>
      <c r="V4054" t="s">
        <v>9408</v>
      </c>
      <c r="W4054" t="s">
        <v>423</v>
      </c>
    </row>
    <row r="4055" spans="1:23" hidden="1" x14ac:dyDescent="0.2">
      <c r="A4055">
        <v>2012</v>
      </c>
      <c r="B4055" t="s">
        <v>303</v>
      </c>
      <c r="C4055" s="733">
        <v>40932</v>
      </c>
      <c r="D40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55" t="s">
        <v>485</v>
      </c>
      <c r="F4055" t="s">
        <v>2065</v>
      </c>
      <c r="G4055" t="s">
        <v>6149</v>
      </c>
      <c r="H4055">
        <v>40365</v>
      </c>
      <c r="I4055" t="s">
        <v>423</v>
      </c>
      <c r="J4055" t="s">
        <v>2813</v>
      </c>
      <c r="K4055" t="s">
        <v>2814</v>
      </c>
      <c r="L4055" t="s">
        <v>2815</v>
      </c>
      <c r="M4055">
        <v>365</v>
      </c>
      <c r="N4055">
        <v>23.928000000000001</v>
      </c>
      <c r="O4055">
        <v>6440.94</v>
      </c>
      <c r="P4055">
        <v>0</v>
      </c>
      <c r="Q4055">
        <v>6440.94</v>
      </c>
      <c r="R4055">
        <v>1030.55</v>
      </c>
      <c r="S4055">
        <v>257.64</v>
      </c>
      <c r="T4055">
        <v>7213.85</v>
      </c>
      <c r="U4055" t="s">
        <v>2826</v>
      </c>
      <c r="V4055" t="s">
        <v>9408</v>
      </c>
      <c r="W4055" t="s">
        <v>423</v>
      </c>
    </row>
    <row r="4056" spans="1:23" hidden="1" x14ac:dyDescent="0.2">
      <c r="A4056">
        <v>2012</v>
      </c>
      <c r="B4056" t="s">
        <v>304</v>
      </c>
      <c r="C4056" s="733">
        <v>40967</v>
      </c>
      <c r="D40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56" t="s">
        <v>478</v>
      </c>
      <c r="F4056" t="s">
        <v>2136</v>
      </c>
      <c r="G4056" t="s">
        <v>8987</v>
      </c>
      <c r="H4056">
        <v>36008</v>
      </c>
      <c r="I4056" t="s">
        <v>423</v>
      </c>
      <c r="J4056" t="s">
        <v>3029</v>
      </c>
      <c r="K4056" t="s">
        <v>425</v>
      </c>
      <c r="L4056" t="s">
        <v>2145</v>
      </c>
      <c r="M4056">
        <v>35</v>
      </c>
      <c r="N4056">
        <v>46.57</v>
      </c>
      <c r="O4056">
        <v>6252.02</v>
      </c>
      <c r="P4056">
        <v>0</v>
      </c>
      <c r="Q4056">
        <v>6252.02</v>
      </c>
      <c r="R4056">
        <v>1000.32</v>
      </c>
      <c r="S4056">
        <v>250.08</v>
      </c>
      <c r="T4056">
        <v>7002.26</v>
      </c>
      <c r="U4056" t="s">
        <v>8889</v>
      </c>
      <c r="V4056" t="s">
        <v>9408</v>
      </c>
      <c r="W4056" t="s">
        <v>423</v>
      </c>
    </row>
    <row r="4057" spans="1:23" hidden="1" x14ac:dyDescent="0.2">
      <c r="A4057">
        <v>2012</v>
      </c>
      <c r="B4057" t="s">
        <v>303</v>
      </c>
      <c r="C4057" s="733">
        <v>40935.717210648145</v>
      </c>
      <c r="D40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57" t="s">
        <v>505</v>
      </c>
      <c r="F4057" t="s">
        <v>1915</v>
      </c>
      <c r="G4057" t="s">
        <v>7169</v>
      </c>
      <c r="H4057">
        <v>22309</v>
      </c>
      <c r="I4057" t="s">
        <v>423</v>
      </c>
      <c r="J4057" t="s">
        <v>4259</v>
      </c>
      <c r="K4057" t="s">
        <v>1918</v>
      </c>
      <c r="L4057" t="s">
        <v>1919</v>
      </c>
      <c r="M4057">
        <v>467</v>
      </c>
      <c r="N4057">
        <v>52.77</v>
      </c>
      <c r="O4057">
        <v>16376.64</v>
      </c>
      <c r="P4057">
        <v>0</v>
      </c>
      <c r="Q4057">
        <v>16376.64</v>
      </c>
      <c r="R4057">
        <v>2620.2600000000002</v>
      </c>
      <c r="S4057">
        <v>655.07000000000005</v>
      </c>
      <c r="T4057">
        <v>18341.830000000002</v>
      </c>
      <c r="U4057" t="s">
        <v>1926</v>
      </c>
      <c r="V4057" t="s">
        <v>9409</v>
      </c>
      <c r="W4057" t="s">
        <v>423</v>
      </c>
    </row>
    <row r="4058" spans="1:23" hidden="1" x14ac:dyDescent="0.2">
      <c r="A4058">
        <v>2012</v>
      </c>
      <c r="B4058" t="s">
        <v>304</v>
      </c>
      <c r="C4058" s="733">
        <v>40960</v>
      </c>
      <c r="D40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58" t="s">
        <v>505</v>
      </c>
      <c r="F4058" t="s">
        <v>2065</v>
      </c>
      <c r="G4058" t="s">
        <v>8224</v>
      </c>
      <c r="H4058">
        <v>22896</v>
      </c>
      <c r="I4058" t="s">
        <v>424</v>
      </c>
      <c r="J4058" t="s">
        <v>1917</v>
      </c>
      <c r="K4058" t="s">
        <v>1918</v>
      </c>
      <c r="L4058" t="s">
        <v>1919</v>
      </c>
      <c r="M4058">
        <v>267</v>
      </c>
      <c r="N4058">
        <v>30</v>
      </c>
      <c r="O4058">
        <v>4613.7</v>
      </c>
      <c r="P4058">
        <v>0</v>
      </c>
      <c r="Q4058">
        <v>4613.7</v>
      </c>
      <c r="R4058">
        <v>738.19</v>
      </c>
      <c r="S4058">
        <v>184.55</v>
      </c>
      <c r="T4058">
        <v>5167.34</v>
      </c>
      <c r="U4058" t="s">
        <v>8491</v>
      </c>
      <c r="V4058" t="s">
        <v>9408</v>
      </c>
      <c r="W4058" t="s">
        <v>424</v>
      </c>
    </row>
    <row r="4059" spans="1:23" hidden="1" x14ac:dyDescent="0.2">
      <c r="A4059">
        <v>2012</v>
      </c>
      <c r="B4059" t="s">
        <v>304</v>
      </c>
      <c r="C4059" s="733">
        <v>40962</v>
      </c>
      <c r="D40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59" t="s">
        <v>505</v>
      </c>
      <c r="F4059" t="s">
        <v>1915</v>
      </c>
      <c r="G4059" t="s">
        <v>8512</v>
      </c>
      <c r="H4059">
        <v>22963</v>
      </c>
      <c r="I4059" t="s">
        <v>424</v>
      </c>
      <c r="J4059" t="s">
        <v>1917</v>
      </c>
      <c r="K4059" t="s">
        <v>1918</v>
      </c>
      <c r="L4059" t="s">
        <v>1919</v>
      </c>
      <c r="M4059">
        <v>267</v>
      </c>
      <c r="N4059">
        <v>54</v>
      </c>
      <c r="O4059">
        <v>8304.66</v>
      </c>
      <c r="P4059">
        <v>0</v>
      </c>
      <c r="Q4059">
        <v>8304.66</v>
      </c>
      <c r="R4059">
        <v>1328.75</v>
      </c>
      <c r="S4059">
        <v>332.19</v>
      </c>
      <c r="T4059">
        <v>9301.2199999999993</v>
      </c>
      <c r="U4059" t="s">
        <v>8778</v>
      </c>
      <c r="V4059" t="s">
        <v>9409</v>
      </c>
      <c r="W4059" t="s">
        <v>424</v>
      </c>
    </row>
    <row r="4060" spans="1:23" hidden="1" x14ac:dyDescent="0.2">
      <c r="A4060">
        <v>2012</v>
      </c>
      <c r="B4060" t="s">
        <v>304</v>
      </c>
      <c r="C4060" s="733">
        <v>40942</v>
      </c>
      <c r="D40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60" t="s">
        <v>485</v>
      </c>
      <c r="F4060" t="s">
        <v>2065</v>
      </c>
      <c r="G4060" t="s">
        <v>6502</v>
      </c>
      <c r="H4060">
        <v>39767</v>
      </c>
      <c r="I4060" t="s">
        <v>423</v>
      </c>
      <c r="J4060" t="s">
        <v>3054</v>
      </c>
      <c r="K4060" t="s">
        <v>2183</v>
      </c>
      <c r="L4060" t="s">
        <v>2184</v>
      </c>
      <c r="M4060">
        <v>43</v>
      </c>
      <c r="N4060">
        <v>15.62</v>
      </c>
      <c r="O4060">
        <v>1763.03</v>
      </c>
      <c r="P4060">
        <v>0</v>
      </c>
      <c r="Q4060">
        <v>1763.03</v>
      </c>
      <c r="R4060">
        <v>282.08</v>
      </c>
      <c r="S4060">
        <v>70.52</v>
      </c>
      <c r="T4060">
        <v>1974.59</v>
      </c>
      <c r="U4060" t="s">
        <v>2192</v>
      </c>
      <c r="V4060" t="s">
        <v>9408</v>
      </c>
      <c r="W4060" t="s">
        <v>423</v>
      </c>
    </row>
    <row r="4061" spans="1:23" hidden="1" x14ac:dyDescent="0.2">
      <c r="A4061">
        <v>2012</v>
      </c>
      <c r="B4061" t="s">
        <v>303</v>
      </c>
      <c r="C4061" s="733">
        <v>40918.409583333334</v>
      </c>
      <c r="D40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61" t="s">
        <v>485</v>
      </c>
      <c r="F4061" t="s">
        <v>2065</v>
      </c>
      <c r="G4061" t="s">
        <v>5638</v>
      </c>
      <c r="H4061">
        <v>40052</v>
      </c>
      <c r="I4061" t="s">
        <v>423</v>
      </c>
      <c r="J4061" t="s">
        <v>3054</v>
      </c>
      <c r="K4061" t="s">
        <v>2183</v>
      </c>
      <c r="L4061" t="s">
        <v>2184</v>
      </c>
      <c r="M4061">
        <v>43</v>
      </c>
      <c r="N4061">
        <v>15.53</v>
      </c>
      <c r="O4061">
        <v>1752.87</v>
      </c>
      <c r="P4061">
        <v>0</v>
      </c>
      <c r="Q4061">
        <v>1752.87</v>
      </c>
      <c r="R4061">
        <v>280.45999999999998</v>
      </c>
      <c r="S4061">
        <v>70.11</v>
      </c>
      <c r="T4061">
        <v>1963.22</v>
      </c>
      <c r="U4061" t="s">
        <v>7520</v>
      </c>
      <c r="V4061" t="s">
        <v>9408</v>
      </c>
      <c r="W4061" t="s">
        <v>423</v>
      </c>
    </row>
    <row r="4062" spans="1:23" hidden="1" x14ac:dyDescent="0.2">
      <c r="A4062">
        <v>2012</v>
      </c>
      <c r="B4062" t="s">
        <v>304</v>
      </c>
      <c r="C4062" s="733">
        <v>40952</v>
      </c>
      <c r="D40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62" t="s">
        <v>485</v>
      </c>
      <c r="F4062" t="s">
        <v>2065</v>
      </c>
      <c r="G4062" t="s">
        <v>5637</v>
      </c>
      <c r="H4062">
        <v>41792</v>
      </c>
      <c r="I4062" t="s">
        <v>423</v>
      </c>
      <c r="J4062" t="s">
        <v>3054</v>
      </c>
      <c r="K4062" t="s">
        <v>2183</v>
      </c>
      <c r="L4062" t="s">
        <v>2184</v>
      </c>
      <c r="M4062">
        <v>43</v>
      </c>
      <c r="N4062">
        <v>15.54</v>
      </c>
      <c r="O4062">
        <v>1754</v>
      </c>
      <c r="P4062">
        <v>0</v>
      </c>
      <c r="Q4062">
        <v>1754</v>
      </c>
      <c r="R4062">
        <v>280.64</v>
      </c>
      <c r="S4062">
        <v>70.16</v>
      </c>
      <c r="T4062">
        <v>1964.48</v>
      </c>
      <c r="U4062" t="s">
        <v>8048</v>
      </c>
      <c r="V4062" t="s">
        <v>9408</v>
      </c>
      <c r="W4062" t="s">
        <v>423</v>
      </c>
    </row>
    <row r="4063" spans="1:23" hidden="1" x14ac:dyDescent="0.2">
      <c r="A4063">
        <v>2012</v>
      </c>
      <c r="B4063" t="s">
        <v>303</v>
      </c>
      <c r="C4063" s="733">
        <v>40912</v>
      </c>
      <c r="D40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63" t="s">
        <v>478</v>
      </c>
      <c r="F4063" t="s">
        <v>2136</v>
      </c>
      <c r="G4063" t="s">
        <v>7200</v>
      </c>
      <c r="H4063">
        <v>34194</v>
      </c>
      <c r="I4063" t="s">
        <v>423</v>
      </c>
      <c r="J4063" t="s">
        <v>4270</v>
      </c>
      <c r="K4063" t="s">
        <v>425</v>
      </c>
      <c r="L4063" t="s">
        <v>2145</v>
      </c>
      <c r="M4063">
        <v>560</v>
      </c>
      <c r="N4063">
        <v>28.82</v>
      </c>
      <c r="O4063">
        <v>3876.87</v>
      </c>
      <c r="P4063">
        <v>4364.9291640000001</v>
      </c>
      <c r="Q4063">
        <v>8241.799164</v>
      </c>
      <c r="R4063">
        <v>1318.687866</v>
      </c>
      <c r="S4063">
        <v>329.671967</v>
      </c>
      <c r="T4063">
        <v>9230.815063</v>
      </c>
      <c r="U4063" t="s">
        <v>3118</v>
      </c>
      <c r="V4063" t="s">
        <v>9408</v>
      </c>
      <c r="W4063" t="s">
        <v>423</v>
      </c>
    </row>
    <row r="4064" spans="1:23" hidden="1" x14ac:dyDescent="0.2">
      <c r="A4064">
        <v>2012</v>
      </c>
      <c r="B4064" t="s">
        <v>303</v>
      </c>
      <c r="C4064" s="733">
        <v>40932</v>
      </c>
      <c r="D40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64" t="s">
        <v>485</v>
      </c>
      <c r="F4064" t="s">
        <v>2054</v>
      </c>
      <c r="G4064" t="s">
        <v>6512</v>
      </c>
      <c r="H4064">
        <v>39992</v>
      </c>
      <c r="I4064" t="s">
        <v>423</v>
      </c>
      <c r="J4064" t="s">
        <v>4073</v>
      </c>
      <c r="K4064" t="s">
        <v>2051</v>
      </c>
      <c r="L4064" t="s">
        <v>2052</v>
      </c>
      <c r="M4064">
        <v>610</v>
      </c>
      <c r="N4064">
        <v>55.15</v>
      </c>
      <c r="O4064">
        <v>19550.12</v>
      </c>
      <c r="P4064">
        <v>0</v>
      </c>
      <c r="Q4064">
        <v>19550.12</v>
      </c>
      <c r="R4064">
        <v>3128.02</v>
      </c>
      <c r="S4064">
        <v>782</v>
      </c>
      <c r="T4064">
        <v>21896.14</v>
      </c>
      <c r="U4064" t="s">
        <v>2053</v>
      </c>
      <c r="V4064" t="s">
        <v>9409</v>
      </c>
      <c r="W4064" t="s">
        <v>423</v>
      </c>
    </row>
    <row r="4065" spans="1:23" hidden="1" x14ac:dyDescent="0.2">
      <c r="A4065">
        <v>2012</v>
      </c>
      <c r="B4065" t="s">
        <v>304</v>
      </c>
      <c r="C4065" s="733">
        <v>40941</v>
      </c>
      <c r="D40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65" t="s">
        <v>485</v>
      </c>
      <c r="F4065" t="s">
        <v>2065</v>
      </c>
      <c r="G4065" t="s">
        <v>7195</v>
      </c>
      <c r="H4065">
        <v>39753</v>
      </c>
      <c r="I4065" t="s">
        <v>423</v>
      </c>
      <c r="J4065" t="s">
        <v>4626</v>
      </c>
      <c r="K4065" t="s">
        <v>2102</v>
      </c>
      <c r="L4065" t="s">
        <v>2115</v>
      </c>
      <c r="M4065">
        <v>1457</v>
      </c>
      <c r="N4065">
        <v>26.4</v>
      </c>
      <c r="O4065">
        <v>19533.89</v>
      </c>
      <c r="P4065">
        <v>0</v>
      </c>
      <c r="Q4065">
        <v>19533.89</v>
      </c>
      <c r="R4065">
        <v>3125.42</v>
      </c>
      <c r="S4065">
        <v>781.36</v>
      </c>
      <c r="T4065">
        <v>21877.95</v>
      </c>
      <c r="V4065" t="s">
        <v>9409</v>
      </c>
      <c r="W4065" t="s">
        <v>423</v>
      </c>
    </row>
    <row r="4066" spans="1:23" hidden="1" x14ac:dyDescent="0.2">
      <c r="A4066">
        <v>2012</v>
      </c>
      <c r="B4066" t="s">
        <v>305</v>
      </c>
      <c r="C4066" s="733">
        <v>40970</v>
      </c>
      <c r="D4066" s="733" t="str">
        <f>CHOOSE(MONTH(Tabla_sqldatos_bonampakdb_Bon_v_ingresos2012[[#This Row],[fecha_guia]]),"Enero","Febrero","Marzo","Abril","Mayo","Junio","Julio","Agosto","Septiembre","Octubre","Noviembre","Diciembre")</f>
        <v>Marzo</v>
      </c>
      <c r="E4066" t="s">
        <v>505</v>
      </c>
      <c r="F4066" t="s">
        <v>1915</v>
      </c>
      <c r="G4066" t="s">
        <v>9729</v>
      </c>
      <c r="H4066">
        <v>23135</v>
      </c>
      <c r="I4066" t="s">
        <v>423</v>
      </c>
      <c r="J4066" t="s">
        <v>4760</v>
      </c>
      <c r="K4066" t="s">
        <v>1918</v>
      </c>
      <c r="L4066" t="s">
        <v>1919</v>
      </c>
      <c r="M4066">
        <v>444</v>
      </c>
      <c r="N4066">
        <v>26.84</v>
      </c>
      <c r="O4066">
        <v>8329.5300000000007</v>
      </c>
      <c r="P4066">
        <v>0</v>
      </c>
      <c r="Q4066">
        <v>8329.5300000000007</v>
      </c>
      <c r="R4066">
        <v>1332.72</v>
      </c>
      <c r="S4066">
        <v>333.18</v>
      </c>
      <c r="T4066">
        <v>9329.07</v>
      </c>
      <c r="V4066" t="s">
        <v>9408</v>
      </c>
      <c r="W4066" t="s">
        <v>423</v>
      </c>
    </row>
    <row r="4067" spans="1:23" hidden="1" x14ac:dyDescent="0.2">
      <c r="A4067">
        <v>2012</v>
      </c>
      <c r="B4067" t="s">
        <v>303</v>
      </c>
      <c r="C4067" s="733">
        <v>40925</v>
      </c>
      <c r="D40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67" t="s">
        <v>505</v>
      </c>
      <c r="F4067" t="s">
        <v>1915</v>
      </c>
      <c r="G4067" t="s">
        <v>1987</v>
      </c>
      <c r="H4067">
        <v>22015</v>
      </c>
      <c r="I4067" t="s">
        <v>423</v>
      </c>
      <c r="J4067" t="s">
        <v>1954</v>
      </c>
      <c r="K4067" t="s">
        <v>1918</v>
      </c>
      <c r="L4067" t="s">
        <v>1919</v>
      </c>
      <c r="M4067">
        <v>303</v>
      </c>
      <c r="N4067">
        <v>54.26</v>
      </c>
      <c r="O4067">
        <v>14981.19</v>
      </c>
      <c r="P4067">
        <v>0</v>
      </c>
      <c r="Q4067">
        <v>14981.19</v>
      </c>
      <c r="R4067">
        <v>2396.9899999999998</v>
      </c>
      <c r="S4067">
        <v>599.25</v>
      </c>
      <c r="T4067">
        <v>16778.93</v>
      </c>
      <c r="U4067" t="s">
        <v>1936</v>
      </c>
      <c r="V4067" t="s">
        <v>9409</v>
      </c>
      <c r="W4067" t="s">
        <v>423</v>
      </c>
    </row>
    <row r="4068" spans="1:23" hidden="1" x14ac:dyDescent="0.2">
      <c r="A4068">
        <v>2012</v>
      </c>
      <c r="B4068" t="s">
        <v>304</v>
      </c>
      <c r="C4068" s="733">
        <v>40952</v>
      </c>
      <c r="D40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68" t="s">
        <v>505</v>
      </c>
      <c r="F4068" t="s">
        <v>1915</v>
      </c>
      <c r="G4068" t="s">
        <v>7171</v>
      </c>
      <c r="H4068">
        <v>22672</v>
      </c>
      <c r="I4068" t="s">
        <v>424</v>
      </c>
      <c r="J4068" t="s">
        <v>1954</v>
      </c>
      <c r="K4068" t="s">
        <v>1918</v>
      </c>
      <c r="L4068" t="s">
        <v>1919</v>
      </c>
      <c r="M4068">
        <v>303</v>
      </c>
      <c r="N4068">
        <v>27</v>
      </c>
      <c r="O4068">
        <v>2083.35</v>
      </c>
      <c r="P4068">
        <v>1197.2804120000001</v>
      </c>
      <c r="Q4068">
        <v>3280.630412</v>
      </c>
      <c r="R4068">
        <v>524.90086599999995</v>
      </c>
      <c r="S4068">
        <v>131.22521599999999</v>
      </c>
      <c r="T4068">
        <v>3674.3060620000001</v>
      </c>
      <c r="U4068" t="s">
        <v>7522</v>
      </c>
      <c r="V4068" t="s">
        <v>9408</v>
      </c>
      <c r="W4068" t="s">
        <v>424</v>
      </c>
    </row>
    <row r="4069" spans="1:23" hidden="1" x14ac:dyDescent="0.2">
      <c r="A4069">
        <v>2012</v>
      </c>
      <c r="B4069" t="s">
        <v>303</v>
      </c>
      <c r="C4069" s="733">
        <v>40914.715439814812</v>
      </c>
      <c r="D40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69" t="s">
        <v>505</v>
      </c>
      <c r="F4069" t="s">
        <v>1915</v>
      </c>
      <c r="G4069" t="s">
        <v>6974</v>
      </c>
      <c r="H4069">
        <v>21780</v>
      </c>
      <c r="I4069" t="s">
        <v>423</v>
      </c>
      <c r="J4069" t="s">
        <v>1943</v>
      </c>
      <c r="K4069" t="s">
        <v>1918</v>
      </c>
      <c r="L4069" t="s">
        <v>1919</v>
      </c>
      <c r="M4069">
        <v>319</v>
      </c>
      <c r="N4069">
        <v>49.9</v>
      </c>
      <c r="O4069">
        <v>11219.52</v>
      </c>
      <c r="P4069">
        <v>0</v>
      </c>
      <c r="Q4069">
        <v>11219.52</v>
      </c>
      <c r="R4069">
        <v>1795.12</v>
      </c>
      <c r="S4069">
        <v>448.78</v>
      </c>
      <c r="T4069">
        <v>12565.86</v>
      </c>
      <c r="U4069" t="s">
        <v>1931</v>
      </c>
      <c r="V4069" t="s">
        <v>9409</v>
      </c>
      <c r="W4069" t="s">
        <v>423</v>
      </c>
    </row>
    <row r="4070" spans="1:23" hidden="1" x14ac:dyDescent="0.2">
      <c r="A4070">
        <v>2012</v>
      </c>
      <c r="B4070" t="s">
        <v>304</v>
      </c>
      <c r="C4070" s="733">
        <v>40959</v>
      </c>
      <c r="D40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70" t="s">
        <v>485</v>
      </c>
      <c r="F4070" t="s">
        <v>2065</v>
      </c>
      <c r="G4070" t="s">
        <v>7882</v>
      </c>
      <c r="H4070">
        <v>42035</v>
      </c>
      <c r="I4070" t="s">
        <v>423</v>
      </c>
      <c r="J4070" t="s">
        <v>4626</v>
      </c>
      <c r="K4070" t="s">
        <v>2102</v>
      </c>
      <c r="L4070" t="s">
        <v>2115</v>
      </c>
      <c r="M4070">
        <v>1457</v>
      </c>
      <c r="N4070">
        <v>53.31</v>
      </c>
      <c r="O4070">
        <v>39445.14</v>
      </c>
      <c r="P4070">
        <v>0</v>
      </c>
      <c r="Q4070">
        <v>39445.14</v>
      </c>
      <c r="R4070">
        <v>6311.22</v>
      </c>
      <c r="S4070">
        <v>1577.81</v>
      </c>
      <c r="T4070">
        <v>44178.55</v>
      </c>
      <c r="V4070" t="s">
        <v>9409</v>
      </c>
      <c r="W4070" t="s">
        <v>423</v>
      </c>
    </row>
    <row r="4071" spans="1:23" hidden="1" x14ac:dyDescent="0.2">
      <c r="A4071">
        <v>2012</v>
      </c>
      <c r="B4071" t="s">
        <v>304</v>
      </c>
      <c r="C4071" s="733">
        <v>40966</v>
      </c>
      <c r="D40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71" t="s">
        <v>485</v>
      </c>
      <c r="F4071" t="s">
        <v>2065</v>
      </c>
      <c r="G4071" t="s">
        <v>8832</v>
      </c>
      <c r="H4071">
        <v>42625</v>
      </c>
      <c r="I4071" t="s">
        <v>423</v>
      </c>
      <c r="J4071" t="s">
        <v>3280</v>
      </c>
      <c r="K4071" t="s">
        <v>2183</v>
      </c>
      <c r="L4071" t="s">
        <v>2184</v>
      </c>
      <c r="M4071">
        <v>1020</v>
      </c>
      <c r="N4071">
        <v>53.08</v>
      </c>
      <c r="O4071">
        <v>29485.41</v>
      </c>
      <c r="P4071">
        <v>0</v>
      </c>
      <c r="Q4071">
        <v>29485.41</v>
      </c>
      <c r="R4071">
        <v>4717.67</v>
      </c>
      <c r="S4071">
        <v>1179.42</v>
      </c>
      <c r="T4071">
        <v>33023.660000000003</v>
      </c>
      <c r="V4071" t="s">
        <v>9409</v>
      </c>
      <c r="W4071" t="s">
        <v>423</v>
      </c>
    </row>
    <row r="4072" spans="1:23" hidden="1" x14ac:dyDescent="0.2">
      <c r="A4072">
        <v>2012</v>
      </c>
      <c r="B4072" t="s">
        <v>303</v>
      </c>
      <c r="C4072" s="733">
        <v>40928</v>
      </c>
      <c r="D40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72" t="s">
        <v>485</v>
      </c>
      <c r="F4072" t="s">
        <v>2065</v>
      </c>
      <c r="G4072" t="s">
        <v>6503</v>
      </c>
      <c r="H4072">
        <v>40600</v>
      </c>
      <c r="I4072" t="s">
        <v>423</v>
      </c>
      <c r="J4072" t="s">
        <v>3054</v>
      </c>
      <c r="K4072" t="s">
        <v>2183</v>
      </c>
      <c r="L4072" t="s">
        <v>2184</v>
      </c>
      <c r="M4072">
        <v>43</v>
      </c>
      <c r="N4072">
        <v>15.2</v>
      </c>
      <c r="O4072">
        <v>1715.62</v>
      </c>
      <c r="P4072">
        <v>0</v>
      </c>
      <c r="Q4072">
        <v>1715.62</v>
      </c>
      <c r="R4072">
        <v>274.5</v>
      </c>
      <c r="S4072">
        <v>68.62</v>
      </c>
      <c r="T4072">
        <v>1921.5</v>
      </c>
      <c r="U4072" t="s">
        <v>7554</v>
      </c>
      <c r="V4072" t="s">
        <v>9408</v>
      </c>
      <c r="W4072" t="s">
        <v>423</v>
      </c>
    </row>
    <row r="4073" spans="1:23" hidden="1" x14ac:dyDescent="0.2">
      <c r="A4073">
        <v>2012</v>
      </c>
      <c r="B4073" t="s">
        <v>304</v>
      </c>
      <c r="C4073" s="733">
        <v>40960</v>
      </c>
      <c r="D40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73" t="s">
        <v>505</v>
      </c>
      <c r="F4073" t="s">
        <v>1915</v>
      </c>
      <c r="G4073" t="s">
        <v>8227</v>
      </c>
      <c r="H4073">
        <v>22893</v>
      </c>
      <c r="I4073" t="s">
        <v>424</v>
      </c>
      <c r="J4073" t="s">
        <v>1917</v>
      </c>
      <c r="K4073" t="s">
        <v>1918</v>
      </c>
      <c r="L4073" t="s">
        <v>1919</v>
      </c>
      <c r="M4073">
        <v>267</v>
      </c>
      <c r="N4073">
        <v>30</v>
      </c>
      <c r="O4073">
        <v>4613.7</v>
      </c>
      <c r="P4073">
        <v>0</v>
      </c>
      <c r="Q4073">
        <v>4613.7</v>
      </c>
      <c r="R4073">
        <v>738.19</v>
      </c>
      <c r="S4073">
        <v>184.55</v>
      </c>
      <c r="T4073">
        <v>5167.34</v>
      </c>
      <c r="U4073" t="s">
        <v>8491</v>
      </c>
      <c r="V4073" t="s">
        <v>9408</v>
      </c>
      <c r="W4073" t="s">
        <v>424</v>
      </c>
    </row>
    <row r="4074" spans="1:23" hidden="1" x14ac:dyDescent="0.2">
      <c r="A4074">
        <v>2012</v>
      </c>
      <c r="B4074" t="s">
        <v>303</v>
      </c>
      <c r="C4074" s="733">
        <v>40920</v>
      </c>
      <c r="D40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74" t="s">
        <v>505</v>
      </c>
      <c r="F4074" t="s">
        <v>1915</v>
      </c>
      <c r="G4074" t="s">
        <v>1958</v>
      </c>
      <c r="H4074">
        <v>21897</v>
      </c>
      <c r="I4074" t="s">
        <v>424</v>
      </c>
      <c r="J4074" t="s">
        <v>1917</v>
      </c>
      <c r="K4074" t="s">
        <v>1918</v>
      </c>
      <c r="L4074" t="s">
        <v>1919</v>
      </c>
      <c r="M4074">
        <v>267</v>
      </c>
      <c r="N4074">
        <v>30</v>
      </c>
      <c r="O4074">
        <v>2929.97</v>
      </c>
      <c r="P4074">
        <v>1683.8244589999999</v>
      </c>
      <c r="Q4074">
        <v>4613.7944589999997</v>
      </c>
      <c r="R4074">
        <v>738.20711300000005</v>
      </c>
      <c r="S4074">
        <v>184.55177800000001</v>
      </c>
      <c r="T4074">
        <v>5167.4497940000001</v>
      </c>
      <c r="U4074" t="s">
        <v>1931</v>
      </c>
      <c r="V4074" t="s">
        <v>9408</v>
      </c>
      <c r="W4074" t="s">
        <v>424</v>
      </c>
    </row>
    <row r="4075" spans="1:23" hidden="1" x14ac:dyDescent="0.2">
      <c r="A4075">
        <v>2012</v>
      </c>
      <c r="B4075" t="s">
        <v>303</v>
      </c>
      <c r="C4075" s="733">
        <v>40934</v>
      </c>
      <c r="D40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75" t="s">
        <v>505</v>
      </c>
      <c r="F4075" t="s">
        <v>1915</v>
      </c>
      <c r="G4075" t="s">
        <v>1960</v>
      </c>
      <c r="H4075">
        <v>22253</v>
      </c>
      <c r="I4075" t="s">
        <v>424</v>
      </c>
      <c r="J4075" t="s">
        <v>1917</v>
      </c>
      <c r="K4075" t="s">
        <v>1918</v>
      </c>
      <c r="L4075" t="s">
        <v>1919</v>
      </c>
      <c r="M4075">
        <v>267</v>
      </c>
      <c r="N4075">
        <v>30</v>
      </c>
      <c r="O4075">
        <v>2929.97</v>
      </c>
      <c r="P4075">
        <v>1683.8244589999999</v>
      </c>
      <c r="Q4075">
        <v>4613.7944589999997</v>
      </c>
      <c r="R4075">
        <v>738.20711300000005</v>
      </c>
      <c r="S4075">
        <v>184.55177800000001</v>
      </c>
      <c r="T4075">
        <v>5167.4497940000001</v>
      </c>
      <c r="U4075" t="s">
        <v>1928</v>
      </c>
      <c r="V4075" t="s">
        <v>9408</v>
      </c>
      <c r="W4075" t="s">
        <v>424</v>
      </c>
    </row>
    <row r="4076" spans="1:23" hidden="1" x14ac:dyDescent="0.2">
      <c r="A4076">
        <v>2012</v>
      </c>
      <c r="B4076" t="s">
        <v>303</v>
      </c>
      <c r="C4076" s="733">
        <v>40922</v>
      </c>
      <c r="D40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76" t="s">
        <v>505</v>
      </c>
      <c r="F4076" t="s">
        <v>1915</v>
      </c>
      <c r="G4076" t="s">
        <v>1959</v>
      </c>
      <c r="H4076">
        <v>21954</v>
      </c>
      <c r="I4076" t="s">
        <v>424</v>
      </c>
      <c r="J4076" t="s">
        <v>1917</v>
      </c>
      <c r="K4076" t="s">
        <v>1918</v>
      </c>
      <c r="L4076" t="s">
        <v>1919</v>
      </c>
      <c r="M4076">
        <v>267</v>
      </c>
      <c r="N4076">
        <v>30</v>
      </c>
      <c r="O4076">
        <v>2929.97</v>
      </c>
      <c r="P4076">
        <v>1683.82</v>
      </c>
      <c r="Q4076">
        <v>4613.79</v>
      </c>
      <c r="R4076">
        <v>738.2</v>
      </c>
      <c r="S4076">
        <v>184.55</v>
      </c>
      <c r="T4076">
        <v>5167.4399999999996</v>
      </c>
      <c r="U4076" t="s">
        <v>1931</v>
      </c>
      <c r="V4076" t="s">
        <v>9408</v>
      </c>
      <c r="W4076" t="s">
        <v>424</v>
      </c>
    </row>
    <row r="4077" spans="1:23" hidden="1" x14ac:dyDescent="0.2">
      <c r="A4077">
        <v>2012</v>
      </c>
      <c r="B4077" t="s">
        <v>304</v>
      </c>
      <c r="C4077" s="733">
        <v>40955</v>
      </c>
      <c r="D40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77" t="s">
        <v>478</v>
      </c>
      <c r="F4077" t="s">
        <v>3358</v>
      </c>
      <c r="G4077" t="s">
        <v>7999</v>
      </c>
      <c r="H4077">
        <v>35348</v>
      </c>
      <c r="I4077" t="s">
        <v>423</v>
      </c>
      <c r="J4077" t="s">
        <v>5024</v>
      </c>
      <c r="K4077" t="s">
        <v>4397</v>
      </c>
      <c r="L4077" t="s">
        <v>4398</v>
      </c>
      <c r="M4077">
        <v>770</v>
      </c>
      <c r="N4077">
        <v>27.26</v>
      </c>
      <c r="O4077">
        <v>9001.25</v>
      </c>
      <c r="P4077">
        <v>0</v>
      </c>
      <c r="Q4077">
        <v>9001.25</v>
      </c>
      <c r="R4077">
        <v>1440.2</v>
      </c>
      <c r="S4077">
        <v>360.05</v>
      </c>
      <c r="T4077">
        <v>10081.4</v>
      </c>
      <c r="U4077" t="s">
        <v>7540</v>
      </c>
      <c r="V4077" t="s">
        <v>9408</v>
      </c>
      <c r="W4077" t="s">
        <v>423</v>
      </c>
    </row>
    <row r="4078" spans="1:23" hidden="1" x14ac:dyDescent="0.2">
      <c r="A4078">
        <v>2012</v>
      </c>
      <c r="B4078" t="s">
        <v>303</v>
      </c>
      <c r="C4078" s="733">
        <v>40934</v>
      </c>
      <c r="D40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78" t="s">
        <v>505</v>
      </c>
      <c r="F4078" t="s">
        <v>1915</v>
      </c>
      <c r="G4078" t="s">
        <v>6973</v>
      </c>
      <c r="H4078">
        <v>22249</v>
      </c>
      <c r="I4078" t="s">
        <v>423</v>
      </c>
      <c r="J4078" t="s">
        <v>1917</v>
      </c>
      <c r="K4078" t="s">
        <v>1918</v>
      </c>
      <c r="L4078" t="s">
        <v>1919</v>
      </c>
      <c r="M4078">
        <v>267</v>
      </c>
      <c r="N4078">
        <v>49.78</v>
      </c>
      <c r="O4078">
        <v>11192.54</v>
      </c>
      <c r="P4078">
        <v>0</v>
      </c>
      <c r="Q4078">
        <v>11192.54</v>
      </c>
      <c r="R4078">
        <v>1790.81</v>
      </c>
      <c r="S4078">
        <v>447.7</v>
      </c>
      <c r="T4078">
        <v>12535.65</v>
      </c>
      <c r="U4078" t="s">
        <v>1926</v>
      </c>
      <c r="V4078" t="s">
        <v>9409</v>
      </c>
      <c r="W4078" t="s">
        <v>423</v>
      </c>
    </row>
    <row r="4079" spans="1:23" hidden="1" x14ac:dyDescent="0.2">
      <c r="A4079">
        <v>2012</v>
      </c>
      <c r="B4079" t="s">
        <v>304</v>
      </c>
      <c r="C4079" s="733">
        <v>40956</v>
      </c>
      <c r="D40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79" t="s">
        <v>505</v>
      </c>
      <c r="F4079" t="s">
        <v>1915</v>
      </c>
      <c r="G4079" t="s">
        <v>7632</v>
      </c>
      <c r="H4079">
        <v>22772</v>
      </c>
      <c r="I4079" t="s">
        <v>424</v>
      </c>
      <c r="J4079" t="s">
        <v>7633</v>
      </c>
      <c r="K4079" t="s">
        <v>1918</v>
      </c>
      <c r="L4079" t="s">
        <v>1919</v>
      </c>
      <c r="M4079">
        <v>183</v>
      </c>
      <c r="N4079">
        <v>30</v>
      </c>
      <c r="O4079">
        <v>6593.4</v>
      </c>
      <c r="P4079">
        <v>0</v>
      </c>
      <c r="Q4079">
        <v>6593.4</v>
      </c>
      <c r="R4079">
        <v>1054.94</v>
      </c>
      <c r="S4079">
        <v>263.74</v>
      </c>
      <c r="T4079">
        <v>7384.6</v>
      </c>
      <c r="U4079" t="s">
        <v>7529</v>
      </c>
      <c r="V4079" t="s">
        <v>9408</v>
      </c>
      <c r="W4079" t="s">
        <v>424</v>
      </c>
    </row>
    <row r="4080" spans="1:23" hidden="1" x14ac:dyDescent="0.2">
      <c r="A4080">
        <v>2012</v>
      </c>
      <c r="B4080" t="s">
        <v>304</v>
      </c>
      <c r="C4080" s="733">
        <v>40962</v>
      </c>
      <c r="D40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80" t="s">
        <v>505</v>
      </c>
      <c r="F4080" t="s">
        <v>1915</v>
      </c>
      <c r="G4080" t="s">
        <v>8624</v>
      </c>
      <c r="H4080">
        <v>22883</v>
      </c>
      <c r="I4080" t="s">
        <v>1979</v>
      </c>
      <c r="J4080" t="s">
        <v>1980</v>
      </c>
      <c r="K4080" t="s">
        <v>1918</v>
      </c>
      <c r="L4080" t="s">
        <v>1919</v>
      </c>
      <c r="M4080">
        <v>732</v>
      </c>
      <c r="N4080">
        <v>49.63</v>
      </c>
      <c r="O4080">
        <v>23465.06</v>
      </c>
      <c r="P4080">
        <v>0</v>
      </c>
      <c r="Q4080">
        <v>23465.06</v>
      </c>
      <c r="R4080">
        <v>3754.41</v>
      </c>
      <c r="S4080">
        <v>938.6</v>
      </c>
      <c r="T4080">
        <v>26280.87</v>
      </c>
      <c r="U4080" t="s">
        <v>8778</v>
      </c>
      <c r="V4080" t="s">
        <v>9409</v>
      </c>
      <c r="W4080" t="s">
        <v>1979</v>
      </c>
    </row>
    <row r="4081" spans="1:23" hidden="1" x14ac:dyDescent="0.2">
      <c r="A4081">
        <v>2012</v>
      </c>
      <c r="B4081" t="s">
        <v>303</v>
      </c>
      <c r="C4081" s="733">
        <v>40927</v>
      </c>
      <c r="D40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81" t="s">
        <v>505</v>
      </c>
      <c r="F4081" t="s">
        <v>1915</v>
      </c>
      <c r="G4081" t="s">
        <v>6846</v>
      </c>
      <c r="H4081">
        <v>22063</v>
      </c>
      <c r="I4081" t="s">
        <v>1979</v>
      </c>
      <c r="J4081" t="s">
        <v>1980</v>
      </c>
      <c r="K4081" t="s">
        <v>1918</v>
      </c>
      <c r="L4081" t="s">
        <v>1919</v>
      </c>
      <c r="M4081">
        <v>732</v>
      </c>
      <c r="N4081">
        <v>49.71</v>
      </c>
      <c r="O4081">
        <v>21802.81</v>
      </c>
      <c r="P4081">
        <v>0</v>
      </c>
      <c r="Q4081">
        <v>21802.81</v>
      </c>
      <c r="R4081">
        <v>3488.45</v>
      </c>
      <c r="S4081">
        <v>872.11</v>
      </c>
      <c r="T4081">
        <v>24419.15</v>
      </c>
      <c r="U4081" t="s">
        <v>1936</v>
      </c>
      <c r="V4081" t="s">
        <v>9409</v>
      </c>
      <c r="W4081" t="s">
        <v>1979</v>
      </c>
    </row>
    <row r="4082" spans="1:23" hidden="1" x14ac:dyDescent="0.2">
      <c r="A4082">
        <v>2012</v>
      </c>
      <c r="B4082" t="s">
        <v>303</v>
      </c>
      <c r="C4082" s="733">
        <v>40932</v>
      </c>
      <c r="D40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82" t="s">
        <v>505</v>
      </c>
      <c r="F4082" t="s">
        <v>1915</v>
      </c>
      <c r="G4082" t="s">
        <v>2041</v>
      </c>
      <c r="H4082">
        <v>22186</v>
      </c>
      <c r="I4082" t="s">
        <v>423</v>
      </c>
      <c r="J4082" t="s">
        <v>1945</v>
      </c>
      <c r="K4082" t="s">
        <v>1918</v>
      </c>
      <c r="L4082" t="s">
        <v>1919</v>
      </c>
      <c r="M4082">
        <v>949</v>
      </c>
      <c r="N4082">
        <v>54.3</v>
      </c>
      <c r="O4082">
        <v>31244.76</v>
      </c>
      <c r="P4082">
        <v>0</v>
      </c>
      <c r="Q4082">
        <v>31244.76</v>
      </c>
      <c r="R4082">
        <v>4999.16</v>
      </c>
      <c r="S4082">
        <v>1249.79</v>
      </c>
      <c r="T4082">
        <v>34994.129999999997</v>
      </c>
      <c r="V4082" t="s">
        <v>9409</v>
      </c>
      <c r="W4082" t="s">
        <v>423</v>
      </c>
    </row>
    <row r="4083" spans="1:23" hidden="1" x14ac:dyDescent="0.2">
      <c r="A4083">
        <v>2012</v>
      </c>
      <c r="B4083" t="s">
        <v>303</v>
      </c>
      <c r="C4083" s="733">
        <v>40939</v>
      </c>
      <c r="D40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83" t="s">
        <v>505</v>
      </c>
      <c r="F4083" t="s">
        <v>1915</v>
      </c>
      <c r="G4083" t="s">
        <v>2040</v>
      </c>
      <c r="H4083">
        <v>21705</v>
      </c>
      <c r="I4083" t="s">
        <v>423</v>
      </c>
      <c r="J4083" t="s">
        <v>1945</v>
      </c>
      <c r="K4083" t="s">
        <v>1918</v>
      </c>
      <c r="L4083" t="s">
        <v>1919</v>
      </c>
      <c r="M4083">
        <v>949</v>
      </c>
      <c r="N4083">
        <v>53.3</v>
      </c>
      <c r="O4083">
        <v>30669.35</v>
      </c>
      <c r="P4083">
        <v>0</v>
      </c>
      <c r="Q4083">
        <v>30669.35</v>
      </c>
      <c r="R4083">
        <v>4907.1000000000004</v>
      </c>
      <c r="S4083">
        <v>1226.77</v>
      </c>
      <c r="T4083">
        <v>34349.68</v>
      </c>
      <c r="U4083" t="s">
        <v>1926</v>
      </c>
      <c r="V4083" t="s">
        <v>9409</v>
      </c>
      <c r="W4083" t="s">
        <v>423</v>
      </c>
    </row>
    <row r="4084" spans="1:23" hidden="1" x14ac:dyDescent="0.2">
      <c r="A4084">
        <v>2012</v>
      </c>
      <c r="B4084" t="s">
        <v>303</v>
      </c>
      <c r="C4084" s="733">
        <v>40933</v>
      </c>
      <c r="D40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84" t="s">
        <v>505</v>
      </c>
      <c r="F4084" t="s">
        <v>1915</v>
      </c>
      <c r="G4084" t="s">
        <v>2042</v>
      </c>
      <c r="H4084">
        <v>21885</v>
      </c>
      <c r="I4084" t="s">
        <v>423</v>
      </c>
      <c r="J4084" t="s">
        <v>1945</v>
      </c>
      <c r="K4084" t="s">
        <v>1918</v>
      </c>
      <c r="L4084" t="s">
        <v>1919</v>
      </c>
      <c r="M4084">
        <v>949</v>
      </c>
      <c r="N4084">
        <v>59.56</v>
      </c>
      <c r="O4084">
        <v>34271.42</v>
      </c>
      <c r="P4084">
        <v>0</v>
      </c>
      <c r="Q4084">
        <v>34271.42</v>
      </c>
      <c r="R4084">
        <v>5483.43</v>
      </c>
      <c r="S4084">
        <v>1370.86</v>
      </c>
      <c r="T4084">
        <v>38383.99</v>
      </c>
      <c r="U4084" t="s">
        <v>1928</v>
      </c>
      <c r="V4084" t="s">
        <v>9409</v>
      </c>
      <c r="W4084" t="s">
        <v>423</v>
      </c>
    </row>
    <row r="4085" spans="1:23" hidden="1" x14ac:dyDescent="0.2">
      <c r="A4085">
        <v>2012</v>
      </c>
      <c r="B4085" t="s">
        <v>305</v>
      </c>
      <c r="C4085" s="733">
        <v>40973</v>
      </c>
      <c r="D4085" s="733" t="str">
        <f>CHOOSE(MONTH(Tabla_sqldatos_bonampakdb_Bon_v_ingresos2012[[#This Row],[fecha_guia]]),"Enero","Febrero","Marzo","Abril","Mayo","Junio","Julio","Agosto","Septiembre","Octubre","Noviembre","Diciembre")</f>
        <v>Marzo</v>
      </c>
      <c r="E4085" t="s">
        <v>505</v>
      </c>
      <c r="F4085" t="s">
        <v>1915</v>
      </c>
      <c r="G4085" t="s">
        <v>9622</v>
      </c>
      <c r="H4085">
        <v>23114</v>
      </c>
      <c r="I4085" t="s">
        <v>423</v>
      </c>
      <c r="J4085" t="s">
        <v>1980</v>
      </c>
      <c r="K4085" t="s">
        <v>1918</v>
      </c>
      <c r="L4085" t="s">
        <v>1919</v>
      </c>
      <c r="M4085">
        <v>732</v>
      </c>
      <c r="N4085">
        <v>26.6</v>
      </c>
      <c r="O4085">
        <v>11666.76</v>
      </c>
      <c r="P4085">
        <v>0</v>
      </c>
      <c r="Q4085">
        <v>11666.76</v>
      </c>
      <c r="R4085">
        <v>1866.68</v>
      </c>
      <c r="S4085">
        <v>466.67</v>
      </c>
      <c r="T4085">
        <v>13066.77</v>
      </c>
      <c r="V4085" t="s">
        <v>9408</v>
      </c>
      <c r="W4085" t="s">
        <v>423</v>
      </c>
    </row>
    <row r="4086" spans="1:23" hidden="1" x14ac:dyDescent="0.2">
      <c r="A4086">
        <v>2012</v>
      </c>
      <c r="B4086" t="s">
        <v>304</v>
      </c>
      <c r="C4086" s="733">
        <v>40959</v>
      </c>
      <c r="D40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86" t="s">
        <v>505</v>
      </c>
      <c r="F4086" t="s">
        <v>1915</v>
      </c>
      <c r="G4086" t="s">
        <v>8117</v>
      </c>
      <c r="H4086">
        <v>22827</v>
      </c>
      <c r="I4086" t="s">
        <v>1979</v>
      </c>
      <c r="J4086" t="s">
        <v>1980</v>
      </c>
      <c r="K4086" t="s">
        <v>1918</v>
      </c>
      <c r="L4086" t="s">
        <v>1919</v>
      </c>
      <c r="M4086">
        <v>732</v>
      </c>
      <c r="N4086">
        <v>50.21</v>
      </c>
      <c r="O4086">
        <v>22022.11</v>
      </c>
      <c r="P4086">
        <v>0</v>
      </c>
      <c r="Q4086">
        <v>22022.11</v>
      </c>
      <c r="R4086">
        <v>3523.54</v>
      </c>
      <c r="S4086">
        <v>880.88</v>
      </c>
      <c r="T4086">
        <v>24664.77</v>
      </c>
      <c r="U4086" t="s">
        <v>8491</v>
      </c>
      <c r="V4086" t="s">
        <v>9409</v>
      </c>
      <c r="W4086" t="s">
        <v>1979</v>
      </c>
    </row>
    <row r="4087" spans="1:23" hidden="1" x14ac:dyDescent="0.2">
      <c r="A4087">
        <v>2012</v>
      </c>
      <c r="B4087" t="s">
        <v>304</v>
      </c>
      <c r="C4087" s="733">
        <v>40952</v>
      </c>
      <c r="D40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87" t="s">
        <v>485</v>
      </c>
      <c r="F4087" t="s">
        <v>2054</v>
      </c>
      <c r="G4087" t="s">
        <v>6137</v>
      </c>
      <c r="H4087">
        <v>10398</v>
      </c>
      <c r="I4087" t="s">
        <v>423</v>
      </c>
      <c r="J4087" t="s">
        <v>4078</v>
      </c>
      <c r="K4087" t="s">
        <v>2057</v>
      </c>
      <c r="L4087" t="s">
        <v>2058</v>
      </c>
      <c r="M4087">
        <v>154</v>
      </c>
      <c r="N4087">
        <v>25</v>
      </c>
      <c r="O4087">
        <v>4213</v>
      </c>
      <c r="P4087">
        <v>0</v>
      </c>
      <c r="Q4087">
        <v>4213</v>
      </c>
      <c r="R4087">
        <v>463.43</v>
      </c>
      <c r="S4087">
        <v>168.52</v>
      </c>
      <c r="T4087">
        <v>4507.91</v>
      </c>
      <c r="U4087" t="s">
        <v>8047</v>
      </c>
      <c r="V4087" t="s">
        <v>9408</v>
      </c>
      <c r="W4087" t="s">
        <v>423</v>
      </c>
    </row>
    <row r="4088" spans="1:23" hidden="1" x14ac:dyDescent="0.2">
      <c r="A4088">
        <v>2012</v>
      </c>
      <c r="B4088" t="s">
        <v>303</v>
      </c>
      <c r="C4088" s="733">
        <v>40932</v>
      </c>
      <c r="D40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88" t="s">
        <v>478</v>
      </c>
      <c r="F4088" t="s">
        <v>2622</v>
      </c>
      <c r="G4088" t="s">
        <v>7009</v>
      </c>
      <c r="H4088">
        <v>34791</v>
      </c>
      <c r="I4088" t="s">
        <v>423</v>
      </c>
      <c r="J4088" t="s">
        <v>3636</v>
      </c>
      <c r="K4088" t="s">
        <v>425</v>
      </c>
      <c r="L4088" t="s">
        <v>2145</v>
      </c>
      <c r="M4088">
        <v>244</v>
      </c>
      <c r="N4088">
        <v>27.68</v>
      </c>
      <c r="O4088">
        <v>4623.1099999999997</v>
      </c>
      <c r="P4088">
        <v>0</v>
      </c>
      <c r="Q4088">
        <v>4623.1099999999997</v>
      </c>
      <c r="R4088">
        <v>739.7</v>
      </c>
      <c r="S4088">
        <v>184.92</v>
      </c>
      <c r="T4088">
        <v>5177.8900000000003</v>
      </c>
      <c r="U4088" t="s">
        <v>2355</v>
      </c>
      <c r="V4088" t="s">
        <v>9408</v>
      </c>
      <c r="W4088" t="s">
        <v>423</v>
      </c>
    </row>
    <row r="4089" spans="1:23" hidden="1" x14ac:dyDescent="0.2">
      <c r="A4089">
        <v>2012</v>
      </c>
      <c r="B4089" t="s">
        <v>304</v>
      </c>
      <c r="C4089" s="733">
        <v>40966</v>
      </c>
      <c r="D40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89" t="s">
        <v>478</v>
      </c>
      <c r="F4089" t="s">
        <v>2136</v>
      </c>
      <c r="G4089" t="s">
        <v>9271</v>
      </c>
      <c r="H4089">
        <v>36021</v>
      </c>
      <c r="I4089" t="s">
        <v>423</v>
      </c>
      <c r="J4089" t="s">
        <v>3636</v>
      </c>
      <c r="K4089" t="s">
        <v>425</v>
      </c>
      <c r="L4089" t="s">
        <v>2145</v>
      </c>
      <c r="M4089">
        <v>244</v>
      </c>
      <c r="N4089">
        <v>44.1</v>
      </c>
      <c r="O4089">
        <v>7365.58</v>
      </c>
      <c r="P4089">
        <v>0</v>
      </c>
      <c r="Q4089">
        <v>7365.58</v>
      </c>
      <c r="R4089">
        <v>1178.49</v>
      </c>
      <c r="S4089">
        <v>294.62</v>
      </c>
      <c r="T4089">
        <v>8249.4500000000007</v>
      </c>
      <c r="U4089" t="s">
        <v>9430</v>
      </c>
      <c r="V4089" t="s">
        <v>9409</v>
      </c>
      <c r="W4089" t="s">
        <v>423</v>
      </c>
    </row>
    <row r="4090" spans="1:23" hidden="1" x14ac:dyDescent="0.2">
      <c r="A4090">
        <v>2012</v>
      </c>
      <c r="B4090" t="s">
        <v>303</v>
      </c>
      <c r="C4090" s="733">
        <v>40939</v>
      </c>
      <c r="D40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90" t="s">
        <v>505</v>
      </c>
      <c r="F4090" t="s">
        <v>1915</v>
      </c>
      <c r="G4090" t="s">
        <v>2043</v>
      </c>
      <c r="H4090">
        <v>21306</v>
      </c>
      <c r="I4090" t="s">
        <v>423</v>
      </c>
      <c r="J4090" t="s">
        <v>1980</v>
      </c>
      <c r="K4090" t="s">
        <v>1918</v>
      </c>
      <c r="L4090" t="s">
        <v>1919</v>
      </c>
      <c r="M4090">
        <v>732</v>
      </c>
      <c r="N4090">
        <v>53.85</v>
      </c>
      <c r="O4090">
        <v>23618.61</v>
      </c>
      <c r="P4090">
        <v>0</v>
      </c>
      <c r="Q4090">
        <v>23618.61</v>
      </c>
      <c r="R4090">
        <v>3778.98</v>
      </c>
      <c r="S4090">
        <v>944.74</v>
      </c>
      <c r="T4090">
        <v>26452.85</v>
      </c>
      <c r="U4090" t="s">
        <v>1936</v>
      </c>
      <c r="V4090" t="s">
        <v>9409</v>
      </c>
      <c r="W4090" t="s">
        <v>423</v>
      </c>
    </row>
    <row r="4091" spans="1:23" hidden="1" x14ac:dyDescent="0.2">
      <c r="A4091">
        <v>2012</v>
      </c>
      <c r="B4091" t="s">
        <v>303</v>
      </c>
      <c r="C4091" s="733">
        <v>40927</v>
      </c>
      <c r="D40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91" t="s">
        <v>478</v>
      </c>
      <c r="F4091" t="s">
        <v>2622</v>
      </c>
      <c r="G4091" t="s">
        <v>2643</v>
      </c>
      <c r="H4091">
        <v>34622</v>
      </c>
      <c r="I4091" t="s">
        <v>423</v>
      </c>
      <c r="J4091" t="s">
        <v>2644</v>
      </c>
      <c r="K4091" t="s">
        <v>2625</v>
      </c>
      <c r="L4091" t="s">
        <v>2626</v>
      </c>
      <c r="M4091">
        <v>52</v>
      </c>
      <c r="N4091">
        <v>25.35</v>
      </c>
      <c r="O4091">
        <v>2984.46</v>
      </c>
      <c r="P4091">
        <v>0</v>
      </c>
      <c r="Q4091">
        <v>2984.46</v>
      </c>
      <c r="R4091">
        <v>477.51</v>
      </c>
      <c r="S4091">
        <v>119.38</v>
      </c>
      <c r="T4091">
        <v>3342.59</v>
      </c>
      <c r="U4091" t="s">
        <v>2635</v>
      </c>
      <c r="V4091" t="s">
        <v>9408</v>
      </c>
      <c r="W4091" t="s">
        <v>423</v>
      </c>
    </row>
    <row r="4092" spans="1:23" hidden="1" x14ac:dyDescent="0.2">
      <c r="A4092">
        <v>2012</v>
      </c>
      <c r="B4092" t="s">
        <v>303</v>
      </c>
      <c r="C4092" s="733">
        <v>40914.849652777775</v>
      </c>
      <c r="D40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92" t="s">
        <v>478</v>
      </c>
      <c r="F4092" t="s">
        <v>2622</v>
      </c>
      <c r="G4092" t="s">
        <v>5010</v>
      </c>
      <c r="H4092">
        <v>34280</v>
      </c>
      <c r="I4092" t="s">
        <v>423</v>
      </c>
      <c r="J4092" t="s">
        <v>2644</v>
      </c>
      <c r="K4092" t="s">
        <v>2625</v>
      </c>
      <c r="L4092" t="s">
        <v>2626</v>
      </c>
      <c r="M4092">
        <v>52</v>
      </c>
      <c r="N4092">
        <v>23.5</v>
      </c>
      <c r="O4092">
        <v>2766.66</v>
      </c>
      <c r="P4092">
        <v>0</v>
      </c>
      <c r="Q4092">
        <v>2766.66</v>
      </c>
      <c r="R4092">
        <v>442.66</v>
      </c>
      <c r="S4092">
        <v>110.67</v>
      </c>
      <c r="T4092">
        <v>3098.65</v>
      </c>
      <c r="U4092" t="s">
        <v>2635</v>
      </c>
      <c r="V4092" t="s">
        <v>9408</v>
      </c>
      <c r="W4092" t="s">
        <v>423</v>
      </c>
    </row>
    <row r="4093" spans="1:23" hidden="1" x14ac:dyDescent="0.2">
      <c r="A4093">
        <v>2012</v>
      </c>
      <c r="B4093" t="s">
        <v>304</v>
      </c>
      <c r="C4093" s="733">
        <v>40966.935335648152</v>
      </c>
      <c r="D40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93" t="s">
        <v>478</v>
      </c>
      <c r="F4093" t="s">
        <v>2622</v>
      </c>
      <c r="G4093" t="s">
        <v>9280</v>
      </c>
      <c r="H4093">
        <v>36069</v>
      </c>
      <c r="I4093" t="s">
        <v>423</v>
      </c>
      <c r="J4093" t="s">
        <v>2644</v>
      </c>
      <c r="K4093" t="s">
        <v>2625</v>
      </c>
      <c r="L4093" t="s">
        <v>2626</v>
      </c>
      <c r="M4093">
        <v>52</v>
      </c>
      <c r="N4093">
        <v>26.67</v>
      </c>
      <c r="O4093">
        <v>3139.86</v>
      </c>
      <c r="P4093">
        <v>0</v>
      </c>
      <c r="Q4093">
        <v>3139.86</v>
      </c>
      <c r="R4093">
        <v>502.38</v>
      </c>
      <c r="S4093">
        <v>125.59</v>
      </c>
      <c r="T4093">
        <v>3516.65</v>
      </c>
      <c r="U4093" t="s">
        <v>9428</v>
      </c>
      <c r="V4093" t="s">
        <v>9408</v>
      </c>
      <c r="W4093" t="s">
        <v>423</v>
      </c>
    </row>
    <row r="4094" spans="1:23" hidden="1" x14ac:dyDescent="0.2">
      <c r="A4094">
        <v>2012</v>
      </c>
      <c r="B4094" t="s">
        <v>303</v>
      </c>
      <c r="C4094" s="733">
        <v>40932.559861111113</v>
      </c>
      <c r="D40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94" t="s">
        <v>478</v>
      </c>
      <c r="F4094" t="s">
        <v>2622</v>
      </c>
      <c r="G4094" t="s">
        <v>5009</v>
      </c>
      <c r="H4094">
        <v>34911</v>
      </c>
      <c r="I4094" t="s">
        <v>423</v>
      </c>
      <c r="J4094" t="s">
        <v>2644</v>
      </c>
      <c r="K4094" t="s">
        <v>2625</v>
      </c>
      <c r="L4094" t="s">
        <v>2145</v>
      </c>
      <c r="M4094">
        <v>52</v>
      </c>
      <c r="N4094">
        <v>27.72</v>
      </c>
      <c r="O4094">
        <v>3263.48</v>
      </c>
      <c r="P4094">
        <v>0</v>
      </c>
      <c r="Q4094">
        <v>3263.48</v>
      </c>
      <c r="R4094">
        <v>522.16</v>
      </c>
      <c r="S4094">
        <v>130.54</v>
      </c>
      <c r="T4094">
        <v>3655.1</v>
      </c>
      <c r="U4094" t="s">
        <v>2633</v>
      </c>
      <c r="V4094" t="s">
        <v>9408</v>
      </c>
      <c r="W4094" t="s">
        <v>423</v>
      </c>
    </row>
    <row r="4095" spans="1:23" hidden="1" x14ac:dyDescent="0.2">
      <c r="A4095">
        <v>2012</v>
      </c>
      <c r="B4095" t="s">
        <v>303</v>
      </c>
      <c r="C4095" s="733">
        <v>40927</v>
      </c>
      <c r="D40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95" t="s">
        <v>478</v>
      </c>
      <c r="F4095" t="s">
        <v>2136</v>
      </c>
      <c r="G4095" t="s">
        <v>5006</v>
      </c>
      <c r="H4095">
        <v>34617</v>
      </c>
      <c r="I4095" t="s">
        <v>423</v>
      </c>
      <c r="J4095" t="s">
        <v>2644</v>
      </c>
      <c r="K4095" t="s">
        <v>2625</v>
      </c>
      <c r="L4095" t="s">
        <v>2626</v>
      </c>
      <c r="M4095">
        <v>52</v>
      </c>
      <c r="N4095">
        <v>22.19</v>
      </c>
      <c r="O4095">
        <v>2612.4299999999998</v>
      </c>
      <c r="P4095">
        <v>0</v>
      </c>
      <c r="Q4095">
        <v>2612.4299999999998</v>
      </c>
      <c r="R4095">
        <v>417.99</v>
      </c>
      <c r="S4095">
        <v>104.5</v>
      </c>
      <c r="T4095">
        <v>2925.92</v>
      </c>
      <c r="U4095" t="s">
        <v>2630</v>
      </c>
      <c r="V4095" t="s">
        <v>9408</v>
      </c>
      <c r="W4095" t="s">
        <v>423</v>
      </c>
    </row>
    <row r="4096" spans="1:23" hidden="1" x14ac:dyDescent="0.2">
      <c r="A4096">
        <v>2012</v>
      </c>
      <c r="B4096" t="s">
        <v>303</v>
      </c>
      <c r="C4096" s="733">
        <v>40926</v>
      </c>
      <c r="D40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96" t="s">
        <v>485</v>
      </c>
      <c r="F4096" t="s">
        <v>2048</v>
      </c>
      <c r="G4096" t="s">
        <v>2620</v>
      </c>
      <c r="H4096">
        <v>40529</v>
      </c>
      <c r="I4096" t="s">
        <v>423</v>
      </c>
      <c r="J4096" t="s">
        <v>2274</v>
      </c>
      <c r="K4096" t="s">
        <v>2051</v>
      </c>
      <c r="L4096" t="s">
        <v>2052</v>
      </c>
      <c r="M4096">
        <v>573</v>
      </c>
      <c r="N4096">
        <v>24.65</v>
      </c>
      <c r="O4096">
        <v>7998.92</v>
      </c>
      <c r="P4096">
        <v>0</v>
      </c>
      <c r="Q4096">
        <v>7998.92</v>
      </c>
      <c r="R4096">
        <v>1279.83</v>
      </c>
      <c r="S4096">
        <v>319.95999999999998</v>
      </c>
      <c r="T4096">
        <v>8958.7900000000009</v>
      </c>
      <c r="U4096" t="s">
        <v>2062</v>
      </c>
      <c r="V4096" t="s">
        <v>9408</v>
      </c>
      <c r="W4096" t="s">
        <v>423</v>
      </c>
    </row>
    <row r="4097" spans="1:23" hidden="1" x14ac:dyDescent="0.2">
      <c r="A4097">
        <v>2012</v>
      </c>
      <c r="B4097" t="s">
        <v>304</v>
      </c>
      <c r="C4097" s="733">
        <v>40953</v>
      </c>
      <c r="D40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97" t="s">
        <v>485</v>
      </c>
      <c r="F4097" t="s">
        <v>2084</v>
      </c>
      <c r="G4097" t="s">
        <v>2561</v>
      </c>
      <c r="H4097">
        <v>41862</v>
      </c>
      <c r="I4097" t="s">
        <v>423</v>
      </c>
      <c r="J4097" t="s">
        <v>2274</v>
      </c>
      <c r="K4097" t="s">
        <v>2051</v>
      </c>
      <c r="L4097" t="s">
        <v>2052</v>
      </c>
      <c r="M4097">
        <v>573</v>
      </c>
      <c r="N4097">
        <v>26.3</v>
      </c>
      <c r="O4097">
        <v>8534.35</v>
      </c>
      <c r="P4097">
        <v>0</v>
      </c>
      <c r="Q4097">
        <v>8534.35</v>
      </c>
      <c r="R4097">
        <v>1365.5</v>
      </c>
      <c r="S4097">
        <v>341.37</v>
      </c>
      <c r="T4097">
        <v>9558.48</v>
      </c>
      <c r="U4097" t="s">
        <v>7568</v>
      </c>
      <c r="V4097" t="s">
        <v>9409</v>
      </c>
      <c r="W4097" t="s">
        <v>423</v>
      </c>
    </row>
    <row r="4098" spans="1:23" hidden="1" x14ac:dyDescent="0.2">
      <c r="A4098">
        <v>2012</v>
      </c>
      <c r="B4098" t="s">
        <v>304</v>
      </c>
      <c r="C4098" s="733">
        <v>40948</v>
      </c>
      <c r="D40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098" t="s">
        <v>478</v>
      </c>
      <c r="F4098" t="s">
        <v>2136</v>
      </c>
      <c r="G4098" t="s">
        <v>7004</v>
      </c>
      <c r="H4098">
        <v>35309</v>
      </c>
      <c r="I4098" t="s">
        <v>423</v>
      </c>
      <c r="J4098" t="s">
        <v>3638</v>
      </c>
      <c r="K4098" t="s">
        <v>425</v>
      </c>
      <c r="L4098" t="s">
        <v>2145</v>
      </c>
      <c r="M4098">
        <v>1416</v>
      </c>
      <c r="N4098">
        <v>49.17</v>
      </c>
      <c r="O4098">
        <v>44586.86</v>
      </c>
      <c r="P4098">
        <v>0</v>
      </c>
      <c r="Q4098">
        <v>44586.86</v>
      </c>
      <c r="R4098">
        <v>7133.9</v>
      </c>
      <c r="S4098">
        <v>1783.47</v>
      </c>
      <c r="T4098">
        <v>49937.29</v>
      </c>
      <c r="U4098" t="s">
        <v>3115</v>
      </c>
      <c r="V4098" t="s">
        <v>9409</v>
      </c>
      <c r="W4098" t="s">
        <v>423</v>
      </c>
    </row>
    <row r="4099" spans="1:23" hidden="1" x14ac:dyDescent="0.2">
      <c r="A4099">
        <v>2012</v>
      </c>
      <c r="B4099" t="s">
        <v>303</v>
      </c>
      <c r="C4099" s="733">
        <v>40931</v>
      </c>
      <c r="D40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099" t="s">
        <v>478</v>
      </c>
      <c r="F4099" t="s">
        <v>2136</v>
      </c>
      <c r="G4099" t="s">
        <v>7005</v>
      </c>
      <c r="H4099">
        <v>34499</v>
      </c>
      <c r="I4099" t="s">
        <v>423</v>
      </c>
      <c r="J4099" t="s">
        <v>3638</v>
      </c>
      <c r="K4099" t="s">
        <v>425</v>
      </c>
      <c r="L4099" t="s">
        <v>2145</v>
      </c>
      <c r="M4099">
        <v>1416</v>
      </c>
      <c r="N4099">
        <v>50.29</v>
      </c>
      <c r="O4099">
        <v>45602.47</v>
      </c>
      <c r="P4099">
        <v>0</v>
      </c>
      <c r="Q4099">
        <v>45602.47</v>
      </c>
      <c r="R4099">
        <v>7296.4</v>
      </c>
      <c r="S4099">
        <v>1824.1</v>
      </c>
      <c r="T4099">
        <v>51074.77</v>
      </c>
      <c r="U4099" t="s">
        <v>3234</v>
      </c>
      <c r="V4099" t="s">
        <v>9409</v>
      </c>
      <c r="W4099" t="s">
        <v>423</v>
      </c>
    </row>
    <row r="4100" spans="1:23" hidden="1" x14ac:dyDescent="0.2">
      <c r="A4100">
        <v>2012</v>
      </c>
      <c r="B4100" t="s">
        <v>304</v>
      </c>
      <c r="C4100" s="733">
        <v>40966</v>
      </c>
      <c r="D41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00" t="s">
        <v>478</v>
      </c>
      <c r="F4100" t="s">
        <v>2136</v>
      </c>
      <c r="G4100" t="s">
        <v>9281</v>
      </c>
      <c r="H4100">
        <v>35967</v>
      </c>
      <c r="I4100" t="s">
        <v>423</v>
      </c>
      <c r="J4100" t="s">
        <v>3638</v>
      </c>
      <c r="K4100" t="s">
        <v>425</v>
      </c>
      <c r="L4100" t="s">
        <v>2145</v>
      </c>
      <c r="M4100">
        <v>1416</v>
      </c>
      <c r="N4100">
        <v>42.02</v>
      </c>
      <c r="O4100">
        <v>38103.32</v>
      </c>
      <c r="P4100">
        <v>0</v>
      </c>
      <c r="Q4100">
        <v>38103.32</v>
      </c>
      <c r="R4100">
        <v>6096.53</v>
      </c>
      <c r="S4100">
        <v>1524.13</v>
      </c>
      <c r="T4100">
        <v>42675.72</v>
      </c>
      <c r="U4100" t="s">
        <v>9430</v>
      </c>
      <c r="V4100" t="s">
        <v>9409</v>
      </c>
      <c r="W4100" t="s">
        <v>423</v>
      </c>
    </row>
    <row r="4101" spans="1:23" hidden="1" x14ac:dyDescent="0.2">
      <c r="A4101">
        <v>2012</v>
      </c>
      <c r="B4101" t="s">
        <v>304</v>
      </c>
      <c r="C4101" s="733">
        <v>40963.55196759259</v>
      </c>
      <c r="D41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01" t="s">
        <v>478</v>
      </c>
      <c r="F4101" t="s">
        <v>2622</v>
      </c>
      <c r="G4101" t="s">
        <v>9278</v>
      </c>
      <c r="H4101">
        <v>35991</v>
      </c>
      <c r="I4101" t="s">
        <v>423</v>
      </c>
      <c r="J4101" t="s">
        <v>2644</v>
      </c>
      <c r="K4101" t="s">
        <v>2625</v>
      </c>
      <c r="L4101" t="s">
        <v>2626</v>
      </c>
      <c r="M4101">
        <v>52</v>
      </c>
      <c r="N4101">
        <v>35.520000000000003</v>
      </c>
      <c r="O4101">
        <v>4181.7700000000004</v>
      </c>
      <c r="P4101">
        <v>0</v>
      </c>
      <c r="Q4101">
        <v>4181.7700000000004</v>
      </c>
      <c r="R4101">
        <v>669.08</v>
      </c>
      <c r="S4101">
        <v>167.27</v>
      </c>
      <c r="T4101">
        <v>4683.58</v>
      </c>
      <c r="U4101" t="s">
        <v>9428</v>
      </c>
      <c r="V4101" t="s">
        <v>9408</v>
      </c>
      <c r="W4101" t="s">
        <v>423</v>
      </c>
    </row>
    <row r="4102" spans="1:23" hidden="1" x14ac:dyDescent="0.2">
      <c r="A4102">
        <v>2012</v>
      </c>
      <c r="B4102" t="s">
        <v>304</v>
      </c>
      <c r="C4102" s="733">
        <v>40954</v>
      </c>
      <c r="D41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02" t="s">
        <v>478</v>
      </c>
      <c r="F4102" t="s">
        <v>2136</v>
      </c>
      <c r="G4102" t="s">
        <v>8007</v>
      </c>
      <c r="H4102">
        <v>35607</v>
      </c>
      <c r="I4102" t="s">
        <v>423</v>
      </c>
      <c r="J4102" t="s">
        <v>2644</v>
      </c>
      <c r="K4102" t="s">
        <v>2625</v>
      </c>
      <c r="L4102" t="s">
        <v>2626</v>
      </c>
      <c r="M4102">
        <v>52</v>
      </c>
      <c r="N4102">
        <v>23.59</v>
      </c>
      <c r="O4102">
        <v>2777.25</v>
      </c>
      <c r="P4102">
        <v>0</v>
      </c>
      <c r="Q4102">
        <v>2777.25</v>
      </c>
      <c r="R4102">
        <v>444.36</v>
      </c>
      <c r="S4102">
        <v>111.09</v>
      </c>
      <c r="T4102">
        <v>3110.52</v>
      </c>
      <c r="U4102" t="s">
        <v>8267</v>
      </c>
      <c r="V4102" t="s">
        <v>9408</v>
      </c>
      <c r="W4102" t="s">
        <v>423</v>
      </c>
    </row>
    <row r="4103" spans="1:23" hidden="1" x14ac:dyDescent="0.2">
      <c r="A4103">
        <v>2012</v>
      </c>
      <c r="B4103" t="s">
        <v>303</v>
      </c>
      <c r="C4103" s="733">
        <v>40934.438900462963</v>
      </c>
      <c r="D41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03" t="s">
        <v>478</v>
      </c>
      <c r="F4103" t="s">
        <v>2136</v>
      </c>
      <c r="G4103" t="s">
        <v>2645</v>
      </c>
      <c r="H4103">
        <v>34966</v>
      </c>
      <c r="I4103" t="s">
        <v>423</v>
      </c>
      <c r="J4103" t="s">
        <v>2644</v>
      </c>
      <c r="K4103" t="s">
        <v>2625</v>
      </c>
      <c r="L4103" t="s">
        <v>2626</v>
      </c>
      <c r="M4103">
        <v>52</v>
      </c>
      <c r="N4103">
        <v>22.62</v>
      </c>
      <c r="O4103">
        <v>2663.05</v>
      </c>
      <c r="P4103">
        <v>0</v>
      </c>
      <c r="Q4103">
        <v>2663.05</v>
      </c>
      <c r="R4103">
        <v>426.09</v>
      </c>
      <c r="S4103">
        <v>106.52</v>
      </c>
      <c r="T4103">
        <v>2982.62</v>
      </c>
      <c r="U4103" t="s">
        <v>2633</v>
      </c>
      <c r="V4103" t="s">
        <v>9408</v>
      </c>
      <c r="W4103" t="s">
        <v>423</v>
      </c>
    </row>
    <row r="4104" spans="1:23" hidden="1" x14ac:dyDescent="0.2">
      <c r="A4104">
        <v>2012</v>
      </c>
      <c r="B4104" t="s">
        <v>303</v>
      </c>
      <c r="C4104" s="733">
        <v>40934.442627314813</v>
      </c>
      <c r="D41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04" t="s">
        <v>478</v>
      </c>
      <c r="F4104" t="s">
        <v>2136</v>
      </c>
      <c r="G4104" t="s">
        <v>2646</v>
      </c>
      <c r="H4104">
        <v>34972</v>
      </c>
      <c r="I4104" t="s">
        <v>423</v>
      </c>
      <c r="J4104" t="s">
        <v>2644</v>
      </c>
      <c r="K4104" t="s">
        <v>2625</v>
      </c>
      <c r="L4104" t="s">
        <v>2626</v>
      </c>
      <c r="M4104">
        <v>52</v>
      </c>
      <c r="N4104">
        <v>23.75</v>
      </c>
      <c r="O4104">
        <v>2796.09</v>
      </c>
      <c r="P4104">
        <v>0</v>
      </c>
      <c r="Q4104">
        <v>2796.09</v>
      </c>
      <c r="R4104">
        <v>447.37</v>
      </c>
      <c r="S4104">
        <v>111.84</v>
      </c>
      <c r="T4104">
        <v>3131.62</v>
      </c>
      <c r="U4104" t="s">
        <v>2633</v>
      </c>
      <c r="V4104" t="s">
        <v>9408</v>
      </c>
      <c r="W4104" t="s">
        <v>423</v>
      </c>
    </row>
    <row r="4105" spans="1:23" hidden="1" x14ac:dyDescent="0.2">
      <c r="A4105">
        <v>2012</v>
      </c>
      <c r="B4105" t="s">
        <v>304</v>
      </c>
      <c r="C4105" s="733">
        <v>40960</v>
      </c>
      <c r="D41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05" t="s">
        <v>478</v>
      </c>
      <c r="F4105" t="s">
        <v>2136</v>
      </c>
      <c r="G4105" t="s">
        <v>8453</v>
      </c>
      <c r="H4105">
        <v>35674</v>
      </c>
      <c r="I4105" t="s">
        <v>423</v>
      </c>
      <c r="J4105" t="s">
        <v>3638</v>
      </c>
      <c r="K4105" t="s">
        <v>425</v>
      </c>
      <c r="L4105" t="s">
        <v>2145</v>
      </c>
      <c r="M4105">
        <v>1416</v>
      </c>
      <c r="N4105">
        <v>46.51</v>
      </c>
      <c r="O4105">
        <v>42174.8</v>
      </c>
      <c r="P4105">
        <v>0</v>
      </c>
      <c r="Q4105">
        <v>42174.8</v>
      </c>
      <c r="R4105">
        <v>6747.97</v>
      </c>
      <c r="S4105">
        <v>1686.99</v>
      </c>
      <c r="T4105">
        <v>47235.78</v>
      </c>
      <c r="U4105" t="s">
        <v>8252</v>
      </c>
      <c r="V4105" t="s">
        <v>9409</v>
      </c>
      <c r="W4105" t="s">
        <v>423</v>
      </c>
    </row>
    <row r="4106" spans="1:23" hidden="1" x14ac:dyDescent="0.2">
      <c r="A4106">
        <v>2012</v>
      </c>
      <c r="B4106" t="s">
        <v>303</v>
      </c>
      <c r="C4106" s="733">
        <v>40921</v>
      </c>
      <c r="D41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06" t="s">
        <v>478</v>
      </c>
      <c r="F4106" t="s">
        <v>2136</v>
      </c>
      <c r="G4106" t="s">
        <v>6845</v>
      </c>
      <c r="H4106">
        <v>34392</v>
      </c>
      <c r="I4106" t="s">
        <v>423</v>
      </c>
      <c r="J4106" t="s">
        <v>3638</v>
      </c>
      <c r="K4106" t="s">
        <v>425</v>
      </c>
      <c r="L4106" t="s">
        <v>2145</v>
      </c>
      <c r="M4106">
        <v>1416</v>
      </c>
      <c r="N4106">
        <v>47.98</v>
      </c>
      <c r="O4106">
        <v>43507.78</v>
      </c>
      <c r="P4106">
        <v>0</v>
      </c>
      <c r="Q4106">
        <v>43507.78</v>
      </c>
      <c r="R4106">
        <v>6961.25</v>
      </c>
      <c r="S4106">
        <v>1740.31</v>
      </c>
      <c r="T4106">
        <v>48728.72</v>
      </c>
      <c r="U4106" t="s">
        <v>2350</v>
      </c>
      <c r="V4106" t="s">
        <v>9409</v>
      </c>
      <c r="W4106" t="s">
        <v>423</v>
      </c>
    </row>
    <row r="4107" spans="1:23" hidden="1" x14ac:dyDescent="0.2">
      <c r="A4107">
        <v>2012</v>
      </c>
      <c r="B4107" t="s">
        <v>303</v>
      </c>
      <c r="C4107" s="733">
        <v>40932</v>
      </c>
      <c r="D41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07" t="s">
        <v>485</v>
      </c>
      <c r="F4107" t="s">
        <v>2065</v>
      </c>
      <c r="G4107" t="s">
        <v>3974</v>
      </c>
      <c r="H4107">
        <v>40703</v>
      </c>
      <c r="I4107" t="s">
        <v>423</v>
      </c>
      <c r="J4107" t="s">
        <v>2189</v>
      </c>
      <c r="K4107" t="s">
        <v>2183</v>
      </c>
      <c r="L4107" t="s">
        <v>2184</v>
      </c>
      <c r="M4107">
        <v>720</v>
      </c>
      <c r="N4107">
        <v>26.85</v>
      </c>
      <c r="O4107">
        <v>11918.45</v>
      </c>
      <c r="P4107">
        <v>0</v>
      </c>
      <c r="Q4107">
        <v>11918.45</v>
      </c>
      <c r="R4107">
        <v>1906.95</v>
      </c>
      <c r="S4107">
        <v>476.74</v>
      </c>
      <c r="T4107">
        <v>13348.66</v>
      </c>
      <c r="U4107" t="s">
        <v>2187</v>
      </c>
      <c r="V4107" t="s">
        <v>9408</v>
      </c>
      <c r="W4107" t="s">
        <v>423</v>
      </c>
    </row>
    <row r="4108" spans="1:23" hidden="1" x14ac:dyDescent="0.2">
      <c r="A4108">
        <v>2012</v>
      </c>
      <c r="B4108" t="s">
        <v>304</v>
      </c>
      <c r="C4108" s="733">
        <v>40954</v>
      </c>
      <c r="D41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08" t="s">
        <v>485</v>
      </c>
      <c r="F4108" t="s">
        <v>2065</v>
      </c>
      <c r="G4108" t="s">
        <v>7464</v>
      </c>
      <c r="H4108">
        <v>41895</v>
      </c>
      <c r="I4108" t="s">
        <v>423</v>
      </c>
      <c r="J4108" t="s">
        <v>2189</v>
      </c>
      <c r="K4108" t="s">
        <v>2183</v>
      </c>
      <c r="L4108" t="s">
        <v>2184</v>
      </c>
      <c r="M4108">
        <v>720</v>
      </c>
      <c r="N4108">
        <v>26.04</v>
      </c>
      <c r="O4108">
        <v>11558.9</v>
      </c>
      <c r="P4108">
        <v>0</v>
      </c>
      <c r="Q4108">
        <v>11558.9</v>
      </c>
      <c r="R4108">
        <v>1849.42</v>
      </c>
      <c r="S4108">
        <v>462.36</v>
      </c>
      <c r="T4108">
        <v>12945.96</v>
      </c>
      <c r="V4108" t="s">
        <v>9408</v>
      </c>
      <c r="W4108" t="s">
        <v>423</v>
      </c>
    </row>
    <row r="4109" spans="1:23" hidden="1" x14ac:dyDescent="0.2">
      <c r="A4109">
        <v>2012</v>
      </c>
      <c r="B4109" t="s">
        <v>303</v>
      </c>
      <c r="C4109" s="733">
        <v>40918</v>
      </c>
      <c r="D41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09" t="s">
        <v>478</v>
      </c>
      <c r="F4109" t="s">
        <v>2136</v>
      </c>
      <c r="G4109" t="s">
        <v>4281</v>
      </c>
      <c r="H4109">
        <v>34102</v>
      </c>
      <c r="I4109" t="s">
        <v>423</v>
      </c>
      <c r="J4109" t="s">
        <v>4282</v>
      </c>
      <c r="K4109" t="s">
        <v>425</v>
      </c>
      <c r="L4109" t="s">
        <v>2145</v>
      </c>
      <c r="M4109">
        <v>1405</v>
      </c>
      <c r="N4109">
        <v>25.41</v>
      </c>
      <c r="O4109">
        <v>25649.360000000001</v>
      </c>
      <c r="P4109">
        <v>0</v>
      </c>
      <c r="Q4109">
        <v>25649.360000000001</v>
      </c>
      <c r="R4109">
        <v>4103.8999999999996</v>
      </c>
      <c r="S4109">
        <v>1025.97</v>
      </c>
      <c r="T4109">
        <v>28727.29</v>
      </c>
      <c r="U4109" t="s">
        <v>2350</v>
      </c>
      <c r="V4109" t="s">
        <v>9408</v>
      </c>
      <c r="W4109" t="s">
        <v>423</v>
      </c>
    </row>
    <row r="4110" spans="1:23" hidden="1" x14ac:dyDescent="0.2">
      <c r="A4110">
        <v>2012</v>
      </c>
      <c r="B4110" t="s">
        <v>303</v>
      </c>
      <c r="C4110" s="733">
        <v>40936</v>
      </c>
      <c r="D41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10" t="s">
        <v>478</v>
      </c>
      <c r="F4110" t="s">
        <v>2136</v>
      </c>
      <c r="G4110" t="s">
        <v>4283</v>
      </c>
      <c r="H4110">
        <v>34907</v>
      </c>
      <c r="I4110" t="s">
        <v>423</v>
      </c>
      <c r="J4110" t="s">
        <v>4282</v>
      </c>
      <c r="K4110" t="s">
        <v>425</v>
      </c>
      <c r="L4110" t="s">
        <v>2145</v>
      </c>
      <c r="M4110">
        <v>1405</v>
      </c>
      <c r="N4110">
        <v>46.83</v>
      </c>
      <c r="O4110">
        <v>47271.14</v>
      </c>
      <c r="P4110">
        <v>0</v>
      </c>
      <c r="Q4110">
        <v>47271.14</v>
      </c>
      <c r="R4110">
        <v>7563.38</v>
      </c>
      <c r="S4110">
        <v>1890.85</v>
      </c>
      <c r="T4110">
        <v>52943.67</v>
      </c>
      <c r="U4110" t="s">
        <v>2914</v>
      </c>
      <c r="V4110" t="s">
        <v>9409</v>
      </c>
      <c r="W4110" t="s">
        <v>423</v>
      </c>
    </row>
    <row r="4111" spans="1:23" hidden="1" x14ac:dyDescent="0.2">
      <c r="A4111">
        <v>2012</v>
      </c>
      <c r="B4111" t="s">
        <v>304</v>
      </c>
      <c r="C4111" s="733">
        <v>40966</v>
      </c>
      <c r="D41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11" t="s">
        <v>485</v>
      </c>
      <c r="F4111" t="s">
        <v>2065</v>
      </c>
      <c r="G4111" t="s">
        <v>8837</v>
      </c>
      <c r="H4111">
        <v>42519</v>
      </c>
      <c r="I4111" t="s">
        <v>423</v>
      </c>
      <c r="J4111" t="s">
        <v>2189</v>
      </c>
      <c r="K4111" t="s">
        <v>2183</v>
      </c>
      <c r="L4111" t="s">
        <v>2184</v>
      </c>
      <c r="M4111">
        <v>720</v>
      </c>
      <c r="N4111">
        <v>26.89</v>
      </c>
      <c r="O4111">
        <v>11936.2</v>
      </c>
      <c r="P4111">
        <v>0</v>
      </c>
      <c r="Q4111">
        <v>11936.2</v>
      </c>
      <c r="R4111">
        <v>1909.79</v>
      </c>
      <c r="S4111">
        <v>477.45</v>
      </c>
      <c r="T4111">
        <v>13368.54</v>
      </c>
      <c r="V4111" t="s">
        <v>9408</v>
      </c>
      <c r="W4111" t="s">
        <v>423</v>
      </c>
    </row>
    <row r="4112" spans="1:23" x14ac:dyDescent="0.2">
      <c r="A4112">
        <v>2012</v>
      </c>
      <c r="B4112" t="s">
        <v>304</v>
      </c>
      <c r="C4112" s="733">
        <v>40968</v>
      </c>
      <c r="D41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12" t="s">
        <v>485</v>
      </c>
      <c r="F4112" t="s">
        <v>2065</v>
      </c>
      <c r="G4112" t="s">
        <v>9331</v>
      </c>
      <c r="H4112">
        <v>42844</v>
      </c>
      <c r="I4112" t="s">
        <v>423</v>
      </c>
      <c r="J4112" t="s">
        <v>2186</v>
      </c>
      <c r="K4112" t="s">
        <v>2183</v>
      </c>
      <c r="L4112" t="s">
        <v>2184</v>
      </c>
      <c r="M4112">
        <v>19</v>
      </c>
      <c r="N4112">
        <v>16.14</v>
      </c>
      <c r="O4112">
        <v>1821.72</v>
      </c>
      <c r="P4112">
        <v>0</v>
      </c>
      <c r="Q4112">
        <v>1821.72</v>
      </c>
      <c r="R4112">
        <v>291.48</v>
      </c>
      <c r="S4112">
        <v>72.87</v>
      </c>
      <c r="T4112">
        <v>2040.33</v>
      </c>
      <c r="V4112" t="s">
        <v>9408</v>
      </c>
      <c r="W4112" t="s">
        <v>423</v>
      </c>
    </row>
    <row r="4113" spans="1:23" hidden="1" x14ac:dyDescent="0.2">
      <c r="A4113">
        <v>2012</v>
      </c>
      <c r="B4113" t="s">
        <v>303</v>
      </c>
      <c r="C4113" s="733">
        <v>40936</v>
      </c>
      <c r="D41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13" t="s">
        <v>478</v>
      </c>
      <c r="F4113" t="s">
        <v>3787</v>
      </c>
      <c r="G4113" t="s">
        <v>3788</v>
      </c>
      <c r="H4113">
        <v>34556</v>
      </c>
      <c r="I4113" t="s">
        <v>423</v>
      </c>
      <c r="J4113" t="s">
        <v>3789</v>
      </c>
      <c r="K4113" t="s">
        <v>3481</v>
      </c>
      <c r="L4113" t="s">
        <v>3482</v>
      </c>
      <c r="M4113">
        <v>27</v>
      </c>
      <c r="N4113">
        <v>29.68</v>
      </c>
      <c r="O4113">
        <v>3349.68</v>
      </c>
      <c r="P4113">
        <v>0</v>
      </c>
      <c r="Q4113">
        <v>3349.68</v>
      </c>
      <c r="R4113">
        <v>535.95000000000005</v>
      </c>
      <c r="S4113">
        <v>133.99</v>
      </c>
      <c r="T4113">
        <v>3751.64</v>
      </c>
      <c r="U4113" t="s">
        <v>3784</v>
      </c>
      <c r="V4113" t="s">
        <v>9408</v>
      </c>
      <c r="W4113" t="s">
        <v>423</v>
      </c>
    </row>
    <row r="4114" spans="1:23" hidden="1" x14ac:dyDescent="0.2">
      <c r="A4114">
        <v>2012</v>
      </c>
      <c r="B4114" t="s">
        <v>304</v>
      </c>
      <c r="C4114" s="733">
        <v>40940</v>
      </c>
      <c r="D41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14" t="s">
        <v>485</v>
      </c>
      <c r="F4114" t="s">
        <v>2065</v>
      </c>
      <c r="G4114" t="s">
        <v>2206</v>
      </c>
      <c r="H4114">
        <v>39792</v>
      </c>
      <c r="I4114" t="s">
        <v>423</v>
      </c>
      <c r="J4114" t="s">
        <v>2189</v>
      </c>
      <c r="K4114" t="s">
        <v>2183</v>
      </c>
      <c r="L4114" t="s">
        <v>2184</v>
      </c>
      <c r="M4114">
        <v>720</v>
      </c>
      <c r="N4114">
        <v>27.06</v>
      </c>
      <c r="O4114">
        <v>12011.66</v>
      </c>
      <c r="P4114">
        <v>0</v>
      </c>
      <c r="Q4114">
        <v>12011.66</v>
      </c>
      <c r="R4114">
        <v>1921.87</v>
      </c>
      <c r="S4114">
        <v>480.47</v>
      </c>
      <c r="T4114">
        <v>13453.06</v>
      </c>
      <c r="U4114" t="s">
        <v>2192</v>
      </c>
      <c r="V4114" t="s">
        <v>9408</v>
      </c>
      <c r="W4114" t="s">
        <v>423</v>
      </c>
    </row>
    <row r="4115" spans="1:23" x14ac:dyDescent="0.2">
      <c r="A4115">
        <v>2012</v>
      </c>
      <c r="B4115" t="s">
        <v>304</v>
      </c>
      <c r="C4115" s="733">
        <v>40967</v>
      </c>
      <c r="D41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15" t="s">
        <v>485</v>
      </c>
      <c r="F4115" t="s">
        <v>2065</v>
      </c>
      <c r="G4115" t="s">
        <v>9336</v>
      </c>
      <c r="H4115">
        <v>42655</v>
      </c>
      <c r="I4115" t="s">
        <v>423</v>
      </c>
      <c r="J4115" t="s">
        <v>2189</v>
      </c>
      <c r="K4115" t="s">
        <v>2183</v>
      </c>
      <c r="L4115" t="s">
        <v>2184</v>
      </c>
      <c r="M4115">
        <v>720</v>
      </c>
      <c r="N4115">
        <v>26.23</v>
      </c>
      <c r="O4115">
        <v>11643.23</v>
      </c>
      <c r="P4115">
        <v>0</v>
      </c>
      <c r="Q4115">
        <v>11643.23</v>
      </c>
      <c r="R4115">
        <v>1862.92</v>
      </c>
      <c r="S4115">
        <v>465.73</v>
      </c>
      <c r="T4115">
        <v>13040.42</v>
      </c>
      <c r="V4115" t="s">
        <v>9408</v>
      </c>
      <c r="W4115" t="s">
        <v>423</v>
      </c>
    </row>
    <row r="4116" spans="1:23" hidden="1" x14ac:dyDescent="0.2">
      <c r="A4116">
        <v>2012</v>
      </c>
      <c r="B4116" t="s">
        <v>303</v>
      </c>
      <c r="C4116" s="733">
        <v>40920</v>
      </c>
      <c r="D41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16" t="s">
        <v>485</v>
      </c>
      <c r="F4116" t="s">
        <v>2065</v>
      </c>
      <c r="G4116" t="s">
        <v>4096</v>
      </c>
      <c r="H4116">
        <v>40214</v>
      </c>
      <c r="I4116" t="s">
        <v>423</v>
      </c>
      <c r="J4116" t="s">
        <v>2274</v>
      </c>
      <c r="K4116" t="s">
        <v>2051</v>
      </c>
      <c r="L4116" t="s">
        <v>2052</v>
      </c>
      <c r="M4116">
        <v>573</v>
      </c>
      <c r="N4116">
        <v>56.25</v>
      </c>
      <c r="O4116">
        <v>18253.12</v>
      </c>
      <c r="P4116">
        <v>0</v>
      </c>
      <c r="Q4116">
        <v>18253.12</v>
      </c>
      <c r="R4116">
        <v>2920.5</v>
      </c>
      <c r="S4116">
        <v>730.12</v>
      </c>
      <c r="T4116">
        <v>20443.5</v>
      </c>
      <c r="U4116" t="s">
        <v>2062</v>
      </c>
      <c r="V4116" t="s">
        <v>9409</v>
      </c>
      <c r="W4116" t="s">
        <v>423</v>
      </c>
    </row>
    <row r="4117" spans="1:23" hidden="1" x14ac:dyDescent="0.2">
      <c r="A4117">
        <v>2012</v>
      </c>
      <c r="B4117" t="s">
        <v>304</v>
      </c>
      <c r="C4117" s="733">
        <v>40966</v>
      </c>
      <c r="D41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17" t="s">
        <v>478</v>
      </c>
      <c r="F4117" t="s">
        <v>2136</v>
      </c>
      <c r="G4117" t="s">
        <v>9335</v>
      </c>
      <c r="H4117">
        <v>35946</v>
      </c>
      <c r="I4117" t="s">
        <v>423</v>
      </c>
      <c r="J4117" t="s">
        <v>2144</v>
      </c>
      <c r="K4117" t="s">
        <v>425</v>
      </c>
      <c r="L4117" t="s">
        <v>2145</v>
      </c>
      <c r="M4117">
        <v>1354</v>
      </c>
      <c r="N4117">
        <v>43.81</v>
      </c>
      <c r="O4117">
        <v>39726.47</v>
      </c>
      <c r="P4117">
        <v>0</v>
      </c>
      <c r="Q4117">
        <v>39726.47</v>
      </c>
      <c r="R4117">
        <v>6356.24</v>
      </c>
      <c r="S4117">
        <v>1589.06</v>
      </c>
      <c r="T4117">
        <v>44493.65</v>
      </c>
      <c r="U4117" t="s">
        <v>9430</v>
      </c>
      <c r="V4117" t="s">
        <v>9409</v>
      </c>
      <c r="W4117" t="s">
        <v>423</v>
      </c>
    </row>
    <row r="4118" spans="1:23" hidden="1" x14ac:dyDescent="0.2">
      <c r="A4118">
        <v>2012</v>
      </c>
      <c r="B4118" t="s">
        <v>304</v>
      </c>
      <c r="C4118" s="733">
        <v>40952</v>
      </c>
      <c r="D41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18" t="s">
        <v>478</v>
      </c>
      <c r="F4118" t="s">
        <v>2136</v>
      </c>
      <c r="G4118" t="s">
        <v>3316</v>
      </c>
      <c r="H4118">
        <v>35484</v>
      </c>
      <c r="I4118" t="s">
        <v>423</v>
      </c>
      <c r="J4118" t="s">
        <v>2144</v>
      </c>
      <c r="K4118" t="s">
        <v>425</v>
      </c>
      <c r="L4118" t="s">
        <v>2145</v>
      </c>
      <c r="M4118">
        <v>1354</v>
      </c>
      <c r="N4118">
        <v>43.28</v>
      </c>
      <c r="O4118">
        <v>39245.870000000003</v>
      </c>
      <c r="P4118">
        <v>0</v>
      </c>
      <c r="Q4118">
        <v>39245.870000000003</v>
      </c>
      <c r="R4118">
        <v>6279.34</v>
      </c>
      <c r="S4118">
        <v>1569.83</v>
      </c>
      <c r="T4118">
        <v>43955.38</v>
      </c>
      <c r="U4118" t="s">
        <v>7523</v>
      </c>
      <c r="V4118" t="s">
        <v>9409</v>
      </c>
      <c r="W4118" t="s">
        <v>423</v>
      </c>
    </row>
    <row r="4119" spans="1:23" hidden="1" x14ac:dyDescent="0.2">
      <c r="A4119">
        <v>2012</v>
      </c>
      <c r="B4119" t="s">
        <v>303</v>
      </c>
      <c r="C4119" s="733">
        <v>40924.780370370368</v>
      </c>
      <c r="D41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19" t="s">
        <v>485</v>
      </c>
      <c r="F4119" t="s">
        <v>2054</v>
      </c>
      <c r="G4119" t="s">
        <v>3980</v>
      </c>
      <c r="H4119">
        <v>10079</v>
      </c>
      <c r="I4119" t="s">
        <v>423</v>
      </c>
      <c r="J4119" t="s">
        <v>2072</v>
      </c>
      <c r="K4119" t="s">
        <v>2057</v>
      </c>
      <c r="L4119" t="s">
        <v>2058</v>
      </c>
      <c r="M4119">
        <v>406</v>
      </c>
      <c r="N4119">
        <v>47.31</v>
      </c>
      <c r="O4119">
        <v>12928.88</v>
      </c>
      <c r="P4119">
        <v>0</v>
      </c>
      <c r="Q4119">
        <v>12928.88</v>
      </c>
      <c r="R4119">
        <v>2068.62</v>
      </c>
      <c r="S4119">
        <v>517.16</v>
      </c>
      <c r="T4119">
        <v>14480.34</v>
      </c>
      <c r="U4119" t="s">
        <v>2059</v>
      </c>
      <c r="V4119" t="s">
        <v>9409</v>
      </c>
      <c r="W4119" t="s">
        <v>423</v>
      </c>
    </row>
    <row r="4120" spans="1:23" hidden="1" x14ac:dyDescent="0.2">
      <c r="A4120">
        <v>2012</v>
      </c>
      <c r="B4120" t="s">
        <v>303</v>
      </c>
      <c r="C4120" s="733">
        <v>40928.537037037036</v>
      </c>
      <c r="D41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20" t="s">
        <v>485</v>
      </c>
      <c r="F4120" t="s">
        <v>2054</v>
      </c>
      <c r="G4120" t="s">
        <v>2687</v>
      </c>
      <c r="H4120">
        <v>10146</v>
      </c>
      <c r="I4120" t="s">
        <v>423</v>
      </c>
      <c r="J4120" t="s">
        <v>2072</v>
      </c>
      <c r="K4120" t="s">
        <v>2057</v>
      </c>
      <c r="L4120" t="s">
        <v>2058</v>
      </c>
      <c r="M4120">
        <v>406</v>
      </c>
      <c r="N4120">
        <v>45.6</v>
      </c>
      <c r="O4120">
        <v>12461.57</v>
      </c>
      <c r="P4120">
        <v>0</v>
      </c>
      <c r="Q4120">
        <v>12461.57</v>
      </c>
      <c r="R4120">
        <v>1993.85</v>
      </c>
      <c r="S4120">
        <v>498.46</v>
      </c>
      <c r="T4120">
        <v>13956.96</v>
      </c>
      <c r="U4120" t="s">
        <v>2077</v>
      </c>
      <c r="V4120" t="s">
        <v>9409</v>
      </c>
      <c r="W4120" t="s">
        <v>423</v>
      </c>
    </row>
    <row r="4121" spans="1:23" hidden="1" x14ac:dyDescent="0.2">
      <c r="A4121">
        <v>2012</v>
      </c>
      <c r="B4121" t="s">
        <v>303</v>
      </c>
      <c r="C4121" s="733">
        <v>40939</v>
      </c>
      <c r="D41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21" t="s">
        <v>485</v>
      </c>
      <c r="F4121" t="s">
        <v>2054</v>
      </c>
      <c r="G4121" t="s">
        <v>2679</v>
      </c>
      <c r="H4121">
        <v>9987</v>
      </c>
      <c r="I4121" t="s">
        <v>423</v>
      </c>
      <c r="J4121" t="s">
        <v>2072</v>
      </c>
      <c r="K4121" t="s">
        <v>2057</v>
      </c>
      <c r="L4121" t="s">
        <v>2058</v>
      </c>
      <c r="M4121">
        <v>406</v>
      </c>
      <c r="N4121">
        <v>23.56</v>
      </c>
      <c r="O4121">
        <v>6438.48</v>
      </c>
      <c r="P4121">
        <v>0</v>
      </c>
      <c r="Q4121">
        <v>6438.48</v>
      </c>
      <c r="R4121">
        <v>1030.1600000000001</v>
      </c>
      <c r="S4121">
        <v>257.54000000000002</v>
      </c>
      <c r="T4121">
        <v>7211.1</v>
      </c>
      <c r="U4121" t="s">
        <v>2073</v>
      </c>
      <c r="V4121" t="s">
        <v>9409</v>
      </c>
      <c r="W4121" t="s">
        <v>423</v>
      </c>
    </row>
    <row r="4122" spans="1:23" x14ac:dyDescent="0.2">
      <c r="A4122">
        <v>2012</v>
      </c>
      <c r="B4122" t="s">
        <v>304</v>
      </c>
      <c r="C4122" s="733">
        <v>40967</v>
      </c>
      <c r="D41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22" t="s">
        <v>485</v>
      </c>
      <c r="F4122" t="s">
        <v>2054</v>
      </c>
      <c r="G4122" t="s">
        <v>9339</v>
      </c>
      <c r="H4122">
        <v>10577</v>
      </c>
      <c r="I4122" t="s">
        <v>423</v>
      </c>
      <c r="J4122" t="s">
        <v>2072</v>
      </c>
      <c r="K4122" t="s">
        <v>2057</v>
      </c>
      <c r="L4122" t="s">
        <v>2058</v>
      </c>
      <c r="M4122">
        <v>406</v>
      </c>
      <c r="N4122">
        <v>46.21</v>
      </c>
      <c r="O4122">
        <v>12628.27</v>
      </c>
      <c r="P4122">
        <v>0</v>
      </c>
      <c r="Q4122">
        <v>12628.27</v>
      </c>
      <c r="R4122">
        <v>1389.11</v>
      </c>
      <c r="S4122">
        <v>505.13</v>
      </c>
      <c r="T4122">
        <v>13512.25</v>
      </c>
      <c r="V4122" t="s">
        <v>9409</v>
      </c>
      <c r="W4122" t="s">
        <v>423</v>
      </c>
    </row>
    <row r="4123" spans="1:23" hidden="1" x14ac:dyDescent="0.2">
      <c r="A4123">
        <v>2012</v>
      </c>
      <c r="B4123" t="s">
        <v>303</v>
      </c>
      <c r="C4123" s="733">
        <v>40920</v>
      </c>
      <c r="D41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23" t="s">
        <v>485</v>
      </c>
      <c r="F4123" t="s">
        <v>2054</v>
      </c>
      <c r="G4123" t="s">
        <v>2688</v>
      </c>
      <c r="H4123">
        <v>10031</v>
      </c>
      <c r="I4123" t="s">
        <v>423</v>
      </c>
      <c r="J4123" t="s">
        <v>2072</v>
      </c>
      <c r="K4123" t="s">
        <v>2057</v>
      </c>
      <c r="L4123" t="s">
        <v>2058</v>
      </c>
      <c r="M4123">
        <v>406</v>
      </c>
      <c r="N4123">
        <v>47.38</v>
      </c>
      <c r="O4123">
        <v>12948.01</v>
      </c>
      <c r="P4123">
        <v>0</v>
      </c>
      <c r="Q4123">
        <v>12948.01</v>
      </c>
      <c r="R4123">
        <v>2071.6799999999998</v>
      </c>
      <c r="S4123">
        <v>517.91999999999996</v>
      </c>
      <c r="T4123">
        <v>14501.77</v>
      </c>
      <c r="U4123" t="s">
        <v>2059</v>
      </c>
      <c r="V4123" t="s">
        <v>9409</v>
      </c>
      <c r="W4123" t="s">
        <v>423</v>
      </c>
    </row>
    <row r="4124" spans="1:23" hidden="1" x14ac:dyDescent="0.2">
      <c r="A4124">
        <v>2012</v>
      </c>
      <c r="B4124" t="s">
        <v>303</v>
      </c>
      <c r="C4124" s="733">
        <v>40919</v>
      </c>
      <c r="D41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24" t="s">
        <v>485</v>
      </c>
      <c r="F4124" t="s">
        <v>2054</v>
      </c>
      <c r="G4124" t="s">
        <v>4070</v>
      </c>
      <c r="H4124">
        <v>9958</v>
      </c>
      <c r="I4124" t="s">
        <v>423</v>
      </c>
      <c r="J4124" t="s">
        <v>2072</v>
      </c>
      <c r="K4124" t="s">
        <v>2057</v>
      </c>
      <c r="L4124" t="s">
        <v>2058</v>
      </c>
      <c r="M4124">
        <v>406</v>
      </c>
      <c r="N4124">
        <v>24.71</v>
      </c>
      <c r="O4124">
        <v>6752.75</v>
      </c>
      <c r="P4124">
        <v>0</v>
      </c>
      <c r="Q4124">
        <v>6752.75</v>
      </c>
      <c r="R4124">
        <v>1080.44</v>
      </c>
      <c r="S4124">
        <v>270.11</v>
      </c>
      <c r="T4124">
        <v>7563.08</v>
      </c>
      <c r="U4124" t="s">
        <v>2070</v>
      </c>
      <c r="V4124" t="s">
        <v>9409</v>
      </c>
      <c r="W4124" t="s">
        <v>423</v>
      </c>
    </row>
    <row r="4125" spans="1:23" hidden="1" x14ac:dyDescent="0.2">
      <c r="A4125">
        <v>2012</v>
      </c>
      <c r="B4125" t="s">
        <v>304</v>
      </c>
      <c r="C4125" s="733">
        <v>40943.644166666665</v>
      </c>
      <c r="D41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25" t="s">
        <v>485</v>
      </c>
      <c r="F4125" t="s">
        <v>2054</v>
      </c>
      <c r="G4125" t="s">
        <v>2692</v>
      </c>
      <c r="H4125">
        <v>10318</v>
      </c>
      <c r="I4125" t="s">
        <v>423</v>
      </c>
      <c r="J4125" t="s">
        <v>2072</v>
      </c>
      <c r="K4125" t="s">
        <v>2057</v>
      </c>
      <c r="L4125" t="s">
        <v>2058</v>
      </c>
      <c r="M4125">
        <v>406</v>
      </c>
      <c r="N4125">
        <v>25.29</v>
      </c>
      <c r="O4125">
        <v>6911.25</v>
      </c>
      <c r="P4125">
        <v>0</v>
      </c>
      <c r="Q4125">
        <v>6911.25</v>
      </c>
      <c r="R4125">
        <v>1105.8</v>
      </c>
      <c r="S4125">
        <v>276.45</v>
      </c>
      <c r="T4125">
        <v>7740.6</v>
      </c>
      <c r="U4125" t="s">
        <v>2075</v>
      </c>
      <c r="V4125" t="s">
        <v>9408</v>
      </c>
      <c r="W4125" t="s">
        <v>423</v>
      </c>
    </row>
    <row r="4126" spans="1:23" hidden="1" x14ac:dyDescent="0.2">
      <c r="A4126">
        <v>2012</v>
      </c>
      <c r="B4126" t="s">
        <v>304</v>
      </c>
      <c r="C4126" s="733">
        <v>40940</v>
      </c>
      <c r="D41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26" t="s">
        <v>505</v>
      </c>
      <c r="F4126" t="s">
        <v>1915</v>
      </c>
      <c r="G4126" t="s">
        <v>4131</v>
      </c>
      <c r="H4126">
        <v>21697</v>
      </c>
      <c r="I4126" t="s">
        <v>423</v>
      </c>
      <c r="J4126" t="s">
        <v>1943</v>
      </c>
      <c r="K4126" t="s">
        <v>1918</v>
      </c>
      <c r="L4126" t="s">
        <v>1919</v>
      </c>
      <c r="M4126">
        <v>319</v>
      </c>
      <c r="N4126">
        <v>53.72</v>
      </c>
      <c r="O4126">
        <v>15752.85</v>
      </c>
      <c r="P4126">
        <v>0</v>
      </c>
      <c r="Q4126">
        <v>15752.85</v>
      </c>
      <c r="R4126">
        <v>2520.46</v>
      </c>
      <c r="S4126">
        <v>630.11</v>
      </c>
      <c r="T4126">
        <v>17643.2</v>
      </c>
      <c r="U4126" t="s">
        <v>1926</v>
      </c>
      <c r="V4126" t="s">
        <v>9409</v>
      </c>
      <c r="W4126" t="s">
        <v>423</v>
      </c>
    </row>
    <row r="4127" spans="1:23" hidden="1" x14ac:dyDescent="0.2">
      <c r="A4127">
        <v>2012</v>
      </c>
      <c r="B4127" t="s">
        <v>303</v>
      </c>
      <c r="C4127" s="733">
        <v>40928</v>
      </c>
      <c r="D41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27" t="s">
        <v>505</v>
      </c>
      <c r="F4127" t="s">
        <v>1915</v>
      </c>
      <c r="G4127" t="s">
        <v>4132</v>
      </c>
      <c r="H4127">
        <v>22118</v>
      </c>
      <c r="I4127" t="s">
        <v>423</v>
      </c>
      <c r="J4127" t="s">
        <v>1943</v>
      </c>
      <c r="K4127" t="s">
        <v>1918</v>
      </c>
      <c r="L4127" t="s">
        <v>1919</v>
      </c>
      <c r="M4127">
        <v>319</v>
      </c>
      <c r="N4127">
        <v>52.86</v>
      </c>
      <c r="O4127">
        <v>15500.67</v>
      </c>
      <c r="P4127">
        <v>0</v>
      </c>
      <c r="Q4127">
        <v>15500.67</v>
      </c>
      <c r="R4127">
        <v>2480.11</v>
      </c>
      <c r="S4127">
        <v>620.03</v>
      </c>
      <c r="T4127">
        <v>17360.75</v>
      </c>
      <c r="U4127" t="s">
        <v>1936</v>
      </c>
      <c r="V4127" t="s">
        <v>9409</v>
      </c>
      <c r="W4127" t="s">
        <v>423</v>
      </c>
    </row>
    <row r="4128" spans="1:23" hidden="1" x14ac:dyDescent="0.2">
      <c r="A4128">
        <v>2012</v>
      </c>
      <c r="B4128" t="s">
        <v>305</v>
      </c>
      <c r="C4128" s="733">
        <v>40969</v>
      </c>
      <c r="D4128" s="733" t="str">
        <f>CHOOSE(MONTH(Tabla_sqldatos_bonampakdb_Bon_v_ingresos2012[[#This Row],[fecha_guia]]),"Enero","Febrero","Marzo","Abril","Mayo","Junio","Julio","Agosto","Septiembre","Octubre","Noviembre","Diciembre")</f>
        <v>Marzo</v>
      </c>
      <c r="E4128" t="s">
        <v>505</v>
      </c>
      <c r="F4128" t="s">
        <v>1915</v>
      </c>
      <c r="G4128" t="s">
        <v>9586</v>
      </c>
      <c r="H4128">
        <v>23115</v>
      </c>
      <c r="I4128" t="s">
        <v>423</v>
      </c>
      <c r="J4128" t="s">
        <v>1943</v>
      </c>
      <c r="K4128" t="s">
        <v>1918</v>
      </c>
      <c r="L4128" t="s">
        <v>1919</v>
      </c>
      <c r="M4128">
        <v>319</v>
      </c>
      <c r="N4128">
        <v>54.86</v>
      </c>
      <c r="O4128">
        <v>16087.15</v>
      </c>
      <c r="P4128">
        <v>0</v>
      </c>
      <c r="Q4128">
        <v>16087.15</v>
      </c>
      <c r="R4128">
        <v>2573.94</v>
      </c>
      <c r="S4128">
        <v>643.49</v>
      </c>
      <c r="T4128">
        <v>18017.599999999999</v>
      </c>
      <c r="V4128" t="s">
        <v>9409</v>
      </c>
      <c r="W4128" t="s">
        <v>423</v>
      </c>
    </row>
    <row r="4129" spans="1:23" hidden="1" x14ac:dyDescent="0.2">
      <c r="A4129">
        <v>2012</v>
      </c>
      <c r="B4129" t="s">
        <v>303</v>
      </c>
      <c r="C4129" s="733">
        <v>40939.644780092596</v>
      </c>
      <c r="D41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29" t="s">
        <v>485</v>
      </c>
      <c r="F4129" t="s">
        <v>2054</v>
      </c>
      <c r="G4129" t="s">
        <v>3981</v>
      </c>
      <c r="H4129">
        <v>10272</v>
      </c>
      <c r="I4129" t="s">
        <v>423</v>
      </c>
      <c r="J4129" t="s">
        <v>2072</v>
      </c>
      <c r="K4129" t="s">
        <v>2057</v>
      </c>
      <c r="L4129" t="s">
        <v>2058</v>
      </c>
      <c r="M4129">
        <v>406</v>
      </c>
      <c r="N4129">
        <v>24.46</v>
      </c>
      <c r="O4129">
        <v>6684.43</v>
      </c>
      <c r="P4129">
        <v>0</v>
      </c>
      <c r="Q4129">
        <v>6684.43</v>
      </c>
      <c r="R4129">
        <v>1069.51</v>
      </c>
      <c r="S4129">
        <v>267.38</v>
      </c>
      <c r="T4129">
        <v>7486.56</v>
      </c>
      <c r="U4129" t="s">
        <v>2073</v>
      </c>
      <c r="V4129" t="s">
        <v>9408</v>
      </c>
      <c r="W4129" t="s">
        <v>423</v>
      </c>
    </row>
    <row r="4130" spans="1:23" hidden="1" x14ac:dyDescent="0.2">
      <c r="A4130">
        <v>2012</v>
      </c>
      <c r="B4130" t="s">
        <v>303</v>
      </c>
      <c r="C4130" s="733">
        <v>40939.656064814815</v>
      </c>
      <c r="D41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30" t="s">
        <v>485</v>
      </c>
      <c r="F4130" t="s">
        <v>2054</v>
      </c>
      <c r="G4130" t="s">
        <v>4067</v>
      </c>
      <c r="H4130">
        <v>10269</v>
      </c>
      <c r="I4130" t="s">
        <v>423</v>
      </c>
      <c r="J4130" t="s">
        <v>2072</v>
      </c>
      <c r="K4130" t="s">
        <v>2057</v>
      </c>
      <c r="L4130" t="s">
        <v>2058</v>
      </c>
      <c r="M4130">
        <v>406</v>
      </c>
      <c r="N4130">
        <v>46.58</v>
      </c>
      <c r="O4130">
        <v>12729.38</v>
      </c>
      <c r="P4130">
        <v>0</v>
      </c>
      <c r="Q4130">
        <v>12729.38</v>
      </c>
      <c r="R4130">
        <v>2036.7</v>
      </c>
      <c r="S4130">
        <v>509.18</v>
      </c>
      <c r="T4130">
        <v>14256.9</v>
      </c>
      <c r="U4130" t="s">
        <v>2073</v>
      </c>
      <c r="V4130" t="s">
        <v>9409</v>
      </c>
      <c r="W4130" t="s">
        <v>423</v>
      </c>
    </row>
    <row r="4131" spans="1:23" hidden="1" x14ac:dyDescent="0.2">
      <c r="A4131">
        <v>2012</v>
      </c>
      <c r="B4131" t="s">
        <v>304</v>
      </c>
      <c r="C4131" s="733">
        <v>40943.597581018519</v>
      </c>
      <c r="D41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31" t="s">
        <v>485</v>
      </c>
      <c r="F4131" t="s">
        <v>2054</v>
      </c>
      <c r="G4131" t="s">
        <v>4068</v>
      </c>
      <c r="H4131">
        <v>10330</v>
      </c>
      <c r="I4131" t="s">
        <v>423</v>
      </c>
      <c r="J4131" t="s">
        <v>2072</v>
      </c>
      <c r="K4131" t="s">
        <v>2057</v>
      </c>
      <c r="L4131" t="s">
        <v>2058</v>
      </c>
      <c r="M4131">
        <v>406</v>
      </c>
      <c r="N4131">
        <v>23.77</v>
      </c>
      <c r="O4131">
        <v>6495.87</v>
      </c>
      <c r="P4131">
        <v>0</v>
      </c>
      <c r="Q4131">
        <v>6495.87</v>
      </c>
      <c r="R4131">
        <v>1039.3399999999999</v>
      </c>
      <c r="S4131">
        <v>259.83</v>
      </c>
      <c r="T4131">
        <v>7275.38</v>
      </c>
      <c r="U4131" t="s">
        <v>8166</v>
      </c>
      <c r="V4131" t="s">
        <v>9408</v>
      </c>
      <c r="W4131" t="s">
        <v>423</v>
      </c>
    </row>
    <row r="4132" spans="1:23" hidden="1" x14ac:dyDescent="0.2">
      <c r="A4132">
        <v>2012</v>
      </c>
      <c r="B4132" t="s">
        <v>303</v>
      </c>
      <c r="C4132" s="733">
        <v>40939</v>
      </c>
      <c r="D41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32" t="s">
        <v>485</v>
      </c>
      <c r="F4132" t="s">
        <v>2054</v>
      </c>
      <c r="G4132" t="s">
        <v>4069</v>
      </c>
      <c r="H4132">
        <v>9986</v>
      </c>
      <c r="I4132" t="s">
        <v>423</v>
      </c>
      <c r="J4132" t="s">
        <v>2072</v>
      </c>
      <c r="K4132" t="s">
        <v>2057</v>
      </c>
      <c r="L4132" t="s">
        <v>2058</v>
      </c>
      <c r="M4132">
        <v>406</v>
      </c>
      <c r="N4132">
        <v>30.6</v>
      </c>
      <c r="O4132">
        <v>8362.3700000000008</v>
      </c>
      <c r="P4132">
        <v>0</v>
      </c>
      <c r="Q4132">
        <v>8362.3700000000008</v>
      </c>
      <c r="R4132">
        <v>1337.98</v>
      </c>
      <c r="S4132">
        <v>334.49</v>
      </c>
      <c r="T4132">
        <v>9365.86</v>
      </c>
      <c r="U4132" t="s">
        <v>2073</v>
      </c>
      <c r="V4132" t="s">
        <v>9408</v>
      </c>
      <c r="W4132" t="s">
        <v>423</v>
      </c>
    </row>
    <row r="4133" spans="1:23" hidden="1" x14ac:dyDescent="0.2">
      <c r="A4133">
        <v>2012</v>
      </c>
      <c r="B4133" t="s">
        <v>303</v>
      </c>
      <c r="C4133" s="733">
        <v>40933.758009259262</v>
      </c>
      <c r="D41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33" t="s">
        <v>485</v>
      </c>
      <c r="F4133" t="s">
        <v>2054</v>
      </c>
      <c r="G4133" t="s">
        <v>2677</v>
      </c>
      <c r="H4133">
        <v>10213</v>
      </c>
      <c r="I4133" t="s">
        <v>423</v>
      </c>
      <c r="J4133" t="s">
        <v>2072</v>
      </c>
      <c r="K4133" t="s">
        <v>2057</v>
      </c>
      <c r="L4133" t="s">
        <v>2058</v>
      </c>
      <c r="M4133">
        <v>406</v>
      </c>
      <c r="N4133">
        <v>40.25</v>
      </c>
      <c r="O4133">
        <v>10999.52</v>
      </c>
      <c r="P4133">
        <v>0</v>
      </c>
      <c r="Q4133">
        <v>10999.52</v>
      </c>
      <c r="R4133">
        <v>1759.92</v>
      </c>
      <c r="S4133">
        <v>439.98</v>
      </c>
      <c r="T4133">
        <v>12319.46</v>
      </c>
      <c r="U4133" t="s">
        <v>8166</v>
      </c>
      <c r="V4133" t="s">
        <v>9409</v>
      </c>
      <c r="W4133" t="s">
        <v>423</v>
      </c>
    </row>
    <row r="4134" spans="1:23" hidden="1" x14ac:dyDescent="0.2">
      <c r="A4134">
        <v>2012</v>
      </c>
      <c r="B4134" t="s">
        <v>303</v>
      </c>
      <c r="C4134" s="733">
        <v>40932</v>
      </c>
      <c r="D41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34" t="s">
        <v>485</v>
      </c>
      <c r="F4134" t="s">
        <v>2065</v>
      </c>
      <c r="G4134" t="s">
        <v>3915</v>
      </c>
      <c r="H4134">
        <v>40780</v>
      </c>
      <c r="I4134" t="s">
        <v>423</v>
      </c>
      <c r="J4134" t="s">
        <v>2213</v>
      </c>
      <c r="K4134" t="s">
        <v>2183</v>
      </c>
      <c r="L4134" t="s">
        <v>2184</v>
      </c>
      <c r="M4134">
        <v>64</v>
      </c>
      <c r="N4134">
        <v>15.38</v>
      </c>
      <c r="O4134">
        <v>1735.94</v>
      </c>
      <c r="P4134">
        <v>0</v>
      </c>
      <c r="Q4134">
        <v>1735.94</v>
      </c>
      <c r="R4134">
        <v>277.75</v>
      </c>
      <c r="S4134">
        <v>69.44</v>
      </c>
      <c r="T4134">
        <v>1944.25</v>
      </c>
      <c r="U4134" t="s">
        <v>2187</v>
      </c>
      <c r="V4134" t="s">
        <v>9408</v>
      </c>
      <c r="W4134" t="s">
        <v>423</v>
      </c>
    </row>
    <row r="4135" spans="1:23" hidden="1" x14ac:dyDescent="0.2">
      <c r="A4135">
        <v>2012</v>
      </c>
      <c r="B4135" t="s">
        <v>304</v>
      </c>
      <c r="C4135" s="733">
        <v>40963</v>
      </c>
      <c r="D41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35" t="s">
        <v>505</v>
      </c>
      <c r="F4135" t="s">
        <v>1915</v>
      </c>
      <c r="G4135" t="s">
        <v>8691</v>
      </c>
      <c r="H4135">
        <v>22958</v>
      </c>
      <c r="I4135" t="s">
        <v>424</v>
      </c>
      <c r="J4135" t="s">
        <v>5598</v>
      </c>
      <c r="K4135" t="s">
        <v>1918</v>
      </c>
      <c r="L4135" t="s">
        <v>1919</v>
      </c>
      <c r="M4135">
        <v>653</v>
      </c>
      <c r="N4135">
        <v>30</v>
      </c>
      <c r="O4135">
        <v>10609.5</v>
      </c>
      <c r="P4135">
        <v>0</v>
      </c>
      <c r="Q4135">
        <v>10609.5</v>
      </c>
      <c r="R4135">
        <v>1697.52</v>
      </c>
      <c r="S4135">
        <v>424.38</v>
      </c>
      <c r="T4135">
        <v>11882.64</v>
      </c>
      <c r="U4135" t="s">
        <v>8778</v>
      </c>
      <c r="V4135" t="s">
        <v>9408</v>
      </c>
      <c r="W4135" t="s">
        <v>424</v>
      </c>
    </row>
    <row r="4136" spans="1:23" hidden="1" x14ac:dyDescent="0.2">
      <c r="A4136">
        <v>2012</v>
      </c>
      <c r="B4136" t="s">
        <v>303</v>
      </c>
      <c r="C4136" s="733">
        <v>40939</v>
      </c>
      <c r="D41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36" t="s">
        <v>505</v>
      </c>
      <c r="F4136" t="s">
        <v>1915</v>
      </c>
      <c r="G4136" t="s">
        <v>5512</v>
      </c>
      <c r="H4136">
        <v>21693</v>
      </c>
      <c r="I4136" t="s">
        <v>1979</v>
      </c>
      <c r="J4136" t="s">
        <v>5365</v>
      </c>
      <c r="K4136" t="s">
        <v>1918</v>
      </c>
      <c r="L4136" t="s">
        <v>1919</v>
      </c>
      <c r="M4136">
        <v>376</v>
      </c>
      <c r="N4136">
        <v>49.86</v>
      </c>
      <c r="O4136">
        <v>11210.52</v>
      </c>
      <c r="P4136">
        <v>0</v>
      </c>
      <c r="Q4136">
        <v>11210.52</v>
      </c>
      <c r="R4136">
        <v>1793.68</v>
      </c>
      <c r="S4136">
        <v>448.42</v>
      </c>
      <c r="T4136">
        <v>12555.78</v>
      </c>
      <c r="U4136" t="s">
        <v>1936</v>
      </c>
      <c r="V4136" t="s">
        <v>9409</v>
      </c>
      <c r="W4136" t="s">
        <v>1979</v>
      </c>
    </row>
    <row r="4137" spans="1:23" hidden="1" x14ac:dyDescent="0.2">
      <c r="A4137">
        <v>2012</v>
      </c>
      <c r="B4137" t="s">
        <v>304</v>
      </c>
      <c r="C4137" s="733">
        <v>40960</v>
      </c>
      <c r="D41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37" t="s">
        <v>485</v>
      </c>
      <c r="F4137" t="s">
        <v>3450</v>
      </c>
      <c r="G4137" t="s">
        <v>8397</v>
      </c>
      <c r="H4137">
        <v>42237</v>
      </c>
      <c r="I4137" t="s">
        <v>423</v>
      </c>
      <c r="J4137" t="s">
        <v>3452</v>
      </c>
      <c r="K4137" t="s">
        <v>3453</v>
      </c>
      <c r="L4137" t="s">
        <v>3454</v>
      </c>
      <c r="M4137">
        <v>19</v>
      </c>
      <c r="N4137">
        <v>27.09</v>
      </c>
      <c r="O4137">
        <v>3057.65</v>
      </c>
      <c r="P4137">
        <v>0</v>
      </c>
      <c r="Q4137">
        <v>3057.65</v>
      </c>
      <c r="R4137">
        <v>489.22</v>
      </c>
      <c r="S4137">
        <v>122.31</v>
      </c>
      <c r="T4137">
        <v>3424.56</v>
      </c>
      <c r="U4137" t="s">
        <v>8991</v>
      </c>
      <c r="V4137" t="s">
        <v>9408</v>
      </c>
      <c r="W4137" t="s">
        <v>423</v>
      </c>
    </row>
    <row r="4138" spans="1:23" hidden="1" x14ac:dyDescent="0.2">
      <c r="A4138">
        <v>2012</v>
      </c>
      <c r="B4138" t="s">
        <v>304</v>
      </c>
      <c r="C4138" s="733">
        <v>40952</v>
      </c>
      <c r="D41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38" t="s">
        <v>478</v>
      </c>
      <c r="F4138" t="s">
        <v>2142</v>
      </c>
      <c r="G4138" t="s">
        <v>5731</v>
      </c>
      <c r="H4138">
        <v>35510</v>
      </c>
      <c r="I4138" t="s">
        <v>423</v>
      </c>
      <c r="J4138" t="s">
        <v>4279</v>
      </c>
      <c r="K4138" t="s">
        <v>425</v>
      </c>
      <c r="L4138" t="s">
        <v>2145</v>
      </c>
      <c r="M4138">
        <v>381</v>
      </c>
      <c r="N4138">
        <v>49.85</v>
      </c>
      <c r="O4138">
        <v>12481.94</v>
      </c>
      <c r="P4138">
        <v>0</v>
      </c>
      <c r="Q4138">
        <v>12481.94</v>
      </c>
      <c r="R4138">
        <v>1997.11</v>
      </c>
      <c r="S4138">
        <v>499.28</v>
      </c>
      <c r="T4138">
        <v>13979.77</v>
      </c>
      <c r="U4138" t="s">
        <v>7523</v>
      </c>
      <c r="V4138" t="s">
        <v>9409</v>
      </c>
      <c r="W4138" t="s">
        <v>423</v>
      </c>
    </row>
    <row r="4139" spans="1:23" hidden="1" x14ac:dyDescent="0.2">
      <c r="A4139">
        <v>2012</v>
      </c>
      <c r="B4139" t="s">
        <v>303</v>
      </c>
      <c r="C4139" s="733">
        <v>40929</v>
      </c>
      <c r="D41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39" t="s">
        <v>478</v>
      </c>
      <c r="F4139" t="s">
        <v>2136</v>
      </c>
      <c r="G4139" t="s">
        <v>5309</v>
      </c>
      <c r="H4139">
        <v>34749</v>
      </c>
      <c r="I4139" t="s">
        <v>423</v>
      </c>
      <c r="J4139" t="s">
        <v>4279</v>
      </c>
      <c r="K4139" t="s">
        <v>425</v>
      </c>
      <c r="L4139" t="s">
        <v>2145</v>
      </c>
      <c r="M4139">
        <v>381</v>
      </c>
      <c r="N4139">
        <v>23.34</v>
      </c>
      <c r="O4139">
        <v>5844.1</v>
      </c>
      <c r="P4139">
        <v>0</v>
      </c>
      <c r="Q4139">
        <v>5844.1</v>
      </c>
      <c r="R4139">
        <v>935.06</v>
      </c>
      <c r="S4139">
        <v>233.76</v>
      </c>
      <c r="T4139">
        <v>6545.4</v>
      </c>
      <c r="U4139" t="s">
        <v>2355</v>
      </c>
      <c r="V4139" t="s">
        <v>9408</v>
      </c>
      <c r="W4139" t="s">
        <v>423</v>
      </c>
    </row>
    <row r="4140" spans="1:23" hidden="1" x14ac:dyDescent="0.2">
      <c r="A4140">
        <v>2012</v>
      </c>
      <c r="B4140" t="s">
        <v>304</v>
      </c>
      <c r="C4140" s="733">
        <v>40953</v>
      </c>
      <c r="D41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40" t="s">
        <v>485</v>
      </c>
      <c r="F4140" t="s">
        <v>3450</v>
      </c>
      <c r="G4140" t="s">
        <v>4228</v>
      </c>
      <c r="H4140">
        <v>41808</v>
      </c>
      <c r="I4140" t="s">
        <v>423</v>
      </c>
      <c r="J4140" t="s">
        <v>3452</v>
      </c>
      <c r="K4140" t="s">
        <v>3453</v>
      </c>
      <c r="L4140" t="s">
        <v>3454</v>
      </c>
      <c r="M4140">
        <v>19</v>
      </c>
      <c r="N4140">
        <v>25.38</v>
      </c>
      <c r="O4140">
        <v>2864.64</v>
      </c>
      <c r="P4140">
        <v>0</v>
      </c>
      <c r="Q4140">
        <v>2864.64</v>
      </c>
      <c r="R4140">
        <v>458.34</v>
      </c>
      <c r="S4140">
        <v>114.59</v>
      </c>
      <c r="T4140">
        <v>3208.39</v>
      </c>
      <c r="U4140" t="s">
        <v>7533</v>
      </c>
      <c r="V4140" t="s">
        <v>9408</v>
      </c>
      <c r="W4140" t="s">
        <v>423</v>
      </c>
    </row>
    <row r="4141" spans="1:23" hidden="1" x14ac:dyDescent="0.2">
      <c r="A4141">
        <v>2012</v>
      </c>
      <c r="B4141" t="s">
        <v>303</v>
      </c>
      <c r="C4141" s="733">
        <v>40933</v>
      </c>
      <c r="D41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41" t="s">
        <v>478</v>
      </c>
      <c r="F4141" t="s">
        <v>2136</v>
      </c>
      <c r="G4141" t="s">
        <v>5310</v>
      </c>
      <c r="H4141">
        <v>34958</v>
      </c>
      <c r="I4141" t="s">
        <v>423</v>
      </c>
      <c r="J4141" t="s">
        <v>4279</v>
      </c>
      <c r="K4141" t="s">
        <v>425</v>
      </c>
      <c r="L4141" t="s">
        <v>2145</v>
      </c>
      <c r="M4141">
        <v>381</v>
      </c>
      <c r="N4141">
        <v>50.87</v>
      </c>
      <c r="O4141">
        <v>12737.34</v>
      </c>
      <c r="P4141">
        <v>0</v>
      </c>
      <c r="Q4141">
        <v>12737.34</v>
      </c>
      <c r="R4141">
        <v>2037.97</v>
      </c>
      <c r="S4141">
        <v>509.49</v>
      </c>
      <c r="T4141">
        <v>14265.82</v>
      </c>
      <c r="U4141" t="s">
        <v>3234</v>
      </c>
      <c r="V4141" t="s">
        <v>9409</v>
      </c>
      <c r="W4141" t="s">
        <v>423</v>
      </c>
    </row>
    <row r="4142" spans="1:23" hidden="1" x14ac:dyDescent="0.2">
      <c r="A4142">
        <v>2012</v>
      </c>
      <c r="B4142" t="s">
        <v>304</v>
      </c>
      <c r="C4142" s="733">
        <v>40953</v>
      </c>
      <c r="D41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42" t="s">
        <v>478</v>
      </c>
      <c r="F4142" t="s">
        <v>2142</v>
      </c>
      <c r="G4142" t="s">
        <v>5311</v>
      </c>
      <c r="H4142">
        <v>35564</v>
      </c>
      <c r="I4142" t="s">
        <v>423</v>
      </c>
      <c r="J4142" t="s">
        <v>4279</v>
      </c>
      <c r="K4142" t="s">
        <v>425</v>
      </c>
      <c r="L4142" t="s">
        <v>2145</v>
      </c>
      <c r="M4142">
        <v>381</v>
      </c>
      <c r="N4142">
        <v>40.479999999999997</v>
      </c>
      <c r="O4142">
        <v>10135.790000000001</v>
      </c>
      <c r="P4142">
        <v>0</v>
      </c>
      <c r="Q4142">
        <v>10135.790000000001</v>
      </c>
      <c r="R4142">
        <v>1621.73</v>
      </c>
      <c r="S4142">
        <v>405.43</v>
      </c>
      <c r="T4142">
        <v>11352.09</v>
      </c>
      <c r="U4142" t="s">
        <v>7523</v>
      </c>
      <c r="V4142" t="s">
        <v>9409</v>
      </c>
      <c r="W4142" t="s">
        <v>423</v>
      </c>
    </row>
    <row r="4143" spans="1:23" hidden="1" x14ac:dyDescent="0.2">
      <c r="A4143">
        <v>2012</v>
      </c>
      <c r="B4143" t="s">
        <v>304</v>
      </c>
      <c r="C4143" s="733">
        <v>40962</v>
      </c>
      <c r="D41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43" t="s">
        <v>478</v>
      </c>
      <c r="F4143" t="s">
        <v>4128</v>
      </c>
      <c r="G4143" t="s">
        <v>8668</v>
      </c>
      <c r="H4143">
        <v>35624</v>
      </c>
      <c r="I4143" t="s">
        <v>423</v>
      </c>
      <c r="J4143" t="s">
        <v>7526</v>
      </c>
      <c r="K4143" t="s">
        <v>425</v>
      </c>
      <c r="L4143" t="s">
        <v>2145</v>
      </c>
      <c r="M4143">
        <v>1516</v>
      </c>
      <c r="N4143">
        <v>25.19</v>
      </c>
      <c r="O4143">
        <v>14869.15</v>
      </c>
      <c r="P4143">
        <v>0</v>
      </c>
      <c r="Q4143">
        <v>14869.15</v>
      </c>
      <c r="R4143">
        <v>2379.06</v>
      </c>
      <c r="S4143">
        <v>594.77</v>
      </c>
      <c r="T4143">
        <v>16653.439999999999</v>
      </c>
      <c r="U4143" t="s">
        <v>9457</v>
      </c>
      <c r="V4143" t="s">
        <v>9408</v>
      </c>
      <c r="W4143" t="s">
        <v>423</v>
      </c>
    </row>
    <row r="4144" spans="1:23" x14ac:dyDescent="0.2">
      <c r="A4144">
        <v>2012</v>
      </c>
      <c r="B4144" t="s">
        <v>304</v>
      </c>
      <c r="C4144" s="733">
        <v>40968</v>
      </c>
      <c r="D41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44" t="s">
        <v>485</v>
      </c>
      <c r="F4144" t="s">
        <v>3450</v>
      </c>
      <c r="G4144" t="s">
        <v>9295</v>
      </c>
      <c r="H4144">
        <v>42475</v>
      </c>
      <c r="I4144" t="s">
        <v>423</v>
      </c>
      <c r="J4144" t="s">
        <v>3457</v>
      </c>
      <c r="K4144" t="s">
        <v>3453</v>
      </c>
      <c r="L4144" t="s">
        <v>3454</v>
      </c>
      <c r="M4144">
        <v>29</v>
      </c>
      <c r="N4144">
        <v>25.69</v>
      </c>
      <c r="O4144">
        <v>2899.63</v>
      </c>
      <c r="P4144">
        <v>0</v>
      </c>
      <c r="Q4144">
        <v>2899.63</v>
      </c>
      <c r="R4144">
        <v>463.94</v>
      </c>
      <c r="S4144">
        <v>115.99</v>
      </c>
      <c r="T4144">
        <v>3247.58</v>
      </c>
      <c r="V4144" t="s">
        <v>9408</v>
      </c>
      <c r="W4144" t="s">
        <v>423</v>
      </c>
    </row>
    <row r="4145" spans="1:23" hidden="1" x14ac:dyDescent="0.2">
      <c r="A4145">
        <v>2012</v>
      </c>
      <c r="B4145" t="s">
        <v>304</v>
      </c>
      <c r="C4145" s="733">
        <v>40952</v>
      </c>
      <c r="D41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45" t="s">
        <v>485</v>
      </c>
      <c r="F4145" t="s">
        <v>2065</v>
      </c>
      <c r="G4145" t="s">
        <v>4821</v>
      </c>
      <c r="H4145">
        <v>40497</v>
      </c>
      <c r="I4145" t="s">
        <v>423</v>
      </c>
      <c r="J4145" t="s">
        <v>4822</v>
      </c>
      <c r="K4145" t="s">
        <v>2183</v>
      </c>
      <c r="L4145" t="s">
        <v>2184</v>
      </c>
      <c r="M4145">
        <v>204</v>
      </c>
      <c r="N4145">
        <v>25.14</v>
      </c>
      <c r="O4145">
        <v>4559.6400000000003</v>
      </c>
      <c r="P4145">
        <v>0</v>
      </c>
      <c r="Q4145">
        <v>4559.6400000000003</v>
      </c>
      <c r="R4145">
        <v>729.54</v>
      </c>
      <c r="S4145">
        <v>182.39</v>
      </c>
      <c r="T4145">
        <v>5106.79</v>
      </c>
      <c r="U4145" t="s">
        <v>2192</v>
      </c>
      <c r="V4145" t="s">
        <v>9408</v>
      </c>
      <c r="W4145" t="s">
        <v>423</v>
      </c>
    </row>
    <row r="4146" spans="1:23" hidden="1" x14ac:dyDescent="0.2">
      <c r="A4146">
        <v>2012</v>
      </c>
      <c r="B4146" t="s">
        <v>304</v>
      </c>
      <c r="C4146" s="733">
        <v>40949</v>
      </c>
      <c r="D41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46" t="s">
        <v>505</v>
      </c>
      <c r="F4146" t="s">
        <v>1915</v>
      </c>
      <c r="G4146" t="s">
        <v>5511</v>
      </c>
      <c r="H4146">
        <v>22611</v>
      </c>
      <c r="I4146" t="s">
        <v>423</v>
      </c>
      <c r="J4146" t="s">
        <v>5253</v>
      </c>
      <c r="K4146" t="s">
        <v>1918</v>
      </c>
      <c r="L4146" t="s">
        <v>1919</v>
      </c>
      <c r="M4146">
        <v>88</v>
      </c>
      <c r="N4146">
        <v>26.65</v>
      </c>
      <c r="O4146">
        <v>3712.88</v>
      </c>
      <c r="P4146">
        <v>0</v>
      </c>
      <c r="Q4146">
        <v>3712.88</v>
      </c>
      <c r="R4146">
        <v>594.05999999999995</v>
      </c>
      <c r="S4146">
        <v>148.52000000000001</v>
      </c>
      <c r="T4146">
        <v>4158.42</v>
      </c>
      <c r="U4146" t="s">
        <v>7522</v>
      </c>
      <c r="V4146" t="s">
        <v>9408</v>
      </c>
      <c r="W4146" t="s">
        <v>423</v>
      </c>
    </row>
    <row r="4147" spans="1:23" hidden="1" x14ac:dyDescent="0.2">
      <c r="A4147">
        <v>2012</v>
      </c>
      <c r="B4147" t="s">
        <v>303</v>
      </c>
      <c r="C4147" s="733">
        <v>40911</v>
      </c>
      <c r="D41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47" t="s">
        <v>505</v>
      </c>
      <c r="F4147" t="s">
        <v>1915</v>
      </c>
      <c r="G4147" t="s">
        <v>5506</v>
      </c>
      <c r="H4147">
        <v>21602</v>
      </c>
      <c r="I4147" t="s">
        <v>423</v>
      </c>
      <c r="J4147" t="s">
        <v>1947</v>
      </c>
      <c r="K4147" t="s">
        <v>1918</v>
      </c>
      <c r="L4147" t="s">
        <v>1919</v>
      </c>
      <c r="M4147">
        <v>973</v>
      </c>
      <c r="N4147">
        <v>54.05</v>
      </c>
      <c r="O4147">
        <v>13288.73</v>
      </c>
      <c r="P4147">
        <v>14961.648219999999</v>
      </c>
      <c r="Q4147">
        <v>28250.378219999999</v>
      </c>
      <c r="R4147">
        <v>4520.0605150000001</v>
      </c>
      <c r="S4147">
        <v>1130.0151289999999</v>
      </c>
      <c r="T4147">
        <v>31640.423606</v>
      </c>
      <c r="U4147" t="s">
        <v>1984</v>
      </c>
      <c r="V4147" t="s">
        <v>9409</v>
      </c>
      <c r="W4147" t="s">
        <v>423</v>
      </c>
    </row>
    <row r="4148" spans="1:23" hidden="1" x14ac:dyDescent="0.2">
      <c r="A4148">
        <v>2012</v>
      </c>
      <c r="B4148" t="s">
        <v>303</v>
      </c>
      <c r="C4148" s="733">
        <v>40921</v>
      </c>
      <c r="D41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48" t="s">
        <v>485</v>
      </c>
      <c r="F4148" t="s">
        <v>2065</v>
      </c>
      <c r="G4148" t="s">
        <v>4671</v>
      </c>
      <c r="H4148">
        <v>39953</v>
      </c>
      <c r="I4148" t="s">
        <v>423</v>
      </c>
      <c r="J4148" t="s">
        <v>2189</v>
      </c>
      <c r="K4148" t="s">
        <v>2183</v>
      </c>
      <c r="L4148" t="s">
        <v>2115</v>
      </c>
      <c r="M4148">
        <v>720</v>
      </c>
      <c r="N4148">
        <v>26.92</v>
      </c>
      <c r="O4148">
        <v>10910.41</v>
      </c>
      <c r="P4148">
        <v>0</v>
      </c>
      <c r="Q4148">
        <v>10910.41</v>
      </c>
      <c r="R4148">
        <v>1745.67</v>
      </c>
      <c r="S4148">
        <v>436.42</v>
      </c>
      <c r="T4148">
        <v>12219.66</v>
      </c>
      <c r="U4148" t="s">
        <v>7587</v>
      </c>
      <c r="V4148" t="s">
        <v>9408</v>
      </c>
      <c r="W4148" t="s">
        <v>423</v>
      </c>
    </row>
    <row r="4149" spans="1:23" hidden="1" x14ac:dyDescent="0.2">
      <c r="A4149">
        <v>2012</v>
      </c>
      <c r="B4149" t="s">
        <v>304</v>
      </c>
      <c r="C4149" s="733">
        <v>40956</v>
      </c>
      <c r="D41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49" t="s">
        <v>478</v>
      </c>
      <c r="F4149" t="s">
        <v>2136</v>
      </c>
      <c r="G4149" t="s">
        <v>7957</v>
      </c>
      <c r="H4149">
        <v>35745</v>
      </c>
      <c r="I4149" t="s">
        <v>423</v>
      </c>
      <c r="J4149" t="s">
        <v>4276</v>
      </c>
      <c r="K4149" t="s">
        <v>425</v>
      </c>
      <c r="L4149" t="s">
        <v>2145</v>
      </c>
      <c r="M4149">
        <v>60</v>
      </c>
      <c r="N4149">
        <v>25.41</v>
      </c>
      <c r="O4149">
        <v>3411.29</v>
      </c>
      <c r="P4149">
        <v>0</v>
      </c>
      <c r="Q4149">
        <v>3411.29</v>
      </c>
      <c r="R4149">
        <v>545.80999999999995</v>
      </c>
      <c r="S4149">
        <v>136.44999999999999</v>
      </c>
      <c r="T4149">
        <v>3820.65</v>
      </c>
      <c r="U4149" t="s">
        <v>8510</v>
      </c>
      <c r="V4149" t="s">
        <v>9408</v>
      </c>
      <c r="W4149" t="s">
        <v>423</v>
      </c>
    </row>
    <row r="4150" spans="1:23" hidden="1" x14ac:dyDescent="0.2">
      <c r="A4150">
        <v>2012</v>
      </c>
      <c r="B4150" t="s">
        <v>304</v>
      </c>
      <c r="C4150" s="733">
        <v>40947</v>
      </c>
      <c r="D41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50" t="s">
        <v>505</v>
      </c>
      <c r="F4150" t="s">
        <v>1915</v>
      </c>
      <c r="G4150" t="s">
        <v>3504</v>
      </c>
      <c r="H4150">
        <v>22497</v>
      </c>
      <c r="I4150" t="s">
        <v>423</v>
      </c>
      <c r="J4150" t="s">
        <v>1947</v>
      </c>
      <c r="K4150" t="s">
        <v>1918</v>
      </c>
      <c r="L4150" t="s">
        <v>1919</v>
      </c>
      <c r="M4150">
        <v>973</v>
      </c>
      <c r="N4150">
        <v>50.16</v>
      </c>
      <c r="O4150">
        <v>29291.43</v>
      </c>
      <c r="P4150">
        <v>0</v>
      </c>
      <c r="Q4150">
        <v>29291.43</v>
      </c>
      <c r="R4150">
        <v>4686.63</v>
      </c>
      <c r="S4150">
        <v>1171.6600000000001</v>
      </c>
      <c r="T4150">
        <v>32806.400000000001</v>
      </c>
      <c r="U4150" t="s">
        <v>1924</v>
      </c>
      <c r="V4150" t="s">
        <v>9409</v>
      </c>
      <c r="W4150" t="s">
        <v>423</v>
      </c>
    </row>
    <row r="4151" spans="1:23" hidden="1" x14ac:dyDescent="0.2">
      <c r="A4151">
        <v>2012</v>
      </c>
      <c r="B4151" t="s">
        <v>303</v>
      </c>
      <c r="C4151" s="733">
        <v>40922</v>
      </c>
      <c r="D41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51" t="s">
        <v>505</v>
      </c>
      <c r="F4151" t="s">
        <v>1915</v>
      </c>
      <c r="G4151" t="s">
        <v>5500</v>
      </c>
      <c r="H4151">
        <v>21955</v>
      </c>
      <c r="I4151" t="s">
        <v>423</v>
      </c>
      <c r="J4151" t="s">
        <v>4158</v>
      </c>
      <c r="K4151" t="s">
        <v>1918</v>
      </c>
      <c r="L4151" t="s">
        <v>1919</v>
      </c>
      <c r="M4151">
        <v>274</v>
      </c>
      <c r="N4151">
        <v>28.03</v>
      </c>
      <c r="O4151">
        <v>7739.08</v>
      </c>
      <c r="P4151">
        <v>0</v>
      </c>
      <c r="Q4151">
        <v>7739.08</v>
      </c>
      <c r="R4151">
        <v>1238.25</v>
      </c>
      <c r="S4151">
        <v>309.56</v>
      </c>
      <c r="T4151">
        <v>8667.77</v>
      </c>
      <c r="U4151" t="s">
        <v>1931</v>
      </c>
      <c r="V4151" t="s">
        <v>9408</v>
      </c>
      <c r="W4151" t="s">
        <v>423</v>
      </c>
    </row>
    <row r="4152" spans="1:23" hidden="1" x14ac:dyDescent="0.2">
      <c r="A4152">
        <v>2012</v>
      </c>
      <c r="B4152" t="s">
        <v>304</v>
      </c>
      <c r="C4152" s="733">
        <v>40960</v>
      </c>
      <c r="D41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52" t="s">
        <v>485</v>
      </c>
      <c r="F4152" t="s">
        <v>2048</v>
      </c>
      <c r="G4152" t="s">
        <v>8106</v>
      </c>
      <c r="H4152">
        <v>42338</v>
      </c>
      <c r="I4152" t="s">
        <v>423</v>
      </c>
      <c r="J4152" t="s">
        <v>2171</v>
      </c>
      <c r="K4152" t="s">
        <v>2051</v>
      </c>
      <c r="L4152" t="s">
        <v>2052</v>
      </c>
      <c r="M4152">
        <v>57</v>
      </c>
      <c r="N4152">
        <v>26.75</v>
      </c>
      <c r="O4152">
        <v>3753.29</v>
      </c>
      <c r="P4152">
        <v>0</v>
      </c>
      <c r="Q4152">
        <v>3753.29</v>
      </c>
      <c r="R4152">
        <v>600.53</v>
      </c>
      <c r="S4152">
        <v>150.13</v>
      </c>
      <c r="T4152">
        <v>4203.6899999999996</v>
      </c>
      <c r="U4152" t="s">
        <v>8780</v>
      </c>
      <c r="V4152" t="s">
        <v>9408</v>
      </c>
      <c r="W4152" t="s">
        <v>423</v>
      </c>
    </row>
    <row r="4153" spans="1:23" hidden="1" x14ac:dyDescent="0.2">
      <c r="A4153">
        <v>2012</v>
      </c>
      <c r="B4153" t="s">
        <v>304</v>
      </c>
      <c r="C4153" s="733">
        <v>40960</v>
      </c>
      <c r="D41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53" t="s">
        <v>485</v>
      </c>
      <c r="F4153" t="s">
        <v>2084</v>
      </c>
      <c r="G4153" t="s">
        <v>8118</v>
      </c>
      <c r="H4153">
        <v>42341</v>
      </c>
      <c r="I4153" t="s">
        <v>423</v>
      </c>
      <c r="J4153" t="s">
        <v>2171</v>
      </c>
      <c r="K4153" t="s">
        <v>2051</v>
      </c>
      <c r="L4153" t="s">
        <v>2052</v>
      </c>
      <c r="M4153">
        <v>57</v>
      </c>
      <c r="N4153">
        <v>25.75</v>
      </c>
      <c r="O4153">
        <v>3612.98</v>
      </c>
      <c r="P4153">
        <v>0</v>
      </c>
      <c r="Q4153">
        <v>3612.98</v>
      </c>
      <c r="R4153">
        <v>578.08000000000004</v>
      </c>
      <c r="S4153">
        <v>144.52000000000001</v>
      </c>
      <c r="T4153">
        <v>4046.54</v>
      </c>
      <c r="U4153" t="s">
        <v>8780</v>
      </c>
      <c r="V4153" t="s">
        <v>9408</v>
      </c>
      <c r="W4153" t="s">
        <v>423</v>
      </c>
    </row>
    <row r="4154" spans="1:23" hidden="1" x14ac:dyDescent="0.2">
      <c r="A4154">
        <v>2012</v>
      </c>
      <c r="B4154" t="s">
        <v>304</v>
      </c>
      <c r="C4154" s="733">
        <v>40952</v>
      </c>
      <c r="D41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54" t="s">
        <v>485</v>
      </c>
      <c r="F4154" t="s">
        <v>2048</v>
      </c>
      <c r="G4154" t="s">
        <v>3894</v>
      </c>
      <c r="H4154">
        <v>41721</v>
      </c>
      <c r="I4154" t="s">
        <v>423</v>
      </c>
      <c r="J4154" t="s">
        <v>2171</v>
      </c>
      <c r="K4154" t="s">
        <v>2051</v>
      </c>
      <c r="L4154" t="s">
        <v>2052</v>
      </c>
      <c r="M4154">
        <v>57</v>
      </c>
      <c r="N4154">
        <v>54.15</v>
      </c>
      <c r="O4154">
        <v>7597.79</v>
      </c>
      <c r="P4154">
        <v>0</v>
      </c>
      <c r="Q4154">
        <v>7597.79</v>
      </c>
      <c r="R4154">
        <v>1215.6500000000001</v>
      </c>
      <c r="S4154">
        <v>303.91000000000003</v>
      </c>
      <c r="T4154">
        <v>8509.5300000000007</v>
      </c>
      <c r="U4154" t="s">
        <v>8257</v>
      </c>
      <c r="V4154" t="s">
        <v>9409</v>
      </c>
      <c r="W4154" t="s">
        <v>423</v>
      </c>
    </row>
    <row r="4155" spans="1:23" hidden="1" x14ac:dyDescent="0.2">
      <c r="A4155">
        <v>2012</v>
      </c>
      <c r="B4155" t="s">
        <v>303</v>
      </c>
      <c r="C4155" s="733">
        <v>40936</v>
      </c>
      <c r="D41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55" t="s">
        <v>485</v>
      </c>
      <c r="F4155" t="s">
        <v>2054</v>
      </c>
      <c r="G4155" t="s">
        <v>4841</v>
      </c>
      <c r="H4155">
        <v>10234</v>
      </c>
      <c r="I4155" t="s">
        <v>423</v>
      </c>
      <c r="J4155" t="s">
        <v>2056</v>
      </c>
      <c r="K4155" t="s">
        <v>2057</v>
      </c>
      <c r="L4155" t="s">
        <v>2058</v>
      </c>
      <c r="M4155">
        <v>19</v>
      </c>
      <c r="N4155">
        <v>23.96</v>
      </c>
      <c r="O4155">
        <v>2704.37</v>
      </c>
      <c r="P4155">
        <v>0</v>
      </c>
      <c r="Q4155">
        <v>2704.37</v>
      </c>
      <c r="R4155">
        <v>432.7</v>
      </c>
      <c r="S4155">
        <v>108.17</v>
      </c>
      <c r="T4155">
        <v>3028.9</v>
      </c>
      <c r="U4155" t="s">
        <v>2073</v>
      </c>
      <c r="V4155" t="s">
        <v>9408</v>
      </c>
      <c r="W4155" t="s">
        <v>423</v>
      </c>
    </row>
    <row r="4156" spans="1:23" hidden="1" x14ac:dyDescent="0.2">
      <c r="A4156">
        <v>2012</v>
      </c>
      <c r="B4156" t="s">
        <v>303</v>
      </c>
      <c r="C4156" s="733">
        <v>40921</v>
      </c>
      <c r="D41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56" t="s">
        <v>485</v>
      </c>
      <c r="F4156" t="s">
        <v>2054</v>
      </c>
      <c r="G4156" t="s">
        <v>4840</v>
      </c>
      <c r="H4156">
        <v>10051</v>
      </c>
      <c r="I4156" t="s">
        <v>423</v>
      </c>
      <c r="J4156" t="s">
        <v>2056</v>
      </c>
      <c r="K4156" t="s">
        <v>2057</v>
      </c>
      <c r="L4156" t="s">
        <v>2058</v>
      </c>
      <c r="M4156">
        <v>19</v>
      </c>
      <c r="N4156">
        <v>48.43</v>
      </c>
      <c r="O4156">
        <v>5466.29</v>
      </c>
      <c r="P4156">
        <v>0</v>
      </c>
      <c r="Q4156">
        <v>5466.29</v>
      </c>
      <c r="R4156">
        <v>874.61</v>
      </c>
      <c r="S4156">
        <v>218.65</v>
      </c>
      <c r="T4156">
        <v>6122.25</v>
      </c>
      <c r="U4156" t="s">
        <v>2059</v>
      </c>
      <c r="V4156" t="s">
        <v>9409</v>
      </c>
      <c r="W4156" t="s">
        <v>423</v>
      </c>
    </row>
    <row r="4157" spans="1:23" hidden="1" x14ac:dyDescent="0.2">
      <c r="A4157">
        <v>2012</v>
      </c>
      <c r="B4157" t="s">
        <v>303</v>
      </c>
      <c r="C4157" s="733">
        <v>40936</v>
      </c>
      <c r="D41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57" t="s">
        <v>485</v>
      </c>
      <c r="F4157" t="s">
        <v>2054</v>
      </c>
      <c r="G4157" t="s">
        <v>4842</v>
      </c>
      <c r="H4157">
        <v>10237</v>
      </c>
      <c r="I4157" t="s">
        <v>423</v>
      </c>
      <c r="J4157" t="s">
        <v>2056</v>
      </c>
      <c r="K4157" t="s">
        <v>2057</v>
      </c>
      <c r="L4157" t="s">
        <v>2058</v>
      </c>
      <c r="M4157">
        <v>19</v>
      </c>
      <c r="N4157">
        <v>28.33</v>
      </c>
      <c r="O4157">
        <v>3197.61</v>
      </c>
      <c r="P4157">
        <v>0</v>
      </c>
      <c r="Q4157">
        <v>3197.61</v>
      </c>
      <c r="R4157">
        <v>511.62</v>
      </c>
      <c r="S4157">
        <v>127.9</v>
      </c>
      <c r="T4157">
        <v>3581.33</v>
      </c>
      <c r="U4157" t="s">
        <v>2073</v>
      </c>
      <c r="V4157" t="s">
        <v>9408</v>
      </c>
      <c r="W4157" t="s">
        <v>423</v>
      </c>
    </row>
    <row r="4158" spans="1:23" hidden="1" x14ac:dyDescent="0.2">
      <c r="A4158">
        <v>2012</v>
      </c>
      <c r="B4158" t="s">
        <v>303</v>
      </c>
      <c r="C4158" s="733">
        <v>40915</v>
      </c>
      <c r="D41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58" t="s">
        <v>505</v>
      </c>
      <c r="F4158" t="s">
        <v>1915</v>
      </c>
      <c r="G4158" t="s">
        <v>5505</v>
      </c>
      <c r="H4158">
        <v>21778</v>
      </c>
      <c r="I4158" t="s">
        <v>423</v>
      </c>
      <c r="J4158" t="s">
        <v>5504</v>
      </c>
      <c r="K4158" t="s">
        <v>1918</v>
      </c>
      <c r="L4158" t="s">
        <v>1919</v>
      </c>
      <c r="M4158">
        <v>1115</v>
      </c>
      <c r="N4158">
        <v>25.46</v>
      </c>
      <c r="O4158">
        <v>7909.41</v>
      </c>
      <c r="P4158">
        <v>8905.1256250000006</v>
      </c>
      <c r="Q4158">
        <v>16814.535625</v>
      </c>
      <c r="R4158">
        <v>2690.3256999999999</v>
      </c>
      <c r="S4158">
        <v>672.58142499999997</v>
      </c>
      <c r="T4158">
        <v>18832.279900000001</v>
      </c>
      <c r="U4158" t="s">
        <v>1931</v>
      </c>
      <c r="V4158" t="s">
        <v>9408</v>
      </c>
      <c r="W4158" t="s">
        <v>423</v>
      </c>
    </row>
    <row r="4159" spans="1:23" hidden="1" x14ac:dyDescent="0.2">
      <c r="A4159">
        <v>2012</v>
      </c>
      <c r="B4159" t="s">
        <v>303</v>
      </c>
      <c r="C4159" s="733">
        <v>40928</v>
      </c>
      <c r="D41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59" t="s">
        <v>505</v>
      </c>
      <c r="F4159" t="s">
        <v>1915</v>
      </c>
      <c r="G4159" t="s">
        <v>5503</v>
      </c>
      <c r="H4159">
        <v>22071</v>
      </c>
      <c r="I4159" t="s">
        <v>423</v>
      </c>
      <c r="J4159" t="s">
        <v>5504</v>
      </c>
      <c r="K4159" t="s">
        <v>1918</v>
      </c>
      <c r="L4159" t="s">
        <v>1919</v>
      </c>
      <c r="M4159">
        <v>1115</v>
      </c>
      <c r="N4159">
        <v>53.72</v>
      </c>
      <c r="O4159">
        <v>39638.379999999997</v>
      </c>
      <c r="P4159">
        <v>0</v>
      </c>
      <c r="Q4159">
        <v>39638.379999999997</v>
      </c>
      <c r="R4159">
        <v>6342.14</v>
      </c>
      <c r="S4159">
        <v>1585.54</v>
      </c>
      <c r="T4159">
        <v>44394.98</v>
      </c>
      <c r="U4159" t="s">
        <v>1936</v>
      </c>
      <c r="V4159" t="s">
        <v>9409</v>
      </c>
      <c r="W4159" t="s">
        <v>423</v>
      </c>
    </row>
    <row r="4160" spans="1:23" hidden="1" x14ac:dyDescent="0.2">
      <c r="A4160">
        <v>2012</v>
      </c>
      <c r="B4160" t="s">
        <v>303</v>
      </c>
      <c r="C4160" s="733">
        <v>40939.549155092594</v>
      </c>
      <c r="D41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60" t="s">
        <v>478</v>
      </c>
      <c r="F4160" t="s">
        <v>2622</v>
      </c>
      <c r="G4160" t="s">
        <v>4651</v>
      </c>
      <c r="H4160">
        <v>35151</v>
      </c>
      <c r="I4160" t="s">
        <v>423</v>
      </c>
      <c r="J4160" t="s">
        <v>2662</v>
      </c>
      <c r="K4160" t="s">
        <v>2625</v>
      </c>
      <c r="L4160" t="s">
        <v>2626</v>
      </c>
      <c r="M4160">
        <v>66</v>
      </c>
      <c r="N4160">
        <v>23.65</v>
      </c>
      <c r="O4160">
        <v>2784.31</v>
      </c>
      <c r="P4160">
        <v>0</v>
      </c>
      <c r="Q4160">
        <v>2784.31</v>
      </c>
      <c r="R4160">
        <v>445.49</v>
      </c>
      <c r="S4160">
        <v>111.37</v>
      </c>
      <c r="T4160">
        <v>3118.43</v>
      </c>
      <c r="U4160" t="s">
        <v>7548</v>
      </c>
      <c r="V4160" t="s">
        <v>9408</v>
      </c>
      <c r="W4160" t="s">
        <v>423</v>
      </c>
    </row>
    <row r="4161" spans="1:23" hidden="1" x14ac:dyDescent="0.2">
      <c r="A4161">
        <v>2012</v>
      </c>
      <c r="B4161" t="s">
        <v>304</v>
      </c>
      <c r="C4161" s="733">
        <v>40947</v>
      </c>
      <c r="D41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61" t="s">
        <v>485</v>
      </c>
      <c r="F4161" t="s">
        <v>2065</v>
      </c>
      <c r="G4161" t="s">
        <v>3244</v>
      </c>
      <c r="H4161">
        <v>41435</v>
      </c>
      <c r="I4161" t="s">
        <v>423</v>
      </c>
      <c r="J4161" t="s">
        <v>2126</v>
      </c>
      <c r="K4161" t="s">
        <v>2102</v>
      </c>
      <c r="L4161" t="s">
        <v>2115</v>
      </c>
      <c r="M4161">
        <v>930</v>
      </c>
      <c r="N4161">
        <v>50.49</v>
      </c>
      <c r="O4161">
        <v>29641.67</v>
      </c>
      <c r="P4161">
        <v>0</v>
      </c>
      <c r="Q4161">
        <v>29641.67</v>
      </c>
      <c r="R4161">
        <v>4742.67</v>
      </c>
      <c r="S4161">
        <v>1185.67</v>
      </c>
      <c r="T4161">
        <v>33198.67</v>
      </c>
      <c r="U4161" t="s">
        <v>7462</v>
      </c>
      <c r="V4161" t="s">
        <v>9409</v>
      </c>
      <c r="W4161" t="s">
        <v>423</v>
      </c>
    </row>
    <row r="4162" spans="1:23" hidden="1" x14ac:dyDescent="0.2">
      <c r="A4162">
        <v>2012</v>
      </c>
      <c r="B4162" t="s">
        <v>303</v>
      </c>
      <c r="C4162" s="733">
        <v>40939</v>
      </c>
      <c r="D41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62" t="s">
        <v>485</v>
      </c>
      <c r="F4162" t="s">
        <v>3450</v>
      </c>
      <c r="G4162" t="s">
        <v>4365</v>
      </c>
      <c r="H4162">
        <v>40786</v>
      </c>
      <c r="I4162" t="s">
        <v>423</v>
      </c>
      <c r="J4162" t="s">
        <v>3462</v>
      </c>
      <c r="K4162" t="s">
        <v>3453</v>
      </c>
      <c r="L4162" t="s">
        <v>3454</v>
      </c>
      <c r="M4162">
        <v>425</v>
      </c>
      <c r="N4162">
        <v>44.88</v>
      </c>
      <c r="O4162">
        <v>12523.32</v>
      </c>
      <c r="P4162">
        <v>0</v>
      </c>
      <c r="Q4162">
        <v>12523.32</v>
      </c>
      <c r="R4162">
        <v>2003.73</v>
      </c>
      <c r="S4162">
        <v>500.93</v>
      </c>
      <c r="T4162">
        <v>14026.12</v>
      </c>
      <c r="U4162" t="s">
        <v>3640</v>
      </c>
      <c r="V4162" t="s">
        <v>9409</v>
      </c>
      <c r="W4162" t="s">
        <v>423</v>
      </c>
    </row>
    <row r="4163" spans="1:23" hidden="1" x14ac:dyDescent="0.2">
      <c r="A4163">
        <v>2012</v>
      </c>
      <c r="B4163" t="s">
        <v>304</v>
      </c>
      <c r="C4163" s="733">
        <v>40948</v>
      </c>
      <c r="D41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63" t="s">
        <v>485</v>
      </c>
      <c r="F4163" t="s">
        <v>3450</v>
      </c>
      <c r="G4163" t="s">
        <v>4364</v>
      </c>
      <c r="H4163">
        <v>41368</v>
      </c>
      <c r="I4163" t="s">
        <v>423</v>
      </c>
      <c r="J4163" t="s">
        <v>3462</v>
      </c>
      <c r="K4163" t="s">
        <v>3453</v>
      </c>
      <c r="L4163" t="s">
        <v>3454</v>
      </c>
      <c r="M4163">
        <v>425</v>
      </c>
      <c r="N4163">
        <v>53.05</v>
      </c>
      <c r="O4163">
        <v>14803.07</v>
      </c>
      <c r="P4163">
        <v>0</v>
      </c>
      <c r="Q4163">
        <v>14803.07</v>
      </c>
      <c r="R4163">
        <v>2368.4899999999998</v>
      </c>
      <c r="S4163">
        <v>592.12</v>
      </c>
      <c r="T4163">
        <v>16579.439999999999</v>
      </c>
      <c r="U4163" t="s">
        <v>3455</v>
      </c>
      <c r="V4163" t="s">
        <v>9409</v>
      </c>
      <c r="W4163" t="s">
        <v>423</v>
      </c>
    </row>
    <row r="4164" spans="1:23" hidden="1" x14ac:dyDescent="0.2">
      <c r="A4164">
        <v>2012</v>
      </c>
      <c r="B4164" t="s">
        <v>304</v>
      </c>
      <c r="C4164" s="733">
        <v>40962</v>
      </c>
      <c r="D41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64" t="s">
        <v>485</v>
      </c>
      <c r="F4164" t="s">
        <v>2065</v>
      </c>
      <c r="G4164" t="s">
        <v>8661</v>
      </c>
      <c r="H4164">
        <v>42430</v>
      </c>
      <c r="I4164" t="s">
        <v>423</v>
      </c>
      <c r="J4164" t="s">
        <v>2126</v>
      </c>
      <c r="K4164" t="s">
        <v>2102</v>
      </c>
      <c r="L4164" t="s">
        <v>2115</v>
      </c>
      <c r="M4164">
        <v>930</v>
      </c>
      <c r="N4164">
        <v>56.59</v>
      </c>
      <c r="O4164">
        <v>33222.86</v>
      </c>
      <c r="P4164">
        <v>0</v>
      </c>
      <c r="Q4164">
        <v>33222.86</v>
      </c>
      <c r="R4164">
        <v>5315.66</v>
      </c>
      <c r="S4164">
        <v>1328.91</v>
      </c>
      <c r="T4164">
        <v>37209.61</v>
      </c>
      <c r="U4164" t="s">
        <v>8883</v>
      </c>
      <c r="V4164" t="s">
        <v>9409</v>
      </c>
      <c r="W4164" t="s">
        <v>423</v>
      </c>
    </row>
    <row r="4165" spans="1:23" hidden="1" x14ac:dyDescent="0.2">
      <c r="A4165">
        <v>2012</v>
      </c>
      <c r="B4165" t="s">
        <v>304</v>
      </c>
      <c r="C4165" s="733">
        <v>40940</v>
      </c>
      <c r="D41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65" t="s">
        <v>485</v>
      </c>
      <c r="F4165" t="s">
        <v>2065</v>
      </c>
      <c r="G4165" t="s">
        <v>5184</v>
      </c>
      <c r="H4165">
        <v>41147</v>
      </c>
      <c r="I4165" t="s">
        <v>423</v>
      </c>
      <c r="J4165" t="s">
        <v>2126</v>
      </c>
      <c r="K4165" t="s">
        <v>2102</v>
      </c>
      <c r="L4165" t="s">
        <v>2115</v>
      </c>
      <c r="M4165">
        <v>930</v>
      </c>
      <c r="N4165">
        <v>24.05</v>
      </c>
      <c r="O4165">
        <v>14119.27</v>
      </c>
      <c r="P4165">
        <v>0</v>
      </c>
      <c r="Q4165">
        <v>14119.27</v>
      </c>
      <c r="R4165">
        <v>2259.08</v>
      </c>
      <c r="S4165">
        <v>564.77</v>
      </c>
      <c r="T4165">
        <v>15813.58</v>
      </c>
      <c r="U4165" t="s">
        <v>2110</v>
      </c>
      <c r="V4165" t="s">
        <v>9408</v>
      </c>
      <c r="W4165" t="s">
        <v>423</v>
      </c>
    </row>
    <row r="4166" spans="1:23" hidden="1" x14ac:dyDescent="0.2">
      <c r="A4166">
        <v>2012</v>
      </c>
      <c r="B4166" t="s">
        <v>304</v>
      </c>
      <c r="C4166" s="733">
        <v>40941</v>
      </c>
      <c r="D41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66" t="s">
        <v>485</v>
      </c>
      <c r="F4166" t="s">
        <v>2065</v>
      </c>
      <c r="G4166" t="s">
        <v>3245</v>
      </c>
      <c r="H4166">
        <v>39790</v>
      </c>
      <c r="I4166" t="s">
        <v>423</v>
      </c>
      <c r="J4166" t="s">
        <v>2126</v>
      </c>
      <c r="K4166" t="s">
        <v>2102</v>
      </c>
      <c r="L4166" t="s">
        <v>2115</v>
      </c>
      <c r="M4166">
        <v>930</v>
      </c>
      <c r="N4166">
        <v>53.74</v>
      </c>
      <c r="O4166">
        <v>31549.68</v>
      </c>
      <c r="P4166">
        <v>0</v>
      </c>
      <c r="Q4166">
        <v>31549.68</v>
      </c>
      <c r="R4166">
        <v>5047.95</v>
      </c>
      <c r="S4166">
        <v>1261.99</v>
      </c>
      <c r="T4166">
        <v>35335.64</v>
      </c>
      <c r="V4166" t="s">
        <v>9409</v>
      </c>
      <c r="W4166" t="s">
        <v>423</v>
      </c>
    </row>
    <row r="4167" spans="1:23" hidden="1" x14ac:dyDescent="0.2">
      <c r="A4167">
        <v>2012</v>
      </c>
      <c r="B4167" t="s">
        <v>304</v>
      </c>
      <c r="C4167" s="733">
        <v>40947</v>
      </c>
      <c r="D41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67" t="s">
        <v>485</v>
      </c>
      <c r="F4167" t="s">
        <v>2136</v>
      </c>
      <c r="G4167" t="s">
        <v>5621</v>
      </c>
      <c r="H4167">
        <v>41440</v>
      </c>
      <c r="I4167" t="s">
        <v>423</v>
      </c>
      <c r="J4167" t="s">
        <v>2126</v>
      </c>
      <c r="K4167" t="s">
        <v>2102</v>
      </c>
      <c r="L4167" t="s">
        <v>2115</v>
      </c>
      <c r="M4167">
        <v>930</v>
      </c>
      <c r="N4167">
        <v>25.43</v>
      </c>
      <c r="O4167">
        <v>14929.44</v>
      </c>
      <c r="P4167">
        <v>0</v>
      </c>
      <c r="Q4167">
        <v>14929.44</v>
      </c>
      <c r="R4167">
        <v>2388.71</v>
      </c>
      <c r="S4167">
        <v>597.17999999999995</v>
      </c>
      <c r="T4167">
        <v>16720.97</v>
      </c>
      <c r="U4167" t="s">
        <v>7462</v>
      </c>
      <c r="V4167" t="s">
        <v>9408</v>
      </c>
      <c r="W4167" t="s">
        <v>423</v>
      </c>
    </row>
    <row r="4168" spans="1:23" hidden="1" x14ac:dyDescent="0.2">
      <c r="A4168">
        <v>2012</v>
      </c>
      <c r="B4168" t="s">
        <v>303</v>
      </c>
      <c r="C4168" s="733">
        <v>40939.607476851852</v>
      </c>
      <c r="D41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68" t="s">
        <v>478</v>
      </c>
      <c r="F4168" t="s">
        <v>2136</v>
      </c>
      <c r="G4168" t="s">
        <v>4719</v>
      </c>
      <c r="H4168">
        <v>35174</v>
      </c>
      <c r="I4168" t="s">
        <v>423</v>
      </c>
      <c r="J4168" t="s">
        <v>3480</v>
      </c>
      <c r="K4168" t="s">
        <v>3481</v>
      </c>
      <c r="L4168" t="s">
        <v>3482</v>
      </c>
      <c r="M4168">
        <v>75</v>
      </c>
      <c r="N4168">
        <v>26.72</v>
      </c>
      <c r="O4168">
        <v>3015.89</v>
      </c>
      <c r="P4168">
        <v>0</v>
      </c>
      <c r="Q4168">
        <v>3015.89</v>
      </c>
      <c r="R4168">
        <v>482.54</v>
      </c>
      <c r="S4168">
        <v>120.64</v>
      </c>
      <c r="T4168">
        <v>3377.79</v>
      </c>
      <c r="U4168" t="s">
        <v>3794</v>
      </c>
      <c r="V4168" t="s">
        <v>9408</v>
      </c>
      <c r="W4168" t="s">
        <v>423</v>
      </c>
    </row>
    <row r="4169" spans="1:23" hidden="1" x14ac:dyDescent="0.2">
      <c r="A4169">
        <v>2012</v>
      </c>
      <c r="B4169" t="s">
        <v>303</v>
      </c>
      <c r="C4169" s="733">
        <v>40939.614583333336</v>
      </c>
      <c r="D41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69" t="s">
        <v>478</v>
      </c>
      <c r="F4169" t="s">
        <v>2136</v>
      </c>
      <c r="G4169" t="s">
        <v>4720</v>
      </c>
      <c r="H4169">
        <v>35177</v>
      </c>
      <c r="I4169" t="s">
        <v>423</v>
      </c>
      <c r="J4169" t="s">
        <v>3480</v>
      </c>
      <c r="K4169" t="s">
        <v>3481</v>
      </c>
      <c r="L4169" t="s">
        <v>3482</v>
      </c>
      <c r="M4169">
        <v>75</v>
      </c>
      <c r="N4169">
        <v>30.17</v>
      </c>
      <c r="O4169">
        <v>3405.29</v>
      </c>
      <c r="P4169">
        <v>0</v>
      </c>
      <c r="Q4169">
        <v>3405.29</v>
      </c>
      <c r="R4169">
        <v>544.85</v>
      </c>
      <c r="S4169">
        <v>136.21</v>
      </c>
      <c r="T4169">
        <v>3813.93</v>
      </c>
      <c r="U4169" t="s">
        <v>3483</v>
      </c>
      <c r="V4169" t="s">
        <v>9408</v>
      </c>
      <c r="W4169" t="s">
        <v>423</v>
      </c>
    </row>
    <row r="4170" spans="1:23" hidden="1" x14ac:dyDescent="0.2">
      <c r="A4170">
        <v>2012</v>
      </c>
      <c r="B4170" t="s">
        <v>303</v>
      </c>
      <c r="C4170" s="733">
        <v>40927</v>
      </c>
      <c r="D41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70" t="s">
        <v>478</v>
      </c>
      <c r="F4170" t="s">
        <v>2136</v>
      </c>
      <c r="G4170" t="s">
        <v>5183</v>
      </c>
      <c r="H4170">
        <v>34545</v>
      </c>
      <c r="I4170" t="s">
        <v>423</v>
      </c>
      <c r="J4170" t="s">
        <v>3326</v>
      </c>
      <c r="K4170" t="s">
        <v>425</v>
      </c>
      <c r="L4170" t="s">
        <v>2145</v>
      </c>
      <c r="M4170">
        <v>1218</v>
      </c>
      <c r="N4170">
        <v>21.94</v>
      </c>
      <c r="O4170">
        <v>12012.81</v>
      </c>
      <c r="P4170">
        <v>0</v>
      </c>
      <c r="Q4170">
        <v>12012.81</v>
      </c>
      <c r="R4170">
        <v>1922.05</v>
      </c>
      <c r="S4170">
        <v>480.51</v>
      </c>
      <c r="T4170">
        <v>13454.35</v>
      </c>
      <c r="U4170" t="s">
        <v>2927</v>
      </c>
      <c r="V4170" t="s">
        <v>9408</v>
      </c>
      <c r="W4170" t="s">
        <v>423</v>
      </c>
    </row>
    <row r="4171" spans="1:23" hidden="1" x14ac:dyDescent="0.2">
      <c r="A4171">
        <v>2012</v>
      </c>
      <c r="B4171" t="s">
        <v>303</v>
      </c>
      <c r="C4171" s="733">
        <v>40932.712731481479</v>
      </c>
      <c r="D41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71" t="s">
        <v>485</v>
      </c>
      <c r="F4171" t="s">
        <v>2099</v>
      </c>
      <c r="G4171" t="s">
        <v>3237</v>
      </c>
      <c r="H4171">
        <v>39983</v>
      </c>
      <c r="I4171" t="s">
        <v>423</v>
      </c>
      <c r="J4171" t="s">
        <v>2101</v>
      </c>
      <c r="K4171" t="s">
        <v>2102</v>
      </c>
      <c r="L4171" t="s">
        <v>2103</v>
      </c>
      <c r="M4171">
        <v>119</v>
      </c>
      <c r="N4171">
        <v>24.9</v>
      </c>
      <c r="O4171">
        <v>4176.4799999999996</v>
      </c>
      <c r="P4171">
        <v>0</v>
      </c>
      <c r="Q4171">
        <v>4176.4799999999996</v>
      </c>
      <c r="R4171">
        <v>668.24</v>
      </c>
      <c r="S4171">
        <v>167.06</v>
      </c>
      <c r="T4171">
        <v>4677.66</v>
      </c>
      <c r="U4171" t="s">
        <v>2108</v>
      </c>
      <c r="V4171" t="s">
        <v>9409</v>
      </c>
      <c r="W4171" t="s">
        <v>423</v>
      </c>
    </row>
    <row r="4172" spans="1:23" hidden="1" x14ac:dyDescent="0.2">
      <c r="A4172">
        <v>2012</v>
      </c>
      <c r="B4172" t="s">
        <v>303</v>
      </c>
      <c r="C4172" s="733">
        <v>40928</v>
      </c>
      <c r="D41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72" t="s">
        <v>485</v>
      </c>
      <c r="F4172" t="s">
        <v>2099</v>
      </c>
      <c r="G4172" t="s">
        <v>3238</v>
      </c>
      <c r="H4172">
        <v>40639</v>
      </c>
      <c r="I4172" t="s">
        <v>423</v>
      </c>
      <c r="J4172" t="s">
        <v>2101</v>
      </c>
      <c r="K4172" t="s">
        <v>2102</v>
      </c>
      <c r="L4172" t="s">
        <v>2103</v>
      </c>
      <c r="M4172">
        <v>119</v>
      </c>
      <c r="N4172">
        <v>53.61</v>
      </c>
      <c r="O4172">
        <v>8992.01</v>
      </c>
      <c r="P4172">
        <v>0</v>
      </c>
      <c r="Q4172">
        <v>8992.01</v>
      </c>
      <c r="R4172">
        <v>1438.72</v>
      </c>
      <c r="S4172">
        <v>359.68</v>
      </c>
      <c r="T4172">
        <v>10071.049999999999</v>
      </c>
      <c r="U4172" t="s">
        <v>2106</v>
      </c>
      <c r="V4172" t="s">
        <v>9409</v>
      </c>
      <c r="W4172" t="s">
        <v>423</v>
      </c>
    </row>
    <row r="4173" spans="1:23" hidden="1" x14ac:dyDescent="0.2">
      <c r="A4173">
        <v>2012</v>
      </c>
      <c r="B4173" t="s">
        <v>304</v>
      </c>
      <c r="C4173" s="733">
        <v>40959.615856481483</v>
      </c>
      <c r="D41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73" t="s">
        <v>485</v>
      </c>
      <c r="F4173" t="s">
        <v>2054</v>
      </c>
      <c r="G4173" t="s">
        <v>8172</v>
      </c>
      <c r="H4173">
        <v>10497</v>
      </c>
      <c r="I4173" t="s">
        <v>423</v>
      </c>
      <c r="J4173" t="s">
        <v>2098</v>
      </c>
      <c r="K4173" t="s">
        <v>2057</v>
      </c>
      <c r="L4173" t="s">
        <v>2058</v>
      </c>
      <c r="M4173">
        <v>565</v>
      </c>
      <c r="N4173">
        <v>42.93</v>
      </c>
      <c r="O4173">
        <v>14511.2</v>
      </c>
      <c r="P4173">
        <v>0</v>
      </c>
      <c r="Q4173">
        <v>14511.2</v>
      </c>
      <c r="R4173">
        <v>1596.23</v>
      </c>
      <c r="S4173">
        <v>580.45000000000005</v>
      </c>
      <c r="T4173">
        <v>15526.98</v>
      </c>
      <c r="U4173" t="s">
        <v>8864</v>
      </c>
      <c r="V4173" t="s">
        <v>9409</v>
      </c>
      <c r="W4173" t="s">
        <v>423</v>
      </c>
    </row>
    <row r="4174" spans="1:23" hidden="1" x14ac:dyDescent="0.2">
      <c r="A4174">
        <v>2012</v>
      </c>
      <c r="B4174" t="s">
        <v>303</v>
      </c>
      <c r="C4174" s="733">
        <v>40932.478576388887</v>
      </c>
      <c r="D41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74" t="s">
        <v>485</v>
      </c>
      <c r="F4174" t="s">
        <v>2054</v>
      </c>
      <c r="G4174" t="s">
        <v>3922</v>
      </c>
      <c r="H4174">
        <v>10192</v>
      </c>
      <c r="I4174" t="s">
        <v>423</v>
      </c>
      <c r="J4174" t="s">
        <v>2098</v>
      </c>
      <c r="K4174" t="s">
        <v>2057</v>
      </c>
      <c r="L4174" t="s">
        <v>2058</v>
      </c>
      <c r="M4174">
        <v>565</v>
      </c>
      <c r="N4174">
        <v>47.47</v>
      </c>
      <c r="O4174">
        <v>16045.81</v>
      </c>
      <c r="P4174">
        <v>0</v>
      </c>
      <c r="Q4174">
        <v>16045.81</v>
      </c>
      <c r="R4174">
        <v>2567.33</v>
      </c>
      <c r="S4174">
        <v>641.83000000000004</v>
      </c>
      <c r="T4174">
        <v>17971.310000000001</v>
      </c>
      <c r="U4174" t="s">
        <v>2073</v>
      </c>
      <c r="V4174" t="s">
        <v>9409</v>
      </c>
      <c r="W4174" t="s">
        <v>423</v>
      </c>
    </row>
    <row r="4175" spans="1:23" hidden="1" x14ac:dyDescent="0.2">
      <c r="A4175">
        <v>2012</v>
      </c>
      <c r="B4175" t="s">
        <v>303</v>
      </c>
      <c r="C4175" s="733">
        <v>40931.53396990741</v>
      </c>
      <c r="D41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75" t="s">
        <v>485</v>
      </c>
      <c r="F4175" t="s">
        <v>2099</v>
      </c>
      <c r="G4175" t="s">
        <v>3602</v>
      </c>
      <c r="H4175">
        <v>40726</v>
      </c>
      <c r="I4175" t="s">
        <v>423</v>
      </c>
      <c r="J4175" t="s">
        <v>2101</v>
      </c>
      <c r="K4175" t="s">
        <v>2102</v>
      </c>
      <c r="L4175" t="s">
        <v>2103</v>
      </c>
      <c r="M4175">
        <v>119</v>
      </c>
      <c r="N4175">
        <v>52.44</v>
      </c>
      <c r="O4175">
        <v>8795.76</v>
      </c>
      <c r="P4175">
        <v>0</v>
      </c>
      <c r="Q4175">
        <v>8795.76</v>
      </c>
      <c r="R4175">
        <v>1407.32</v>
      </c>
      <c r="S4175">
        <v>351.83</v>
      </c>
      <c r="T4175">
        <v>9851.25</v>
      </c>
      <c r="U4175" t="s">
        <v>2108</v>
      </c>
      <c r="V4175" t="s">
        <v>9409</v>
      </c>
      <c r="W4175" t="s">
        <v>423</v>
      </c>
    </row>
    <row r="4176" spans="1:23" hidden="1" x14ac:dyDescent="0.2">
      <c r="A4176">
        <v>2012</v>
      </c>
      <c r="B4176" t="s">
        <v>304</v>
      </c>
      <c r="C4176" s="733">
        <v>40961</v>
      </c>
      <c r="D41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76" t="s">
        <v>485</v>
      </c>
      <c r="F4176" t="s">
        <v>2099</v>
      </c>
      <c r="G4176" t="s">
        <v>8348</v>
      </c>
      <c r="H4176">
        <v>42410</v>
      </c>
      <c r="I4176" t="s">
        <v>423</v>
      </c>
      <c r="J4176" t="s">
        <v>2101</v>
      </c>
      <c r="K4176" t="s">
        <v>2102</v>
      </c>
      <c r="L4176" t="s">
        <v>2103</v>
      </c>
      <c r="M4176">
        <v>119</v>
      </c>
      <c r="N4176">
        <v>53.44</v>
      </c>
      <c r="O4176">
        <v>8963.49</v>
      </c>
      <c r="P4176">
        <v>0</v>
      </c>
      <c r="Q4176">
        <v>8963.49</v>
      </c>
      <c r="R4176">
        <v>1434.16</v>
      </c>
      <c r="S4176">
        <v>358.54</v>
      </c>
      <c r="T4176">
        <v>10039.11</v>
      </c>
      <c r="U4176" t="s">
        <v>8883</v>
      </c>
      <c r="V4176" t="s">
        <v>9409</v>
      </c>
      <c r="W4176" t="s">
        <v>423</v>
      </c>
    </row>
    <row r="4177" spans="1:23" hidden="1" x14ac:dyDescent="0.2">
      <c r="A4177">
        <v>2012</v>
      </c>
      <c r="B4177" t="s">
        <v>303</v>
      </c>
      <c r="C4177" s="733">
        <v>40926</v>
      </c>
      <c r="D41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77" t="s">
        <v>485</v>
      </c>
      <c r="F4177" t="s">
        <v>2084</v>
      </c>
      <c r="G4177" t="s">
        <v>4705</v>
      </c>
      <c r="H4177">
        <v>40261</v>
      </c>
      <c r="I4177" t="s">
        <v>423</v>
      </c>
      <c r="J4177" t="s">
        <v>2836</v>
      </c>
      <c r="K4177" t="s">
        <v>2814</v>
      </c>
      <c r="L4177" t="s">
        <v>2815</v>
      </c>
      <c r="M4177">
        <v>70</v>
      </c>
      <c r="N4177">
        <v>23.812999999999999</v>
      </c>
      <c r="O4177">
        <v>2687.77</v>
      </c>
      <c r="P4177">
        <v>0</v>
      </c>
      <c r="Q4177">
        <v>2687.77</v>
      </c>
      <c r="R4177">
        <v>430.04</v>
      </c>
      <c r="S4177">
        <v>107.51</v>
      </c>
      <c r="T4177">
        <v>3010.3</v>
      </c>
      <c r="U4177" t="s">
        <v>2826</v>
      </c>
      <c r="V4177" t="s">
        <v>9408</v>
      </c>
      <c r="W4177" t="s">
        <v>423</v>
      </c>
    </row>
    <row r="4178" spans="1:23" hidden="1" x14ac:dyDescent="0.2">
      <c r="A4178">
        <v>2012</v>
      </c>
      <c r="B4178" t="s">
        <v>304</v>
      </c>
      <c r="C4178" s="733">
        <v>40940</v>
      </c>
      <c r="D41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78" t="s">
        <v>485</v>
      </c>
      <c r="F4178" t="s">
        <v>2084</v>
      </c>
      <c r="G4178" t="s">
        <v>4707</v>
      </c>
      <c r="H4178">
        <v>40974</v>
      </c>
      <c r="I4178" t="s">
        <v>423</v>
      </c>
      <c r="J4178" t="s">
        <v>2836</v>
      </c>
      <c r="K4178" t="s">
        <v>2814</v>
      </c>
      <c r="L4178" t="s">
        <v>2815</v>
      </c>
      <c r="M4178">
        <v>70</v>
      </c>
      <c r="N4178">
        <v>23.873000000000001</v>
      </c>
      <c r="O4178">
        <v>2694.55</v>
      </c>
      <c r="P4178">
        <v>0</v>
      </c>
      <c r="Q4178">
        <v>2694.55</v>
      </c>
      <c r="R4178">
        <v>431.13</v>
      </c>
      <c r="S4178">
        <v>107.78</v>
      </c>
      <c r="T4178">
        <v>3017.9</v>
      </c>
      <c r="U4178" t="s">
        <v>2826</v>
      </c>
      <c r="V4178" t="s">
        <v>9408</v>
      </c>
      <c r="W4178" t="s">
        <v>423</v>
      </c>
    </row>
    <row r="4179" spans="1:23" hidden="1" x14ac:dyDescent="0.2">
      <c r="A4179">
        <v>2012</v>
      </c>
      <c r="B4179" t="s">
        <v>303</v>
      </c>
      <c r="C4179" s="733">
        <v>40912</v>
      </c>
      <c r="D41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79" t="s">
        <v>485</v>
      </c>
      <c r="F4179" t="s">
        <v>2084</v>
      </c>
      <c r="G4179" t="s">
        <v>4706</v>
      </c>
      <c r="H4179">
        <v>39476</v>
      </c>
      <c r="I4179" t="s">
        <v>423</v>
      </c>
      <c r="J4179" t="s">
        <v>2836</v>
      </c>
      <c r="K4179" t="s">
        <v>2814</v>
      </c>
      <c r="L4179" t="s">
        <v>2815</v>
      </c>
      <c r="M4179">
        <v>70</v>
      </c>
      <c r="N4179">
        <v>23.463999999999999</v>
      </c>
      <c r="O4179">
        <v>1115.01</v>
      </c>
      <c r="P4179">
        <v>1255.3786090000001</v>
      </c>
      <c r="Q4179">
        <v>2370.3886090000001</v>
      </c>
      <c r="R4179">
        <v>379.26217700000001</v>
      </c>
      <c r="S4179">
        <v>94.815544000000003</v>
      </c>
      <c r="T4179">
        <v>2654.8352420000001</v>
      </c>
      <c r="U4179" t="s">
        <v>2846</v>
      </c>
      <c r="V4179" t="s">
        <v>9408</v>
      </c>
      <c r="W4179" t="s">
        <v>423</v>
      </c>
    </row>
    <row r="4180" spans="1:23" hidden="1" x14ac:dyDescent="0.2">
      <c r="A4180">
        <v>2012</v>
      </c>
      <c r="B4180" t="s">
        <v>304</v>
      </c>
      <c r="C4180" s="733">
        <v>40953.56013888889</v>
      </c>
      <c r="D41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80" t="s">
        <v>485</v>
      </c>
      <c r="F4180" t="s">
        <v>2054</v>
      </c>
      <c r="G4180" t="s">
        <v>4959</v>
      </c>
      <c r="H4180">
        <v>10422</v>
      </c>
      <c r="I4180" t="s">
        <v>423</v>
      </c>
      <c r="J4180" t="s">
        <v>4733</v>
      </c>
      <c r="K4180" t="s">
        <v>2057</v>
      </c>
      <c r="L4180" t="s">
        <v>2058</v>
      </c>
      <c r="M4180">
        <v>184</v>
      </c>
      <c r="N4180">
        <v>22.78</v>
      </c>
      <c r="O4180">
        <v>7700.1</v>
      </c>
      <c r="P4180">
        <v>0</v>
      </c>
      <c r="Q4180">
        <v>7700.1</v>
      </c>
      <c r="R4180">
        <v>847.01</v>
      </c>
      <c r="S4180">
        <v>308</v>
      </c>
      <c r="T4180">
        <v>8239.11</v>
      </c>
      <c r="U4180" t="s">
        <v>8047</v>
      </c>
      <c r="V4180" t="s">
        <v>9408</v>
      </c>
      <c r="W4180" t="s">
        <v>423</v>
      </c>
    </row>
    <row r="4181" spans="1:23" hidden="1" x14ac:dyDescent="0.2">
      <c r="A4181">
        <v>2012</v>
      </c>
      <c r="B4181" t="s">
        <v>304</v>
      </c>
      <c r="C4181" s="733">
        <v>40949.540127314816</v>
      </c>
      <c r="D41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81" t="s">
        <v>485</v>
      </c>
      <c r="F4181" t="s">
        <v>2054</v>
      </c>
      <c r="G4181" t="s">
        <v>3627</v>
      </c>
      <c r="H4181">
        <v>10376</v>
      </c>
      <c r="I4181" t="s">
        <v>423</v>
      </c>
      <c r="J4181" t="s">
        <v>2098</v>
      </c>
      <c r="K4181" t="s">
        <v>2057</v>
      </c>
      <c r="L4181" t="s">
        <v>2058</v>
      </c>
      <c r="M4181">
        <v>565</v>
      </c>
      <c r="N4181">
        <v>48.16</v>
      </c>
      <c r="O4181">
        <v>16279.04</v>
      </c>
      <c r="P4181">
        <v>0</v>
      </c>
      <c r="Q4181">
        <v>16279.04</v>
      </c>
      <c r="R4181">
        <v>1790.69</v>
      </c>
      <c r="S4181">
        <v>651.16</v>
      </c>
      <c r="T4181">
        <v>17418.57</v>
      </c>
      <c r="U4181" t="s">
        <v>2082</v>
      </c>
      <c r="V4181" t="s">
        <v>9409</v>
      </c>
      <c r="W4181" t="s">
        <v>423</v>
      </c>
    </row>
    <row r="4182" spans="1:23" hidden="1" x14ac:dyDescent="0.2">
      <c r="A4182">
        <v>2012</v>
      </c>
      <c r="B4182" t="s">
        <v>303</v>
      </c>
      <c r="C4182" s="733">
        <v>40938.734178240738</v>
      </c>
      <c r="D41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82" t="s">
        <v>485</v>
      </c>
      <c r="F4182" t="s">
        <v>2054</v>
      </c>
      <c r="G4182" t="s">
        <v>4951</v>
      </c>
      <c r="H4182">
        <v>10263</v>
      </c>
      <c r="I4182" t="s">
        <v>423</v>
      </c>
      <c r="J4182" t="s">
        <v>2098</v>
      </c>
      <c r="K4182" t="s">
        <v>2057</v>
      </c>
      <c r="L4182" t="s">
        <v>2058</v>
      </c>
      <c r="M4182">
        <v>565</v>
      </c>
      <c r="N4182">
        <v>46.85</v>
      </c>
      <c r="O4182">
        <v>15836.24</v>
      </c>
      <c r="P4182">
        <v>0</v>
      </c>
      <c r="Q4182">
        <v>15836.24</v>
      </c>
      <c r="R4182">
        <v>2533.8000000000002</v>
      </c>
      <c r="S4182">
        <v>633.45000000000005</v>
      </c>
      <c r="T4182">
        <v>17736.59</v>
      </c>
      <c r="U4182" t="s">
        <v>2075</v>
      </c>
      <c r="V4182" t="s">
        <v>9409</v>
      </c>
      <c r="W4182" t="s">
        <v>423</v>
      </c>
    </row>
    <row r="4183" spans="1:23" hidden="1" x14ac:dyDescent="0.2">
      <c r="A4183">
        <v>2012</v>
      </c>
      <c r="B4183" t="s">
        <v>303</v>
      </c>
      <c r="C4183" s="733">
        <v>40924.726956018516</v>
      </c>
      <c r="D41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83" t="s">
        <v>485</v>
      </c>
      <c r="F4183" t="s">
        <v>2054</v>
      </c>
      <c r="G4183" t="s">
        <v>4952</v>
      </c>
      <c r="H4183">
        <v>10093</v>
      </c>
      <c r="I4183" t="s">
        <v>423</v>
      </c>
      <c r="J4183" t="s">
        <v>2098</v>
      </c>
      <c r="K4183" t="s">
        <v>2057</v>
      </c>
      <c r="L4183" t="s">
        <v>2058</v>
      </c>
      <c r="M4183">
        <v>565</v>
      </c>
      <c r="N4183">
        <v>22.94</v>
      </c>
      <c r="O4183">
        <v>7754.18</v>
      </c>
      <c r="P4183">
        <v>0</v>
      </c>
      <c r="Q4183">
        <v>7754.18</v>
      </c>
      <c r="R4183">
        <v>1240.67</v>
      </c>
      <c r="S4183">
        <v>310.17</v>
      </c>
      <c r="T4183">
        <v>8684.68</v>
      </c>
      <c r="U4183" t="s">
        <v>2059</v>
      </c>
      <c r="V4183" t="s">
        <v>9408</v>
      </c>
      <c r="W4183" t="s">
        <v>423</v>
      </c>
    </row>
    <row r="4184" spans="1:23" hidden="1" x14ac:dyDescent="0.2">
      <c r="A4184">
        <v>2012</v>
      </c>
      <c r="B4184" t="s">
        <v>303</v>
      </c>
      <c r="C4184" s="733">
        <v>40927.655312499999</v>
      </c>
      <c r="D41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84" t="s">
        <v>485</v>
      </c>
      <c r="F4184" t="s">
        <v>2054</v>
      </c>
      <c r="G4184" t="s">
        <v>4953</v>
      </c>
      <c r="H4184">
        <v>10133</v>
      </c>
      <c r="I4184" t="s">
        <v>423</v>
      </c>
      <c r="J4184" t="s">
        <v>2098</v>
      </c>
      <c r="K4184" t="s">
        <v>2057</v>
      </c>
      <c r="L4184" t="s">
        <v>2058</v>
      </c>
      <c r="M4184">
        <v>565</v>
      </c>
      <c r="N4184">
        <v>46.62</v>
      </c>
      <c r="O4184">
        <v>15758.49</v>
      </c>
      <c r="P4184">
        <v>0</v>
      </c>
      <c r="Q4184">
        <v>15758.49</v>
      </c>
      <c r="R4184">
        <v>2521.36</v>
      </c>
      <c r="S4184">
        <v>630.34</v>
      </c>
      <c r="T4184">
        <v>17649.509999999998</v>
      </c>
      <c r="U4184" t="s">
        <v>2077</v>
      </c>
      <c r="V4184" t="s">
        <v>9409</v>
      </c>
      <c r="W4184" t="s">
        <v>423</v>
      </c>
    </row>
    <row r="4185" spans="1:23" hidden="1" x14ac:dyDescent="0.2">
      <c r="A4185">
        <v>2012</v>
      </c>
      <c r="B4185" t="s">
        <v>304</v>
      </c>
      <c r="C4185" s="733">
        <v>40964</v>
      </c>
      <c r="D41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85" t="s">
        <v>485</v>
      </c>
      <c r="F4185" t="s">
        <v>2054</v>
      </c>
      <c r="G4185" t="s">
        <v>8736</v>
      </c>
      <c r="H4185">
        <v>10548</v>
      </c>
      <c r="I4185" t="s">
        <v>423</v>
      </c>
      <c r="J4185" t="s">
        <v>4733</v>
      </c>
      <c r="K4185" t="s">
        <v>2057</v>
      </c>
      <c r="L4185" t="s">
        <v>2058</v>
      </c>
      <c r="M4185">
        <v>184</v>
      </c>
      <c r="N4185">
        <v>23.7</v>
      </c>
      <c r="O4185">
        <v>8011.07</v>
      </c>
      <c r="P4185">
        <v>0</v>
      </c>
      <c r="Q4185">
        <v>8011.07</v>
      </c>
      <c r="R4185">
        <v>881.22</v>
      </c>
      <c r="S4185">
        <v>320.44</v>
      </c>
      <c r="T4185">
        <v>8571.85</v>
      </c>
      <c r="U4185" t="s">
        <v>8864</v>
      </c>
      <c r="V4185" t="s">
        <v>9408</v>
      </c>
      <c r="W4185" t="s">
        <v>423</v>
      </c>
    </row>
    <row r="4186" spans="1:23" hidden="1" x14ac:dyDescent="0.2">
      <c r="A4186">
        <v>2012</v>
      </c>
      <c r="B4186" t="s">
        <v>303</v>
      </c>
      <c r="C4186" s="733">
        <v>40936.623032407406</v>
      </c>
      <c r="D41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86" t="s">
        <v>485</v>
      </c>
      <c r="F4186" t="s">
        <v>2054</v>
      </c>
      <c r="G4186" t="s">
        <v>4965</v>
      </c>
      <c r="H4186">
        <v>10240</v>
      </c>
      <c r="I4186" t="s">
        <v>423</v>
      </c>
      <c r="J4186" t="s">
        <v>4560</v>
      </c>
      <c r="K4186" t="s">
        <v>2057</v>
      </c>
      <c r="L4186" t="s">
        <v>2058</v>
      </c>
      <c r="M4186">
        <v>403</v>
      </c>
      <c r="N4186">
        <v>45.05</v>
      </c>
      <c r="O4186">
        <v>12311.26</v>
      </c>
      <c r="P4186">
        <v>0</v>
      </c>
      <c r="Q4186">
        <v>12311.26</v>
      </c>
      <c r="R4186">
        <v>1969.8</v>
      </c>
      <c r="S4186">
        <v>492.45</v>
      </c>
      <c r="T4186">
        <v>13788.61</v>
      </c>
      <c r="U4186" t="s">
        <v>2075</v>
      </c>
      <c r="V4186" t="s">
        <v>9409</v>
      </c>
      <c r="W4186" t="s">
        <v>423</v>
      </c>
    </row>
    <row r="4187" spans="1:23" hidden="1" x14ac:dyDescent="0.2">
      <c r="A4187">
        <v>2012</v>
      </c>
      <c r="B4187" t="s">
        <v>303</v>
      </c>
      <c r="C4187" s="733">
        <v>40924.510266203702</v>
      </c>
      <c r="D41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87" t="s">
        <v>485</v>
      </c>
      <c r="F4187" t="s">
        <v>2054</v>
      </c>
      <c r="G4187" t="s">
        <v>4966</v>
      </c>
      <c r="H4187">
        <v>10073</v>
      </c>
      <c r="I4187" t="s">
        <v>423</v>
      </c>
      <c r="J4187" t="s">
        <v>4560</v>
      </c>
      <c r="K4187" t="s">
        <v>2057</v>
      </c>
      <c r="L4187" t="s">
        <v>2058</v>
      </c>
      <c r="M4187">
        <v>403</v>
      </c>
      <c r="N4187">
        <v>30.09</v>
      </c>
      <c r="O4187">
        <v>8223</v>
      </c>
      <c r="P4187">
        <v>0</v>
      </c>
      <c r="Q4187">
        <v>8223</v>
      </c>
      <c r="R4187">
        <v>1315.68</v>
      </c>
      <c r="S4187">
        <v>328.92</v>
      </c>
      <c r="T4187">
        <v>9209.76</v>
      </c>
      <c r="U4187" t="s">
        <v>2059</v>
      </c>
      <c r="V4187" t="s">
        <v>9408</v>
      </c>
      <c r="W4187" t="s">
        <v>423</v>
      </c>
    </row>
    <row r="4188" spans="1:23" hidden="1" x14ac:dyDescent="0.2">
      <c r="A4188">
        <v>2012</v>
      </c>
      <c r="B4188" t="s">
        <v>304</v>
      </c>
      <c r="C4188" s="733">
        <v>40957</v>
      </c>
      <c r="D41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88" t="s">
        <v>505</v>
      </c>
      <c r="F4188" t="s">
        <v>1915</v>
      </c>
      <c r="G4188" t="s">
        <v>7834</v>
      </c>
      <c r="H4188">
        <v>22807</v>
      </c>
      <c r="I4188" t="s">
        <v>1979</v>
      </c>
      <c r="J4188" t="s">
        <v>1980</v>
      </c>
      <c r="K4188" t="s">
        <v>1918</v>
      </c>
      <c r="L4188" t="s">
        <v>1919</v>
      </c>
      <c r="M4188">
        <v>732</v>
      </c>
      <c r="N4188">
        <v>49.34</v>
      </c>
      <c r="O4188">
        <v>23327.95</v>
      </c>
      <c r="P4188">
        <v>0</v>
      </c>
      <c r="Q4188">
        <v>23327.95</v>
      </c>
      <c r="R4188">
        <v>3732.47</v>
      </c>
      <c r="S4188">
        <v>933.12</v>
      </c>
      <c r="T4188">
        <v>26127.3</v>
      </c>
      <c r="U4188" t="s">
        <v>8491</v>
      </c>
      <c r="V4188" t="s">
        <v>9409</v>
      </c>
      <c r="W4188" t="s">
        <v>1979</v>
      </c>
    </row>
    <row r="4189" spans="1:23" hidden="1" x14ac:dyDescent="0.2">
      <c r="A4189">
        <v>2012</v>
      </c>
      <c r="B4189" t="s">
        <v>304</v>
      </c>
      <c r="C4189" s="733">
        <v>40960.473009259258</v>
      </c>
      <c r="D41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89" t="s">
        <v>478</v>
      </c>
      <c r="F4189" t="s">
        <v>2136</v>
      </c>
      <c r="G4189" t="s">
        <v>8395</v>
      </c>
      <c r="H4189">
        <v>35907</v>
      </c>
      <c r="I4189" t="s">
        <v>423</v>
      </c>
      <c r="J4189" t="s">
        <v>4791</v>
      </c>
      <c r="K4189" t="s">
        <v>425</v>
      </c>
      <c r="L4189" t="s">
        <v>2145</v>
      </c>
      <c r="M4189">
        <v>139</v>
      </c>
      <c r="N4189">
        <v>31.67</v>
      </c>
      <c r="O4189">
        <v>5289.52</v>
      </c>
      <c r="P4189">
        <v>0</v>
      </c>
      <c r="Q4189">
        <v>5289.52</v>
      </c>
      <c r="R4189">
        <v>846.32</v>
      </c>
      <c r="S4189">
        <v>211.58</v>
      </c>
      <c r="T4189">
        <v>5924.26</v>
      </c>
      <c r="U4189" t="s">
        <v>8252</v>
      </c>
      <c r="V4189" t="s">
        <v>9408</v>
      </c>
      <c r="W4189" t="s">
        <v>423</v>
      </c>
    </row>
    <row r="4190" spans="1:23" hidden="1" x14ac:dyDescent="0.2">
      <c r="A4190">
        <v>2012</v>
      </c>
      <c r="B4190" t="s">
        <v>304</v>
      </c>
      <c r="C4190" s="733">
        <v>40948.930486111109</v>
      </c>
      <c r="D41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90" t="s">
        <v>478</v>
      </c>
      <c r="F4190" t="s">
        <v>2622</v>
      </c>
      <c r="G4190" t="s">
        <v>4347</v>
      </c>
      <c r="H4190">
        <v>35491</v>
      </c>
      <c r="I4190" t="s">
        <v>423</v>
      </c>
      <c r="J4190" t="s">
        <v>2644</v>
      </c>
      <c r="K4190" t="s">
        <v>2625</v>
      </c>
      <c r="L4190" t="s">
        <v>2626</v>
      </c>
      <c r="M4190">
        <v>52</v>
      </c>
      <c r="N4190">
        <v>26.72</v>
      </c>
      <c r="O4190">
        <v>3145.75</v>
      </c>
      <c r="P4190">
        <v>0</v>
      </c>
      <c r="Q4190">
        <v>3145.75</v>
      </c>
      <c r="R4190">
        <v>503.32</v>
      </c>
      <c r="S4190">
        <v>125.83</v>
      </c>
      <c r="T4190">
        <v>3523.24</v>
      </c>
      <c r="U4190" t="s">
        <v>2652</v>
      </c>
      <c r="V4190" t="s">
        <v>9408</v>
      </c>
      <c r="W4190" t="s">
        <v>423</v>
      </c>
    </row>
    <row r="4191" spans="1:23" hidden="1" x14ac:dyDescent="0.2">
      <c r="A4191">
        <v>2012</v>
      </c>
      <c r="B4191" t="s">
        <v>303</v>
      </c>
      <c r="C4191" s="733">
        <v>40910</v>
      </c>
      <c r="D41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91" t="s">
        <v>478</v>
      </c>
      <c r="F4191" t="s">
        <v>2622</v>
      </c>
      <c r="G4191" t="s">
        <v>2889</v>
      </c>
      <c r="H4191">
        <v>34169</v>
      </c>
      <c r="I4191" t="s">
        <v>423</v>
      </c>
      <c r="J4191" t="s">
        <v>2644</v>
      </c>
      <c r="K4191" t="s">
        <v>2625</v>
      </c>
      <c r="L4191" t="s">
        <v>2626</v>
      </c>
      <c r="M4191">
        <v>52</v>
      </c>
      <c r="N4191">
        <v>25.59</v>
      </c>
      <c r="O4191">
        <v>1492.41</v>
      </c>
      <c r="P4191">
        <v>1203.9420709999999</v>
      </c>
      <c r="Q4191">
        <v>2696.3520709999998</v>
      </c>
      <c r="R4191">
        <v>431.41633100000001</v>
      </c>
      <c r="S4191">
        <v>107.854083</v>
      </c>
      <c r="T4191">
        <v>3019.914319</v>
      </c>
      <c r="U4191" t="s">
        <v>2665</v>
      </c>
      <c r="V4191" t="s">
        <v>9408</v>
      </c>
      <c r="W4191" t="s">
        <v>423</v>
      </c>
    </row>
    <row r="4192" spans="1:23" hidden="1" x14ac:dyDescent="0.2">
      <c r="A4192">
        <v>2012</v>
      </c>
      <c r="B4192" t="s">
        <v>303</v>
      </c>
      <c r="C4192" s="733">
        <v>40939.533379629633</v>
      </c>
      <c r="D41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92" t="s">
        <v>478</v>
      </c>
      <c r="F4192" t="s">
        <v>2622</v>
      </c>
      <c r="G4192" t="s">
        <v>2888</v>
      </c>
      <c r="H4192">
        <v>35143</v>
      </c>
      <c r="I4192" t="s">
        <v>423</v>
      </c>
      <c r="J4192" t="s">
        <v>2644</v>
      </c>
      <c r="K4192" t="s">
        <v>2625</v>
      </c>
      <c r="L4192" t="s">
        <v>2626</v>
      </c>
      <c r="M4192">
        <v>52</v>
      </c>
      <c r="N4192">
        <v>25.49</v>
      </c>
      <c r="O4192">
        <v>3000.94</v>
      </c>
      <c r="P4192">
        <v>0</v>
      </c>
      <c r="Q4192">
        <v>3000.94</v>
      </c>
      <c r="R4192">
        <v>480.15</v>
      </c>
      <c r="S4192">
        <v>120.04</v>
      </c>
      <c r="T4192">
        <v>3361.05</v>
      </c>
      <c r="U4192" t="s">
        <v>2648</v>
      </c>
      <c r="V4192" t="s">
        <v>9408</v>
      </c>
      <c r="W4192" t="s">
        <v>423</v>
      </c>
    </row>
    <row r="4193" spans="1:23" hidden="1" x14ac:dyDescent="0.2">
      <c r="A4193">
        <v>2012</v>
      </c>
      <c r="B4193" t="s">
        <v>304</v>
      </c>
      <c r="C4193" s="733">
        <v>40966.939247685186</v>
      </c>
      <c r="D41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93" t="s">
        <v>478</v>
      </c>
      <c r="F4193" t="s">
        <v>2622</v>
      </c>
      <c r="G4193" t="s">
        <v>9342</v>
      </c>
      <c r="H4193">
        <v>36076</v>
      </c>
      <c r="I4193" t="s">
        <v>423</v>
      </c>
      <c r="J4193" t="s">
        <v>2644</v>
      </c>
      <c r="K4193" t="s">
        <v>2625</v>
      </c>
      <c r="L4193" t="s">
        <v>2626</v>
      </c>
      <c r="M4193">
        <v>52</v>
      </c>
      <c r="N4193">
        <v>17.88</v>
      </c>
      <c r="O4193">
        <v>2105.0100000000002</v>
      </c>
      <c r="P4193">
        <v>0</v>
      </c>
      <c r="Q4193">
        <v>2105.0100000000002</v>
      </c>
      <c r="R4193">
        <v>336.8</v>
      </c>
      <c r="S4193">
        <v>84.2</v>
      </c>
      <c r="T4193">
        <v>2357.61</v>
      </c>
      <c r="V4193" t="s">
        <v>9408</v>
      </c>
      <c r="W4193" t="s">
        <v>423</v>
      </c>
    </row>
    <row r="4194" spans="1:23" hidden="1" x14ac:dyDescent="0.2">
      <c r="A4194">
        <v>2012</v>
      </c>
      <c r="B4194" t="s">
        <v>303</v>
      </c>
      <c r="C4194" s="733">
        <v>40934.441828703704</v>
      </c>
      <c r="D41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94" t="s">
        <v>478</v>
      </c>
      <c r="F4194" t="s">
        <v>2136</v>
      </c>
      <c r="G4194" t="s">
        <v>4346</v>
      </c>
      <c r="H4194">
        <v>34970</v>
      </c>
      <c r="I4194" t="s">
        <v>423</v>
      </c>
      <c r="J4194" t="s">
        <v>2644</v>
      </c>
      <c r="K4194" t="s">
        <v>2625</v>
      </c>
      <c r="L4194" t="s">
        <v>2145</v>
      </c>
      <c r="M4194">
        <v>52</v>
      </c>
      <c r="N4194">
        <v>22.8</v>
      </c>
      <c r="O4194">
        <v>2684.24</v>
      </c>
      <c r="P4194">
        <v>0</v>
      </c>
      <c r="Q4194">
        <v>2684.24</v>
      </c>
      <c r="R4194">
        <v>429.48</v>
      </c>
      <c r="S4194">
        <v>107.37</v>
      </c>
      <c r="T4194">
        <v>3006.35</v>
      </c>
      <c r="U4194" t="s">
        <v>2633</v>
      </c>
      <c r="V4194" t="s">
        <v>9408</v>
      </c>
      <c r="W4194" t="s">
        <v>423</v>
      </c>
    </row>
    <row r="4195" spans="1:23" hidden="1" x14ac:dyDescent="0.2">
      <c r="A4195">
        <v>2012</v>
      </c>
      <c r="B4195" t="s">
        <v>303</v>
      </c>
      <c r="C4195" s="733">
        <v>40934</v>
      </c>
      <c r="D41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95" t="s">
        <v>478</v>
      </c>
      <c r="F4195" t="s">
        <v>2136</v>
      </c>
      <c r="G4195" t="s">
        <v>5044</v>
      </c>
      <c r="H4195">
        <v>34796</v>
      </c>
      <c r="I4195" t="s">
        <v>423</v>
      </c>
      <c r="J4195" t="s">
        <v>3638</v>
      </c>
      <c r="K4195" t="s">
        <v>425</v>
      </c>
      <c r="L4195" t="s">
        <v>2145</v>
      </c>
      <c r="M4195">
        <v>1416</v>
      </c>
      <c r="N4195">
        <v>44.14</v>
      </c>
      <c r="O4195">
        <v>40025.71</v>
      </c>
      <c r="P4195">
        <v>0</v>
      </c>
      <c r="Q4195">
        <v>40025.71</v>
      </c>
      <c r="R4195">
        <v>6404.11</v>
      </c>
      <c r="S4195">
        <v>1601.03</v>
      </c>
      <c r="T4195">
        <v>44828.79</v>
      </c>
      <c r="U4195" t="s">
        <v>3234</v>
      </c>
      <c r="V4195" t="s">
        <v>9409</v>
      </c>
      <c r="W4195" t="s">
        <v>423</v>
      </c>
    </row>
    <row r="4196" spans="1:23" hidden="1" x14ac:dyDescent="0.2">
      <c r="A4196">
        <v>2012</v>
      </c>
      <c r="B4196" t="s">
        <v>303</v>
      </c>
      <c r="C4196" s="733">
        <v>40924</v>
      </c>
      <c r="D41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96" t="s">
        <v>485</v>
      </c>
      <c r="F4196" t="s">
        <v>2048</v>
      </c>
      <c r="G4196" t="s">
        <v>4007</v>
      </c>
      <c r="H4196">
        <v>40391</v>
      </c>
      <c r="I4196" t="s">
        <v>423</v>
      </c>
      <c r="J4196" t="s">
        <v>2274</v>
      </c>
      <c r="K4196" t="s">
        <v>2051</v>
      </c>
      <c r="L4196" t="s">
        <v>2052</v>
      </c>
      <c r="M4196">
        <v>573</v>
      </c>
      <c r="N4196">
        <v>26.75</v>
      </c>
      <c r="O4196">
        <v>8680.3799999999992</v>
      </c>
      <c r="P4196">
        <v>0</v>
      </c>
      <c r="Q4196">
        <v>8680.3799999999992</v>
      </c>
      <c r="R4196">
        <v>1388.86</v>
      </c>
      <c r="S4196">
        <v>347.22</v>
      </c>
      <c r="T4196">
        <v>9722.02</v>
      </c>
      <c r="U4196" t="s">
        <v>2062</v>
      </c>
      <c r="V4196" t="s">
        <v>9408</v>
      </c>
      <c r="W4196" t="s">
        <v>423</v>
      </c>
    </row>
    <row r="4197" spans="1:23" hidden="1" x14ac:dyDescent="0.2">
      <c r="A4197">
        <v>2012</v>
      </c>
      <c r="B4197" t="s">
        <v>303</v>
      </c>
      <c r="C4197" s="733">
        <v>40919</v>
      </c>
      <c r="D41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97" t="s">
        <v>485</v>
      </c>
      <c r="F4197" t="s">
        <v>2048</v>
      </c>
      <c r="G4197" t="s">
        <v>4742</v>
      </c>
      <c r="H4197">
        <v>40144</v>
      </c>
      <c r="I4197" t="s">
        <v>423</v>
      </c>
      <c r="J4197" t="s">
        <v>2274</v>
      </c>
      <c r="K4197" t="s">
        <v>2051</v>
      </c>
      <c r="L4197" t="s">
        <v>2052</v>
      </c>
      <c r="M4197">
        <v>573</v>
      </c>
      <c r="N4197">
        <v>25.4</v>
      </c>
      <c r="O4197">
        <v>8242.2999999999993</v>
      </c>
      <c r="P4197">
        <v>0</v>
      </c>
      <c r="Q4197">
        <v>8242.2999999999993</v>
      </c>
      <c r="R4197">
        <v>1318.77</v>
      </c>
      <c r="S4197">
        <v>329.69</v>
      </c>
      <c r="T4197">
        <v>9231.3799999999992</v>
      </c>
      <c r="U4197" t="s">
        <v>2062</v>
      </c>
      <c r="V4197" t="s">
        <v>9408</v>
      </c>
      <c r="W4197" t="s">
        <v>423</v>
      </c>
    </row>
    <row r="4198" spans="1:23" hidden="1" x14ac:dyDescent="0.2">
      <c r="A4198">
        <v>2012</v>
      </c>
      <c r="B4198" t="s">
        <v>304</v>
      </c>
      <c r="C4198" s="733">
        <v>40960</v>
      </c>
      <c r="D41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198" t="s">
        <v>485</v>
      </c>
      <c r="F4198" t="s">
        <v>2065</v>
      </c>
      <c r="G4198" t="s">
        <v>8069</v>
      </c>
      <c r="H4198">
        <v>42306</v>
      </c>
      <c r="I4198" t="s">
        <v>423</v>
      </c>
      <c r="J4198" t="s">
        <v>2274</v>
      </c>
      <c r="K4198" t="s">
        <v>2051</v>
      </c>
      <c r="L4198" t="s">
        <v>2052</v>
      </c>
      <c r="M4198">
        <v>573</v>
      </c>
      <c r="N4198">
        <v>55.65</v>
      </c>
      <c r="O4198">
        <v>18058.419999999998</v>
      </c>
      <c r="P4198">
        <v>0</v>
      </c>
      <c r="Q4198">
        <v>18058.419999999998</v>
      </c>
      <c r="R4198">
        <v>2889.35</v>
      </c>
      <c r="S4198">
        <v>722.34</v>
      </c>
      <c r="T4198">
        <v>20225.43</v>
      </c>
      <c r="U4198" t="s">
        <v>8780</v>
      </c>
      <c r="V4198" t="s">
        <v>9409</v>
      </c>
      <c r="W4198" t="s">
        <v>423</v>
      </c>
    </row>
    <row r="4199" spans="1:23" hidden="1" x14ac:dyDescent="0.2">
      <c r="A4199">
        <v>2012</v>
      </c>
      <c r="B4199" t="s">
        <v>303</v>
      </c>
      <c r="C4199" s="733">
        <v>40911</v>
      </c>
      <c r="D41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199" t="s">
        <v>485</v>
      </c>
      <c r="F4199" t="s">
        <v>2048</v>
      </c>
      <c r="G4199" t="s">
        <v>4743</v>
      </c>
      <c r="H4199">
        <v>39725</v>
      </c>
      <c r="I4199" t="s">
        <v>423</v>
      </c>
      <c r="J4199" t="s">
        <v>2274</v>
      </c>
      <c r="K4199" t="s">
        <v>2051</v>
      </c>
      <c r="L4199" t="s">
        <v>2052</v>
      </c>
      <c r="M4199">
        <v>573</v>
      </c>
      <c r="N4199">
        <v>56.8</v>
      </c>
      <c r="O4199">
        <v>7760.02</v>
      </c>
      <c r="P4199">
        <v>8736.9289179999996</v>
      </c>
      <c r="Q4199">
        <v>16496.948917999998</v>
      </c>
      <c r="R4199">
        <v>2639.5118269999998</v>
      </c>
      <c r="S4199">
        <v>659.87795700000004</v>
      </c>
      <c r="T4199">
        <v>18476.582788</v>
      </c>
      <c r="U4199" t="s">
        <v>2089</v>
      </c>
      <c r="V4199" t="s">
        <v>9409</v>
      </c>
      <c r="W4199" t="s">
        <v>423</v>
      </c>
    </row>
    <row r="4200" spans="1:23" hidden="1" x14ac:dyDescent="0.2">
      <c r="A4200">
        <v>2012</v>
      </c>
      <c r="B4200" t="s">
        <v>304</v>
      </c>
      <c r="C4200" s="733">
        <v>40961</v>
      </c>
      <c r="D42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00" t="s">
        <v>478</v>
      </c>
      <c r="F4200" t="s">
        <v>2136</v>
      </c>
      <c r="G4200" t="s">
        <v>8407</v>
      </c>
      <c r="H4200">
        <v>35670</v>
      </c>
      <c r="I4200" t="s">
        <v>423</v>
      </c>
      <c r="J4200" t="s">
        <v>4291</v>
      </c>
      <c r="K4200" t="s">
        <v>425</v>
      </c>
      <c r="L4200" t="s">
        <v>2145</v>
      </c>
      <c r="M4200">
        <v>163</v>
      </c>
      <c r="N4200">
        <v>25.61</v>
      </c>
      <c r="O4200">
        <v>4551.1499999999996</v>
      </c>
      <c r="P4200">
        <v>0</v>
      </c>
      <c r="Q4200">
        <v>4551.1499999999996</v>
      </c>
      <c r="R4200">
        <v>728.18</v>
      </c>
      <c r="S4200">
        <v>182.05</v>
      </c>
      <c r="T4200">
        <v>5097.28</v>
      </c>
      <c r="U4200" t="s">
        <v>9457</v>
      </c>
      <c r="V4200" t="s">
        <v>9408</v>
      </c>
      <c r="W4200" t="s">
        <v>423</v>
      </c>
    </row>
    <row r="4201" spans="1:23" hidden="1" x14ac:dyDescent="0.2">
      <c r="A4201">
        <v>2012</v>
      </c>
      <c r="B4201" t="s">
        <v>304</v>
      </c>
      <c r="C4201" s="733">
        <v>40952</v>
      </c>
      <c r="D42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01" t="s">
        <v>478</v>
      </c>
      <c r="F4201" t="s">
        <v>2136</v>
      </c>
      <c r="G4201" t="s">
        <v>5262</v>
      </c>
      <c r="H4201">
        <v>35421</v>
      </c>
      <c r="I4201" t="s">
        <v>423</v>
      </c>
      <c r="J4201" t="s">
        <v>3638</v>
      </c>
      <c r="K4201" t="s">
        <v>425</v>
      </c>
      <c r="L4201" t="s">
        <v>2145</v>
      </c>
      <c r="M4201">
        <v>1416</v>
      </c>
      <c r="N4201">
        <v>48.08</v>
      </c>
      <c r="O4201">
        <v>43598.46</v>
      </c>
      <c r="P4201">
        <v>0</v>
      </c>
      <c r="Q4201">
        <v>43598.46</v>
      </c>
      <c r="R4201">
        <v>6975.75</v>
      </c>
      <c r="S4201">
        <v>1743.94</v>
      </c>
      <c r="T4201">
        <v>48830.27</v>
      </c>
      <c r="U4201" t="s">
        <v>7523</v>
      </c>
      <c r="V4201" t="s">
        <v>9409</v>
      </c>
      <c r="W4201" t="s">
        <v>423</v>
      </c>
    </row>
    <row r="4202" spans="1:23" hidden="1" x14ac:dyDescent="0.2">
      <c r="A4202">
        <v>2012</v>
      </c>
      <c r="B4202" t="s">
        <v>304</v>
      </c>
      <c r="C4202" s="733">
        <v>40948</v>
      </c>
      <c r="D42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02" t="s">
        <v>478</v>
      </c>
      <c r="F4202" t="s">
        <v>2136</v>
      </c>
      <c r="G4202" t="s">
        <v>5473</v>
      </c>
      <c r="H4202">
        <v>35263</v>
      </c>
      <c r="I4202" t="s">
        <v>423</v>
      </c>
      <c r="J4202" t="s">
        <v>3638</v>
      </c>
      <c r="K4202" t="s">
        <v>425</v>
      </c>
      <c r="L4202" t="s">
        <v>2145</v>
      </c>
      <c r="M4202">
        <v>1416</v>
      </c>
      <c r="N4202">
        <v>52.99</v>
      </c>
      <c r="O4202">
        <v>48050.8</v>
      </c>
      <c r="P4202">
        <v>0</v>
      </c>
      <c r="Q4202">
        <v>48050.8</v>
      </c>
      <c r="R4202">
        <v>7688.13</v>
      </c>
      <c r="S4202">
        <v>1922.03</v>
      </c>
      <c r="T4202">
        <v>53816.9</v>
      </c>
      <c r="U4202" t="s">
        <v>3115</v>
      </c>
      <c r="V4202" t="s">
        <v>9409</v>
      </c>
      <c r="W4202" t="s">
        <v>423</v>
      </c>
    </row>
    <row r="4203" spans="1:23" hidden="1" x14ac:dyDescent="0.2">
      <c r="A4203">
        <v>2012</v>
      </c>
      <c r="B4203" t="s">
        <v>304</v>
      </c>
      <c r="C4203" s="733">
        <v>40948</v>
      </c>
      <c r="D42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03" t="s">
        <v>505</v>
      </c>
      <c r="F4203" t="s">
        <v>1915</v>
      </c>
      <c r="G4203" t="s">
        <v>5254</v>
      </c>
      <c r="H4203">
        <v>22519</v>
      </c>
      <c r="I4203" t="s">
        <v>423</v>
      </c>
      <c r="J4203" t="s">
        <v>4140</v>
      </c>
      <c r="K4203" t="s">
        <v>1918</v>
      </c>
      <c r="L4203" t="s">
        <v>1919</v>
      </c>
      <c r="M4203">
        <v>1</v>
      </c>
      <c r="N4203">
        <v>25.02</v>
      </c>
      <c r="O4203">
        <v>2416.4299999999998</v>
      </c>
      <c r="P4203">
        <v>0</v>
      </c>
      <c r="Q4203">
        <v>2416.4299999999998</v>
      </c>
      <c r="R4203">
        <v>386.63</v>
      </c>
      <c r="S4203">
        <v>96.66</v>
      </c>
      <c r="T4203">
        <v>2706.4</v>
      </c>
      <c r="U4203" t="s">
        <v>1924</v>
      </c>
      <c r="V4203" t="s">
        <v>9408</v>
      </c>
      <c r="W4203" t="s">
        <v>423</v>
      </c>
    </row>
    <row r="4204" spans="1:23" hidden="1" x14ac:dyDescent="0.2">
      <c r="A4204">
        <v>2012</v>
      </c>
      <c r="B4204" t="s">
        <v>304</v>
      </c>
      <c r="C4204" s="733">
        <v>40949</v>
      </c>
      <c r="D42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04" t="s">
        <v>505</v>
      </c>
      <c r="F4204" t="s">
        <v>1915</v>
      </c>
      <c r="G4204" t="s">
        <v>4756</v>
      </c>
      <c r="H4204">
        <v>22571</v>
      </c>
      <c r="I4204" t="s">
        <v>423</v>
      </c>
      <c r="J4204" t="s">
        <v>4140</v>
      </c>
      <c r="K4204" t="s">
        <v>1918</v>
      </c>
      <c r="L4204" t="s">
        <v>1919</v>
      </c>
      <c r="M4204">
        <v>1</v>
      </c>
      <c r="N4204">
        <v>24.84</v>
      </c>
      <c r="O4204">
        <v>2399.0500000000002</v>
      </c>
      <c r="P4204">
        <v>0</v>
      </c>
      <c r="Q4204">
        <v>2399.0500000000002</v>
      </c>
      <c r="R4204">
        <v>383.85</v>
      </c>
      <c r="S4204">
        <v>95.96</v>
      </c>
      <c r="T4204">
        <v>2686.94</v>
      </c>
      <c r="U4204" t="s">
        <v>7522</v>
      </c>
      <c r="V4204" t="s">
        <v>9408</v>
      </c>
      <c r="W4204" t="s">
        <v>423</v>
      </c>
    </row>
    <row r="4205" spans="1:23" hidden="1" x14ac:dyDescent="0.2">
      <c r="A4205">
        <v>2012</v>
      </c>
      <c r="B4205" t="s">
        <v>303</v>
      </c>
      <c r="C4205" s="733">
        <v>40938</v>
      </c>
      <c r="D42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05" t="s">
        <v>505</v>
      </c>
      <c r="F4205" t="s">
        <v>1915</v>
      </c>
      <c r="G4205" t="s">
        <v>4755</v>
      </c>
      <c r="H4205">
        <v>22344</v>
      </c>
      <c r="I4205" t="s">
        <v>423</v>
      </c>
      <c r="J4205" t="s">
        <v>4140</v>
      </c>
      <c r="K4205" t="s">
        <v>1918</v>
      </c>
      <c r="L4205" t="s">
        <v>1919</v>
      </c>
      <c r="M4205">
        <v>1</v>
      </c>
      <c r="N4205">
        <v>25.03</v>
      </c>
      <c r="O4205">
        <v>2417.4</v>
      </c>
      <c r="P4205">
        <v>0</v>
      </c>
      <c r="Q4205">
        <v>2417.4</v>
      </c>
      <c r="R4205">
        <v>386.78</v>
      </c>
      <c r="S4205">
        <v>96.7</v>
      </c>
      <c r="T4205">
        <v>2707.48</v>
      </c>
      <c r="U4205" t="s">
        <v>1936</v>
      </c>
      <c r="V4205" t="s">
        <v>9408</v>
      </c>
      <c r="W4205" t="s">
        <v>423</v>
      </c>
    </row>
    <row r="4206" spans="1:23" hidden="1" x14ac:dyDescent="0.2">
      <c r="A4206">
        <v>2012</v>
      </c>
      <c r="B4206" t="s">
        <v>304</v>
      </c>
      <c r="C4206" s="733">
        <v>40962</v>
      </c>
      <c r="D42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06" t="s">
        <v>505</v>
      </c>
      <c r="F4206" t="s">
        <v>1915</v>
      </c>
      <c r="G4206" t="s">
        <v>8692</v>
      </c>
      <c r="H4206">
        <v>22873</v>
      </c>
      <c r="I4206" t="s">
        <v>423</v>
      </c>
      <c r="J4206" t="s">
        <v>4140</v>
      </c>
      <c r="K4206" t="s">
        <v>1918</v>
      </c>
      <c r="L4206" t="s">
        <v>1919</v>
      </c>
      <c r="M4206">
        <v>1</v>
      </c>
      <c r="N4206">
        <v>24.93</v>
      </c>
      <c r="O4206">
        <v>2407.7399999999998</v>
      </c>
      <c r="P4206">
        <v>0</v>
      </c>
      <c r="Q4206">
        <v>2407.7399999999998</v>
      </c>
      <c r="R4206">
        <v>385.24</v>
      </c>
      <c r="S4206">
        <v>96.31</v>
      </c>
      <c r="T4206">
        <v>2696.67</v>
      </c>
      <c r="U4206" t="s">
        <v>8778</v>
      </c>
      <c r="V4206" t="s">
        <v>9408</v>
      </c>
      <c r="W4206" t="s">
        <v>423</v>
      </c>
    </row>
    <row r="4207" spans="1:23" hidden="1" x14ac:dyDescent="0.2">
      <c r="A4207">
        <v>2012</v>
      </c>
      <c r="B4207" t="s">
        <v>303</v>
      </c>
      <c r="C4207" s="733">
        <v>40938</v>
      </c>
      <c r="D42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07" t="s">
        <v>505</v>
      </c>
      <c r="F4207" t="s">
        <v>1915</v>
      </c>
      <c r="G4207" t="s">
        <v>5255</v>
      </c>
      <c r="H4207">
        <v>22347</v>
      </c>
      <c r="I4207" t="s">
        <v>423</v>
      </c>
      <c r="J4207" t="s">
        <v>4140</v>
      </c>
      <c r="K4207" t="s">
        <v>1918</v>
      </c>
      <c r="L4207" t="s">
        <v>1919</v>
      </c>
      <c r="M4207">
        <v>1</v>
      </c>
      <c r="N4207">
        <v>24.79</v>
      </c>
      <c r="O4207">
        <v>2394.2199999999998</v>
      </c>
      <c r="P4207">
        <v>0</v>
      </c>
      <c r="Q4207">
        <v>2394.2199999999998</v>
      </c>
      <c r="R4207">
        <v>383.07</v>
      </c>
      <c r="S4207">
        <v>95.77</v>
      </c>
      <c r="T4207">
        <v>2681.52</v>
      </c>
      <c r="U4207" t="s">
        <v>1936</v>
      </c>
      <c r="V4207" t="s">
        <v>9408</v>
      </c>
      <c r="W4207" t="s">
        <v>423</v>
      </c>
    </row>
    <row r="4208" spans="1:23" hidden="1" x14ac:dyDescent="0.2">
      <c r="A4208">
        <v>2012</v>
      </c>
      <c r="B4208" t="s">
        <v>304</v>
      </c>
      <c r="C4208" s="733">
        <v>40966</v>
      </c>
      <c r="D42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08" t="s">
        <v>505</v>
      </c>
      <c r="F4208" t="s">
        <v>1915</v>
      </c>
      <c r="G4208" t="s">
        <v>8844</v>
      </c>
      <c r="H4208">
        <v>22981</v>
      </c>
      <c r="I4208" t="s">
        <v>423</v>
      </c>
      <c r="J4208" t="s">
        <v>4140</v>
      </c>
      <c r="K4208" t="s">
        <v>1918</v>
      </c>
      <c r="L4208" t="s">
        <v>1919</v>
      </c>
      <c r="M4208">
        <v>1</v>
      </c>
      <c r="N4208">
        <v>25.02</v>
      </c>
      <c r="O4208">
        <v>2416.4299999999998</v>
      </c>
      <c r="P4208">
        <v>0</v>
      </c>
      <c r="Q4208">
        <v>2416.4299999999998</v>
      </c>
      <c r="R4208">
        <v>386.63</v>
      </c>
      <c r="S4208">
        <v>96.66</v>
      </c>
      <c r="T4208">
        <v>2706.4</v>
      </c>
      <c r="U4208" t="s">
        <v>9415</v>
      </c>
      <c r="V4208" t="s">
        <v>9408</v>
      </c>
      <c r="W4208" t="s">
        <v>423</v>
      </c>
    </row>
    <row r="4209" spans="1:23" hidden="1" x14ac:dyDescent="0.2">
      <c r="A4209">
        <v>2012</v>
      </c>
      <c r="B4209" t="s">
        <v>303</v>
      </c>
      <c r="C4209" s="733">
        <v>40938.924201388887</v>
      </c>
      <c r="D42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09" t="s">
        <v>478</v>
      </c>
      <c r="F4209" t="s">
        <v>2622</v>
      </c>
      <c r="G4209" t="s">
        <v>4349</v>
      </c>
      <c r="H4209">
        <v>35077</v>
      </c>
      <c r="I4209" t="s">
        <v>423</v>
      </c>
      <c r="J4209" t="s">
        <v>2644</v>
      </c>
      <c r="K4209" t="s">
        <v>2625</v>
      </c>
      <c r="L4209" t="s">
        <v>2145</v>
      </c>
      <c r="M4209">
        <v>52</v>
      </c>
      <c r="N4209">
        <v>22.51</v>
      </c>
      <c r="O4209">
        <v>2650.1</v>
      </c>
      <c r="P4209">
        <v>0</v>
      </c>
      <c r="Q4209">
        <v>2650.1</v>
      </c>
      <c r="R4209">
        <v>424.02</v>
      </c>
      <c r="S4209">
        <v>106</v>
      </c>
      <c r="T4209">
        <v>2968.12</v>
      </c>
      <c r="U4209" t="s">
        <v>2648</v>
      </c>
      <c r="V4209" t="s">
        <v>9408</v>
      </c>
      <c r="W4209" t="s">
        <v>423</v>
      </c>
    </row>
    <row r="4210" spans="1:23" hidden="1" x14ac:dyDescent="0.2">
      <c r="A4210">
        <v>2012</v>
      </c>
      <c r="B4210" t="s">
        <v>303</v>
      </c>
      <c r="C4210" s="733">
        <v>40938.927245370367</v>
      </c>
      <c r="D42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10" t="s">
        <v>478</v>
      </c>
      <c r="F4210" t="s">
        <v>2622</v>
      </c>
      <c r="G4210" t="s">
        <v>4348</v>
      </c>
      <c r="H4210">
        <v>35086</v>
      </c>
      <c r="I4210" t="s">
        <v>423</v>
      </c>
      <c r="J4210" t="s">
        <v>2644</v>
      </c>
      <c r="K4210" t="s">
        <v>2625</v>
      </c>
      <c r="L4210" t="s">
        <v>2626</v>
      </c>
      <c r="M4210">
        <v>52</v>
      </c>
      <c r="N4210">
        <v>25.95</v>
      </c>
      <c r="O4210">
        <v>3055.09</v>
      </c>
      <c r="P4210">
        <v>0</v>
      </c>
      <c r="Q4210">
        <v>3055.09</v>
      </c>
      <c r="R4210">
        <v>488.81</v>
      </c>
      <c r="S4210">
        <v>122.2</v>
      </c>
      <c r="T4210">
        <v>3421.7</v>
      </c>
      <c r="U4210" t="s">
        <v>7548</v>
      </c>
      <c r="V4210" t="s">
        <v>9408</v>
      </c>
      <c r="W4210" t="s">
        <v>423</v>
      </c>
    </row>
    <row r="4211" spans="1:23" hidden="1" x14ac:dyDescent="0.2">
      <c r="A4211">
        <v>2012</v>
      </c>
      <c r="B4211" t="s">
        <v>303</v>
      </c>
      <c r="C4211" s="733">
        <v>40938</v>
      </c>
      <c r="D42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11" t="s">
        <v>505</v>
      </c>
      <c r="F4211" t="s">
        <v>1915</v>
      </c>
      <c r="G4211" t="s">
        <v>4754</v>
      </c>
      <c r="H4211">
        <v>22283</v>
      </c>
      <c r="I4211" t="s">
        <v>423</v>
      </c>
      <c r="J4211" t="s">
        <v>4140</v>
      </c>
      <c r="K4211" t="s">
        <v>1918</v>
      </c>
      <c r="L4211" t="s">
        <v>1919</v>
      </c>
      <c r="M4211">
        <v>1</v>
      </c>
      <c r="N4211">
        <v>25.04</v>
      </c>
      <c r="O4211">
        <v>2418.36</v>
      </c>
      <c r="P4211">
        <v>0</v>
      </c>
      <c r="Q4211">
        <v>2418.36</v>
      </c>
      <c r="R4211">
        <v>386.94</v>
      </c>
      <c r="S4211">
        <v>96.73</v>
      </c>
      <c r="T4211">
        <v>2708.57</v>
      </c>
      <c r="U4211" t="s">
        <v>1936</v>
      </c>
      <c r="V4211" t="s">
        <v>9408</v>
      </c>
      <c r="W4211" t="s">
        <v>423</v>
      </c>
    </row>
    <row r="4212" spans="1:23" hidden="1" x14ac:dyDescent="0.2">
      <c r="A4212">
        <v>2012</v>
      </c>
      <c r="B4212" t="s">
        <v>304</v>
      </c>
      <c r="C4212" s="733">
        <v>40954</v>
      </c>
      <c r="D42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12" t="s">
        <v>485</v>
      </c>
      <c r="F4212" t="s">
        <v>2048</v>
      </c>
      <c r="G4212" t="s">
        <v>7972</v>
      </c>
      <c r="H4212">
        <v>42010</v>
      </c>
      <c r="I4212" t="s">
        <v>423</v>
      </c>
      <c r="J4212" t="s">
        <v>2274</v>
      </c>
      <c r="K4212" t="s">
        <v>2051</v>
      </c>
      <c r="L4212" t="s">
        <v>2052</v>
      </c>
      <c r="M4212">
        <v>573</v>
      </c>
      <c r="N4212">
        <v>29.15</v>
      </c>
      <c r="O4212">
        <v>9459.18</v>
      </c>
      <c r="P4212">
        <v>0</v>
      </c>
      <c r="Q4212">
        <v>9459.18</v>
      </c>
      <c r="R4212">
        <v>1513.47</v>
      </c>
      <c r="S4212">
        <v>378.37</v>
      </c>
      <c r="T4212">
        <v>10594.28</v>
      </c>
      <c r="U4212" t="s">
        <v>8780</v>
      </c>
      <c r="V4212" t="s">
        <v>9408</v>
      </c>
      <c r="W4212" t="s">
        <v>423</v>
      </c>
    </row>
    <row r="4213" spans="1:23" hidden="1" x14ac:dyDescent="0.2">
      <c r="A4213">
        <v>2012</v>
      </c>
      <c r="B4213" t="s">
        <v>303</v>
      </c>
      <c r="C4213" s="733">
        <v>40929</v>
      </c>
      <c r="D42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13" t="s">
        <v>485</v>
      </c>
      <c r="F4213" t="s">
        <v>2054</v>
      </c>
      <c r="G4213" t="s">
        <v>4744</v>
      </c>
      <c r="H4213">
        <v>10154</v>
      </c>
      <c r="I4213" t="s">
        <v>423</v>
      </c>
      <c r="J4213" t="s">
        <v>3564</v>
      </c>
      <c r="K4213" t="s">
        <v>2057</v>
      </c>
      <c r="L4213" t="s">
        <v>2058</v>
      </c>
      <c r="M4213">
        <v>388</v>
      </c>
      <c r="N4213">
        <v>22.97</v>
      </c>
      <c r="O4213">
        <v>6103.36</v>
      </c>
      <c r="P4213">
        <v>0</v>
      </c>
      <c r="Q4213">
        <v>6103.36</v>
      </c>
      <c r="R4213">
        <v>976.54</v>
      </c>
      <c r="S4213">
        <v>244.13</v>
      </c>
      <c r="T4213">
        <v>6835.77</v>
      </c>
      <c r="U4213" t="s">
        <v>2077</v>
      </c>
      <c r="V4213" t="s">
        <v>9408</v>
      </c>
      <c r="W4213" t="s">
        <v>423</v>
      </c>
    </row>
    <row r="4214" spans="1:23" hidden="1" x14ac:dyDescent="0.2">
      <c r="A4214">
        <v>2012</v>
      </c>
      <c r="B4214" t="s">
        <v>304</v>
      </c>
      <c r="C4214" s="733">
        <v>40946</v>
      </c>
      <c r="D42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14" t="s">
        <v>485</v>
      </c>
      <c r="F4214" t="s">
        <v>2048</v>
      </c>
      <c r="G4214" t="s">
        <v>4008</v>
      </c>
      <c r="H4214">
        <v>41477</v>
      </c>
      <c r="I4214" t="s">
        <v>423</v>
      </c>
      <c r="J4214" t="s">
        <v>2274</v>
      </c>
      <c r="K4214" t="s">
        <v>2051</v>
      </c>
      <c r="L4214" t="s">
        <v>2052</v>
      </c>
      <c r="M4214">
        <v>573</v>
      </c>
      <c r="N4214">
        <v>27.05</v>
      </c>
      <c r="O4214">
        <v>8777.7199999999993</v>
      </c>
      <c r="P4214">
        <v>0</v>
      </c>
      <c r="Q4214">
        <v>8777.7199999999993</v>
      </c>
      <c r="R4214">
        <v>1404.44</v>
      </c>
      <c r="S4214">
        <v>351.11</v>
      </c>
      <c r="T4214">
        <v>9831.0499999999993</v>
      </c>
      <c r="U4214" t="s">
        <v>7568</v>
      </c>
      <c r="V4214" t="s">
        <v>9409</v>
      </c>
      <c r="W4214" t="s">
        <v>423</v>
      </c>
    </row>
    <row r="4215" spans="1:23" hidden="1" x14ac:dyDescent="0.2">
      <c r="A4215">
        <v>2012</v>
      </c>
      <c r="B4215" t="s">
        <v>304</v>
      </c>
      <c r="C4215" s="733">
        <v>40953</v>
      </c>
      <c r="D42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15" t="s">
        <v>485</v>
      </c>
      <c r="F4215" t="s">
        <v>2048</v>
      </c>
      <c r="G4215" t="s">
        <v>6132</v>
      </c>
      <c r="H4215">
        <v>41867</v>
      </c>
      <c r="I4215" t="s">
        <v>423</v>
      </c>
      <c r="J4215" t="s">
        <v>2274</v>
      </c>
      <c r="K4215" t="s">
        <v>2051</v>
      </c>
      <c r="L4215" t="s">
        <v>2052</v>
      </c>
      <c r="M4215">
        <v>573</v>
      </c>
      <c r="N4215">
        <v>51.7</v>
      </c>
      <c r="O4215">
        <v>16776.650000000001</v>
      </c>
      <c r="P4215">
        <v>0</v>
      </c>
      <c r="Q4215">
        <v>16776.650000000001</v>
      </c>
      <c r="R4215">
        <v>2684.26</v>
      </c>
      <c r="S4215">
        <v>671.07</v>
      </c>
      <c r="T4215">
        <v>18789.84</v>
      </c>
      <c r="U4215" t="s">
        <v>8257</v>
      </c>
      <c r="V4215" t="s">
        <v>9409</v>
      </c>
      <c r="W4215" t="s">
        <v>423</v>
      </c>
    </row>
    <row r="4216" spans="1:23" hidden="1" x14ac:dyDescent="0.2">
      <c r="A4216">
        <v>2012</v>
      </c>
      <c r="B4216" t="s">
        <v>303</v>
      </c>
      <c r="C4216" s="733">
        <v>40931</v>
      </c>
      <c r="D42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16" t="s">
        <v>485</v>
      </c>
      <c r="F4216" t="s">
        <v>2065</v>
      </c>
      <c r="G4216" t="s">
        <v>2560</v>
      </c>
      <c r="H4216">
        <v>40752</v>
      </c>
      <c r="I4216" t="s">
        <v>423</v>
      </c>
      <c r="J4216" t="s">
        <v>2274</v>
      </c>
      <c r="K4216" t="s">
        <v>2051</v>
      </c>
      <c r="L4216" t="s">
        <v>2052</v>
      </c>
      <c r="M4216">
        <v>573</v>
      </c>
      <c r="N4216">
        <v>54.45</v>
      </c>
      <c r="O4216">
        <v>17669.02</v>
      </c>
      <c r="P4216">
        <v>0</v>
      </c>
      <c r="Q4216">
        <v>17669.02</v>
      </c>
      <c r="R4216">
        <v>2827.04</v>
      </c>
      <c r="S4216">
        <v>706.76</v>
      </c>
      <c r="T4216">
        <v>19789.3</v>
      </c>
      <c r="U4216" t="s">
        <v>2053</v>
      </c>
      <c r="V4216" t="s">
        <v>9409</v>
      </c>
      <c r="W4216" t="s">
        <v>423</v>
      </c>
    </row>
    <row r="4217" spans="1:23" hidden="1" x14ac:dyDescent="0.2">
      <c r="A4217">
        <v>2012</v>
      </c>
      <c r="B4217" t="s">
        <v>303</v>
      </c>
      <c r="C4217" s="733">
        <v>40915.829375000001</v>
      </c>
      <c r="D42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17" t="s">
        <v>505</v>
      </c>
      <c r="F4217" t="s">
        <v>1915</v>
      </c>
      <c r="G4217" t="s">
        <v>6725</v>
      </c>
      <c r="H4217">
        <v>21819</v>
      </c>
      <c r="I4217" t="s">
        <v>423</v>
      </c>
      <c r="J4217" t="s">
        <v>4140</v>
      </c>
      <c r="K4217" t="s">
        <v>1918</v>
      </c>
      <c r="L4217" t="s">
        <v>1919</v>
      </c>
      <c r="M4217">
        <v>1</v>
      </c>
      <c r="N4217">
        <v>24.92</v>
      </c>
      <c r="O4217">
        <v>1013.2</v>
      </c>
      <c r="P4217">
        <v>1140.7517479999999</v>
      </c>
      <c r="Q4217">
        <v>2153.951748</v>
      </c>
      <c r="R4217">
        <v>344.63227999999998</v>
      </c>
      <c r="S4217">
        <v>86.158069999999995</v>
      </c>
      <c r="T4217">
        <v>2412.4259579999998</v>
      </c>
      <c r="U4217" t="s">
        <v>1931</v>
      </c>
      <c r="V4217" t="s">
        <v>9408</v>
      </c>
      <c r="W4217" t="s">
        <v>423</v>
      </c>
    </row>
    <row r="4218" spans="1:23" hidden="1" x14ac:dyDescent="0.2">
      <c r="A4218">
        <v>2012</v>
      </c>
      <c r="B4218" t="s">
        <v>303</v>
      </c>
      <c r="C4218" s="733">
        <v>40911</v>
      </c>
      <c r="D42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18" t="s">
        <v>505</v>
      </c>
      <c r="F4218" t="s">
        <v>1915</v>
      </c>
      <c r="G4218" t="s">
        <v>6708</v>
      </c>
      <c r="H4218">
        <v>21648</v>
      </c>
      <c r="I4218" t="s">
        <v>423</v>
      </c>
      <c r="J4218" t="s">
        <v>4140</v>
      </c>
      <c r="K4218" t="s">
        <v>1918</v>
      </c>
      <c r="L4218" t="s">
        <v>1919</v>
      </c>
      <c r="M4218">
        <v>1</v>
      </c>
      <c r="N4218">
        <v>28.59</v>
      </c>
      <c r="O4218">
        <v>1162.47</v>
      </c>
      <c r="P4218">
        <v>1308.8133479999999</v>
      </c>
      <c r="Q4218">
        <v>2471.2833479999999</v>
      </c>
      <c r="R4218">
        <v>395.40533599999998</v>
      </c>
      <c r="S4218">
        <v>98.851333999999994</v>
      </c>
      <c r="T4218">
        <v>2767.8373499999998</v>
      </c>
      <c r="U4218" t="s">
        <v>1984</v>
      </c>
      <c r="V4218" t="s">
        <v>9408</v>
      </c>
      <c r="W4218" t="s">
        <v>423</v>
      </c>
    </row>
    <row r="4219" spans="1:23" hidden="1" x14ac:dyDescent="0.2">
      <c r="A4219">
        <v>2012</v>
      </c>
      <c r="B4219" t="s">
        <v>304</v>
      </c>
      <c r="C4219" s="733">
        <v>40964</v>
      </c>
      <c r="D42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19" t="s">
        <v>505</v>
      </c>
      <c r="F4219" t="s">
        <v>1915</v>
      </c>
      <c r="G4219" t="s">
        <v>8747</v>
      </c>
      <c r="H4219">
        <v>23010</v>
      </c>
      <c r="I4219" t="s">
        <v>423</v>
      </c>
      <c r="J4219" t="s">
        <v>4140</v>
      </c>
      <c r="K4219" t="s">
        <v>1918</v>
      </c>
      <c r="L4219" t="s">
        <v>1919</v>
      </c>
      <c r="M4219">
        <v>1</v>
      </c>
      <c r="N4219">
        <v>25.07</v>
      </c>
      <c r="O4219">
        <v>2421.2600000000002</v>
      </c>
      <c r="P4219">
        <v>0</v>
      </c>
      <c r="Q4219">
        <v>2421.2600000000002</v>
      </c>
      <c r="R4219">
        <v>387.4</v>
      </c>
      <c r="S4219">
        <v>96.85</v>
      </c>
      <c r="T4219">
        <v>2711.81</v>
      </c>
      <c r="U4219" t="s">
        <v>9415</v>
      </c>
      <c r="V4219" t="s">
        <v>9408</v>
      </c>
      <c r="W4219" t="s">
        <v>423</v>
      </c>
    </row>
    <row r="4220" spans="1:23" hidden="1" x14ac:dyDescent="0.2">
      <c r="A4220">
        <v>2012</v>
      </c>
      <c r="B4220" t="s">
        <v>304</v>
      </c>
      <c r="C4220" s="733">
        <v>40967.453831018516</v>
      </c>
      <c r="D42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20" t="s">
        <v>478</v>
      </c>
      <c r="F4220" t="s">
        <v>2622</v>
      </c>
      <c r="G4220" t="s">
        <v>9279</v>
      </c>
      <c r="H4220">
        <v>36101</v>
      </c>
      <c r="I4220" t="s">
        <v>423</v>
      </c>
      <c r="J4220" t="s">
        <v>2644</v>
      </c>
      <c r="K4220" t="s">
        <v>2625</v>
      </c>
      <c r="L4220" t="s">
        <v>2626</v>
      </c>
      <c r="M4220">
        <v>52</v>
      </c>
      <c r="N4220">
        <v>28.62</v>
      </c>
      <c r="O4220">
        <v>3369.43</v>
      </c>
      <c r="P4220">
        <v>0</v>
      </c>
      <c r="Q4220">
        <v>3369.43</v>
      </c>
      <c r="R4220">
        <v>539.11</v>
      </c>
      <c r="S4220">
        <v>134.78</v>
      </c>
      <c r="T4220">
        <v>3773.76</v>
      </c>
      <c r="U4220" t="s">
        <v>9428</v>
      </c>
      <c r="V4220" t="s">
        <v>9408</v>
      </c>
      <c r="W4220" t="s">
        <v>423</v>
      </c>
    </row>
    <row r="4221" spans="1:23" hidden="1" x14ac:dyDescent="0.2">
      <c r="A4221">
        <v>2012</v>
      </c>
      <c r="B4221" t="s">
        <v>304</v>
      </c>
      <c r="C4221" s="733">
        <v>40949</v>
      </c>
      <c r="D42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21" t="s">
        <v>505</v>
      </c>
      <c r="F4221" t="s">
        <v>1915</v>
      </c>
      <c r="G4221" t="s">
        <v>6724</v>
      </c>
      <c r="H4221">
        <v>22592</v>
      </c>
      <c r="I4221" t="s">
        <v>423</v>
      </c>
      <c r="J4221" t="s">
        <v>5285</v>
      </c>
      <c r="K4221" t="s">
        <v>1918</v>
      </c>
      <c r="L4221" t="s">
        <v>1919</v>
      </c>
      <c r="M4221">
        <v>433</v>
      </c>
      <c r="N4221">
        <v>24.17</v>
      </c>
      <c r="O4221">
        <v>7637.24</v>
      </c>
      <c r="P4221">
        <v>0</v>
      </c>
      <c r="Q4221">
        <v>7637.24</v>
      </c>
      <c r="R4221">
        <v>1221.96</v>
      </c>
      <c r="S4221">
        <v>305.49</v>
      </c>
      <c r="T4221">
        <v>8553.7099999999991</v>
      </c>
      <c r="U4221" t="s">
        <v>7522</v>
      </c>
      <c r="V4221" t="s">
        <v>9408</v>
      </c>
      <c r="W4221" t="s">
        <v>423</v>
      </c>
    </row>
    <row r="4222" spans="1:23" hidden="1" x14ac:dyDescent="0.2">
      <c r="A4222">
        <v>2012</v>
      </c>
      <c r="B4222" t="s">
        <v>304</v>
      </c>
      <c r="C4222" s="733">
        <v>40959</v>
      </c>
      <c r="D42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22" t="s">
        <v>505</v>
      </c>
      <c r="F4222" t="s">
        <v>1915</v>
      </c>
      <c r="G4222" t="s">
        <v>7894</v>
      </c>
      <c r="H4222">
        <v>22824</v>
      </c>
      <c r="I4222" t="s">
        <v>423</v>
      </c>
      <c r="J4222" t="s">
        <v>4140</v>
      </c>
      <c r="K4222" t="s">
        <v>1918</v>
      </c>
      <c r="L4222" t="s">
        <v>1919</v>
      </c>
      <c r="M4222">
        <v>1</v>
      </c>
      <c r="N4222">
        <v>24.96</v>
      </c>
      <c r="O4222">
        <v>2410.64</v>
      </c>
      <c r="P4222">
        <v>0</v>
      </c>
      <c r="Q4222">
        <v>2410.64</v>
      </c>
      <c r="R4222">
        <v>385.7</v>
      </c>
      <c r="S4222">
        <v>96.43</v>
      </c>
      <c r="T4222">
        <v>2699.91</v>
      </c>
      <c r="U4222" t="s">
        <v>8491</v>
      </c>
      <c r="V4222" t="s">
        <v>9408</v>
      </c>
      <c r="W4222" t="s">
        <v>423</v>
      </c>
    </row>
    <row r="4223" spans="1:23" hidden="1" x14ac:dyDescent="0.2">
      <c r="A4223">
        <v>2012</v>
      </c>
      <c r="B4223" t="s">
        <v>303</v>
      </c>
      <c r="C4223" s="733">
        <v>40938</v>
      </c>
      <c r="D42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23" t="s">
        <v>505</v>
      </c>
      <c r="F4223" t="s">
        <v>1915</v>
      </c>
      <c r="G4223" t="s">
        <v>6706</v>
      </c>
      <c r="H4223">
        <v>22306</v>
      </c>
      <c r="I4223" t="s">
        <v>423</v>
      </c>
      <c r="J4223" t="s">
        <v>4140</v>
      </c>
      <c r="K4223" t="s">
        <v>1918</v>
      </c>
      <c r="L4223" t="s">
        <v>1919</v>
      </c>
      <c r="M4223">
        <v>1</v>
      </c>
      <c r="N4223">
        <v>25.01</v>
      </c>
      <c r="O4223">
        <v>2415.4699999999998</v>
      </c>
      <c r="P4223">
        <v>0</v>
      </c>
      <c r="Q4223">
        <v>2415.4699999999998</v>
      </c>
      <c r="R4223">
        <v>386.47</v>
      </c>
      <c r="S4223">
        <v>96.62</v>
      </c>
      <c r="T4223">
        <v>2705.32</v>
      </c>
      <c r="U4223" t="s">
        <v>1936</v>
      </c>
      <c r="V4223" t="s">
        <v>9408</v>
      </c>
      <c r="W4223" t="s">
        <v>423</v>
      </c>
    </row>
    <row r="4224" spans="1:23" hidden="1" x14ac:dyDescent="0.2">
      <c r="A4224">
        <v>2012</v>
      </c>
      <c r="B4224" t="s">
        <v>304</v>
      </c>
      <c r="C4224" s="733">
        <v>40942</v>
      </c>
      <c r="D42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24" t="s">
        <v>505</v>
      </c>
      <c r="F4224" t="s">
        <v>1915</v>
      </c>
      <c r="G4224" t="s">
        <v>6705</v>
      </c>
      <c r="H4224">
        <v>22472</v>
      </c>
      <c r="I4224" t="s">
        <v>423</v>
      </c>
      <c r="J4224" t="s">
        <v>4140</v>
      </c>
      <c r="K4224" t="s">
        <v>1918</v>
      </c>
      <c r="L4224" t="s">
        <v>1919</v>
      </c>
      <c r="M4224">
        <v>1</v>
      </c>
      <c r="N4224">
        <v>25.09</v>
      </c>
      <c r="O4224">
        <v>2423.19</v>
      </c>
      <c r="P4224">
        <v>0</v>
      </c>
      <c r="Q4224">
        <v>2423.19</v>
      </c>
      <c r="R4224">
        <v>387.71</v>
      </c>
      <c r="S4224">
        <v>96.93</v>
      </c>
      <c r="T4224">
        <v>2713.97</v>
      </c>
      <c r="U4224" t="s">
        <v>1924</v>
      </c>
      <c r="V4224" t="s">
        <v>9408</v>
      </c>
      <c r="W4224" t="s">
        <v>423</v>
      </c>
    </row>
    <row r="4225" spans="1:23" hidden="1" x14ac:dyDescent="0.2">
      <c r="A4225">
        <v>2012</v>
      </c>
      <c r="B4225" t="s">
        <v>304</v>
      </c>
      <c r="C4225" s="733">
        <v>40940</v>
      </c>
      <c r="D42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25" t="s">
        <v>485</v>
      </c>
      <c r="F4225" t="s">
        <v>2136</v>
      </c>
      <c r="G4225" t="s">
        <v>6836</v>
      </c>
      <c r="H4225">
        <v>40366</v>
      </c>
      <c r="I4225" t="s">
        <v>423</v>
      </c>
      <c r="J4225" t="s">
        <v>6837</v>
      </c>
      <c r="K4225" t="s">
        <v>2102</v>
      </c>
      <c r="L4225" t="s">
        <v>2115</v>
      </c>
      <c r="M4225">
        <v>279</v>
      </c>
      <c r="N4225">
        <v>23.68</v>
      </c>
      <c r="O4225">
        <v>8375.85</v>
      </c>
      <c r="P4225">
        <v>0</v>
      </c>
      <c r="Q4225">
        <v>8375.85</v>
      </c>
      <c r="R4225">
        <v>1340.14</v>
      </c>
      <c r="S4225">
        <v>335.03</v>
      </c>
      <c r="T4225">
        <v>9380.9599999999991</v>
      </c>
      <c r="U4225" t="s">
        <v>2110</v>
      </c>
      <c r="V4225" t="s">
        <v>9408</v>
      </c>
      <c r="W4225" t="s">
        <v>423</v>
      </c>
    </row>
    <row r="4226" spans="1:23" hidden="1" x14ac:dyDescent="0.2">
      <c r="A4226">
        <v>2012</v>
      </c>
      <c r="B4226" t="s">
        <v>303</v>
      </c>
      <c r="C4226" s="733">
        <v>40939</v>
      </c>
      <c r="D42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26" t="s">
        <v>505</v>
      </c>
      <c r="F4226" t="s">
        <v>1915</v>
      </c>
      <c r="G4226" t="s">
        <v>6707</v>
      </c>
      <c r="H4226">
        <v>22240</v>
      </c>
      <c r="I4226" t="s">
        <v>423</v>
      </c>
      <c r="J4226" t="s">
        <v>4140</v>
      </c>
      <c r="K4226" t="s">
        <v>1918</v>
      </c>
      <c r="L4226" t="s">
        <v>1919</v>
      </c>
      <c r="M4226">
        <v>1</v>
      </c>
      <c r="N4226">
        <v>25.04</v>
      </c>
      <c r="O4226">
        <v>2418.36</v>
      </c>
      <c r="P4226">
        <v>0</v>
      </c>
      <c r="Q4226">
        <v>2418.36</v>
      </c>
      <c r="R4226">
        <v>386.94</v>
      </c>
      <c r="S4226">
        <v>96.73</v>
      </c>
      <c r="T4226">
        <v>2708.57</v>
      </c>
      <c r="U4226" t="s">
        <v>1936</v>
      </c>
      <c r="V4226" t="s">
        <v>9408</v>
      </c>
      <c r="W4226" t="s">
        <v>423</v>
      </c>
    </row>
    <row r="4227" spans="1:23" hidden="1" x14ac:dyDescent="0.2">
      <c r="A4227">
        <v>2012</v>
      </c>
      <c r="B4227" t="s">
        <v>304</v>
      </c>
      <c r="C4227" s="733">
        <v>40954</v>
      </c>
      <c r="D42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27" t="s">
        <v>505</v>
      </c>
      <c r="F4227" t="s">
        <v>1915</v>
      </c>
      <c r="G4227" t="s">
        <v>7983</v>
      </c>
      <c r="H4227">
        <v>22714</v>
      </c>
      <c r="I4227" t="s">
        <v>423</v>
      </c>
      <c r="J4227" t="s">
        <v>4140</v>
      </c>
      <c r="K4227" t="s">
        <v>1918</v>
      </c>
      <c r="L4227" t="s">
        <v>1919</v>
      </c>
      <c r="M4227">
        <v>1</v>
      </c>
      <c r="N4227">
        <v>24.79</v>
      </c>
      <c r="O4227">
        <v>2394.2199999999998</v>
      </c>
      <c r="P4227">
        <v>0</v>
      </c>
      <c r="Q4227">
        <v>2394.2199999999998</v>
      </c>
      <c r="R4227">
        <v>383.07</v>
      </c>
      <c r="S4227">
        <v>95.77</v>
      </c>
      <c r="T4227">
        <v>2681.52</v>
      </c>
      <c r="U4227" t="s">
        <v>7529</v>
      </c>
      <c r="V4227" t="s">
        <v>9408</v>
      </c>
      <c r="W4227" t="s">
        <v>423</v>
      </c>
    </row>
    <row r="4228" spans="1:23" x14ac:dyDescent="0.2">
      <c r="A4228">
        <v>2012</v>
      </c>
      <c r="B4228" t="s">
        <v>304</v>
      </c>
      <c r="C4228" s="733">
        <v>40967</v>
      </c>
      <c r="D42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28" t="s">
        <v>485</v>
      </c>
      <c r="F4228" t="s">
        <v>2048</v>
      </c>
      <c r="G4228" t="s">
        <v>9344</v>
      </c>
      <c r="H4228">
        <v>42727</v>
      </c>
      <c r="I4228" t="s">
        <v>423</v>
      </c>
      <c r="J4228" t="s">
        <v>4091</v>
      </c>
      <c r="K4228" t="s">
        <v>2051</v>
      </c>
      <c r="L4228" t="s">
        <v>2052</v>
      </c>
      <c r="M4228">
        <v>1092</v>
      </c>
      <c r="N4228">
        <v>26.6</v>
      </c>
      <c r="O4228">
        <v>15521.1</v>
      </c>
      <c r="P4228">
        <v>0</v>
      </c>
      <c r="Q4228">
        <v>15521.1</v>
      </c>
      <c r="R4228">
        <v>2483.38</v>
      </c>
      <c r="S4228">
        <v>620.84</v>
      </c>
      <c r="T4228">
        <v>17383.64</v>
      </c>
      <c r="U4228" t="s">
        <v>8780</v>
      </c>
      <c r="V4228" t="s">
        <v>9409</v>
      </c>
      <c r="W4228" t="s">
        <v>423</v>
      </c>
    </row>
    <row r="4229" spans="1:23" hidden="1" x14ac:dyDescent="0.2">
      <c r="A4229">
        <v>2012</v>
      </c>
      <c r="B4229" t="s">
        <v>303</v>
      </c>
      <c r="C4229" s="733">
        <v>40933.648379629631</v>
      </c>
      <c r="D42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29" t="s">
        <v>485</v>
      </c>
      <c r="F4229" t="s">
        <v>2054</v>
      </c>
      <c r="G4229" t="s">
        <v>2680</v>
      </c>
      <c r="H4229">
        <v>10208</v>
      </c>
      <c r="I4229" t="s">
        <v>423</v>
      </c>
      <c r="J4229" t="s">
        <v>2072</v>
      </c>
      <c r="K4229" t="s">
        <v>2057</v>
      </c>
      <c r="L4229" t="s">
        <v>2058</v>
      </c>
      <c r="M4229">
        <v>406</v>
      </c>
      <c r="N4229">
        <v>47.68</v>
      </c>
      <c r="O4229">
        <v>13029.99</v>
      </c>
      <c r="P4229">
        <v>0</v>
      </c>
      <c r="Q4229">
        <v>13029.99</v>
      </c>
      <c r="R4229">
        <v>2084.8000000000002</v>
      </c>
      <c r="S4229">
        <v>521.20000000000005</v>
      </c>
      <c r="T4229">
        <v>14593.59</v>
      </c>
      <c r="U4229" t="s">
        <v>8166</v>
      </c>
      <c r="V4229" t="s">
        <v>9409</v>
      </c>
      <c r="W4229" t="s">
        <v>423</v>
      </c>
    </row>
    <row r="4230" spans="1:23" hidden="1" x14ac:dyDescent="0.2">
      <c r="A4230">
        <v>2012</v>
      </c>
      <c r="B4230" t="s">
        <v>304</v>
      </c>
      <c r="C4230" s="733">
        <v>40954.662604166668</v>
      </c>
      <c r="D42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30" t="s">
        <v>485</v>
      </c>
      <c r="F4230" t="s">
        <v>2054</v>
      </c>
      <c r="G4230" t="s">
        <v>7546</v>
      </c>
      <c r="H4230">
        <v>10452</v>
      </c>
      <c r="I4230" t="s">
        <v>423</v>
      </c>
      <c r="J4230" t="s">
        <v>2072</v>
      </c>
      <c r="K4230" t="s">
        <v>2057</v>
      </c>
      <c r="L4230" t="s">
        <v>2058</v>
      </c>
      <c r="M4230">
        <v>406</v>
      </c>
      <c r="N4230">
        <v>47.42</v>
      </c>
      <c r="O4230">
        <v>12958.94</v>
      </c>
      <c r="P4230">
        <v>0</v>
      </c>
      <c r="Q4230">
        <v>12958.94</v>
      </c>
      <c r="R4230">
        <v>1425.48</v>
      </c>
      <c r="S4230">
        <v>518.36</v>
      </c>
      <c r="T4230">
        <v>13866.06</v>
      </c>
      <c r="U4230" t="s">
        <v>8047</v>
      </c>
      <c r="V4230" t="s">
        <v>9409</v>
      </c>
      <c r="W4230" t="s">
        <v>423</v>
      </c>
    </row>
    <row r="4231" spans="1:23" hidden="1" x14ac:dyDescent="0.2">
      <c r="A4231">
        <v>2012</v>
      </c>
      <c r="B4231" t="s">
        <v>304</v>
      </c>
      <c r="C4231" s="733">
        <v>40961</v>
      </c>
      <c r="D42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31" t="s">
        <v>505</v>
      </c>
      <c r="F4231" t="s">
        <v>1915</v>
      </c>
      <c r="G4231" t="s">
        <v>8363</v>
      </c>
      <c r="H4231">
        <v>22935</v>
      </c>
      <c r="I4231" t="s">
        <v>423</v>
      </c>
      <c r="J4231" t="s">
        <v>1943</v>
      </c>
      <c r="K4231" t="s">
        <v>1918</v>
      </c>
      <c r="L4231" t="s">
        <v>1919</v>
      </c>
      <c r="M4231">
        <v>319</v>
      </c>
      <c r="N4231">
        <v>52.6</v>
      </c>
      <c r="O4231">
        <v>15424.42</v>
      </c>
      <c r="P4231">
        <v>0</v>
      </c>
      <c r="Q4231">
        <v>15424.42</v>
      </c>
      <c r="R4231">
        <v>2467.91</v>
      </c>
      <c r="S4231">
        <v>616.98</v>
      </c>
      <c r="T4231">
        <v>17275.349999999999</v>
      </c>
      <c r="U4231" t="s">
        <v>8491</v>
      </c>
      <c r="V4231" t="s">
        <v>9409</v>
      </c>
      <c r="W4231" t="s">
        <v>423</v>
      </c>
    </row>
    <row r="4232" spans="1:23" hidden="1" x14ac:dyDescent="0.2">
      <c r="A4232">
        <v>2012</v>
      </c>
      <c r="B4232" t="s">
        <v>303</v>
      </c>
      <c r="C4232" s="733">
        <v>40929</v>
      </c>
      <c r="D42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32" t="s">
        <v>485</v>
      </c>
      <c r="F4232" t="s">
        <v>2054</v>
      </c>
      <c r="G4232" t="s">
        <v>2681</v>
      </c>
      <c r="H4232">
        <v>10152</v>
      </c>
      <c r="I4232" t="s">
        <v>423</v>
      </c>
      <c r="J4232" t="s">
        <v>2072</v>
      </c>
      <c r="K4232" t="s">
        <v>2057</v>
      </c>
      <c r="L4232" t="s">
        <v>2058</v>
      </c>
      <c r="M4232">
        <v>406</v>
      </c>
      <c r="N4232">
        <v>47.47</v>
      </c>
      <c r="O4232">
        <v>12972.6</v>
      </c>
      <c r="P4232">
        <v>0</v>
      </c>
      <c r="Q4232">
        <v>12972.6</v>
      </c>
      <c r="R4232">
        <v>2075.62</v>
      </c>
      <c r="S4232">
        <v>518.9</v>
      </c>
      <c r="T4232">
        <v>14529.32</v>
      </c>
      <c r="U4232" t="s">
        <v>2077</v>
      </c>
      <c r="V4232" t="s">
        <v>9409</v>
      </c>
      <c r="W4232" t="s">
        <v>423</v>
      </c>
    </row>
    <row r="4233" spans="1:23" hidden="1" x14ac:dyDescent="0.2">
      <c r="A4233">
        <v>2012</v>
      </c>
      <c r="B4233" t="s">
        <v>303</v>
      </c>
      <c r="C4233" s="733">
        <v>40931</v>
      </c>
      <c r="D42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33" t="s">
        <v>485</v>
      </c>
      <c r="F4233" t="s">
        <v>2065</v>
      </c>
      <c r="G4233" t="s">
        <v>4090</v>
      </c>
      <c r="H4233">
        <v>40738</v>
      </c>
      <c r="I4233" t="s">
        <v>423</v>
      </c>
      <c r="J4233" t="s">
        <v>4091</v>
      </c>
      <c r="K4233" t="s">
        <v>2051</v>
      </c>
      <c r="L4233" t="s">
        <v>2052</v>
      </c>
      <c r="M4233">
        <v>1092</v>
      </c>
      <c r="N4233">
        <v>28.7</v>
      </c>
      <c r="O4233">
        <v>16746.45</v>
      </c>
      <c r="P4233">
        <v>0</v>
      </c>
      <c r="Q4233">
        <v>16746.45</v>
      </c>
      <c r="R4233">
        <v>2679.43</v>
      </c>
      <c r="S4233">
        <v>669.86</v>
      </c>
      <c r="T4233">
        <v>18756.02</v>
      </c>
      <c r="U4233" t="s">
        <v>2053</v>
      </c>
      <c r="V4233" t="s">
        <v>9408</v>
      </c>
      <c r="W4233" t="s">
        <v>423</v>
      </c>
    </row>
    <row r="4234" spans="1:23" hidden="1" x14ac:dyDescent="0.2">
      <c r="A4234">
        <v>2012</v>
      </c>
      <c r="B4234" t="s">
        <v>303</v>
      </c>
      <c r="C4234" s="733">
        <v>40928</v>
      </c>
      <c r="D42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34" t="s">
        <v>485</v>
      </c>
      <c r="F4234" t="s">
        <v>2065</v>
      </c>
      <c r="G4234" t="s">
        <v>3971</v>
      </c>
      <c r="H4234">
        <v>39776</v>
      </c>
      <c r="I4234" t="s">
        <v>423</v>
      </c>
      <c r="J4234" t="s">
        <v>3972</v>
      </c>
      <c r="K4234" t="s">
        <v>2183</v>
      </c>
      <c r="L4234" t="s">
        <v>2184</v>
      </c>
      <c r="M4234">
        <v>184</v>
      </c>
      <c r="N4234">
        <v>23.47</v>
      </c>
      <c r="O4234">
        <v>4175.78</v>
      </c>
      <c r="P4234">
        <v>0</v>
      </c>
      <c r="Q4234">
        <v>4175.78</v>
      </c>
      <c r="R4234">
        <v>668.13</v>
      </c>
      <c r="S4234">
        <v>167.03</v>
      </c>
      <c r="T4234">
        <v>4676.88</v>
      </c>
      <c r="U4234" t="s">
        <v>2187</v>
      </c>
      <c r="V4234" t="s">
        <v>9408</v>
      </c>
      <c r="W4234" t="s">
        <v>423</v>
      </c>
    </row>
    <row r="4235" spans="1:23" hidden="1" x14ac:dyDescent="0.2">
      <c r="A4235">
        <v>2012</v>
      </c>
      <c r="B4235" t="s">
        <v>304</v>
      </c>
      <c r="C4235" s="733">
        <v>40949</v>
      </c>
      <c r="D42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35" t="s">
        <v>505</v>
      </c>
      <c r="F4235" t="s">
        <v>1915</v>
      </c>
      <c r="G4235" t="s">
        <v>2293</v>
      </c>
      <c r="H4235">
        <v>22640</v>
      </c>
      <c r="I4235" t="s">
        <v>423</v>
      </c>
      <c r="J4235" t="s">
        <v>1943</v>
      </c>
      <c r="K4235" t="s">
        <v>1918</v>
      </c>
      <c r="L4235" t="s">
        <v>1919</v>
      </c>
      <c r="M4235">
        <v>319</v>
      </c>
      <c r="N4235">
        <v>53.37</v>
      </c>
      <c r="O4235">
        <v>15650.22</v>
      </c>
      <c r="P4235">
        <v>0</v>
      </c>
      <c r="Q4235">
        <v>15650.22</v>
      </c>
      <c r="R4235">
        <v>2504.04</v>
      </c>
      <c r="S4235">
        <v>626.01</v>
      </c>
      <c r="T4235">
        <v>17528.25</v>
      </c>
      <c r="U4235" t="s">
        <v>7522</v>
      </c>
      <c r="V4235" t="s">
        <v>9409</v>
      </c>
      <c r="W4235" t="s">
        <v>423</v>
      </c>
    </row>
    <row r="4236" spans="1:23" hidden="1" x14ac:dyDescent="0.2">
      <c r="A4236">
        <v>2012</v>
      </c>
      <c r="B4236" t="s">
        <v>303</v>
      </c>
      <c r="C4236" s="733">
        <v>40924</v>
      </c>
      <c r="D42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36" t="s">
        <v>485</v>
      </c>
      <c r="F4236" t="s">
        <v>2136</v>
      </c>
      <c r="G4236" t="s">
        <v>3973</v>
      </c>
      <c r="H4236">
        <v>40034</v>
      </c>
      <c r="I4236" t="s">
        <v>423</v>
      </c>
      <c r="J4236" t="s">
        <v>3972</v>
      </c>
      <c r="K4236" t="s">
        <v>2183</v>
      </c>
      <c r="L4236" t="s">
        <v>2184</v>
      </c>
      <c r="M4236">
        <v>184</v>
      </c>
      <c r="N4236">
        <v>28.2</v>
      </c>
      <c r="O4236">
        <v>5017.34</v>
      </c>
      <c r="P4236">
        <v>0</v>
      </c>
      <c r="Q4236">
        <v>5017.34</v>
      </c>
      <c r="R4236">
        <v>802.78</v>
      </c>
      <c r="S4236">
        <v>200.69</v>
      </c>
      <c r="T4236">
        <v>5619.43</v>
      </c>
      <c r="U4236" t="s">
        <v>7554</v>
      </c>
      <c r="V4236" t="s">
        <v>9408</v>
      </c>
      <c r="W4236" t="s">
        <v>423</v>
      </c>
    </row>
    <row r="4237" spans="1:23" hidden="1" x14ac:dyDescent="0.2">
      <c r="A4237">
        <v>2012</v>
      </c>
      <c r="B4237" t="s">
        <v>304</v>
      </c>
      <c r="C4237" s="733">
        <v>40947</v>
      </c>
      <c r="D42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37" t="s">
        <v>505</v>
      </c>
      <c r="F4237" t="s">
        <v>1915</v>
      </c>
      <c r="G4237" t="s">
        <v>2301</v>
      </c>
      <c r="H4237">
        <v>22533</v>
      </c>
      <c r="I4237" t="s">
        <v>423</v>
      </c>
      <c r="J4237" t="s">
        <v>1943</v>
      </c>
      <c r="K4237" t="s">
        <v>1918</v>
      </c>
      <c r="L4237" t="s">
        <v>1919</v>
      </c>
      <c r="M4237">
        <v>319</v>
      </c>
      <c r="N4237">
        <v>26.77</v>
      </c>
      <c r="O4237">
        <v>7850.03</v>
      </c>
      <c r="P4237">
        <v>0</v>
      </c>
      <c r="Q4237">
        <v>7850.03</v>
      </c>
      <c r="R4237">
        <v>1256.01</v>
      </c>
      <c r="S4237">
        <v>314</v>
      </c>
      <c r="T4237">
        <v>8792.0400000000009</v>
      </c>
      <c r="U4237" t="s">
        <v>1924</v>
      </c>
      <c r="V4237" t="s">
        <v>9408</v>
      </c>
      <c r="W4237" t="s">
        <v>423</v>
      </c>
    </row>
    <row r="4238" spans="1:23" hidden="1" x14ac:dyDescent="0.2">
      <c r="A4238">
        <v>2012</v>
      </c>
      <c r="B4238" t="s">
        <v>304</v>
      </c>
      <c r="C4238" s="733">
        <v>40960</v>
      </c>
      <c r="D42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38" t="s">
        <v>478</v>
      </c>
      <c r="F4238" t="s">
        <v>2136</v>
      </c>
      <c r="G4238" t="s">
        <v>8362</v>
      </c>
      <c r="H4238">
        <v>35777</v>
      </c>
      <c r="I4238" t="s">
        <v>423</v>
      </c>
      <c r="J4238" t="s">
        <v>5735</v>
      </c>
      <c r="K4238" t="s">
        <v>425</v>
      </c>
      <c r="L4238" t="s">
        <v>2145</v>
      </c>
      <c r="M4238">
        <v>193</v>
      </c>
      <c r="N4238">
        <v>21.7</v>
      </c>
      <c r="O4238">
        <v>3856.31</v>
      </c>
      <c r="P4238">
        <v>0</v>
      </c>
      <c r="Q4238">
        <v>3856.31</v>
      </c>
      <c r="R4238">
        <v>617.01</v>
      </c>
      <c r="S4238">
        <v>154.25</v>
      </c>
      <c r="T4238">
        <v>4319.07</v>
      </c>
      <c r="U4238" t="s">
        <v>8312</v>
      </c>
      <c r="V4238" t="s">
        <v>9408</v>
      </c>
      <c r="W4238" t="s">
        <v>423</v>
      </c>
    </row>
    <row r="4239" spans="1:23" hidden="1" x14ac:dyDescent="0.2">
      <c r="A4239">
        <v>2012</v>
      </c>
      <c r="B4239" t="s">
        <v>304</v>
      </c>
      <c r="C4239" s="733">
        <v>40947</v>
      </c>
      <c r="D42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39" t="s">
        <v>505</v>
      </c>
      <c r="F4239" t="s">
        <v>1915</v>
      </c>
      <c r="G4239" t="s">
        <v>2302</v>
      </c>
      <c r="H4239">
        <v>22530</v>
      </c>
      <c r="I4239" t="s">
        <v>423</v>
      </c>
      <c r="J4239" t="s">
        <v>1943</v>
      </c>
      <c r="K4239" t="s">
        <v>1918</v>
      </c>
      <c r="L4239" t="s">
        <v>1919</v>
      </c>
      <c r="M4239">
        <v>319</v>
      </c>
      <c r="N4239">
        <v>53.39</v>
      </c>
      <c r="O4239">
        <v>15656.08</v>
      </c>
      <c r="P4239">
        <v>0</v>
      </c>
      <c r="Q4239">
        <v>15656.08</v>
      </c>
      <c r="R4239">
        <v>2504.9699999999998</v>
      </c>
      <c r="S4239">
        <v>626.24</v>
      </c>
      <c r="T4239">
        <v>17534.810000000001</v>
      </c>
      <c r="U4239" t="s">
        <v>1924</v>
      </c>
      <c r="V4239" t="s">
        <v>9409</v>
      </c>
      <c r="W4239" t="s">
        <v>423</v>
      </c>
    </row>
    <row r="4240" spans="1:23" hidden="1" x14ac:dyDescent="0.2">
      <c r="A4240">
        <v>2012</v>
      </c>
      <c r="B4240" t="s">
        <v>303</v>
      </c>
      <c r="C4240" s="733">
        <v>40926</v>
      </c>
      <c r="D42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40" t="s">
        <v>505</v>
      </c>
      <c r="F4240" t="s">
        <v>1915</v>
      </c>
      <c r="G4240" t="s">
        <v>2670</v>
      </c>
      <c r="H4240">
        <v>22057</v>
      </c>
      <c r="I4240" t="s">
        <v>423</v>
      </c>
      <c r="J4240" t="s">
        <v>1943</v>
      </c>
      <c r="K4240" t="s">
        <v>1918</v>
      </c>
      <c r="L4240" t="s">
        <v>1919</v>
      </c>
      <c r="M4240">
        <v>319</v>
      </c>
      <c r="N4240">
        <v>52.6</v>
      </c>
      <c r="O4240">
        <v>15424.42</v>
      </c>
      <c r="P4240">
        <v>0</v>
      </c>
      <c r="Q4240">
        <v>15424.42</v>
      </c>
      <c r="R4240">
        <v>2467.91</v>
      </c>
      <c r="S4240">
        <v>616.98</v>
      </c>
      <c r="T4240">
        <v>17275.349999999999</v>
      </c>
      <c r="U4240" t="s">
        <v>1936</v>
      </c>
      <c r="V4240" t="s">
        <v>9409</v>
      </c>
      <c r="W4240" t="s">
        <v>423</v>
      </c>
    </row>
    <row r="4241" spans="1:23" hidden="1" x14ac:dyDescent="0.2">
      <c r="A4241">
        <v>2012</v>
      </c>
      <c r="B4241" t="s">
        <v>304</v>
      </c>
      <c r="C4241" s="733">
        <v>40946</v>
      </c>
      <c r="D42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41" t="s">
        <v>485</v>
      </c>
      <c r="F4241" t="s">
        <v>2065</v>
      </c>
      <c r="G4241" t="s">
        <v>3305</v>
      </c>
      <c r="H4241">
        <v>41351</v>
      </c>
      <c r="I4241" t="s">
        <v>423</v>
      </c>
      <c r="J4241" t="s">
        <v>2126</v>
      </c>
      <c r="K4241" t="s">
        <v>2102</v>
      </c>
      <c r="L4241" t="s">
        <v>2115</v>
      </c>
      <c r="M4241">
        <v>930</v>
      </c>
      <c r="N4241">
        <v>50.93</v>
      </c>
      <c r="O4241">
        <v>29899.98</v>
      </c>
      <c r="P4241">
        <v>0</v>
      </c>
      <c r="Q4241">
        <v>29899.98</v>
      </c>
      <c r="R4241">
        <v>4784</v>
      </c>
      <c r="S4241">
        <v>1196</v>
      </c>
      <c r="T4241">
        <v>33487.980000000003</v>
      </c>
      <c r="U4241" t="s">
        <v>7462</v>
      </c>
      <c r="V4241" t="s">
        <v>9409</v>
      </c>
      <c r="W4241" t="s">
        <v>423</v>
      </c>
    </row>
    <row r="4242" spans="1:23" hidden="1" x14ac:dyDescent="0.2">
      <c r="A4242">
        <v>2012</v>
      </c>
      <c r="B4242" t="s">
        <v>304</v>
      </c>
      <c r="C4242" s="733">
        <v>40952</v>
      </c>
      <c r="D42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42" t="s">
        <v>478</v>
      </c>
      <c r="F4242" t="s">
        <v>3787</v>
      </c>
      <c r="G4242" t="s">
        <v>3795</v>
      </c>
      <c r="H4242">
        <v>34323</v>
      </c>
      <c r="I4242" t="s">
        <v>423</v>
      </c>
      <c r="J4242" t="s">
        <v>3789</v>
      </c>
      <c r="K4242" t="s">
        <v>3481</v>
      </c>
      <c r="L4242" t="s">
        <v>3482</v>
      </c>
      <c r="M4242">
        <v>27</v>
      </c>
      <c r="N4242">
        <v>28.53</v>
      </c>
      <c r="O4242">
        <v>3220.18</v>
      </c>
      <c r="P4242">
        <v>0</v>
      </c>
      <c r="Q4242">
        <v>3220.18</v>
      </c>
      <c r="R4242">
        <v>515.23</v>
      </c>
      <c r="S4242">
        <v>128.81</v>
      </c>
      <c r="T4242">
        <v>3606.6</v>
      </c>
      <c r="U4242" t="s">
        <v>3483</v>
      </c>
      <c r="V4242" t="s">
        <v>9408</v>
      </c>
      <c r="W4242" t="s">
        <v>423</v>
      </c>
    </row>
    <row r="4243" spans="1:23" hidden="1" x14ac:dyDescent="0.2">
      <c r="A4243">
        <v>2012</v>
      </c>
      <c r="B4243" t="s">
        <v>304</v>
      </c>
      <c r="C4243" s="733">
        <v>40952</v>
      </c>
      <c r="D42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43" t="s">
        <v>478</v>
      </c>
      <c r="F4243" t="s">
        <v>2136</v>
      </c>
      <c r="G4243" t="s">
        <v>3782</v>
      </c>
      <c r="H4243">
        <v>34330</v>
      </c>
      <c r="I4243" t="s">
        <v>423</v>
      </c>
      <c r="J4243" t="s">
        <v>3480</v>
      </c>
      <c r="K4243" t="s">
        <v>3481</v>
      </c>
      <c r="L4243" t="s">
        <v>3482</v>
      </c>
      <c r="M4243">
        <v>75</v>
      </c>
      <c r="N4243">
        <v>38.340000000000003</v>
      </c>
      <c r="O4243">
        <v>4327.4399999999996</v>
      </c>
      <c r="P4243">
        <v>0</v>
      </c>
      <c r="Q4243">
        <v>4327.4399999999996</v>
      </c>
      <c r="R4243">
        <v>692.39</v>
      </c>
      <c r="S4243">
        <v>173.1</v>
      </c>
      <c r="T4243">
        <v>4846.7299999999996</v>
      </c>
      <c r="U4243" t="s">
        <v>3483</v>
      </c>
      <c r="V4243" t="s">
        <v>9408</v>
      </c>
      <c r="W4243" t="s">
        <v>423</v>
      </c>
    </row>
    <row r="4244" spans="1:23" hidden="1" x14ac:dyDescent="0.2">
      <c r="A4244">
        <v>2012</v>
      </c>
      <c r="B4244" t="s">
        <v>303</v>
      </c>
      <c r="C4244" s="733">
        <v>40936</v>
      </c>
      <c r="D42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44" t="s">
        <v>478</v>
      </c>
      <c r="F4244" t="s">
        <v>2136</v>
      </c>
      <c r="G4244" t="s">
        <v>3783</v>
      </c>
      <c r="H4244">
        <v>34729</v>
      </c>
      <c r="I4244" t="s">
        <v>423</v>
      </c>
      <c r="J4244" t="s">
        <v>3480</v>
      </c>
      <c r="K4244" t="s">
        <v>3481</v>
      </c>
      <c r="L4244" t="s">
        <v>3482</v>
      </c>
      <c r="M4244">
        <v>75</v>
      </c>
      <c r="N4244">
        <v>42.414999999999999</v>
      </c>
      <c r="O4244">
        <v>4787.38</v>
      </c>
      <c r="P4244">
        <v>0</v>
      </c>
      <c r="Q4244">
        <v>4787.38</v>
      </c>
      <c r="R4244">
        <v>765.98</v>
      </c>
      <c r="S4244">
        <v>191.5</v>
      </c>
      <c r="T4244">
        <v>5361.86</v>
      </c>
      <c r="U4244" t="s">
        <v>3784</v>
      </c>
      <c r="V4244" t="s">
        <v>9408</v>
      </c>
      <c r="W4244" t="s">
        <v>423</v>
      </c>
    </row>
    <row r="4245" spans="1:23" hidden="1" x14ac:dyDescent="0.2">
      <c r="A4245">
        <v>2012</v>
      </c>
      <c r="B4245" t="s">
        <v>303</v>
      </c>
      <c r="C4245" s="733">
        <v>40936</v>
      </c>
      <c r="D42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45" t="s">
        <v>478</v>
      </c>
      <c r="F4245" t="s">
        <v>2136</v>
      </c>
      <c r="G4245" t="s">
        <v>3785</v>
      </c>
      <c r="H4245">
        <v>34732</v>
      </c>
      <c r="I4245" t="s">
        <v>423</v>
      </c>
      <c r="J4245" t="s">
        <v>3480</v>
      </c>
      <c r="K4245" t="s">
        <v>3481</v>
      </c>
      <c r="L4245" t="s">
        <v>3482</v>
      </c>
      <c r="M4245">
        <v>75</v>
      </c>
      <c r="N4245">
        <v>30</v>
      </c>
      <c r="O4245">
        <v>3386.1</v>
      </c>
      <c r="P4245">
        <v>0</v>
      </c>
      <c r="Q4245">
        <v>3386.1</v>
      </c>
      <c r="R4245">
        <v>541.78</v>
      </c>
      <c r="S4245">
        <v>135.44</v>
      </c>
      <c r="T4245">
        <v>3792.44</v>
      </c>
      <c r="U4245" t="s">
        <v>3784</v>
      </c>
      <c r="V4245" t="s">
        <v>9408</v>
      </c>
      <c r="W4245" t="s">
        <v>423</v>
      </c>
    </row>
    <row r="4246" spans="1:23" hidden="1" x14ac:dyDescent="0.2">
      <c r="A4246">
        <v>2012</v>
      </c>
      <c r="B4246" t="s">
        <v>304</v>
      </c>
      <c r="C4246" s="733">
        <v>40952.538206018522</v>
      </c>
      <c r="D42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46" t="s">
        <v>478</v>
      </c>
      <c r="F4246" t="s">
        <v>3787</v>
      </c>
      <c r="G4246" t="s">
        <v>3790</v>
      </c>
      <c r="H4246">
        <v>35539</v>
      </c>
      <c r="I4246" t="s">
        <v>423</v>
      </c>
      <c r="J4246" t="s">
        <v>3480</v>
      </c>
      <c r="K4246" t="s">
        <v>3481</v>
      </c>
      <c r="L4246" t="s">
        <v>3482</v>
      </c>
      <c r="M4246">
        <v>75</v>
      </c>
      <c r="N4246">
        <v>27.55</v>
      </c>
      <c r="O4246">
        <v>3109.57</v>
      </c>
      <c r="P4246">
        <v>0</v>
      </c>
      <c r="Q4246">
        <v>3109.57</v>
      </c>
      <c r="R4246">
        <v>497.53</v>
      </c>
      <c r="S4246">
        <v>124.38</v>
      </c>
      <c r="T4246">
        <v>3482.72</v>
      </c>
      <c r="U4246" t="s">
        <v>3483</v>
      </c>
      <c r="V4246" t="s">
        <v>9408</v>
      </c>
      <c r="W4246" t="s">
        <v>423</v>
      </c>
    </row>
    <row r="4247" spans="1:23" hidden="1" x14ac:dyDescent="0.2">
      <c r="A4247">
        <v>2012</v>
      </c>
      <c r="B4247" t="s">
        <v>304</v>
      </c>
      <c r="C4247" s="733">
        <v>40952.540173611109</v>
      </c>
      <c r="D42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47" t="s">
        <v>478</v>
      </c>
      <c r="F4247" t="s">
        <v>3787</v>
      </c>
      <c r="G4247" t="s">
        <v>3791</v>
      </c>
      <c r="H4247">
        <v>35542</v>
      </c>
      <c r="I4247" t="s">
        <v>423</v>
      </c>
      <c r="J4247" t="s">
        <v>3480</v>
      </c>
      <c r="K4247" t="s">
        <v>3481</v>
      </c>
      <c r="L4247" t="s">
        <v>3482</v>
      </c>
      <c r="M4247">
        <v>75</v>
      </c>
      <c r="N4247">
        <v>26.95</v>
      </c>
      <c r="O4247">
        <v>3041.85</v>
      </c>
      <c r="P4247">
        <v>0</v>
      </c>
      <c r="Q4247">
        <v>3041.85</v>
      </c>
      <c r="R4247">
        <v>486.7</v>
      </c>
      <c r="S4247">
        <v>121.67</v>
      </c>
      <c r="T4247">
        <v>3406.88</v>
      </c>
      <c r="U4247" t="s">
        <v>3483</v>
      </c>
      <c r="V4247" t="s">
        <v>9408</v>
      </c>
      <c r="W4247" t="s">
        <v>423</v>
      </c>
    </row>
    <row r="4248" spans="1:23" hidden="1" x14ac:dyDescent="0.2">
      <c r="A4248">
        <v>2012</v>
      </c>
      <c r="B4248" t="s">
        <v>303</v>
      </c>
      <c r="C4248" s="733">
        <v>40936</v>
      </c>
      <c r="D42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48" t="s">
        <v>478</v>
      </c>
      <c r="F4248" t="s">
        <v>3787</v>
      </c>
      <c r="G4248" t="s">
        <v>3792</v>
      </c>
      <c r="H4248">
        <v>34553</v>
      </c>
      <c r="I4248" t="s">
        <v>423</v>
      </c>
      <c r="J4248" t="s">
        <v>3480</v>
      </c>
      <c r="K4248" t="s">
        <v>3481</v>
      </c>
      <c r="L4248" t="s">
        <v>3482</v>
      </c>
      <c r="M4248">
        <v>75</v>
      </c>
      <c r="N4248">
        <v>28.01</v>
      </c>
      <c r="O4248">
        <v>3161.49</v>
      </c>
      <c r="P4248">
        <v>0</v>
      </c>
      <c r="Q4248">
        <v>3161.49</v>
      </c>
      <c r="R4248">
        <v>505.84</v>
      </c>
      <c r="S4248">
        <v>126.46</v>
      </c>
      <c r="T4248">
        <v>3540.87</v>
      </c>
      <c r="U4248" t="s">
        <v>3784</v>
      </c>
      <c r="V4248" t="s">
        <v>9408</v>
      </c>
      <c r="W4248" t="s">
        <v>423</v>
      </c>
    </row>
    <row r="4249" spans="1:23" hidden="1" x14ac:dyDescent="0.2">
      <c r="A4249">
        <v>2012</v>
      </c>
      <c r="B4249" t="s">
        <v>303</v>
      </c>
      <c r="C4249" s="733">
        <v>40936</v>
      </c>
      <c r="D42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49" t="s">
        <v>478</v>
      </c>
      <c r="F4249" t="s">
        <v>3787</v>
      </c>
      <c r="G4249" t="s">
        <v>3793</v>
      </c>
      <c r="H4249">
        <v>35023</v>
      </c>
      <c r="I4249" t="s">
        <v>423</v>
      </c>
      <c r="J4249" t="s">
        <v>3480</v>
      </c>
      <c r="K4249" t="s">
        <v>3481</v>
      </c>
      <c r="L4249" t="s">
        <v>3482</v>
      </c>
      <c r="M4249">
        <v>75</v>
      </c>
      <c r="N4249">
        <v>29.85</v>
      </c>
      <c r="O4249">
        <v>3369.17</v>
      </c>
      <c r="P4249">
        <v>0</v>
      </c>
      <c r="Q4249">
        <v>3369.17</v>
      </c>
      <c r="R4249">
        <v>539.07000000000005</v>
      </c>
      <c r="S4249">
        <v>134.77000000000001</v>
      </c>
      <c r="T4249">
        <v>3773.47</v>
      </c>
      <c r="U4249" t="s">
        <v>3794</v>
      </c>
      <c r="V4249" t="s">
        <v>9408</v>
      </c>
      <c r="W4249" t="s">
        <v>423</v>
      </c>
    </row>
    <row r="4250" spans="1:23" hidden="1" x14ac:dyDescent="0.2">
      <c r="A4250">
        <v>2012</v>
      </c>
      <c r="B4250" t="s">
        <v>303</v>
      </c>
      <c r="C4250" s="733">
        <v>40939</v>
      </c>
      <c r="D42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50" t="s">
        <v>485</v>
      </c>
      <c r="F4250" t="s">
        <v>2065</v>
      </c>
      <c r="G4250" t="s">
        <v>3304</v>
      </c>
      <c r="H4250">
        <v>41023</v>
      </c>
      <c r="I4250" t="s">
        <v>423</v>
      </c>
      <c r="J4250" t="s">
        <v>2126</v>
      </c>
      <c r="K4250" t="s">
        <v>2102</v>
      </c>
      <c r="L4250" t="s">
        <v>2115</v>
      </c>
      <c r="M4250">
        <v>930</v>
      </c>
      <c r="N4250">
        <v>25.13</v>
      </c>
      <c r="O4250">
        <v>14753.32</v>
      </c>
      <c r="P4250">
        <v>0</v>
      </c>
      <c r="Q4250">
        <v>14753.32</v>
      </c>
      <c r="R4250">
        <v>2360.5300000000002</v>
      </c>
      <c r="S4250">
        <v>590.13</v>
      </c>
      <c r="T4250">
        <v>16523.72</v>
      </c>
      <c r="U4250" t="s">
        <v>2110</v>
      </c>
      <c r="V4250" t="s">
        <v>9408</v>
      </c>
      <c r="W4250" t="s">
        <v>423</v>
      </c>
    </row>
    <row r="4251" spans="1:23" hidden="1" x14ac:dyDescent="0.2">
      <c r="A4251">
        <v>2012</v>
      </c>
      <c r="B4251" t="s">
        <v>304</v>
      </c>
      <c r="C4251" s="733">
        <v>40961</v>
      </c>
      <c r="D42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51" t="s">
        <v>478</v>
      </c>
      <c r="F4251" t="s">
        <v>2136</v>
      </c>
      <c r="G4251" t="s">
        <v>8282</v>
      </c>
      <c r="H4251">
        <v>34550</v>
      </c>
      <c r="I4251" t="s">
        <v>424</v>
      </c>
      <c r="J4251" t="s">
        <v>5684</v>
      </c>
      <c r="K4251" t="s">
        <v>425</v>
      </c>
      <c r="L4251" t="s">
        <v>2145</v>
      </c>
      <c r="M4251">
        <v>484</v>
      </c>
      <c r="N4251">
        <v>29.25</v>
      </c>
      <c r="O4251">
        <v>6036.32</v>
      </c>
      <c r="P4251">
        <v>0</v>
      </c>
      <c r="Q4251">
        <v>6036.32</v>
      </c>
      <c r="R4251">
        <v>965.81</v>
      </c>
      <c r="S4251">
        <v>241.45</v>
      </c>
      <c r="T4251">
        <v>6760.68</v>
      </c>
      <c r="U4251" t="s">
        <v>8510</v>
      </c>
      <c r="V4251" t="s">
        <v>9408</v>
      </c>
      <c r="W4251" t="s">
        <v>424</v>
      </c>
    </row>
    <row r="4252" spans="1:23" hidden="1" x14ac:dyDescent="0.2">
      <c r="A4252">
        <v>2012</v>
      </c>
      <c r="B4252" t="s">
        <v>303</v>
      </c>
      <c r="C4252" s="733">
        <v>40918</v>
      </c>
      <c r="D42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52" t="s">
        <v>485</v>
      </c>
      <c r="F4252" t="s">
        <v>2065</v>
      </c>
      <c r="G4252" t="s">
        <v>3306</v>
      </c>
      <c r="H4252">
        <v>39865</v>
      </c>
      <c r="I4252" t="s">
        <v>423</v>
      </c>
      <c r="J4252" t="s">
        <v>2126</v>
      </c>
      <c r="K4252" t="s">
        <v>2102</v>
      </c>
      <c r="L4252" t="s">
        <v>2115</v>
      </c>
      <c r="M4252">
        <v>930</v>
      </c>
      <c r="N4252">
        <v>24.87</v>
      </c>
      <c r="O4252">
        <v>14600.68</v>
      </c>
      <c r="P4252">
        <v>0</v>
      </c>
      <c r="Q4252">
        <v>14600.68</v>
      </c>
      <c r="R4252">
        <v>2336.11</v>
      </c>
      <c r="S4252">
        <v>584.03</v>
      </c>
      <c r="T4252">
        <v>16352.76</v>
      </c>
      <c r="U4252" t="s">
        <v>2106</v>
      </c>
      <c r="V4252" t="s">
        <v>9408</v>
      </c>
      <c r="W4252" t="s">
        <v>423</v>
      </c>
    </row>
    <row r="4253" spans="1:23" hidden="1" x14ac:dyDescent="0.2">
      <c r="A4253">
        <v>2012</v>
      </c>
      <c r="B4253" t="s">
        <v>303</v>
      </c>
      <c r="C4253" s="733">
        <v>40939</v>
      </c>
      <c r="D42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53" t="s">
        <v>485</v>
      </c>
      <c r="F4253" t="s">
        <v>3450</v>
      </c>
      <c r="G4253" t="s">
        <v>3642</v>
      </c>
      <c r="H4253">
        <v>40972</v>
      </c>
      <c r="I4253" t="s">
        <v>423</v>
      </c>
      <c r="J4253" t="s">
        <v>3462</v>
      </c>
      <c r="K4253" t="s">
        <v>3453</v>
      </c>
      <c r="L4253" t="s">
        <v>3454</v>
      </c>
      <c r="M4253">
        <v>425</v>
      </c>
      <c r="N4253">
        <v>25.19</v>
      </c>
      <c r="O4253">
        <v>7029.02</v>
      </c>
      <c r="P4253">
        <v>0</v>
      </c>
      <c r="Q4253">
        <v>7029.02</v>
      </c>
      <c r="R4253">
        <v>1124.6400000000001</v>
      </c>
      <c r="S4253">
        <v>281.16000000000003</v>
      </c>
      <c r="T4253">
        <v>7872.5</v>
      </c>
      <c r="U4253" t="s">
        <v>3640</v>
      </c>
      <c r="V4253" t="s">
        <v>9408</v>
      </c>
      <c r="W4253" t="s">
        <v>423</v>
      </c>
    </row>
    <row r="4254" spans="1:23" hidden="1" x14ac:dyDescent="0.2">
      <c r="A4254">
        <v>2012</v>
      </c>
      <c r="B4254" t="s">
        <v>303</v>
      </c>
      <c r="C4254" s="733">
        <v>40939</v>
      </c>
      <c r="D42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54" t="s">
        <v>485</v>
      </c>
      <c r="F4254" t="s">
        <v>3450</v>
      </c>
      <c r="G4254" t="s">
        <v>3641</v>
      </c>
      <c r="H4254">
        <v>41073</v>
      </c>
      <c r="I4254" t="s">
        <v>423</v>
      </c>
      <c r="J4254" t="s">
        <v>3462</v>
      </c>
      <c r="K4254" t="s">
        <v>3453</v>
      </c>
      <c r="L4254" t="s">
        <v>3454</v>
      </c>
      <c r="M4254">
        <v>425</v>
      </c>
      <c r="N4254">
        <v>28.58</v>
      </c>
      <c r="O4254">
        <v>7974.96</v>
      </c>
      <c r="P4254">
        <v>0</v>
      </c>
      <c r="Q4254">
        <v>7974.96</v>
      </c>
      <c r="R4254">
        <v>1275.99</v>
      </c>
      <c r="S4254">
        <v>319</v>
      </c>
      <c r="T4254">
        <v>8931.9500000000007</v>
      </c>
      <c r="U4254" t="s">
        <v>3640</v>
      </c>
      <c r="V4254" t="s">
        <v>9408</v>
      </c>
      <c r="W4254" t="s">
        <v>423</v>
      </c>
    </row>
    <row r="4255" spans="1:23" hidden="1" x14ac:dyDescent="0.2">
      <c r="A4255">
        <v>2012</v>
      </c>
      <c r="B4255" t="s">
        <v>303</v>
      </c>
      <c r="C4255" s="733">
        <v>40939</v>
      </c>
      <c r="D42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55" t="s">
        <v>485</v>
      </c>
      <c r="F4255" t="s">
        <v>3450</v>
      </c>
      <c r="G4255" t="s">
        <v>3639</v>
      </c>
      <c r="H4255">
        <v>40970</v>
      </c>
      <c r="I4255" t="s">
        <v>423</v>
      </c>
      <c r="J4255" t="s">
        <v>3462</v>
      </c>
      <c r="K4255" t="s">
        <v>3453</v>
      </c>
      <c r="L4255" t="s">
        <v>3454</v>
      </c>
      <c r="M4255">
        <v>425</v>
      </c>
      <c r="N4255">
        <v>47.45</v>
      </c>
      <c r="O4255">
        <v>13240.45</v>
      </c>
      <c r="P4255">
        <v>0</v>
      </c>
      <c r="Q4255">
        <v>13240.45</v>
      </c>
      <c r="R4255">
        <v>2118.4699999999998</v>
      </c>
      <c r="S4255">
        <v>529.62</v>
      </c>
      <c r="T4255">
        <v>14829.3</v>
      </c>
      <c r="U4255" t="s">
        <v>3640</v>
      </c>
      <c r="V4255" t="s">
        <v>9409</v>
      </c>
      <c r="W4255" t="s">
        <v>423</v>
      </c>
    </row>
    <row r="4256" spans="1:23" hidden="1" x14ac:dyDescent="0.2">
      <c r="A4256">
        <v>2012</v>
      </c>
      <c r="B4256" t="s">
        <v>304</v>
      </c>
      <c r="C4256" s="733">
        <v>40940</v>
      </c>
      <c r="D42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56" t="s">
        <v>485</v>
      </c>
      <c r="F4256" t="s">
        <v>2065</v>
      </c>
      <c r="G4256" t="s">
        <v>4624</v>
      </c>
      <c r="H4256">
        <v>41153</v>
      </c>
      <c r="I4256" t="s">
        <v>423</v>
      </c>
      <c r="J4256" t="s">
        <v>2126</v>
      </c>
      <c r="K4256" t="s">
        <v>2102</v>
      </c>
      <c r="L4256" t="s">
        <v>2115</v>
      </c>
      <c r="M4256">
        <v>930</v>
      </c>
      <c r="N4256">
        <v>50.61</v>
      </c>
      <c r="O4256">
        <v>29712.12</v>
      </c>
      <c r="P4256">
        <v>0</v>
      </c>
      <c r="Q4256">
        <v>29712.12</v>
      </c>
      <c r="R4256">
        <v>4753.9399999999996</v>
      </c>
      <c r="S4256">
        <v>1188.48</v>
      </c>
      <c r="T4256">
        <v>33277.58</v>
      </c>
      <c r="U4256" t="s">
        <v>2110</v>
      </c>
      <c r="V4256" t="s">
        <v>9409</v>
      </c>
      <c r="W4256" t="s">
        <v>423</v>
      </c>
    </row>
    <row r="4257" spans="1:23" hidden="1" x14ac:dyDescent="0.2">
      <c r="A4257">
        <v>2012</v>
      </c>
      <c r="B4257" t="s">
        <v>304</v>
      </c>
      <c r="C4257" s="733">
        <v>40942</v>
      </c>
      <c r="D42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57" t="s">
        <v>478</v>
      </c>
      <c r="F4257" t="s">
        <v>2136</v>
      </c>
      <c r="G4257" t="s">
        <v>3786</v>
      </c>
      <c r="H4257">
        <v>35307</v>
      </c>
      <c r="I4257" t="s">
        <v>423</v>
      </c>
      <c r="J4257" t="s">
        <v>3480</v>
      </c>
      <c r="K4257" t="s">
        <v>3481</v>
      </c>
      <c r="L4257" t="s">
        <v>3482</v>
      </c>
      <c r="M4257">
        <v>75</v>
      </c>
      <c r="N4257">
        <v>35.58</v>
      </c>
      <c r="O4257">
        <v>4015.91</v>
      </c>
      <c r="P4257">
        <v>0</v>
      </c>
      <c r="Q4257">
        <v>4015.91</v>
      </c>
      <c r="R4257">
        <v>642.54999999999995</v>
      </c>
      <c r="S4257">
        <v>160.63999999999999</v>
      </c>
      <c r="T4257">
        <v>4497.82</v>
      </c>
      <c r="V4257" t="s">
        <v>9408</v>
      </c>
      <c r="W4257" t="s">
        <v>423</v>
      </c>
    </row>
    <row r="4258" spans="1:23" hidden="1" x14ac:dyDescent="0.2">
      <c r="A4258">
        <v>2012</v>
      </c>
      <c r="B4258" t="s">
        <v>304</v>
      </c>
      <c r="C4258" s="733">
        <v>40941</v>
      </c>
      <c r="D42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58" t="s">
        <v>485</v>
      </c>
      <c r="F4258" t="s">
        <v>2099</v>
      </c>
      <c r="G4258" t="s">
        <v>3300</v>
      </c>
      <c r="H4258">
        <v>40153</v>
      </c>
      <c r="I4258" t="s">
        <v>423</v>
      </c>
      <c r="J4258" t="s">
        <v>2101</v>
      </c>
      <c r="K4258" t="s">
        <v>2102</v>
      </c>
      <c r="L4258" t="s">
        <v>2103</v>
      </c>
      <c r="M4258">
        <v>119</v>
      </c>
      <c r="N4258">
        <v>24.62</v>
      </c>
      <c r="O4258">
        <v>4129.51</v>
      </c>
      <c r="P4258">
        <v>0</v>
      </c>
      <c r="Q4258">
        <v>4129.51</v>
      </c>
      <c r="R4258">
        <v>660.72</v>
      </c>
      <c r="S4258">
        <v>165.18</v>
      </c>
      <c r="T4258">
        <v>4625.05</v>
      </c>
      <c r="U4258" t="s">
        <v>2110</v>
      </c>
      <c r="V4258" t="s">
        <v>9408</v>
      </c>
      <c r="W4258" t="s">
        <v>423</v>
      </c>
    </row>
    <row r="4259" spans="1:23" hidden="1" x14ac:dyDescent="0.2">
      <c r="A4259">
        <v>2012</v>
      </c>
      <c r="B4259" t="s">
        <v>304</v>
      </c>
      <c r="C4259" s="733">
        <v>40962</v>
      </c>
      <c r="D42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59" t="s">
        <v>485</v>
      </c>
      <c r="F4259" t="s">
        <v>2099</v>
      </c>
      <c r="G4259" t="s">
        <v>8626</v>
      </c>
      <c r="H4259">
        <v>42485</v>
      </c>
      <c r="I4259" t="s">
        <v>423</v>
      </c>
      <c r="J4259" t="s">
        <v>2101</v>
      </c>
      <c r="K4259" t="s">
        <v>2102</v>
      </c>
      <c r="L4259" t="s">
        <v>2103</v>
      </c>
      <c r="M4259">
        <v>119</v>
      </c>
      <c r="N4259">
        <v>23.48</v>
      </c>
      <c r="O4259">
        <v>3938.3</v>
      </c>
      <c r="P4259">
        <v>0</v>
      </c>
      <c r="Q4259">
        <v>3938.3</v>
      </c>
      <c r="R4259">
        <v>630.13</v>
      </c>
      <c r="S4259">
        <v>157.53</v>
      </c>
      <c r="T4259">
        <v>4410.8999999999996</v>
      </c>
      <c r="U4259" t="s">
        <v>8883</v>
      </c>
      <c r="V4259" t="s">
        <v>9408</v>
      </c>
      <c r="W4259" t="s">
        <v>423</v>
      </c>
    </row>
    <row r="4260" spans="1:23" hidden="1" x14ac:dyDescent="0.2">
      <c r="A4260">
        <v>2012</v>
      </c>
      <c r="B4260" t="s">
        <v>304</v>
      </c>
      <c r="C4260" s="733">
        <v>40941</v>
      </c>
      <c r="D42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60" t="s">
        <v>485</v>
      </c>
      <c r="F4260" t="s">
        <v>2099</v>
      </c>
      <c r="G4260" t="s">
        <v>3630</v>
      </c>
      <c r="H4260">
        <v>39842</v>
      </c>
      <c r="I4260" t="s">
        <v>423</v>
      </c>
      <c r="J4260" t="s">
        <v>2101</v>
      </c>
      <c r="K4260" t="s">
        <v>2102</v>
      </c>
      <c r="L4260" t="s">
        <v>2052</v>
      </c>
      <c r="M4260">
        <v>119</v>
      </c>
      <c r="N4260">
        <v>49.88</v>
      </c>
      <c r="O4260">
        <v>8366.3700000000008</v>
      </c>
      <c r="P4260">
        <v>0</v>
      </c>
      <c r="Q4260">
        <v>8366.3700000000008</v>
      </c>
      <c r="R4260">
        <v>1338.62</v>
      </c>
      <c r="S4260">
        <v>334.65</v>
      </c>
      <c r="T4260">
        <v>9370.34</v>
      </c>
      <c r="V4260" t="s">
        <v>9409</v>
      </c>
      <c r="W4260" t="s">
        <v>423</v>
      </c>
    </row>
    <row r="4261" spans="1:23" hidden="1" x14ac:dyDescent="0.2">
      <c r="A4261">
        <v>2012</v>
      </c>
      <c r="B4261" t="s">
        <v>304</v>
      </c>
      <c r="C4261" s="733">
        <v>40941</v>
      </c>
      <c r="D42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61" t="s">
        <v>485</v>
      </c>
      <c r="F4261" t="s">
        <v>2099</v>
      </c>
      <c r="G4261" t="s">
        <v>3631</v>
      </c>
      <c r="H4261">
        <v>39903</v>
      </c>
      <c r="I4261" t="s">
        <v>423</v>
      </c>
      <c r="J4261" t="s">
        <v>2101</v>
      </c>
      <c r="K4261" t="s">
        <v>2102</v>
      </c>
      <c r="L4261" t="s">
        <v>2103</v>
      </c>
      <c r="M4261">
        <v>119</v>
      </c>
      <c r="N4261">
        <v>25.54</v>
      </c>
      <c r="O4261">
        <v>4283.82</v>
      </c>
      <c r="P4261">
        <v>0</v>
      </c>
      <c r="Q4261">
        <v>4283.82</v>
      </c>
      <c r="R4261">
        <v>685.41</v>
      </c>
      <c r="S4261">
        <v>171.35</v>
      </c>
      <c r="T4261">
        <v>4797.88</v>
      </c>
      <c r="U4261" t="s">
        <v>7462</v>
      </c>
      <c r="V4261" t="s">
        <v>9408</v>
      </c>
      <c r="W4261" t="s">
        <v>423</v>
      </c>
    </row>
    <row r="4262" spans="1:23" hidden="1" x14ac:dyDescent="0.2">
      <c r="A4262">
        <v>2012</v>
      </c>
      <c r="B4262" t="s">
        <v>304</v>
      </c>
      <c r="C4262" s="733">
        <v>40953</v>
      </c>
      <c r="D42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62" t="s">
        <v>485</v>
      </c>
      <c r="F4262" t="s">
        <v>2099</v>
      </c>
      <c r="G4262" t="s">
        <v>3299</v>
      </c>
      <c r="H4262">
        <v>41577</v>
      </c>
      <c r="I4262" t="s">
        <v>423</v>
      </c>
      <c r="J4262" t="s">
        <v>2101</v>
      </c>
      <c r="K4262" t="s">
        <v>2102</v>
      </c>
      <c r="L4262" t="s">
        <v>2103</v>
      </c>
      <c r="M4262">
        <v>119</v>
      </c>
      <c r="N4262">
        <v>24.49</v>
      </c>
      <c r="O4262">
        <v>4107.71</v>
      </c>
      <c r="P4262">
        <v>0</v>
      </c>
      <c r="Q4262">
        <v>4107.71</v>
      </c>
      <c r="R4262">
        <v>657.23</v>
      </c>
      <c r="S4262">
        <v>164.31</v>
      </c>
      <c r="T4262">
        <v>4600.63</v>
      </c>
      <c r="U4262" t="s">
        <v>7462</v>
      </c>
      <c r="V4262" t="s">
        <v>9408</v>
      </c>
      <c r="W4262" t="s">
        <v>423</v>
      </c>
    </row>
    <row r="4263" spans="1:23" hidden="1" x14ac:dyDescent="0.2">
      <c r="A4263">
        <v>2012</v>
      </c>
      <c r="B4263" t="s">
        <v>303</v>
      </c>
      <c r="C4263" s="733">
        <v>40926</v>
      </c>
      <c r="D42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63" t="s">
        <v>485</v>
      </c>
      <c r="F4263" t="s">
        <v>2099</v>
      </c>
      <c r="G4263" t="s">
        <v>3628</v>
      </c>
      <c r="H4263">
        <v>40499</v>
      </c>
      <c r="I4263" t="s">
        <v>423</v>
      </c>
      <c r="J4263" t="s">
        <v>2101</v>
      </c>
      <c r="K4263" t="s">
        <v>2102</v>
      </c>
      <c r="L4263" t="s">
        <v>2103</v>
      </c>
      <c r="M4263">
        <v>119</v>
      </c>
      <c r="N4263">
        <v>25.41</v>
      </c>
      <c r="O4263">
        <v>4262.0200000000004</v>
      </c>
      <c r="P4263">
        <v>0</v>
      </c>
      <c r="Q4263">
        <v>4262.0200000000004</v>
      </c>
      <c r="R4263">
        <v>681.92</v>
      </c>
      <c r="S4263">
        <v>170.48</v>
      </c>
      <c r="T4263">
        <v>4773.46</v>
      </c>
      <c r="U4263" t="s">
        <v>2106</v>
      </c>
      <c r="V4263" t="s">
        <v>9408</v>
      </c>
      <c r="W4263" t="s">
        <v>423</v>
      </c>
    </row>
    <row r="4264" spans="1:23" hidden="1" x14ac:dyDescent="0.2">
      <c r="A4264">
        <v>2012</v>
      </c>
      <c r="B4264" t="s">
        <v>303</v>
      </c>
      <c r="C4264" s="733">
        <v>40926</v>
      </c>
      <c r="D42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64" t="s">
        <v>485</v>
      </c>
      <c r="F4264" t="s">
        <v>2099</v>
      </c>
      <c r="G4264" t="s">
        <v>3629</v>
      </c>
      <c r="H4264">
        <v>40502</v>
      </c>
      <c r="I4264" t="s">
        <v>423</v>
      </c>
      <c r="J4264" t="s">
        <v>2101</v>
      </c>
      <c r="K4264" t="s">
        <v>2102</v>
      </c>
      <c r="L4264" t="s">
        <v>2103</v>
      </c>
      <c r="M4264">
        <v>119</v>
      </c>
      <c r="N4264">
        <v>26.17</v>
      </c>
      <c r="O4264">
        <v>4389.49</v>
      </c>
      <c r="P4264">
        <v>0</v>
      </c>
      <c r="Q4264">
        <v>4389.49</v>
      </c>
      <c r="R4264">
        <v>702.32</v>
      </c>
      <c r="S4264">
        <v>175.58</v>
      </c>
      <c r="T4264">
        <v>4916.2299999999996</v>
      </c>
      <c r="U4264" t="s">
        <v>2106</v>
      </c>
      <c r="V4264" t="s">
        <v>9408</v>
      </c>
      <c r="W4264" t="s">
        <v>423</v>
      </c>
    </row>
    <row r="4265" spans="1:23" hidden="1" x14ac:dyDescent="0.2">
      <c r="A4265">
        <v>2012</v>
      </c>
      <c r="B4265" t="s">
        <v>304</v>
      </c>
      <c r="C4265" s="733">
        <v>40941</v>
      </c>
      <c r="D42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65" t="s">
        <v>485</v>
      </c>
      <c r="F4265" t="s">
        <v>2099</v>
      </c>
      <c r="G4265" t="s">
        <v>4292</v>
      </c>
      <c r="H4265">
        <v>39845</v>
      </c>
      <c r="I4265" t="s">
        <v>423</v>
      </c>
      <c r="J4265" t="s">
        <v>2101</v>
      </c>
      <c r="K4265" t="s">
        <v>2102</v>
      </c>
      <c r="L4265" t="s">
        <v>2103</v>
      </c>
      <c r="M4265">
        <v>119</v>
      </c>
      <c r="N4265">
        <v>27.21</v>
      </c>
      <c r="O4265">
        <v>4563.93</v>
      </c>
      <c r="P4265">
        <v>0</v>
      </c>
      <c r="Q4265">
        <v>4563.93</v>
      </c>
      <c r="R4265">
        <v>730.23</v>
      </c>
      <c r="S4265">
        <v>182.56</v>
      </c>
      <c r="T4265">
        <v>5111.6000000000004</v>
      </c>
      <c r="V4265" t="s">
        <v>9408</v>
      </c>
      <c r="W4265" t="s">
        <v>423</v>
      </c>
    </row>
    <row r="4266" spans="1:23" hidden="1" x14ac:dyDescent="0.2">
      <c r="A4266">
        <v>2012</v>
      </c>
      <c r="B4266" t="s">
        <v>304</v>
      </c>
      <c r="C4266" s="733">
        <v>40949</v>
      </c>
      <c r="D42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66" t="s">
        <v>485</v>
      </c>
      <c r="F4266" t="s">
        <v>2084</v>
      </c>
      <c r="G4266" t="s">
        <v>3659</v>
      </c>
      <c r="H4266">
        <v>41373</v>
      </c>
      <c r="I4266" t="s">
        <v>423</v>
      </c>
      <c r="J4266" t="s">
        <v>2836</v>
      </c>
      <c r="K4266" t="s">
        <v>2814</v>
      </c>
      <c r="L4266" t="s">
        <v>2815</v>
      </c>
      <c r="M4266">
        <v>70</v>
      </c>
      <c r="N4266">
        <v>24.358000000000001</v>
      </c>
      <c r="O4266">
        <v>2749.29</v>
      </c>
      <c r="P4266">
        <v>0</v>
      </c>
      <c r="Q4266">
        <v>2749.29</v>
      </c>
      <c r="R4266">
        <v>302.42</v>
      </c>
      <c r="S4266">
        <v>109.97</v>
      </c>
      <c r="T4266">
        <v>2941.74</v>
      </c>
      <c r="U4266" t="s">
        <v>7527</v>
      </c>
      <c r="V4266" t="s">
        <v>9408</v>
      </c>
      <c r="W4266" t="s">
        <v>423</v>
      </c>
    </row>
    <row r="4267" spans="1:23" hidden="1" x14ac:dyDescent="0.2">
      <c r="A4267">
        <v>2012</v>
      </c>
      <c r="B4267" t="s">
        <v>303</v>
      </c>
      <c r="C4267" s="733">
        <v>40938</v>
      </c>
      <c r="D42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67" t="s">
        <v>485</v>
      </c>
      <c r="F4267" t="s">
        <v>2084</v>
      </c>
      <c r="G4267" t="s">
        <v>3773</v>
      </c>
      <c r="H4267">
        <v>40622</v>
      </c>
      <c r="I4267" t="s">
        <v>423</v>
      </c>
      <c r="J4267" t="s">
        <v>2836</v>
      </c>
      <c r="K4267" t="s">
        <v>2814</v>
      </c>
      <c r="L4267" t="s">
        <v>2815</v>
      </c>
      <c r="M4267">
        <v>70</v>
      </c>
      <c r="N4267">
        <v>23.5</v>
      </c>
      <c r="O4267">
        <v>2652.44</v>
      </c>
      <c r="P4267">
        <v>0</v>
      </c>
      <c r="Q4267">
        <v>2652.44</v>
      </c>
      <c r="R4267">
        <v>424.39</v>
      </c>
      <c r="S4267">
        <v>106.1</v>
      </c>
      <c r="T4267">
        <v>2970.73</v>
      </c>
      <c r="U4267" t="s">
        <v>2826</v>
      </c>
      <c r="V4267" t="s">
        <v>9408</v>
      </c>
      <c r="W4267" t="s">
        <v>423</v>
      </c>
    </row>
    <row r="4268" spans="1:23" hidden="1" x14ac:dyDescent="0.2">
      <c r="A4268">
        <v>2012</v>
      </c>
      <c r="B4268" t="s">
        <v>303</v>
      </c>
      <c r="C4268" s="733">
        <v>40929</v>
      </c>
      <c r="D42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68" t="s">
        <v>485</v>
      </c>
      <c r="F4268" t="s">
        <v>2054</v>
      </c>
      <c r="G4268" t="s">
        <v>4082</v>
      </c>
      <c r="H4268">
        <v>10149</v>
      </c>
      <c r="I4268" t="s">
        <v>423</v>
      </c>
      <c r="J4268" t="s">
        <v>2098</v>
      </c>
      <c r="K4268" t="s">
        <v>2057</v>
      </c>
      <c r="L4268" t="s">
        <v>2058</v>
      </c>
      <c r="M4268">
        <v>565</v>
      </c>
      <c r="N4268">
        <v>45.82</v>
      </c>
      <c r="O4268">
        <v>15488.08</v>
      </c>
      <c r="P4268">
        <v>0</v>
      </c>
      <c r="Q4268">
        <v>15488.08</v>
      </c>
      <c r="R4268">
        <v>2478.09</v>
      </c>
      <c r="S4268">
        <v>619.52</v>
      </c>
      <c r="T4268">
        <v>17346.650000000001</v>
      </c>
      <c r="U4268" t="s">
        <v>2077</v>
      </c>
      <c r="V4268" t="s">
        <v>9409</v>
      </c>
      <c r="W4268" t="s">
        <v>423</v>
      </c>
    </row>
    <row r="4269" spans="1:23" hidden="1" x14ac:dyDescent="0.2">
      <c r="A4269">
        <v>2012</v>
      </c>
      <c r="B4269" t="s">
        <v>303</v>
      </c>
      <c r="C4269" s="733">
        <v>40924</v>
      </c>
      <c r="D42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69" t="s">
        <v>485</v>
      </c>
      <c r="F4269" t="s">
        <v>2054</v>
      </c>
      <c r="G4269" t="s">
        <v>4081</v>
      </c>
      <c r="H4269">
        <v>10083</v>
      </c>
      <c r="I4269" t="s">
        <v>423</v>
      </c>
      <c r="J4269" t="s">
        <v>2098</v>
      </c>
      <c r="K4269" t="s">
        <v>2057</v>
      </c>
      <c r="L4269" t="s">
        <v>2058</v>
      </c>
      <c r="M4269">
        <v>565</v>
      </c>
      <c r="N4269">
        <v>48.13</v>
      </c>
      <c r="O4269">
        <v>16268.9</v>
      </c>
      <c r="P4269">
        <v>0</v>
      </c>
      <c r="Q4269">
        <v>16268.9</v>
      </c>
      <c r="R4269">
        <v>2603.02</v>
      </c>
      <c r="S4269">
        <v>650.76</v>
      </c>
      <c r="T4269">
        <v>18221.16</v>
      </c>
      <c r="U4269" t="s">
        <v>2059</v>
      </c>
      <c r="V4269" t="s">
        <v>9409</v>
      </c>
      <c r="W4269" t="s">
        <v>423</v>
      </c>
    </row>
    <row r="4270" spans="1:23" hidden="1" x14ac:dyDescent="0.2">
      <c r="A4270">
        <v>2012</v>
      </c>
      <c r="B4270" t="s">
        <v>305</v>
      </c>
      <c r="C4270" s="733">
        <v>40971</v>
      </c>
      <c r="D4270" s="733" t="str">
        <f>CHOOSE(MONTH(Tabla_sqldatos_bonampakdb_Bon_v_ingresos2012[[#This Row],[fecha_guia]]),"Enero","Febrero","Marzo","Abril","Mayo","Junio","Julio","Agosto","Septiembre","Octubre","Noviembre","Diciembre")</f>
        <v>Marzo</v>
      </c>
      <c r="E4270" t="s">
        <v>485</v>
      </c>
      <c r="F4270" t="s">
        <v>2054</v>
      </c>
      <c r="G4270" t="s">
        <v>9730</v>
      </c>
      <c r="H4270">
        <v>10635</v>
      </c>
      <c r="I4270" t="s">
        <v>423</v>
      </c>
      <c r="J4270" t="s">
        <v>2098</v>
      </c>
      <c r="K4270" t="s">
        <v>2057</v>
      </c>
      <c r="L4270" t="s">
        <v>2058</v>
      </c>
      <c r="M4270">
        <v>565</v>
      </c>
      <c r="N4270">
        <v>46.24</v>
      </c>
      <c r="O4270">
        <v>15630.04</v>
      </c>
      <c r="P4270">
        <v>0</v>
      </c>
      <c r="Q4270">
        <v>15630.04</v>
      </c>
      <c r="R4270">
        <v>1719.3</v>
      </c>
      <c r="S4270">
        <v>625.20000000000005</v>
      </c>
      <c r="T4270">
        <v>16724.14</v>
      </c>
      <c r="V4270" t="s">
        <v>9409</v>
      </c>
      <c r="W4270" t="s">
        <v>423</v>
      </c>
    </row>
    <row r="4271" spans="1:23" hidden="1" x14ac:dyDescent="0.2">
      <c r="A4271">
        <v>2012</v>
      </c>
      <c r="B4271" t="s">
        <v>304</v>
      </c>
      <c r="C4271" s="733">
        <v>40962</v>
      </c>
      <c r="D42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71" t="s">
        <v>485</v>
      </c>
      <c r="F4271" t="s">
        <v>2054</v>
      </c>
      <c r="G4271" t="s">
        <v>8625</v>
      </c>
      <c r="H4271">
        <v>10501</v>
      </c>
      <c r="I4271" t="s">
        <v>423</v>
      </c>
      <c r="J4271" t="s">
        <v>2098</v>
      </c>
      <c r="K4271" t="s">
        <v>2057</v>
      </c>
      <c r="L4271" t="s">
        <v>2058</v>
      </c>
      <c r="M4271">
        <v>565</v>
      </c>
      <c r="N4271">
        <v>46.26</v>
      </c>
      <c r="O4271">
        <v>15636.81</v>
      </c>
      <c r="P4271">
        <v>0</v>
      </c>
      <c r="Q4271">
        <v>15636.81</v>
      </c>
      <c r="R4271">
        <v>1720.05</v>
      </c>
      <c r="S4271">
        <v>625.47</v>
      </c>
      <c r="T4271">
        <v>16731.39</v>
      </c>
      <c r="U4271" t="s">
        <v>8864</v>
      </c>
      <c r="V4271" t="s">
        <v>9409</v>
      </c>
      <c r="W4271" t="s">
        <v>423</v>
      </c>
    </row>
    <row r="4272" spans="1:23" x14ac:dyDescent="0.2">
      <c r="A4272">
        <v>2012</v>
      </c>
      <c r="B4272" t="s">
        <v>304</v>
      </c>
      <c r="C4272" s="733">
        <v>40967</v>
      </c>
      <c r="D42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72" t="s">
        <v>485</v>
      </c>
      <c r="F4272" t="s">
        <v>2054</v>
      </c>
      <c r="G4272" t="s">
        <v>9328</v>
      </c>
      <c r="H4272">
        <v>10566</v>
      </c>
      <c r="I4272" t="s">
        <v>423</v>
      </c>
      <c r="J4272" t="s">
        <v>4560</v>
      </c>
      <c r="K4272" t="s">
        <v>2057</v>
      </c>
      <c r="L4272" t="s">
        <v>2058</v>
      </c>
      <c r="M4272">
        <v>403</v>
      </c>
      <c r="N4272">
        <v>22.7</v>
      </c>
      <c r="O4272">
        <v>6203.46</v>
      </c>
      <c r="P4272">
        <v>0</v>
      </c>
      <c r="Q4272">
        <v>6203.46</v>
      </c>
      <c r="R4272">
        <v>682.38</v>
      </c>
      <c r="S4272">
        <v>248.14</v>
      </c>
      <c r="T4272">
        <v>6637.7</v>
      </c>
      <c r="V4272" t="s">
        <v>9408</v>
      </c>
      <c r="W4272" t="s">
        <v>423</v>
      </c>
    </row>
    <row r="4273" spans="1:23" hidden="1" x14ac:dyDescent="0.2">
      <c r="A4273">
        <v>2012</v>
      </c>
      <c r="B4273" t="s">
        <v>304</v>
      </c>
      <c r="C4273" s="733">
        <v>40959</v>
      </c>
      <c r="D42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73" t="s">
        <v>485</v>
      </c>
      <c r="F4273" t="s">
        <v>2054</v>
      </c>
      <c r="G4273" t="s">
        <v>8066</v>
      </c>
      <c r="H4273">
        <v>10451</v>
      </c>
      <c r="I4273" t="s">
        <v>423</v>
      </c>
      <c r="J4273" t="s">
        <v>2098</v>
      </c>
      <c r="K4273" t="s">
        <v>2057</v>
      </c>
      <c r="L4273" t="s">
        <v>2058</v>
      </c>
      <c r="M4273">
        <v>565</v>
      </c>
      <c r="N4273">
        <v>23.76</v>
      </c>
      <c r="O4273">
        <v>8031.36</v>
      </c>
      <c r="P4273">
        <v>0</v>
      </c>
      <c r="Q4273">
        <v>8031.36</v>
      </c>
      <c r="R4273">
        <v>883.45</v>
      </c>
      <c r="S4273">
        <v>321.25</v>
      </c>
      <c r="T4273">
        <v>8593.56</v>
      </c>
      <c r="U4273" t="s">
        <v>8047</v>
      </c>
      <c r="V4273" t="s">
        <v>9409</v>
      </c>
      <c r="W4273" t="s">
        <v>423</v>
      </c>
    </row>
    <row r="4274" spans="1:23" hidden="1" x14ac:dyDescent="0.2">
      <c r="A4274">
        <v>2012</v>
      </c>
      <c r="B4274" t="s">
        <v>304</v>
      </c>
      <c r="C4274" s="733">
        <v>40943.664409722223</v>
      </c>
      <c r="D42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74" t="s">
        <v>485</v>
      </c>
      <c r="F4274" t="s">
        <v>2054</v>
      </c>
      <c r="G4274" t="s">
        <v>2693</v>
      </c>
      <c r="H4274">
        <v>10329</v>
      </c>
      <c r="I4274" t="s">
        <v>423</v>
      </c>
      <c r="J4274" t="s">
        <v>2098</v>
      </c>
      <c r="K4274" t="s">
        <v>2057</v>
      </c>
      <c r="L4274" t="s">
        <v>2058</v>
      </c>
      <c r="M4274">
        <v>565</v>
      </c>
      <c r="N4274">
        <v>47.03</v>
      </c>
      <c r="O4274">
        <v>15897.08</v>
      </c>
      <c r="P4274">
        <v>0</v>
      </c>
      <c r="Q4274">
        <v>15897.08</v>
      </c>
      <c r="R4274">
        <v>2543.5300000000002</v>
      </c>
      <c r="S4274">
        <v>635.88</v>
      </c>
      <c r="T4274">
        <v>17804.73</v>
      </c>
      <c r="U4274" t="s">
        <v>2075</v>
      </c>
      <c r="V4274" t="s">
        <v>9409</v>
      </c>
      <c r="W4274" t="s">
        <v>423</v>
      </c>
    </row>
    <row r="4275" spans="1:23" hidden="1" x14ac:dyDescent="0.2">
      <c r="A4275">
        <v>2012</v>
      </c>
      <c r="B4275" t="s">
        <v>304</v>
      </c>
      <c r="C4275" s="733">
        <v>40946</v>
      </c>
      <c r="D42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75" t="s">
        <v>485</v>
      </c>
      <c r="F4275" t="s">
        <v>2054</v>
      </c>
      <c r="G4275" t="s">
        <v>4083</v>
      </c>
      <c r="H4275">
        <v>10033</v>
      </c>
      <c r="I4275" t="s">
        <v>423</v>
      </c>
      <c r="J4275" t="s">
        <v>4045</v>
      </c>
      <c r="K4275" t="s">
        <v>2057</v>
      </c>
      <c r="L4275" t="s">
        <v>2058</v>
      </c>
      <c r="M4275">
        <v>0</v>
      </c>
      <c r="N4275">
        <v>22.99</v>
      </c>
      <c r="O4275">
        <v>7771.08</v>
      </c>
      <c r="P4275">
        <v>0</v>
      </c>
      <c r="Q4275">
        <v>7771.08</v>
      </c>
      <c r="R4275">
        <v>1243.3699999999999</v>
      </c>
      <c r="S4275">
        <v>310.83999999999997</v>
      </c>
      <c r="T4275">
        <v>8703.61</v>
      </c>
      <c r="U4275" t="s">
        <v>2075</v>
      </c>
      <c r="V4275" t="s">
        <v>9408</v>
      </c>
      <c r="W4275" t="s">
        <v>423</v>
      </c>
    </row>
    <row r="4276" spans="1:23" x14ac:dyDescent="0.2">
      <c r="A4276">
        <v>2012</v>
      </c>
      <c r="B4276" t="s">
        <v>304</v>
      </c>
      <c r="C4276" s="733">
        <v>40968</v>
      </c>
      <c r="D42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76" t="s">
        <v>485</v>
      </c>
      <c r="F4276" t="s">
        <v>2084</v>
      </c>
      <c r="G4276" t="s">
        <v>9583</v>
      </c>
      <c r="H4276">
        <v>41807</v>
      </c>
      <c r="I4276" t="s">
        <v>423</v>
      </c>
      <c r="J4276" t="s">
        <v>2813</v>
      </c>
      <c r="K4276" t="s">
        <v>2814</v>
      </c>
      <c r="L4276" t="s">
        <v>2815</v>
      </c>
      <c r="M4276">
        <v>365</v>
      </c>
      <c r="N4276">
        <v>24.068999999999999</v>
      </c>
      <c r="O4276">
        <v>6478.89</v>
      </c>
      <c r="P4276">
        <v>0</v>
      </c>
      <c r="Q4276">
        <v>6478.89</v>
      </c>
      <c r="R4276">
        <v>712.68</v>
      </c>
      <c r="S4276">
        <v>259.16000000000003</v>
      </c>
      <c r="T4276">
        <v>6932.41</v>
      </c>
      <c r="V4276" t="s">
        <v>9408</v>
      </c>
      <c r="W4276" t="s">
        <v>423</v>
      </c>
    </row>
    <row r="4277" spans="1:23" hidden="1" x14ac:dyDescent="0.2">
      <c r="A4277">
        <v>2012</v>
      </c>
      <c r="B4277" t="s">
        <v>303</v>
      </c>
      <c r="C4277" s="733">
        <v>40926</v>
      </c>
      <c r="D42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77" t="s">
        <v>485</v>
      </c>
      <c r="F4277" t="s">
        <v>2084</v>
      </c>
      <c r="G4277" t="s">
        <v>3654</v>
      </c>
      <c r="H4277">
        <v>40264</v>
      </c>
      <c r="I4277" t="s">
        <v>423</v>
      </c>
      <c r="J4277" t="s">
        <v>2813</v>
      </c>
      <c r="K4277" t="s">
        <v>2814</v>
      </c>
      <c r="L4277" t="s">
        <v>2815</v>
      </c>
      <c r="M4277">
        <v>365</v>
      </c>
      <c r="N4277">
        <v>29.956</v>
      </c>
      <c r="O4277">
        <v>8063.56</v>
      </c>
      <c r="P4277">
        <v>0</v>
      </c>
      <c r="Q4277">
        <v>8063.56</v>
      </c>
      <c r="R4277">
        <v>1290.17</v>
      </c>
      <c r="S4277">
        <v>322.54000000000002</v>
      </c>
      <c r="T4277">
        <v>9031.19</v>
      </c>
      <c r="U4277" t="s">
        <v>2824</v>
      </c>
      <c r="V4277" t="s">
        <v>9408</v>
      </c>
      <c r="W4277" t="s">
        <v>423</v>
      </c>
    </row>
    <row r="4278" spans="1:23" hidden="1" x14ac:dyDescent="0.2">
      <c r="A4278">
        <v>2012</v>
      </c>
      <c r="B4278" t="s">
        <v>303</v>
      </c>
      <c r="C4278" s="733">
        <v>40932</v>
      </c>
      <c r="D42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78" t="s">
        <v>485</v>
      </c>
      <c r="F4278" t="s">
        <v>2084</v>
      </c>
      <c r="G4278" t="s">
        <v>3655</v>
      </c>
      <c r="H4278">
        <v>40321</v>
      </c>
      <c r="I4278" t="s">
        <v>423</v>
      </c>
      <c r="J4278" t="s">
        <v>2813</v>
      </c>
      <c r="K4278" t="s">
        <v>2814</v>
      </c>
      <c r="L4278" t="s">
        <v>2815</v>
      </c>
      <c r="M4278">
        <v>365</v>
      </c>
      <c r="N4278">
        <v>29.937999999999999</v>
      </c>
      <c r="O4278">
        <v>8058.71</v>
      </c>
      <c r="P4278">
        <v>0</v>
      </c>
      <c r="Q4278">
        <v>8058.71</v>
      </c>
      <c r="R4278">
        <v>1289.3900000000001</v>
      </c>
      <c r="S4278">
        <v>322.35000000000002</v>
      </c>
      <c r="T4278">
        <v>9025.75</v>
      </c>
      <c r="U4278" t="s">
        <v>2826</v>
      </c>
      <c r="V4278" t="s">
        <v>9408</v>
      </c>
      <c r="W4278" t="s">
        <v>423</v>
      </c>
    </row>
    <row r="4279" spans="1:23" hidden="1" x14ac:dyDescent="0.2">
      <c r="A4279">
        <v>2012</v>
      </c>
      <c r="B4279" t="s">
        <v>304</v>
      </c>
      <c r="C4279" s="733">
        <v>40960</v>
      </c>
      <c r="D42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79" t="s">
        <v>485</v>
      </c>
      <c r="F4279" t="s">
        <v>2084</v>
      </c>
      <c r="G4279" t="s">
        <v>8082</v>
      </c>
      <c r="H4279">
        <v>42073</v>
      </c>
      <c r="I4279" t="s">
        <v>423</v>
      </c>
      <c r="J4279" t="s">
        <v>2813</v>
      </c>
      <c r="K4279" t="s">
        <v>2814</v>
      </c>
      <c r="L4279" t="s">
        <v>2815</v>
      </c>
      <c r="M4279">
        <v>365</v>
      </c>
      <c r="N4279">
        <v>23.741</v>
      </c>
      <c r="O4279">
        <v>6390.6</v>
      </c>
      <c r="P4279">
        <v>0</v>
      </c>
      <c r="Q4279">
        <v>6390.6</v>
      </c>
      <c r="R4279">
        <v>702.97</v>
      </c>
      <c r="S4279">
        <v>255.62</v>
      </c>
      <c r="T4279">
        <v>6837.95</v>
      </c>
      <c r="U4279" t="s">
        <v>8877</v>
      </c>
      <c r="V4279" t="s">
        <v>9408</v>
      </c>
      <c r="W4279" t="s">
        <v>423</v>
      </c>
    </row>
    <row r="4280" spans="1:23" x14ac:dyDescent="0.2">
      <c r="A4280">
        <v>2012</v>
      </c>
      <c r="B4280" t="s">
        <v>304</v>
      </c>
      <c r="C4280" s="733">
        <v>40967</v>
      </c>
      <c r="D42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80" t="s">
        <v>485</v>
      </c>
      <c r="F4280" t="s">
        <v>2084</v>
      </c>
      <c r="G4280" t="s">
        <v>9318</v>
      </c>
      <c r="H4280">
        <v>42131</v>
      </c>
      <c r="I4280" t="s">
        <v>423</v>
      </c>
      <c r="J4280" t="s">
        <v>2813</v>
      </c>
      <c r="K4280" t="s">
        <v>2814</v>
      </c>
      <c r="L4280" t="s">
        <v>2815</v>
      </c>
      <c r="M4280">
        <v>365</v>
      </c>
      <c r="N4280">
        <v>25.876999999999999</v>
      </c>
      <c r="O4280">
        <v>6965.57</v>
      </c>
      <c r="P4280">
        <v>0</v>
      </c>
      <c r="Q4280">
        <v>6965.57</v>
      </c>
      <c r="R4280">
        <v>766.21</v>
      </c>
      <c r="S4280">
        <v>278.62</v>
      </c>
      <c r="T4280">
        <v>7453.16</v>
      </c>
      <c r="U4280" t="s">
        <v>8877</v>
      </c>
      <c r="V4280" t="s">
        <v>9408</v>
      </c>
      <c r="W4280" t="s">
        <v>423</v>
      </c>
    </row>
    <row r="4281" spans="1:23" hidden="1" x14ac:dyDescent="0.2">
      <c r="A4281">
        <v>2012</v>
      </c>
      <c r="B4281" t="s">
        <v>303</v>
      </c>
      <c r="C4281" s="733">
        <v>40926</v>
      </c>
      <c r="D42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81" t="s">
        <v>485</v>
      </c>
      <c r="F4281" t="s">
        <v>2084</v>
      </c>
      <c r="G4281" t="s">
        <v>3649</v>
      </c>
      <c r="H4281">
        <v>40270</v>
      </c>
      <c r="I4281" t="s">
        <v>423</v>
      </c>
      <c r="J4281" t="s">
        <v>2813</v>
      </c>
      <c r="K4281" t="s">
        <v>2814</v>
      </c>
      <c r="L4281" t="s">
        <v>2815</v>
      </c>
      <c r="M4281">
        <v>365</v>
      </c>
      <c r="N4281">
        <v>23.928000000000001</v>
      </c>
      <c r="O4281">
        <v>6440.94</v>
      </c>
      <c r="P4281">
        <v>0</v>
      </c>
      <c r="Q4281">
        <v>6440.94</v>
      </c>
      <c r="R4281">
        <v>1030.55</v>
      </c>
      <c r="S4281">
        <v>257.64</v>
      </c>
      <c r="T4281">
        <v>7213.85</v>
      </c>
      <c r="U4281" t="s">
        <v>2826</v>
      </c>
      <c r="V4281" t="s">
        <v>9408</v>
      </c>
      <c r="W4281" t="s">
        <v>423</v>
      </c>
    </row>
    <row r="4282" spans="1:23" hidden="1" x14ac:dyDescent="0.2">
      <c r="A4282">
        <v>2012</v>
      </c>
      <c r="B4282" t="s">
        <v>304</v>
      </c>
      <c r="C4282" s="733">
        <v>40959</v>
      </c>
      <c r="D42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82" t="s">
        <v>485</v>
      </c>
      <c r="F4282" t="s">
        <v>2065</v>
      </c>
      <c r="G4282" t="s">
        <v>7731</v>
      </c>
      <c r="H4282">
        <v>42106</v>
      </c>
      <c r="I4282" t="s">
        <v>423</v>
      </c>
      <c r="J4282" t="s">
        <v>3965</v>
      </c>
      <c r="K4282" t="s">
        <v>2183</v>
      </c>
      <c r="L4282" t="s">
        <v>2184</v>
      </c>
      <c r="M4282">
        <v>696</v>
      </c>
      <c r="N4282">
        <v>26.34</v>
      </c>
      <c r="O4282">
        <v>10675.34</v>
      </c>
      <c r="P4282">
        <v>0</v>
      </c>
      <c r="Q4282">
        <v>10675.34</v>
      </c>
      <c r="R4282">
        <v>1708.05</v>
      </c>
      <c r="S4282">
        <v>427.01</v>
      </c>
      <c r="T4282">
        <v>11956.38</v>
      </c>
      <c r="U4282" t="s">
        <v>9411</v>
      </c>
      <c r="V4282" t="s">
        <v>9408</v>
      </c>
      <c r="W4282" t="s">
        <v>423</v>
      </c>
    </row>
    <row r="4283" spans="1:23" hidden="1" x14ac:dyDescent="0.2">
      <c r="A4283">
        <v>2012</v>
      </c>
      <c r="B4283" t="s">
        <v>304</v>
      </c>
      <c r="C4283" s="733">
        <v>40956</v>
      </c>
      <c r="D42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83" t="s">
        <v>485</v>
      </c>
      <c r="F4283" t="s">
        <v>2065</v>
      </c>
      <c r="G4283" t="s">
        <v>7717</v>
      </c>
      <c r="H4283">
        <v>42029</v>
      </c>
      <c r="I4283" t="s">
        <v>423</v>
      </c>
      <c r="J4283" t="s">
        <v>2189</v>
      </c>
      <c r="K4283" t="s">
        <v>2183</v>
      </c>
      <c r="L4283" t="s">
        <v>2184</v>
      </c>
      <c r="M4283">
        <v>720</v>
      </c>
      <c r="N4283">
        <v>26.01</v>
      </c>
      <c r="O4283">
        <v>10541.59</v>
      </c>
      <c r="P4283">
        <v>0</v>
      </c>
      <c r="Q4283">
        <v>10541.59</v>
      </c>
      <c r="R4283">
        <v>1686.65</v>
      </c>
      <c r="S4283">
        <v>421.66</v>
      </c>
      <c r="T4283">
        <v>11806.58</v>
      </c>
      <c r="U4283" t="s">
        <v>8048</v>
      </c>
      <c r="V4283" t="s">
        <v>9408</v>
      </c>
      <c r="W4283" t="s">
        <v>423</v>
      </c>
    </row>
    <row r="4284" spans="1:23" hidden="1" x14ac:dyDescent="0.2">
      <c r="A4284">
        <v>2012</v>
      </c>
      <c r="B4284" t="s">
        <v>303</v>
      </c>
      <c r="C4284" s="733">
        <v>40915</v>
      </c>
      <c r="D42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84" t="s">
        <v>505</v>
      </c>
      <c r="F4284" t="s">
        <v>1915</v>
      </c>
      <c r="G4284" t="s">
        <v>2524</v>
      </c>
      <c r="H4284">
        <v>21779</v>
      </c>
      <c r="I4284" t="s">
        <v>423</v>
      </c>
      <c r="J4284" t="s">
        <v>1947</v>
      </c>
      <c r="K4284" t="s">
        <v>1918</v>
      </c>
      <c r="L4284" t="s">
        <v>1919</v>
      </c>
      <c r="M4284">
        <v>973</v>
      </c>
      <c r="N4284">
        <v>50.28</v>
      </c>
      <c r="O4284">
        <v>12361.84</v>
      </c>
      <c r="P4284">
        <v>13918.072038</v>
      </c>
      <c r="Q4284">
        <v>26279.912037999999</v>
      </c>
      <c r="R4284">
        <v>4204.7859259999996</v>
      </c>
      <c r="S4284">
        <v>1051.1964820000001</v>
      </c>
      <c r="T4284">
        <v>29433.501482</v>
      </c>
      <c r="U4284" t="s">
        <v>1920</v>
      </c>
      <c r="V4284" t="s">
        <v>9409</v>
      </c>
      <c r="W4284" t="s">
        <v>423</v>
      </c>
    </row>
    <row r="4285" spans="1:23" hidden="1" x14ac:dyDescent="0.2">
      <c r="A4285">
        <v>2012</v>
      </c>
      <c r="B4285" t="s">
        <v>304</v>
      </c>
      <c r="C4285" s="733">
        <v>40948</v>
      </c>
      <c r="D42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85" t="s">
        <v>505</v>
      </c>
      <c r="F4285" t="s">
        <v>1915</v>
      </c>
      <c r="G4285" t="s">
        <v>6543</v>
      </c>
      <c r="H4285">
        <v>22546</v>
      </c>
      <c r="I4285" t="s">
        <v>423</v>
      </c>
      <c r="J4285" t="s">
        <v>1947</v>
      </c>
      <c r="K4285" t="s">
        <v>1918</v>
      </c>
      <c r="L4285" t="s">
        <v>1919</v>
      </c>
      <c r="M4285">
        <v>973</v>
      </c>
      <c r="N4285">
        <v>53.66</v>
      </c>
      <c r="O4285">
        <v>31335.29</v>
      </c>
      <c r="P4285">
        <v>0</v>
      </c>
      <c r="Q4285">
        <v>31335.29</v>
      </c>
      <c r="R4285">
        <v>5013.6499999999996</v>
      </c>
      <c r="S4285">
        <v>1253.4100000000001</v>
      </c>
      <c r="T4285">
        <v>35095.53</v>
      </c>
      <c r="U4285" t="s">
        <v>1924</v>
      </c>
      <c r="V4285" t="s">
        <v>9409</v>
      </c>
      <c r="W4285" t="s">
        <v>423</v>
      </c>
    </row>
    <row r="4286" spans="1:23" hidden="1" x14ac:dyDescent="0.2">
      <c r="A4286">
        <v>2012</v>
      </c>
      <c r="B4286" t="s">
        <v>303</v>
      </c>
      <c r="C4286" s="733">
        <v>40920.497650462959</v>
      </c>
      <c r="D42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86" t="s">
        <v>478</v>
      </c>
      <c r="F4286" t="s">
        <v>2136</v>
      </c>
      <c r="G4286" t="s">
        <v>6606</v>
      </c>
      <c r="H4286">
        <v>34457</v>
      </c>
      <c r="I4286" t="s">
        <v>423</v>
      </c>
      <c r="J4286" t="s">
        <v>4276</v>
      </c>
      <c r="K4286" t="s">
        <v>425</v>
      </c>
      <c r="L4286" t="s">
        <v>2145</v>
      </c>
      <c r="M4286">
        <v>60</v>
      </c>
      <c r="N4286">
        <v>24.97</v>
      </c>
      <c r="O4286">
        <v>3352.22</v>
      </c>
      <c r="P4286">
        <v>0</v>
      </c>
      <c r="Q4286">
        <v>3352.22</v>
      </c>
      <c r="R4286">
        <v>536.36</v>
      </c>
      <c r="S4286">
        <v>134.09</v>
      </c>
      <c r="T4286">
        <v>3754.49</v>
      </c>
      <c r="U4286" t="s">
        <v>2927</v>
      </c>
      <c r="V4286" t="s">
        <v>9408</v>
      </c>
      <c r="W4286" t="s">
        <v>423</v>
      </c>
    </row>
    <row r="4287" spans="1:23" hidden="1" x14ac:dyDescent="0.2">
      <c r="A4287">
        <v>2012</v>
      </c>
      <c r="B4287" t="s">
        <v>304</v>
      </c>
      <c r="C4287" s="733">
        <v>40942</v>
      </c>
      <c r="D42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87" t="s">
        <v>478</v>
      </c>
      <c r="F4287" t="s">
        <v>2622</v>
      </c>
      <c r="G4287" t="s">
        <v>6599</v>
      </c>
      <c r="H4287">
        <v>35091</v>
      </c>
      <c r="I4287" t="s">
        <v>423</v>
      </c>
      <c r="J4287" t="s">
        <v>4276</v>
      </c>
      <c r="K4287" t="s">
        <v>425</v>
      </c>
      <c r="L4287" t="s">
        <v>2145</v>
      </c>
      <c r="M4287">
        <v>60</v>
      </c>
      <c r="N4287">
        <v>37.4</v>
      </c>
      <c r="O4287">
        <v>5020.95</v>
      </c>
      <c r="P4287">
        <v>0</v>
      </c>
      <c r="Q4287">
        <v>5020.95</v>
      </c>
      <c r="R4287">
        <v>803.35</v>
      </c>
      <c r="S4287">
        <v>200.84</v>
      </c>
      <c r="T4287">
        <v>5623.46</v>
      </c>
      <c r="U4287" t="s">
        <v>3115</v>
      </c>
      <c r="V4287" t="s">
        <v>9408</v>
      </c>
      <c r="W4287" t="s">
        <v>423</v>
      </c>
    </row>
    <row r="4288" spans="1:23" hidden="1" x14ac:dyDescent="0.2">
      <c r="A4288">
        <v>2012</v>
      </c>
      <c r="B4288" t="s">
        <v>303</v>
      </c>
      <c r="C4288" s="733">
        <v>40925.557881944442</v>
      </c>
      <c r="D42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88" t="s">
        <v>485</v>
      </c>
      <c r="F4288" t="s">
        <v>2054</v>
      </c>
      <c r="G4288" t="s">
        <v>2166</v>
      </c>
      <c r="H4288">
        <v>10108</v>
      </c>
      <c r="I4288" t="s">
        <v>423</v>
      </c>
      <c r="J4288" t="s">
        <v>2056</v>
      </c>
      <c r="K4288" t="s">
        <v>2057</v>
      </c>
      <c r="L4288" t="s">
        <v>2058</v>
      </c>
      <c r="M4288">
        <v>19</v>
      </c>
      <c r="N4288">
        <v>47.67</v>
      </c>
      <c r="O4288">
        <v>5380.51</v>
      </c>
      <c r="P4288">
        <v>0</v>
      </c>
      <c r="Q4288">
        <v>5380.51</v>
      </c>
      <c r="R4288">
        <v>860.88</v>
      </c>
      <c r="S4288">
        <v>215.22</v>
      </c>
      <c r="T4288">
        <v>6026.17</v>
      </c>
      <c r="U4288" t="s">
        <v>2077</v>
      </c>
      <c r="V4288" t="s">
        <v>9409</v>
      </c>
      <c r="W4288" t="s">
        <v>423</v>
      </c>
    </row>
    <row r="4289" spans="1:23" hidden="1" x14ac:dyDescent="0.2">
      <c r="A4289">
        <v>2012</v>
      </c>
      <c r="B4289" t="s">
        <v>304</v>
      </c>
      <c r="C4289" s="733">
        <v>40941</v>
      </c>
      <c r="D42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89" t="s">
        <v>485</v>
      </c>
      <c r="F4289" t="s">
        <v>2054</v>
      </c>
      <c r="G4289" t="s">
        <v>6246</v>
      </c>
      <c r="H4289">
        <v>10290</v>
      </c>
      <c r="I4289" t="s">
        <v>423</v>
      </c>
      <c r="J4289" t="s">
        <v>2056</v>
      </c>
      <c r="K4289" t="s">
        <v>2057</v>
      </c>
      <c r="L4289" t="s">
        <v>2058</v>
      </c>
      <c r="M4289">
        <v>19</v>
      </c>
      <c r="N4289">
        <v>47.77</v>
      </c>
      <c r="O4289">
        <v>5391.8</v>
      </c>
      <c r="P4289">
        <v>0</v>
      </c>
      <c r="Q4289">
        <v>5391.8</v>
      </c>
      <c r="R4289">
        <v>862.69</v>
      </c>
      <c r="S4289">
        <v>215.67</v>
      </c>
      <c r="T4289">
        <v>6038.82</v>
      </c>
      <c r="U4289" t="s">
        <v>2075</v>
      </c>
      <c r="V4289" t="s">
        <v>9409</v>
      </c>
      <c r="W4289" t="s">
        <v>423</v>
      </c>
    </row>
    <row r="4290" spans="1:23" hidden="1" x14ac:dyDescent="0.2">
      <c r="A4290">
        <v>2012</v>
      </c>
      <c r="B4290" t="s">
        <v>304</v>
      </c>
      <c r="C4290" s="733">
        <v>40940</v>
      </c>
      <c r="D42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90" t="s">
        <v>485</v>
      </c>
      <c r="F4290" t="s">
        <v>2065</v>
      </c>
      <c r="G4290" t="s">
        <v>5995</v>
      </c>
      <c r="H4290">
        <v>39919</v>
      </c>
      <c r="I4290" t="s">
        <v>423</v>
      </c>
      <c r="J4290" t="s">
        <v>5471</v>
      </c>
      <c r="K4290" t="s">
        <v>2183</v>
      </c>
      <c r="L4290" t="s">
        <v>2184</v>
      </c>
      <c r="M4290">
        <v>690</v>
      </c>
      <c r="N4290">
        <v>23.71</v>
      </c>
      <c r="O4290">
        <v>9609.43</v>
      </c>
      <c r="P4290">
        <v>0</v>
      </c>
      <c r="Q4290">
        <v>9609.43</v>
      </c>
      <c r="R4290">
        <v>1537.51</v>
      </c>
      <c r="S4290">
        <v>384.38</v>
      </c>
      <c r="T4290">
        <v>10762.56</v>
      </c>
      <c r="U4290" t="s">
        <v>2187</v>
      </c>
      <c r="V4290" t="s">
        <v>9408</v>
      </c>
      <c r="W4290" t="s">
        <v>423</v>
      </c>
    </row>
    <row r="4291" spans="1:23" hidden="1" x14ac:dyDescent="0.2">
      <c r="A4291">
        <v>2012</v>
      </c>
      <c r="B4291" t="s">
        <v>303</v>
      </c>
      <c r="C4291" s="733">
        <v>40929</v>
      </c>
      <c r="D42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91" t="s">
        <v>485</v>
      </c>
      <c r="F4291" t="s">
        <v>2054</v>
      </c>
      <c r="G4291" t="s">
        <v>6247</v>
      </c>
      <c r="H4291">
        <v>10157</v>
      </c>
      <c r="I4291" t="s">
        <v>423</v>
      </c>
      <c r="J4291" t="s">
        <v>2056</v>
      </c>
      <c r="K4291" t="s">
        <v>2057</v>
      </c>
      <c r="L4291" t="s">
        <v>2058</v>
      </c>
      <c r="M4291">
        <v>19</v>
      </c>
      <c r="N4291">
        <v>32.04</v>
      </c>
      <c r="O4291">
        <v>3616.35</v>
      </c>
      <c r="P4291">
        <v>0</v>
      </c>
      <c r="Q4291">
        <v>3616.35</v>
      </c>
      <c r="R4291">
        <v>578.62</v>
      </c>
      <c r="S4291">
        <v>144.65</v>
      </c>
      <c r="T4291">
        <v>4050.32</v>
      </c>
      <c r="U4291" t="s">
        <v>2077</v>
      </c>
      <c r="V4291" t="s">
        <v>9408</v>
      </c>
      <c r="W4291" t="s">
        <v>423</v>
      </c>
    </row>
    <row r="4292" spans="1:23" hidden="1" x14ac:dyDescent="0.2">
      <c r="A4292">
        <v>2012</v>
      </c>
      <c r="B4292" t="s">
        <v>305</v>
      </c>
      <c r="C4292" s="733">
        <v>40971.625752314816</v>
      </c>
      <c r="D4292" s="733" t="str">
        <f>CHOOSE(MONTH(Tabla_sqldatos_bonampakdb_Bon_v_ingresos2012[[#This Row],[fecha_guia]]),"Enero","Febrero","Marzo","Abril","Mayo","Junio","Julio","Agosto","Septiembre","Octubre","Noviembre","Diciembre")</f>
        <v>Marzo</v>
      </c>
      <c r="E4292" t="s">
        <v>485</v>
      </c>
      <c r="F4292" t="s">
        <v>2054</v>
      </c>
      <c r="G4292" t="s">
        <v>9731</v>
      </c>
      <c r="H4292">
        <v>10638</v>
      </c>
      <c r="I4292" t="s">
        <v>423</v>
      </c>
      <c r="J4292" t="s">
        <v>2056</v>
      </c>
      <c r="K4292" t="s">
        <v>2057</v>
      </c>
      <c r="L4292" t="s">
        <v>2058</v>
      </c>
      <c r="M4292">
        <v>19</v>
      </c>
      <c r="N4292">
        <v>25.04</v>
      </c>
      <c r="O4292">
        <v>2826.26</v>
      </c>
      <c r="P4292">
        <v>0</v>
      </c>
      <c r="Q4292">
        <v>2826.26</v>
      </c>
      <c r="R4292">
        <v>310.89</v>
      </c>
      <c r="S4292">
        <v>113.05</v>
      </c>
      <c r="T4292">
        <v>3024.1</v>
      </c>
      <c r="V4292" t="s">
        <v>9408</v>
      </c>
      <c r="W4292" t="s">
        <v>423</v>
      </c>
    </row>
    <row r="4293" spans="1:23" hidden="1" x14ac:dyDescent="0.2">
      <c r="A4293">
        <v>2012</v>
      </c>
      <c r="B4293" t="s">
        <v>303</v>
      </c>
      <c r="C4293" s="733">
        <v>40913</v>
      </c>
      <c r="D42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93" t="s">
        <v>505</v>
      </c>
      <c r="F4293" t="s">
        <v>1915</v>
      </c>
      <c r="G4293" t="s">
        <v>6541</v>
      </c>
      <c r="H4293">
        <v>21713</v>
      </c>
      <c r="I4293" t="s">
        <v>423</v>
      </c>
      <c r="J4293" t="s">
        <v>5504</v>
      </c>
      <c r="K4293" t="s">
        <v>1918</v>
      </c>
      <c r="L4293" t="s">
        <v>1919</v>
      </c>
      <c r="M4293">
        <v>1115</v>
      </c>
      <c r="N4293">
        <v>25.83</v>
      </c>
      <c r="O4293">
        <v>8024.35</v>
      </c>
      <c r="P4293">
        <v>9034.5354220000008</v>
      </c>
      <c r="Q4293">
        <v>17058.885421999999</v>
      </c>
      <c r="R4293">
        <v>2729.4216670000001</v>
      </c>
      <c r="S4293">
        <v>682.35541699999999</v>
      </c>
      <c r="T4293">
        <v>19105.951671999999</v>
      </c>
      <c r="U4293" t="s">
        <v>8869</v>
      </c>
      <c r="V4293" t="s">
        <v>9408</v>
      </c>
      <c r="W4293" t="s">
        <v>423</v>
      </c>
    </row>
    <row r="4294" spans="1:23" hidden="1" x14ac:dyDescent="0.2">
      <c r="A4294">
        <v>2012</v>
      </c>
      <c r="B4294" t="s">
        <v>305</v>
      </c>
      <c r="C4294" s="733">
        <v>40971</v>
      </c>
      <c r="D4294" s="733" t="str">
        <f>CHOOSE(MONTH(Tabla_sqldatos_bonampakdb_Bon_v_ingresos2012[[#This Row],[fecha_guia]]),"Enero","Febrero","Marzo","Abril","Mayo","Junio","Julio","Agosto","Septiembre","Octubre","Noviembre","Diciembre")</f>
        <v>Marzo</v>
      </c>
      <c r="E4294" t="s">
        <v>505</v>
      </c>
      <c r="F4294" t="s">
        <v>1915</v>
      </c>
      <c r="G4294" t="s">
        <v>9732</v>
      </c>
      <c r="H4294">
        <v>23131</v>
      </c>
      <c r="I4294" t="s">
        <v>423</v>
      </c>
      <c r="J4294" t="s">
        <v>5504</v>
      </c>
      <c r="K4294" t="s">
        <v>1918</v>
      </c>
      <c r="L4294" t="s">
        <v>1919</v>
      </c>
      <c r="M4294">
        <v>1115</v>
      </c>
      <c r="N4294">
        <v>27.18</v>
      </c>
      <c r="O4294">
        <v>20055.310000000001</v>
      </c>
      <c r="P4294">
        <v>0</v>
      </c>
      <c r="Q4294">
        <v>20055.310000000001</v>
      </c>
      <c r="R4294">
        <v>3208.85</v>
      </c>
      <c r="S4294">
        <v>802.21</v>
      </c>
      <c r="T4294">
        <v>22461.95</v>
      </c>
      <c r="V4294" t="s">
        <v>9408</v>
      </c>
      <c r="W4294" t="s">
        <v>423</v>
      </c>
    </row>
    <row r="4295" spans="1:23" hidden="1" x14ac:dyDescent="0.2">
      <c r="A4295">
        <v>2012</v>
      </c>
      <c r="B4295" t="s">
        <v>303</v>
      </c>
      <c r="C4295" s="733">
        <v>40927</v>
      </c>
      <c r="D42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95" t="s">
        <v>505</v>
      </c>
      <c r="F4295" t="s">
        <v>1915</v>
      </c>
      <c r="G4295" t="s">
        <v>6542</v>
      </c>
      <c r="H4295">
        <v>21169</v>
      </c>
      <c r="I4295" t="s">
        <v>423</v>
      </c>
      <c r="J4295" t="s">
        <v>5504</v>
      </c>
      <c r="K4295" t="s">
        <v>1918</v>
      </c>
      <c r="L4295" t="s">
        <v>1919</v>
      </c>
      <c r="M4295">
        <v>1115</v>
      </c>
      <c r="N4295">
        <v>27.54</v>
      </c>
      <c r="O4295">
        <v>20320.939999999999</v>
      </c>
      <c r="P4295">
        <v>0</v>
      </c>
      <c r="Q4295">
        <v>20320.939999999999</v>
      </c>
      <c r="R4295">
        <v>3251.35</v>
      </c>
      <c r="S4295">
        <v>812.84</v>
      </c>
      <c r="T4295">
        <v>22759.45</v>
      </c>
      <c r="U4295" t="s">
        <v>1984</v>
      </c>
      <c r="V4295" t="s">
        <v>9409</v>
      </c>
      <c r="W4295" t="s">
        <v>423</v>
      </c>
    </row>
    <row r="4296" spans="1:23" hidden="1" x14ac:dyDescent="0.2">
      <c r="A4296">
        <v>2012</v>
      </c>
      <c r="B4296" t="s">
        <v>303</v>
      </c>
      <c r="C4296" s="733">
        <v>40939.53392361111</v>
      </c>
      <c r="D42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96" t="s">
        <v>478</v>
      </c>
      <c r="F4296" t="s">
        <v>2622</v>
      </c>
      <c r="G4296" t="s">
        <v>3383</v>
      </c>
      <c r="H4296">
        <v>35144</v>
      </c>
      <c r="I4296" t="s">
        <v>423</v>
      </c>
      <c r="J4296" t="s">
        <v>2662</v>
      </c>
      <c r="K4296" t="s">
        <v>2625</v>
      </c>
      <c r="L4296" t="s">
        <v>2626</v>
      </c>
      <c r="M4296">
        <v>66</v>
      </c>
      <c r="N4296">
        <v>23.59</v>
      </c>
      <c r="O4296">
        <v>2777.25</v>
      </c>
      <c r="P4296">
        <v>0</v>
      </c>
      <c r="Q4296">
        <v>2777.25</v>
      </c>
      <c r="R4296">
        <v>444.36</v>
      </c>
      <c r="S4296">
        <v>111.09</v>
      </c>
      <c r="T4296">
        <v>3110.52</v>
      </c>
      <c r="U4296" t="s">
        <v>2648</v>
      </c>
      <c r="V4296" t="s">
        <v>9408</v>
      </c>
      <c r="W4296" t="s">
        <v>423</v>
      </c>
    </row>
    <row r="4297" spans="1:23" hidden="1" x14ac:dyDescent="0.2">
      <c r="A4297">
        <v>2012</v>
      </c>
      <c r="B4297" t="s">
        <v>303</v>
      </c>
      <c r="C4297" s="733">
        <v>40939.535821759258</v>
      </c>
      <c r="D42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97" t="s">
        <v>478</v>
      </c>
      <c r="F4297" t="s">
        <v>2622</v>
      </c>
      <c r="G4297" t="s">
        <v>3384</v>
      </c>
      <c r="H4297">
        <v>35147</v>
      </c>
      <c r="I4297" t="s">
        <v>423</v>
      </c>
      <c r="J4297" t="s">
        <v>2662</v>
      </c>
      <c r="K4297" t="s">
        <v>2625</v>
      </c>
      <c r="L4297" t="s">
        <v>2626</v>
      </c>
      <c r="M4297">
        <v>66</v>
      </c>
      <c r="N4297">
        <v>24.74</v>
      </c>
      <c r="O4297">
        <v>2912.64</v>
      </c>
      <c r="P4297">
        <v>0</v>
      </c>
      <c r="Q4297">
        <v>2912.64</v>
      </c>
      <c r="R4297">
        <v>466.02</v>
      </c>
      <c r="S4297">
        <v>116.51</v>
      </c>
      <c r="T4297">
        <v>3262.15</v>
      </c>
      <c r="U4297" t="s">
        <v>2648</v>
      </c>
      <c r="V4297" t="s">
        <v>9408</v>
      </c>
      <c r="W4297" t="s">
        <v>423</v>
      </c>
    </row>
    <row r="4298" spans="1:23" hidden="1" x14ac:dyDescent="0.2">
      <c r="A4298">
        <v>2012</v>
      </c>
      <c r="B4298" t="s">
        <v>304</v>
      </c>
      <c r="C4298" s="733">
        <v>40966.938622685186</v>
      </c>
      <c r="D42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298" t="s">
        <v>478</v>
      </c>
      <c r="F4298" t="s">
        <v>2622</v>
      </c>
      <c r="G4298" t="s">
        <v>9245</v>
      </c>
      <c r="H4298">
        <v>36074</v>
      </c>
      <c r="I4298" t="s">
        <v>423</v>
      </c>
      <c r="J4298" t="s">
        <v>2662</v>
      </c>
      <c r="K4298" t="s">
        <v>2625</v>
      </c>
      <c r="L4298" t="s">
        <v>2626</v>
      </c>
      <c r="M4298">
        <v>66</v>
      </c>
      <c r="N4298">
        <v>25</v>
      </c>
      <c r="O4298">
        <v>2943.25</v>
      </c>
      <c r="P4298">
        <v>0</v>
      </c>
      <c r="Q4298">
        <v>2943.25</v>
      </c>
      <c r="R4298">
        <v>470.92</v>
      </c>
      <c r="S4298">
        <v>117.73</v>
      </c>
      <c r="T4298">
        <v>3296.44</v>
      </c>
      <c r="U4298" t="s">
        <v>9428</v>
      </c>
      <c r="V4298" t="s">
        <v>9408</v>
      </c>
      <c r="W4298" t="s">
        <v>423</v>
      </c>
    </row>
    <row r="4299" spans="1:23" hidden="1" x14ac:dyDescent="0.2">
      <c r="A4299">
        <v>2012</v>
      </c>
      <c r="B4299" t="s">
        <v>303</v>
      </c>
      <c r="C4299" s="733">
        <v>40929.435115740744</v>
      </c>
      <c r="D42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299" t="s">
        <v>485</v>
      </c>
      <c r="F4299" t="s">
        <v>2054</v>
      </c>
      <c r="G4299" t="s">
        <v>6248</v>
      </c>
      <c r="H4299">
        <v>10164</v>
      </c>
      <c r="I4299" t="s">
        <v>423</v>
      </c>
      <c r="J4299" t="s">
        <v>4078</v>
      </c>
      <c r="K4299" t="s">
        <v>2057</v>
      </c>
      <c r="L4299" t="s">
        <v>2058</v>
      </c>
      <c r="M4299">
        <v>154</v>
      </c>
      <c r="N4299">
        <v>29.71</v>
      </c>
      <c r="O4299">
        <v>5006.7299999999996</v>
      </c>
      <c r="P4299">
        <v>0</v>
      </c>
      <c r="Q4299">
        <v>5006.7299999999996</v>
      </c>
      <c r="R4299">
        <v>801.08</v>
      </c>
      <c r="S4299">
        <v>200.27</v>
      </c>
      <c r="T4299">
        <v>5607.54</v>
      </c>
      <c r="U4299" t="s">
        <v>2077</v>
      </c>
      <c r="V4299" t="s">
        <v>9408</v>
      </c>
      <c r="W4299" t="s">
        <v>423</v>
      </c>
    </row>
    <row r="4300" spans="1:23" hidden="1" x14ac:dyDescent="0.2">
      <c r="A4300">
        <v>2012</v>
      </c>
      <c r="B4300" t="s">
        <v>304</v>
      </c>
      <c r="C4300" s="733">
        <v>40962</v>
      </c>
      <c r="D43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00" t="s">
        <v>485</v>
      </c>
      <c r="F4300" t="s">
        <v>2054</v>
      </c>
      <c r="G4300" t="s">
        <v>8591</v>
      </c>
      <c r="H4300">
        <v>10513</v>
      </c>
      <c r="I4300" t="s">
        <v>423</v>
      </c>
      <c r="J4300" t="s">
        <v>4078</v>
      </c>
      <c r="K4300" t="s">
        <v>2057</v>
      </c>
      <c r="L4300" t="s">
        <v>2058</v>
      </c>
      <c r="M4300">
        <v>154</v>
      </c>
      <c r="N4300">
        <v>23.35</v>
      </c>
      <c r="O4300">
        <v>3934.94</v>
      </c>
      <c r="P4300">
        <v>0</v>
      </c>
      <c r="Q4300">
        <v>3934.94</v>
      </c>
      <c r="R4300">
        <v>432.84</v>
      </c>
      <c r="S4300">
        <v>157.4</v>
      </c>
      <c r="T4300">
        <v>4210.38</v>
      </c>
      <c r="U4300" t="s">
        <v>8864</v>
      </c>
      <c r="V4300" t="s">
        <v>9408</v>
      </c>
      <c r="W4300" t="s">
        <v>423</v>
      </c>
    </row>
    <row r="4301" spans="1:23" hidden="1" x14ac:dyDescent="0.2">
      <c r="A4301">
        <v>2012</v>
      </c>
      <c r="B4301" t="s">
        <v>303</v>
      </c>
      <c r="C4301" s="733">
        <v>40914.876006944447</v>
      </c>
      <c r="D43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01" t="s">
        <v>478</v>
      </c>
      <c r="F4301" t="s">
        <v>2622</v>
      </c>
      <c r="G4301" t="s">
        <v>4103</v>
      </c>
      <c r="H4301">
        <v>34291</v>
      </c>
      <c r="I4301" t="s">
        <v>423</v>
      </c>
      <c r="J4301" t="s">
        <v>2662</v>
      </c>
      <c r="K4301" t="s">
        <v>2625</v>
      </c>
      <c r="L4301" t="s">
        <v>2626</v>
      </c>
      <c r="M4301">
        <v>66</v>
      </c>
      <c r="N4301">
        <v>22.86</v>
      </c>
      <c r="O4301">
        <v>2666.39</v>
      </c>
      <c r="P4301">
        <v>0</v>
      </c>
      <c r="Q4301">
        <v>2666.39</v>
      </c>
      <c r="R4301">
        <v>426.62</v>
      </c>
      <c r="S4301">
        <v>106.66</v>
      </c>
      <c r="T4301">
        <v>2986.35</v>
      </c>
      <c r="U4301" t="s">
        <v>2635</v>
      </c>
      <c r="V4301" t="s">
        <v>9408</v>
      </c>
      <c r="W4301" t="s">
        <v>423</v>
      </c>
    </row>
    <row r="4302" spans="1:23" hidden="1" x14ac:dyDescent="0.2">
      <c r="A4302">
        <v>2012</v>
      </c>
      <c r="B4302" t="s">
        <v>304</v>
      </c>
      <c r="C4302" s="733">
        <v>40954.679988425924</v>
      </c>
      <c r="D43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02" t="s">
        <v>478</v>
      </c>
      <c r="F4302" t="s">
        <v>2136</v>
      </c>
      <c r="G4302" t="s">
        <v>7796</v>
      </c>
      <c r="H4302">
        <v>35671</v>
      </c>
      <c r="I4302" t="s">
        <v>423</v>
      </c>
      <c r="J4302" t="s">
        <v>2662</v>
      </c>
      <c r="K4302" t="s">
        <v>2625</v>
      </c>
      <c r="L4302" t="s">
        <v>2626</v>
      </c>
      <c r="M4302">
        <v>66</v>
      </c>
      <c r="N4302">
        <v>23.24</v>
      </c>
      <c r="O4302">
        <v>2736.05</v>
      </c>
      <c r="P4302">
        <v>0</v>
      </c>
      <c r="Q4302">
        <v>2736.05</v>
      </c>
      <c r="R4302">
        <v>437.77</v>
      </c>
      <c r="S4302">
        <v>109.44</v>
      </c>
      <c r="T4302">
        <v>3064.38</v>
      </c>
      <c r="U4302" t="s">
        <v>7548</v>
      </c>
      <c r="V4302" t="s">
        <v>9408</v>
      </c>
      <c r="W4302" t="s">
        <v>423</v>
      </c>
    </row>
    <row r="4303" spans="1:23" hidden="1" x14ac:dyDescent="0.2">
      <c r="A4303">
        <v>2012</v>
      </c>
      <c r="B4303" t="s">
        <v>304</v>
      </c>
      <c r="C4303" s="733">
        <v>40962.784872685188</v>
      </c>
      <c r="D43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03" t="s">
        <v>478</v>
      </c>
      <c r="F4303" t="s">
        <v>2136</v>
      </c>
      <c r="G4303" t="s">
        <v>8590</v>
      </c>
      <c r="H4303">
        <v>35968</v>
      </c>
      <c r="I4303" t="s">
        <v>423</v>
      </c>
      <c r="J4303" t="s">
        <v>3636</v>
      </c>
      <c r="K4303" t="s">
        <v>425</v>
      </c>
      <c r="L4303" t="s">
        <v>2145</v>
      </c>
      <c r="M4303">
        <v>244</v>
      </c>
      <c r="N4303">
        <v>24.91</v>
      </c>
      <c r="O4303">
        <v>4160.47</v>
      </c>
      <c r="P4303">
        <v>0</v>
      </c>
      <c r="Q4303">
        <v>4160.47</v>
      </c>
      <c r="R4303">
        <v>665.67</v>
      </c>
      <c r="S4303">
        <v>166.42</v>
      </c>
      <c r="T4303">
        <v>4659.72</v>
      </c>
      <c r="U4303" t="s">
        <v>9430</v>
      </c>
      <c r="V4303" t="s">
        <v>9408</v>
      </c>
      <c r="W4303" t="s">
        <v>423</v>
      </c>
    </row>
    <row r="4304" spans="1:23" hidden="1" x14ac:dyDescent="0.2">
      <c r="A4304">
        <v>2012</v>
      </c>
      <c r="B4304" t="s">
        <v>303</v>
      </c>
      <c r="C4304" s="733">
        <v>40931</v>
      </c>
      <c r="D43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04" t="s">
        <v>478</v>
      </c>
      <c r="F4304" t="s">
        <v>2136</v>
      </c>
      <c r="G4304" t="s">
        <v>6590</v>
      </c>
      <c r="H4304">
        <v>34800</v>
      </c>
      <c r="I4304" t="s">
        <v>423</v>
      </c>
      <c r="J4304" t="s">
        <v>3636</v>
      </c>
      <c r="K4304" t="s">
        <v>425</v>
      </c>
      <c r="L4304" t="s">
        <v>2145</v>
      </c>
      <c r="M4304">
        <v>244</v>
      </c>
      <c r="N4304">
        <v>23.93</v>
      </c>
      <c r="O4304">
        <v>3996.79</v>
      </c>
      <c r="P4304">
        <v>0</v>
      </c>
      <c r="Q4304">
        <v>3996.79</v>
      </c>
      <c r="R4304">
        <v>639.49</v>
      </c>
      <c r="S4304">
        <v>159.87</v>
      </c>
      <c r="T4304">
        <v>4476.41</v>
      </c>
      <c r="U4304" t="s">
        <v>2355</v>
      </c>
      <c r="V4304" t="s">
        <v>9408</v>
      </c>
      <c r="W4304" t="s">
        <v>423</v>
      </c>
    </row>
    <row r="4305" spans="1:23" hidden="1" x14ac:dyDescent="0.2">
      <c r="A4305">
        <v>2012</v>
      </c>
      <c r="B4305" t="s">
        <v>303</v>
      </c>
      <c r="C4305" s="733">
        <v>40912</v>
      </c>
      <c r="D43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05" t="s">
        <v>478</v>
      </c>
      <c r="F4305" t="s">
        <v>2136</v>
      </c>
      <c r="G4305" t="s">
        <v>5396</v>
      </c>
      <c r="H4305">
        <v>34114</v>
      </c>
      <c r="I4305" t="s">
        <v>423</v>
      </c>
      <c r="J4305" t="s">
        <v>3636</v>
      </c>
      <c r="K4305" t="s">
        <v>425</v>
      </c>
      <c r="L4305" t="s">
        <v>2145</v>
      </c>
      <c r="M4305">
        <v>244</v>
      </c>
      <c r="N4305">
        <v>29.97</v>
      </c>
      <c r="O4305">
        <v>2107.4899999999998</v>
      </c>
      <c r="P4305">
        <v>2372.8019159999999</v>
      </c>
      <c r="Q4305">
        <v>4480.2919160000001</v>
      </c>
      <c r="R4305">
        <v>716.84670700000004</v>
      </c>
      <c r="S4305">
        <v>179.21167700000001</v>
      </c>
      <c r="T4305">
        <v>5017.9269459999996</v>
      </c>
      <c r="U4305" t="s">
        <v>3323</v>
      </c>
      <c r="V4305" t="s">
        <v>9408</v>
      </c>
      <c r="W4305" t="s">
        <v>423</v>
      </c>
    </row>
    <row r="4306" spans="1:23" hidden="1" x14ac:dyDescent="0.2">
      <c r="A4306">
        <v>2012</v>
      </c>
      <c r="B4306" t="s">
        <v>304</v>
      </c>
      <c r="C4306" s="733">
        <v>40953</v>
      </c>
      <c r="D43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06" t="s">
        <v>478</v>
      </c>
      <c r="F4306" t="s">
        <v>2622</v>
      </c>
      <c r="G4306" t="s">
        <v>5394</v>
      </c>
      <c r="H4306">
        <v>35313</v>
      </c>
      <c r="I4306" t="s">
        <v>423</v>
      </c>
      <c r="J4306" t="s">
        <v>4780</v>
      </c>
      <c r="K4306" t="s">
        <v>425</v>
      </c>
      <c r="L4306" t="s">
        <v>2145</v>
      </c>
      <c r="M4306">
        <v>196</v>
      </c>
      <c r="N4306">
        <v>23.45</v>
      </c>
      <c r="O4306">
        <v>4167.3</v>
      </c>
      <c r="P4306">
        <v>0</v>
      </c>
      <c r="Q4306">
        <v>4167.3</v>
      </c>
      <c r="R4306">
        <v>666.77</v>
      </c>
      <c r="S4306">
        <v>166.69</v>
      </c>
      <c r="T4306">
        <v>4667.38</v>
      </c>
      <c r="U4306" t="s">
        <v>9455</v>
      </c>
      <c r="V4306" t="s">
        <v>9408</v>
      </c>
      <c r="W4306" t="s">
        <v>423</v>
      </c>
    </row>
    <row r="4307" spans="1:23" hidden="1" x14ac:dyDescent="0.2">
      <c r="A4307">
        <v>2012</v>
      </c>
      <c r="B4307" t="s">
        <v>304</v>
      </c>
      <c r="C4307" s="733">
        <v>40942</v>
      </c>
      <c r="D43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07" t="s">
        <v>478</v>
      </c>
      <c r="F4307" t="s">
        <v>2136</v>
      </c>
      <c r="G4307" t="s">
        <v>5395</v>
      </c>
      <c r="H4307">
        <v>35269</v>
      </c>
      <c r="I4307" t="s">
        <v>423</v>
      </c>
      <c r="J4307" t="s">
        <v>5077</v>
      </c>
      <c r="K4307" t="s">
        <v>425</v>
      </c>
      <c r="L4307" t="s">
        <v>2145</v>
      </c>
      <c r="M4307">
        <v>876</v>
      </c>
      <c r="N4307">
        <v>26.62</v>
      </c>
      <c r="O4307">
        <v>11540.3</v>
      </c>
      <c r="P4307">
        <v>0</v>
      </c>
      <c r="Q4307">
        <v>11540.3</v>
      </c>
      <c r="R4307">
        <v>1846.45</v>
      </c>
      <c r="S4307">
        <v>461.61</v>
      </c>
      <c r="T4307">
        <v>12925.14</v>
      </c>
      <c r="U4307" t="s">
        <v>2938</v>
      </c>
      <c r="V4307" t="s">
        <v>9409</v>
      </c>
      <c r="W4307" t="s">
        <v>423</v>
      </c>
    </row>
    <row r="4308" spans="1:23" hidden="1" x14ac:dyDescent="0.2">
      <c r="A4308">
        <v>2012</v>
      </c>
      <c r="B4308" t="s">
        <v>304</v>
      </c>
      <c r="C4308" s="733">
        <v>40967.455972222226</v>
      </c>
      <c r="D43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08" t="s">
        <v>478</v>
      </c>
      <c r="F4308" t="s">
        <v>2622</v>
      </c>
      <c r="G4308" t="s">
        <v>9244</v>
      </c>
      <c r="H4308">
        <v>36106</v>
      </c>
      <c r="I4308" t="s">
        <v>423</v>
      </c>
      <c r="J4308" t="s">
        <v>2662</v>
      </c>
      <c r="K4308" t="s">
        <v>2625</v>
      </c>
      <c r="L4308" t="s">
        <v>2626</v>
      </c>
      <c r="M4308">
        <v>66</v>
      </c>
      <c r="N4308">
        <v>25.06</v>
      </c>
      <c r="O4308">
        <v>2950.31</v>
      </c>
      <c r="P4308">
        <v>0</v>
      </c>
      <c r="Q4308">
        <v>2950.31</v>
      </c>
      <c r="R4308">
        <v>472.05</v>
      </c>
      <c r="S4308">
        <v>118.01</v>
      </c>
      <c r="T4308">
        <v>3304.35</v>
      </c>
      <c r="U4308" t="s">
        <v>9428</v>
      </c>
      <c r="V4308" t="s">
        <v>9408</v>
      </c>
      <c r="W4308" t="s">
        <v>423</v>
      </c>
    </row>
    <row r="4309" spans="1:23" hidden="1" x14ac:dyDescent="0.2">
      <c r="A4309">
        <v>2012</v>
      </c>
      <c r="B4309" t="s">
        <v>304</v>
      </c>
      <c r="C4309" s="733">
        <v>40955</v>
      </c>
      <c r="D43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09" t="s">
        <v>478</v>
      </c>
      <c r="F4309" t="s">
        <v>2136</v>
      </c>
      <c r="G4309" t="s">
        <v>7583</v>
      </c>
      <c r="H4309">
        <v>35616</v>
      </c>
      <c r="I4309" t="s">
        <v>423</v>
      </c>
      <c r="J4309" t="s">
        <v>4294</v>
      </c>
      <c r="K4309" t="s">
        <v>425</v>
      </c>
      <c r="L4309" t="s">
        <v>2145</v>
      </c>
      <c r="M4309">
        <v>1089</v>
      </c>
      <c r="N4309">
        <v>40.6</v>
      </c>
      <c r="O4309">
        <v>20493.66</v>
      </c>
      <c r="P4309">
        <v>0</v>
      </c>
      <c r="Q4309">
        <v>20493.66</v>
      </c>
      <c r="R4309">
        <v>3278.99</v>
      </c>
      <c r="S4309">
        <v>819.75</v>
      </c>
      <c r="T4309">
        <v>22952.9</v>
      </c>
      <c r="U4309" t="s">
        <v>7523</v>
      </c>
      <c r="V4309" t="s">
        <v>9409</v>
      </c>
      <c r="W4309" t="s">
        <v>423</v>
      </c>
    </row>
    <row r="4310" spans="1:23" hidden="1" x14ac:dyDescent="0.2">
      <c r="A4310">
        <v>2012</v>
      </c>
      <c r="B4310" t="s">
        <v>303</v>
      </c>
      <c r="C4310" s="733">
        <v>40912</v>
      </c>
      <c r="D43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10" t="s">
        <v>485</v>
      </c>
      <c r="F4310" t="s">
        <v>2084</v>
      </c>
      <c r="G4310" t="s">
        <v>3513</v>
      </c>
      <c r="H4310">
        <v>39676</v>
      </c>
      <c r="I4310" t="s">
        <v>423</v>
      </c>
      <c r="J4310" t="s">
        <v>3355</v>
      </c>
      <c r="K4310" t="s">
        <v>2814</v>
      </c>
      <c r="L4310" t="s">
        <v>2815</v>
      </c>
      <c r="M4310">
        <v>417</v>
      </c>
      <c r="N4310">
        <v>24.1</v>
      </c>
      <c r="O4310">
        <v>2815.36</v>
      </c>
      <c r="P4310">
        <v>3169.7856700000002</v>
      </c>
      <c r="Q4310">
        <v>5985.1456699999999</v>
      </c>
      <c r="R4310">
        <v>957.62330699999995</v>
      </c>
      <c r="S4310">
        <v>239.40582699999999</v>
      </c>
      <c r="T4310">
        <v>6703.3631500000001</v>
      </c>
      <c r="U4310" t="s">
        <v>2846</v>
      </c>
      <c r="V4310" t="s">
        <v>9408</v>
      </c>
      <c r="W4310" t="s">
        <v>423</v>
      </c>
    </row>
    <row r="4311" spans="1:23" hidden="1" x14ac:dyDescent="0.2">
      <c r="A4311">
        <v>2012</v>
      </c>
      <c r="B4311" t="s">
        <v>303</v>
      </c>
      <c r="C4311" s="733">
        <v>40919</v>
      </c>
      <c r="D43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11" t="s">
        <v>478</v>
      </c>
      <c r="F4311" t="s">
        <v>4128</v>
      </c>
      <c r="G4311" t="s">
        <v>5328</v>
      </c>
      <c r="H4311">
        <v>34401</v>
      </c>
      <c r="I4311" t="s">
        <v>423</v>
      </c>
      <c r="J4311" t="s">
        <v>4396</v>
      </c>
      <c r="K4311" t="s">
        <v>4397</v>
      </c>
      <c r="L4311" t="s">
        <v>4398</v>
      </c>
      <c r="M4311">
        <v>112</v>
      </c>
      <c r="N4311">
        <v>24.66</v>
      </c>
      <c r="O4311">
        <v>2783.37</v>
      </c>
      <c r="P4311">
        <v>0</v>
      </c>
      <c r="Q4311">
        <v>2783.37</v>
      </c>
      <c r="R4311">
        <v>445.34</v>
      </c>
      <c r="S4311">
        <v>111.33</v>
      </c>
      <c r="T4311">
        <v>3117.38</v>
      </c>
      <c r="U4311" t="s">
        <v>4399</v>
      </c>
      <c r="V4311" t="s">
        <v>9408</v>
      </c>
      <c r="W4311" t="s">
        <v>423</v>
      </c>
    </row>
    <row r="4312" spans="1:23" hidden="1" x14ac:dyDescent="0.2">
      <c r="A4312">
        <v>2012</v>
      </c>
      <c r="B4312" t="s">
        <v>303</v>
      </c>
      <c r="C4312" s="733">
        <v>40933</v>
      </c>
      <c r="D43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12" t="s">
        <v>478</v>
      </c>
      <c r="F4312" t="s">
        <v>4128</v>
      </c>
      <c r="G4312" t="s">
        <v>5324</v>
      </c>
      <c r="H4312">
        <v>34925</v>
      </c>
      <c r="I4312" t="s">
        <v>423</v>
      </c>
      <c r="J4312" t="s">
        <v>4396</v>
      </c>
      <c r="K4312" t="s">
        <v>4397</v>
      </c>
      <c r="L4312" t="s">
        <v>4398</v>
      </c>
      <c r="M4312">
        <v>112</v>
      </c>
      <c r="N4312">
        <v>27.7</v>
      </c>
      <c r="O4312">
        <v>3126.5</v>
      </c>
      <c r="P4312">
        <v>0</v>
      </c>
      <c r="Q4312">
        <v>3126.5</v>
      </c>
      <c r="R4312">
        <v>500.24</v>
      </c>
      <c r="S4312">
        <v>125.06</v>
      </c>
      <c r="T4312">
        <v>3501.68</v>
      </c>
      <c r="U4312" t="s">
        <v>4402</v>
      </c>
      <c r="V4312" t="s">
        <v>9408</v>
      </c>
      <c r="W4312" t="s">
        <v>423</v>
      </c>
    </row>
    <row r="4313" spans="1:23" hidden="1" x14ac:dyDescent="0.2">
      <c r="A4313">
        <v>2012</v>
      </c>
      <c r="B4313" t="s">
        <v>303</v>
      </c>
      <c r="C4313" s="733">
        <v>40919</v>
      </c>
      <c r="D43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13" t="s">
        <v>478</v>
      </c>
      <c r="F4313" t="s">
        <v>4128</v>
      </c>
      <c r="G4313" t="s">
        <v>5325</v>
      </c>
      <c r="H4313">
        <v>34399</v>
      </c>
      <c r="I4313" t="s">
        <v>423</v>
      </c>
      <c r="J4313" t="s">
        <v>4396</v>
      </c>
      <c r="K4313" t="s">
        <v>4397</v>
      </c>
      <c r="L4313" t="s">
        <v>4398</v>
      </c>
      <c r="M4313">
        <v>112</v>
      </c>
      <c r="N4313">
        <v>22.934999999999999</v>
      </c>
      <c r="O4313">
        <v>2588.67</v>
      </c>
      <c r="P4313">
        <v>0</v>
      </c>
      <c r="Q4313">
        <v>2588.67</v>
      </c>
      <c r="R4313">
        <v>414.19</v>
      </c>
      <c r="S4313">
        <v>103.55</v>
      </c>
      <c r="T4313">
        <v>2899.31</v>
      </c>
      <c r="U4313" t="s">
        <v>4404</v>
      </c>
      <c r="V4313" t="s">
        <v>9408</v>
      </c>
      <c r="W4313" t="s">
        <v>423</v>
      </c>
    </row>
    <row r="4314" spans="1:23" hidden="1" x14ac:dyDescent="0.2">
      <c r="A4314">
        <v>2012</v>
      </c>
      <c r="B4314" t="s">
        <v>304</v>
      </c>
      <c r="C4314" s="733">
        <v>40963</v>
      </c>
      <c r="D43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14" t="s">
        <v>478</v>
      </c>
      <c r="F4314" t="s">
        <v>2136</v>
      </c>
      <c r="G4314" t="s">
        <v>9180</v>
      </c>
      <c r="H4314">
        <v>35798</v>
      </c>
      <c r="I4314" t="s">
        <v>423</v>
      </c>
      <c r="J4314" t="s">
        <v>4396</v>
      </c>
      <c r="K4314" t="s">
        <v>4397</v>
      </c>
      <c r="L4314" t="s">
        <v>4398</v>
      </c>
      <c r="M4314">
        <v>112</v>
      </c>
      <c r="N4314">
        <v>31.42</v>
      </c>
      <c r="O4314">
        <v>3546.38</v>
      </c>
      <c r="P4314">
        <v>0</v>
      </c>
      <c r="Q4314">
        <v>3546.38</v>
      </c>
      <c r="R4314">
        <v>567.41999999999996</v>
      </c>
      <c r="S4314">
        <v>141.86000000000001</v>
      </c>
      <c r="T4314">
        <v>3971.94</v>
      </c>
      <c r="V4314" t="s">
        <v>9408</v>
      </c>
      <c r="W4314" t="s">
        <v>423</v>
      </c>
    </row>
    <row r="4315" spans="1:23" hidden="1" x14ac:dyDescent="0.2">
      <c r="A4315">
        <v>2012</v>
      </c>
      <c r="B4315" t="s">
        <v>304</v>
      </c>
      <c r="C4315" s="733">
        <v>40956</v>
      </c>
      <c r="D43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15" t="s">
        <v>478</v>
      </c>
      <c r="F4315" t="s">
        <v>2622</v>
      </c>
      <c r="G4315" t="s">
        <v>7907</v>
      </c>
      <c r="H4315">
        <v>35792</v>
      </c>
      <c r="I4315" t="s">
        <v>423</v>
      </c>
      <c r="J4315" t="s">
        <v>4396</v>
      </c>
      <c r="K4315" t="s">
        <v>4397</v>
      </c>
      <c r="L4315" t="s">
        <v>4398</v>
      </c>
      <c r="M4315">
        <v>112</v>
      </c>
      <c r="N4315">
        <v>22.885000000000002</v>
      </c>
      <c r="O4315">
        <v>2583.0300000000002</v>
      </c>
      <c r="P4315">
        <v>0</v>
      </c>
      <c r="Q4315">
        <v>2583.0300000000002</v>
      </c>
      <c r="R4315">
        <v>413.28</v>
      </c>
      <c r="S4315">
        <v>103.32</v>
      </c>
      <c r="T4315">
        <v>2892.99</v>
      </c>
      <c r="U4315" t="s">
        <v>8384</v>
      </c>
      <c r="V4315" t="s">
        <v>9408</v>
      </c>
      <c r="W4315" t="s">
        <v>423</v>
      </c>
    </row>
    <row r="4316" spans="1:23" hidden="1" x14ac:dyDescent="0.2">
      <c r="A4316">
        <v>2012</v>
      </c>
      <c r="B4316" t="s">
        <v>303</v>
      </c>
      <c r="C4316" s="733">
        <v>40925</v>
      </c>
      <c r="D43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16" t="s">
        <v>505</v>
      </c>
      <c r="F4316" t="s">
        <v>1915</v>
      </c>
      <c r="G4316" t="s">
        <v>6920</v>
      </c>
      <c r="H4316">
        <v>21990</v>
      </c>
      <c r="I4316" t="s">
        <v>423</v>
      </c>
      <c r="J4316" t="s">
        <v>4153</v>
      </c>
      <c r="K4316" t="s">
        <v>1918</v>
      </c>
      <c r="L4316" t="s">
        <v>1919</v>
      </c>
      <c r="M4316">
        <v>850</v>
      </c>
      <c r="N4316">
        <v>49.93</v>
      </c>
      <c r="O4316">
        <v>31199.26</v>
      </c>
      <c r="P4316">
        <v>0</v>
      </c>
      <c r="Q4316">
        <v>31199.26</v>
      </c>
      <c r="R4316">
        <v>4991.88</v>
      </c>
      <c r="S4316">
        <v>1247.97</v>
      </c>
      <c r="T4316">
        <v>34943.17</v>
      </c>
      <c r="U4316" t="s">
        <v>1931</v>
      </c>
      <c r="V4316" t="s">
        <v>9409</v>
      </c>
      <c r="W4316" t="s">
        <v>423</v>
      </c>
    </row>
    <row r="4317" spans="1:23" hidden="1" x14ac:dyDescent="0.2">
      <c r="A4317">
        <v>2012</v>
      </c>
      <c r="B4317" t="s">
        <v>304</v>
      </c>
      <c r="C4317" s="733">
        <v>40960</v>
      </c>
      <c r="D43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17" t="s">
        <v>505</v>
      </c>
      <c r="F4317" t="s">
        <v>1915</v>
      </c>
      <c r="G4317" t="s">
        <v>8122</v>
      </c>
      <c r="H4317">
        <v>22837</v>
      </c>
      <c r="I4317" t="s">
        <v>423</v>
      </c>
      <c r="J4317" t="s">
        <v>4153</v>
      </c>
      <c r="K4317" t="s">
        <v>1918</v>
      </c>
      <c r="L4317" t="s">
        <v>1919</v>
      </c>
      <c r="M4317">
        <v>850</v>
      </c>
      <c r="N4317">
        <v>49.07</v>
      </c>
      <c r="O4317">
        <v>30661.88</v>
      </c>
      <c r="P4317">
        <v>0</v>
      </c>
      <c r="Q4317">
        <v>30661.88</v>
      </c>
      <c r="R4317">
        <v>4905.8999999999996</v>
      </c>
      <c r="S4317">
        <v>1226.48</v>
      </c>
      <c r="T4317">
        <v>34341.300000000003</v>
      </c>
      <c r="U4317" t="s">
        <v>8491</v>
      </c>
      <c r="V4317" t="s">
        <v>9409</v>
      </c>
      <c r="W4317" t="s">
        <v>423</v>
      </c>
    </row>
    <row r="4318" spans="1:23" hidden="1" x14ac:dyDescent="0.2">
      <c r="A4318">
        <v>2012</v>
      </c>
      <c r="B4318" t="s">
        <v>304</v>
      </c>
      <c r="C4318" s="733">
        <v>40954</v>
      </c>
      <c r="D43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18" t="s">
        <v>485</v>
      </c>
      <c r="F4318" t="s">
        <v>2065</v>
      </c>
      <c r="G4318" t="s">
        <v>7481</v>
      </c>
      <c r="H4318">
        <v>41689</v>
      </c>
      <c r="I4318" t="s">
        <v>423</v>
      </c>
      <c r="J4318" t="s">
        <v>2139</v>
      </c>
      <c r="K4318" t="s">
        <v>2102</v>
      </c>
      <c r="L4318" t="s">
        <v>2115</v>
      </c>
      <c r="M4318">
        <v>543</v>
      </c>
      <c r="N4318">
        <v>50.75</v>
      </c>
      <c r="O4318">
        <v>17064.689999999999</v>
      </c>
      <c r="P4318">
        <v>0</v>
      </c>
      <c r="Q4318">
        <v>17064.689999999999</v>
      </c>
      <c r="R4318">
        <v>2730.35</v>
      </c>
      <c r="S4318">
        <v>682.59</v>
      </c>
      <c r="T4318">
        <v>19112.45</v>
      </c>
      <c r="U4318" t="s">
        <v>8051</v>
      </c>
      <c r="V4318" t="s">
        <v>9409</v>
      </c>
      <c r="W4318" t="s">
        <v>423</v>
      </c>
    </row>
    <row r="4319" spans="1:23" hidden="1" x14ac:dyDescent="0.2">
      <c r="A4319">
        <v>2012</v>
      </c>
      <c r="B4319" t="s">
        <v>304</v>
      </c>
      <c r="C4319" s="733">
        <v>40966</v>
      </c>
      <c r="D43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19" t="s">
        <v>478</v>
      </c>
      <c r="F4319" t="s">
        <v>2136</v>
      </c>
      <c r="G4319" t="s">
        <v>9353</v>
      </c>
      <c r="H4319">
        <v>35969</v>
      </c>
      <c r="I4319" t="s">
        <v>423</v>
      </c>
      <c r="J4319" t="s">
        <v>2148</v>
      </c>
      <c r="K4319" t="s">
        <v>425</v>
      </c>
      <c r="L4319" t="s">
        <v>2145</v>
      </c>
      <c r="M4319">
        <v>205</v>
      </c>
      <c r="N4319">
        <v>24.53</v>
      </c>
      <c r="O4319">
        <v>4866.0200000000004</v>
      </c>
      <c r="P4319">
        <v>0</v>
      </c>
      <c r="Q4319">
        <v>4866.0200000000004</v>
      </c>
      <c r="R4319">
        <v>778.56</v>
      </c>
      <c r="S4319">
        <v>194.64</v>
      </c>
      <c r="T4319">
        <v>5449.94</v>
      </c>
      <c r="U4319" t="s">
        <v>9457</v>
      </c>
      <c r="V4319" t="s">
        <v>9408</v>
      </c>
      <c r="W4319" t="s">
        <v>423</v>
      </c>
    </row>
    <row r="4320" spans="1:23" hidden="1" x14ac:dyDescent="0.2">
      <c r="A4320">
        <v>2012</v>
      </c>
      <c r="B4320" t="s">
        <v>304</v>
      </c>
      <c r="C4320" s="733">
        <v>40946</v>
      </c>
      <c r="D43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20" t="s">
        <v>478</v>
      </c>
      <c r="F4320" t="s">
        <v>2142</v>
      </c>
      <c r="G4320" t="s">
        <v>7094</v>
      </c>
      <c r="H4320">
        <v>35327</v>
      </c>
      <c r="I4320" t="s">
        <v>423</v>
      </c>
      <c r="J4320" t="s">
        <v>4285</v>
      </c>
      <c r="K4320" t="s">
        <v>425</v>
      </c>
      <c r="L4320" t="s">
        <v>2145</v>
      </c>
      <c r="M4320">
        <v>110</v>
      </c>
      <c r="N4320">
        <v>24.1</v>
      </c>
      <c r="O4320">
        <v>3922.28</v>
      </c>
      <c r="P4320">
        <v>0</v>
      </c>
      <c r="Q4320">
        <v>3922.28</v>
      </c>
      <c r="R4320">
        <v>627.55999999999995</v>
      </c>
      <c r="S4320">
        <v>156.88999999999999</v>
      </c>
      <c r="T4320">
        <v>4392.95</v>
      </c>
      <c r="U4320" t="s">
        <v>2938</v>
      </c>
      <c r="V4320" t="s">
        <v>9409</v>
      </c>
      <c r="W4320" t="s">
        <v>423</v>
      </c>
    </row>
    <row r="4321" spans="1:23" hidden="1" x14ac:dyDescent="0.2">
      <c r="A4321">
        <v>2012</v>
      </c>
      <c r="B4321" t="s">
        <v>303</v>
      </c>
      <c r="C4321" s="733">
        <v>40926</v>
      </c>
      <c r="D43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21" t="s">
        <v>485</v>
      </c>
      <c r="F4321" t="s">
        <v>2065</v>
      </c>
      <c r="G4321" t="s">
        <v>4485</v>
      </c>
      <c r="H4321">
        <v>39897</v>
      </c>
      <c r="I4321" t="s">
        <v>423</v>
      </c>
      <c r="J4321" t="s">
        <v>2196</v>
      </c>
      <c r="K4321" t="s">
        <v>2183</v>
      </c>
      <c r="L4321" t="s">
        <v>2184</v>
      </c>
      <c r="M4321">
        <v>10</v>
      </c>
      <c r="N4321">
        <v>47.12</v>
      </c>
      <c r="O4321">
        <v>5318.43</v>
      </c>
      <c r="P4321">
        <v>0</v>
      </c>
      <c r="Q4321">
        <v>5318.43</v>
      </c>
      <c r="R4321">
        <v>850.95</v>
      </c>
      <c r="S4321">
        <v>212.74</v>
      </c>
      <c r="T4321">
        <v>5956.64</v>
      </c>
      <c r="U4321" t="s">
        <v>2187</v>
      </c>
      <c r="V4321" t="s">
        <v>9409</v>
      </c>
      <c r="W4321" t="s">
        <v>423</v>
      </c>
    </row>
    <row r="4322" spans="1:23" hidden="1" x14ac:dyDescent="0.2">
      <c r="A4322">
        <v>2012</v>
      </c>
      <c r="B4322" t="s">
        <v>304</v>
      </c>
      <c r="C4322" s="733">
        <v>40963</v>
      </c>
      <c r="D43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22" t="s">
        <v>485</v>
      </c>
      <c r="F4322" t="s">
        <v>2065</v>
      </c>
      <c r="G4322" t="s">
        <v>8688</v>
      </c>
      <c r="H4322">
        <v>42526</v>
      </c>
      <c r="I4322" t="s">
        <v>423</v>
      </c>
      <c r="J4322" t="s">
        <v>2196</v>
      </c>
      <c r="K4322" t="s">
        <v>2183</v>
      </c>
      <c r="L4322" t="s">
        <v>2184</v>
      </c>
      <c r="M4322">
        <v>10</v>
      </c>
      <c r="N4322">
        <v>53.21</v>
      </c>
      <c r="O4322">
        <v>6005.81</v>
      </c>
      <c r="P4322">
        <v>0</v>
      </c>
      <c r="Q4322">
        <v>6005.81</v>
      </c>
      <c r="R4322">
        <v>960.93</v>
      </c>
      <c r="S4322">
        <v>240.23</v>
      </c>
      <c r="T4322">
        <v>6726.51</v>
      </c>
      <c r="U4322" t="s">
        <v>9411</v>
      </c>
      <c r="V4322" t="s">
        <v>9409</v>
      </c>
      <c r="W4322" t="s">
        <v>423</v>
      </c>
    </row>
    <row r="4323" spans="1:23" hidden="1" x14ac:dyDescent="0.2">
      <c r="A4323">
        <v>2012</v>
      </c>
      <c r="B4323" t="s">
        <v>303</v>
      </c>
      <c r="C4323" s="733">
        <v>40926</v>
      </c>
      <c r="D43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23" t="s">
        <v>485</v>
      </c>
      <c r="F4323" t="s">
        <v>2065</v>
      </c>
      <c r="G4323" t="s">
        <v>4496</v>
      </c>
      <c r="H4323">
        <v>39930</v>
      </c>
      <c r="I4323" t="s">
        <v>423</v>
      </c>
      <c r="J4323" t="s">
        <v>2196</v>
      </c>
      <c r="K4323" t="s">
        <v>2183</v>
      </c>
      <c r="L4323" t="s">
        <v>2184</v>
      </c>
      <c r="M4323">
        <v>10</v>
      </c>
      <c r="N4323">
        <v>47.94</v>
      </c>
      <c r="O4323">
        <v>5410.99</v>
      </c>
      <c r="P4323">
        <v>0</v>
      </c>
      <c r="Q4323">
        <v>5410.99</v>
      </c>
      <c r="R4323">
        <v>865.76</v>
      </c>
      <c r="S4323">
        <v>216.44</v>
      </c>
      <c r="T4323">
        <v>6060.31</v>
      </c>
      <c r="U4323" t="s">
        <v>9411</v>
      </c>
      <c r="V4323" t="s">
        <v>9409</v>
      </c>
      <c r="W4323" t="s">
        <v>423</v>
      </c>
    </row>
    <row r="4324" spans="1:23" hidden="1" x14ac:dyDescent="0.2">
      <c r="A4324">
        <v>2012</v>
      </c>
      <c r="B4324" t="s">
        <v>303</v>
      </c>
      <c r="C4324" s="733">
        <v>40918.39402777778</v>
      </c>
      <c r="D43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24" t="s">
        <v>485</v>
      </c>
      <c r="F4324" t="s">
        <v>2065</v>
      </c>
      <c r="G4324" t="s">
        <v>4495</v>
      </c>
      <c r="H4324">
        <v>40042</v>
      </c>
      <c r="I4324" t="s">
        <v>423</v>
      </c>
      <c r="J4324" t="s">
        <v>2196</v>
      </c>
      <c r="K4324" t="s">
        <v>2183</v>
      </c>
      <c r="L4324" t="s">
        <v>2184</v>
      </c>
      <c r="M4324">
        <v>10</v>
      </c>
      <c r="N4324">
        <v>22.33</v>
      </c>
      <c r="O4324">
        <v>2520.39</v>
      </c>
      <c r="P4324">
        <v>0</v>
      </c>
      <c r="Q4324">
        <v>2520.39</v>
      </c>
      <c r="R4324">
        <v>403.26</v>
      </c>
      <c r="S4324">
        <v>100.82</v>
      </c>
      <c r="T4324">
        <v>2822.83</v>
      </c>
      <c r="U4324" t="s">
        <v>9411</v>
      </c>
      <c r="V4324" t="s">
        <v>9408</v>
      </c>
      <c r="W4324" t="s">
        <v>423</v>
      </c>
    </row>
    <row r="4325" spans="1:23" hidden="1" x14ac:dyDescent="0.2">
      <c r="A4325">
        <v>2012</v>
      </c>
      <c r="B4325" t="s">
        <v>303</v>
      </c>
      <c r="C4325" s="733">
        <v>40918</v>
      </c>
      <c r="D43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25" t="s">
        <v>485</v>
      </c>
      <c r="F4325" t="s">
        <v>2065</v>
      </c>
      <c r="G4325" t="s">
        <v>7081</v>
      </c>
      <c r="H4325">
        <v>39863</v>
      </c>
      <c r="I4325" t="s">
        <v>423</v>
      </c>
      <c r="J4325" t="s">
        <v>5868</v>
      </c>
      <c r="K4325" t="s">
        <v>2102</v>
      </c>
      <c r="L4325" t="s">
        <v>2115</v>
      </c>
      <c r="M4325">
        <v>500</v>
      </c>
      <c r="N4325">
        <v>51.23</v>
      </c>
      <c r="O4325">
        <v>17226.09</v>
      </c>
      <c r="P4325">
        <v>0</v>
      </c>
      <c r="Q4325">
        <v>17226.09</v>
      </c>
      <c r="R4325">
        <v>2756.17</v>
      </c>
      <c r="S4325">
        <v>689.04</v>
      </c>
      <c r="T4325">
        <v>19293.22</v>
      </c>
      <c r="V4325" t="s">
        <v>9409</v>
      </c>
      <c r="W4325" t="s">
        <v>423</v>
      </c>
    </row>
    <row r="4326" spans="1:23" hidden="1" x14ac:dyDescent="0.2">
      <c r="A4326">
        <v>2012</v>
      </c>
      <c r="B4326" t="s">
        <v>304</v>
      </c>
      <c r="C4326" s="733">
        <v>40954.441041666665</v>
      </c>
      <c r="D43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26" t="s">
        <v>485</v>
      </c>
      <c r="F4326" t="s">
        <v>2065</v>
      </c>
      <c r="G4326" t="s">
        <v>7476</v>
      </c>
      <c r="H4326">
        <v>41975</v>
      </c>
      <c r="I4326" t="s">
        <v>423</v>
      </c>
      <c r="J4326" t="s">
        <v>2196</v>
      </c>
      <c r="K4326" t="s">
        <v>2183</v>
      </c>
      <c r="L4326" t="s">
        <v>2184</v>
      </c>
      <c r="M4326">
        <v>10</v>
      </c>
      <c r="N4326">
        <v>15.1</v>
      </c>
      <c r="O4326">
        <v>1704.34</v>
      </c>
      <c r="P4326">
        <v>0</v>
      </c>
      <c r="Q4326">
        <v>1704.34</v>
      </c>
      <c r="R4326">
        <v>272.69</v>
      </c>
      <c r="S4326">
        <v>68.17</v>
      </c>
      <c r="T4326">
        <v>1908.86</v>
      </c>
      <c r="U4326" t="s">
        <v>8048</v>
      </c>
      <c r="V4326" t="s">
        <v>9408</v>
      </c>
      <c r="W4326" t="s">
        <v>423</v>
      </c>
    </row>
    <row r="4327" spans="1:23" hidden="1" x14ac:dyDescent="0.2">
      <c r="A4327">
        <v>2012</v>
      </c>
      <c r="B4327" t="s">
        <v>304</v>
      </c>
      <c r="C4327" s="733">
        <v>40960</v>
      </c>
      <c r="D43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27" t="s">
        <v>485</v>
      </c>
      <c r="F4327" t="s">
        <v>2065</v>
      </c>
      <c r="G4327" t="s">
        <v>8045</v>
      </c>
      <c r="H4327">
        <v>42227</v>
      </c>
      <c r="I4327" t="s">
        <v>423</v>
      </c>
      <c r="J4327" t="s">
        <v>2196</v>
      </c>
      <c r="K4327" t="s">
        <v>2183</v>
      </c>
      <c r="L4327" t="s">
        <v>2184</v>
      </c>
      <c r="M4327">
        <v>10</v>
      </c>
      <c r="N4327">
        <v>52.67</v>
      </c>
      <c r="O4327">
        <v>5944.86</v>
      </c>
      <c r="P4327">
        <v>0</v>
      </c>
      <c r="Q4327">
        <v>5944.86</v>
      </c>
      <c r="R4327">
        <v>951.18</v>
      </c>
      <c r="S4327">
        <v>237.79</v>
      </c>
      <c r="T4327">
        <v>6658.25</v>
      </c>
      <c r="U4327" t="s">
        <v>9411</v>
      </c>
      <c r="V4327" t="s">
        <v>9409</v>
      </c>
      <c r="W4327" t="s">
        <v>423</v>
      </c>
    </row>
    <row r="4328" spans="1:23" hidden="1" x14ac:dyDescent="0.2">
      <c r="A4328">
        <v>2012</v>
      </c>
      <c r="B4328" t="s">
        <v>303</v>
      </c>
      <c r="C4328" s="733">
        <v>40926</v>
      </c>
      <c r="D43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28" t="s">
        <v>485</v>
      </c>
      <c r="F4328" t="s">
        <v>2065</v>
      </c>
      <c r="G4328" t="s">
        <v>4486</v>
      </c>
      <c r="H4328">
        <v>40467</v>
      </c>
      <c r="I4328" t="s">
        <v>423</v>
      </c>
      <c r="J4328" t="s">
        <v>2196</v>
      </c>
      <c r="K4328" t="s">
        <v>2183</v>
      </c>
      <c r="L4328" t="s">
        <v>2184</v>
      </c>
      <c r="M4328">
        <v>10</v>
      </c>
      <c r="N4328">
        <v>15.93</v>
      </c>
      <c r="O4328">
        <v>1798.02</v>
      </c>
      <c r="P4328">
        <v>0</v>
      </c>
      <c r="Q4328">
        <v>1798.02</v>
      </c>
      <c r="R4328">
        <v>287.68</v>
      </c>
      <c r="S4328">
        <v>71.92</v>
      </c>
      <c r="T4328">
        <v>2013.78</v>
      </c>
      <c r="U4328" t="s">
        <v>7554</v>
      </c>
      <c r="V4328" t="s">
        <v>9408</v>
      </c>
      <c r="W4328" t="s">
        <v>423</v>
      </c>
    </row>
    <row r="4329" spans="1:23" hidden="1" x14ac:dyDescent="0.2">
      <c r="A4329">
        <v>2012</v>
      </c>
      <c r="B4329" t="s">
        <v>304</v>
      </c>
      <c r="C4329" s="733">
        <v>40962</v>
      </c>
      <c r="D43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29" t="s">
        <v>485</v>
      </c>
      <c r="F4329" t="s">
        <v>2065</v>
      </c>
      <c r="G4329" t="s">
        <v>8687</v>
      </c>
      <c r="H4329">
        <v>42461</v>
      </c>
      <c r="I4329" t="s">
        <v>423</v>
      </c>
      <c r="J4329" t="s">
        <v>2196</v>
      </c>
      <c r="K4329" t="s">
        <v>2183</v>
      </c>
      <c r="L4329" t="s">
        <v>2184</v>
      </c>
      <c r="M4329">
        <v>10</v>
      </c>
      <c r="N4329">
        <v>16.39</v>
      </c>
      <c r="O4329">
        <v>1849.94</v>
      </c>
      <c r="P4329">
        <v>0</v>
      </c>
      <c r="Q4329">
        <v>1849.94</v>
      </c>
      <c r="R4329">
        <v>295.99</v>
      </c>
      <c r="S4329">
        <v>74</v>
      </c>
      <c r="T4329">
        <v>2071.9299999999998</v>
      </c>
      <c r="U4329" t="s">
        <v>9411</v>
      </c>
      <c r="V4329" t="s">
        <v>9408</v>
      </c>
      <c r="W4329" t="s">
        <v>423</v>
      </c>
    </row>
    <row r="4330" spans="1:23" hidden="1" x14ac:dyDescent="0.2">
      <c r="A4330">
        <v>2012</v>
      </c>
      <c r="B4330" t="s">
        <v>303</v>
      </c>
      <c r="C4330" s="733">
        <v>40912</v>
      </c>
      <c r="D43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30" t="s">
        <v>478</v>
      </c>
      <c r="F4330" t="s">
        <v>2136</v>
      </c>
      <c r="G4330" t="s">
        <v>7091</v>
      </c>
      <c r="H4330">
        <v>34115</v>
      </c>
      <c r="I4330" t="s">
        <v>423</v>
      </c>
      <c r="J4330" t="s">
        <v>4285</v>
      </c>
      <c r="K4330" t="s">
        <v>425</v>
      </c>
      <c r="L4330" t="s">
        <v>2145</v>
      </c>
      <c r="M4330">
        <v>110</v>
      </c>
      <c r="N4330">
        <v>24.62</v>
      </c>
      <c r="O4330">
        <v>1686.96</v>
      </c>
      <c r="P4330">
        <v>1899.331394</v>
      </c>
      <c r="Q4330">
        <v>3586.2913939999999</v>
      </c>
      <c r="R4330">
        <v>573.80662299999995</v>
      </c>
      <c r="S4330">
        <v>143.45165600000001</v>
      </c>
      <c r="T4330">
        <v>4016.6463610000001</v>
      </c>
      <c r="U4330" t="s">
        <v>3118</v>
      </c>
      <c r="V4330" t="s">
        <v>9408</v>
      </c>
      <c r="W4330" t="s">
        <v>423</v>
      </c>
    </row>
    <row r="4331" spans="1:23" hidden="1" x14ac:dyDescent="0.2">
      <c r="A4331">
        <v>2012</v>
      </c>
      <c r="B4331" t="s">
        <v>303</v>
      </c>
      <c r="C4331" s="733">
        <v>40914</v>
      </c>
      <c r="D43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31" t="s">
        <v>478</v>
      </c>
      <c r="F4331" t="s">
        <v>2136</v>
      </c>
      <c r="G4331" t="s">
        <v>7093</v>
      </c>
      <c r="H4331">
        <v>34238</v>
      </c>
      <c r="I4331" t="s">
        <v>423</v>
      </c>
      <c r="J4331" t="s">
        <v>4285</v>
      </c>
      <c r="K4331" t="s">
        <v>425</v>
      </c>
      <c r="L4331" t="s">
        <v>2145</v>
      </c>
      <c r="M4331">
        <v>110</v>
      </c>
      <c r="N4331">
        <v>22.84</v>
      </c>
      <c r="O4331">
        <v>3717.21</v>
      </c>
      <c r="P4331">
        <v>0</v>
      </c>
      <c r="Q4331">
        <v>3717.21</v>
      </c>
      <c r="R4331">
        <v>594.75</v>
      </c>
      <c r="S4331">
        <v>148.69</v>
      </c>
      <c r="T4331">
        <v>4163.2700000000004</v>
      </c>
      <c r="U4331" t="s">
        <v>2352</v>
      </c>
      <c r="V4331" t="s">
        <v>9408</v>
      </c>
      <c r="W4331" t="s">
        <v>423</v>
      </c>
    </row>
    <row r="4332" spans="1:23" x14ac:dyDescent="0.2">
      <c r="A4332">
        <v>2012</v>
      </c>
      <c r="B4332" t="s">
        <v>304</v>
      </c>
      <c r="C4332" s="733">
        <v>40968</v>
      </c>
      <c r="D43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32" t="s">
        <v>485</v>
      </c>
      <c r="F4332" t="s">
        <v>2065</v>
      </c>
      <c r="G4332" t="s">
        <v>9346</v>
      </c>
      <c r="H4332">
        <v>42838</v>
      </c>
      <c r="I4332" t="s">
        <v>423</v>
      </c>
      <c r="J4332" t="s">
        <v>2196</v>
      </c>
      <c r="K4332" t="s">
        <v>2183</v>
      </c>
      <c r="L4332" t="s">
        <v>2184</v>
      </c>
      <c r="M4332">
        <v>10</v>
      </c>
      <c r="N4332">
        <v>16.2</v>
      </c>
      <c r="O4332">
        <v>1828.49</v>
      </c>
      <c r="P4332">
        <v>0</v>
      </c>
      <c r="Q4332">
        <v>1828.49</v>
      </c>
      <c r="R4332">
        <v>292.56</v>
      </c>
      <c r="S4332">
        <v>73.14</v>
      </c>
      <c r="T4332">
        <v>2047.91</v>
      </c>
      <c r="V4332" t="s">
        <v>9408</v>
      </c>
      <c r="W4332" t="s">
        <v>423</v>
      </c>
    </row>
    <row r="4333" spans="1:23" hidden="1" x14ac:dyDescent="0.2">
      <c r="A4333">
        <v>2012</v>
      </c>
      <c r="B4333" t="s">
        <v>303</v>
      </c>
      <c r="C4333" s="733">
        <v>40928</v>
      </c>
      <c r="D43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33" t="s">
        <v>485</v>
      </c>
      <c r="F4333" t="s">
        <v>2065</v>
      </c>
      <c r="G4333" t="s">
        <v>4673</v>
      </c>
      <c r="H4333">
        <v>39811</v>
      </c>
      <c r="I4333" t="s">
        <v>423</v>
      </c>
      <c r="J4333" t="s">
        <v>3202</v>
      </c>
      <c r="K4333" t="s">
        <v>2183</v>
      </c>
      <c r="L4333" t="s">
        <v>2184</v>
      </c>
      <c r="M4333">
        <v>80</v>
      </c>
      <c r="N4333">
        <v>16.329999999999998</v>
      </c>
      <c r="O4333">
        <v>1843.17</v>
      </c>
      <c r="P4333">
        <v>0</v>
      </c>
      <c r="Q4333">
        <v>1843.17</v>
      </c>
      <c r="R4333">
        <v>294.91000000000003</v>
      </c>
      <c r="S4333">
        <v>73.73</v>
      </c>
      <c r="T4333">
        <v>2064.35</v>
      </c>
      <c r="U4333" t="s">
        <v>2187</v>
      </c>
      <c r="V4333" t="s">
        <v>9408</v>
      </c>
      <c r="W4333" t="s">
        <v>423</v>
      </c>
    </row>
    <row r="4334" spans="1:23" hidden="1" x14ac:dyDescent="0.2">
      <c r="A4334">
        <v>2012</v>
      </c>
      <c r="B4334" t="s">
        <v>304</v>
      </c>
      <c r="C4334" s="733">
        <v>40954.448634259257</v>
      </c>
      <c r="D43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34" t="s">
        <v>485</v>
      </c>
      <c r="F4334" t="s">
        <v>2065</v>
      </c>
      <c r="G4334" t="s">
        <v>7503</v>
      </c>
      <c r="H4334">
        <v>41982</v>
      </c>
      <c r="I4334" t="s">
        <v>423</v>
      </c>
      <c r="J4334" t="s">
        <v>3202</v>
      </c>
      <c r="K4334" t="s">
        <v>2183</v>
      </c>
      <c r="L4334" t="s">
        <v>2184</v>
      </c>
      <c r="M4334">
        <v>80</v>
      </c>
      <c r="N4334">
        <v>16.03</v>
      </c>
      <c r="O4334">
        <v>1809.31</v>
      </c>
      <c r="P4334">
        <v>0</v>
      </c>
      <c r="Q4334">
        <v>1809.31</v>
      </c>
      <c r="R4334">
        <v>289.49</v>
      </c>
      <c r="S4334">
        <v>72.37</v>
      </c>
      <c r="T4334">
        <v>2026.43</v>
      </c>
      <c r="U4334" t="s">
        <v>8048</v>
      </c>
      <c r="V4334" t="s">
        <v>9408</v>
      </c>
      <c r="W4334" t="s">
        <v>423</v>
      </c>
    </row>
    <row r="4335" spans="1:23" hidden="1" x14ac:dyDescent="0.2">
      <c r="A4335">
        <v>2012</v>
      </c>
      <c r="B4335" t="s">
        <v>303</v>
      </c>
      <c r="C4335" s="733">
        <v>40922</v>
      </c>
      <c r="D43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35" t="s">
        <v>478</v>
      </c>
      <c r="F4335" t="s">
        <v>2136</v>
      </c>
      <c r="G4335" t="s">
        <v>7092</v>
      </c>
      <c r="H4335">
        <v>34456</v>
      </c>
      <c r="I4335" t="s">
        <v>423</v>
      </c>
      <c r="J4335" t="s">
        <v>4285</v>
      </c>
      <c r="K4335" t="s">
        <v>425</v>
      </c>
      <c r="L4335" t="s">
        <v>2145</v>
      </c>
      <c r="M4335">
        <v>110</v>
      </c>
      <c r="N4335">
        <v>24.4</v>
      </c>
      <c r="O4335">
        <v>3971.1</v>
      </c>
      <c r="P4335">
        <v>0</v>
      </c>
      <c r="Q4335">
        <v>3971.1</v>
      </c>
      <c r="R4335">
        <v>635.38</v>
      </c>
      <c r="S4335">
        <v>158.84</v>
      </c>
      <c r="T4335">
        <v>4447.6400000000003</v>
      </c>
      <c r="U4335" t="s">
        <v>2927</v>
      </c>
      <c r="V4335" t="s">
        <v>9409</v>
      </c>
      <c r="W4335" t="s">
        <v>423</v>
      </c>
    </row>
    <row r="4336" spans="1:23" hidden="1" x14ac:dyDescent="0.2">
      <c r="A4336">
        <v>2012</v>
      </c>
      <c r="B4336" t="s">
        <v>304</v>
      </c>
      <c r="C4336" s="733">
        <v>40957.436574074076</v>
      </c>
      <c r="D43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36" t="s">
        <v>485</v>
      </c>
      <c r="F4336" t="s">
        <v>2054</v>
      </c>
      <c r="G4336" t="s">
        <v>7806</v>
      </c>
      <c r="H4336">
        <v>10468</v>
      </c>
      <c r="I4336" t="s">
        <v>423</v>
      </c>
      <c r="J4336" t="s">
        <v>4078</v>
      </c>
      <c r="K4336" t="s">
        <v>2057</v>
      </c>
      <c r="L4336" t="s">
        <v>2058</v>
      </c>
      <c r="M4336">
        <v>154</v>
      </c>
      <c r="N4336">
        <v>24.51</v>
      </c>
      <c r="O4336">
        <v>4130.43</v>
      </c>
      <c r="P4336">
        <v>0</v>
      </c>
      <c r="Q4336">
        <v>4130.43</v>
      </c>
      <c r="R4336">
        <v>454.35</v>
      </c>
      <c r="S4336">
        <v>165.22</v>
      </c>
      <c r="T4336">
        <v>4419.5600000000004</v>
      </c>
      <c r="U4336" t="s">
        <v>8047</v>
      </c>
      <c r="V4336" t="s">
        <v>9408</v>
      </c>
      <c r="W4336" t="s">
        <v>423</v>
      </c>
    </row>
    <row r="4337" spans="1:23" hidden="1" x14ac:dyDescent="0.2">
      <c r="A4337">
        <v>2012</v>
      </c>
      <c r="B4337" t="s">
        <v>303</v>
      </c>
      <c r="C4337" s="733">
        <v>40931</v>
      </c>
      <c r="D43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37" t="s">
        <v>485</v>
      </c>
      <c r="F4337" t="s">
        <v>2054</v>
      </c>
      <c r="G4337" t="s">
        <v>4843</v>
      </c>
      <c r="H4337">
        <v>10170</v>
      </c>
      <c r="I4337" t="s">
        <v>423</v>
      </c>
      <c r="J4337" t="s">
        <v>4078</v>
      </c>
      <c r="K4337" t="s">
        <v>2057</v>
      </c>
      <c r="L4337" t="s">
        <v>2058</v>
      </c>
      <c r="M4337">
        <v>154</v>
      </c>
      <c r="N4337">
        <v>22.76</v>
      </c>
      <c r="O4337">
        <v>3835.52</v>
      </c>
      <c r="P4337">
        <v>0</v>
      </c>
      <c r="Q4337">
        <v>3835.52</v>
      </c>
      <c r="R4337">
        <v>613.67999999999995</v>
      </c>
      <c r="S4337">
        <v>153.41999999999999</v>
      </c>
      <c r="T4337">
        <v>4295.78</v>
      </c>
      <c r="U4337" t="s">
        <v>2077</v>
      </c>
      <c r="V4337" t="s">
        <v>9408</v>
      </c>
      <c r="W4337" t="s">
        <v>423</v>
      </c>
    </row>
    <row r="4338" spans="1:23" hidden="1" x14ac:dyDescent="0.2">
      <c r="A4338">
        <v>2012</v>
      </c>
      <c r="B4338" t="s">
        <v>303</v>
      </c>
      <c r="C4338" s="733">
        <v>40931</v>
      </c>
      <c r="D43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38" t="s">
        <v>478</v>
      </c>
      <c r="F4338" t="s">
        <v>2136</v>
      </c>
      <c r="G4338" t="s">
        <v>5167</v>
      </c>
      <c r="H4338">
        <v>34754</v>
      </c>
      <c r="I4338" t="s">
        <v>423</v>
      </c>
      <c r="J4338" t="s">
        <v>3636</v>
      </c>
      <c r="K4338" t="s">
        <v>425</v>
      </c>
      <c r="L4338" t="s">
        <v>2145</v>
      </c>
      <c r="M4338">
        <v>244</v>
      </c>
      <c r="N4338">
        <v>23.75</v>
      </c>
      <c r="O4338">
        <v>3966.72</v>
      </c>
      <c r="P4338">
        <v>0</v>
      </c>
      <c r="Q4338">
        <v>3966.72</v>
      </c>
      <c r="R4338">
        <v>634.67999999999995</v>
      </c>
      <c r="S4338">
        <v>158.66999999999999</v>
      </c>
      <c r="T4338">
        <v>4442.7299999999996</v>
      </c>
      <c r="U4338" t="s">
        <v>2355</v>
      </c>
      <c r="V4338" t="s">
        <v>9408</v>
      </c>
      <c r="W4338" t="s">
        <v>423</v>
      </c>
    </row>
    <row r="4339" spans="1:23" hidden="1" x14ac:dyDescent="0.2">
      <c r="A4339">
        <v>2012</v>
      </c>
      <c r="B4339" t="s">
        <v>304</v>
      </c>
      <c r="C4339" s="733">
        <v>40946</v>
      </c>
      <c r="D43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39" t="s">
        <v>478</v>
      </c>
      <c r="F4339" t="s">
        <v>2142</v>
      </c>
      <c r="G4339" t="s">
        <v>5754</v>
      </c>
      <c r="H4339">
        <v>35327</v>
      </c>
      <c r="I4339" t="s">
        <v>423</v>
      </c>
      <c r="J4339" t="s">
        <v>4285</v>
      </c>
      <c r="K4339" t="s">
        <v>425</v>
      </c>
      <c r="L4339" t="s">
        <v>2145</v>
      </c>
      <c r="M4339">
        <v>110</v>
      </c>
      <c r="N4339">
        <v>23.94</v>
      </c>
      <c r="O4339">
        <v>3998.46</v>
      </c>
      <c r="P4339">
        <v>0</v>
      </c>
      <c r="Q4339">
        <v>3998.46</v>
      </c>
      <c r="R4339">
        <v>639.75</v>
      </c>
      <c r="S4339">
        <v>159.94</v>
      </c>
      <c r="T4339">
        <v>4478.2700000000004</v>
      </c>
      <c r="U4339" t="s">
        <v>3115</v>
      </c>
      <c r="V4339" t="s">
        <v>9409</v>
      </c>
      <c r="W4339" t="s">
        <v>423</v>
      </c>
    </row>
    <row r="4340" spans="1:23" hidden="1" x14ac:dyDescent="0.2">
      <c r="A4340">
        <v>2012</v>
      </c>
      <c r="B4340" t="s">
        <v>304</v>
      </c>
      <c r="C4340" s="733">
        <v>40953</v>
      </c>
      <c r="D43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40" t="s">
        <v>478</v>
      </c>
      <c r="F4340" t="s">
        <v>2622</v>
      </c>
      <c r="G4340" t="s">
        <v>5165</v>
      </c>
      <c r="H4340">
        <v>35325</v>
      </c>
      <c r="I4340" t="s">
        <v>423</v>
      </c>
      <c r="J4340" t="s">
        <v>4780</v>
      </c>
      <c r="K4340" t="s">
        <v>425</v>
      </c>
      <c r="L4340" t="s">
        <v>2145</v>
      </c>
      <c r="M4340">
        <v>196</v>
      </c>
      <c r="N4340">
        <v>22.51</v>
      </c>
      <c r="O4340">
        <v>4000.25</v>
      </c>
      <c r="P4340">
        <v>0</v>
      </c>
      <c r="Q4340">
        <v>4000.25</v>
      </c>
      <c r="R4340">
        <v>640.04</v>
      </c>
      <c r="S4340">
        <v>160.01</v>
      </c>
      <c r="T4340">
        <v>4480.28</v>
      </c>
      <c r="U4340" t="s">
        <v>9455</v>
      </c>
      <c r="V4340" t="s">
        <v>9408</v>
      </c>
      <c r="W4340" t="s">
        <v>423</v>
      </c>
    </row>
    <row r="4341" spans="1:23" hidden="1" x14ac:dyDescent="0.2">
      <c r="A4341">
        <v>2012</v>
      </c>
      <c r="B4341" t="s">
        <v>304</v>
      </c>
      <c r="C4341" s="733">
        <v>40966</v>
      </c>
      <c r="D43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41" t="s">
        <v>478</v>
      </c>
      <c r="F4341" t="s">
        <v>2136</v>
      </c>
      <c r="G4341" t="s">
        <v>9348</v>
      </c>
      <c r="H4341">
        <v>36038</v>
      </c>
      <c r="I4341" t="s">
        <v>423</v>
      </c>
      <c r="J4341" t="s">
        <v>5077</v>
      </c>
      <c r="K4341" t="s">
        <v>425</v>
      </c>
      <c r="L4341" t="s">
        <v>2145</v>
      </c>
      <c r="M4341">
        <v>876</v>
      </c>
      <c r="N4341">
        <v>26.16</v>
      </c>
      <c r="O4341">
        <v>11340.88</v>
      </c>
      <c r="P4341">
        <v>0</v>
      </c>
      <c r="Q4341">
        <v>11340.88</v>
      </c>
      <c r="R4341">
        <v>1814.54</v>
      </c>
      <c r="S4341">
        <v>453.64</v>
      </c>
      <c r="T4341">
        <v>12701.78</v>
      </c>
      <c r="U4341" t="s">
        <v>9457</v>
      </c>
      <c r="V4341" t="s">
        <v>9408</v>
      </c>
      <c r="W4341" t="s">
        <v>423</v>
      </c>
    </row>
    <row r="4342" spans="1:23" hidden="1" x14ac:dyDescent="0.2">
      <c r="A4342">
        <v>2012</v>
      </c>
      <c r="B4342" t="s">
        <v>303</v>
      </c>
      <c r="C4342" s="733">
        <v>40939.45884259259</v>
      </c>
      <c r="D43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42" t="s">
        <v>478</v>
      </c>
      <c r="F4342" t="s">
        <v>2622</v>
      </c>
      <c r="G4342" t="s">
        <v>4639</v>
      </c>
      <c r="H4342">
        <v>35098</v>
      </c>
      <c r="I4342" t="s">
        <v>423</v>
      </c>
      <c r="J4342" t="s">
        <v>2662</v>
      </c>
      <c r="K4342" t="s">
        <v>2625</v>
      </c>
      <c r="L4342" t="s">
        <v>2626</v>
      </c>
      <c r="M4342">
        <v>66</v>
      </c>
      <c r="N4342">
        <v>22.92</v>
      </c>
      <c r="O4342">
        <v>2698.37</v>
      </c>
      <c r="P4342">
        <v>0</v>
      </c>
      <c r="Q4342">
        <v>2698.37</v>
      </c>
      <c r="R4342">
        <v>431.74</v>
      </c>
      <c r="S4342">
        <v>107.93</v>
      </c>
      <c r="T4342">
        <v>3022.18</v>
      </c>
      <c r="U4342" t="s">
        <v>2630</v>
      </c>
      <c r="V4342" t="s">
        <v>9408</v>
      </c>
      <c r="W4342" t="s">
        <v>423</v>
      </c>
    </row>
    <row r="4343" spans="1:23" hidden="1" x14ac:dyDescent="0.2">
      <c r="A4343">
        <v>2012</v>
      </c>
      <c r="B4343" t="s">
        <v>304</v>
      </c>
      <c r="C4343" s="733">
        <v>40949.729375000003</v>
      </c>
      <c r="D43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43" t="s">
        <v>478</v>
      </c>
      <c r="F4343" t="s">
        <v>2622</v>
      </c>
      <c r="G4343" t="s">
        <v>4641</v>
      </c>
      <c r="H4343">
        <v>35505</v>
      </c>
      <c r="I4343" t="s">
        <v>423</v>
      </c>
      <c r="J4343" t="s">
        <v>2662</v>
      </c>
      <c r="K4343" t="s">
        <v>2625</v>
      </c>
      <c r="L4343" t="s">
        <v>2626</v>
      </c>
      <c r="M4343">
        <v>66</v>
      </c>
      <c r="N4343">
        <v>25.07</v>
      </c>
      <c r="O4343">
        <v>2951.49</v>
      </c>
      <c r="P4343">
        <v>0</v>
      </c>
      <c r="Q4343">
        <v>2951.49</v>
      </c>
      <c r="R4343">
        <v>472.24</v>
      </c>
      <c r="S4343">
        <v>118.06</v>
      </c>
      <c r="T4343">
        <v>3305.67</v>
      </c>
      <c r="U4343" t="s">
        <v>8267</v>
      </c>
      <c r="V4343" t="s">
        <v>9408</v>
      </c>
      <c r="W4343" t="s">
        <v>423</v>
      </c>
    </row>
    <row r="4344" spans="1:23" hidden="1" x14ac:dyDescent="0.2">
      <c r="A4344">
        <v>2012</v>
      </c>
      <c r="B4344" t="s">
        <v>304</v>
      </c>
      <c r="C4344" s="733">
        <v>40946.727905092594</v>
      </c>
      <c r="D43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44" t="s">
        <v>478</v>
      </c>
      <c r="F4344" t="s">
        <v>2622</v>
      </c>
      <c r="G4344" t="s">
        <v>4440</v>
      </c>
      <c r="H4344">
        <v>35373</v>
      </c>
      <c r="I4344" t="s">
        <v>423</v>
      </c>
      <c r="J4344" t="s">
        <v>2662</v>
      </c>
      <c r="K4344" t="s">
        <v>2625</v>
      </c>
      <c r="L4344" t="s">
        <v>2626</v>
      </c>
      <c r="M4344">
        <v>66</v>
      </c>
      <c r="N4344">
        <v>25.25</v>
      </c>
      <c r="O4344">
        <v>2972.68</v>
      </c>
      <c r="P4344">
        <v>0</v>
      </c>
      <c r="Q4344">
        <v>2972.68</v>
      </c>
      <c r="R4344">
        <v>475.63</v>
      </c>
      <c r="S4344">
        <v>118.91</v>
      </c>
      <c r="T4344">
        <v>3329.4</v>
      </c>
      <c r="U4344" t="s">
        <v>2630</v>
      </c>
      <c r="V4344" t="s">
        <v>9408</v>
      </c>
      <c r="W4344" t="s">
        <v>423</v>
      </c>
    </row>
    <row r="4345" spans="1:23" hidden="1" x14ac:dyDescent="0.2">
      <c r="A4345">
        <v>2012</v>
      </c>
      <c r="B4345" t="s">
        <v>304</v>
      </c>
      <c r="C4345" s="733">
        <v>40946.732546296298</v>
      </c>
      <c r="D43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45" t="s">
        <v>478</v>
      </c>
      <c r="F4345" t="s">
        <v>2622</v>
      </c>
      <c r="G4345" t="s">
        <v>4441</v>
      </c>
      <c r="H4345">
        <v>35376</v>
      </c>
      <c r="I4345" t="s">
        <v>423</v>
      </c>
      <c r="J4345" t="s">
        <v>2662</v>
      </c>
      <c r="K4345" t="s">
        <v>2625</v>
      </c>
      <c r="L4345" t="s">
        <v>2626</v>
      </c>
      <c r="M4345">
        <v>66</v>
      </c>
      <c r="N4345">
        <v>26.01</v>
      </c>
      <c r="O4345">
        <v>3062.16</v>
      </c>
      <c r="P4345">
        <v>0</v>
      </c>
      <c r="Q4345">
        <v>3062.16</v>
      </c>
      <c r="R4345">
        <v>489.95</v>
      </c>
      <c r="S4345">
        <v>122.49</v>
      </c>
      <c r="T4345">
        <v>3429.62</v>
      </c>
      <c r="U4345" t="s">
        <v>2652</v>
      </c>
      <c r="V4345" t="s">
        <v>9408</v>
      </c>
      <c r="W4345" t="s">
        <v>423</v>
      </c>
    </row>
    <row r="4346" spans="1:23" hidden="1" x14ac:dyDescent="0.2">
      <c r="A4346">
        <v>2012</v>
      </c>
      <c r="B4346" t="s">
        <v>303</v>
      </c>
      <c r="C4346" s="733">
        <v>40939</v>
      </c>
      <c r="D43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46" t="s">
        <v>478</v>
      </c>
      <c r="F4346" t="s">
        <v>2622</v>
      </c>
      <c r="G4346" t="s">
        <v>4640</v>
      </c>
      <c r="H4346">
        <v>35095</v>
      </c>
      <c r="I4346" t="s">
        <v>423</v>
      </c>
      <c r="J4346" t="s">
        <v>2662</v>
      </c>
      <c r="K4346" t="s">
        <v>2625</v>
      </c>
      <c r="L4346" t="s">
        <v>2626</v>
      </c>
      <c r="M4346">
        <v>66</v>
      </c>
      <c r="N4346">
        <v>23.51</v>
      </c>
      <c r="O4346">
        <v>2742.21</v>
      </c>
      <c r="P4346">
        <v>0</v>
      </c>
      <c r="Q4346">
        <v>2742.21</v>
      </c>
      <c r="R4346">
        <v>438.75</v>
      </c>
      <c r="S4346">
        <v>109.69</v>
      </c>
      <c r="T4346">
        <v>3071.27</v>
      </c>
      <c r="U4346" t="s">
        <v>2648</v>
      </c>
      <c r="V4346" t="s">
        <v>9408</v>
      </c>
      <c r="W4346" t="s">
        <v>423</v>
      </c>
    </row>
    <row r="4347" spans="1:23" hidden="1" x14ac:dyDescent="0.2">
      <c r="A4347">
        <v>2012</v>
      </c>
      <c r="B4347" t="s">
        <v>303</v>
      </c>
      <c r="C4347" s="733">
        <v>40914.718611111108</v>
      </c>
      <c r="D43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47" t="s">
        <v>505</v>
      </c>
      <c r="F4347" t="s">
        <v>1915</v>
      </c>
      <c r="G4347" t="s">
        <v>5491</v>
      </c>
      <c r="H4347">
        <v>21781</v>
      </c>
      <c r="I4347" t="s">
        <v>1979</v>
      </c>
      <c r="J4347" t="s">
        <v>1980</v>
      </c>
      <c r="K4347" t="s">
        <v>1918</v>
      </c>
      <c r="L4347" t="s">
        <v>1919</v>
      </c>
      <c r="M4347">
        <v>732</v>
      </c>
      <c r="N4347">
        <v>49.88</v>
      </c>
      <c r="O4347">
        <v>21877.37</v>
      </c>
      <c r="P4347">
        <v>0</v>
      </c>
      <c r="Q4347">
        <v>21877.37</v>
      </c>
      <c r="R4347">
        <v>3500.38</v>
      </c>
      <c r="S4347">
        <v>875.09</v>
      </c>
      <c r="T4347">
        <v>24502.66</v>
      </c>
      <c r="U4347" t="s">
        <v>1931</v>
      </c>
      <c r="V4347" t="s">
        <v>9409</v>
      </c>
      <c r="W4347" t="s">
        <v>1979</v>
      </c>
    </row>
    <row r="4348" spans="1:23" hidden="1" x14ac:dyDescent="0.2">
      <c r="A4348">
        <v>2012</v>
      </c>
      <c r="B4348" t="s">
        <v>304</v>
      </c>
      <c r="C4348" s="733">
        <v>40940</v>
      </c>
      <c r="D43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48" t="s">
        <v>505</v>
      </c>
      <c r="F4348" t="s">
        <v>1915</v>
      </c>
      <c r="G4348" t="s">
        <v>5492</v>
      </c>
      <c r="H4348">
        <v>22372</v>
      </c>
      <c r="I4348" t="s">
        <v>423</v>
      </c>
      <c r="J4348" t="s">
        <v>1980</v>
      </c>
      <c r="K4348" t="s">
        <v>1918</v>
      </c>
      <c r="L4348" t="s">
        <v>1919</v>
      </c>
      <c r="M4348">
        <v>732</v>
      </c>
      <c r="N4348">
        <v>25.3</v>
      </c>
      <c r="O4348">
        <v>11096.58</v>
      </c>
      <c r="P4348">
        <v>0</v>
      </c>
      <c r="Q4348">
        <v>11096.58</v>
      </c>
      <c r="R4348">
        <v>1775.45</v>
      </c>
      <c r="S4348">
        <v>443.86</v>
      </c>
      <c r="T4348">
        <v>12428.17</v>
      </c>
      <c r="U4348" t="s">
        <v>1926</v>
      </c>
      <c r="V4348" t="s">
        <v>9408</v>
      </c>
      <c r="W4348" t="s">
        <v>423</v>
      </c>
    </row>
    <row r="4349" spans="1:23" hidden="1" x14ac:dyDescent="0.2">
      <c r="A4349">
        <v>2012</v>
      </c>
      <c r="B4349" t="s">
        <v>304</v>
      </c>
      <c r="C4349" s="733">
        <v>40967</v>
      </c>
      <c r="D43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49" t="s">
        <v>505</v>
      </c>
      <c r="F4349" t="s">
        <v>1915</v>
      </c>
      <c r="G4349" t="s">
        <v>9349</v>
      </c>
      <c r="H4349">
        <v>23022</v>
      </c>
      <c r="I4349" t="s">
        <v>423</v>
      </c>
      <c r="J4349" t="s">
        <v>1945</v>
      </c>
      <c r="K4349" t="s">
        <v>1918</v>
      </c>
      <c r="L4349" t="s">
        <v>1919</v>
      </c>
      <c r="M4349">
        <v>949</v>
      </c>
      <c r="N4349">
        <v>54.55</v>
      </c>
      <c r="O4349">
        <v>31388.62</v>
      </c>
      <c r="P4349">
        <v>0</v>
      </c>
      <c r="Q4349">
        <v>31388.62</v>
      </c>
      <c r="R4349">
        <v>5022.18</v>
      </c>
      <c r="S4349">
        <v>1255.54</v>
      </c>
      <c r="T4349">
        <v>35155.26</v>
      </c>
      <c r="V4349" t="s">
        <v>9409</v>
      </c>
      <c r="W4349" t="s">
        <v>423</v>
      </c>
    </row>
    <row r="4350" spans="1:23" hidden="1" x14ac:dyDescent="0.2">
      <c r="A4350">
        <v>2012</v>
      </c>
      <c r="B4350" t="s">
        <v>304</v>
      </c>
      <c r="C4350" s="733">
        <v>40940</v>
      </c>
      <c r="D43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50" t="s">
        <v>505</v>
      </c>
      <c r="F4350" t="s">
        <v>1915</v>
      </c>
      <c r="G4350" t="s">
        <v>3500</v>
      </c>
      <c r="H4350">
        <v>22375</v>
      </c>
      <c r="I4350" t="s">
        <v>423</v>
      </c>
      <c r="J4350" t="s">
        <v>1945</v>
      </c>
      <c r="K4350" t="s">
        <v>1918</v>
      </c>
      <c r="L4350" t="s">
        <v>1919</v>
      </c>
      <c r="M4350">
        <v>949</v>
      </c>
      <c r="N4350">
        <v>53.94</v>
      </c>
      <c r="O4350">
        <v>31037.62</v>
      </c>
      <c r="P4350">
        <v>0</v>
      </c>
      <c r="Q4350">
        <v>31037.62</v>
      </c>
      <c r="R4350">
        <v>4966.0200000000004</v>
      </c>
      <c r="S4350">
        <v>1241.5</v>
      </c>
      <c r="T4350">
        <v>34762.14</v>
      </c>
      <c r="U4350" t="s">
        <v>1926</v>
      </c>
      <c r="V4350" t="s">
        <v>9409</v>
      </c>
      <c r="W4350" t="s">
        <v>423</v>
      </c>
    </row>
    <row r="4351" spans="1:23" hidden="1" x14ac:dyDescent="0.2">
      <c r="A4351">
        <v>2012</v>
      </c>
      <c r="B4351" t="s">
        <v>303</v>
      </c>
      <c r="C4351" s="733">
        <v>40927</v>
      </c>
      <c r="D43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51" t="s">
        <v>505</v>
      </c>
      <c r="F4351" t="s">
        <v>1915</v>
      </c>
      <c r="G4351" t="s">
        <v>5490</v>
      </c>
      <c r="H4351">
        <v>22075</v>
      </c>
      <c r="I4351" t="s">
        <v>423</v>
      </c>
      <c r="J4351" t="s">
        <v>1980</v>
      </c>
      <c r="K4351" t="s">
        <v>1918</v>
      </c>
      <c r="L4351" t="s">
        <v>1919</v>
      </c>
      <c r="M4351">
        <v>732</v>
      </c>
      <c r="N4351">
        <v>23.75</v>
      </c>
      <c r="O4351">
        <v>10416.75</v>
      </c>
      <c r="P4351">
        <v>0</v>
      </c>
      <c r="Q4351">
        <v>10416.75</v>
      </c>
      <c r="R4351">
        <v>1666.68</v>
      </c>
      <c r="S4351">
        <v>416.67</v>
      </c>
      <c r="T4351">
        <v>11666.76</v>
      </c>
      <c r="U4351" t="s">
        <v>8778</v>
      </c>
      <c r="V4351" t="s">
        <v>9408</v>
      </c>
      <c r="W4351" t="s">
        <v>423</v>
      </c>
    </row>
    <row r="4352" spans="1:23" hidden="1" x14ac:dyDescent="0.2">
      <c r="A4352">
        <v>2012</v>
      </c>
      <c r="B4352" t="s">
        <v>303</v>
      </c>
      <c r="C4352" s="733">
        <v>40938</v>
      </c>
      <c r="D43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52" t="s">
        <v>505</v>
      </c>
      <c r="F4352" t="s">
        <v>1915</v>
      </c>
      <c r="G4352" t="s">
        <v>3501</v>
      </c>
      <c r="H4352">
        <v>22316</v>
      </c>
      <c r="I4352" t="s">
        <v>423</v>
      </c>
      <c r="J4352" t="s">
        <v>1980</v>
      </c>
      <c r="K4352" t="s">
        <v>1918</v>
      </c>
      <c r="L4352" t="s">
        <v>1919</v>
      </c>
      <c r="M4352">
        <v>732</v>
      </c>
      <c r="N4352">
        <v>53.98</v>
      </c>
      <c r="O4352">
        <v>23675.63</v>
      </c>
      <c r="P4352">
        <v>0</v>
      </c>
      <c r="Q4352">
        <v>23675.63</v>
      </c>
      <c r="R4352">
        <v>3788.1</v>
      </c>
      <c r="S4352">
        <v>947.03</v>
      </c>
      <c r="T4352">
        <v>26516.7</v>
      </c>
      <c r="U4352" t="s">
        <v>1936</v>
      </c>
      <c r="V4352" t="s">
        <v>9409</v>
      </c>
      <c r="W4352" t="s">
        <v>423</v>
      </c>
    </row>
    <row r="4353" spans="1:23" hidden="1" x14ac:dyDescent="0.2">
      <c r="A4353">
        <v>2012</v>
      </c>
      <c r="B4353" t="s">
        <v>303</v>
      </c>
      <c r="C4353" s="733">
        <v>40925</v>
      </c>
      <c r="D43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53" t="s">
        <v>505</v>
      </c>
      <c r="F4353" t="s">
        <v>1915</v>
      </c>
      <c r="G4353" t="s">
        <v>5489</v>
      </c>
      <c r="H4353">
        <v>21965</v>
      </c>
      <c r="I4353" t="s">
        <v>423</v>
      </c>
      <c r="J4353" t="s">
        <v>1980</v>
      </c>
      <c r="K4353" t="s">
        <v>1918</v>
      </c>
      <c r="L4353" t="s">
        <v>1919</v>
      </c>
      <c r="M4353">
        <v>732</v>
      </c>
      <c r="N4353">
        <v>53.9</v>
      </c>
      <c r="O4353">
        <v>23640.54</v>
      </c>
      <c r="P4353">
        <v>0</v>
      </c>
      <c r="Q4353">
        <v>23640.54</v>
      </c>
      <c r="R4353">
        <v>3782.49</v>
      </c>
      <c r="S4353">
        <v>945.62</v>
      </c>
      <c r="T4353">
        <v>26477.41</v>
      </c>
      <c r="U4353" t="s">
        <v>1931</v>
      </c>
      <c r="V4353" t="s">
        <v>9409</v>
      </c>
      <c r="W4353" t="s">
        <v>423</v>
      </c>
    </row>
    <row r="4354" spans="1:23" hidden="1" x14ac:dyDescent="0.2">
      <c r="A4354">
        <v>2012</v>
      </c>
      <c r="B4354" t="s">
        <v>304</v>
      </c>
      <c r="C4354" s="733">
        <v>40967.461701388886</v>
      </c>
      <c r="D43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54" t="s">
        <v>478</v>
      </c>
      <c r="F4354" t="s">
        <v>2622</v>
      </c>
      <c r="G4354" t="s">
        <v>9347</v>
      </c>
      <c r="H4354">
        <v>36114</v>
      </c>
      <c r="I4354" t="s">
        <v>423</v>
      </c>
      <c r="J4354" t="s">
        <v>2662</v>
      </c>
      <c r="K4354" t="s">
        <v>2625</v>
      </c>
      <c r="L4354" t="s">
        <v>2626</v>
      </c>
      <c r="M4354">
        <v>66</v>
      </c>
      <c r="N4354">
        <v>25.46</v>
      </c>
      <c r="O4354">
        <v>2997.41</v>
      </c>
      <c r="P4354">
        <v>0</v>
      </c>
      <c r="Q4354">
        <v>2997.41</v>
      </c>
      <c r="R4354">
        <v>479.58</v>
      </c>
      <c r="S4354">
        <v>119.9</v>
      </c>
      <c r="T4354">
        <v>3357.09</v>
      </c>
      <c r="V4354" t="s">
        <v>9408</v>
      </c>
      <c r="W4354" t="s">
        <v>423</v>
      </c>
    </row>
    <row r="4355" spans="1:23" hidden="1" x14ac:dyDescent="0.2">
      <c r="A4355">
        <v>2012</v>
      </c>
      <c r="B4355" t="s">
        <v>303</v>
      </c>
      <c r="C4355" s="733">
        <v>40919</v>
      </c>
      <c r="D43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55" t="s">
        <v>485</v>
      </c>
      <c r="F4355" t="s">
        <v>2054</v>
      </c>
      <c r="G4355" t="s">
        <v>5159</v>
      </c>
      <c r="H4355">
        <v>9963</v>
      </c>
      <c r="I4355" t="s">
        <v>423</v>
      </c>
      <c r="J4355" t="s">
        <v>4078</v>
      </c>
      <c r="K4355" t="s">
        <v>2057</v>
      </c>
      <c r="L4355" t="s">
        <v>2058</v>
      </c>
      <c r="M4355">
        <v>154</v>
      </c>
      <c r="N4355">
        <v>23.56</v>
      </c>
      <c r="O4355">
        <v>3970.33</v>
      </c>
      <c r="P4355">
        <v>0</v>
      </c>
      <c r="Q4355">
        <v>3970.33</v>
      </c>
      <c r="R4355">
        <v>635.25</v>
      </c>
      <c r="S4355">
        <v>158.81</v>
      </c>
      <c r="T4355">
        <v>4446.7700000000004</v>
      </c>
      <c r="U4355" t="s">
        <v>2070</v>
      </c>
      <c r="V4355" t="s">
        <v>9408</v>
      </c>
      <c r="W4355" t="s">
        <v>423</v>
      </c>
    </row>
    <row r="4356" spans="1:23" hidden="1" x14ac:dyDescent="0.2">
      <c r="A4356">
        <v>2012</v>
      </c>
      <c r="B4356" t="s">
        <v>304</v>
      </c>
      <c r="C4356" s="733">
        <v>40947.512719907405</v>
      </c>
      <c r="D43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56" t="s">
        <v>485</v>
      </c>
      <c r="F4356" t="s">
        <v>2054</v>
      </c>
      <c r="G4356" t="s">
        <v>5158</v>
      </c>
      <c r="H4356">
        <v>10349</v>
      </c>
      <c r="I4356" t="s">
        <v>423</v>
      </c>
      <c r="J4356" t="s">
        <v>4078</v>
      </c>
      <c r="K4356" t="s">
        <v>2057</v>
      </c>
      <c r="L4356" t="s">
        <v>2058</v>
      </c>
      <c r="M4356">
        <v>154</v>
      </c>
      <c r="N4356">
        <v>49.25</v>
      </c>
      <c r="O4356">
        <v>8299.61</v>
      </c>
      <c r="P4356">
        <v>0</v>
      </c>
      <c r="Q4356">
        <v>8299.61</v>
      </c>
      <c r="R4356">
        <v>912.96</v>
      </c>
      <c r="S4356">
        <v>331.98</v>
      </c>
      <c r="T4356">
        <v>8880.59</v>
      </c>
      <c r="U4356" t="s">
        <v>2082</v>
      </c>
      <c r="V4356" t="s">
        <v>9409</v>
      </c>
      <c r="W4356" t="s">
        <v>423</v>
      </c>
    </row>
    <row r="4357" spans="1:23" hidden="1" x14ac:dyDescent="0.2">
      <c r="A4357">
        <v>2012</v>
      </c>
      <c r="B4357" t="s">
        <v>303</v>
      </c>
      <c r="C4357" s="733">
        <v>40912</v>
      </c>
      <c r="D43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57" t="s">
        <v>478</v>
      </c>
      <c r="F4357" t="s">
        <v>2136</v>
      </c>
      <c r="G4357" t="s">
        <v>5166</v>
      </c>
      <c r="H4357">
        <v>34124</v>
      </c>
      <c r="I4357" t="s">
        <v>423</v>
      </c>
      <c r="J4357" t="s">
        <v>5077</v>
      </c>
      <c r="K4357" t="s">
        <v>425</v>
      </c>
      <c r="L4357" t="s">
        <v>2145</v>
      </c>
      <c r="M4357">
        <v>876</v>
      </c>
      <c r="N4357">
        <v>26.3</v>
      </c>
      <c r="O4357">
        <v>4800.28</v>
      </c>
      <c r="P4357">
        <v>5404.5872490000002</v>
      </c>
      <c r="Q4357">
        <v>10204.867249000001</v>
      </c>
      <c r="R4357">
        <v>1632.7787599999999</v>
      </c>
      <c r="S4357">
        <v>408.19468999999998</v>
      </c>
      <c r="T4357">
        <v>11429.451319</v>
      </c>
      <c r="U4357" t="s">
        <v>3323</v>
      </c>
      <c r="V4357" t="s">
        <v>9408</v>
      </c>
      <c r="W4357" t="s">
        <v>423</v>
      </c>
    </row>
    <row r="4358" spans="1:23" hidden="1" x14ac:dyDescent="0.2">
      <c r="A4358">
        <v>2012</v>
      </c>
      <c r="B4358" t="s">
        <v>304</v>
      </c>
      <c r="C4358" s="733">
        <v>40942.47047453704</v>
      </c>
      <c r="D43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58" t="s">
        <v>478</v>
      </c>
      <c r="F4358" t="s">
        <v>2136</v>
      </c>
      <c r="G4358" t="s">
        <v>5168</v>
      </c>
      <c r="H4358">
        <v>35275</v>
      </c>
      <c r="I4358" t="s">
        <v>423</v>
      </c>
      <c r="J4358" t="s">
        <v>3636</v>
      </c>
      <c r="K4358" t="s">
        <v>425</v>
      </c>
      <c r="L4358" t="s">
        <v>2145</v>
      </c>
      <c r="M4358">
        <v>244</v>
      </c>
      <c r="N4358">
        <v>25.89</v>
      </c>
      <c r="O4358">
        <v>4324.1499999999996</v>
      </c>
      <c r="P4358">
        <v>0</v>
      </c>
      <c r="Q4358">
        <v>4324.1499999999996</v>
      </c>
      <c r="R4358">
        <v>691.86</v>
      </c>
      <c r="S4358">
        <v>172.97</v>
      </c>
      <c r="T4358">
        <v>4843.04</v>
      </c>
      <c r="U4358" t="s">
        <v>3115</v>
      </c>
      <c r="V4358" t="s">
        <v>9408</v>
      </c>
      <c r="W4358" t="s">
        <v>423</v>
      </c>
    </row>
    <row r="4359" spans="1:23" hidden="1" x14ac:dyDescent="0.2">
      <c r="A4359">
        <v>2012</v>
      </c>
      <c r="B4359" t="s">
        <v>305</v>
      </c>
      <c r="C4359" s="733">
        <v>40969</v>
      </c>
      <c r="D4359" s="733" t="str">
        <f>CHOOSE(MONTH(Tabla_sqldatos_bonampakdb_Bon_v_ingresos2012[[#This Row],[fecha_guia]]),"Enero","Febrero","Marzo","Abril","Mayo","Junio","Julio","Agosto","Septiembre","Octubre","Noviembre","Diciembre")</f>
        <v>Marzo</v>
      </c>
      <c r="E4359" t="s">
        <v>478</v>
      </c>
      <c r="F4359" t="s">
        <v>2142</v>
      </c>
      <c r="G4359" t="s">
        <v>9614</v>
      </c>
      <c r="H4359">
        <v>36206</v>
      </c>
      <c r="I4359" t="s">
        <v>423</v>
      </c>
      <c r="J4359" t="s">
        <v>3636</v>
      </c>
      <c r="K4359" t="s">
        <v>425</v>
      </c>
      <c r="L4359" t="s">
        <v>2145</v>
      </c>
      <c r="M4359">
        <v>244</v>
      </c>
      <c r="N4359">
        <v>42.77</v>
      </c>
      <c r="O4359">
        <v>7143.45</v>
      </c>
      <c r="P4359">
        <v>0</v>
      </c>
      <c r="Q4359">
        <v>7143.45</v>
      </c>
      <c r="R4359">
        <v>1142.95</v>
      </c>
      <c r="S4359">
        <v>285.74</v>
      </c>
      <c r="T4359">
        <v>8000.66</v>
      </c>
      <c r="V4359" t="s">
        <v>9409</v>
      </c>
      <c r="W4359" t="s">
        <v>423</v>
      </c>
    </row>
    <row r="4360" spans="1:23" hidden="1" x14ac:dyDescent="0.2">
      <c r="A4360">
        <v>2012</v>
      </c>
      <c r="B4360" t="s">
        <v>304</v>
      </c>
      <c r="C4360" s="733">
        <v>40954</v>
      </c>
      <c r="D43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60" t="s">
        <v>478</v>
      </c>
      <c r="F4360" t="s">
        <v>2136</v>
      </c>
      <c r="G4360" t="s">
        <v>7756</v>
      </c>
      <c r="H4360">
        <v>35618</v>
      </c>
      <c r="I4360" t="s">
        <v>423</v>
      </c>
      <c r="J4360" t="s">
        <v>4778</v>
      </c>
      <c r="K4360" t="s">
        <v>425</v>
      </c>
      <c r="L4360" t="s">
        <v>2145</v>
      </c>
      <c r="M4360">
        <v>652</v>
      </c>
      <c r="N4360">
        <v>38.86</v>
      </c>
      <c r="O4360">
        <v>12166.68</v>
      </c>
      <c r="P4360">
        <v>0</v>
      </c>
      <c r="Q4360">
        <v>12166.68</v>
      </c>
      <c r="R4360">
        <v>1946.67</v>
      </c>
      <c r="S4360">
        <v>486.67</v>
      </c>
      <c r="T4360">
        <v>13626.68</v>
      </c>
      <c r="U4360" t="s">
        <v>7553</v>
      </c>
      <c r="V4360" t="s">
        <v>9409</v>
      </c>
      <c r="W4360" t="s">
        <v>423</v>
      </c>
    </row>
    <row r="4361" spans="1:23" hidden="1" x14ac:dyDescent="0.2">
      <c r="A4361">
        <v>2012</v>
      </c>
      <c r="B4361" t="s">
        <v>304</v>
      </c>
      <c r="C4361" s="733">
        <v>40961</v>
      </c>
      <c r="D43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61" t="s">
        <v>505</v>
      </c>
      <c r="F4361" t="s">
        <v>1915</v>
      </c>
      <c r="G4361" t="s">
        <v>8432</v>
      </c>
      <c r="H4361">
        <v>22907</v>
      </c>
      <c r="I4361" t="s">
        <v>1979</v>
      </c>
      <c r="J4361" t="s">
        <v>1980</v>
      </c>
      <c r="K4361" t="s">
        <v>1918</v>
      </c>
      <c r="L4361" t="s">
        <v>1919</v>
      </c>
      <c r="M4361">
        <v>732</v>
      </c>
      <c r="N4361">
        <v>49.65</v>
      </c>
      <c r="O4361">
        <v>21776.49</v>
      </c>
      <c r="P4361">
        <v>0</v>
      </c>
      <c r="Q4361">
        <v>21776.49</v>
      </c>
      <c r="R4361">
        <v>3484.24</v>
      </c>
      <c r="S4361">
        <v>871.06</v>
      </c>
      <c r="T4361">
        <v>24389.67</v>
      </c>
      <c r="U4361" t="s">
        <v>8491</v>
      </c>
      <c r="V4361" t="s">
        <v>9409</v>
      </c>
      <c r="W4361" t="s">
        <v>1979</v>
      </c>
    </row>
    <row r="4362" spans="1:23" hidden="1" x14ac:dyDescent="0.2">
      <c r="A4362">
        <v>2012</v>
      </c>
      <c r="B4362" t="s">
        <v>303</v>
      </c>
      <c r="C4362" s="733">
        <v>40927</v>
      </c>
      <c r="D43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62" t="s">
        <v>478</v>
      </c>
      <c r="F4362" t="s">
        <v>2622</v>
      </c>
      <c r="G4362" t="s">
        <v>4647</v>
      </c>
      <c r="H4362">
        <v>34698</v>
      </c>
      <c r="I4362" t="s">
        <v>423</v>
      </c>
      <c r="J4362" t="s">
        <v>2624</v>
      </c>
      <c r="K4362" t="s">
        <v>2625</v>
      </c>
      <c r="L4362" t="s">
        <v>2626</v>
      </c>
      <c r="M4362">
        <v>10</v>
      </c>
      <c r="N4362">
        <v>24.27</v>
      </c>
      <c r="O4362">
        <v>2857.31</v>
      </c>
      <c r="P4362">
        <v>0</v>
      </c>
      <c r="Q4362">
        <v>2857.31</v>
      </c>
      <c r="R4362">
        <v>457.17</v>
      </c>
      <c r="S4362">
        <v>114.29</v>
      </c>
      <c r="T4362">
        <v>3200.19</v>
      </c>
      <c r="U4362" t="s">
        <v>2627</v>
      </c>
      <c r="V4362" t="s">
        <v>9408</v>
      </c>
      <c r="W4362" t="s">
        <v>423</v>
      </c>
    </row>
    <row r="4363" spans="1:23" hidden="1" x14ac:dyDescent="0.2">
      <c r="A4363">
        <v>2012</v>
      </c>
      <c r="B4363" t="s">
        <v>304</v>
      </c>
      <c r="C4363" s="733">
        <v>40953</v>
      </c>
      <c r="D43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63" t="s">
        <v>478</v>
      </c>
      <c r="F4363" t="s">
        <v>2136</v>
      </c>
      <c r="G4363" t="s">
        <v>5424</v>
      </c>
      <c r="H4363">
        <v>35517</v>
      </c>
      <c r="I4363" t="s">
        <v>423</v>
      </c>
      <c r="J4363" t="s">
        <v>5384</v>
      </c>
      <c r="K4363" t="s">
        <v>425</v>
      </c>
      <c r="L4363" t="s">
        <v>2145</v>
      </c>
      <c r="M4363">
        <v>1472</v>
      </c>
      <c r="N4363">
        <v>23.69</v>
      </c>
      <c r="O4363">
        <v>16921.53</v>
      </c>
      <c r="P4363">
        <v>0</v>
      </c>
      <c r="Q4363">
        <v>16921.53</v>
      </c>
      <c r="R4363">
        <v>2707.44</v>
      </c>
      <c r="S4363">
        <v>676.86</v>
      </c>
      <c r="T4363">
        <v>18952.11</v>
      </c>
      <c r="U4363" t="s">
        <v>7523</v>
      </c>
      <c r="V4363" t="s">
        <v>9408</v>
      </c>
      <c r="W4363" t="s">
        <v>423</v>
      </c>
    </row>
    <row r="4364" spans="1:23" hidden="1" x14ac:dyDescent="0.2">
      <c r="A4364">
        <v>2012</v>
      </c>
      <c r="B4364" t="s">
        <v>304</v>
      </c>
      <c r="C4364" s="733">
        <v>40964</v>
      </c>
      <c r="D43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64" t="s">
        <v>485</v>
      </c>
      <c r="F4364" t="s">
        <v>2054</v>
      </c>
      <c r="G4364" t="s">
        <v>8825</v>
      </c>
      <c r="H4364">
        <v>10545</v>
      </c>
      <c r="I4364" t="s">
        <v>423</v>
      </c>
      <c r="J4364" t="s">
        <v>2098</v>
      </c>
      <c r="K4364" t="s">
        <v>2057</v>
      </c>
      <c r="L4364" t="s">
        <v>2058</v>
      </c>
      <c r="M4364">
        <v>565</v>
      </c>
      <c r="N4364">
        <v>47.33</v>
      </c>
      <c r="O4364">
        <v>15998.49</v>
      </c>
      <c r="P4364">
        <v>0</v>
      </c>
      <c r="Q4364">
        <v>15998.49</v>
      </c>
      <c r="R4364">
        <v>1759.83</v>
      </c>
      <c r="S4364">
        <v>639.94000000000005</v>
      </c>
      <c r="T4364">
        <v>17118.38</v>
      </c>
      <c r="U4364" t="s">
        <v>8864</v>
      </c>
      <c r="V4364" t="s">
        <v>9409</v>
      </c>
      <c r="W4364" t="s">
        <v>423</v>
      </c>
    </row>
    <row r="4365" spans="1:23" hidden="1" x14ac:dyDescent="0.2">
      <c r="A4365">
        <v>2012</v>
      </c>
      <c r="B4365" t="s">
        <v>304</v>
      </c>
      <c r="C4365" s="733">
        <v>40960</v>
      </c>
      <c r="D43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65" t="s">
        <v>485</v>
      </c>
      <c r="F4365" t="s">
        <v>2084</v>
      </c>
      <c r="G4365" t="s">
        <v>8129</v>
      </c>
      <c r="H4365">
        <v>42051</v>
      </c>
      <c r="I4365" t="s">
        <v>423</v>
      </c>
      <c r="J4365" t="s">
        <v>2813</v>
      </c>
      <c r="K4365" t="s">
        <v>2814</v>
      </c>
      <c r="L4365" t="s">
        <v>2815</v>
      </c>
      <c r="M4365">
        <v>365</v>
      </c>
      <c r="N4365">
        <v>23.984000000000002</v>
      </c>
      <c r="O4365">
        <v>6456.01</v>
      </c>
      <c r="P4365">
        <v>0</v>
      </c>
      <c r="Q4365">
        <v>6456.01</v>
      </c>
      <c r="R4365">
        <v>710.16</v>
      </c>
      <c r="S4365">
        <v>258.24</v>
      </c>
      <c r="T4365">
        <v>6907.93</v>
      </c>
      <c r="U4365" t="s">
        <v>8877</v>
      </c>
      <c r="V4365" t="s">
        <v>9408</v>
      </c>
      <c r="W4365" t="s">
        <v>423</v>
      </c>
    </row>
    <row r="4366" spans="1:23" hidden="1" x14ac:dyDescent="0.2">
      <c r="A4366">
        <v>2012</v>
      </c>
      <c r="B4366" t="s">
        <v>304</v>
      </c>
      <c r="C4366" s="733">
        <v>40953</v>
      </c>
      <c r="D43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66" t="s">
        <v>485</v>
      </c>
      <c r="F4366" t="s">
        <v>2084</v>
      </c>
      <c r="G4366" t="s">
        <v>4372</v>
      </c>
      <c r="H4366">
        <v>41630</v>
      </c>
      <c r="I4366" t="s">
        <v>423</v>
      </c>
      <c r="J4366" t="s">
        <v>2813</v>
      </c>
      <c r="K4366" t="s">
        <v>2814</v>
      </c>
      <c r="L4366" t="s">
        <v>2815</v>
      </c>
      <c r="M4366">
        <v>365</v>
      </c>
      <c r="N4366">
        <v>24.111999999999998</v>
      </c>
      <c r="O4366">
        <v>6490.47</v>
      </c>
      <c r="P4366">
        <v>0</v>
      </c>
      <c r="Q4366">
        <v>6490.47</v>
      </c>
      <c r="R4366">
        <v>713.95</v>
      </c>
      <c r="S4366">
        <v>259.62</v>
      </c>
      <c r="T4366">
        <v>6944.8</v>
      </c>
      <c r="U4366" t="s">
        <v>7527</v>
      </c>
      <c r="V4366" t="s">
        <v>9408</v>
      </c>
      <c r="W4366" t="s">
        <v>423</v>
      </c>
    </row>
    <row r="4367" spans="1:23" hidden="1" x14ac:dyDescent="0.2">
      <c r="A4367">
        <v>2012</v>
      </c>
      <c r="B4367" t="s">
        <v>304</v>
      </c>
      <c r="C4367" s="733">
        <v>40940</v>
      </c>
      <c r="D43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67" t="s">
        <v>485</v>
      </c>
      <c r="F4367" t="s">
        <v>2084</v>
      </c>
      <c r="G4367" t="s">
        <v>4375</v>
      </c>
      <c r="H4367">
        <v>41046</v>
      </c>
      <c r="I4367" t="s">
        <v>423</v>
      </c>
      <c r="J4367" t="s">
        <v>2813</v>
      </c>
      <c r="K4367" t="s">
        <v>2814</v>
      </c>
      <c r="L4367" t="s">
        <v>2815</v>
      </c>
      <c r="M4367">
        <v>365</v>
      </c>
      <c r="N4367">
        <v>27.968</v>
      </c>
      <c r="O4367">
        <v>7528.43</v>
      </c>
      <c r="P4367">
        <v>0</v>
      </c>
      <c r="Q4367">
        <v>7528.43</v>
      </c>
      <c r="R4367">
        <v>1204.55</v>
      </c>
      <c r="S4367">
        <v>301.14</v>
      </c>
      <c r="T4367">
        <v>8431.84</v>
      </c>
      <c r="U4367" t="s">
        <v>8522</v>
      </c>
      <c r="V4367" t="s">
        <v>9408</v>
      </c>
      <c r="W4367" t="s">
        <v>423</v>
      </c>
    </row>
    <row r="4368" spans="1:23" hidden="1" x14ac:dyDescent="0.2">
      <c r="A4368">
        <v>2012</v>
      </c>
      <c r="B4368" t="s">
        <v>304</v>
      </c>
      <c r="C4368" s="733">
        <v>40940</v>
      </c>
      <c r="D43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68" t="s">
        <v>485</v>
      </c>
      <c r="F4368" t="s">
        <v>2084</v>
      </c>
      <c r="G4368" t="s">
        <v>4376</v>
      </c>
      <c r="H4368">
        <v>41050</v>
      </c>
      <c r="I4368" t="s">
        <v>423</v>
      </c>
      <c r="J4368" t="s">
        <v>2813</v>
      </c>
      <c r="K4368" t="s">
        <v>2814</v>
      </c>
      <c r="L4368" t="s">
        <v>2815</v>
      </c>
      <c r="M4368">
        <v>365</v>
      </c>
      <c r="N4368">
        <v>23.952999999999999</v>
      </c>
      <c r="O4368">
        <v>6447.67</v>
      </c>
      <c r="P4368">
        <v>0</v>
      </c>
      <c r="Q4368">
        <v>6447.67</v>
      </c>
      <c r="R4368">
        <v>1031.6300000000001</v>
      </c>
      <c r="S4368">
        <v>257.91000000000003</v>
      </c>
      <c r="T4368">
        <v>7221.39</v>
      </c>
      <c r="U4368" t="s">
        <v>8522</v>
      </c>
      <c r="V4368" t="s">
        <v>9408</v>
      </c>
      <c r="W4368" t="s">
        <v>423</v>
      </c>
    </row>
    <row r="4369" spans="1:23" hidden="1" x14ac:dyDescent="0.2">
      <c r="A4369">
        <v>2012</v>
      </c>
      <c r="B4369" t="s">
        <v>304</v>
      </c>
      <c r="C4369" s="733">
        <v>40940</v>
      </c>
      <c r="D43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69" t="s">
        <v>485</v>
      </c>
      <c r="F4369" t="s">
        <v>2084</v>
      </c>
      <c r="G4369" t="s">
        <v>4373</v>
      </c>
      <c r="H4369">
        <v>40892</v>
      </c>
      <c r="I4369" t="s">
        <v>423</v>
      </c>
      <c r="J4369" t="s">
        <v>2813</v>
      </c>
      <c r="K4369" t="s">
        <v>2814</v>
      </c>
      <c r="L4369" t="s">
        <v>2815</v>
      </c>
      <c r="M4369">
        <v>365</v>
      </c>
      <c r="N4369">
        <v>23.533000000000001</v>
      </c>
      <c r="O4369">
        <v>6334.61</v>
      </c>
      <c r="P4369">
        <v>0</v>
      </c>
      <c r="Q4369">
        <v>6334.61</v>
      </c>
      <c r="R4369">
        <v>1013.54</v>
      </c>
      <c r="S4369">
        <v>253.38</v>
      </c>
      <c r="T4369">
        <v>7094.77</v>
      </c>
      <c r="U4369" t="s">
        <v>8522</v>
      </c>
      <c r="V4369" t="s">
        <v>9408</v>
      </c>
      <c r="W4369" t="s">
        <v>423</v>
      </c>
    </row>
    <row r="4370" spans="1:23" hidden="1" x14ac:dyDescent="0.2">
      <c r="A4370">
        <v>2012</v>
      </c>
      <c r="B4370" t="s">
        <v>303</v>
      </c>
      <c r="C4370" s="733">
        <v>40938</v>
      </c>
      <c r="D43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70" t="s">
        <v>485</v>
      </c>
      <c r="F4370" t="s">
        <v>2084</v>
      </c>
      <c r="G4370" t="s">
        <v>4377</v>
      </c>
      <c r="H4370">
        <v>39881</v>
      </c>
      <c r="I4370" t="s">
        <v>423</v>
      </c>
      <c r="J4370" t="s">
        <v>2813</v>
      </c>
      <c r="K4370" t="s">
        <v>2814</v>
      </c>
      <c r="L4370" t="s">
        <v>2815</v>
      </c>
      <c r="M4370">
        <v>365</v>
      </c>
      <c r="N4370">
        <v>24.17</v>
      </c>
      <c r="O4370">
        <v>6506.08</v>
      </c>
      <c r="P4370">
        <v>0</v>
      </c>
      <c r="Q4370">
        <v>6506.08</v>
      </c>
      <c r="R4370">
        <v>1040.97</v>
      </c>
      <c r="S4370">
        <v>260.24</v>
      </c>
      <c r="T4370">
        <v>7286.81</v>
      </c>
      <c r="V4370" t="s">
        <v>9408</v>
      </c>
      <c r="W4370" t="s">
        <v>423</v>
      </c>
    </row>
    <row r="4371" spans="1:23" x14ac:dyDescent="0.2">
      <c r="A4371">
        <v>2012</v>
      </c>
      <c r="B4371" t="s">
        <v>304</v>
      </c>
      <c r="C4371" s="733">
        <v>40967</v>
      </c>
      <c r="D43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71" t="s">
        <v>485</v>
      </c>
      <c r="F4371" t="s">
        <v>2084</v>
      </c>
      <c r="G4371" t="s">
        <v>9270</v>
      </c>
      <c r="H4371">
        <v>42123</v>
      </c>
      <c r="I4371" t="s">
        <v>423</v>
      </c>
      <c r="J4371" t="s">
        <v>2813</v>
      </c>
      <c r="K4371" t="s">
        <v>2814</v>
      </c>
      <c r="L4371" t="s">
        <v>2815</v>
      </c>
      <c r="M4371">
        <v>365</v>
      </c>
      <c r="N4371">
        <v>24.01</v>
      </c>
      <c r="O4371">
        <v>6463.01</v>
      </c>
      <c r="P4371">
        <v>0</v>
      </c>
      <c r="Q4371">
        <v>6463.01</v>
      </c>
      <c r="R4371">
        <v>710.93</v>
      </c>
      <c r="S4371">
        <v>258.52</v>
      </c>
      <c r="T4371">
        <v>6915.42</v>
      </c>
      <c r="U4371" t="s">
        <v>8877</v>
      </c>
      <c r="V4371" t="s">
        <v>9408</v>
      </c>
      <c r="W4371" t="s">
        <v>423</v>
      </c>
    </row>
    <row r="4372" spans="1:23" hidden="1" x14ac:dyDescent="0.2">
      <c r="A4372">
        <v>2012</v>
      </c>
      <c r="B4372" t="s">
        <v>303</v>
      </c>
      <c r="C4372" s="733">
        <v>40932</v>
      </c>
      <c r="D43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72" t="s">
        <v>485</v>
      </c>
      <c r="F4372" t="s">
        <v>2084</v>
      </c>
      <c r="G4372" t="s">
        <v>4374</v>
      </c>
      <c r="H4372">
        <v>40551</v>
      </c>
      <c r="I4372" t="s">
        <v>423</v>
      </c>
      <c r="J4372" t="s">
        <v>2813</v>
      </c>
      <c r="K4372" t="s">
        <v>2814</v>
      </c>
      <c r="L4372" t="s">
        <v>2815</v>
      </c>
      <c r="M4372">
        <v>365</v>
      </c>
      <c r="N4372">
        <v>24.388000000000002</v>
      </c>
      <c r="O4372">
        <v>6564.76</v>
      </c>
      <c r="P4372">
        <v>0</v>
      </c>
      <c r="Q4372">
        <v>6564.76</v>
      </c>
      <c r="R4372">
        <v>1050.3599999999999</v>
      </c>
      <c r="S4372">
        <v>262.58999999999997</v>
      </c>
      <c r="T4372">
        <v>7352.53</v>
      </c>
      <c r="U4372" t="s">
        <v>8522</v>
      </c>
      <c r="V4372" t="s">
        <v>9408</v>
      </c>
      <c r="W4372" t="s">
        <v>423</v>
      </c>
    </row>
    <row r="4373" spans="1:23" hidden="1" x14ac:dyDescent="0.2">
      <c r="A4373">
        <v>2012</v>
      </c>
      <c r="B4373" t="s">
        <v>304</v>
      </c>
      <c r="C4373" s="733">
        <v>40960</v>
      </c>
      <c r="D43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73" t="s">
        <v>485</v>
      </c>
      <c r="F4373" t="s">
        <v>2084</v>
      </c>
      <c r="G4373" t="s">
        <v>8137</v>
      </c>
      <c r="H4373">
        <v>42054</v>
      </c>
      <c r="I4373" t="s">
        <v>423</v>
      </c>
      <c r="J4373" t="s">
        <v>2813</v>
      </c>
      <c r="K4373" t="s">
        <v>2814</v>
      </c>
      <c r="L4373" t="s">
        <v>2815</v>
      </c>
      <c r="M4373">
        <v>365</v>
      </c>
      <c r="N4373">
        <v>23.972000000000001</v>
      </c>
      <c r="O4373">
        <v>6452.78</v>
      </c>
      <c r="P4373">
        <v>0</v>
      </c>
      <c r="Q4373">
        <v>6452.78</v>
      </c>
      <c r="R4373">
        <v>709.81</v>
      </c>
      <c r="S4373">
        <v>258.11</v>
      </c>
      <c r="T4373">
        <v>6904.48</v>
      </c>
      <c r="U4373" t="s">
        <v>8877</v>
      </c>
      <c r="V4373" t="s">
        <v>9408</v>
      </c>
      <c r="W4373" t="s">
        <v>423</v>
      </c>
    </row>
    <row r="4374" spans="1:23" hidden="1" x14ac:dyDescent="0.2">
      <c r="A4374">
        <v>2012</v>
      </c>
      <c r="B4374" t="s">
        <v>303</v>
      </c>
      <c r="C4374" s="733">
        <v>40926</v>
      </c>
      <c r="D43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74" t="s">
        <v>485</v>
      </c>
      <c r="F4374" t="s">
        <v>2084</v>
      </c>
      <c r="G4374" t="s">
        <v>4704</v>
      </c>
      <c r="H4374">
        <v>40191</v>
      </c>
      <c r="I4374" t="s">
        <v>423</v>
      </c>
      <c r="J4374" t="s">
        <v>2813</v>
      </c>
      <c r="K4374" t="s">
        <v>2814</v>
      </c>
      <c r="L4374" t="s">
        <v>2815</v>
      </c>
      <c r="M4374">
        <v>365</v>
      </c>
      <c r="N4374">
        <v>24.678999999999998</v>
      </c>
      <c r="O4374">
        <v>6643.09</v>
      </c>
      <c r="P4374">
        <v>0</v>
      </c>
      <c r="Q4374">
        <v>6643.09</v>
      </c>
      <c r="R4374">
        <v>1062.8900000000001</v>
      </c>
      <c r="S4374">
        <v>265.72000000000003</v>
      </c>
      <c r="T4374">
        <v>7440.26</v>
      </c>
      <c r="U4374" t="s">
        <v>2826</v>
      </c>
      <c r="V4374" t="s">
        <v>9408</v>
      </c>
      <c r="W4374" t="s">
        <v>423</v>
      </c>
    </row>
    <row r="4375" spans="1:23" hidden="1" x14ac:dyDescent="0.2">
      <c r="A4375">
        <v>2012</v>
      </c>
      <c r="B4375" t="s">
        <v>304</v>
      </c>
      <c r="C4375" s="733">
        <v>40940</v>
      </c>
      <c r="D43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75" t="s">
        <v>485</v>
      </c>
      <c r="F4375" t="s">
        <v>2084</v>
      </c>
      <c r="G4375" t="s">
        <v>4368</v>
      </c>
      <c r="H4375">
        <v>41192</v>
      </c>
      <c r="I4375" t="s">
        <v>423</v>
      </c>
      <c r="J4375" t="s">
        <v>2813</v>
      </c>
      <c r="K4375" t="s">
        <v>2814</v>
      </c>
      <c r="L4375" t="s">
        <v>2815</v>
      </c>
      <c r="M4375">
        <v>365</v>
      </c>
      <c r="N4375">
        <v>25.815999999999999</v>
      </c>
      <c r="O4375">
        <v>6949.15</v>
      </c>
      <c r="P4375">
        <v>0</v>
      </c>
      <c r="Q4375">
        <v>6949.15</v>
      </c>
      <c r="R4375">
        <v>1111.8599999999999</v>
      </c>
      <c r="S4375">
        <v>277.97000000000003</v>
      </c>
      <c r="T4375">
        <v>7783.04</v>
      </c>
      <c r="U4375" t="s">
        <v>8522</v>
      </c>
      <c r="V4375" t="s">
        <v>9408</v>
      </c>
      <c r="W4375" t="s">
        <v>423</v>
      </c>
    </row>
    <row r="4376" spans="1:23" hidden="1" x14ac:dyDescent="0.2">
      <c r="A4376">
        <v>2012</v>
      </c>
      <c r="B4376" t="s">
        <v>304</v>
      </c>
      <c r="C4376" s="733">
        <v>40953</v>
      </c>
      <c r="D43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76" t="s">
        <v>485</v>
      </c>
      <c r="F4376" t="s">
        <v>2084</v>
      </c>
      <c r="G4376" t="s">
        <v>4367</v>
      </c>
      <c r="H4376">
        <v>41718</v>
      </c>
      <c r="I4376" t="s">
        <v>423</v>
      </c>
      <c r="J4376" t="s">
        <v>2813</v>
      </c>
      <c r="K4376" t="s">
        <v>2814</v>
      </c>
      <c r="L4376" t="s">
        <v>2815</v>
      </c>
      <c r="M4376">
        <v>365</v>
      </c>
      <c r="N4376">
        <v>24.763999999999999</v>
      </c>
      <c r="O4376">
        <v>6665.97</v>
      </c>
      <c r="P4376">
        <v>0</v>
      </c>
      <c r="Q4376">
        <v>6665.97</v>
      </c>
      <c r="R4376">
        <v>733.26</v>
      </c>
      <c r="S4376">
        <v>266.64</v>
      </c>
      <c r="T4376">
        <v>7132.59</v>
      </c>
      <c r="U4376" t="s">
        <v>7527</v>
      </c>
      <c r="V4376" t="s">
        <v>9408</v>
      </c>
      <c r="W4376" t="s">
        <v>423</v>
      </c>
    </row>
    <row r="4377" spans="1:23" hidden="1" x14ac:dyDescent="0.2">
      <c r="A4377">
        <v>2012</v>
      </c>
      <c r="B4377" t="s">
        <v>304</v>
      </c>
      <c r="C4377" s="733">
        <v>40953</v>
      </c>
      <c r="D43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77" t="s">
        <v>485</v>
      </c>
      <c r="F4377" t="s">
        <v>2084</v>
      </c>
      <c r="G4377" t="s">
        <v>4370</v>
      </c>
      <c r="H4377">
        <v>41627</v>
      </c>
      <c r="I4377" t="s">
        <v>423</v>
      </c>
      <c r="J4377" t="s">
        <v>2813</v>
      </c>
      <c r="K4377" t="s">
        <v>2814</v>
      </c>
      <c r="L4377" t="s">
        <v>2815</v>
      </c>
      <c r="M4377">
        <v>365</v>
      </c>
      <c r="N4377">
        <v>24.254999999999999</v>
      </c>
      <c r="O4377">
        <v>6528.96</v>
      </c>
      <c r="P4377">
        <v>0</v>
      </c>
      <c r="Q4377">
        <v>6528.96</v>
      </c>
      <c r="R4377">
        <v>718.19</v>
      </c>
      <c r="S4377">
        <v>261.16000000000003</v>
      </c>
      <c r="T4377">
        <v>6985.99</v>
      </c>
      <c r="U4377" t="s">
        <v>7527</v>
      </c>
      <c r="V4377" t="s">
        <v>9408</v>
      </c>
      <c r="W4377" t="s">
        <v>423</v>
      </c>
    </row>
    <row r="4378" spans="1:23" hidden="1" x14ac:dyDescent="0.2">
      <c r="A4378">
        <v>2012</v>
      </c>
      <c r="B4378" t="s">
        <v>304</v>
      </c>
      <c r="C4378" s="733">
        <v>40953</v>
      </c>
      <c r="D43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78" t="s">
        <v>485</v>
      </c>
      <c r="F4378" t="s">
        <v>2084</v>
      </c>
      <c r="G4378" t="s">
        <v>4369</v>
      </c>
      <c r="H4378">
        <v>41713</v>
      </c>
      <c r="I4378" t="s">
        <v>423</v>
      </c>
      <c r="J4378" t="s">
        <v>2813</v>
      </c>
      <c r="K4378" t="s">
        <v>2814</v>
      </c>
      <c r="L4378" t="s">
        <v>2815</v>
      </c>
      <c r="M4378">
        <v>365</v>
      </c>
      <c r="N4378">
        <v>26.440999999999999</v>
      </c>
      <c r="O4378">
        <v>7117.39</v>
      </c>
      <c r="P4378">
        <v>0</v>
      </c>
      <c r="Q4378">
        <v>7117.39</v>
      </c>
      <c r="R4378">
        <v>782.91</v>
      </c>
      <c r="S4378">
        <v>284.7</v>
      </c>
      <c r="T4378">
        <v>7615.6</v>
      </c>
      <c r="U4378" t="s">
        <v>7527</v>
      </c>
      <c r="V4378" t="s">
        <v>9408</v>
      </c>
      <c r="W4378" t="s">
        <v>423</v>
      </c>
    </row>
    <row r="4379" spans="1:23" x14ac:dyDescent="0.2">
      <c r="A4379">
        <v>2012</v>
      </c>
      <c r="B4379" t="s">
        <v>304</v>
      </c>
      <c r="C4379" s="733">
        <v>40967</v>
      </c>
      <c r="D43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79" t="s">
        <v>485</v>
      </c>
      <c r="F4379" t="s">
        <v>2084</v>
      </c>
      <c r="G4379" t="s">
        <v>9269</v>
      </c>
      <c r="H4379">
        <v>42644</v>
      </c>
      <c r="I4379" t="s">
        <v>423</v>
      </c>
      <c r="J4379" t="s">
        <v>2813</v>
      </c>
      <c r="K4379" t="s">
        <v>2814</v>
      </c>
      <c r="L4379" t="s">
        <v>2815</v>
      </c>
      <c r="M4379">
        <v>365</v>
      </c>
      <c r="N4379">
        <v>23.89</v>
      </c>
      <c r="O4379">
        <v>6430.71</v>
      </c>
      <c r="P4379">
        <v>0</v>
      </c>
      <c r="Q4379">
        <v>6430.71</v>
      </c>
      <c r="R4379">
        <v>707.38</v>
      </c>
      <c r="S4379">
        <v>257.23</v>
      </c>
      <c r="T4379">
        <v>6880.86</v>
      </c>
      <c r="V4379" t="s">
        <v>9408</v>
      </c>
      <c r="W4379" t="s">
        <v>423</v>
      </c>
    </row>
    <row r="4380" spans="1:23" hidden="1" x14ac:dyDescent="0.2">
      <c r="A4380">
        <v>2012</v>
      </c>
      <c r="B4380" t="s">
        <v>303</v>
      </c>
      <c r="C4380" s="733">
        <v>40932</v>
      </c>
      <c r="D43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80" t="s">
        <v>485</v>
      </c>
      <c r="F4380" t="s">
        <v>2084</v>
      </c>
      <c r="G4380" t="s">
        <v>4366</v>
      </c>
      <c r="H4380">
        <v>40548</v>
      </c>
      <c r="I4380" t="s">
        <v>423</v>
      </c>
      <c r="J4380" t="s">
        <v>2813</v>
      </c>
      <c r="K4380" t="s">
        <v>2814</v>
      </c>
      <c r="L4380" t="s">
        <v>2815</v>
      </c>
      <c r="M4380">
        <v>365</v>
      </c>
      <c r="N4380">
        <v>24.413</v>
      </c>
      <c r="O4380">
        <v>6571.49</v>
      </c>
      <c r="P4380">
        <v>0</v>
      </c>
      <c r="Q4380">
        <v>6571.49</v>
      </c>
      <c r="R4380">
        <v>1051.44</v>
      </c>
      <c r="S4380">
        <v>262.86</v>
      </c>
      <c r="T4380">
        <v>7360.07</v>
      </c>
      <c r="U4380" t="s">
        <v>2826</v>
      </c>
      <c r="V4380" t="s">
        <v>9408</v>
      </c>
      <c r="W4380" t="s">
        <v>423</v>
      </c>
    </row>
    <row r="4381" spans="1:23" hidden="1" x14ac:dyDescent="0.2">
      <c r="A4381">
        <v>2012</v>
      </c>
      <c r="B4381" t="s">
        <v>304</v>
      </c>
      <c r="C4381" s="733">
        <v>40940</v>
      </c>
      <c r="D43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81" t="s">
        <v>485</v>
      </c>
      <c r="F4381" t="s">
        <v>2084</v>
      </c>
      <c r="G4381" t="s">
        <v>4709</v>
      </c>
      <c r="H4381">
        <v>40896</v>
      </c>
      <c r="I4381" t="s">
        <v>423</v>
      </c>
      <c r="J4381" t="s">
        <v>2813</v>
      </c>
      <c r="K4381" t="s">
        <v>2814</v>
      </c>
      <c r="L4381" t="s">
        <v>2815</v>
      </c>
      <c r="M4381">
        <v>365</v>
      </c>
      <c r="N4381">
        <v>24.016999999999999</v>
      </c>
      <c r="O4381">
        <v>6464.9</v>
      </c>
      <c r="P4381">
        <v>0</v>
      </c>
      <c r="Q4381">
        <v>6464.9</v>
      </c>
      <c r="R4381">
        <v>1034.3800000000001</v>
      </c>
      <c r="S4381">
        <v>258.60000000000002</v>
      </c>
      <c r="T4381">
        <v>7240.68</v>
      </c>
      <c r="U4381" t="s">
        <v>2826</v>
      </c>
      <c r="V4381" t="s">
        <v>9408</v>
      </c>
      <c r="W4381" t="s">
        <v>423</v>
      </c>
    </row>
    <row r="4382" spans="1:23" hidden="1" x14ac:dyDescent="0.2">
      <c r="A4382">
        <v>2012</v>
      </c>
      <c r="B4382" t="s">
        <v>304</v>
      </c>
      <c r="C4382" s="733">
        <v>40949</v>
      </c>
      <c r="D43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82" t="s">
        <v>485</v>
      </c>
      <c r="F4382" t="s">
        <v>2084</v>
      </c>
      <c r="G4382" t="s">
        <v>4371</v>
      </c>
      <c r="H4382">
        <v>41425</v>
      </c>
      <c r="I4382" t="s">
        <v>423</v>
      </c>
      <c r="J4382" t="s">
        <v>2813</v>
      </c>
      <c r="K4382" t="s">
        <v>2814</v>
      </c>
      <c r="L4382" t="s">
        <v>2815</v>
      </c>
      <c r="M4382">
        <v>365</v>
      </c>
      <c r="N4382">
        <v>30.172000000000001</v>
      </c>
      <c r="O4382">
        <v>8121.7</v>
      </c>
      <c r="P4382">
        <v>0</v>
      </c>
      <c r="Q4382">
        <v>8121.7</v>
      </c>
      <c r="R4382">
        <v>893.39</v>
      </c>
      <c r="S4382">
        <v>324.87</v>
      </c>
      <c r="T4382">
        <v>8690.2199999999993</v>
      </c>
      <c r="U4382" t="s">
        <v>7527</v>
      </c>
      <c r="V4382" t="s">
        <v>9408</v>
      </c>
      <c r="W4382" t="s">
        <v>423</v>
      </c>
    </row>
    <row r="4383" spans="1:23" x14ac:dyDescent="0.2">
      <c r="A4383">
        <v>2012</v>
      </c>
      <c r="B4383" t="s">
        <v>304</v>
      </c>
      <c r="C4383" s="733">
        <v>40967</v>
      </c>
      <c r="D43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83" t="s">
        <v>485</v>
      </c>
      <c r="F4383" t="s">
        <v>2065</v>
      </c>
      <c r="G4383" t="s">
        <v>9282</v>
      </c>
      <c r="H4383">
        <v>42647</v>
      </c>
      <c r="I4383" t="s">
        <v>423</v>
      </c>
      <c r="J4383" t="s">
        <v>2813</v>
      </c>
      <c r="K4383" t="s">
        <v>2814</v>
      </c>
      <c r="L4383" t="s">
        <v>2815</v>
      </c>
      <c r="M4383">
        <v>365</v>
      </c>
      <c r="N4383">
        <v>24.044</v>
      </c>
      <c r="O4383">
        <v>6472.16</v>
      </c>
      <c r="P4383">
        <v>0</v>
      </c>
      <c r="Q4383">
        <v>6472.16</v>
      </c>
      <c r="R4383">
        <v>711.94</v>
      </c>
      <c r="S4383">
        <v>258.89</v>
      </c>
      <c r="T4383">
        <v>6925.21</v>
      </c>
      <c r="V4383" t="s">
        <v>9408</v>
      </c>
      <c r="W4383" t="s">
        <v>423</v>
      </c>
    </row>
    <row r="4384" spans="1:23" hidden="1" x14ac:dyDescent="0.2">
      <c r="A4384">
        <v>2012</v>
      </c>
      <c r="B4384" t="s">
        <v>303</v>
      </c>
      <c r="C4384" s="733">
        <v>40921</v>
      </c>
      <c r="D43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84" t="s">
        <v>478</v>
      </c>
      <c r="F4384" t="s">
        <v>2136</v>
      </c>
      <c r="G4384" t="s">
        <v>5180</v>
      </c>
      <c r="H4384">
        <v>34317</v>
      </c>
      <c r="I4384" t="s">
        <v>423</v>
      </c>
      <c r="J4384" t="s">
        <v>3029</v>
      </c>
      <c r="K4384" t="s">
        <v>425</v>
      </c>
      <c r="L4384" t="s">
        <v>2145</v>
      </c>
      <c r="M4384">
        <v>35</v>
      </c>
      <c r="N4384">
        <v>21.32</v>
      </c>
      <c r="O4384">
        <v>2862.21</v>
      </c>
      <c r="P4384">
        <v>0</v>
      </c>
      <c r="Q4384">
        <v>2862.21</v>
      </c>
      <c r="R4384">
        <v>457.95</v>
      </c>
      <c r="S4384">
        <v>114.49</v>
      </c>
      <c r="T4384">
        <v>3205.67</v>
      </c>
      <c r="U4384" t="s">
        <v>2350</v>
      </c>
      <c r="V4384" t="s">
        <v>9408</v>
      </c>
      <c r="W4384" t="s">
        <v>423</v>
      </c>
    </row>
    <row r="4385" spans="1:23" hidden="1" x14ac:dyDescent="0.2">
      <c r="A4385">
        <v>2012</v>
      </c>
      <c r="B4385" t="s">
        <v>303</v>
      </c>
      <c r="C4385" s="733">
        <v>40914</v>
      </c>
      <c r="D43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85" t="s">
        <v>478</v>
      </c>
      <c r="F4385" t="s">
        <v>2136</v>
      </c>
      <c r="G4385" t="s">
        <v>5181</v>
      </c>
      <c r="H4385">
        <v>34264</v>
      </c>
      <c r="I4385" t="s">
        <v>423</v>
      </c>
      <c r="J4385" t="s">
        <v>4699</v>
      </c>
      <c r="K4385" t="s">
        <v>425</v>
      </c>
      <c r="L4385" t="s">
        <v>2145</v>
      </c>
      <c r="M4385">
        <v>555</v>
      </c>
      <c r="N4385">
        <v>26.42</v>
      </c>
      <c r="O4385">
        <v>8441.19</v>
      </c>
      <c r="P4385">
        <v>0</v>
      </c>
      <c r="Q4385">
        <v>8441.19</v>
      </c>
      <c r="R4385">
        <v>1350.59</v>
      </c>
      <c r="S4385">
        <v>337.65</v>
      </c>
      <c r="T4385">
        <v>9454.1299999999992</v>
      </c>
      <c r="U4385" t="s">
        <v>2350</v>
      </c>
      <c r="V4385" t="s">
        <v>9408</v>
      </c>
      <c r="W4385" t="s">
        <v>423</v>
      </c>
    </row>
    <row r="4386" spans="1:23" hidden="1" x14ac:dyDescent="0.2">
      <c r="A4386">
        <v>2012</v>
      </c>
      <c r="B4386" t="s">
        <v>303</v>
      </c>
      <c r="C4386" s="733">
        <v>40931</v>
      </c>
      <c r="D43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86" t="s">
        <v>478</v>
      </c>
      <c r="F4386" t="s">
        <v>2136</v>
      </c>
      <c r="G4386" t="s">
        <v>5182</v>
      </c>
      <c r="H4386">
        <v>34657</v>
      </c>
      <c r="I4386" t="s">
        <v>423</v>
      </c>
      <c r="J4386" t="s">
        <v>4699</v>
      </c>
      <c r="K4386" t="s">
        <v>425</v>
      </c>
      <c r="L4386" t="s">
        <v>2145</v>
      </c>
      <c r="M4386">
        <v>555</v>
      </c>
      <c r="N4386">
        <v>27.63</v>
      </c>
      <c r="O4386">
        <v>8827.7800000000007</v>
      </c>
      <c r="P4386">
        <v>0</v>
      </c>
      <c r="Q4386">
        <v>8827.7800000000007</v>
      </c>
      <c r="R4386">
        <v>1412.45</v>
      </c>
      <c r="S4386">
        <v>353.11</v>
      </c>
      <c r="T4386">
        <v>9887.1200000000008</v>
      </c>
      <c r="U4386" t="s">
        <v>2580</v>
      </c>
      <c r="V4386" t="s">
        <v>9409</v>
      </c>
      <c r="W4386" t="s">
        <v>423</v>
      </c>
    </row>
    <row r="4387" spans="1:23" hidden="1" x14ac:dyDescent="0.2">
      <c r="A4387">
        <v>2012</v>
      </c>
      <c r="B4387" t="s">
        <v>303</v>
      </c>
      <c r="C4387" s="733">
        <v>40912</v>
      </c>
      <c r="D43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87" t="s">
        <v>478</v>
      </c>
      <c r="F4387" t="s">
        <v>2136</v>
      </c>
      <c r="G4387" t="s">
        <v>5615</v>
      </c>
      <c r="H4387">
        <v>34204</v>
      </c>
      <c r="I4387" t="s">
        <v>423</v>
      </c>
      <c r="J4387" t="s">
        <v>4699</v>
      </c>
      <c r="K4387" t="s">
        <v>425</v>
      </c>
      <c r="L4387" t="s">
        <v>2145</v>
      </c>
      <c r="M4387">
        <v>555</v>
      </c>
      <c r="N4387">
        <v>25.11</v>
      </c>
      <c r="O4387">
        <v>3377.8</v>
      </c>
      <c r="P4387">
        <v>3803.031242</v>
      </c>
      <c r="Q4387">
        <v>7180.8312420000002</v>
      </c>
      <c r="R4387">
        <v>1148.9329990000001</v>
      </c>
      <c r="S4387">
        <v>287.23325</v>
      </c>
      <c r="T4387">
        <v>8042.5309909999996</v>
      </c>
      <c r="U4387" t="s">
        <v>3118</v>
      </c>
      <c r="V4387" t="s">
        <v>9408</v>
      </c>
      <c r="W4387" t="s">
        <v>423</v>
      </c>
    </row>
    <row r="4388" spans="1:23" hidden="1" x14ac:dyDescent="0.2">
      <c r="A4388">
        <v>2012</v>
      </c>
      <c r="B4388" t="s">
        <v>303</v>
      </c>
      <c r="C4388" s="733">
        <v>40939</v>
      </c>
      <c r="D43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88" t="s">
        <v>485</v>
      </c>
      <c r="F4388" t="s">
        <v>2065</v>
      </c>
      <c r="G4388" t="s">
        <v>5617</v>
      </c>
      <c r="H4388">
        <v>40851</v>
      </c>
      <c r="I4388" t="s">
        <v>423</v>
      </c>
      <c r="J4388" t="s">
        <v>2124</v>
      </c>
      <c r="K4388" t="s">
        <v>2102</v>
      </c>
      <c r="L4388" t="s">
        <v>2115</v>
      </c>
      <c r="M4388">
        <v>981</v>
      </c>
      <c r="N4388">
        <v>25.96</v>
      </c>
      <c r="O4388">
        <v>16929.04</v>
      </c>
      <c r="P4388">
        <v>0</v>
      </c>
      <c r="Q4388">
        <v>16929.04</v>
      </c>
      <c r="R4388">
        <v>2708.65</v>
      </c>
      <c r="S4388">
        <v>677.16</v>
      </c>
      <c r="T4388">
        <v>18960.53</v>
      </c>
      <c r="U4388" t="s">
        <v>2110</v>
      </c>
      <c r="V4388" t="s">
        <v>9409</v>
      </c>
      <c r="W4388" t="s">
        <v>423</v>
      </c>
    </row>
    <row r="4389" spans="1:23" hidden="1" x14ac:dyDescent="0.2">
      <c r="A4389">
        <v>2012</v>
      </c>
      <c r="B4389" t="s">
        <v>304</v>
      </c>
      <c r="C4389" s="733">
        <v>40956.835451388892</v>
      </c>
      <c r="D43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89" t="s">
        <v>478</v>
      </c>
      <c r="F4389" t="s">
        <v>2136</v>
      </c>
      <c r="G4389" t="s">
        <v>7690</v>
      </c>
      <c r="H4389">
        <v>35758</v>
      </c>
      <c r="I4389" t="s">
        <v>423</v>
      </c>
      <c r="J4389" t="s">
        <v>5249</v>
      </c>
      <c r="K4389" t="s">
        <v>425</v>
      </c>
      <c r="L4389" t="s">
        <v>2145</v>
      </c>
      <c r="M4389">
        <v>134</v>
      </c>
      <c r="N4389">
        <v>38.61</v>
      </c>
      <c r="O4389">
        <v>7026.63</v>
      </c>
      <c r="P4389">
        <v>0</v>
      </c>
      <c r="Q4389">
        <v>7026.63</v>
      </c>
      <c r="R4389">
        <v>1124.26</v>
      </c>
      <c r="S4389">
        <v>281.07</v>
      </c>
      <c r="T4389">
        <v>7869.82</v>
      </c>
      <c r="U4389" t="s">
        <v>9455</v>
      </c>
      <c r="V4389" t="s">
        <v>9409</v>
      </c>
      <c r="W4389" t="s">
        <v>423</v>
      </c>
    </row>
    <row r="4390" spans="1:23" hidden="1" x14ac:dyDescent="0.2">
      <c r="A4390">
        <v>2012</v>
      </c>
      <c r="B4390" t="s">
        <v>304</v>
      </c>
      <c r="C4390" s="733">
        <v>40949</v>
      </c>
      <c r="D43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90" t="s">
        <v>485</v>
      </c>
      <c r="F4390" t="s">
        <v>2084</v>
      </c>
      <c r="G4390" t="s">
        <v>3647</v>
      </c>
      <c r="H4390">
        <v>41375</v>
      </c>
      <c r="I4390" t="s">
        <v>423</v>
      </c>
      <c r="J4390" t="s">
        <v>2813</v>
      </c>
      <c r="K4390" t="s">
        <v>2814</v>
      </c>
      <c r="L4390" t="s">
        <v>2815</v>
      </c>
      <c r="M4390">
        <v>365</v>
      </c>
      <c r="N4390">
        <v>23.818000000000001</v>
      </c>
      <c r="O4390">
        <v>6411.33</v>
      </c>
      <c r="P4390">
        <v>0</v>
      </c>
      <c r="Q4390">
        <v>6411.33</v>
      </c>
      <c r="R4390">
        <v>705.25</v>
      </c>
      <c r="S4390">
        <v>256.45</v>
      </c>
      <c r="T4390">
        <v>6860.13</v>
      </c>
      <c r="U4390" t="s">
        <v>7527</v>
      </c>
      <c r="V4390" t="s">
        <v>9408</v>
      </c>
      <c r="W4390" t="s">
        <v>423</v>
      </c>
    </row>
    <row r="4391" spans="1:23" hidden="1" x14ac:dyDescent="0.2">
      <c r="A4391">
        <v>2012</v>
      </c>
      <c r="B4391" t="s">
        <v>303</v>
      </c>
      <c r="C4391" s="733">
        <v>40932</v>
      </c>
      <c r="D43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91" t="s">
        <v>485</v>
      </c>
      <c r="F4391" t="s">
        <v>2084</v>
      </c>
      <c r="G4391" t="s">
        <v>3644</v>
      </c>
      <c r="H4391">
        <v>40619</v>
      </c>
      <c r="I4391" t="s">
        <v>423</v>
      </c>
      <c r="J4391" t="s">
        <v>2813</v>
      </c>
      <c r="K4391" t="s">
        <v>2814</v>
      </c>
      <c r="L4391" t="s">
        <v>2815</v>
      </c>
      <c r="M4391">
        <v>365</v>
      </c>
      <c r="N4391">
        <v>23.466999999999999</v>
      </c>
      <c r="O4391">
        <v>6316.85</v>
      </c>
      <c r="P4391">
        <v>0</v>
      </c>
      <c r="Q4391">
        <v>6316.85</v>
      </c>
      <c r="R4391">
        <v>1010.7</v>
      </c>
      <c r="S4391">
        <v>252.67</v>
      </c>
      <c r="T4391">
        <v>7074.88</v>
      </c>
      <c r="U4391" t="s">
        <v>8522</v>
      </c>
      <c r="V4391" t="s">
        <v>9408</v>
      </c>
      <c r="W4391" t="s">
        <v>423</v>
      </c>
    </row>
    <row r="4392" spans="1:23" x14ac:dyDescent="0.2">
      <c r="A4392">
        <v>2012</v>
      </c>
      <c r="B4392" t="s">
        <v>304</v>
      </c>
      <c r="C4392" s="733">
        <v>40967</v>
      </c>
      <c r="D43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92" t="s">
        <v>485</v>
      </c>
      <c r="F4392" t="s">
        <v>2084</v>
      </c>
      <c r="G4392" t="s">
        <v>9317</v>
      </c>
      <c r="H4392">
        <v>42064</v>
      </c>
      <c r="I4392" t="s">
        <v>423</v>
      </c>
      <c r="J4392" t="s">
        <v>2813</v>
      </c>
      <c r="K4392" t="s">
        <v>2814</v>
      </c>
      <c r="L4392" t="s">
        <v>3454</v>
      </c>
      <c r="M4392">
        <v>365</v>
      </c>
      <c r="N4392">
        <v>23.992000000000001</v>
      </c>
      <c r="O4392">
        <v>6458.17</v>
      </c>
      <c r="P4392">
        <v>0</v>
      </c>
      <c r="Q4392">
        <v>6458.17</v>
      </c>
      <c r="R4392">
        <v>710.4</v>
      </c>
      <c r="S4392">
        <v>258.33</v>
      </c>
      <c r="T4392">
        <v>6910.24</v>
      </c>
      <c r="U4392" t="s">
        <v>8877</v>
      </c>
      <c r="V4392" t="s">
        <v>9408</v>
      </c>
      <c r="W4392" t="s">
        <v>423</v>
      </c>
    </row>
    <row r="4393" spans="1:23" hidden="1" x14ac:dyDescent="0.2">
      <c r="A4393">
        <v>2012</v>
      </c>
      <c r="B4393" t="s">
        <v>303</v>
      </c>
      <c r="C4393" s="733">
        <v>40926</v>
      </c>
      <c r="D43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93" t="s">
        <v>485</v>
      </c>
      <c r="F4393" t="s">
        <v>2084</v>
      </c>
      <c r="G4393" t="s">
        <v>3657</v>
      </c>
      <c r="H4393">
        <v>40146</v>
      </c>
      <c r="I4393" t="s">
        <v>423</v>
      </c>
      <c r="J4393" t="s">
        <v>2813</v>
      </c>
      <c r="K4393" t="s">
        <v>2814</v>
      </c>
      <c r="L4393" t="s">
        <v>2815</v>
      </c>
      <c r="M4393">
        <v>365</v>
      </c>
      <c r="N4393">
        <v>23.936</v>
      </c>
      <c r="O4393">
        <v>6443.09</v>
      </c>
      <c r="P4393">
        <v>0</v>
      </c>
      <c r="Q4393">
        <v>6443.09</v>
      </c>
      <c r="R4393">
        <v>1030.8900000000001</v>
      </c>
      <c r="S4393">
        <v>257.72000000000003</v>
      </c>
      <c r="T4393">
        <v>7216.26</v>
      </c>
      <c r="U4393" t="s">
        <v>2826</v>
      </c>
      <c r="V4393" t="s">
        <v>9408</v>
      </c>
      <c r="W4393" t="s">
        <v>423</v>
      </c>
    </row>
    <row r="4394" spans="1:23" hidden="1" x14ac:dyDescent="0.2">
      <c r="A4394">
        <v>2012</v>
      </c>
      <c r="B4394" t="s">
        <v>303</v>
      </c>
      <c r="C4394" s="733">
        <v>40912</v>
      </c>
      <c r="D43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94" t="s">
        <v>485</v>
      </c>
      <c r="F4394" t="s">
        <v>2084</v>
      </c>
      <c r="G4394" t="s">
        <v>3646</v>
      </c>
      <c r="H4394">
        <v>39611</v>
      </c>
      <c r="I4394" t="s">
        <v>423</v>
      </c>
      <c r="J4394" t="s">
        <v>2813</v>
      </c>
      <c r="K4394" t="s">
        <v>2814</v>
      </c>
      <c r="L4394" t="s">
        <v>2815</v>
      </c>
      <c r="M4394">
        <v>365</v>
      </c>
      <c r="N4394">
        <v>24.157</v>
      </c>
      <c r="O4394">
        <v>2737.71</v>
      </c>
      <c r="P4394">
        <v>3082.3603119999998</v>
      </c>
      <c r="Q4394">
        <v>5820.0703119999998</v>
      </c>
      <c r="R4394">
        <v>931.21124999999995</v>
      </c>
      <c r="S4394">
        <v>232.80281199999999</v>
      </c>
      <c r="T4394">
        <v>6518.4787500000002</v>
      </c>
      <c r="U4394" t="s">
        <v>2846</v>
      </c>
      <c r="V4394" t="s">
        <v>9408</v>
      </c>
      <c r="W4394" t="s">
        <v>423</v>
      </c>
    </row>
    <row r="4395" spans="1:23" hidden="1" x14ac:dyDescent="0.2">
      <c r="A4395">
        <v>2012</v>
      </c>
      <c r="B4395" t="s">
        <v>303</v>
      </c>
      <c r="C4395" s="733">
        <v>40912</v>
      </c>
      <c r="D43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395" t="s">
        <v>485</v>
      </c>
      <c r="F4395" t="s">
        <v>2084</v>
      </c>
      <c r="G4395" t="s">
        <v>3645</v>
      </c>
      <c r="H4395">
        <v>39608</v>
      </c>
      <c r="I4395" t="s">
        <v>423</v>
      </c>
      <c r="J4395" t="s">
        <v>2813</v>
      </c>
      <c r="K4395" t="s">
        <v>2814</v>
      </c>
      <c r="L4395" t="s">
        <v>2815</v>
      </c>
      <c r="M4395">
        <v>365</v>
      </c>
      <c r="N4395">
        <v>23.959</v>
      </c>
      <c r="O4395">
        <v>2715.27</v>
      </c>
      <c r="P4395">
        <v>3057.0953399999999</v>
      </c>
      <c r="Q4395">
        <v>5772.3653400000003</v>
      </c>
      <c r="R4395">
        <v>923.57845399999997</v>
      </c>
      <c r="S4395">
        <v>230.89461399999999</v>
      </c>
      <c r="T4395">
        <v>6465.04918</v>
      </c>
      <c r="U4395" t="s">
        <v>2846</v>
      </c>
      <c r="V4395" t="s">
        <v>9408</v>
      </c>
      <c r="W4395" t="s">
        <v>423</v>
      </c>
    </row>
    <row r="4396" spans="1:23" hidden="1" x14ac:dyDescent="0.2">
      <c r="A4396">
        <v>2012</v>
      </c>
      <c r="B4396" t="s">
        <v>304</v>
      </c>
      <c r="C4396" s="733">
        <v>40941</v>
      </c>
      <c r="D43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96" t="s">
        <v>485</v>
      </c>
      <c r="F4396" t="s">
        <v>2084</v>
      </c>
      <c r="G4396" t="s">
        <v>3648</v>
      </c>
      <c r="H4396">
        <v>40267</v>
      </c>
      <c r="I4396" t="s">
        <v>423</v>
      </c>
      <c r="J4396" t="s">
        <v>2813</v>
      </c>
      <c r="K4396" t="s">
        <v>2814</v>
      </c>
      <c r="L4396" t="s">
        <v>2815</v>
      </c>
      <c r="M4396">
        <v>365</v>
      </c>
      <c r="N4396">
        <v>25.573</v>
      </c>
      <c r="O4396">
        <v>6883.74</v>
      </c>
      <c r="P4396">
        <v>0</v>
      </c>
      <c r="Q4396">
        <v>6883.74</v>
      </c>
      <c r="R4396">
        <v>1101.4000000000001</v>
      </c>
      <c r="S4396">
        <v>275.35000000000002</v>
      </c>
      <c r="T4396">
        <v>7709.79</v>
      </c>
      <c r="U4396" t="s">
        <v>8522</v>
      </c>
      <c r="V4396" t="s">
        <v>9408</v>
      </c>
      <c r="W4396" t="s">
        <v>423</v>
      </c>
    </row>
    <row r="4397" spans="1:23" hidden="1" x14ac:dyDescent="0.2">
      <c r="A4397">
        <v>2012</v>
      </c>
      <c r="B4397" t="s">
        <v>304</v>
      </c>
      <c r="C4397" s="733">
        <v>40949</v>
      </c>
      <c r="D43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97" t="s">
        <v>485</v>
      </c>
      <c r="F4397" t="s">
        <v>2084</v>
      </c>
      <c r="G4397" t="s">
        <v>3658</v>
      </c>
      <c r="H4397">
        <v>41262</v>
      </c>
      <c r="I4397" t="s">
        <v>423</v>
      </c>
      <c r="J4397" t="s">
        <v>2813</v>
      </c>
      <c r="K4397" t="s">
        <v>2814</v>
      </c>
      <c r="L4397" t="s">
        <v>2815</v>
      </c>
      <c r="M4397">
        <v>365</v>
      </c>
      <c r="N4397">
        <v>23.58</v>
      </c>
      <c r="O4397">
        <v>6347.26</v>
      </c>
      <c r="P4397">
        <v>0</v>
      </c>
      <c r="Q4397">
        <v>6347.26</v>
      </c>
      <c r="R4397">
        <v>698.2</v>
      </c>
      <c r="S4397">
        <v>253.89</v>
      </c>
      <c r="T4397">
        <v>6791.57</v>
      </c>
      <c r="U4397" t="s">
        <v>7527</v>
      </c>
      <c r="V4397" t="s">
        <v>9408</v>
      </c>
      <c r="W4397" t="s">
        <v>423</v>
      </c>
    </row>
    <row r="4398" spans="1:23" hidden="1" x14ac:dyDescent="0.2">
      <c r="A4398">
        <v>2012</v>
      </c>
      <c r="B4398" t="s">
        <v>304</v>
      </c>
      <c r="C4398" s="733">
        <v>40962</v>
      </c>
      <c r="D43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98" t="s">
        <v>485</v>
      </c>
      <c r="F4398" t="s">
        <v>2065</v>
      </c>
      <c r="G4398" t="s">
        <v>8555</v>
      </c>
      <c r="H4398">
        <v>42317</v>
      </c>
      <c r="I4398" t="s">
        <v>423</v>
      </c>
      <c r="J4398" t="s">
        <v>5260</v>
      </c>
      <c r="K4398" t="s">
        <v>2102</v>
      </c>
      <c r="L4398" t="s">
        <v>2115</v>
      </c>
      <c r="M4398">
        <v>832</v>
      </c>
      <c r="N4398">
        <v>50.41</v>
      </c>
      <c r="O4398">
        <v>25153.08</v>
      </c>
      <c r="P4398">
        <v>0</v>
      </c>
      <c r="Q4398">
        <v>25153.08</v>
      </c>
      <c r="R4398">
        <v>4024.49</v>
      </c>
      <c r="S4398">
        <v>1006.12</v>
      </c>
      <c r="T4398">
        <v>28171.45</v>
      </c>
      <c r="U4398" t="s">
        <v>8883</v>
      </c>
      <c r="V4398" t="s">
        <v>9409</v>
      </c>
      <c r="W4398" t="s">
        <v>423</v>
      </c>
    </row>
    <row r="4399" spans="1:23" x14ac:dyDescent="0.2">
      <c r="A4399">
        <v>2012</v>
      </c>
      <c r="B4399" t="s">
        <v>304</v>
      </c>
      <c r="C4399" s="733">
        <v>40967</v>
      </c>
      <c r="D43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399" t="s">
        <v>485</v>
      </c>
      <c r="F4399" t="s">
        <v>2084</v>
      </c>
      <c r="G4399" t="s">
        <v>9319</v>
      </c>
      <c r="H4399">
        <v>42418</v>
      </c>
      <c r="I4399" t="s">
        <v>423</v>
      </c>
      <c r="J4399" t="s">
        <v>2813</v>
      </c>
      <c r="K4399" t="s">
        <v>2814</v>
      </c>
      <c r="L4399" t="s">
        <v>2815</v>
      </c>
      <c r="M4399">
        <v>365</v>
      </c>
      <c r="N4399">
        <v>23.981999999999999</v>
      </c>
      <c r="O4399">
        <v>6455.47</v>
      </c>
      <c r="P4399">
        <v>0</v>
      </c>
      <c r="Q4399">
        <v>6455.47</v>
      </c>
      <c r="R4399">
        <v>710.1</v>
      </c>
      <c r="S4399">
        <v>258.22000000000003</v>
      </c>
      <c r="T4399">
        <v>6907.35</v>
      </c>
      <c r="U4399" t="s">
        <v>8877</v>
      </c>
      <c r="V4399" t="s">
        <v>9408</v>
      </c>
      <c r="W4399" t="s">
        <v>423</v>
      </c>
    </row>
    <row r="4400" spans="1:23" hidden="1" x14ac:dyDescent="0.2">
      <c r="A4400">
        <v>2012</v>
      </c>
      <c r="B4400" t="s">
        <v>303</v>
      </c>
      <c r="C4400" s="733">
        <v>40912</v>
      </c>
      <c r="D44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00" t="s">
        <v>485</v>
      </c>
      <c r="F4400" t="s">
        <v>2084</v>
      </c>
      <c r="G4400" t="s">
        <v>3643</v>
      </c>
      <c r="H4400">
        <v>39614</v>
      </c>
      <c r="I4400" t="s">
        <v>423</v>
      </c>
      <c r="J4400" t="s">
        <v>2813</v>
      </c>
      <c r="K4400" t="s">
        <v>2814</v>
      </c>
      <c r="L4400" t="s">
        <v>2815</v>
      </c>
      <c r="M4400">
        <v>365</v>
      </c>
      <c r="N4400">
        <v>24.506</v>
      </c>
      <c r="O4400">
        <v>2777.26</v>
      </c>
      <c r="P4400">
        <v>3126.8892609999998</v>
      </c>
      <c r="Q4400">
        <v>5904.1492609999996</v>
      </c>
      <c r="R4400">
        <v>944.66388199999994</v>
      </c>
      <c r="S4400">
        <v>236.16596999999999</v>
      </c>
      <c r="T4400">
        <v>6612.6471730000003</v>
      </c>
      <c r="U4400" t="s">
        <v>2846</v>
      </c>
      <c r="V4400" t="s">
        <v>9408</v>
      </c>
      <c r="W4400" t="s">
        <v>423</v>
      </c>
    </row>
    <row r="4401" spans="1:23" x14ac:dyDescent="0.2">
      <c r="A4401">
        <v>2012</v>
      </c>
      <c r="B4401" t="s">
        <v>304</v>
      </c>
      <c r="C4401" s="733">
        <v>40967</v>
      </c>
      <c r="D44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01" t="s">
        <v>485</v>
      </c>
      <c r="F4401" t="s">
        <v>2084</v>
      </c>
      <c r="G4401" t="s">
        <v>9304</v>
      </c>
      <c r="H4401">
        <v>42182</v>
      </c>
      <c r="I4401" t="s">
        <v>423</v>
      </c>
      <c r="J4401" t="s">
        <v>2813</v>
      </c>
      <c r="K4401" t="s">
        <v>2814</v>
      </c>
      <c r="L4401" t="s">
        <v>2815</v>
      </c>
      <c r="M4401">
        <v>365</v>
      </c>
      <c r="N4401">
        <v>23.855</v>
      </c>
      <c r="O4401">
        <v>6421.29</v>
      </c>
      <c r="P4401">
        <v>0</v>
      </c>
      <c r="Q4401">
        <v>6421.29</v>
      </c>
      <c r="R4401">
        <v>706.34</v>
      </c>
      <c r="S4401">
        <v>256.85000000000002</v>
      </c>
      <c r="T4401">
        <v>6870.78</v>
      </c>
      <c r="U4401" t="s">
        <v>8877</v>
      </c>
      <c r="V4401" t="s">
        <v>9408</v>
      </c>
      <c r="W4401" t="s">
        <v>423</v>
      </c>
    </row>
    <row r="4402" spans="1:23" hidden="1" x14ac:dyDescent="0.2">
      <c r="A4402">
        <v>2012</v>
      </c>
      <c r="B4402" t="s">
        <v>304</v>
      </c>
      <c r="C4402" s="733">
        <v>40940</v>
      </c>
      <c r="D44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02" t="s">
        <v>485</v>
      </c>
      <c r="F4402" t="s">
        <v>2084</v>
      </c>
      <c r="G4402" t="s">
        <v>3653</v>
      </c>
      <c r="H4402">
        <v>40916</v>
      </c>
      <c r="I4402" t="s">
        <v>423</v>
      </c>
      <c r="J4402" t="s">
        <v>2813</v>
      </c>
      <c r="K4402" t="s">
        <v>2814</v>
      </c>
      <c r="L4402" t="s">
        <v>2815</v>
      </c>
      <c r="M4402">
        <v>365</v>
      </c>
      <c r="N4402">
        <v>23.925999999999998</v>
      </c>
      <c r="O4402">
        <v>6440.4</v>
      </c>
      <c r="P4402">
        <v>0</v>
      </c>
      <c r="Q4402">
        <v>6440.4</v>
      </c>
      <c r="R4402">
        <v>1030.46</v>
      </c>
      <c r="S4402">
        <v>257.62</v>
      </c>
      <c r="T4402">
        <v>7213.24</v>
      </c>
      <c r="U4402" t="s">
        <v>2826</v>
      </c>
      <c r="V4402" t="s">
        <v>9408</v>
      </c>
      <c r="W4402" t="s">
        <v>423</v>
      </c>
    </row>
    <row r="4403" spans="1:23" hidden="1" x14ac:dyDescent="0.2">
      <c r="A4403">
        <v>2012</v>
      </c>
      <c r="B4403" t="s">
        <v>304</v>
      </c>
      <c r="C4403" s="733">
        <v>40940</v>
      </c>
      <c r="D44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03" t="s">
        <v>485</v>
      </c>
      <c r="F4403" t="s">
        <v>2065</v>
      </c>
      <c r="G4403" t="s">
        <v>3650</v>
      </c>
      <c r="H4403">
        <v>41014</v>
      </c>
      <c r="I4403" t="s">
        <v>423</v>
      </c>
      <c r="J4403" t="s">
        <v>2813</v>
      </c>
      <c r="K4403" t="s">
        <v>2814</v>
      </c>
      <c r="L4403" t="s">
        <v>2815</v>
      </c>
      <c r="M4403">
        <v>365</v>
      </c>
      <c r="N4403">
        <v>23.686</v>
      </c>
      <c r="O4403">
        <v>6375.8</v>
      </c>
      <c r="P4403">
        <v>0</v>
      </c>
      <c r="Q4403">
        <v>6375.8</v>
      </c>
      <c r="R4403">
        <v>1020.13</v>
      </c>
      <c r="S4403">
        <v>255.03</v>
      </c>
      <c r="T4403">
        <v>7140.9</v>
      </c>
      <c r="U4403" t="s">
        <v>8522</v>
      </c>
      <c r="V4403" t="s">
        <v>9408</v>
      </c>
      <c r="W4403" t="s">
        <v>423</v>
      </c>
    </row>
    <row r="4404" spans="1:23" hidden="1" x14ac:dyDescent="0.2">
      <c r="A4404">
        <v>2012</v>
      </c>
      <c r="B4404" t="s">
        <v>304</v>
      </c>
      <c r="C4404" s="733">
        <v>40949</v>
      </c>
      <c r="D44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04" t="s">
        <v>485</v>
      </c>
      <c r="F4404" t="s">
        <v>2065</v>
      </c>
      <c r="G4404" t="s">
        <v>3651</v>
      </c>
      <c r="H4404">
        <v>41270</v>
      </c>
      <c r="I4404" t="s">
        <v>423</v>
      </c>
      <c r="J4404" t="s">
        <v>2813</v>
      </c>
      <c r="K4404" t="s">
        <v>2814</v>
      </c>
      <c r="L4404" t="s">
        <v>2815</v>
      </c>
      <c r="M4404">
        <v>365</v>
      </c>
      <c r="N4404">
        <v>24.405999999999999</v>
      </c>
      <c r="O4404">
        <v>6569.61</v>
      </c>
      <c r="P4404">
        <v>0</v>
      </c>
      <c r="Q4404">
        <v>6569.61</v>
      </c>
      <c r="R4404">
        <v>722.66</v>
      </c>
      <c r="S4404">
        <v>262.77999999999997</v>
      </c>
      <c r="T4404">
        <v>7029.49</v>
      </c>
      <c r="U4404" t="s">
        <v>7527</v>
      </c>
      <c r="V4404" t="s">
        <v>9408</v>
      </c>
      <c r="W4404" t="s">
        <v>423</v>
      </c>
    </row>
    <row r="4405" spans="1:23" hidden="1" x14ac:dyDescent="0.2">
      <c r="A4405">
        <v>2012</v>
      </c>
      <c r="B4405" t="s">
        <v>304</v>
      </c>
      <c r="C4405" s="733">
        <v>40940</v>
      </c>
      <c r="D44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05" t="s">
        <v>478</v>
      </c>
      <c r="F4405" t="s">
        <v>2136</v>
      </c>
      <c r="G4405" t="s">
        <v>3633</v>
      </c>
      <c r="H4405">
        <v>35031</v>
      </c>
      <c r="I4405" t="s">
        <v>423</v>
      </c>
      <c r="J4405" t="s">
        <v>3029</v>
      </c>
      <c r="K4405" t="s">
        <v>425</v>
      </c>
      <c r="L4405" t="s">
        <v>2145</v>
      </c>
      <c r="M4405">
        <v>35</v>
      </c>
      <c r="N4405">
        <v>38.57</v>
      </c>
      <c r="O4405">
        <v>5178.0200000000004</v>
      </c>
      <c r="P4405">
        <v>0</v>
      </c>
      <c r="Q4405">
        <v>5178.0200000000004</v>
      </c>
      <c r="R4405">
        <v>828.48</v>
      </c>
      <c r="S4405">
        <v>207.12</v>
      </c>
      <c r="T4405">
        <v>5799.38</v>
      </c>
      <c r="U4405" t="s">
        <v>3634</v>
      </c>
      <c r="V4405" t="s">
        <v>9408</v>
      </c>
      <c r="W4405" t="s">
        <v>423</v>
      </c>
    </row>
    <row r="4406" spans="1:23" hidden="1" x14ac:dyDescent="0.2">
      <c r="A4406">
        <v>2012</v>
      </c>
      <c r="B4406" t="s">
        <v>304</v>
      </c>
      <c r="C4406" s="733">
        <v>40966</v>
      </c>
      <c r="D44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06" t="s">
        <v>485</v>
      </c>
      <c r="F4406" t="s">
        <v>2065</v>
      </c>
      <c r="G4406" t="s">
        <v>8831</v>
      </c>
      <c r="H4406">
        <v>42357</v>
      </c>
      <c r="I4406" t="s">
        <v>423</v>
      </c>
      <c r="J4406" t="s">
        <v>5260</v>
      </c>
      <c r="K4406" t="s">
        <v>2102</v>
      </c>
      <c r="L4406" t="s">
        <v>2184</v>
      </c>
      <c r="M4406">
        <v>832</v>
      </c>
      <c r="N4406">
        <v>51.38</v>
      </c>
      <c r="O4406">
        <v>25637.08</v>
      </c>
      <c r="P4406">
        <v>0</v>
      </c>
      <c r="Q4406">
        <v>25637.08</v>
      </c>
      <c r="R4406">
        <v>4101.93</v>
      </c>
      <c r="S4406">
        <v>1025.48</v>
      </c>
      <c r="T4406">
        <v>28713.53</v>
      </c>
      <c r="V4406" t="s">
        <v>9409</v>
      </c>
      <c r="W4406" t="s">
        <v>423</v>
      </c>
    </row>
    <row r="4407" spans="1:23" hidden="1" x14ac:dyDescent="0.2">
      <c r="A4407">
        <v>2012</v>
      </c>
      <c r="B4407" t="s">
        <v>303</v>
      </c>
      <c r="C4407" s="733">
        <v>40939</v>
      </c>
      <c r="D44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07" t="s">
        <v>505</v>
      </c>
      <c r="F4407" t="s">
        <v>1915</v>
      </c>
      <c r="G4407" t="s">
        <v>4258</v>
      </c>
      <c r="H4407">
        <v>22355</v>
      </c>
      <c r="I4407" t="s">
        <v>423</v>
      </c>
      <c r="J4407" t="s">
        <v>4259</v>
      </c>
      <c r="K4407" t="s">
        <v>1918</v>
      </c>
      <c r="L4407" t="s">
        <v>1919</v>
      </c>
      <c r="M4407">
        <v>467</v>
      </c>
      <c r="N4407">
        <v>26.69</v>
      </c>
      <c r="O4407">
        <v>8282.9699999999993</v>
      </c>
      <c r="P4407">
        <v>0</v>
      </c>
      <c r="Q4407">
        <v>8282.9699999999993</v>
      </c>
      <c r="R4407">
        <v>1325.28</v>
      </c>
      <c r="S4407">
        <v>331.32</v>
      </c>
      <c r="T4407">
        <v>9276.93</v>
      </c>
      <c r="U4407" t="s">
        <v>1926</v>
      </c>
      <c r="V4407" t="s">
        <v>9408</v>
      </c>
      <c r="W4407" t="s">
        <v>423</v>
      </c>
    </row>
    <row r="4408" spans="1:23" hidden="1" x14ac:dyDescent="0.2">
      <c r="A4408">
        <v>2012</v>
      </c>
      <c r="B4408" t="s">
        <v>304</v>
      </c>
      <c r="C4408" s="733">
        <v>40940</v>
      </c>
      <c r="D44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08" t="s">
        <v>485</v>
      </c>
      <c r="F4408" t="s">
        <v>2065</v>
      </c>
      <c r="G4408" t="s">
        <v>3652</v>
      </c>
      <c r="H4408">
        <v>40913</v>
      </c>
      <c r="I4408" t="s">
        <v>423</v>
      </c>
      <c r="J4408" t="s">
        <v>2813</v>
      </c>
      <c r="K4408" t="s">
        <v>2814</v>
      </c>
      <c r="L4408" t="s">
        <v>2815</v>
      </c>
      <c r="M4408">
        <v>365</v>
      </c>
      <c r="N4408">
        <v>23.201000000000001</v>
      </c>
      <c r="O4408">
        <v>6245.25</v>
      </c>
      <c r="P4408">
        <v>0</v>
      </c>
      <c r="Q4408">
        <v>6245.25</v>
      </c>
      <c r="R4408">
        <v>999.24</v>
      </c>
      <c r="S4408">
        <v>249.81</v>
      </c>
      <c r="T4408">
        <v>6994.68</v>
      </c>
      <c r="V4408" t="s">
        <v>9408</v>
      </c>
      <c r="W4408" t="s">
        <v>423</v>
      </c>
    </row>
    <row r="4409" spans="1:23" x14ac:dyDescent="0.2">
      <c r="A4409">
        <v>2012</v>
      </c>
      <c r="B4409" t="s">
        <v>304</v>
      </c>
      <c r="C4409" s="733">
        <v>40967</v>
      </c>
      <c r="D44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09" t="s">
        <v>485</v>
      </c>
      <c r="F4409" t="s">
        <v>2065</v>
      </c>
      <c r="G4409" t="s">
        <v>9303</v>
      </c>
      <c r="H4409">
        <v>42136</v>
      </c>
      <c r="I4409" t="s">
        <v>423</v>
      </c>
      <c r="J4409" t="s">
        <v>2813</v>
      </c>
      <c r="K4409" t="s">
        <v>2814</v>
      </c>
      <c r="L4409" t="s">
        <v>2815</v>
      </c>
      <c r="M4409">
        <v>365</v>
      </c>
      <c r="N4409">
        <v>23.82</v>
      </c>
      <c r="O4409">
        <v>6411.87</v>
      </c>
      <c r="P4409">
        <v>0</v>
      </c>
      <c r="Q4409">
        <v>6411.87</v>
      </c>
      <c r="R4409">
        <v>705.31</v>
      </c>
      <c r="S4409">
        <v>256.47000000000003</v>
      </c>
      <c r="T4409">
        <v>6860.71</v>
      </c>
      <c r="U4409" t="s">
        <v>8877</v>
      </c>
      <c r="V4409" t="s">
        <v>9408</v>
      </c>
      <c r="W4409" t="s">
        <v>423</v>
      </c>
    </row>
    <row r="4410" spans="1:23" hidden="1" x14ac:dyDescent="0.2">
      <c r="A4410">
        <v>2012</v>
      </c>
      <c r="B4410" t="s">
        <v>303</v>
      </c>
      <c r="C4410" s="733">
        <v>40932</v>
      </c>
      <c r="D44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10" t="s">
        <v>485</v>
      </c>
      <c r="F4410" t="s">
        <v>2065</v>
      </c>
      <c r="G4410" t="s">
        <v>3656</v>
      </c>
      <c r="H4410">
        <v>40561</v>
      </c>
      <c r="I4410" t="s">
        <v>423</v>
      </c>
      <c r="J4410" t="s">
        <v>2813</v>
      </c>
      <c r="K4410" t="s">
        <v>2814</v>
      </c>
      <c r="L4410" t="s">
        <v>2815</v>
      </c>
      <c r="M4410">
        <v>365</v>
      </c>
      <c r="N4410">
        <v>23.87</v>
      </c>
      <c r="O4410">
        <v>6425.33</v>
      </c>
      <c r="P4410">
        <v>0</v>
      </c>
      <c r="Q4410">
        <v>6425.33</v>
      </c>
      <c r="R4410">
        <v>1028.05</v>
      </c>
      <c r="S4410">
        <v>257.01</v>
      </c>
      <c r="T4410">
        <v>7196.37</v>
      </c>
      <c r="U4410" t="s">
        <v>2826</v>
      </c>
      <c r="V4410" t="s">
        <v>9408</v>
      </c>
      <c r="W4410" t="s">
        <v>423</v>
      </c>
    </row>
    <row r="4411" spans="1:23" hidden="1" x14ac:dyDescent="0.2">
      <c r="A4411">
        <v>2012</v>
      </c>
      <c r="B4411" t="s">
        <v>303</v>
      </c>
      <c r="C4411" s="733">
        <v>40935.52207175926</v>
      </c>
      <c r="D44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11" t="s">
        <v>505</v>
      </c>
      <c r="F4411" t="s">
        <v>1915</v>
      </c>
      <c r="G4411" t="s">
        <v>4260</v>
      </c>
      <c r="H4411">
        <v>22298</v>
      </c>
      <c r="I4411" t="s">
        <v>423</v>
      </c>
      <c r="J4411" t="s">
        <v>4259</v>
      </c>
      <c r="K4411" t="s">
        <v>1918</v>
      </c>
      <c r="L4411" t="s">
        <v>1919</v>
      </c>
      <c r="M4411">
        <v>467</v>
      </c>
      <c r="N4411">
        <v>27.08</v>
      </c>
      <c r="O4411">
        <v>8404.01</v>
      </c>
      <c r="P4411">
        <v>0</v>
      </c>
      <c r="Q4411">
        <v>8404.01</v>
      </c>
      <c r="R4411">
        <v>1344.64</v>
      </c>
      <c r="S4411">
        <v>336.16</v>
      </c>
      <c r="T4411">
        <v>9412.49</v>
      </c>
      <c r="U4411" t="s">
        <v>1926</v>
      </c>
      <c r="V4411" t="s">
        <v>9408</v>
      </c>
      <c r="W4411" t="s">
        <v>423</v>
      </c>
    </row>
    <row r="4412" spans="1:23" hidden="1" x14ac:dyDescent="0.2">
      <c r="A4412">
        <v>2012</v>
      </c>
      <c r="B4412" t="s">
        <v>303</v>
      </c>
      <c r="C4412" s="733">
        <v>40921</v>
      </c>
      <c r="D44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12" t="s">
        <v>505</v>
      </c>
      <c r="F4412" t="s">
        <v>2065</v>
      </c>
      <c r="G4412" t="s">
        <v>2300</v>
      </c>
      <c r="H4412">
        <v>21938</v>
      </c>
      <c r="I4412" t="s">
        <v>424</v>
      </c>
      <c r="J4412" t="s">
        <v>1954</v>
      </c>
      <c r="K4412" t="s">
        <v>1918</v>
      </c>
      <c r="L4412" t="s">
        <v>1919</v>
      </c>
      <c r="M4412">
        <v>303</v>
      </c>
      <c r="N4412">
        <v>30</v>
      </c>
      <c r="O4412">
        <v>2314.83</v>
      </c>
      <c r="P4412">
        <v>1330.309653</v>
      </c>
      <c r="Q4412">
        <v>3645.1396530000002</v>
      </c>
      <c r="R4412">
        <v>583.22234400000002</v>
      </c>
      <c r="S4412">
        <v>145.80558600000001</v>
      </c>
      <c r="T4412">
        <v>4082.556411</v>
      </c>
      <c r="U4412" t="s">
        <v>1931</v>
      </c>
      <c r="V4412" t="s">
        <v>9408</v>
      </c>
      <c r="W4412" t="s">
        <v>424</v>
      </c>
    </row>
    <row r="4413" spans="1:23" hidden="1" x14ac:dyDescent="0.2">
      <c r="A4413">
        <v>2012</v>
      </c>
      <c r="B4413" t="s">
        <v>304</v>
      </c>
      <c r="C4413" s="733">
        <v>40956</v>
      </c>
      <c r="D44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13" t="s">
        <v>478</v>
      </c>
      <c r="F4413" t="s">
        <v>2136</v>
      </c>
      <c r="G4413" t="s">
        <v>7801</v>
      </c>
      <c r="H4413">
        <v>35716</v>
      </c>
      <c r="I4413" t="s">
        <v>423</v>
      </c>
      <c r="J4413" t="s">
        <v>4270</v>
      </c>
      <c r="K4413" t="s">
        <v>425</v>
      </c>
      <c r="L4413" t="s">
        <v>2145</v>
      </c>
      <c r="M4413">
        <v>560</v>
      </c>
      <c r="N4413">
        <v>38.19</v>
      </c>
      <c r="O4413">
        <v>12201.7</v>
      </c>
      <c r="P4413">
        <v>0</v>
      </c>
      <c r="Q4413">
        <v>12201.7</v>
      </c>
      <c r="R4413">
        <v>1952.27</v>
      </c>
      <c r="S4413">
        <v>488.07</v>
      </c>
      <c r="T4413">
        <v>13665.9</v>
      </c>
      <c r="U4413" t="s">
        <v>9455</v>
      </c>
      <c r="V4413" t="s">
        <v>9409</v>
      </c>
      <c r="W4413" t="s">
        <v>423</v>
      </c>
    </row>
    <row r="4414" spans="1:23" hidden="1" x14ac:dyDescent="0.2">
      <c r="A4414">
        <v>2012</v>
      </c>
      <c r="B4414" t="s">
        <v>304</v>
      </c>
      <c r="C4414" s="733">
        <v>40953</v>
      </c>
      <c r="D44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14" t="s">
        <v>485</v>
      </c>
      <c r="F4414" t="s">
        <v>2136</v>
      </c>
      <c r="G4414" t="s">
        <v>4638</v>
      </c>
      <c r="H4414">
        <v>41686</v>
      </c>
      <c r="I4414" t="s">
        <v>423</v>
      </c>
      <c r="J4414" t="s">
        <v>4626</v>
      </c>
      <c r="K4414" t="s">
        <v>2102</v>
      </c>
      <c r="L4414" t="s">
        <v>2115</v>
      </c>
      <c r="M4414">
        <v>1457</v>
      </c>
      <c r="N4414">
        <v>25.78</v>
      </c>
      <c r="O4414">
        <v>19075.14</v>
      </c>
      <c r="P4414">
        <v>0</v>
      </c>
      <c r="Q4414">
        <v>19075.14</v>
      </c>
      <c r="R4414">
        <v>3052.02</v>
      </c>
      <c r="S4414">
        <v>763.01</v>
      </c>
      <c r="T4414">
        <v>21364.15</v>
      </c>
      <c r="U4414" t="s">
        <v>8051</v>
      </c>
      <c r="V4414" t="s">
        <v>9408</v>
      </c>
      <c r="W4414" t="s">
        <v>423</v>
      </c>
    </row>
    <row r="4415" spans="1:23" hidden="1" x14ac:dyDescent="0.2">
      <c r="A4415">
        <v>2012</v>
      </c>
      <c r="B4415" t="s">
        <v>303</v>
      </c>
      <c r="C4415" s="733">
        <v>40928.494687500002</v>
      </c>
      <c r="D44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15" t="s">
        <v>485</v>
      </c>
      <c r="F4415" t="s">
        <v>2065</v>
      </c>
      <c r="G4415" t="s">
        <v>3977</v>
      </c>
      <c r="H4415">
        <v>40637</v>
      </c>
      <c r="I4415" t="s">
        <v>423</v>
      </c>
      <c r="J4415" t="s">
        <v>3054</v>
      </c>
      <c r="K4415" t="s">
        <v>2183</v>
      </c>
      <c r="L4415" t="s">
        <v>2184</v>
      </c>
      <c r="M4415">
        <v>43</v>
      </c>
      <c r="N4415">
        <v>15.77</v>
      </c>
      <c r="O4415">
        <v>1779.96</v>
      </c>
      <c r="P4415">
        <v>0</v>
      </c>
      <c r="Q4415">
        <v>1779.96</v>
      </c>
      <c r="R4415">
        <v>284.79000000000002</v>
      </c>
      <c r="S4415">
        <v>71.2</v>
      </c>
      <c r="T4415">
        <v>1993.55</v>
      </c>
      <c r="U4415" t="s">
        <v>2187</v>
      </c>
      <c r="V4415" t="s">
        <v>9408</v>
      </c>
      <c r="W4415" t="s">
        <v>423</v>
      </c>
    </row>
    <row r="4416" spans="1:23" hidden="1" x14ac:dyDescent="0.2">
      <c r="A4416">
        <v>2012</v>
      </c>
      <c r="B4416" t="s">
        <v>303</v>
      </c>
      <c r="C4416" s="733">
        <v>40939</v>
      </c>
      <c r="D44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16" t="s">
        <v>478</v>
      </c>
      <c r="F4416" t="s">
        <v>2142</v>
      </c>
      <c r="G4416" t="s">
        <v>7201</v>
      </c>
      <c r="H4416">
        <v>35164</v>
      </c>
      <c r="I4416" t="s">
        <v>423</v>
      </c>
      <c r="J4416" t="s">
        <v>4270</v>
      </c>
      <c r="K4416" t="s">
        <v>425</v>
      </c>
      <c r="L4416" t="s">
        <v>2145</v>
      </c>
      <c r="M4416">
        <v>560</v>
      </c>
      <c r="N4416">
        <v>49.13</v>
      </c>
      <c r="O4416">
        <v>15697.04</v>
      </c>
      <c r="P4416">
        <v>0</v>
      </c>
      <c r="Q4416">
        <v>15697.04</v>
      </c>
      <c r="R4416">
        <v>2511.5300000000002</v>
      </c>
      <c r="S4416">
        <v>627.88</v>
      </c>
      <c r="T4416">
        <v>17580.689999999999</v>
      </c>
      <c r="U4416" t="s">
        <v>2580</v>
      </c>
      <c r="V4416" t="s">
        <v>9409</v>
      </c>
      <c r="W4416" t="s">
        <v>423</v>
      </c>
    </row>
    <row r="4417" spans="1:23" hidden="1" x14ac:dyDescent="0.2">
      <c r="A4417">
        <v>2012</v>
      </c>
      <c r="B4417" t="s">
        <v>303</v>
      </c>
      <c r="C4417" s="733">
        <v>40915</v>
      </c>
      <c r="D44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17" t="s">
        <v>505</v>
      </c>
      <c r="F4417" t="s">
        <v>1915</v>
      </c>
      <c r="G4417" t="s">
        <v>7176</v>
      </c>
      <c r="H4417">
        <v>21774</v>
      </c>
      <c r="I4417" t="s">
        <v>424</v>
      </c>
      <c r="J4417" t="s">
        <v>1917</v>
      </c>
      <c r="K4417" t="s">
        <v>1918</v>
      </c>
      <c r="L4417" t="s">
        <v>1919</v>
      </c>
      <c r="M4417">
        <v>267</v>
      </c>
      <c r="N4417">
        <v>27</v>
      </c>
      <c r="O4417">
        <v>2636.97</v>
      </c>
      <c r="P4417">
        <v>1515.4402889999999</v>
      </c>
      <c r="Q4417">
        <v>4152.4102890000004</v>
      </c>
      <c r="R4417">
        <v>664.38564599999995</v>
      </c>
      <c r="S4417">
        <v>166.09641199999999</v>
      </c>
      <c r="T4417">
        <v>4650.6995230000002</v>
      </c>
      <c r="U4417" t="s">
        <v>1920</v>
      </c>
      <c r="V4417" t="s">
        <v>9408</v>
      </c>
      <c r="W4417" t="s">
        <v>424</v>
      </c>
    </row>
    <row r="4418" spans="1:23" hidden="1" x14ac:dyDescent="0.2">
      <c r="A4418">
        <v>2012</v>
      </c>
      <c r="B4418" t="s">
        <v>303</v>
      </c>
      <c r="C4418" s="733">
        <v>40927</v>
      </c>
      <c r="D44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18" t="s">
        <v>505</v>
      </c>
      <c r="F4418" t="s">
        <v>1915</v>
      </c>
      <c r="G4418" t="s">
        <v>7177</v>
      </c>
      <c r="H4418">
        <v>22070</v>
      </c>
      <c r="I4418" t="s">
        <v>424</v>
      </c>
      <c r="J4418" t="s">
        <v>1917</v>
      </c>
      <c r="K4418" t="s">
        <v>1918</v>
      </c>
      <c r="L4418" t="s">
        <v>1919</v>
      </c>
      <c r="M4418">
        <v>267</v>
      </c>
      <c r="N4418">
        <v>27</v>
      </c>
      <c r="O4418">
        <v>2636.97</v>
      </c>
      <c r="P4418">
        <v>1515.4402889999999</v>
      </c>
      <c r="Q4418">
        <v>4152.4102890000004</v>
      </c>
      <c r="R4418">
        <v>664.38564599999995</v>
      </c>
      <c r="S4418">
        <v>166.09641199999999</v>
      </c>
      <c r="T4418">
        <v>4650.6995230000002</v>
      </c>
      <c r="U4418" t="s">
        <v>1928</v>
      </c>
      <c r="V4418" t="s">
        <v>9408</v>
      </c>
      <c r="W4418" t="s">
        <v>424</v>
      </c>
    </row>
    <row r="4419" spans="1:23" hidden="1" x14ac:dyDescent="0.2">
      <c r="A4419">
        <v>2012</v>
      </c>
      <c r="B4419" t="s">
        <v>303</v>
      </c>
      <c r="C4419" s="733">
        <v>40927</v>
      </c>
      <c r="D44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19" t="s">
        <v>505</v>
      </c>
      <c r="F4419" t="s">
        <v>1915</v>
      </c>
      <c r="G4419" t="s">
        <v>1964</v>
      </c>
      <c r="H4419">
        <v>22074</v>
      </c>
      <c r="I4419" t="s">
        <v>424</v>
      </c>
      <c r="J4419" t="s">
        <v>1917</v>
      </c>
      <c r="K4419" t="s">
        <v>1918</v>
      </c>
      <c r="L4419" t="s">
        <v>1919</v>
      </c>
      <c r="M4419">
        <v>267</v>
      </c>
      <c r="N4419">
        <v>30</v>
      </c>
      <c r="O4419">
        <v>2929.97</v>
      </c>
      <c r="P4419">
        <v>1683.8244589999999</v>
      </c>
      <c r="Q4419">
        <v>4613.7944589999997</v>
      </c>
      <c r="R4419">
        <v>738.20711300000005</v>
      </c>
      <c r="S4419">
        <v>184.55177800000001</v>
      </c>
      <c r="T4419">
        <v>5167.4497940000001</v>
      </c>
      <c r="U4419" t="s">
        <v>1928</v>
      </c>
      <c r="V4419" t="s">
        <v>9408</v>
      </c>
      <c r="W4419" t="s">
        <v>424</v>
      </c>
    </row>
    <row r="4420" spans="1:23" hidden="1" x14ac:dyDescent="0.2">
      <c r="A4420">
        <v>2012</v>
      </c>
      <c r="B4420" t="s">
        <v>304</v>
      </c>
      <c r="C4420" s="733">
        <v>40959</v>
      </c>
      <c r="D44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20" t="s">
        <v>485</v>
      </c>
      <c r="F4420" t="s">
        <v>2065</v>
      </c>
      <c r="G4420" t="s">
        <v>7634</v>
      </c>
      <c r="H4420">
        <v>42108</v>
      </c>
      <c r="I4420" t="s">
        <v>423</v>
      </c>
      <c r="J4420" t="s">
        <v>2189</v>
      </c>
      <c r="K4420" t="s">
        <v>2183</v>
      </c>
      <c r="L4420" t="s">
        <v>2184</v>
      </c>
      <c r="M4420">
        <v>720</v>
      </c>
      <c r="N4420">
        <v>25.22</v>
      </c>
      <c r="O4420">
        <v>11194.91</v>
      </c>
      <c r="P4420">
        <v>0</v>
      </c>
      <c r="Q4420">
        <v>11194.91</v>
      </c>
      <c r="R4420">
        <v>1791.18</v>
      </c>
      <c r="S4420">
        <v>447.8</v>
      </c>
      <c r="T4420">
        <v>12538.29</v>
      </c>
      <c r="U4420" t="s">
        <v>9411</v>
      </c>
      <c r="V4420" t="s">
        <v>9408</v>
      </c>
      <c r="W4420" t="s">
        <v>423</v>
      </c>
    </row>
    <row r="4421" spans="1:23" hidden="1" x14ac:dyDescent="0.2">
      <c r="A4421">
        <v>2012</v>
      </c>
      <c r="B4421" t="s">
        <v>304</v>
      </c>
      <c r="C4421" s="733">
        <v>40940</v>
      </c>
      <c r="D44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21" t="s">
        <v>485</v>
      </c>
      <c r="F4421" t="s">
        <v>2065</v>
      </c>
      <c r="G4421" t="s">
        <v>5639</v>
      </c>
      <c r="H4421">
        <v>39798</v>
      </c>
      <c r="I4421" t="s">
        <v>423</v>
      </c>
      <c r="J4421" t="s">
        <v>2189</v>
      </c>
      <c r="K4421" t="s">
        <v>2183</v>
      </c>
      <c r="L4421" t="s">
        <v>2184</v>
      </c>
      <c r="M4421">
        <v>720</v>
      </c>
      <c r="N4421">
        <v>24.52</v>
      </c>
      <c r="O4421">
        <v>10884.18</v>
      </c>
      <c r="P4421">
        <v>0</v>
      </c>
      <c r="Q4421">
        <v>10884.18</v>
      </c>
      <c r="R4421">
        <v>1741.47</v>
      </c>
      <c r="S4421">
        <v>435.37</v>
      </c>
      <c r="T4421">
        <v>12190.28</v>
      </c>
      <c r="U4421" t="s">
        <v>2192</v>
      </c>
      <c r="V4421" t="s">
        <v>9408</v>
      </c>
      <c r="W4421" t="s">
        <v>423</v>
      </c>
    </row>
    <row r="4422" spans="1:23" hidden="1" x14ac:dyDescent="0.2">
      <c r="A4422">
        <v>2012</v>
      </c>
      <c r="B4422" t="s">
        <v>304</v>
      </c>
      <c r="C4422" s="733">
        <v>40959</v>
      </c>
      <c r="D44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22" t="s">
        <v>485</v>
      </c>
      <c r="F4422" t="s">
        <v>2065</v>
      </c>
      <c r="G4422" t="s">
        <v>7635</v>
      </c>
      <c r="H4422">
        <v>42101</v>
      </c>
      <c r="I4422" t="s">
        <v>423</v>
      </c>
      <c r="J4422" t="s">
        <v>2189</v>
      </c>
      <c r="K4422" t="s">
        <v>2183</v>
      </c>
      <c r="L4422" t="s">
        <v>2184</v>
      </c>
      <c r="M4422">
        <v>720</v>
      </c>
      <c r="N4422">
        <v>27.51</v>
      </c>
      <c r="O4422">
        <v>12211.41</v>
      </c>
      <c r="P4422">
        <v>0</v>
      </c>
      <c r="Q4422">
        <v>12211.41</v>
      </c>
      <c r="R4422">
        <v>1953.83</v>
      </c>
      <c r="S4422">
        <v>488.46</v>
      </c>
      <c r="T4422">
        <v>13676.78</v>
      </c>
      <c r="U4422" t="s">
        <v>9411</v>
      </c>
      <c r="V4422" t="s">
        <v>9408</v>
      </c>
      <c r="W4422" t="s">
        <v>423</v>
      </c>
    </row>
    <row r="4423" spans="1:23" hidden="1" x14ac:dyDescent="0.2">
      <c r="A4423">
        <v>2012</v>
      </c>
      <c r="B4423" t="s">
        <v>304</v>
      </c>
      <c r="C4423" s="733">
        <v>40942</v>
      </c>
      <c r="D44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23" t="s">
        <v>478</v>
      </c>
      <c r="F4423" t="s">
        <v>2136</v>
      </c>
      <c r="G4423" t="s">
        <v>6952</v>
      </c>
      <c r="H4423">
        <v>35070</v>
      </c>
      <c r="I4423" t="s">
        <v>423</v>
      </c>
      <c r="J4423" t="s">
        <v>4282</v>
      </c>
      <c r="K4423" t="s">
        <v>425</v>
      </c>
      <c r="L4423" t="s">
        <v>2145</v>
      </c>
      <c r="M4423">
        <v>1405</v>
      </c>
      <c r="N4423">
        <v>53.65</v>
      </c>
      <c r="O4423">
        <v>54155.38</v>
      </c>
      <c r="P4423">
        <v>0</v>
      </c>
      <c r="Q4423">
        <v>54155.38</v>
      </c>
      <c r="R4423">
        <v>8664.86</v>
      </c>
      <c r="S4423">
        <v>2166.2199999999998</v>
      </c>
      <c r="T4423">
        <v>60654.02</v>
      </c>
      <c r="U4423" t="s">
        <v>3115</v>
      </c>
      <c r="V4423" t="s">
        <v>9409</v>
      </c>
      <c r="W4423" t="s">
        <v>423</v>
      </c>
    </row>
    <row r="4424" spans="1:23" hidden="1" x14ac:dyDescent="0.2">
      <c r="A4424">
        <v>2012</v>
      </c>
      <c r="B4424" t="s">
        <v>304</v>
      </c>
      <c r="C4424" s="733">
        <v>40953</v>
      </c>
      <c r="D44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24" t="s">
        <v>485</v>
      </c>
      <c r="F4424" t="s">
        <v>2136</v>
      </c>
      <c r="G4424" t="s">
        <v>3767</v>
      </c>
      <c r="H4424">
        <v>41916</v>
      </c>
      <c r="I4424" t="s">
        <v>423</v>
      </c>
      <c r="J4424" t="s">
        <v>2141</v>
      </c>
      <c r="K4424" t="s">
        <v>2102</v>
      </c>
      <c r="L4424" t="s">
        <v>2103</v>
      </c>
      <c r="M4424">
        <v>114</v>
      </c>
      <c r="N4424">
        <v>25.63</v>
      </c>
      <c r="O4424">
        <v>4118.2299999999996</v>
      </c>
      <c r="P4424">
        <v>0</v>
      </c>
      <c r="Q4424">
        <v>4118.2299999999996</v>
      </c>
      <c r="R4424">
        <v>658.92</v>
      </c>
      <c r="S4424">
        <v>164.73</v>
      </c>
      <c r="T4424">
        <v>4612.42</v>
      </c>
      <c r="U4424" t="s">
        <v>8051</v>
      </c>
      <c r="V4424" t="s">
        <v>9408</v>
      </c>
      <c r="W4424" t="s">
        <v>423</v>
      </c>
    </row>
    <row r="4425" spans="1:23" hidden="1" x14ac:dyDescent="0.2">
      <c r="A4425">
        <v>2012</v>
      </c>
      <c r="B4425" t="s">
        <v>305</v>
      </c>
      <c r="C4425" s="733">
        <v>40969</v>
      </c>
      <c r="D4425" s="733" t="str">
        <f>CHOOSE(MONTH(Tabla_sqldatos_bonampakdb_Bon_v_ingresos2012[[#This Row],[fecha_guia]]),"Enero","Febrero","Marzo","Abril","Mayo","Junio","Julio","Agosto","Septiembre","Octubre","Noviembre","Diciembre")</f>
        <v>Marzo</v>
      </c>
      <c r="E4425" t="s">
        <v>478</v>
      </c>
      <c r="F4425" t="s">
        <v>2136</v>
      </c>
      <c r="G4425" t="s">
        <v>9466</v>
      </c>
      <c r="H4425">
        <v>36161</v>
      </c>
      <c r="I4425" t="s">
        <v>423</v>
      </c>
      <c r="J4425" t="s">
        <v>4791</v>
      </c>
      <c r="K4425" t="s">
        <v>425</v>
      </c>
      <c r="L4425" t="s">
        <v>2145</v>
      </c>
      <c r="M4425">
        <v>139</v>
      </c>
      <c r="N4425">
        <v>22.97</v>
      </c>
      <c r="O4425">
        <v>3836.45</v>
      </c>
      <c r="P4425">
        <v>0</v>
      </c>
      <c r="Q4425">
        <v>3836.45</v>
      </c>
      <c r="R4425">
        <v>613.83000000000004</v>
      </c>
      <c r="S4425">
        <v>153.46</v>
      </c>
      <c r="T4425">
        <v>4296.82</v>
      </c>
      <c r="V4425" t="s">
        <v>9408</v>
      </c>
      <c r="W4425" t="s">
        <v>423</v>
      </c>
    </row>
    <row r="4426" spans="1:23" hidden="1" x14ac:dyDescent="0.2">
      <c r="A4426">
        <v>2012</v>
      </c>
      <c r="B4426" t="s">
        <v>303</v>
      </c>
      <c r="C4426" s="733">
        <v>40927.481759259259</v>
      </c>
      <c r="D44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26" t="s">
        <v>478</v>
      </c>
      <c r="F4426" t="s">
        <v>2136</v>
      </c>
      <c r="G4426" t="s">
        <v>7182</v>
      </c>
      <c r="H4426">
        <v>34721</v>
      </c>
      <c r="I4426" t="s">
        <v>423</v>
      </c>
      <c r="J4426" t="s">
        <v>4285</v>
      </c>
      <c r="K4426" t="s">
        <v>425</v>
      </c>
      <c r="L4426" t="s">
        <v>2145</v>
      </c>
      <c r="M4426">
        <v>110</v>
      </c>
      <c r="N4426">
        <v>26.73</v>
      </c>
      <c r="O4426">
        <v>4464.4399999999996</v>
      </c>
      <c r="P4426">
        <v>0</v>
      </c>
      <c r="Q4426">
        <v>4464.4399999999996</v>
      </c>
      <c r="R4426">
        <v>714.31</v>
      </c>
      <c r="S4426">
        <v>178.58</v>
      </c>
      <c r="T4426">
        <v>5000.17</v>
      </c>
      <c r="U4426" t="s">
        <v>2146</v>
      </c>
      <c r="V4426" t="s">
        <v>9409</v>
      </c>
      <c r="W4426" t="s">
        <v>423</v>
      </c>
    </row>
    <row r="4427" spans="1:23" hidden="1" x14ac:dyDescent="0.2">
      <c r="A4427">
        <v>2012</v>
      </c>
      <c r="B4427" t="s">
        <v>304</v>
      </c>
      <c r="C4427" s="733">
        <v>40940</v>
      </c>
      <c r="D44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27" t="s">
        <v>478</v>
      </c>
      <c r="F4427" t="s">
        <v>2136</v>
      </c>
      <c r="G4427" t="s">
        <v>6950</v>
      </c>
      <c r="H4427">
        <v>35197</v>
      </c>
      <c r="I4427" t="s">
        <v>423</v>
      </c>
      <c r="J4427" t="s">
        <v>4282</v>
      </c>
      <c r="K4427" t="s">
        <v>425</v>
      </c>
      <c r="L4427" t="s">
        <v>2145</v>
      </c>
      <c r="M4427">
        <v>1405</v>
      </c>
      <c r="N4427">
        <v>51.51</v>
      </c>
      <c r="O4427">
        <v>51995.22</v>
      </c>
      <c r="P4427">
        <v>0</v>
      </c>
      <c r="Q4427">
        <v>51995.22</v>
      </c>
      <c r="R4427">
        <v>8319.24</v>
      </c>
      <c r="S4427">
        <v>2079.81</v>
      </c>
      <c r="T4427">
        <v>58234.65</v>
      </c>
      <c r="U4427" t="s">
        <v>2914</v>
      </c>
      <c r="V4427" t="s">
        <v>9409</v>
      </c>
      <c r="W4427" t="s">
        <v>423</v>
      </c>
    </row>
    <row r="4428" spans="1:23" hidden="1" x14ac:dyDescent="0.2">
      <c r="A4428">
        <v>2012</v>
      </c>
      <c r="B4428" t="s">
        <v>304</v>
      </c>
      <c r="C4428" s="733">
        <v>40940</v>
      </c>
      <c r="D44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28" t="s">
        <v>485</v>
      </c>
      <c r="F4428" t="s">
        <v>2065</v>
      </c>
      <c r="G4428" t="s">
        <v>6498</v>
      </c>
      <c r="H4428">
        <v>39866</v>
      </c>
      <c r="I4428" t="s">
        <v>423</v>
      </c>
      <c r="J4428" t="s">
        <v>2189</v>
      </c>
      <c r="K4428" t="s">
        <v>2183</v>
      </c>
      <c r="L4428" t="s">
        <v>2184</v>
      </c>
      <c r="M4428">
        <v>720</v>
      </c>
      <c r="N4428">
        <v>26.22</v>
      </c>
      <c r="O4428">
        <v>11638.8</v>
      </c>
      <c r="P4428">
        <v>0</v>
      </c>
      <c r="Q4428">
        <v>11638.8</v>
      </c>
      <c r="R4428">
        <v>1862.21</v>
      </c>
      <c r="S4428">
        <v>465.55</v>
      </c>
      <c r="T4428">
        <v>13035.46</v>
      </c>
      <c r="U4428" t="s">
        <v>2187</v>
      </c>
      <c r="V4428" t="s">
        <v>9408</v>
      </c>
      <c r="W4428" t="s">
        <v>423</v>
      </c>
    </row>
    <row r="4429" spans="1:23" hidden="1" x14ac:dyDescent="0.2">
      <c r="A4429">
        <v>2012</v>
      </c>
      <c r="B4429" t="s">
        <v>303</v>
      </c>
      <c r="C4429" s="733">
        <v>40924</v>
      </c>
      <c r="D44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29" t="s">
        <v>485</v>
      </c>
      <c r="F4429" t="s">
        <v>2065</v>
      </c>
      <c r="G4429" t="s">
        <v>6499</v>
      </c>
      <c r="H4429">
        <v>40292</v>
      </c>
      <c r="I4429" t="s">
        <v>423</v>
      </c>
      <c r="J4429" t="s">
        <v>2189</v>
      </c>
      <c r="K4429" t="s">
        <v>2183</v>
      </c>
      <c r="L4429" t="s">
        <v>2184</v>
      </c>
      <c r="M4429">
        <v>720</v>
      </c>
      <c r="N4429">
        <v>26.09</v>
      </c>
      <c r="O4429">
        <v>11581.09</v>
      </c>
      <c r="P4429">
        <v>0</v>
      </c>
      <c r="Q4429">
        <v>11581.09</v>
      </c>
      <c r="R4429">
        <v>1852.97</v>
      </c>
      <c r="S4429">
        <v>463.24</v>
      </c>
      <c r="T4429">
        <v>12970.82</v>
      </c>
      <c r="U4429" t="s">
        <v>7587</v>
      </c>
      <c r="V4429" t="s">
        <v>9408</v>
      </c>
      <c r="W4429" t="s">
        <v>423</v>
      </c>
    </row>
    <row r="4430" spans="1:23" hidden="1" x14ac:dyDescent="0.2">
      <c r="A4430">
        <v>2012</v>
      </c>
      <c r="B4430" t="s">
        <v>304</v>
      </c>
      <c r="C4430" s="733">
        <v>40961</v>
      </c>
      <c r="D44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30" t="s">
        <v>485</v>
      </c>
      <c r="F4430" t="s">
        <v>2065</v>
      </c>
      <c r="G4430" t="s">
        <v>8292</v>
      </c>
      <c r="H4430">
        <v>42223</v>
      </c>
      <c r="I4430" t="s">
        <v>423</v>
      </c>
      <c r="J4430" t="s">
        <v>2189</v>
      </c>
      <c r="K4430" t="s">
        <v>2183</v>
      </c>
      <c r="L4430" t="s">
        <v>2184</v>
      </c>
      <c r="M4430">
        <v>720</v>
      </c>
      <c r="N4430">
        <v>26.93</v>
      </c>
      <c r="O4430">
        <v>11953.96</v>
      </c>
      <c r="P4430">
        <v>0</v>
      </c>
      <c r="Q4430">
        <v>11953.96</v>
      </c>
      <c r="R4430">
        <v>1912.63</v>
      </c>
      <c r="S4430">
        <v>478.16</v>
      </c>
      <c r="T4430">
        <v>13388.43</v>
      </c>
      <c r="U4430" t="s">
        <v>9411</v>
      </c>
      <c r="V4430" t="s">
        <v>9408</v>
      </c>
      <c r="W4430" t="s">
        <v>423</v>
      </c>
    </row>
    <row r="4431" spans="1:23" hidden="1" x14ac:dyDescent="0.2">
      <c r="A4431">
        <v>2012</v>
      </c>
      <c r="B4431" t="s">
        <v>303</v>
      </c>
      <c r="C4431" s="733">
        <v>40928</v>
      </c>
      <c r="D44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31" t="s">
        <v>485</v>
      </c>
      <c r="F4431" t="s">
        <v>2065</v>
      </c>
      <c r="G4431" t="s">
        <v>6491</v>
      </c>
      <c r="H4431">
        <v>39813</v>
      </c>
      <c r="I4431" t="s">
        <v>423</v>
      </c>
      <c r="J4431" t="s">
        <v>2186</v>
      </c>
      <c r="K4431" t="s">
        <v>2183</v>
      </c>
      <c r="L4431" t="s">
        <v>2184</v>
      </c>
      <c r="M4431">
        <v>19</v>
      </c>
      <c r="N4431">
        <v>23.8</v>
      </c>
      <c r="O4431">
        <v>2686.31</v>
      </c>
      <c r="P4431">
        <v>0</v>
      </c>
      <c r="Q4431">
        <v>2686.31</v>
      </c>
      <c r="R4431">
        <v>429.81</v>
      </c>
      <c r="S4431">
        <v>107.45</v>
      </c>
      <c r="T4431">
        <v>3008.67</v>
      </c>
      <c r="U4431" t="s">
        <v>2187</v>
      </c>
      <c r="V4431" t="s">
        <v>9408</v>
      </c>
      <c r="W4431" t="s">
        <v>423</v>
      </c>
    </row>
    <row r="4432" spans="1:23" hidden="1" x14ac:dyDescent="0.2">
      <c r="A4432">
        <v>2012</v>
      </c>
      <c r="B4432" t="s">
        <v>303</v>
      </c>
      <c r="C4432" s="733">
        <v>40928</v>
      </c>
      <c r="D44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32" t="s">
        <v>485</v>
      </c>
      <c r="F4432" t="s">
        <v>2065</v>
      </c>
      <c r="G4432" t="s">
        <v>5643</v>
      </c>
      <c r="H4432">
        <v>40609</v>
      </c>
      <c r="I4432" t="s">
        <v>423</v>
      </c>
      <c r="J4432" t="s">
        <v>2186</v>
      </c>
      <c r="K4432" t="s">
        <v>2183</v>
      </c>
      <c r="L4432" t="s">
        <v>2184</v>
      </c>
      <c r="M4432">
        <v>19</v>
      </c>
      <c r="N4432">
        <v>16.07</v>
      </c>
      <c r="O4432">
        <v>1813.82</v>
      </c>
      <c r="P4432">
        <v>0</v>
      </c>
      <c r="Q4432">
        <v>1813.82</v>
      </c>
      <c r="R4432">
        <v>290.20999999999998</v>
      </c>
      <c r="S4432">
        <v>72.55</v>
      </c>
      <c r="T4432">
        <v>2031.48</v>
      </c>
      <c r="U4432" t="s">
        <v>7554</v>
      </c>
      <c r="V4432" t="s">
        <v>9408</v>
      </c>
      <c r="W4432" t="s">
        <v>423</v>
      </c>
    </row>
    <row r="4433" spans="1:23" hidden="1" x14ac:dyDescent="0.2">
      <c r="A4433">
        <v>2012</v>
      </c>
      <c r="B4433" t="s">
        <v>304</v>
      </c>
      <c r="C4433" s="733">
        <v>40946</v>
      </c>
      <c r="D44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33" t="s">
        <v>485</v>
      </c>
      <c r="F4433" t="s">
        <v>2065</v>
      </c>
      <c r="G4433" t="s">
        <v>5629</v>
      </c>
      <c r="H4433">
        <v>41538</v>
      </c>
      <c r="I4433" t="s">
        <v>423</v>
      </c>
      <c r="J4433" t="s">
        <v>2186</v>
      </c>
      <c r="K4433" t="s">
        <v>2183</v>
      </c>
      <c r="L4433" t="s">
        <v>2184</v>
      </c>
      <c r="M4433">
        <v>19</v>
      </c>
      <c r="N4433">
        <v>15.19</v>
      </c>
      <c r="O4433">
        <v>1714.5</v>
      </c>
      <c r="P4433">
        <v>0</v>
      </c>
      <c r="Q4433">
        <v>1714.5</v>
      </c>
      <c r="R4433">
        <v>274.32</v>
      </c>
      <c r="S4433">
        <v>68.58</v>
      </c>
      <c r="T4433">
        <v>1920.24</v>
      </c>
      <c r="U4433" t="s">
        <v>2192</v>
      </c>
      <c r="V4433" t="s">
        <v>9408</v>
      </c>
      <c r="W4433" t="s">
        <v>423</v>
      </c>
    </row>
    <row r="4434" spans="1:23" hidden="1" x14ac:dyDescent="0.2">
      <c r="A4434">
        <v>2012</v>
      </c>
      <c r="B4434" t="s">
        <v>304</v>
      </c>
      <c r="C4434" s="733">
        <v>40942</v>
      </c>
      <c r="D44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34" t="s">
        <v>485</v>
      </c>
      <c r="F4434" t="s">
        <v>2065</v>
      </c>
      <c r="G4434" t="s">
        <v>5642</v>
      </c>
      <c r="H4434">
        <v>41385</v>
      </c>
      <c r="I4434" t="s">
        <v>423</v>
      </c>
      <c r="J4434" t="s">
        <v>2186</v>
      </c>
      <c r="K4434" t="s">
        <v>2183</v>
      </c>
      <c r="L4434" t="s">
        <v>2184</v>
      </c>
      <c r="M4434">
        <v>19</v>
      </c>
      <c r="N4434">
        <v>15.13</v>
      </c>
      <c r="O4434">
        <v>1707.72</v>
      </c>
      <c r="P4434">
        <v>0</v>
      </c>
      <c r="Q4434">
        <v>1707.72</v>
      </c>
      <c r="R4434">
        <v>273.24</v>
      </c>
      <c r="S4434">
        <v>68.31</v>
      </c>
      <c r="T4434">
        <v>1912.65</v>
      </c>
      <c r="U4434" t="s">
        <v>2192</v>
      </c>
      <c r="V4434" t="s">
        <v>9408</v>
      </c>
      <c r="W4434" t="s">
        <v>423</v>
      </c>
    </row>
    <row r="4435" spans="1:23" hidden="1" x14ac:dyDescent="0.2">
      <c r="A4435">
        <v>2012</v>
      </c>
      <c r="B4435" t="s">
        <v>304</v>
      </c>
      <c r="C4435" s="733">
        <v>40942.682106481479</v>
      </c>
      <c r="D44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35" t="s">
        <v>478</v>
      </c>
      <c r="F4435" t="s">
        <v>3787</v>
      </c>
      <c r="G4435" t="s">
        <v>6160</v>
      </c>
      <c r="H4435">
        <v>35296</v>
      </c>
      <c r="I4435" t="s">
        <v>423</v>
      </c>
      <c r="J4435" t="s">
        <v>3789</v>
      </c>
      <c r="K4435" t="s">
        <v>3481</v>
      </c>
      <c r="L4435" t="s">
        <v>3482</v>
      </c>
      <c r="M4435">
        <v>27</v>
      </c>
      <c r="N4435">
        <v>25.965</v>
      </c>
      <c r="O4435">
        <v>2930.67</v>
      </c>
      <c r="P4435">
        <v>0</v>
      </c>
      <c r="Q4435">
        <v>2930.67</v>
      </c>
      <c r="R4435">
        <v>468.91</v>
      </c>
      <c r="S4435">
        <v>117.23</v>
      </c>
      <c r="T4435">
        <v>3282.35</v>
      </c>
      <c r="U4435" t="s">
        <v>3483</v>
      </c>
      <c r="V4435" t="s">
        <v>9408</v>
      </c>
      <c r="W4435" t="s">
        <v>423</v>
      </c>
    </row>
    <row r="4436" spans="1:23" hidden="1" x14ac:dyDescent="0.2">
      <c r="A4436">
        <v>2012</v>
      </c>
      <c r="B4436" t="s">
        <v>304</v>
      </c>
      <c r="C4436" s="733">
        <v>40960.422881944447</v>
      </c>
      <c r="D44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36" t="s">
        <v>478</v>
      </c>
      <c r="F4436" t="s">
        <v>2622</v>
      </c>
      <c r="G4436" t="s">
        <v>8383</v>
      </c>
      <c r="H4436">
        <v>35852</v>
      </c>
      <c r="I4436" t="s">
        <v>423</v>
      </c>
      <c r="J4436" t="s">
        <v>2629</v>
      </c>
      <c r="K4436" t="s">
        <v>2625</v>
      </c>
      <c r="L4436" t="s">
        <v>2626</v>
      </c>
      <c r="M4436">
        <v>33</v>
      </c>
      <c r="N4436">
        <v>23.93</v>
      </c>
      <c r="O4436">
        <v>2791.2</v>
      </c>
      <c r="P4436">
        <v>0</v>
      </c>
      <c r="Q4436">
        <v>2791.2</v>
      </c>
      <c r="R4436">
        <v>446.59</v>
      </c>
      <c r="S4436">
        <v>111.65</v>
      </c>
      <c r="T4436">
        <v>3126.14</v>
      </c>
      <c r="V4436" t="s">
        <v>9408</v>
      </c>
      <c r="W4436" t="s">
        <v>423</v>
      </c>
    </row>
    <row r="4437" spans="1:23" hidden="1" x14ac:dyDescent="0.2">
      <c r="A4437">
        <v>2012</v>
      </c>
      <c r="B4437" t="s">
        <v>304</v>
      </c>
      <c r="C4437" s="733">
        <v>40946</v>
      </c>
      <c r="D44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37" t="s">
        <v>478</v>
      </c>
      <c r="F4437" t="s">
        <v>2622</v>
      </c>
      <c r="G4437" t="s">
        <v>6214</v>
      </c>
      <c r="H4437">
        <v>35341</v>
      </c>
      <c r="I4437" t="s">
        <v>423</v>
      </c>
      <c r="J4437" t="s">
        <v>2629</v>
      </c>
      <c r="K4437" t="s">
        <v>2625</v>
      </c>
      <c r="L4437" t="s">
        <v>2626</v>
      </c>
      <c r="M4437">
        <v>33</v>
      </c>
      <c r="N4437">
        <v>22.86</v>
      </c>
      <c r="O4437">
        <v>2666.39</v>
      </c>
      <c r="P4437">
        <v>0</v>
      </c>
      <c r="Q4437">
        <v>2666.39</v>
      </c>
      <c r="R4437">
        <v>426.62</v>
      </c>
      <c r="S4437">
        <v>106.66</v>
      </c>
      <c r="T4437">
        <v>2986.35</v>
      </c>
      <c r="U4437" t="s">
        <v>2652</v>
      </c>
      <c r="V4437" t="s">
        <v>9408</v>
      </c>
      <c r="W4437" t="s">
        <v>423</v>
      </c>
    </row>
    <row r="4438" spans="1:23" hidden="1" x14ac:dyDescent="0.2">
      <c r="A4438">
        <v>2012</v>
      </c>
      <c r="B4438" t="s">
        <v>303</v>
      </c>
      <c r="C4438" s="733">
        <v>40932.446817129632</v>
      </c>
      <c r="D44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38" t="s">
        <v>478</v>
      </c>
      <c r="F4438" t="s">
        <v>2622</v>
      </c>
      <c r="G4438" t="s">
        <v>6209</v>
      </c>
      <c r="H4438">
        <v>34885</v>
      </c>
      <c r="I4438" t="s">
        <v>423</v>
      </c>
      <c r="J4438" t="s">
        <v>2629</v>
      </c>
      <c r="K4438" t="s">
        <v>2625</v>
      </c>
      <c r="L4438" t="s">
        <v>2626</v>
      </c>
      <c r="M4438">
        <v>33</v>
      </c>
      <c r="N4438">
        <v>25.87</v>
      </c>
      <c r="O4438">
        <v>3017.48</v>
      </c>
      <c r="P4438">
        <v>0</v>
      </c>
      <c r="Q4438">
        <v>3017.48</v>
      </c>
      <c r="R4438">
        <v>482.8</v>
      </c>
      <c r="S4438">
        <v>120.7</v>
      </c>
      <c r="T4438">
        <v>3379.58</v>
      </c>
      <c r="U4438" t="s">
        <v>2633</v>
      </c>
      <c r="V4438" t="s">
        <v>9408</v>
      </c>
      <c r="W4438" t="s">
        <v>423</v>
      </c>
    </row>
    <row r="4439" spans="1:23" hidden="1" x14ac:dyDescent="0.2">
      <c r="A4439">
        <v>2012</v>
      </c>
      <c r="B4439" t="s">
        <v>303</v>
      </c>
      <c r="C4439" s="733">
        <v>40918</v>
      </c>
      <c r="D44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39" t="s">
        <v>485</v>
      </c>
      <c r="F4439" t="s">
        <v>2065</v>
      </c>
      <c r="G4439" t="s">
        <v>6496</v>
      </c>
      <c r="H4439">
        <v>39926</v>
      </c>
      <c r="I4439" t="s">
        <v>423</v>
      </c>
      <c r="J4439" t="s">
        <v>2189</v>
      </c>
      <c r="K4439" t="s">
        <v>2183</v>
      </c>
      <c r="L4439" t="s">
        <v>2184</v>
      </c>
      <c r="M4439">
        <v>720</v>
      </c>
      <c r="N4439">
        <v>26.69</v>
      </c>
      <c r="O4439">
        <v>11847.42</v>
      </c>
      <c r="P4439">
        <v>0</v>
      </c>
      <c r="Q4439">
        <v>11847.42</v>
      </c>
      <c r="R4439">
        <v>1895.59</v>
      </c>
      <c r="S4439">
        <v>473.9</v>
      </c>
      <c r="T4439">
        <v>13269.11</v>
      </c>
      <c r="U4439" t="s">
        <v>7520</v>
      </c>
      <c r="V4439" t="s">
        <v>9408</v>
      </c>
      <c r="W4439" t="s">
        <v>423</v>
      </c>
    </row>
    <row r="4440" spans="1:23" hidden="1" x14ac:dyDescent="0.2">
      <c r="A4440">
        <v>2012</v>
      </c>
      <c r="B4440" t="s">
        <v>303</v>
      </c>
      <c r="C4440" s="733">
        <v>40927</v>
      </c>
      <c r="D44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40" t="s">
        <v>478</v>
      </c>
      <c r="F4440" t="s">
        <v>2136</v>
      </c>
      <c r="G4440" t="s">
        <v>6951</v>
      </c>
      <c r="H4440">
        <v>34544</v>
      </c>
      <c r="I4440" t="s">
        <v>423</v>
      </c>
      <c r="J4440" t="s">
        <v>4282</v>
      </c>
      <c r="K4440" t="s">
        <v>425</v>
      </c>
      <c r="L4440" t="s">
        <v>2145</v>
      </c>
      <c r="M4440">
        <v>1405</v>
      </c>
      <c r="N4440">
        <v>53.24</v>
      </c>
      <c r="O4440">
        <v>53741.52</v>
      </c>
      <c r="P4440">
        <v>0</v>
      </c>
      <c r="Q4440">
        <v>53741.52</v>
      </c>
      <c r="R4440">
        <v>8598.64</v>
      </c>
      <c r="S4440">
        <v>2149.66</v>
      </c>
      <c r="T4440">
        <v>60190.5</v>
      </c>
      <c r="U4440" t="s">
        <v>2146</v>
      </c>
      <c r="V4440" t="s">
        <v>9409</v>
      </c>
      <c r="W4440" t="s">
        <v>423</v>
      </c>
    </row>
    <row r="4441" spans="1:23" hidden="1" x14ac:dyDescent="0.2">
      <c r="A4441">
        <v>2012</v>
      </c>
      <c r="B4441" t="s">
        <v>304</v>
      </c>
      <c r="C4441" s="733">
        <v>40942</v>
      </c>
      <c r="D44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41" t="s">
        <v>478</v>
      </c>
      <c r="F4441" t="s">
        <v>2136</v>
      </c>
      <c r="G4441" t="s">
        <v>7181</v>
      </c>
      <c r="H4441">
        <v>35287</v>
      </c>
      <c r="I4441" t="s">
        <v>423</v>
      </c>
      <c r="J4441" t="s">
        <v>4791</v>
      </c>
      <c r="K4441" t="s">
        <v>425</v>
      </c>
      <c r="L4441" t="s">
        <v>2145</v>
      </c>
      <c r="M4441">
        <v>139</v>
      </c>
      <c r="N4441">
        <v>23.99</v>
      </c>
      <c r="O4441">
        <v>4006.81</v>
      </c>
      <c r="P4441">
        <v>0</v>
      </c>
      <c r="Q4441">
        <v>4006.81</v>
      </c>
      <c r="R4441">
        <v>641.09</v>
      </c>
      <c r="S4441">
        <v>160.27000000000001</v>
      </c>
      <c r="T4441">
        <v>4487.63</v>
      </c>
      <c r="U4441" t="s">
        <v>2938</v>
      </c>
      <c r="V4441" t="s">
        <v>9409</v>
      </c>
      <c r="W4441" t="s">
        <v>423</v>
      </c>
    </row>
    <row r="4442" spans="1:23" hidden="1" x14ac:dyDescent="0.2">
      <c r="A4442">
        <v>2012</v>
      </c>
      <c r="B4442" t="s">
        <v>304</v>
      </c>
      <c r="C4442" s="733">
        <v>40963.461192129631</v>
      </c>
      <c r="D44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42" t="s">
        <v>478</v>
      </c>
      <c r="F4442" t="s">
        <v>2622</v>
      </c>
      <c r="G4442" t="s">
        <v>9064</v>
      </c>
      <c r="H4442">
        <v>36006</v>
      </c>
      <c r="I4442" t="s">
        <v>423</v>
      </c>
      <c r="J4442" t="s">
        <v>2624</v>
      </c>
      <c r="K4442" t="s">
        <v>2625</v>
      </c>
      <c r="L4442" t="s">
        <v>2626</v>
      </c>
      <c r="M4442">
        <v>10</v>
      </c>
      <c r="N4442">
        <v>22.97</v>
      </c>
      <c r="O4442">
        <v>2592.16</v>
      </c>
      <c r="P4442">
        <v>0</v>
      </c>
      <c r="Q4442">
        <v>2592.16</v>
      </c>
      <c r="R4442">
        <v>414.75</v>
      </c>
      <c r="S4442">
        <v>103.69</v>
      </c>
      <c r="T4442">
        <v>2903.22</v>
      </c>
      <c r="U4442" t="s">
        <v>9428</v>
      </c>
      <c r="V4442" t="s">
        <v>9408</v>
      </c>
      <c r="W4442" t="s">
        <v>423</v>
      </c>
    </row>
    <row r="4443" spans="1:23" hidden="1" x14ac:dyDescent="0.2">
      <c r="A4443">
        <v>2012</v>
      </c>
      <c r="B4443" t="s">
        <v>305</v>
      </c>
      <c r="C4443" s="733">
        <v>40969</v>
      </c>
      <c r="D4443" s="733" t="str">
        <f>CHOOSE(MONTH(Tabla_sqldatos_bonampakdb_Bon_v_ingresos2012[[#This Row],[fecha_guia]]),"Enero","Febrero","Marzo","Abril","Mayo","Junio","Julio","Agosto","Septiembre","Octubre","Noviembre","Diciembre")</f>
        <v>Marzo</v>
      </c>
      <c r="E4443" t="s">
        <v>505</v>
      </c>
      <c r="F4443" t="s">
        <v>1915</v>
      </c>
      <c r="G4443" t="s">
        <v>9609</v>
      </c>
      <c r="H4443">
        <v>23111</v>
      </c>
      <c r="I4443" t="s">
        <v>424</v>
      </c>
      <c r="J4443" t="s">
        <v>5598</v>
      </c>
      <c r="K4443" t="s">
        <v>1918</v>
      </c>
      <c r="L4443" t="s">
        <v>1919</v>
      </c>
      <c r="M4443">
        <v>653</v>
      </c>
      <c r="N4443">
        <v>30</v>
      </c>
      <c r="O4443">
        <v>10609.5</v>
      </c>
      <c r="P4443">
        <v>0</v>
      </c>
      <c r="Q4443">
        <v>10609.5</v>
      </c>
      <c r="R4443">
        <v>1697.52</v>
      </c>
      <c r="S4443">
        <v>424.38</v>
      </c>
      <c r="T4443">
        <v>11882.64</v>
      </c>
      <c r="V4443" t="s">
        <v>9408</v>
      </c>
      <c r="W4443" t="s">
        <v>424</v>
      </c>
    </row>
    <row r="4444" spans="1:23" hidden="1" x14ac:dyDescent="0.2">
      <c r="A4444">
        <v>2012</v>
      </c>
      <c r="B4444" t="s">
        <v>303</v>
      </c>
      <c r="C4444" s="733">
        <v>40926</v>
      </c>
      <c r="D44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44" t="s">
        <v>485</v>
      </c>
      <c r="F4444" t="s">
        <v>3450</v>
      </c>
      <c r="G4444" t="s">
        <v>5126</v>
      </c>
      <c r="H4444">
        <v>40281</v>
      </c>
      <c r="I4444" t="s">
        <v>423</v>
      </c>
      <c r="J4444" t="s">
        <v>3452</v>
      </c>
      <c r="K4444" t="s">
        <v>3453</v>
      </c>
      <c r="L4444" t="s">
        <v>3454</v>
      </c>
      <c r="M4444">
        <v>19</v>
      </c>
      <c r="N4444">
        <v>24.61</v>
      </c>
      <c r="O4444">
        <v>2777.73</v>
      </c>
      <c r="P4444">
        <v>0</v>
      </c>
      <c r="Q4444">
        <v>2777.73</v>
      </c>
      <c r="R4444">
        <v>444.44</v>
      </c>
      <c r="S4444">
        <v>111.11</v>
      </c>
      <c r="T4444">
        <v>3111.06</v>
      </c>
      <c r="U4444" t="s">
        <v>3459</v>
      </c>
      <c r="V4444" t="s">
        <v>9408</v>
      </c>
      <c r="W4444" t="s">
        <v>423</v>
      </c>
    </row>
    <row r="4445" spans="1:23" hidden="1" x14ac:dyDescent="0.2">
      <c r="A4445">
        <v>2012</v>
      </c>
      <c r="B4445" t="s">
        <v>303</v>
      </c>
      <c r="C4445" s="733">
        <v>40933</v>
      </c>
      <c r="D44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45" t="s">
        <v>485</v>
      </c>
      <c r="F4445" t="s">
        <v>3450</v>
      </c>
      <c r="G4445" t="s">
        <v>5127</v>
      </c>
      <c r="H4445">
        <v>40577</v>
      </c>
      <c r="I4445" t="s">
        <v>423</v>
      </c>
      <c r="J4445" t="s">
        <v>3452</v>
      </c>
      <c r="K4445" t="s">
        <v>3453</v>
      </c>
      <c r="L4445" t="s">
        <v>3454</v>
      </c>
      <c r="M4445">
        <v>19</v>
      </c>
      <c r="N4445">
        <v>28.46</v>
      </c>
      <c r="O4445">
        <v>3212.28</v>
      </c>
      <c r="P4445">
        <v>0</v>
      </c>
      <c r="Q4445">
        <v>3212.28</v>
      </c>
      <c r="R4445">
        <v>513.96</v>
      </c>
      <c r="S4445">
        <v>128.49</v>
      </c>
      <c r="T4445">
        <v>3597.75</v>
      </c>
      <c r="U4445" t="s">
        <v>3459</v>
      </c>
      <c r="V4445" t="s">
        <v>9408</v>
      </c>
      <c r="W4445" t="s">
        <v>423</v>
      </c>
    </row>
    <row r="4446" spans="1:23" hidden="1" x14ac:dyDescent="0.2">
      <c r="A4446">
        <v>2012</v>
      </c>
      <c r="B4446" t="s">
        <v>303</v>
      </c>
      <c r="C4446" s="733">
        <v>40933</v>
      </c>
      <c r="D44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46" t="s">
        <v>485</v>
      </c>
      <c r="F4446" t="s">
        <v>3450</v>
      </c>
      <c r="G4446" t="s">
        <v>5125</v>
      </c>
      <c r="H4446">
        <v>40573</v>
      </c>
      <c r="I4446" t="s">
        <v>423</v>
      </c>
      <c r="J4446" t="s">
        <v>3452</v>
      </c>
      <c r="K4446" t="s">
        <v>3453</v>
      </c>
      <c r="L4446" t="s">
        <v>3454</v>
      </c>
      <c r="M4446">
        <v>19</v>
      </c>
      <c r="N4446">
        <v>25.87</v>
      </c>
      <c r="O4446">
        <v>2919.95</v>
      </c>
      <c r="P4446">
        <v>0</v>
      </c>
      <c r="Q4446">
        <v>2919.95</v>
      </c>
      <c r="R4446">
        <v>467.19</v>
      </c>
      <c r="S4446">
        <v>116.8</v>
      </c>
      <c r="T4446">
        <v>3270.34</v>
      </c>
      <c r="U4446" t="s">
        <v>3459</v>
      </c>
      <c r="V4446" t="s">
        <v>9408</v>
      </c>
      <c r="W4446" t="s">
        <v>423</v>
      </c>
    </row>
    <row r="4447" spans="1:23" hidden="1" x14ac:dyDescent="0.2">
      <c r="A4447">
        <v>2012</v>
      </c>
      <c r="B4447" t="s">
        <v>304</v>
      </c>
      <c r="C4447" s="733">
        <v>40953</v>
      </c>
      <c r="D44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47" t="s">
        <v>485</v>
      </c>
      <c r="F4447" t="s">
        <v>3450</v>
      </c>
      <c r="G4447" t="s">
        <v>5128</v>
      </c>
      <c r="H4447">
        <v>41682</v>
      </c>
      <c r="I4447" t="s">
        <v>423</v>
      </c>
      <c r="J4447" t="s">
        <v>3452</v>
      </c>
      <c r="K4447" t="s">
        <v>3453</v>
      </c>
      <c r="L4447" t="s">
        <v>3454</v>
      </c>
      <c r="M4447">
        <v>19</v>
      </c>
      <c r="N4447">
        <v>24.96</v>
      </c>
      <c r="O4447">
        <v>2817.24</v>
      </c>
      <c r="P4447">
        <v>0</v>
      </c>
      <c r="Q4447">
        <v>2817.24</v>
      </c>
      <c r="R4447">
        <v>450.76</v>
      </c>
      <c r="S4447">
        <v>112.69</v>
      </c>
      <c r="T4447">
        <v>3155.31</v>
      </c>
      <c r="U4447" t="s">
        <v>7533</v>
      </c>
      <c r="V4447" t="s">
        <v>9408</v>
      </c>
      <c r="W4447" t="s">
        <v>423</v>
      </c>
    </row>
    <row r="4448" spans="1:23" hidden="1" x14ac:dyDescent="0.2">
      <c r="A4448">
        <v>2012</v>
      </c>
      <c r="B4448" t="s">
        <v>304</v>
      </c>
      <c r="C4448" s="733">
        <v>40948</v>
      </c>
      <c r="D44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48" t="s">
        <v>485</v>
      </c>
      <c r="F4448" t="s">
        <v>3450</v>
      </c>
      <c r="G4448" t="s">
        <v>5129</v>
      </c>
      <c r="H4448">
        <v>41221</v>
      </c>
      <c r="I4448" t="s">
        <v>423</v>
      </c>
      <c r="J4448" t="s">
        <v>3452</v>
      </c>
      <c r="K4448" t="s">
        <v>3453</v>
      </c>
      <c r="L4448" t="s">
        <v>3454</v>
      </c>
      <c r="M4448">
        <v>19</v>
      </c>
      <c r="N4448">
        <v>24.49</v>
      </c>
      <c r="O4448">
        <v>2764.19</v>
      </c>
      <c r="P4448">
        <v>0</v>
      </c>
      <c r="Q4448">
        <v>2764.19</v>
      </c>
      <c r="R4448">
        <v>442.27</v>
      </c>
      <c r="S4448">
        <v>110.57</v>
      </c>
      <c r="T4448">
        <v>3095.89</v>
      </c>
      <c r="U4448" t="s">
        <v>3455</v>
      </c>
      <c r="V4448" t="s">
        <v>9408</v>
      </c>
      <c r="W4448" t="s">
        <v>423</v>
      </c>
    </row>
    <row r="4449" spans="1:23" hidden="1" x14ac:dyDescent="0.2">
      <c r="A4449">
        <v>2012</v>
      </c>
      <c r="B4449" t="s">
        <v>304</v>
      </c>
      <c r="C4449" s="733">
        <v>40955</v>
      </c>
      <c r="D44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49" t="s">
        <v>485</v>
      </c>
      <c r="F4449" t="s">
        <v>3450</v>
      </c>
      <c r="G4449" t="s">
        <v>7828</v>
      </c>
      <c r="H4449">
        <v>41946</v>
      </c>
      <c r="I4449" t="s">
        <v>423</v>
      </c>
      <c r="J4449" t="s">
        <v>3452</v>
      </c>
      <c r="K4449" t="s">
        <v>3453</v>
      </c>
      <c r="L4449" t="s">
        <v>3454</v>
      </c>
      <c r="M4449">
        <v>19</v>
      </c>
      <c r="N4449">
        <v>28.39</v>
      </c>
      <c r="O4449">
        <v>3204.38</v>
      </c>
      <c r="P4449">
        <v>0</v>
      </c>
      <c r="Q4449">
        <v>3204.38</v>
      </c>
      <c r="R4449">
        <v>512.70000000000005</v>
      </c>
      <c r="S4449">
        <v>128.18</v>
      </c>
      <c r="T4449">
        <v>3588.9</v>
      </c>
      <c r="U4449" t="s">
        <v>7533</v>
      </c>
      <c r="V4449" t="s">
        <v>9408</v>
      </c>
      <c r="W4449" t="s">
        <v>423</v>
      </c>
    </row>
    <row r="4450" spans="1:23" hidden="1" x14ac:dyDescent="0.2">
      <c r="A4450">
        <v>2012</v>
      </c>
      <c r="B4450" t="s">
        <v>304</v>
      </c>
      <c r="C4450" s="733">
        <v>40962</v>
      </c>
      <c r="D44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50" t="s">
        <v>478</v>
      </c>
      <c r="F4450" t="s">
        <v>2136</v>
      </c>
      <c r="G4450" t="s">
        <v>8669</v>
      </c>
      <c r="H4450">
        <v>35620</v>
      </c>
      <c r="I4450" t="s">
        <v>423</v>
      </c>
      <c r="J4450" t="s">
        <v>7060</v>
      </c>
      <c r="K4450" t="s">
        <v>425</v>
      </c>
      <c r="L4450" t="s">
        <v>2145</v>
      </c>
      <c r="M4450">
        <v>842</v>
      </c>
      <c r="N4450">
        <v>21.99</v>
      </c>
      <c r="O4450">
        <v>8749.6</v>
      </c>
      <c r="P4450">
        <v>0</v>
      </c>
      <c r="Q4450">
        <v>8749.6</v>
      </c>
      <c r="R4450">
        <v>1399.94</v>
      </c>
      <c r="S4450">
        <v>349.98</v>
      </c>
      <c r="T4450">
        <v>9799.56</v>
      </c>
      <c r="U4450" t="s">
        <v>8510</v>
      </c>
      <c r="V4450" t="s">
        <v>9408</v>
      </c>
      <c r="W4450" t="s">
        <v>423</v>
      </c>
    </row>
    <row r="4451" spans="1:23" hidden="1" x14ac:dyDescent="0.2">
      <c r="A4451">
        <v>2012</v>
      </c>
      <c r="B4451" t="s">
        <v>305</v>
      </c>
      <c r="C4451" s="733">
        <v>40969</v>
      </c>
      <c r="D4451" s="733" t="str">
        <f>CHOOSE(MONTH(Tabla_sqldatos_bonampakdb_Bon_v_ingresos2012[[#This Row],[fecha_guia]]),"Enero","Febrero","Marzo","Abril","Mayo","Junio","Julio","Agosto","Septiembre","Octubre","Noviembre","Diciembre")</f>
        <v>Marzo</v>
      </c>
      <c r="E4451" t="s">
        <v>478</v>
      </c>
      <c r="F4451" t="s">
        <v>2136</v>
      </c>
      <c r="G4451" t="s">
        <v>9572</v>
      </c>
      <c r="H4451">
        <v>36192</v>
      </c>
      <c r="I4451" t="s">
        <v>423</v>
      </c>
      <c r="J4451" t="s">
        <v>4279</v>
      </c>
      <c r="K4451" t="s">
        <v>425</v>
      </c>
      <c r="L4451" t="s">
        <v>2145</v>
      </c>
      <c r="M4451">
        <v>381</v>
      </c>
      <c r="N4451">
        <v>28.35</v>
      </c>
      <c r="O4451">
        <v>7098.56</v>
      </c>
      <c r="P4451">
        <v>0</v>
      </c>
      <c r="Q4451">
        <v>7098.56</v>
      </c>
      <c r="R4451">
        <v>1135.77</v>
      </c>
      <c r="S4451">
        <v>283.94</v>
      </c>
      <c r="T4451">
        <v>7950.39</v>
      </c>
      <c r="V4451" t="s">
        <v>9408</v>
      </c>
      <c r="W4451" t="s">
        <v>423</v>
      </c>
    </row>
    <row r="4452" spans="1:23" hidden="1" x14ac:dyDescent="0.2">
      <c r="A4452">
        <v>2012</v>
      </c>
      <c r="B4452" t="s">
        <v>304</v>
      </c>
      <c r="C4452" s="733">
        <v>40956</v>
      </c>
      <c r="D44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52" t="s">
        <v>478</v>
      </c>
      <c r="F4452" t="s">
        <v>2136</v>
      </c>
      <c r="G4452" t="s">
        <v>7898</v>
      </c>
      <c r="H4452">
        <v>35735</v>
      </c>
      <c r="I4452" t="s">
        <v>423</v>
      </c>
      <c r="J4452" t="s">
        <v>4279</v>
      </c>
      <c r="K4452" t="s">
        <v>425</v>
      </c>
      <c r="L4452" t="s">
        <v>2145</v>
      </c>
      <c r="M4452">
        <v>381</v>
      </c>
      <c r="N4452">
        <v>44.5</v>
      </c>
      <c r="O4452">
        <v>11142.36</v>
      </c>
      <c r="P4452">
        <v>0</v>
      </c>
      <c r="Q4452">
        <v>11142.36</v>
      </c>
      <c r="R4452">
        <v>1782.78</v>
      </c>
      <c r="S4452">
        <v>445.69</v>
      </c>
      <c r="T4452">
        <v>12479.45</v>
      </c>
      <c r="U4452" t="s">
        <v>9455</v>
      </c>
      <c r="V4452" t="s">
        <v>9409</v>
      </c>
      <c r="W4452" t="s">
        <v>423</v>
      </c>
    </row>
    <row r="4453" spans="1:23" hidden="1" x14ac:dyDescent="0.2">
      <c r="A4453">
        <v>2012</v>
      </c>
      <c r="B4453" t="s">
        <v>303</v>
      </c>
      <c r="C4453" s="733">
        <v>40926</v>
      </c>
      <c r="D44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53" t="s">
        <v>485</v>
      </c>
      <c r="F4453" t="s">
        <v>3450</v>
      </c>
      <c r="G4453" t="s">
        <v>5131</v>
      </c>
      <c r="H4453">
        <v>40352</v>
      </c>
      <c r="I4453" t="s">
        <v>423</v>
      </c>
      <c r="J4453" t="s">
        <v>3452</v>
      </c>
      <c r="K4453" t="s">
        <v>3453</v>
      </c>
      <c r="L4453" t="s">
        <v>3454</v>
      </c>
      <c r="M4453">
        <v>19</v>
      </c>
      <c r="N4453">
        <v>25.23</v>
      </c>
      <c r="O4453">
        <v>2847.71</v>
      </c>
      <c r="P4453">
        <v>0</v>
      </c>
      <c r="Q4453">
        <v>2847.71</v>
      </c>
      <c r="R4453">
        <v>455.63</v>
      </c>
      <c r="S4453">
        <v>113.91</v>
      </c>
      <c r="T4453">
        <v>3189.43</v>
      </c>
      <c r="U4453" t="s">
        <v>3459</v>
      </c>
      <c r="V4453" t="s">
        <v>9408</v>
      </c>
      <c r="W4453" t="s">
        <v>423</v>
      </c>
    </row>
    <row r="4454" spans="1:23" x14ac:dyDescent="0.2">
      <c r="A4454">
        <v>2012</v>
      </c>
      <c r="B4454" t="s">
        <v>304</v>
      </c>
      <c r="C4454" s="733">
        <v>40968</v>
      </c>
      <c r="D44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54" t="s">
        <v>485</v>
      </c>
      <c r="F4454" t="s">
        <v>3450</v>
      </c>
      <c r="G4454" t="s">
        <v>9573</v>
      </c>
      <c r="H4454">
        <v>42324</v>
      </c>
      <c r="I4454" t="s">
        <v>423</v>
      </c>
      <c r="J4454" t="s">
        <v>3452</v>
      </c>
      <c r="K4454" t="s">
        <v>3453</v>
      </c>
      <c r="L4454" t="s">
        <v>3454</v>
      </c>
      <c r="M4454">
        <v>19</v>
      </c>
      <c r="N4454">
        <v>28.55</v>
      </c>
      <c r="O4454">
        <v>3222.44</v>
      </c>
      <c r="P4454">
        <v>0</v>
      </c>
      <c r="Q4454">
        <v>3222.44</v>
      </c>
      <c r="R4454">
        <v>515.59</v>
      </c>
      <c r="S4454">
        <v>128.9</v>
      </c>
      <c r="T4454">
        <v>3609.13</v>
      </c>
      <c r="V4454" t="s">
        <v>9408</v>
      </c>
      <c r="W4454" t="s">
        <v>423</v>
      </c>
    </row>
    <row r="4455" spans="1:23" hidden="1" x14ac:dyDescent="0.2">
      <c r="A4455">
        <v>2012</v>
      </c>
      <c r="B4455" t="s">
        <v>304</v>
      </c>
      <c r="C4455" s="733">
        <v>40953</v>
      </c>
      <c r="D44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55" t="s">
        <v>485</v>
      </c>
      <c r="F4455" t="s">
        <v>3450</v>
      </c>
      <c r="G4455" t="s">
        <v>5130</v>
      </c>
      <c r="H4455">
        <v>41675</v>
      </c>
      <c r="I4455" t="s">
        <v>423</v>
      </c>
      <c r="J4455" t="s">
        <v>3457</v>
      </c>
      <c r="K4455" t="s">
        <v>3453</v>
      </c>
      <c r="L4455" t="s">
        <v>3454</v>
      </c>
      <c r="M4455">
        <v>29</v>
      </c>
      <c r="N4455">
        <v>24.83</v>
      </c>
      <c r="O4455">
        <v>2802.56</v>
      </c>
      <c r="P4455">
        <v>0</v>
      </c>
      <c r="Q4455">
        <v>2802.56</v>
      </c>
      <c r="R4455">
        <v>448.41</v>
      </c>
      <c r="S4455">
        <v>112.1</v>
      </c>
      <c r="T4455">
        <v>3138.87</v>
      </c>
      <c r="U4455" t="s">
        <v>7533</v>
      </c>
      <c r="V4455" t="s">
        <v>9408</v>
      </c>
      <c r="W4455" t="s">
        <v>423</v>
      </c>
    </row>
    <row r="4456" spans="1:23" hidden="1" x14ac:dyDescent="0.2">
      <c r="A4456">
        <v>2012</v>
      </c>
      <c r="B4456" t="s">
        <v>303</v>
      </c>
      <c r="C4456" s="733">
        <v>40913</v>
      </c>
      <c r="D44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56" t="s">
        <v>478</v>
      </c>
      <c r="F4456" t="s">
        <v>2136</v>
      </c>
      <c r="G4456" t="s">
        <v>7087</v>
      </c>
      <c r="H4456">
        <v>34228</v>
      </c>
      <c r="I4456" t="s">
        <v>423</v>
      </c>
      <c r="J4456" t="s">
        <v>4279</v>
      </c>
      <c r="K4456" t="s">
        <v>425</v>
      </c>
      <c r="L4456" t="s">
        <v>2145</v>
      </c>
      <c r="M4456">
        <v>381</v>
      </c>
      <c r="N4456">
        <v>51.1</v>
      </c>
      <c r="O4456">
        <v>5386.96</v>
      </c>
      <c r="P4456">
        <v>6065.1243940000004</v>
      </c>
      <c r="Q4456">
        <v>11452.084394</v>
      </c>
      <c r="R4456">
        <v>1832.3335030000001</v>
      </c>
      <c r="S4456">
        <v>458.08337599999999</v>
      </c>
      <c r="T4456">
        <v>12826.334521000001</v>
      </c>
      <c r="U4456" t="s">
        <v>3118</v>
      </c>
      <c r="V4456" t="s">
        <v>9409</v>
      </c>
      <c r="W4456" t="s">
        <v>423</v>
      </c>
    </row>
    <row r="4457" spans="1:23" hidden="1" x14ac:dyDescent="0.2">
      <c r="A4457">
        <v>2012</v>
      </c>
      <c r="B4457" t="s">
        <v>304</v>
      </c>
      <c r="C4457" s="733">
        <v>40941</v>
      </c>
      <c r="D44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57" t="s">
        <v>478</v>
      </c>
      <c r="F4457" t="s">
        <v>3358</v>
      </c>
      <c r="G4457" t="s">
        <v>5326</v>
      </c>
      <c r="H4457">
        <v>35214</v>
      </c>
      <c r="I4457" t="s">
        <v>423</v>
      </c>
      <c r="J4457" t="s">
        <v>4509</v>
      </c>
      <c r="K4457" t="s">
        <v>4397</v>
      </c>
      <c r="L4457" t="s">
        <v>4398</v>
      </c>
      <c r="M4457">
        <v>183</v>
      </c>
      <c r="N4457">
        <v>25.715</v>
      </c>
      <c r="O4457">
        <v>4441.49</v>
      </c>
      <c r="P4457">
        <v>0</v>
      </c>
      <c r="Q4457">
        <v>4441.49</v>
      </c>
      <c r="R4457">
        <v>710.64</v>
      </c>
      <c r="S4457">
        <v>177.66</v>
      </c>
      <c r="T4457">
        <v>4974.47</v>
      </c>
      <c r="U4457" t="s">
        <v>4399</v>
      </c>
      <c r="V4457" t="s">
        <v>9408</v>
      </c>
      <c r="W4457" t="s">
        <v>423</v>
      </c>
    </row>
    <row r="4458" spans="1:23" hidden="1" x14ac:dyDescent="0.2">
      <c r="A4458">
        <v>2012</v>
      </c>
      <c r="B4458" t="s">
        <v>304</v>
      </c>
      <c r="C4458" s="733">
        <v>40941</v>
      </c>
      <c r="D44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58" t="s">
        <v>478</v>
      </c>
      <c r="F4458" t="s">
        <v>3358</v>
      </c>
      <c r="G4458" t="s">
        <v>5327</v>
      </c>
      <c r="H4458">
        <v>35217</v>
      </c>
      <c r="I4458" t="s">
        <v>423</v>
      </c>
      <c r="J4458" t="s">
        <v>4509</v>
      </c>
      <c r="K4458" t="s">
        <v>4397</v>
      </c>
      <c r="L4458" t="s">
        <v>4398</v>
      </c>
      <c r="M4458">
        <v>183</v>
      </c>
      <c r="N4458">
        <v>21.39</v>
      </c>
      <c r="O4458">
        <v>3694.48</v>
      </c>
      <c r="P4458">
        <v>0</v>
      </c>
      <c r="Q4458">
        <v>3694.48</v>
      </c>
      <c r="R4458">
        <v>591.12</v>
      </c>
      <c r="S4458">
        <v>147.78</v>
      </c>
      <c r="T4458">
        <v>4137.82</v>
      </c>
      <c r="V4458" t="s">
        <v>9408</v>
      </c>
      <c r="W4458" t="s">
        <v>423</v>
      </c>
    </row>
    <row r="4459" spans="1:23" hidden="1" x14ac:dyDescent="0.2">
      <c r="A4459">
        <v>2012</v>
      </c>
      <c r="B4459" t="s">
        <v>304</v>
      </c>
      <c r="C4459" s="733">
        <v>40940</v>
      </c>
      <c r="D44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59" t="s">
        <v>505</v>
      </c>
      <c r="F4459" t="s">
        <v>1915</v>
      </c>
      <c r="G4459" t="s">
        <v>6929</v>
      </c>
      <c r="H4459">
        <v>22406</v>
      </c>
      <c r="I4459" t="s">
        <v>423</v>
      </c>
      <c r="J4459" t="s">
        <v>5253</v>
      </c>
      <c r="K4459" t="s">
        <v>1918</v>
      </c>
      <c r="L4459" t="s">
        <v>1919</v>
      </c>
      <c r="M4459">
        <v>88</v>
      </c>
      <c r="N4459">
        <v>27.93</v>
      </c>
      <c r="O4459">
        <v>3891.21</v>
      </c>
      <c r="P4459">
        <v>0</v>
      </c>
      <c r="Q4459">
        <v>3891.21</v>
      </c>
      <c r="R4459">
        <v>622.59</v>
      </c>
      <c r="S4459">
        <v>155.65</v>
      </c>
      <c r="T4459">
        <v>4358.1499999999996</v>
      </c>
      <c r="U4459" t="s">
        <v>1926</v>
      </c>
      <c r="V4459" t="s">
        <v>9408</v>
      </c>
      <c r="W4459" t="s">
        <v>423</v>
      </c>
    </row>
    <row r="4460" spans="1:23" hidden="1" x14ac:dyDescent="0.2">
      <c r="A4460">
        <v>2012</v>
      </c>
      <c r="B4460" t="s">
        <v>303</v>
      </c>
      <c r="C4460" s="733">
        <v>40939</v>
      </c>
      <c r="D44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60" t="s">
        <v>505</v>
      </c>
      <c r="F4460" t="s">
        <v>1915</v>
      </c>
      <c r="G4460" t="s">
        <v>6928</v>
      </c>
      <c r="H4460">
        <v>21696</v>
      </c>
      <c r="I4460" t="s">
        <v>423</v>
      </c>
      <c r="J4460" t="s">
        <v>5253</v>
      </c>
      <c r="K4460" t="s">
        <v>1918</v>
      </c>
      <c r="L4460" t="s">
        <v>1919</v>
      </c>
      <c r="M4460">
        <v>88</v>
      </c>
      <c r="N4460">
        <v>27.02</v>
      </c>
      <c r="O4460">
        <v>3764.43</v>
      </c>
      <c r="P4460">
        <v>0</v>
      </c>
      <c r="Q4460">
        <v>3764.43</v>
      </c>
      <c r="R4460">
        <v>602.30999999999995</v>
      </c>
      <c r="S4460">
        <v>150.58000000000001</v>
      </c>
      <c r="T4460">
        <v>4216.16</v>
      </c>
      <c r="U4460" t="s">
        <v>1924</v>
      </c>
      <c r="V4460" t="s">
        <v>9408</v>
      </c>
      <c r="W4460" t="s">
        <v>423</v>
      </c>
    </row>
    <row r="4461" spans="1:23" hidden="1" x14ac:dyDescent="0.2">
      <c r="A4461">
        <v>2012</v>
      </c>
      <c r="B4461" t="s">
        <v>304</v>
      </c>
      <c r="C4461" s="733">
        <v>40956</v>
      </c>
      <c r="D44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61" t="s">
        <v>485</v>
      </c>
      <c r="F4461" t="s">
        <v>2048</v>
      </c>
      <c r="G4461" t="s">
        <v>7900</v>
      </c>
      <c r="H4461">
        <v>42149</v>
      </c>
      <c r="I4461" t="s">
        <v>423</v>
      </c>
      <c r="J4461" t="s">
        <v>4086</v>
      </c>
      <c r="K4461" t="s">
        <v>2051</v>
      </c>
      <c r="L4461" t="s">
        <v>2052</v>
      </c>
      <c r="M4461">
        <v>341</v>
      </c>
      <c r="N4461">
        <v>54.1</v>
      </c>
      <c r="O4461">
        <v>13230.16</v>
      </c>
      <c r="P4461">
        <v>0</v>
      </c>
      <c r="Q4461">
        <v>13230.16</v>
      </c>
      <c r="R4461">
        <v>2116.8200000000002</v>
      </c>
      <c r="S4461">
        <v>529.21</v>
      </c>
      <c r="T4461">
        <v>14817.77</v>
      </c>
      <c r="U4461" t="s">
        <v>8257</v>
      </c>
      <c r="V4461" t="s">
        <v>9409</v>
      </c>
      <c r="W4461" t="s">
        <v>423</v>
      </c>
    </row>
    <row r="4462" spans="1:23" hidden="1" x14ac:dyDescent="0.2">
      <c r="A4462">
        <v>2012</v>
      </c>
      <c r="B4462" t="s">
        <v>304</v>
      </c>
      <c r="C4462" s="733">
        <v>40949.733449074076</v>
      </c>
      <c r="D44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62" t="s">
        <v>505</v>
      </c>
      <c r="F4462" t="s">
        <v>1915</v>
      </c>
      <c r="G4462" t="s">
        <v>6916</v>
      </c>
      <c r="H4462">
        <v>22642</v>
      </c>
      <c r="I4462" t="s">
        <v>423</v>
      </c>
      <c r="J4462" t="s">
        <v>4158</v>
      </c>
      <c r="K4462" t="s">
        <v>1918</v>
      </c>
      <c r="L4462" t="s">
        <v>1919</v>
      </c>
      <c r="M4462">
        <v>274</v>
      </c>
      <c r="N4462">
        <v>26.77</v>
      </c>
      <c r="O4462">
        <v>7391.2</v>
      </c>
      <c r="P4462">
        <v>0</v>
      </c>
      <c r="Q4462">
        <v>7391.2</v>
      </c>
      <c r="R4462">
        <v>1182.5899999999999</v>
      </c>
      <c r="S4462">
        <v>295.64999999999998</v>
      </c>
      <c r="T4462">
        <v>8278.14</v>
      </c>
      <c r="U4462" t="s">
        <v>7522</v>
      </c>
      <c r="V4462" t="s">
        <v>9408</v>
      </c>
      <c r="W4462" t="s">
        <v>423</v>
      </c>
    </row>
    <row r="4463" spans="1:23" hidden="1" x14ac:dyDescent="0.2">
      <c r="A4463">
        <v>2012</v>
      </c>
      <c r="B4463" t="s">
        <v>303</v>
      </c>
      <c r="C4463" s="733">
        <v>40935</v>
      </c>
      <c r="D44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63" t="s">
        <v>485</v>
      </c>
      <c r="F4463" t="s">
        <v>2048</v>
      </c>
      <c r="G4463" t="s">
        <v>6072</v>
      </c>
      <c r="H4463">
        <v>40983</v>
      </c>
      <c r="I4463" t="s">
        <v>423</v>
      </c>
      <c r="J4463" t="s">
        <v>4086</v>
      </c>
      <c r="K4463" t="s">
        <v>2051</v>
      </c>
      <c r="L4463" t="s">
        <v>2052</v>
      </c>
      <c r="M4463">
        <v>341</v>
      </c>
      <c r="N4463">
        <v>24.4</v>
      </c>
      <c r="O4463">
        <v>5967.02</v>
      </c>
      <c r="P4463">
        <v>0</v>
      </c>
      <c r="Q4463">
        <v>5967.02</v>
      </c>
      <c r="R4463">
        <v>954.72</v>
      </c>
      <c r="S4463">
        <v>238.68</v>
      </c>
      <c r="T4463">
        <v>6683.06</v>
      </c>
      <c r="U4463" t="s">
        <v>2053</v>
      </c>
      <c r="V4463" t="s">
        <v>9408</v>
      </c>
      <c r="W4463" t="s">
        <v>423</v>
      </c>
    </row>
    <row r="4464" spans="1:23" hidden="1" x14ac:dyDescent="0.2">
      <c r="A4464">
        <v>2012</v>
      </c>
      <c r="B4464" t="s">
        <v>303</v>
      </c>
      <c r="C4464" s="733">
        <v>40933</v>
      </c>
      <c r="D44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64" t="s">
        <v>485</v>
      </c>
      <c r="F4464" t="s">
        <v>2048</v>
      </c>
      <c r="G4464" t="s">
        <v>3867</v>
      </c>
      <c r="H4464">
        <v>40875</v>
      </c>
      <c r="I4464" t="s">
        <v>423</v>
      </c>
      <c r="J4464" t="s">
        <v>2972</v>
      </c>
      <c r="K4464" t="s">
        <v>2051</v>
      </c>
      <c r="L4464" t="s">
        <v>2052</v>
      </c>
      <c r="M4464">
        <v>398</v>
      </c>
      <c r="N4464">
        <v>49.6</v>
      </c>
      <c r="O4464">
        <v>13717.87</v>
      </c>
      <c r="P4464">
        <v>0</v>
      </c>
      <c r="Q4464">
        <v>13717.87</v>
      </c>
      <c r="R4464">
        <v>2194.86</v>
      </c>
      <c r="S4464">
        <v>548.71</v>
      </c>
      <c r="T4464">
        <v>15364.02</v>
      </c>
      <c r="U4464" t="s">
        <v>2053</v>
      </c>
      <c r="V4464" t="s">
        <v>9409</v>
      </c>
      <c r="W4464" t="s">
        <v>423</v>
      </c>
    </row>
    <row r="4465" spans="1:23" hidden="1" x14ac:dyDescent="0.2">
      <c r="A4465">
        <v>2012</v>
      </c>
      <c r="B4465" t="s">
        <v>304</v>
      </c>
      <c r="C4465" s="733">
        <v>40962</v>
      </c>
      <c r="D44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65" t="s">
        <v>485</v>
      </c>
      <c r="F4465" t="s">
        <v>2065</v>
      </c>
      <c r="G4465" t="s">
        <v>8685</v>
      </c>
      <c r="H4465">
        <v>42497</v>
      </c>
      <c r="I4465" t="s">
        <v>423</v>
      </c>
      <c r="J4465" t="s">
        <v>3570</v>
      </c>
      <c r="K4465" t="s">
        <v>2051</v>
      </c>
      <c r="L4465" t="s">
        <v>2052</v>
      </c>
      <c r="M4465">
        <v>678</v>
      </c>
      <c r="N4465">
        <v>24.8</v>
      </c>
      <c r="O4465">
        <v>9077.7900000000009</v>
      </c>
      <c r="P4465">
        <v>0</v>
      </c>
      <c r="Q4465">
        <v>9077.7900000000009</v>
      </c>
      <c r="R4465">
        <v>1452.45</v>
      </c>
      <c r="S4465">
        <v>363.11</v>
      </c>
      <c r="T4465">
        <v>10167.129999999999</v>
      </c>
      <c r="U4465" t="s">
        <v>8780</v>
      </c>
      <c r="V4465" t="s">
        <v>9408</v>
      </c>
      <c r="W4465" t="s">
        <v>423</v>
      </c>
    </row>
    <row r="4466" spans="1:23" hidden="1" x14ac:dyDescent="0.2">
      <c r="A4466">
        <v>2012</v>
      </c>
      <c r="B4466" t="s">
        <v>303</v>
      </c>
      <c r="C4466" s="733">
        <v>40924</v>
      </c>
      <c r="D44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66" t="s">
        <v>505</v>
      </c>
      <c r="F4466" t="s">
        <v>1915</v>
      </c>
      <c r="G4466" t="s">
        <v>2014</v>
      </c>
      <c r="H4466">
        <v>21933</v>
      </c>
      <c r="I4466" t="s">
        <v>423</v>
      </c>
      <c r="J4466" t="s">
        <v>1947</v>
      </c>
      <c r="K4466" t="s">
        <v>1918</v>
      </c>
      <c r="L4466" t="s">
        <v>1919</v>
      </c>
      <c r="M4466">
        <v>973</v>
      </c>
      <c r="N4466">
        <v>54.13</v>
      </c>
      <c r="O4466">
        <v>31609.75</v>
      </c>
      <c r="P4466">
        <v>0</v>
      </c>
      <c r="Q4466">
        <v>31609.75</v>
      </c>
      <c r="R4466">
        <v>5057.5600000000004</v>
      </c>
      <c r="S4466">
        <v>1264.3900000000001</v>
      </c>
      <c r="T4466">
        <v>35402.92</v>
      </c>
      <c r="U4466" t="s">
        <v>1931</v>
      </c>
      <c r="V4466" t="s">
        <v>9409</v>
      </c>
      <c r="W4466" t="s">
        <v>423</v>
      </c>
    </row>
    <row r="4467" spans="1:23" hidden="1" x14ac:dyDescent="0.2">
      <c r="A4467">
        <v>2012</v>
      </c>
      <c r="B4467" t="s">
        <v>303</v>
      </c>
      <c r="C4467" s="733">
        <v>40939</v>
      </c>
      <c r="D44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67" t="s">
        <v>505</v>
      </c>
      <c r="F4467" t="s">
        <v>1915</v>
      </c>
      <c r="G4467" t="s">
        <v>2013</v>
      </c>
      <c r="H4467">
        <v>21754</v>
      </c>
      <c r="I4467" t="s">
        <v>423</v>
      </c>
      <c r="J4467" t="s">
        <v>1947</v>
      </c>
      <c r="K4467" t="s">
        <v>1918</v>
      </c>
      <c r="L4467" t="s">
        <v>1919</v>
      </c>
      <c r="M4467">
        <v>973</v>
      </c>
      <c r="N4467">
        <v>27.23</v>
      </c>
      <c r="O4467">
        <v>15901.23</v>
      </c>
      <c r="P4467">
        <v>0</v>
      </c>
      <c r="Q4467">
        <v>15901.23</v>
      </c>
      <c r="R4467">
        <v>2544.1999999999998</v>
      </c>
      <c r="S4467">
        <v>636.04999999999995</v>
      </c>
      <c r="T4467">
        <v>17809.38</v>
      </c>
      <c r="U4467" t="s">
        <v>1936</v>
      </c>
      <c r="V4467" t="s">
        <v>9408</v>
      </c>
      <c r="W4467" t="s">
        <v>423</v>
      </c>
    </row>
    <row r="4468" spans="1:23" hidden="1" x14ac:dyDescent="0.2">
      <c r="A4468">
        <v>2012</v>
      </c>
      <c r="B4468" t="s">
        <v>304</v>
      </c>
      <c r="C4468" s="733">
        <v>40948</v>
      </c>
      <c r="D44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68" t="s">
        <v>505</v>
      </c>
      <c r="F4468" t="s">
        <v>1915</v>
      </c>
      <c r="G4468" t="s">
        <v>6918</v>
      </c>
      <c r="H4468">
        <v>22585</v>
      </c>
      <c r="I4468" t="s">
        <v>423</v>
      </c>
      <c r="J4468" t="s">
        <v>4158</v>
      </c>
      <c r="K4468" t="s">
        <v>1918</v>
      </c>
      <c r="L4468" t="s">
        <v>1919</v>
      </c>
      <c r="M4468">
        <v>274</v>
      </c>
      <c r="N4468">
        <v>27.04</v>
      </c>
      <c r="O4468">
        <v>7465.74</v>
      </c>
      <c r="P4468">
        <v>0</v>
      </c>
      <c r="Q4468">
        <v>7465.74</v>
      </c>
      <c r="R4468">
        <v>1194.52</v>
      </c>
      <c r="S4468">
        <v>298.63</v>
      </c>
      <c r="T4468">
        <v>8361.6299999999992</v>
      </c>
      <c r="U4468" t="s">
        <v>1924</v>
      </c>
      <c r="V4468" t="s">
        <v>9409</v>
      </c>
      <c r="W4468" t="s">
        <v>423</v>
      </c>
    </row>
    <row r="4469" spans="1:23" hidden="1" x14ac:dyDescent="0.2">
      <c r="A4469">
        <v>2012</v>
      </c>
      <c r="B4469" t="s">
        <v>304</v>
      </c>
      <c r="C4469" s="733">
        <v>40963</v>
      </c>
      <c r="D44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69" t="s">
        <v>485</v>
      </c>
      <c r="F4469" t="s">
        <v>2065</v>
      </c>
      <c r="G4469" t="s">
        <v>8684</v>
      </c>
      <c r="H4469">
        <v>42425</v>
      </c>
      <c r="I4469" t="s">
        <v>423</v>
      </c>
      <c r="J4469" t="s">
        <v>3965</v>
      </c>
      <c r="K4469" t="s">
        <v>2183</v>
      </c>
      <c r="L4469" t="s">
        <v>2184</v>
      </c>
      <c r="M4469">
        <v>696</v>
      </c>
      <c r="N4469">
        <v>26.42</v>
      </c>
      <c r="O4469">
        <v>10707.76</v>
      </c>
      <c r="P4469">
        <v>0</v>
      </c>
      <c r="Q4469">
        <v>10707.76</v>
      </c>
      <c r="R4469">
        <v>1713.24</v>
      </c>
      <c r="S4469">
        <v>428.31</v>
      </c>
      <c r="T4469">
        <v>11992.69</v>
      </c>
      <c r="U4469" t="s">
        <v>9411</v>
      </c>
      <c r="V4469" t="s">
        <v>9408</v>
      </c>
      <c r="W4469" t="s">
        <v>423</v>
      </c>
    </row>
    <row r="4470" spans="1:23" hidden="1" x14ac:dyDescent="0.2">
      <c r="A4470">
        <v>2012</v>
      </c>
      <c r="B4470" t="s">
        <v>303</v>
      </c>
      <c r="C4470" s="733">
        <v>40938</v>
      </c>
      <c r="D44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70" t="s">
        <v>485</v>
      </c>
      <c r="F4470" t="s">
        <v>2084</v>
      </c>
      <c r="G4470" t="s">
        <v>3864</v>
      </c>
      <c r="H4470">
        <v>39893</v>
      </c>
      <c r="I4470" t="s">
        <v>423</v>
      </c>
      <c r="J4470" t="s">
        <v>2813</v>
      </c>
      <c r="K4470" t="s">
        <v>2814</v>
      </c>
      <c r="L4470" t="s">
        <v>2815</v>
      </c>
      <c r="M4470">
        <v>365</v>
      </c>
      <c r="N4470">
        <v>23.675999999999998</v>
      </c>
      <c r="O4470">
        <v>6373.11</v>
      </c>
      <c r="P4470">
        <v>0</v>
      </c>
      <c r="Q4470">
        <v>6373.11</v>
      </c>
      <c r="R4470">
        <v>1019.7</v>
      </c>
      <c r="S4470">
        <v>254.92</v>
      </c>
      <c r="T4470">
        <v>7137.89</v>
      </c>
      <c r="U4470" t="s">
        <v>2826</v>
      </c>
      <c r="V4470" t="s">
        <v>9408</v>
      </c>
      <c r="W4470" t="s">
        <v>423</v>
      </c>
    </row>
    <row r="4471" spans="1:23" hidden="1" x14ac:dyDescent="0.2">
      <c r="A4471">
        <v>2012</v>
      </c>
      <c r="B4471" t="s">
        <v>304</v>
      </c>
      <c r="C4471" s="733">
        <v>40940</v>
      </c>
      <c r="D44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71" t="s">
        <v>485</v>
      </c>
      <c r="F4471" t="s">
        <v>2084</v>
      </c>
      <c r="G4471" t="s">
        <v>3982</v>
      </c>
      <c r="H4471">
        <v>40975</v>
      </c>
      <c r="I4471" t="s">
        <v>423</v>
      </c>
      <c r="J4471" t="s">
        <v>2813</v>
      </c>
      <c r="K4471" t="s">
        <v>2814</v>
      </c>
      <c r="L4471" t="s">
        <v>2815</v>
      </c>
      <c r="M4471">
        <v>365</v>
      </c>
      <c r="N4471">
        <v>26.064</v>
      </c>
      <c r="O4471">
        <v>7015.91</v>
      </c>
      <c r="P4471">
        <v>0</v>
      </c>
      <c r="Q4471">
        <v>7015.91</v>
      </c>
      <c r="R4471">
        <v>1122.55</v>
      </c>
      <c r="S4471">
        <v>280.64</v>
      </c>
      <c r="T4471">
        <v>7857.82</v>
      </c>
      <c r="U4471" t="s">
        <v>2826</v>
      </c>
      <c r="V4471" t="s">
        <v>9408</v>
      </c>
      <c r="W4471" t="s">
        <v>423</v>
      </c>
    </row>
    <row r="4472" spans="1:23" hidden="1" x14ac:dyDescent="0.2">
      <c r="A4472">
        <v>2012</v>
      </c>
      <c r="B4472" t="s">
        <v>304</v>
      </c>
      <c r="C4472" s="733">
        <v>40940</v>
      </c>
      <c r="D44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72" t="s">
        <v>485</v>
      </c>
      <c r="F4472" t="s">
        <v>2084</v>
      </c>
      <c r="G4472" t="s">
        <v>3863</v>
      </c>
      <c r="H4472">
        <v>41044</v>
      </c>
      <c r="I4472" t="s">
        <v>423</v>
      </c>
      <c r="J4472" t="s">
        <v>2813</v>
      </c>
      <c r="K4472" t="s">
        <v>2814</v>
      </c>
      <c r="L4472" t="s">
        <v>2815</v>
      </c>
      <c r="M4472">
        <v>365</v>
      </c>
      <c r="N4472">
        <v>23.936</v>
      </c>
      <c r="O4472">
        <v>6443.09</v>
      </c>
      <c r="P4472">
        <v>0</v>
      </c>
      <c r="Q4472">
        <v>6443.09</v>
      </c>
      <c r="R4472">
        <v>1030.8900000000001</v>
      </c>
      <c r="S4472">
        <v>257.72000000000003</v>
      </c>
      <c r="T4472">
        <v>7216.26</v>
      </c>
      <c r="U4472" t="s">
        <v>8522</v>
      </c>
      <c r="V4472" t="s">
        <v>9408</v>
      </c>
      <c r="W4472" t="s">
        <v>423</v>
      </c>
    </row>
    <row r="4473" spans="1:23" hidden="1" x14ac:dyDescent="0.2">
      <c r="A4473">
        <v>2012</v>
      </c>
      <c r="B4473" t="s">
        <v>304</v>
      </c>
      <c r="C4473" s="733">
        <v>40960</v>
      </c>
      <c r="D44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73" t="s">
        <v>478</v>
      </c>
      <c r="F4473" t="s">
        <v>2136</v>
      </c>
      <c r="G4473" t="s">
        <v>8408</v>
      </c>
      <c r="H4473">
        <v>35728</v>
      </c>
      <c r="I4473" t="s">
        <v>423</v>
      </c>
      <c r="J4473" t="s">
        <v>4291</v>
      </c>
      <c r="K4473" t="s">
        <v>425</v>
      </c>
      <c r="L4473" t="s">
        <v>2145</v>
      </c>
      <c r="M4473">
        <v>163</v>
      </c>
      <c r="N4473">
        <v>25.81</v>
      </c>
      <c r="O4473">
        <v>4586.7</v>
      </c>
      <c r="P4473">
        <v>0</v>
      </c>
      <c r="Q4473">
        <v>4586.7</v>
      </c>
      <c r="R4473">
        <v>733.87</v>
      </c>
      <c r="S4473">
        <v>183.47</v>
      </c>
      <c r="T4473">
        <v>5137.1000000000004</v>
      </c>
      <c r="U4473" t="s">
        <v>8312</v>
      </c>
      <c r="V4473" t="s">
        <v>9408</v>
      </c>
      <c r="W4473" t="s">
        <v>423</v>
      </c>
    </row>
    <row r="4474" spans="1:23" hidden="1" x14ac:dyDescent="0.2">
      <c r="A4474">
        <v>2012</v>
      </c>
      <c r="B4474" t="s">
        <v>304</v>
      </c>
      <c r="C4474" s="733">
        <v>40947</v>
      </c>
      <c r="D44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74" t="s">
        <v>505</v>
      </c>
      <c r="F4474" t="s">
        <v>1915</v>
      </c>
      <c r="G4474" t="s">
        <v>4757</v>
      </c>
      <c r="H4474">
        <v>21815</v>
      </c>
      <c r="I4474" t="s">
        <v>423</v>
      </c>
      <c r="J4474" t="s">
        <v>4140</v>
      </c>
      <c r="K4474" t="s">
        <v>1918</v>
      </c>
      <c r="L4474" t="s">
        <v>1919</v>
      </c>
      <c r="M4474">
        <v>1</v>
      </c>
      <c r="N4474">
        <v>25.07</v>
      </c>
      <c r="O4474">
        <v>2421.2600000000002</v>
      </c>
      <c r="P4474">
        <v>0</v>
      </c>
      <c r="Q4474">
        <v>2421.2600000000002</v>
      </c>
      <c r="R4474">
        <v>387.4</v>
      </c>
      <c r="S4474">
        <v>96.85</v>
      </c>
      <c r="T4474">
        <v>2711.81</v>
      </c>
      <c r="U4474" t="s">
        <v>1924</v>
      </c>
      <c r="V4474" t="s">
        <v>9408</v>
      </c>
      <c r="W4474" t="s">
        <v>423</v>
      </c>
    </row>
    <row r="4475" spans="1:23" hidden="1" x14ac:dyDescent="0.2">
      <c r="A4475">
        <v>2012</v>
      </c>
      <c r="B4475" t="s">
        <v>303</v>
      </c>
      <c r="C4475" s="733">
        <v>40910</v>
      </c>
      <c r="D44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75" t="s">
        <v>478</v>
      </c>
      <c r="F4475" t="s">
        <v>2622</v>
      </c>
      <c r="G4475" t="s">
        <v>4434</v>
      </c>
      <c r="H4475">
        <v>34178</v>
      </c>
      <c r="I4475" t="s">
        <v>423</v>
      </c>
      <c r="J4475" t="s">
        <v>2644</v>
      </c>
      <c r="K4475" t="s">
        <v>2625</v>
      </c>
      <c r="L4475" t="s">
        <v>2145</v>
      </c>
      <c r="M4475">
        <v>52</v>
      </c>
      <c r="N4475">
        <v>24.53</v>
      </c>
      <c r="O4475">
        <v>1430.59</v>
      </c>
      <c r="P4475">
        <v>1154.0712590000001</v>
      </c>
      <c r="Q4475">
        <v>2584.661259</v>
      </c>
      <c r="R4475">
        <v>413.54580099999998</v>
      </c>
      <c r="S4475">
        <v>103.38645</v>
      </c>
      <c r="T4475">
        <v>2894.8206100000002</v>
      </c>
      <c r="U4475" t="s">
        <v>2660</v>
      </c>
      <c r="V4475" t="s">
        <v>9408</v>
      </c>
      <c r="W4475" t="s">
        <v>423</v>
      </c>
    </row>
    <row r="4476" spans="1:23" hidden="1" x14ac:dyDescent="0.2">
      <c r="A4476">
        <v>2012</v>
      </c>
      <c r="B4476" t="s">
        <v>303</v>
      </c>
      <c r="C4476" s="733">
        <v>40939.446770833332</v>
      </c>
      <c r="D44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76" t="s">
        <v>478</v>
      </c>
      <c r="F4476" t="s">
        <v>2622</v>
      </c>
      <c r="G4476" t="s">
        <v>4433</v>
      </c>
      <c r="H4476">
        <v>35092</v>
      </c>
      <c r="I4476" t="s">
        <v>423</v>
      </c>
      <c r="J4476" t="s">
        <v>2644</v>
      </c>
      <c r="K4476" t="s">
        <v>2625</v>
      </c>
      <c r="L4476" t="s">
        <v>2626</v>
      </c>
      <c r="M4476">
        <v>52</v>
      </c>
      <c r="N4476">
        <v>25.61</v>
      </c>
      <c r="O4476">
        <v>3015.07</v>
      </c>
      <c r="P4476">
        <v>0</v>
      </c>
      <c r="Q4476">
        <v>3015.07</v>
      </c>
      <c r="R4476">
        <v>482.41</v>
      </c>
      <c r="S4476">
        <v>120.6</v>
      </c>
      <c r="T4476">
        <v>3376.88</v>
      </c>
      <c r="U4476" t="s">
        <v>2648</v>
      </c>
      <c r="V4476" t="s">
        <v>9408</v>
      </c>
      <c r="W4476" t="s">
        <v>423</v>
      </c>
    </row>
    <row r="4477" spans="1:23" hidden="1" x14ac:dyDescent="0.2">
      <c r="A4477">
        <v>2012</v>
      </c>
      <c r="B4477" t="s">
        <v>303</v>
      </c>
      <c r="C4477" s="733">
        <v>40934</v>
      </c>
      <c r="D44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77" t="s">
        <v>478</v>
      </c>
      <c r="F4477" t="s">
        <v>2622</v>
      </c>
      <c r="G4477" t="s">
        <v>4646</v>
      </c>
      <c r="H4477">
        <v>34866</v>
      </c>
      <c r="I4477" t="s">
        <v>423</v>
      </c>
      <c r="J4477" t="s">
        <v>2624</v>
      </c>
      <c r="K4477" t="s">
        <v>2625</v>
      </c>
      <c r="L4477" t="s">
        <v>2626</v>
      </c>
      <c r="M4477">
        <v>10</v>
      </c>
      <c r="N4477">
        <v>26.31</v>
      </c>
      <c r="O4477">
        <v>3097.48</v>
      </c>
      <c r="P4477">
        <v>0</v>
      </c>
      <c r="Q4477">
        <v>3097.48</v>
      </c>
      <c r="R4477">
        <v>495.6</v>
      </c>
      <c r="S4477">
        <v>123.9</v>
      </c>
      <c r="T4477">
        <v>3469.18</v>
      </c>
      <c r="U4477" t="s">
        <v>2633</v>
      </c>
      <c r="V4477" t="s">
        <v>9408</v>
      </c>
      <c r="W4477" t="s">
        <v>423</v>
      </c>
    </row>
    <row r="4478" spans="1:23" hidden="1" x14ac:dyDescent="0.2">
      <c r="A4478">
        <v>2012</v>
      </c>
      <c r="B4478" t="s">
        <v>304</v>
      </c>
      <c r="C4478" s="733">
        <v>40940</v>
      </c>
      <c r="D44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78" t="s">
        <v>478</v>
      </c>
      <c r="F4478" t="s">
        <v>2136</v>
      </c>
      <c r="G4478" t="s">
        <v>5169</v>
      </c>
      <c r="H4478">
        <v>35035</v>
      </c>
      <c r="I4478" t="s">
        <v>423</v>
      </c>
      <c r="J4478" t="s">
        <v>3638</v>
      </c>
      <c r="K4478" t="s">
        <v>425</v>
      </c>
      <c r="L4478" t="s">
        <v>2145</v>
      </c>
      <c r="M4478">
        <v>1416</v>
      </c>
      <c r="N4478">
        <v>47.8</v>
      </c>
      <c r="O4478">
        <v>43344.56</v>
      </c>
      <c r="P4478">
        <v>0</v>
      </c>
      <c r="Q4478">
        <v>43344.56</v>
      </c>
      <c r="R4478">
        <v>6935.13</v>
      </c>
      <c r="S4478">
        <v>1733.78</v>
      </c>
      <c r="T4478">
        <v>48545.91</v>
      </c>
      <c r="U4478" t="s">
        <v>2914</v>
      </c>
      <c r="V4478" t="s">
        <v>9409</v>
      </c>
      <c r="W4478" t="s">
        <v>423</v>
      </c>
    </row>
    <row r="4479" spans="1:23" hidden="1" x14ac:dyDescent="0.2">
      <c r="A4479">
        <v>2012</v>
      </c>
      <c r="B4479" t="s">
        <v>304</v>
      </c>
      <c r="C4479" s="733">
        <v>40961</v>
      </c>
      <c r="D44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79" t="s">
        <v>478</v>
      </c>
      <c r="F4479" t="s">
        <v>2136</v>
      </c>
      <c r="G4479" t="s">
        <v>8433</v>
      </c>
      <c r="H4479">
        <v>35924</v>
      </c>
      <c r="I4479" t="s">
        <v>423</v>
      </c>
      <c r="J4479" t="s">
        <v>3638</v>
      </c>
      <c r="K4479" t="s">
        <v>425</v>
      </c>
      <c r="L4479" t="s">
        <v>2145</v>
      </c>
      <c r="M4479">
        <v>1416</v>
      </c>
      <c r="N4479">
        <v>25.73</v>
      </c>
      <c r="O4479">
        <v>23331.71</v>
      </c>
      <c r="P4479">
        <v>0</v>
      </c>
      <c r="Q4479">
        <v>23331.71</v>
      </c>
      <c r="R4479">
        <v>3733.07</v>
      </c>
      <c r="S4479">
        <v>933.27</v>
      </c>
      <c r="T4479">
        <v>26131.51</v>
      </c>
      <c r="U4479" t="s">
        <v>9430</v>
      </c>
      <c r="V4479" t="s">
        <v>9408</v>
      </c>
      <c r="W4479" t="s">
        <v>423</v>
      </c>
    </row>
    <row r="4480" spans="1:23" hidden="1" x14ac:dyDescent="0.2">
      <c r="A4480">
        <v>2012</v>
      </c>
      <c r="B4480" t="s">
        <v>303</v>
      </c>
      <c r="C4480" s="733">
        <v>40938</v>
      </c>
      <c r="D44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80" t="s">
        <v>478</v>
      </c>
      <c r="F4480" t="s">
        <v>2136</v>
      </c>
      <c r="G4480" t="s">
        <v>5171</v>
      </c>
      <c r="H4480">
        <v>34995</v>
      </c>
      <c r="I4480" t="s">
        <v>423</v>
      </c>
      <c r="J4480" t="s">
        <v>3638</v>
      </c>
      <c r="K4480" t="s">
        <v>425</v>
      </c>
      <c r="L4480" t="s">
        <v>2145</v>
      </c>
      <c r="M4480">
        <v>1416</v>
      </c>
      <c r="N4480">
        <v>49.53</v>
      </c>
      <c r="O4480">
        <v>44913.31</v>
      </c>
      <c r="P4480">
        <v>0</v>
      </c>
      <c r="Q4480">
        <v>44913.31</v>
      </c>
      <c r="R4480">
        <v>7186.13</v>
      </c>
      <c r="S4480">
        <v>1796.53</v>
      </c>
      <c r="T4480">
        <v>50302.91</v>
      </c>
      <c r="U4480" t="s">
        <v>2914</v>
      </c>
      <c r="V4480" t="s">
        <v>9409</v>
      </c>
      <c r="W4480" t="s">
        <v>423</v>
      </c>
    </row>
    <row r="4481" spans="1:23" hidden="1" x14ac:dyDescent="0.2">
      <c r="A4481">
        <v>2012</v>
      </c>
      <c r="B4481" t="s">
        <v>303</v>
      </c>
      <c r="C4481" s="733">
        <v>40933</v>
      </c>
      <c r="D44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81" t="s">
        <v>478</v>
      </c>
      <c r="F4481" t="s">
        <v>2136</v>
      </c>
      <c r="G4481" t="s">
        <v>5170</v>
      </c>
      <c r="H4481">
        <v>34795</v>
      </c>
      <c r="I4481" t="s">
        <v>423</v>
      </c>
      <c r="J4481" t="s">
        <v>3638</v>
      </c>
      <c r="K4481" t="s">
        <v>425</v>
      </c>
      <c r="L4481" t="s">
        <v>2145</v>
      </c>
      <c r="M4481">
        <v>1416</v>
      </c>
      <c r="N4481">
        <v>54.57</v>
      </c>
      <c r="O4481">
        <v>49483.53</v>
      </c>
      <c r="P4481">
        <v>0</v>
      </c>
      <c r="Q4481">
        <v>49483.53</v>
      </c>
      <c r="R4481">
        <v>7917.36</v>
      </c>
      <c r="S4481">
        <v>1979.34</v>
      </c>
      <c r="T4481">
        <v>55421.55</v>
      </c>
      <c r="U4481" t="s">
        <v>3234</v>
      </c>
      <c r="V4481" t="s">
        <v>9409</v>
      </c>
      <c r="W4481" t="s">
        <v>423</v>
      </c>
    </row>
    <row r="4482" spans="1:23" x14ac:dyDescent="0.2">
      <c r="A4482">
        <v>2012</v>
      </c>
      <c r="B4482" t="s">
        <v>304</v>
      </c>
      <c r="C4482" s="733">
        <v>40967</v>
      </c>
      <c r="D44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82" t="s">
        <v>485</v>
      </c>
      <c r="F4482" t="s">
        <v>2048</v>
      </c>
      <c r="G4482" t="s">
        <v>9363</v>
      </c>
      <c r="H4482">
        <v>42715</v>
      </c>
      <c r="I4482" t="s">
        <v>423</v>
      </c>
      <c r="J4482" t="s">
        <v>2274</v>
      </c>
      <c r="K4482" t="s">
        <v>2051</v>
      </c>
      <c r="L4482" t="s">
        <v>2052</v>
      </c>
      <c r="M4482">
        <v>573</v>
      </c>
      <c r="N4482">
        <v>24.95</v>
      </c>
      <c r="O4482">
        <v>8096.28</v>
      </c>
      <c r="P4482">
        <v>0</v>
      </c>
      <c r="Q4482">
        <v>8096.28</v>
      </c>
      <c r="R4482">
        <v>1295.4000000000001</v>
      </c>
      <c r="S4482">
        <v>323.85000000000002</v>
      </c>
      <c r="T4482">
        <v>9067.83</v>
      </c>
      <c r="V4482" t="s">
        <v>9408</v>
      </c>
      <c r="W4482" t="s">
        <v>423</v>
      </c>
    </row>
    <row r="4483" spans="1:23" hidden="1" x14ac:dyDescent="0.2">
      <c r="A4483">
        <v>2012</v>
      </c>
      <c r="B4483" t="s">
        <v>304</v>
      </c>
      <c r="C4483" s="733">
        <v>40960</v>
      </c>
      <c r="D44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83" t="s">
        <v>478</v>
      </c>
      <c r="F4483" t="s">
        <v>2622</v>
      </c>
      <c r="G4483" t="s">
        <v>8442</v>
      </c>
      <c r="H4483">
        <v>35614</v>
      </c>
      <c r="I4483" t="s">
        <v>423</v>
      </c>
      <c r="J4483" t="s">
        <v>4291</v>
      </c>
      <c r="K4483" t="s">
        <v>425</v>
      </c>
      <c r="L4483" t="s">
        <v>2145</v>
      </c>
      <c r="M4483">
        <v>163</v>
      </c>
      <c r="N4483">
        <v>24.42</v>
      </c>
      <c r="O4483">
        <v>4339.68</v>
      </c>
      <c r="P4483">
        <v>0</v>
      </c>
      <c r="Q4483">
        <v>4339.68</v>
      </c>
      <c r="R4483">
        <v>694.35</v>
      </c>
      <c r="S4483">
        <v>173.59</v>
      </c>
      <c r="T4483">
        <v>4860.4399999999996</v>
      </c>
      <c r="U4483" t="s">
        <v>8510</v>
      </c>
      <c r="V4483" t="s">
        <v>9408</v>
      </c>
      <c r="W4483" t="s">
        <v>423</v>
      </c>
    </row>
    <row r="4484" spans="1:23" hidden="1" x14ac:dyDescent="0.2">
      <c r="A4484">
        <v>2012</v>
      </c>
      <c r="B4484" t="s">
        <v>304</v>
      </c>
      <c r="C4484" s="733">
        <v>40963</v>
      </c>
      <c r="D44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84" t="s">
        <v>478</v>
      </c>
      <c r="F4484" t="s">
        <v>2622</v>
      </c>
      <c r="G4484" t="s">
        <v>9364</v>
      </c>
      <c r="H4484">
        <v>35885</v>
      </c>
      <c r="I4484" t="s">
        <v>423</v>
      </c>
      <c r="J4484" t="s">
        <v>2644</v>
      </c>
      <c r="K4484" t="s">
        <v>2625</v>
      </c>
      <c r="L4484" t="s">
        <v>2145</v>
      </c>
      <c r="M4484">
        <v>52</v>
      </c>
      <c r="N4484">
        <v>20.83</v>
      </c>
      <c r="O4484">
        <v>2452.3200000000002</v>
      </c>
      <c r="P4484">
        <v>0</v>
      </c>
      <c r="Q4484">
        <v>2452.3200000000002</v>
      </c>
      <c r="R4484">
        <v>392.37</v>
      </c>
      <c r="S4484">
        <v>98.09</v>
      </c>
      <c r="T4484">
        <v>2746.6</v>
      </c>
      <c r="U4484" t="s">
        <v>9428</v>
      </c>
      <c r="V4484" t="s">
        <v>9408</v>
      </c>
      <c r="W4484" t="s">
        <v>423</v>
      </c>
    </row>
    <row r="4485" spans="1:23" hidden="1" x14ac:dyDescent="0.2">
      <c r="A4485">
        <v>2012</v>
      </c>
      <c r="B4485" t="s">
        <v>303</v>
      </c>
      <c r="C4485" s="733">
        <v>40924.946655092594</v>
      </c>
      <c r="D44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85" t="s">
        <v>478</v>
      </c>
      <c r="F4485" t="s">
        <v>2622</v>
      </c>
      <c r="G4485" t="s">
        <v>4649</v>
      </c>
      <c r="H4485">
        <v>34577</v>
      </c>
      <c r="I4485" t="s">
        <v>423</v>
      </c>
      <c r="J4485" t="s">
        <v>2644</v>
      </c>
      <c r="K4485" t="s">
        <v>2625</v>
      </c>
      <c r="L4485" t="s">
        <v>2626</v>
      </c>
      <c r="M4485">
        <v>52</v>
      </c>
      <c r="N4485">
        <v>23.93</v>
      </c>
      <c r="O4485">
        <v>2817.28</v>
      </c>
      <c r="P4485">
        <v>0</v>
      </c>
      <c r="Q4485">
        <v>2817.28</v>
      </c>
      <c r="R4485">
        <v>450.76</v>
      </c>
      <c r="S4485">
        <v>112.69</v>
      </c>
      <c r="T4485">
        <v>3155.35</v>
      </c>
      <c r="U4485" t="s">
        <v>2630</v>
      </c>
      <c r="V4485" t="s">
        <v>9408</v>
      </c>
      <c r="W4485" t="s">
        <v>423</v>
      </c>
    </row>
    <row r="4486" spans="1:23" hidden="1" x14ac:dyDescent="0.2">
      <c r="A4486">
        <v>2012</v>
      </c>
      <c r="B4486" t="s">
        <v>304</v>
      </c>
      <c r="C4486" s="733">
        <v>40963</v>
      </c>
      <c r="D44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86" t="s">
        <v>478</v>
      </c>
      <c r="F4486" t="s">
        <v>2622</v>
      </c>
      <c r="G4486" t="s">
        <v>9351</v>
      </c>
      <c r="H4486">
        <v>35873</v>
      </c>
      <c r="I4486" t="s">
        <v>423</v>
      </c>
      <c r="J4486" t="s">
        <v>2644</v>
      </c>
      <c r="K4486" t="s">
        <v>2625</v>
      </c>
      <c r="L4486" t="s">
        <v>2626</v>
      </c>
      <c r="M4486">
        <v>52</v>
      </c>
      <c r="N4486">
        <v>23.58</v>
      </c>
      <c r="O4486">
        <v>2776.07</v>
      </c>
      <c r="P4486">
        <v>0</v>
      </c>
      <c r="Q4486">
        <v>2776.07</v>
      </c>
      <c r="R4486">
        <v>444.17</v>
      </c>
      <c r="S4486">
        <v>111.04</v>
      </c>
      <c r="T4486">
        <v>3109.2</v>
      </c>
      <c r="U4486" t="s">
        <v>9428</v>
      </c>
      <c r="V4486" t="s">
        <v>9408</v>
      </c>
      <c r="W4486" t="s">
        <v>423</v>
      </c>
    </row>
    <row r="4487" spans="1:23" hidden="1" x14ac:dyDescent="0.2">
      <c r="A4487">
        <v>2012</v>
      </c>
      <c r="B4487" t="s">
        <v>304</v>
      </c>
      <c r="C4487" s="733">
        <v>40967.372384259259</v>
      </c>
      <c r="D44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87" t="s">
        <v>478</v>
      </c>
      <c r="F4487" t="s">
        <v>2136</v>
      </c>
      <c r="G4487" t="s">
        <v>9352</v>
      </c>
      <c r="H4487">
        <v>36147</v>
      </c>
      <c r="I4487" t="s">
        <v>423</v>
      </c>
      <c r="J4487" t="s">
        <v>2644</v>
      </c>
      <c r="K4487" t="s">
        <v>2625</v>
      </c>
      <c r="L4487" t="s">
        <v>2626</v>
      </c>
      <c r="M4487">
        <v>52</v>
      </c>
      <c r="N4487">
        <v>23.01</v>
      </c>
      <c r="O4487">
        <v>2708.97</v>
      </c>
      <c r="P4487">
        <v>0</v>
      </c>
      <c r="Q4487">
        <v>2708.97</v>
      </c>
      <c r="R4487">
        <v>433.43</v>
      </c>
      <c r="S4487">
        <v>108.36</v>
      </c>
      <c r="T4487">
        <v>3034.04</v>
      </c>
      <c r="U4487" t="s">
        <v>9428</v>
      </c>
      <c r="V4487" t="s">
        <v>9408</v>
      </c>
      <c r="W4487" t="s">
        <v>423</v>
      </c>
    </row>
    <row r="4488" spans="1:23" hidden="1" x14ac:dyDescent="0.2">
      <c r="A4488">
        <v>2012</v>
      </c>
      <c r="B4488" t="s">
        <v>304</v>
      </c>
      <c r="C4488" s="733">
        <v>40953</v>
      </c>
      <c r="D44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88" t="s">
        <v>485</v>
      </c>
      <c r="F4488" t="s">
        <v>2054</v>
      </c>
      <c r="G4488" t="s">
        <v>5152</v>
      </c>
      <c r="H4488">
        <v>41879</v>
      </c>
      <c r="I4488" t="s">
        <v>423</v>
      </c>
      <c r="J4488" t="s">
        <v>2274</v>
      </c>
      <c r="K4488" t="s">
        <v>2051</v>
      </c>
      <c r="L4488" t="s">
        <v>2052</v>
      </c>
      <c r="M4488">
        <v>573</v>
      </c>
      <c r="N4488">
        <v>26.15</v>
      </c>
      <c r="O4488">
        <v>8485.68</v>
      </c>
      <c r="P4488">
        <v>0</v>
      </c>
      <c r="Q4488">
        <v>8485.68</v>
      </c>
      <c r="R4488">
        <v>1357.71</v>
      </c>
      <c r="S4488">
        <v>339.43</v>
      </c>
      <c r="T4488">
        <v>9503.9599999999991</v>
      </c>
      <c r="U4488" t="s">
        <v>8257</v>
      </c>
      <c r="V4488" t="s">
        <v>9408</v>
      </c>
      <c r="W4488" t="s">
        <v>423</v>
      </c>
    </row>
    <row r="4489" spans="1:23" hidden="1" x14ac:dyDescent="0.2">
      <c r="A4489">
        <v>2012</v>
      </c>
      <c r="B4489" t="s">
        <v>304</v>
      </c>
      <c r="C4489" s="733">
        <v>40964</v>
      </c>
      <c r="D44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89" t="s">
        <v>505</v>
      </c>
      <c r="F4489" t="s">
        <v>1915</v>
      </c>
      <c r="G4489" t="s">
        <v>8733</v>
      </c>
      <c r="H4489">
        <v>22964</v>
      </c>
      <c r="I4489" t="s">
        <v>423</v>
      </c>
      <c r="J4489" t="s">
        <v>4140</v>
      </c>
      <c r="K4489" t="s">
        <v>1918</v>
      </c>
      <c r="L4489" t="s">
        <v>1919</v>
      </c>
      <c r="M4489">
        <v>1</v>
      </c>
      <c r="N4489">
        <v>25.21</v>
      </c>
      <c r="O4489">
        <v>2434.7800000000002</v>
      </c>
      <c r="P4489">
        <v>0</v>
      </c>
      <c r="Q4489">
        <v>2434.7800000000002</v>
      </c>
      <c r="R4489">
        <v>389.57</v>
      </c>
      <c r="S4489">
        <v>97.39</v>
      </c>
      <c r="T4489">
        <v>2726.96</v>
      </c>
      <c r="U4489" t="s">
        <v>9415</v>
      </c>
      <c r="V4489" t="s">
        <v>9408</v>
      </c>
      <c r="W4489" t="s">
        <v>423</v>
      </c>
    </row>
    <row r="4490" spans="1:23" hidden="1" x14ac:dyDescent="0.2">
      <c r="A4490">
        <v>2012</v>
      </c>
      <c r="B4490" t="s">
        <v>304</v>
      </c>
      <c r="C4490" s="733">
        <v>40942</v>
      </c>
      <c r="D44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90" t="s">
        <v>505</v>
      </c>
      <c r="F4490" t="s">
        <v>1915</v>
      </c>
      <c r="G4490" t="s">
        <v>5515</v>
      </c>
      <c r="H4490">
        <v>22436</v>
      </c>
      <c r="I4490" t="s">
        <v>423</v>
      </c>
      <c r="J4490" t="s">
        <v>4140</v>
      </c>
      <c r="K4490" t="s">
        <v>1918</v>
      </c>
      <c r="L4490" t="s">
        <v>1919</v>
      </c>
      <c r="M4490">
        <v>1</v>
      </c>
      <c r="N4490">
        <v>26.77</v>
      </c>
      <c r="O4490">
        <v>2585.4499999999998</v>
      </c>
      <c r="P4490">
        <v>0</v>
      </c>
      <c r="Q4490">
        <v>2585.4499999999998</v>
      </c>
      <c r="R4490">
        <v>413.67</v>
      </c>
      <c r="S4490">
        <v>103.42</v>
      </c>
      <c r="T4490">
        <v>2895.7</v>
      </c>
      <c r="U4490" t="s">
        <v>1924</v>
      </c>
      <c r="V4490" t="s">
        <v>9408</v>
      </c>
      <c r="W4490" t="s">
        <v>423</v>
      </c>
    </row>
    <row r="4491" spans="1:23" hidden="1" x14ac:dyDescent="0.2">
      <c r="A4491">
        <v>2012</v>
      </c>
      <c r="B4491" t="s">
        <v>303</v>
      </c>
      <c r="C4491" s="733">
        <v>40917</v>
      </c>
      <c r="D44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91" t="s">
        <v>505</v>
      </c>
      <c r="F4491" t="s">
        <v>1915</v>
      </c>
      <c r="G4491" t="s">
        <v>5513</v>
      </c>
      <c r="H4491">
        <v>21838</v>
      </c>
      <c r="I4491" t="s">
        <v>423</v>
      </c>
      <c r="J4491" t="s">
        <v>5285</v>
      </c>
      <c r="K4491" t="s">
        <v>1918</v>
      </c>
      <c r="L4491" t="s">
        <v>1919</v>
      </c>
      <c r="M4491">
        <v>433</v>
      </c>
      <c r="N4491">
        <v>24.71</v>
      </c>
      <c r="O4491">
        <v>7807.87</v>
      </c>
      <c r="P4491">
        <v>0</v>
      </c>
      <c r="Q4491">
        <v>7807.87</v>
      </c>
      <c r="R4491">
        <v>1249.26</v>
      </c>
      <c r="S4491">
        <v>312.31</v>
      </c>
      <c r="T4491">
        <v>8744.82</v>
      </c>
      <c r="U4491" t="s">
        <v>1931</v>
      </c>
      <c r="V4491" t="s">
        <v>9408</v>
      </c>
      <c r="W4491" t="s">
        <v>423</v>
      </c>
    </row>
    <row r="4492" spans="1:23" hidden="1" x14ac:dyDescent="0.2">
      <c r="A4492">
        <v>2012</v>
      </c>
      <c r="B4492" t="s">
        <v>303</v>
      </c>
      <c r="C4492" s="733">
        <v>40933</v>
      </c>
      <c r="D44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92" t="s">
        <v>485</v>
      </c>
      <c r="F4492" t="s">
        <v>3450</v>
      </c>
      <c r="G4492" t="s">
        <v>4229</v>
      </c>
      <c r="H4492">
        <v>40614</v>
      </c>
      <c r="I4492" t="s">
        <v>423</v>
      </c>
      <c r="J4492" t="s">
        <v>4230</v>
      </c>
      <c r="K4492" t="s">
        <v>3453</v>
      </c>
      <c r="L4492" t="s">
        <v>3454</v>
      </c>
      <c r="M4492">
        <v>341</v>
      </c>
      <c r="N4492">
        <v>26.75</v>
      </c>
      <c r="O4492">
        <v>7212.6</v>
      </c>
      <c r="P4492">
        <v>0</v>
      </c>
      <c r="Q4492">
        <v>7212.6</v>
      </c>
      <c r="R4492">
        <v>1154.02</v>
      </c>
      <c r="S4492">
        <v>288.5</v>
      </c>
      <c r="T4492">
        <v>8078.12</v>
      </c>
      <c r="U4492" t="s">
        <v>3459</v>
      </c>
      <c r="V4492" t="s">
        <v>9408</v>
      </c>
      <c r="W4492" t="s">
        <v>423</v>
      </c>
    </row>
    <row r="4493" spans="1:23" hidden="1" x14ac:dyDescent="0.2">
      <c r="A4493">
        <v>2012</v>
      </c>
      <c r="B4493" t="s">
        <v>305</v>
      </c>
      <c r="C4493" s="733">
        <v>40973</v>
      </c>
      <c r="D4493" s="733" t="str">
        <f>CHOOSE(MONTH(Tabla_sqldatos_bonampakdb_Bon_v_ingresos2012[[#This Row],[fecha_guia]]),"Enero","Febrero","Marzo","Abril","Mayo","Junio","Julio","Agosto","Septiembre","Octubre","Noviembre","Diciembre")</f>
        <v>Marzo</v>
      </c>
      <c r="E4493" t="s">
        <v>505</v>
      </c>
      <c r="F4493" t="s">
        <v>1915</v>
      </c>
      <c r="G4493" t="s">
        <v>9733</v>
      </c>
      <c r="H4493">
        <v>23139</v>
      </c>
      <c r="I4493" t="s">
        <v>423</v>
      </c>
      <c r="J4493" t="s">
        <v>5285</v>
      </c>
      <c r="K4493" t="s">
        <v>1918</v>
      </c>
      <c r="L4493" t="s">
        <v>1919</v>
      </c>
      <c r="M4493">
        <v>433</v>
      </c>
      <c r="N4493">
        <v>24.84</v>
      </c>
      <c r="O4493">
        <v>7848.94</v>
      </c>
      <c r="P4493">
        <v>0</v>
      </c>
      <c r="Q4493">
        <v>7848.94</v>
      </c>
      <c r="R4493">
        <v>1255.83</v>
      </c>
      <c r="S4493">
        <v>313.95999999999998</v>
      </c>
      <c r="T4493">
        <v>8790.81</v>
      </c>
      <c r="V4493" t="s">
        <v>9408</v>
      </c>
      <c r="W4493" t="s">
        <v>423</v>
      </c>
    </row>
    <row r="4494" spans="1:23" hidden="1" x14ac:dyDescent="0.2">
      <c r="A4494">
        <v>2012</v>
      </c>
      <c r="B4494" t="s">
        <v>304</v>
      </c>
      <c r="C4494" s="733">
        <v>40959</v>
      </c>
      <c r="D44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94" t="s">
        <v>505</v>
      </c>
      <c r="F4494" t="s">
        <v>1915</v>
      </c>
      <c r="G4494" t="s">
        <v>7519</v>
      </c>
      <c r="H4494">
        <v>22848</v>
      </c>
      <c r="I4494" t="s">
        <v>423</v>
      </c>
      <c r="J4494" t="s">
        <v>4140</v>
      </c>
      <c r="K4494" t="s">
        <v>1918</v>
      </c>
      <c r="L4494" t="s">
        <v>1919</v>
      </c>
      <c r="M4494">
        <v>1</v>
      </c>
      <c r="N4494">
        <v>25.03</v>
      </c>
      <c r="O4494">
        <v>2417.4</v>
      </c>
      <c r="P4494">
        <v>0</v>
      </c>
      <c r="Q4494">
        <v>2417.4</v>
      </c>
      <c r="R4494">
        <v>386.78</v>
      </c>
      <c r="S4494">
        <v>96.7</v>
      </c>
      <c r="T4494">
        <v>2707.48</v>
      </c>
      <c r="U4494" t="s">
        <v>8491</v>
      </c>
      <c r="V4494" t="s">
        <v>9408</v>
      </c>
      <c r="W4494" t="s">
        <v>423</v>
      </c>
    </row>
    <row r="4495" spans="1:23" hidden="1" x14ac:dyDescent="0.2">
      <c r="A4495">
        <v>2012</v>
      </c>
      <c r="B4495" t="s">
        <v>303</v>
      </c>
      <c r="C4495" s="733">
        <v>40925</v>
      </c>
      <c r="D44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95" t="s">
        <v>505</v>
      </c>
      <c r="F4495" t="s">
        <v>1915</v>
      </c>
      <c r="G4495" t="s">
        <v>5514</v>
      </c>
      <c r="H4495">
        <v>21962</v>
      </c>
      <c r="I4495" t="s">
        <v>423</v>
      </c>
      <c r="J4495" t="s">
        <v>4140</v>
      </c>
      <c r="K4495" t="s">
        <v>1918</v>
      </c>
      <c r="L4495" t="s">
        <v>1919</v>
      </c>
      <c r="M4495">
        <v>1</v>
      </c>
      <c r="N4495">
        <v>24.96</v>
      </c>
      <c r="O4495">
        <v>2410.64</v>
      </c>
      <c r="P4495">
        <v>0</v>
      </c>
      <c r="Q4495">
        <v>2410.64</v>
      </c>
      <c r="R4495">
        <v>385.7</v>
      </c>
      <c r="S4495">
        <v>96.43</v>
      </c>
      <c r="T4495">
        <v>2699.91</v>
      </c>
      <c r="U4495" t="s">
        <v>1931</v>
      </c>
      <c r="V4495" t="s">
        <v>9408</v>
      </c>
      <c r="W4495" t="s">
        <v>423</v>
      </c>
    </row>
    <row r="4496" spans="1:23" hidden="1" x14ac:dyDescent="0.2">
      <c r="A4496">
        <v>2012</v>
      </c>
      <c r="B4496" t="s">
        <v>304</v>
      </c>
      <c r="C4496" s="733">
        <v>40952</v>
      </c>
      <c r="D44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96" t="s">
        <v>485</v>
      </c>
      <c r="F4496" t="s">
        <v>2065</v>
      </c>
      <c r="G4496" t="s">
        <v>4827</v>
      </c>
      <c r="H4496">
        <v>41742</v>
      </c>
      <c r="I4496" t="s">
        <v>423</v>
      </c>
      <c r="J4496" t="s">
        <v>4828</v>
      </c>
      <c r="K4496" t="s">
        <v>2183</v>
      </c>
      <c r="L4496" t="s">
        <v>2184</v>
      </c>
      <c r="M4496">
        <v>134</v>
      </c>
      <c r="N4496">
        <v>25.89</v>
      </c>
      <c r="O4496">
        <v>5154.18</v>
      </c>
      <c r="P4496">
        <v>0</v>
      </c>
      <c r="Q4496">
        <v>5154.18</v>
      </c>
      <c r="R4496">
        <v>824.67</v>
      </c>
      <c r="S4496">
        <v>206.17</v>
      </c>
      <c r="T4496">
        <v>5772.68</v>
      </c>
      <c r="U4496" t="s">
        <v>8048</v>
      </c>
      <c r="V4496" t="s">
        <v>9408</v>
      </c>
      <c r="W4496" t="s">
        <v>423</v>
      </c>
    </row>
    <row r="4497" spans="1:23" hidden="1" x14ac:dyDescent="0.2">
      <c r="A4497">
        <v>2012</v>
      </c>
      <c r="B4497" t="s">
        <v>304</v>
      </c>
      <c r="C4497" s="733">
        <v>40948</v>
      </c>
      <c r="D44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497" t="s">
        <v>485</v>
      </c>
      <c r="F4497" t="s">
        <v>2048</v>
      </c>
      <c r="G4497" t="s">
        <v>5153</v>
      </c>
      <c r="H4497">
        <v>41650</v>
      </c>
      <c r="I4497" t="s">
        <v>423</v>
      </c>
      <c r="J4497" t="s">
        <v>2274</v>
      </c>
      <c r="K4497" t="s">
        <v>2051</v>
      </c>
      <c r="L4497" t="s">
        <v>2052</v>
      </c>
      <c r="M4497">
        <v>573</v>
      </c>
      <c r="N4497">
        <v>26.65</v>
      </c>
      <c r="O4497">
        <v>8647.92</v>
      </c>
      <c r="P4497">
        <v>0</v>
      </c>
      <c r="Q4497">
        <v>8647.92</v>
      </c>
      <c r="R4497">
        <v>1383.67</v>
      </c>
      <c r="S4497">
        <v>345.92</v>
      </c>
      <c r="T4497">
        <v>9685.67</v>
      </c>
      <c r="U4497" t="s">
        <v>7568</v>
      </c>
      <c r="V4497" t="s">
        <v>9408</v>
      </c>
      <c r="W4497" t="s">
        <v>423</v>
      </c>
    </row>
    <row r="4498" spans="1:23" hidden="1" x14ac:dyDescent="0.2">
      <c r="A4498">
        <v>2012</v>
      </c>
      <c r="B4498" t="s">
        <v>303</v>
      </c>
      <c r="C4498" s="733">
        <v>40924</v>
      </c>
      <c r="D44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98" t="s">
        <v>485</v>
      </c>
      <c r="F4498" t="s">
        <v>2048</v>
      </c>
      <c r="G4498" t="s">
        <v>3895</v>
      </c>
      <c r="H4498">
        <v>40379</v>
      </c>
      <c r="I4498" t="s">
        <v>423</v>
      </c>
      <c r="J4498" t="s">
        <v>2274</v>
      </c>
      <c r="K4498" t="s">
        <v>2051</v>
      </c>
      <c r="L4498" t="s">
        <v>2052</v>
      </c>
      <c r="M4498">
        <v>573</v>
      </c>
      <c r="N4498">
        <v>52.5</v>
      </c>
      <c r="O4498">
        <v>17036.25</v>
      </c>
      <c r="P4498">
        <v>0</v>
      </c>
      <c r="Q4498">
        <v>17036.25</v>
      </c>
      <c r="R4498">
        <v>2725.8</v>
      </c>
      <c r="S4498">
        <v>681.45</v>
      </c>
      <c r="T4498">
        <v>19080.599999999999</v>
      </c>
      <c r="U4498" t="s">
        <v>2062</v>
      </c>
      <c r="V4498" t="s">
        <v>9408</v>
      </c>
      <c r="W4498" t="s">
        <v>423</v>
      </c>
    </row>
    <row r="4499" spans="1:23" hidden="1" x14ac:dyDescent="0.2">
      <c r="A4499">
        <v>2012</v>
      </c>
      <c r="B4499" t="s">
        <v>303</v>
      </c>
      <c r="C4499" s="733">
        <v>40932</v>
      </c>
      <c r="D44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499" t="s">
        <v>485</v>
      </c>
      <c r="F4499" t="s">
        <v>2084</v>
      </c>
      <c r="G4499" t="s">
        <v>4415</v>
      </c>
      <c r="H4499">
        <v>40494</v>
      </c>
      <c r="I4499" t="s">
        <v>423</v>
      </c>
      <c r="J4499" t="s">
        <v>2813</v>
      </c>
      <c r="K4499" t="s">
        <v>2814</v>
      </c>
      <c r="L4499" t="s">
        <v>2815</v>
      </c>
      <c r="M4499">
        <v>365</v>
      </c>
      <c r="N4499">
        <v>23.940999999999999</v>
      </c>
      <c r="O4499">
        <v>6444.44</v>
      </c>
      <c r="P4499">
        <v>0</v>
      </c>
      <c r="Q4499">
        <v>6444.44</v>
      </c>
      <c r="R4499">
        <v>1031.1099999999999</v>
      </c>
      <c r="S4499">
        <v>257.77999999999997</v>
      </c>
      <c r="T4499">
        <v>7217.77</v>
      </c>
      <c r="U4499" t="s">
        <v>2826</v>
      </c>
      <c r="V4499" t="s">
        <v>9408</v>
      </c>
      <c r="W4499" t="s">
        <v>423</v>
      </c>
    </row>
    <row r="4500" spans="1:23" hidden="1" x14ac:dyDescent="0.2">
      <c r="A4500">
        <v>2012</v>
      </c>
      <c r="B4500" t="s">
        <v>303</v>
      </c>
      <c r="C4500" s="733">
        <v>40932</v>
      </c>
      <c r="D45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00" t="s">
        <v>485</v>
      </c>
      <c r="F4500" t="s">
        <v>2084</v>
      </c>
      <c r="G4500" t="s">
        <v>4414</v>
      </c>
      <c r="H4500">
        <v>40489</v>
      </c>
      <c r="I4500" t="s">
        <v>423</v>
      </c>
      <c r="J4500" t="s">
        <v>2813</v>
      </c>
      <c r="K4500" t="s">
        <v>2814</v>
      </c>
      <c r="L4500" t="s">
        <v>2815</v>
      </c>
      <c r="M4500">
        <v>365</v>
      </c>
      <c r="N4500">
        <v>23.36</v>
      </c>
      <c r="O4500">
        <v>6288.04</v>
      </c>
      <c r="P4500">
        <v>0</v>
      </c>
      <c r="Q4500">
        <v>6288.04</v>
      </c>
      <c r="R4500">
        <v>1006.09</v>
      </c>
      <c r="S4500">
        <v>251.52</v>
      </c>
      <c r="T4500">
        <v>7042.61</v>
      </c>
      <c r="U4500" t="s">
        <v>2826</v>
      </c>
      <c r="V4500" t="s">
        <v>9408</v>
      </c>
      <c r="W4500" t="s">
        <v>423</v>
      </c>
    </row>
    <row r="4501" spans="1:23" hidden="1" x14ac:dyDescent="0.2">
      <c r="A4501">
        <v>2012</v>
      </c>
      <c r="B4501" t="s">
        <v>304</v>
      </c>
      <c r="C4501" s="733">
        <v>40964</v>
      </c>
      <c r="D45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01" t="s">
        <v>505</v>
      </c>
      <c r="F4501" t="s">
        <v>1915</v>
      </c>
      <c r="G4501" t="s">
        <v>8735</v>
      </c>
      <c r="H4501">
        <v>23020</v>
      </c>
      <c r="I4501" t="s">
        <v>423</v>
      </c>
      <c r="J4501" t="s">
        <v>4140</v>
      </c>
      <c r="K4501" t="s">
        <v>1918</v>
      </c>
      <c r="L4501" t="s">
        <v>1919</v>
      </c>
      <c r="M4501">
        <v>1</v>
      </c>
      <c r="N4501">
        <v>25.05</v>
      </c>
      <c r="O4501">
        <v>2419.33</v>
      </c>
      <c r="P4501">
        <v>0</v>
      </c>
      <c r="Q4501">
        <v>2419.33</v>
      </c>
      <c r="R4501">
        <v>387.09</v>
      </c>
      <c r="S4501">
        <v>96.77</v>
      </c>
      <c r="T4501">
        <v>2709.65</v>
      </c>
      <c r="V4501" t="s">
        <v>9408</v>
      </c>
      <c r="W4501" t="s">
        <v>423</v>
      </c>
    </row>
    <row r="4502" spans="1:23" hidden="1" x14ac:dyDescent="0.2">
      <c r="A4502">
        <v>2012</v>
      </c>
      <c r="B4502" t="s">
        <v>303</v>
      </c>
      <c r="C4502" s="733">
        <v>40910</v>
      </c>
      <c r="D45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02" t="s">
        <v>478</v>
      </c>
      <c r="F4502" t="s">
        <v>2622</v>
      </c>
      <c r="G4502" t="s">
        <v>5217</v>
      </c>
      <c r="H4502">
        <v>34179</v>
      </c>
      <c r="I4502" t="s">
        <v>423</v>
      </c>
      <c r="J4502" t="s">
        <v>2624</v>
      </c>
      <c r="K4502" t="s">
        <v>2625</v>
      </c>
      <c r="L4502" t="s">
        <v>2626</v>
      </c>
      <c r="M4502">
        <v>10</v>
      </c>
      <c r="N4502">
        <v>24.44</v>
      </c>
      <c r="O4502">
        <v>1161.3900000000001</v>
      </c>
      <c r="P4502">
        <v>1307.3767230000001</v>
      </c>
      <c r="Q4502">
        <v>2468.7667230000002</v>
      </c>
      <c r="R4502">
        <v>395.00267600000001</v>
      </c>
      <c r="S4502">
        <v>98.750669000000002</v>
      </c>
      <c r="T4502">
        <v>2765.0187299999998</v>
      </c>
      <c r="U4502" t="s">
        <v>2660</v>
      </c>
      <c r="V4502" t="s">
        <v>9408</v>
      </c>
      <c r="W4502" t="s">
        <v>423</v>
      </c>
    </row>
    <row r="4503" spans="1:23" hidden="1" x14ac:dyDescent="0.2">
      <c r="A4503">
        <v>2012</v>
      </c>
      <c r="B4503" t="s">
        <v>303</v>
      </c>
      <c r="C4503" s="733">
        <v>40939</v>
      </c>
      <c r="D45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03" t="s">
        <v>478</v>
      </c>
      <c r="F4503" t="s">
        <v>2142</v>
      </c>
      <c r="G4503" t="s">
        <v>5223</v>
      </c>
      <c r="H4503">
        <v>34926</v>
      </c>
      <c r="I4503" t="s">
        <v>423</v>
      </c>
      <c r="J4503" t="s">
        <v>2639</v>
      </c>
      <c r="K4503" t="s">
        <v>2640</v>
      </c>
      <c r="L4503" t="s">
        <v>2641</v>
      </c>
      <c r="M4503">
        <v>274</v>
      </c>
      <c r="N4503">
        <v>47.26</v>
      </c>
      <c r="O4503">
        <v>6074.8</v>
      </c>
      <c r="P4503">
        <v>0</v>
      </c>
      <c r="Q4503">
        <v>6074.8</v>
      </c>
      <c r="R4503">
        <v>971.97</v>
      </c>
      <c r="S4503">
        <v>242.99</v>
      </c>
      <c r="T4503">
        <v>6803.78</v>
      </c>
      <c r="U4503" t="s">
        <v>2990</v>
      </c>
      <c r="V4503" t="s">
        <v>9409</v>
      </c>
      <c r="W4503" t="s">
        <v>423</v>
      </c>
    </row>
    <row r="4504" spans="1:23" hidden="1" x14ac:dyDescent="0.2">
      <c r="A4504">
        <v>2012</v>
      </c>
      <c r="B4504" t="s">
        <v>304</v>
      </c>
      <c r="C4504" s="733">
        <v>40947</v>
      </c>
      <c r="D45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04" t="s">
        <v>478</v>
      </c>
      <c r="F4504" t="s">
        <v>2142</v>
      </c>
      <c r="G4504" t="s">
        <v>5811</v>
      </c>
      <c r="H4504">
        <v>35044</v>
      </c>
      <c r="I4504" t="s">
        <v>423</v>
      </c>
      <c r="J4504" t="s">
        <v>2639</v>
      </c>
      <c r="K4504" t="s">
        <v>2640</v>
      </c>
      <c r="L4504" t="s">
        <v>2641</v>
      </c>
      <c r="M4504">
        <v>274</v>
      </c>
      <c r="N4504">
        <v>53.03</v>
      </c>
      <c r="O4504">
        <v>6816.48</v>
      </c>
      <c r="P4504">
        <v>0</v>
      </c>
      <c r="Q4504">
        <v>6816.48</v>
      </c>
      <c r="R4504">
        <v>1090.6400000000001</v>
      </c>
      <c r="S4504">
        <v>272.66000000000003</v>
      </c>
      <c r="T4504">
        <v>7634.46</v>
      </c>
      <c r="U4504" t="s">
        <v>2887</v>
      </c>
      <c r="V4504" t="s">
        <v>9409</v>
      </c>
      <c r="W4504" t="s">
        <v>423</v>
      </c>
    </row>
    <row r="4505" spans="1:23" hidden="1" x14ac:dyDescent="0.2">
      <c r="A4505">
        <v>2012</v>
      </c>
      <c r="B4505" t="s">
        <v>303</v>
      </c>
      <c r="C4505" s="733">
        <v>40910</v>
      </c>
      <c r="D45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05" t="s">
        <v>478</v>
      </c>
      <c r="F4505" t="s">
        <v>2142</v>
      </c>
      <c r="G4505" t="s">
        <v>5807</v>
      </c>
      <c r="H4505">
        <v>33906</v>
      </c>
      <c r="I4505" t="s">
        <v>423</v>
      </c>
      <c r="J4505" t="s">
        <v>2639</v>
      </c>
      <c r="K4505" t="s">
        <v>2640</v>
      </c>
      <c r="L4505" t="s">
        <v>2641</v>
      </c>
      <c r="M4505">
        <v>274</v>
      </c>
      <c r="N4505">
        <v>48.69</v>
      </c>
      <c r="O4505">
        <v>2635.1</v>
      </c>
      <c r="P4505">
        <v>2966.8327389999999</v>
      </c>
      <c r="Q4505">
        <v>5601.9327389999999</v>
      </c>
      <c r="R4505">
        <v>896.30923800000005</v>
      </c>
      <c r="S4505">
        <v>224.07731000000001</v>
      </c>
      <c r="T4505">
        <v>6274.164667</v>
      </c>
      <c r="U4505" t="s">
        <v>4102</v>
      </c>
      <c r="V4505" t="s">
        <v>9409</v>
      </c>
      <c r="W4505" t="s">
        <v>423</v>
      </c>
    </row>
    <row r="4506" spans="1:23" hidden="1" x14ac:dyDescent="0.2">
      <c r="A4506">
        <v>2012</v>
      </c>
      <c r="B4506" t="s">
        <v>304</v>
      </c>
      <c r="C4506" s="733">
        <v>40967.385277777779</v>
      </c>
      <c r="D45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06" t="s">
        <v>478</v>
      </c>
      <c r="F4506" t="s">
        <v>2136</v>
      </c>
      <c r="G4506" t="s">
        <v>9056</v>
      </c>
      <c r="H4506">
        <v>36129</v>
      </c>
      <c r="I4506" t="s">
        <v>423</v>
      </c>
      <c r="J4506" t="s">
        <v>2668</v>
      </c>
      <c r="K4506" t="s">
        <v>2625</v>
      </c>
      <c r="L4506" t="s">
        <v>2626</v>
      </c>
      <c r="M4506">
        <v>76</v>
      </c>
      <c r="N4506">
        <v>24.23</v>
      </c>
      <c r="O4506">
        <v>2734.36</v>
      </c>
      <c r="P4506">
        <v>0</v>
      </c>
      <c r="Q4506">
        <v>2734.36</v>
      </c>
      <c r="R4506">
        <v>437.5</v>
      </c>
      <c r="S4506">
        <v>109.37</v>
      </c>
      <c r="T4506">
        <v>3062.49</v>
      </c>
      <c r="U4506" t="s">
        <v>9428</v>
      </c>
      <c r="V4506" t="s">
        <v>9408</v>
      </c>
      <c r="W4506" t="s">
        <v>423</v>
      </c>
    </row>
    <row r="4507" spans="1:23" hidden="1" x14ac:dyDescent="0.2">
      <c r="A4507">
        <v>2012</v>
      </c>
      <c r="B4507" t="s">
        <v>303</v>
      </c>
      <c r="C4507" s="733">
        <v>40939.460358796299</v>
      </c>
      <c r="D45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07" t="s">
        <v>478</v>
      </c>
      <c r="F4507" t="s">
        <v>2622</v>
      </c>
      <c r="G4507" t="s">
        <v>5805</v>
      </c>
      <c r="H4507">
        <v>35099</v>
      </c>
      <c r="I4507" t="s">
        <v>423</v>
      </c>
      <c r="J4507" t="s">
        <v>2668</v>
      </c>
      <c r="K4507" t="s">
        <v>2625</v>
      </c>
      <c r="L4507" t="s">
        <v>2626</v>
      </c>
      <c r="M4507">
        <v>76</v>
      </c>
      <c r="N4507">
        <v>25.34</v>
      </c>
      <c r="O4507">
        <v>2859.62</v>
      </c>
      <c r="P4507">
        <v>0</v>
      </c>
      <c r="Q4507">
        <v>2859.62</v>
      </c>
      <c r="R4507">
        <v>457.54</v>
      </c>
      <c r="S4507">
        <v>114.38</v>
      </c>
      <c r="T4507">
        <v>3202.78</v>
      </c>
      <c r="U4507" t="s">
        <v>2648</v>
      </c>
      <c r="V4507" t="s">
        <v>9408</v>
      </c>
      <c r="W4507" t="s">
        <v>423</v>
      </c>
    </row>
    <row r="4508" spans="1:23" x14ac:dyDescent="0.2">
      <c r="A4508">
        <v>2012</v>
      </c>
      <c r="B4508" t="s">
        <v>304</v>
      </c>
      <c r="C4508" s="733">
        <v>40968</v>
      </c>
      <c r="D45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08" t="s">
        <v>485</v>
      </c>
      <c r="F4508" t="s">
        <v>2065</v>
      </c>
      <c r="G4508" t="s">
        <v>9491</v>
      </c>
      <c r="H4508">
        <v>42739</v>
      </c>
      <c r="I4508" t="s">
        <v>423</v>
      </c>
      <c r="J4508" t="s">
        <v>9492</v>
      </c>
      <c r="K4508" t="s">
        <v>2051</v>
      </c>
      <c r="L4508" t="s">
        <v>2052</v>
      </c>
      <c r="M4508">
        <v>885</v>
      </c>
      <c r="N4508">
        <v>24.8</v>
      </c>
      <c r="O4508">
        <v>14470.8</v>
      </c>
      <c r="P4508">
        <v>0</v>
      </c>
      <c r="Q4508">
        <v>14470.8</v>
      </c>
      <c r="R4508">
        <v>2315.33</v>
      </c>
      <c r="S4508">
        <v>578.83000000000004</v>
      </c>
      <c r="T4508">
        <v>16207.3</v>
      </c>
      <c r="V4508" t="s">
        <v>9408</v>
      </c>
      <c r="W4508" t="s">
        <v>423</v>
      </c>
    </row>
    <row r="4509" spans="1:23" hidden="1" x14ac:dyDescent="0.2">
      <c r="A4509">
        <v>2012</v>
      </c>
      <c r="B4509" t="s">
        <v>304</v>
      </c>
      <c r="C4509" s="733">
        <v>40954</v>
      </c>
      <c r="D45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09" t="s">
        <v>485</v>
      </c>
      <c r="F4509" t="s">
        <v>2048</v>
      </c>
      <c r="G4509" t="s">
        <v>7657</v>
      </c>
      <c r="H4509">
        <v>42023</v>
      </c>
      <c r="I4509" t="s">
        <v>423</v>
      </c>
      <c r="J4509" t="s">
        <v>4093</v>
      </c>
      <c r="K4509" t="s">
        <v>2051</v>
      </c>
      <c r="L4509" t="s">
        <v>2052</v>
      </c>
      <c r="M4509">
        <v>647</v>
      </c>
      <c r="N4509">
        <v>24.95</v>
      </c>
      <c r="O4509">
        <v>9439.33</v>
      </c>
      <c r="P4509">
        <v>0</v>
      </c>
      <c r="Q4509">
        <v>9439.33</v>
      </c>
      <c r="R4509">
        <v>1510.29</v>
      </c>
      <c r="S4509">
        <v>377.57</v>
      </c>
      <c r="T4509">
        <v>10572.05</v>
      </c>
      <c r="U4509" t="s">
        <v>8780</v>
      </c>
      <c r="V4509" t="s">
        <v>9408</v>
      </c>
      <c r="W4509" t="s">
        <v>423</v>
      </c>
    </row>
    <row r="4510" spans="1:23" hidden="1" x14ac:dyDescent="0.2">
      <c r="A4510">
        <v>2012</v>
      </c>
      <c r="B4510" t="s">
        <v>304</v>
      </c>
      <c r="C4510" s="733">
        <v>40954</v>
      </c>
      <c r="D45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10" t="s">
        <v>485</v>
      </c>
      <c r="F4510" t="s">
        <v>2048</v>
      </c>
      <c r="G4510" t="s">
        <v>7611</v>
      </c>
      <c r="H4510">
        <v>42017</v>
      </c>
      <c r="I4510" t="s">
        <v>423</v>
      </c>
      <c r="J4510" t="s">
        <v>4093</v>
      </c>
      <c r="K4510" t="s">
        <v>2051</v>
      </c>
      <c r="L4510" t="s">
        <v>2052</v>
      </c>
      <c r="M4510">
        <v>647</v>
      </c>
      <c r="N4510">
        <v>52</v>
      </c>
      <c r="O4510">
        <v>19673.16</v>
      </c>
      <c r="P4510">
        <v>0</v>
      </c>
      <c r="Q4510">
        <v>19673.16</v>
      </c>
      <c r="R4510">
        <v>3147.71</v>
      </c>
      <c r="S4510">
        <v>786.93</v>
      </c>
      <c r="T4510">
        <v>22033.94</v>
      </c>
      <c r="U4510" t="s">
        <v>8780</v>
      </c>
      <c r="V4510" t="s">
        <v>9409</v>
      </c>
      <c r="W4510" t="s">
        <v>423</v>
      </c>
    </row>
    <row r="4511" spans="1:23" hidden="1" x14ac:dyDescent="0.2">
      <c r="A4511">
        <v>2012</v>
      </c>
      <c r="B4511" t="s">
        <v>303</v>
      </c>
      <c r="C4511" s="733">
        <v>40938</v>
      </c>
      <c r="D45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11" t="s">
        <v>485</v>
      </c>
      <c r="F4511" t="s">
        <v>2084</v>
      </c>
      <c r="G4511" t="s">
        <v>5209</v>
      </c>
      <c r="H4511">
        <v>39901</v>
      </c>
      <c r="I4511" t="s">
        <v>423</v>
      </c>
      <c r="J4511" t="s">
        <v>2848</v>
      </c>
      <c r="K4511" t="s">
        <v>2814</v>
      </c>
      <c r="L4511" t="s">
        <v>2815</v>
      </c>
      <c r="M4511">
        <v>708</v>
      </c>
      <c r="N4511">
        <v>23.965</v>
      </c>
      <c r="O4511">
        <v>9833.7999999999993</v>
      </c>
      <c r="P4511">
        <v>0</v>
      </c>
      <c r="Q4511">
        <v>9833.7999999999993</v>
      </c>
      <c r="R4511">
        <v>1573.41</v>
      </c>
      <c r="S4511">
        <v>393.35</v>
      </c>
      <c r="T4511">
        <v>11013.86</v>
      </c>
      <c r="U4511" t="s">
        <v>2826</v>
      </c>
      <c r="V4511" t="s">
        <v>9408</v>
      </c>
      <c r="W4511" t="s">
        <v>423</v>
      </c>
    </row>
    <row r="4512" spans="1:23" hidden="1" x14ac:dyDescent="0.2">
      <c r="A4512">
        <v>2012</v>
      </c>
      <c r="B4512" t="s">
        <v>303</v>
      </c>
      <c r="C4512" s="733">
        <v>40912</v>
      </c>
      <c r="D45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12" t="s">
        <v>485</v>
      </c>
      <c r="F4512" t="s">
        <v>2084</v>
      </c>
      <c r="G4512" t="s">
        <v>5210</v>
      </c>
      <c r="H4512">
        <v>39612</v>
      </c>
      <c r="I4512" t="s">
        <v>423</v>
      </c>
      <c r="J4512" t="s">
        <v>2848</v>
      </c>
      <c r="K4512" t="s">
        <v>2814</v>
      </c>
      <c r="L4512" t="s">
        <v>2815</v>
      </c>
      <c r="M4512">
        <v>708</v>
      </c>
      <c r="N4512">
        <v>23.231000000000002</v>
      </c>
      <c r="O4512">
        <v>4013.62</v>
      </c>
      <c r="P4512">
        <v>4518.8946219999998</v>
      </c>
      <c r="Q4512">
        <v>8532.5146220000006</v>
      </c>
      <c r="R4512">
        <v>1365.2023389999999</v>
      </c>
      <c r="S4512">
        <v>341.30058500000001</v>
      </c>
      <c r="T4512">
        <v>9556.4163759999992</v>
      </c>
      <c r="U4512" t="s">
        <v>2846</v>
      </c>
      <c r="V4512" t="s">
        <v>9408</v>
      </c>
      <c r="W4512" t="s">
        <v>423</v>
      </c>
    </row>
    <row r="4513" spans="1:23" hidden="1" x14ac:dyDescent="0.2">
      <c r="A4513">
        <v>2012</v>
      </c>
      <c r="B4513" t="s">
        <v>305</v>
      </c>
      <c r="C4513" s="733">
        <v>40970</v>
      </c>
      <c r="D4513" s="733" t="str">
        <f>CHOOSE(MONTH(Tabla_sqldatos_bonampakdb_Bon_v_ingresos2012[[#This Row],[fecha_guia]]),"Enero","Febrero","Marzo","Abril","Mayo","Junio","Julio","Agosto","Septiembre","Octubre","Noviembre","Diciembre")</f>
        <v>Marzo</v>
      </c>
      <c r="E4513" t="s">
        <v>478</v>
      </c>
      <c r="F4513" t="s">
        <v>2136</v>
      </c>
      <c r="G4513" t="s">
        <v>9734</v>
      </c>
      <c r="H4513">
        <v>36207</v>
      </c>
      <c r="I4513" t="s">
        <v>423</v>
      </c>
      <c r="J4513" t="s">
        <v>5475</v>
      </c>
      <c r="K4513" t="s">
        <v>425</v>
      </c>
      <c r="L4513" t="s">
        <v>2145</v>
      </c>
      <c r="M4513">
        <v>981</v>
      </c>
      <c r="N4513">
        <v>31.72</v>
      </c>
      <c r="O4513">
        <v>13977.42</v>
      </c>
      <c r="P4513">
        <v>0</v>
      </c>
      <c r="Q4513">
        <v>13977.42</v>
      </c>
      <c r="R4513">
        <v>2236.39</v>
      </c>
      <c r="S4513">
        <v>559.1</v>
      </c>
      <c r="T4513">
        <v>15654.71</v>
      </c>
      <c r="V4513" t="s">
        <v>9408</v>
      </c>
      <c r="W4513" t="s">
        <v>423</v>
      </c>
    </row>
    <row r="4514" spans="1:23" hidden="1" x14ac:dyDescent="0.2">
      <c r="A4514">
        <v>2012</v>
      </c>
      <c r="B4514" t="s">
        <v>303</v>
      </c>
      <c r="C4514" s="733">
        <v>40928</v>
      </c>
      <c r="D45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14" t="s">
        <v>478</v>
      </c>
      <c r="F4514" t="s">
        <v>2622</v>
      </c>
      <c r="G4514" t="s">
        <v>7107</v>
      </c>
      <c r="H4514">
        <v>34695</v>
      </c>
      <c r="I4514" t="s">
        <v>423</v>
      </c>
      <c r="J4514" t="s">
        <v>5475</v>
      </c>
      <c r="K4514" t="s">
        <v>425</v>
      </c>
      <c r="L4514" t="s">
        <v>2145</v>
      </c>
      <c r="M4514">
        <v>981</v>
      </c>
      <c r="N4514">
        <v>49.67</v>
      </c>
      <c r="O4514">
        <v>21887.09</v>
      </c>
      <c r="P4514">
        <v>0</v>
      </c>
      <c r="Q4514">
        <v>21887.09</v>
      </c>
      <c r="R4514">
        <v>3501.93</v>
      </c>
      <c r="S4514">
        <v>875.48</v>
      </c>
      <c r="T4514">
        <v>24513.54</v>
      </c>
      <c r="U4514" t="s">
        <v>3234</v>
      </c>
      <c r="V4514" t="s">
        <v>9409</v>
      </c>
      <c r="W4514" t="s">
        <v>423</v>
      </c>
    </row>
    <row r="4515" spans="1:23" hidden="1" x14ac:dyDescent="0.2">
      <c r="A4515">
        <v>2012</v>
      </c>
      <c r="B4515" t="s">
        <v>304</v>
      </c>
      <c r="C4515" s="733">
        <v>40960</v>
      </c>
      <c r="D45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15" t="s">
        <v>478</v>
      </c>
      <c r="F4515" t="s">
        <v>2136</v>
      </c>
      <c r="G4515" t="s">
        <v>8417</v>
      </c>
      <c r="H4515">
        <v>35744</v>
      </c>
      <c r="I4515" t="s">
        <v>423</v>
      </c>
      <c r="J4515" t="s">
        <v>5620</v>
      </c>
      <c r="K4515" t="s">
        <v>425</v>
      </c>
      <c r="L4515" t="s">
        <v>2145</v>
      </c>
      <c r="M4515">
        <v>700</v>
      </c>
      <c r="N4515">
        <v>26.2</v>
      </c>
      <c r="O4515">
        <v>9603.35</v>
      </c>
      <c r="P4515">
        <v>0</v>
      </c>
      <c r="Q4515">
        <v>9603.35</v>
      </c>
      <c r="R4515">
        <v>1536.54</v>
      </c>
      <c r="S4515">
        <v>384.13</v>
      </c>
      <c r="T4515">
        <v>10755.76</v>
      </c>
      <c r="U4515" t="s">
        <v>8252</v>
      </c>
      <c r="V4515" t="s">
        <v>9408</v>
      </c>
      <c r="W4515" t="s">
        <v>423</v>
      </c>
    </row>
    <row r="4516" spans="1:23" hidden="1" x14ac:dyDescent="0.2">
      <c r="A4516">
        <v>2012</v>
      </c>
      <c r="B4516" t="s">
        <v>303</v>
      </c>
      <c r="C4516" s="733">
        <v>40920</v>
      </c>
      <c r="D45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16" t="s">
        <v>478</v>
      </c>
      <c r="F4516" t="s">
        <v>2136</v>
      </c>
      <c r="G4516" t="s">
        <v>3116</v>
      </c>
      <c r="H4516">
        <v>34406</v>
      </c>
      <c r="I4516" t="s">
        <v>423</v>
      </c>
      <c r="J4516" t="s">
        <v>2936</v>
      </c>
      <c r="K4516" t="s">
        <v>425</v>
      </c>
      <c r="L4516" t="s">
        <v>2145</v>
      </c>
      <c r="M4516">
        <v>604</v>
      </c>
      <c r="N4516">
        <v>25.9</v>
      </c>
      <c r="O4516">
        <v>8109.03</v>
      </c>
      <c r="P4516">
        <v>0</v>
      </c>
      <c r="Q4516">
        <v>8109.03</v>
      </c>
      <c r="R4516">
        <v>1297.44</v>
      </c>
      <c r="S4516">
        <v>324.36</v>
      </c>
      <c r="T4516">
        <v>9082.11</v>
      </c>
      <c r="U4516" t="s">
        <v>2350</v>
      </c>
      <c r="V4516" t="s">
        <v>9408</v>
      </c>
      <c r="W4516" t="s">
        <v>423</v>
      </c>
    </row>
    <row r="4517" spans="1:23" hidden="1" x14ac:dyDescent="0.2">
      <c r="A4517">
        <v>2012</v>
      </c>
      <c r="B4517" t="s">
        <v>303</v>
      </c>
      <c r="C4517" s="733">
        <v>40929</v>
      </c>
      <c r="D45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17" t="s">
        <v>478</v>
      </c>
      <c r="F4517" t="s">
        <v>2136</v>
      </c>
      <c r="G4517" t="s">
        <v>3321</v>
      </c>
      <c r="H4517">
        <v>34755</v>
      </c>
      <c r="I4517" t="s">
        <v>423</v>
      </c>
      <c r="J4517" t="s">
        <v>2936</v>
      </c>
      <c r="K4517" t="s">
        <v>425</v>
      </c>
      <c r="L4517" t="s">
        <v>2145</v>
      </c>
      <c r="M4517">
        <v>604</v>
      </c>
      <c r="N4517">
        <v>22.15</v>
      </c>
      <c r="O4517">
        <v>6934.94</v>
      </c>
      <c r="P4517">
        <v>0</v>
      </c>
      <c r="Q4517">
        <v>6934.94</v>
      </c>
      <c r="R4517">
        <v>1109.5899999999999</v>
      </c>
      <c r="S4517">
        <v>277.39999999999998</v>
      </c>
      <c r="T4517">
        <v>7767.13</v>
      </c>
      <c r="U4517" t="s">
        <v>2355</v>
      </c>
      <c r="V4517" t="s">
        <v>9408</v>
      </c>
      <c r="W4517" t="s">
        <v>423</v>
      </c>
    </row>
    <row r="4518" spans="1:23" hidden="1" x14ac:dyDescent="0.2">
      <c r="A4518">
        <v>2012</v>
      </c>
      <c r="B4518" t="s">
        <v>303</v>
      </c>
      <c r="C4518" s="733">
        <v>40912</v>
      </c>
      <c r="D45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18" t="s">
        <v>478</v>
      </c>
      <c r="F4518" t="s">
        <v>2136</v>
      </c>
      <c r="G4518" t="s">
        <v>3322</v>
      </c>
      <c r="H4518">
        <v>34230</v>
      </c>
      <c r="I4518" t="s">
        <v>423</v>
      </c>
      <c r="J4518" t="s">
        <v>2936</v>
      </c>
      <c r="K4518" t="s">
        <v>425</v>
      </c>
      <c r="L4518" t="s">
        <v>2145</v>
      </c>
      <c r="M4518">
        <v>604</v>
      </c>
      <c r="N4518">
        <v>24.8</v>
      </c>
      <c r="O4518">
        <v>3269.14</v>
      </c>
      <c r="P4518">
        <v>3680.692035</v>
      </c>
      <c r="Q4518">
        <v>6949.8320350000004</v>
      </c>
      <c r="R4518">
        <v>1111.9731260000001</v>
      </c>
      <c r="S4518">
        <v>277.99328100000002</v>
      </c>
      <c r="T4518">
        <v>7783.8118800000002</v>
      </c>
      <c r="U4518" t="s">
        <v>3323</v>
      </c>
      <c r="V4518" t="s">
        <v>9408</v>
      </c>
      <c r="W4518" t="s">
        <v>423</v>
      </c>
    </row>
    <row r="4519" spans="1:23" hidden="1" x14ac:dyDescent="0.2">
      <c r="A4519">
        <v>2012</v>
      </c>
      <c r="B4519" t="s">
        <v>303</v>
      </c>
      <c r="C4519" s="733">
        <v>40921</v>
      </c>
      <c r="D45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19" t="s">
        <v>478</v>
      </c>
      <c r="F4519" t="s">
        <v>2136</v>
      </c>
      <c r="G4519" t="s">
        <v>3113</v>
      </c>
      <c r="H4519">
        <v>34465</v>
      </c>
      <c r="I4519" t="s">
        <v>423</v>
      </c>
      <c r="J4519" t="s">
        <v>2936</v>
      </c>
      <c r="K4519" t="s">
        <v>425</v>
      </c>
      <c r="L4519" t="s">
        <v>2145</v>
      </c>
      <c r="M4519">
        <v>604</v>
      </c>
      <c r="N4519">
        <v>53.67</v>
      </c>
      <c r="O4519">
        <v>16803.54</v>
      </c>
      <c r="P4519">
        <v>0</v>
      </c>
      <c r="Q4519">
        <v>16803.54</v>
      </c>
      <c r="R4519">
        <v>2688.57</v>
      </c>
      <c r="S4519">
        <v>672.14</v>
      </c>
      <c r="T4519">
        <v>18819.97</v>
      </c>
      <c r="U4519" t="s">
        <v>2352</v>
      </c>
      <c r="V4519" t="s">
        <v>9409</v>
      </c>
      <c r="W4519" t="s">
        <v>423</v>
      </c>
    </row>
    <row r="4520" spans="1:23" hidden="1" x14ac:dyDescent="0.2">
      <c r="A4520">
        <v>2012</v>
      </c>
      <c r="B4520" t="s">
        <v>304</v>
      </c>
      <c r="C4520" s="733">
        <v>40966</v>
      </c>
      <c r="D45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20" t="s">
        <v>478</v>
      </c>
      <c r="F4520" t="s">
        <v>2136</v>
      </c>
      <c r="G4520" t="s">
        <v>9042</v>
      </c>
      <c r="H4520">
        <v>35971</v>
      </c>
      <c r="I4520" t="s">
        <v>423</v>
      </c>
      <c r="J4520" t="s">
        <v>2936</v>
      </c>
      <c r="K4520" t="s">
        <v>425</v>
      </c>
      <c r="L4520" t="s">
        <v>2145</v>
      </c>
      <c r="M4520">
        <v>604</v>
      </c>
      <c r="N4520">
        <v>26.07</v>
      </c>
      <c r="O4520">
        <v>8162.26</v>
      </c>
      <c r="P4520">
        <v>0</v>
      </c>
      <c r="Q4520">
        <v>8162.26</v>
      </c>
      <c r="R4520">
        <v>1305.96</v>
      </c>
      <c r="S4520">
        <v>326.49</v>
      </c>
      <c r="T4520">
        <v>9141.73</v>
      </c>
      <c r="U4520" t="s">
        <v>9457</v>
      </c>
      <c r="V4520" t="s">
        <v>9408</v>
      </c>
      <c r="W4520" t="s">
        <v>423</v>
      </c>
    </row>
    <row r="4521" spans="1:23" hidden="1" x14ac:dyDescent="0.2">
      <c r="A4521">
        <v>2012</v>
      </c>
      <c r="B4521" t="s">
        <v>304</v>
      </c>
      <c r="C4521" s="733">
        <v>40962</v>
      </c>
      <c r="D45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21" t="s">
        <v>478</v>
      </c>
      <c r="F4521" t="s">
        <v>2622</v>
      </c>
      <c r="G4521" t="s">
        <v>8572</v>
      </c>
      <c r="H4521">
        <v>35920</v>
      </c>
      <c r="I4521" t="s">
        <v>423</v>
      </c>
      <c r="J4521" t="s">
        <v>5307</v>
      </c>
      <c r="K4521" t="s">
        <v>425</v>
      </c>
      <c r="L4521" t="s">
        <v>2145</v>
      </c>
      <c r="M4521">
        <v>1365</v>
      </c>
      <c r="N4521">
        <v>43.47</v>
      </c>
      <c r="O4521">
        <v>39418.160000000003</v>
      </c>
      <c r="P4521">
        <v>0</v>
      </c>
      <c r="Q4521">
        <v>39418.160000000003</v>
      </c>
      <c r="R4521">
        <v>6306.91</v>
      </c>
      <c r="S4521">
        <v>1576.73</v>
      </c>
      <c r="T4521">
        <v>44148.34</v>
      </c>
      <c r="U4521" t="s">
        <v>9430</v>
      </c>
      <c r="V4521" t="s">
        <v>9409</v>
      </c>
      <c r="W4521" t="s">
        <v>423</v>
      </c>
    </row>
    <row r="4522" spans="1:23" hidden="1" x14ac:dyDescent="0.2">
      <c r="A4522">
        <v>2012</v>
      </c>
      <c r="B4522" t="s">
        <v>304</v>
      </c>
      <c r="C4522" s="733">
        <v>40954</v>
      </c>
      <c r="D45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22" t="s">
        <v>478</v>
      </c>
      <c r="F4522" t="s">
        <v>2136</v>
      </c>
      <c r="G4522" t="s">
        <v>7744</v>
      </c>
      <c r="H4522">
        <v>35619</v>
      </c>
      <c r="I4522" t="s">
        <v>423</v>
      </c>
      <c r="J4522" t="s">
        <v>2936</v>
      </c>
      <c r="K4522" t="s">
        <v>425</v>
      </c>
      <c r="L4522" t="s">
        <v>2145</v>
      </c>
      <c r="M4522">
        <v>604</v>
      </c>
      <c r="N4522">
        <v>19.88</v>
      </c>
      <c r="O4522">
        <v>6224.23</v>
      </c>
      <c r="P4522">
        <v>0</v>
      </c>
      <c r="Q4522">
        <v>6224.23</v>
      </c>
      <c r="R4522">
        <v>995.88</v>
      </c>
      <c r="S4522">
        <v>248.97</v>
      </c>
      <c r="T4522">
        <v>6971.14</v>
      </c>
      <c r="U4522" t="s">
        <v>7553</v>
      </c>
      <c r="V4522" t="s">
        <v>9408</v>
      </c>
      <c r="W4522" t="s">
        <v>423</v>
      </c>
    </row>
    <row r="4523" spans="1:23" hidden="1" x14ac:dyDescent="0.2">
      <c r="A4523">
        <v>2012</v>
      </c>
      <c r="B4523" t="s">
        <v>304</v>
      </c>
      <c r="C4523" s="733">
        <v>40949</v>
      </c>
      <c r="D45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23" t="s">
        <v>478</v>
      </c>
      <c r="F4523" t="s">
        <v>2136</v>
      </c>
      <c r="G4523" t="s">
        <v>3328</v>
      </c>
      <c r="H4523">
        <v>35439</v>
      </c>
      <c r="I4523" t="s">
        <v>423</v>
      </c>
      <c r="J4523" t="s">
        <v>3329</v>
      </c>
      <c r="K4523" t="s">
        <v>425</v>
      </c>
      <c r="L4523" t="s">
        <v>2145</v>
      </c>
      <c r="M4523">
        <v>596</v>
      </c>
      <c r="N4523">
        <v>21.8</v>
      </c>
      <c r="O4523">
        <v>7074.1</v>
      </c>
      <c r="P4523">
        <v>0</v>
      </c>
      <c r="Q4523">
        <v>7074.1</v>
      </c>
      <c r="R4523">
        <v>1131.8599999999999</v>
      </c>
      <c r="S4523">
        <v>282.95999999999998</v>
      </c>
      <c r="T4523">
        <v>7923</v>
      </c>
      <c r="U4523" t="s">
        <v>7553</v>
      </c>
      <c r="V4523" t="s">
        <v>9408</v>
      </c>
      <c r="W4523" t="s">
        <v>423</v>
      </c>
    </row>
    <row r="4524" spans="1:23" hidden="1" x14ac:dyDescent="0.2">
      <c r="A4524">
        <v>2012</v>
      </c>
      <c r="B4524" t="s">
        <v>303</v>
      </c>
      <c r="C4524" s="733">
        <v>40924</v>
      </c>
      <c r="D45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24" t="s">
        <v>478</v>
      </c>
      <c r="F4524" t="s">
        <v>2136</v>
      </c>
      <c r="G4524" t="s">
        <v>6285</v>
      </c>
      <c r="H4524">
        <v>34460</v>
      </c>
      <c r="I4524" t="s">
        <v>423</v>
      </c>
      <c r="J4524" t="s">
        <v>5307</v>
      </c>
      <c r="K4524" t="s">
        <v>425</v>
      </c>
      <c r="L4524" t="s">
        <v>2145</v>
      </c>
      <c r="M4524">
        <v>1365</v>
      </c>
      <c r="N4524">
        <v>48.27</v>
      </c>
      <c r="O4524">
        <v>43770.75</v>
      </c>
      <c r="P4524">
        <v>0</v>
      </c>
      <c r="Q4524">
        <v>43770.75</v>
      </c>
      <c r="R4524">
        <v>7003.32</v>
      </c>
      <c r="S4524">
        <v>1750.83</v>
      </c>
      <c r="T4524">
        <v>49023.24</v>
      </c>
      <c r="U4524" t="s">
        <v>2146</v>
      </c>
      <c r="V4524" t="s">
        <v>9409</v>
      </c>
      <c r="W4524" t="s">
        <v>423</v>
      </c>
    </row>
    <row r="4525" spans="1:23" hidden="1" x14ac:dyDescent="0.2">
      <c r="A4525">
        <v>2012</v>
      </c>
      <c r="B4525" t="s">
        <v>304</v>
      </c>
      <c r="C4525" s="733">
        <v>40952</v>
      </c>
      <c r="D45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25" t="s">
        <v>478</v>
      </c>
      <c r="F4525" t="s">
        <v>2136</v>
      </c>
      <c r="G4525" t="s">
        <v>6271</v>
      </c>
      <c r="H4525">
        <v>35569</v>
      </c>
      <c r="I4525" t="s">
        <v>423</v>
      </c>
      <c r="J4525" t="s">
        <v>4270</v>
      </c>
      <c r="K4525" t="s">
        <v>425</v>
      </c>
      <c r="L4525" t="s">
        <v>2145</v>
      </c>
      <c r="M4525">
        <v>560</v>
      </c>
      <c r="N4525">
        <v>41.792999999999999</v>
      </c>
      <c r="O4525">
        <v>13352.86</v>
      </c>
      <c r="P4525">
        <v>0</v>
      </c>
      <c r="Q4525">
        <v>13352.86</v>
      </c>
      <c r="R4525">
        <v>2136.46</v>
      </c>
      <c r="S4525">
        <v>534.11</v>
      </c>
      <c r="T4525">
        <v>14955.21</v>
      </c>
      <c r="U4525" t="s">
        <v>7553</v>
      </c>
      <c r="V4525" t="s">
        <v>9409</v>
      </c>
      <c r="W4525" t="s">
        <v>423</v>
      </c>
    </row>
    <row r="4526" spans="1:23" hidden="1" x14ac:dyDescent="0.2">
      <c r="A4526">
        <v>2012</v>
      </c>
      <c r="B4526" t="s">
        <v>303</v>
      </c>
      <c r="C4526" s="733">
        <v>40933</v>
      </c>
      <c r="D45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26" t="s">
        <v>478</v>
      </c>
      <c r="F4526" t="s">
        <v>2136</v>
      </c>
      <c r="G4526" t="s">
        <v>6270</v>
      </c>
      <c r="H4526">
        <v>34876</v>
      </c>
      <c r="I4526" t="s">
        <v>423</v>
      </c>
      <c r="J4526" t="s">
        <v>4270</v>
      </c>
      <c r="K4526" t="s">
        <v>425</v>
      </c>
      <c r="L4526" t="s">
        <v>2145</v>
      </c>
      <c r="M4526">
        <v>560</v>
      </c>
      <c r="N4526">
        <v>23.1</v>
      </c>
      <c r="O4526">
        <v>7495.95</v>
      </c>
      <c r="P4526">
        <v>0</v>
      </c>
      <c r="Q4526">
        <v>7495.95</v>
      </c>
      <c r="R4526">
        <v>1199.3499999999999</v>
      </c>
      <c r="S4526">
        <v>299.83999999999997</v>
      </c>
      <c r="T4526">
        <v>8395.4599999999991</v>
      </c>
      <c r="U4526" t="s">
        <v>2355</v>
      </c>
      <c r="V4526" t="s">
        <v>9409</v>
      </c>
      <c r="W4526" t="s">
        <v>423</v>
      </c>
    </row>
    <row r="4527" spans="1:23" hidden="1" x14ac:dyDescent="0.2">
      <c r="A4527">
        <v>2012</v>
      </c>
      <c r="B4527" t="s">
        <v>304</v>
      </c>
      <c r="C4527" s="733">
        <v>40953</v>
      </c>
      <c r="D45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27" t="s">
        <v>478</v>
      </c>
      <c r="F4527" t="s">
        <v>2136</v>
      </c>
      <c r="G4527" t="s">
        <v>6269</v>
      </c>
      <c r="H4527">
        <v>35570</v>
      </c>
      <c r="I4527" t="s">
        <v>423</v>
      </c>
      <c r="J4527" t="s">
        <v>4270</v>
      </c>
      <c r="K4527" t="s">
        <v>425</v>
      </c>
      <c r="L4527" t="s">
        <v>2145</v>
      </c>
      <c r="M4527">
        <v>560</v>
      </c>
      <c r="N4527">
        <v>20.96</v>
      </c>
      <c r="O4527">
        <v>6696.72</v>
      </c>
      <c r="P4527">
        <v>0</v>
      </c>
      <c r="Q4527">
        <v>6696.72</v>
      </c>
      <c r="R4527">
        <v>1071.48</v>
      </c>
      <c r="S4527">
        <v>267.87</v>
      </c>
      <c r="T4527">
        <v>7500.33</v>
      </c>
      <c r="U4527" t="s">
        <v>7553</v>
      </c>
      <c r="V4527" t="s">
        <v>9409</v>
      </c>
      <c r="W4527" t="s">
        <v>423</v>
      </c>
    </row>
    <row r="4528" spans="1:23" hidden="1" x14ac:dyDescent="0.2">
      <c r="A4528">
        <v>2012</v>
      </c>
      <c r="B4528" t="s">
        <v>303</v>
      </c>
      <c r="C4528" s="733">
        <v>40939</v>
      </c>
      <c r="D45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28" t="s">
        <v>478</v>
      </c>
      <c r="F4528" t="s">
        <v>2136</v>
      </c>
      <c r="G4528" t="s">
        <v>6286</v>
      </c>
      <c r="H4528">
        <v>35047</v>
      </c>
      <c r="I4528" t="s">
        <v>423</v>
      </c>
      <c r="J4528" t="s">
        <v>5307</v>
      </c>
      <c r="K4528" t="s">
        <v>425</v>
      </c>
      <c r="L4528" t="s">
        <v>2145</v>
      </c>
      <c r="M4528">
        <v>1365</v>
      </c>
      <c r="N4528">
        <v>21.87</v>
      </c>
      <c r="O4528">
        <v>19831.5</v>
      </c>
      <c r="P4528">
        <v>0</v>
      </c>
      <c r="Q4528">
        <v>19831.5</v>
      </c>
      <c r="R4528">
        <v>3173.04</v>
      </c>
      <c r="S4528">
        <v>793.26</v>
      </c>
      <c r="T4528">
        <v>22211.279999999999</v>
      </c>
      <c r="U4528" t="s">
        <v>2914</v>
      </c>
      <c r="V4528" t="s">
        <v>9408</v>
      </c>
      <c r="W4528" t="s">
        <v>423</v>
      </c>
    </row>
    <row r="4529" spans="1:23" hidden="1" x14ac:dyDescent="0.2">
      <c r="A4529">
        <v>2012</v>
      </c>
      <c r="B4529" t="s">
        <v>304</v>
      </c>
      <c r="C4529" s="733">
        <v>40963</v>
      </c>
      <c r="D45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29" t="s">
        <v>505</v>
      </c>
      <c r="F4529" t="s">
        <v>1915</v>
      </c>
      <c r="G4529" t="s">
        <v>8492</v>
      </c>
      <c r="H4529">
        <v>22993</v>
      </c>
      <c r="I4529" t="s">
        <v>424</v>
      </c>
      <c r="J4529" t="s">
        <v>1917</v>
      </c>
      <c r="K4529" t="s">
        <v>1918</v>
      </c>
      <c r="L4529" t="s">
        <v>1919</v>
      </c>
      <c r="M4529">
        <v>267</v>
      </c>
      <c r="N4529">
        <v>30</v>
      </c>
      <c r="O4529">
        <v>4613.7</v>
      </c>
      <c r="P4529">
        <v>0</v>
      </c>
      <c r="Q4529">
        <v>4613.7</v>
      </c>
      <c r="R4529">
        <v>738.19</v>
      </c>
      <c r="S4529">
        <v>184.55</v>
      </c>
      <c r="T4529">
        <v>5167.34</v>
      </c>
      <c r="U4529" t="s">
        <v>8778</v>
      </c>
      <c r="V4529" t="s">
        <v>9408</v>
      </c>
      <c r="W4529" t="s">
        <v>424</v>
      </c>
    </row>
    <row r="4530" spans="1:23" hidden="1" x14ac:dyDescent="0.2">
      <c r="A4530">
        <v>2012</v>
      </c>
      <c r="B4530" t="s">
        <v>303</v>
      </c>
      <c r="C4530" s="733">
        <v>40932</v>
      </c>
      <c r="D45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30" t="s">
        <v>505</v>
      </c>
      <c r="F4530" t="s">
        <v>1915</v>
      </c>
      <c r="G4530" t="s">
        <v>2276</v>
      </c>
      <c r="H4530">
        <v>22168</v>
      </c>
      <c r="I4530" t="s">
        <v>424</v>
      </c>
      <c r="J4530" t="s">
        <v>1917</v>
      </c>
      <c r="K4530" t="s">
        <v>1918</v>
      </c>
      <c r="L4530" t="s">
        <v>1919</v>
      </c>
      <c r="M4530">
        <v>267</v>
      </c>
      <c r="N4530">
        <v>30</v>
      </c>
      <c r="O4530">
        <v>2929.97</v>
      </c>
      <c r="P4530">
        <v>1683.8244589999999</v>
      </c>
      <c r="Q4530">
        <v>4613.7944589999997</v>
      </c>
      <c r="R4530">
        <v>738.20711300000005</v>
      </c>
      <c r="S4530">
        <v>184.55177800000001</v>
      </c>
      <c r="T4530">
        <v>5167.4497940000001</v>
      </c>
      <c r="U4530" t="s">
        <v>1928</v>
      </c>
      <c r="V4530" t="s">
        <v>9408</v>
      </c>
      <c r="W4530" t="s">
        <v>424</v>
      </c>
    </row>
    <row r="4531" spans="1:23" hidden="1" x14ac:dyDescent="0.2">
      <c r="A4531">
        <v>2012</v>
      </c>
      <c r="B4531" t="s">
        <v>303</v>
      </c>
      <c r="C4531" s="733">
        <v>40918.716423611113</v>
      </c>
      <c r="D45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31" t="s">
        <v>505</v>
      </c>
      <c r="F4531" t="s">
        <v>1915</v>
      </c>
      <c r="G4531" t="s">
        <v>2299</v>
      </c>
      <c r="H4531">
        <v>21877</v>
      </c>
      <c r="I4531" t="s">
        <v>424</v>
      </c>
      <c r="J4531" t="s">
        <v>1954</v>
      </c>
      <c r="K4531" t="s">
        <v>1918</v>
      </c>
      <c r="L4531" t="s">
        <v>1919</v>
      </c>
      <c r="M4531">
        <v>303</v>
      </c>
      <c r="N4531">
        <v>30</v>
      </c>
      <c r="O4531">
        <v>2314.83</v>
      </c>
      <c r="P4531">
        <v>1330.309653</v>
      </c>
      <c r="Q4531">
        <v>3645.1396530000002</v>
      </c>
      <c r="R4531">
        <v>583.22234400000002</v>
      </c>
      <c r="S4531">
        <v>145.80558600000001</v>
      </c>
      <c r="T4531">
        <v>4082.556411</v>
      </c>
      <c r="U4531" t="s">
        <v>1931</v>
      </c>
      <c r="V4531" t="s">
        <v>9408</v>
      </c>
      <c r="W4531" t="s">
        <v>424</v>
      </c>
    </row>
    <row r="4532" spans="1:23" hidden="1" x14ac:dyDescent="0.2">
      <c r="A4532">
        <v>2012</v>
      </c>
      <c r="B4532" t="s">
        <v>304</v>
      </c>
      <c r="C4532" s="733">
        <v>40948</v>
      </c>
      <c r="D45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32" t="s">
        <v>505</v>
      </c>
      <c r="F4532" t="s">
        <v>1915</v>
      </c>
      <c r="G4532" t="s">
        <v>4145</v>
      </c>
      <c r="H4532">
        <v>22586</v>
      </c>
      <c r="I4532" t="s">
        <v>423</v>
      </c>
      <c r="J4532" t="s">
        <v>4146</v>
      </c>
      <c r="K4532" t="s">
        <v>1918</v>
      </c>
      <c r="L4532" t="s">
        <v>1919</v>
      </c>
      <c r="M4532">
        <v>243</v>
      </c>
      <c r="N4532">
        <v>24.39</v>
      </c>
      <c r="O4532">
        <v>7569.19</v>
      </c>
      <c r="P4532">
        <v>0</v>
      </c>
      <c r="Q4532">
        <v>7569.19</v>
      </c>
      <c r="R4532">
        <v>1211.07</v>
      </c>
      <c r="S4532">
        <v>302.77</v>
      </c>
      <c r="T4532">
        <v>8477.49</v>
      </c>
      <c r="U4532" t="s">
        <v>1924</v>
      </c>
      <c r="V4532" t="s">
        <v>9408</v>
      </c>
      <c r="W4532" t="s">
        <v>423</v>
      </c>
    </row>
    <row r="4533" spans="1:23" hidden="1" x14ac:dyDescent="0.2">
      <c r="A4533">
        <v>2012</v>
      </c>
      <c r="B4533" t="s">
        <v>303</v>
      </c>
      <c r="C4533" s="733">
        <v>40928</v>
      </c>
      <c r="D45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33" t="s">
        <v>505</v>
      </c>
      <c r="F4533" t="s">
        <v>1915</v>
      </c>
      <c r="G4533" t="s">
        <v>4133</v>
      </c>
      <c r="H4533">
        <v>22059</v>
      </c>
      <c r="I4533" t="s">
        <v>423</v>
      </c>
      <c r="J4533" t="s">
        <v>1917</v>
      </c>
      <c r="K4533" t="s">
        <v>1918</v>
      </c>
      <c r="L4533" t="s">
        <v>1919</v>
      </c>
      <c r="M4533">
        <v>267</v>
      </c>
      <c r="N4533">
        <v>50.68</v>
      </c>
      <c r="O4533">
        <v>11394.89</v>
      </c>
      <c r="P4533">
        <v>0</v>
      </c>
      <c r="Q4533">
        <v>11394.89</v>
      </c>
      <c r="R4533">
        <v>1823.18</v>
      </c>
      <c r="S4533">
        <v>455.8</v>
      </c>
      <c r="T4533">
        <v>12762.27</v>
      </c>
      <c r="U4533" t="s">
        <v>8778</v>
      </c>
      <c r="V4533" t="s">
        <v>9409</v>
      </c>
      <c r="W4533" t="s">
        <v>423</v>
      </c>
    </row>
    <row r="4534" spans="1:23" hidden="1" x14ac:dyDescent="0.2">
      <c r="A4534">
        <v>2012</v>
      </c>
      <c r="B4534" t="s">
        <v>303</v>
      </c>
      <c r="C4534" s="733">
        <v>40924</v>
      </c>
      <c r="D45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34" t="s">
        <v>505</v>
      </c>
      <c r="F4534" t="s">
        <v>1915</v>
      </c>
      <c r="G4534" t="s">
        <v>4267</v>
      </c>
      <c r="H4534">
        <v>21997</v>
      </c>
      <c r="I4534" t="s">
        <v>424</v>
      </c>
      <c r="J4534" t="s">
        <v>1917</v>
      </c>
      <c r="K4534" t="s">
        <v>1918</v>
      </c>
      <c r="L4534" t="s">
        <v>1919</v>
      </c>
      <c r="M4534">
        <v>267</v>
      </c>
      <c r="N4534">
        <v>30</v>
      </c>
      <c r="O4534">
        <v>2929.97</v>
      </c>
      <c r="P4534">
        <v>1683.8244589999999</v>
      </c>
      <c r="Q4534">
        <v>4613.7944589999997</v>
      </c>
      <c r="R4534">
        <v>738.20711300000005</v>
      </c>
      <c r="S4534">
        <v>184.55177800000001</v>
      </c>
      <c r="T4534">
        <v>5167.4497940000001</v>
      </c>
      <c r="U4534" t="s">
        <v>1931</v>
      </c>
      <c r="V4534" t="s">
        <v>9408</v>
      </c>
      <c r="W4534" t="s">
        <v>424</v>
      </c>
    </row>
    <row r="4535" spans="1:23" hidden="1" x14ac:dyDescent="0.2">
      <c r="A4535">
        <v>2012</v>
      </c>
      <c r="B4535" t="s">
        <v>303</v>
      </c>
      <c r="C4535" s="733">
        <v>40929</v>
      </c>
      <c r="D45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35" t="s">
        <v>478</v>
      </c>
      <c r="F4535" t="s">
        <v>2136</v>
      </c>
      <c r="G4535" t="s">
        <v>4280</v>
      </c>
      <c r="H4535">
        <v>34713</v>
      </c>
      <c r="I4535" t="s">
        <v>423</v>
      </c>
      <c r="J4535" t="s">
        <v>2144</v>
      </c>
      <c r="K4535" t="s">
        <v>425</v>
      </c>
      <c r="L4535" t="s">
        <v>2145</v>
      </c>
      <c r="M4535">
        <v>1354</v>
      </c>
      <c r="N4535">
        <v>44.53</v>
      </c>
      <c r="O4535">
        <v>40379.360000000001</v>
      </c>
      <c r="P4535">
        <v>0</v>
      </c>
      <c r="Q4535">
        <v>40379.360000000001</v>
      </c>
      <c r="R4535">
        <v>6460.7</v>
      </c>
      <c r="S4535">
        <v>1615.17</v>
      </c>
      <c r="T4535">
        <v>45224.89</v>
      </c>
      <c r="U4535" t="s">
        <v>3234</v>
      </c>
      <c r="V4535" t="s">
        <v>9409</v>
      </c>
      <c r="W4535" t="s">
        <v>423</v>
      </c>
    </row>
    <row r="4536" spans="1:23" hidden="1" x14ac:dyDescent="0.2">
      <c r="A4536">
        <v>2012</v>
      </c>
      <c r="B4536" t="s">
        <v>303</v>
      </c>
      <c r="C4536" s="733">
        <v>40938</v>
      </c>
      <c r="D45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36" t="s">
        <v>485</v>
      </c>
      <c r="F4536" t="s">
        <v>2084</v>
      </c>
      <c r="G4536" t="s">
        <v>3776</v>
      </c>
      <c r="H4536">
        <v>39734</v>
      </c>
      <c r="I4536" t="s">
        <v>423</v>
      </c>
      <c r="J4536" t="s">
        <v>2848</v>
      </c>
      <c r="K4536" t="s">
        <v>2814</v>
      </c>
      <c r="L4536" t="s">
        <v>2815</v>
      </c>
      <c r="M4536">
        <v>708</v>
      </c>
      <c r="N4536">
        <v>24.236000000000001</v>
      </c>
      <c r="O4536">
        <v>9945</v>
      </c>
      <c r="P4536">
        <v>0</v>
      </c>
      <c r="Q4536">
        <v>9945</v>
      </c>
      <c r="R4536">
        <v>1591.2</v>
      </c>
      <c r="S4536">
        <v>397.8</v>
      </c>
      <c r="T4536">
        <v>11138.4</v>
      </c>
      <c r="U4536" t="s">
        <v>2826</v>
      </c>
      <c r="V4536" t="s">
        <v>9408</v>
      </c>
      <c r="W4536" t="s">
        <v>423</v>
      </c>
    </row>
    <row r="4537" spans="1:23" hidden="1" x14ac:dyDescent="0.2">
      <c r="A4537">
        <v>2012</v>
      </c>
      <c r="B4537" t="s">
        <v>303</v>
      </c>
      <c r="C4537" s="733">
        <v>40925</v>
      </c>
      <c r="D45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37" t="s">
        <v>505</v>
      </c>
      <c r="F4537" t="s">
        <v>1915</v>
      </c>
      <c r="G4537" t="s">
        <v>4261</v>
      </c>
      <c r="H4537">
        <v>21991</v>
      </c>
      <c r="I4537" t="s">
        <v>423</v>
      </c>
      <c r="J4537" t="s">
        <v>4262</v>
      </c>
      <c r="K4537" t="s">
        <v>1918</v>
      </c>
      <c r="L4537" t="s">
        <v>1919</v>
      </c>
      <c r="M4537">
        <v>845</v>
      </c>
      <c r="N4537">
        <v>26.56</v>
      </c>
      <c r="O4537">
        <v>13465.92</v>
      </c>
      <c r="P4537">
        <v>0</v>
      </c>
      <c r="Q4537">
        <v>13465.92</v>
      </c>
      <c r="R4537">
        <v>2154.5500000000002</v>
      </c>
      <c r="S4537">
        <v>538.64</v>
      </c>
      <c r="T4537">
        <v>15081.83</v>
      </c>
      <c r="U4537" t="s">
        <v>1936</v>
      </c>
      <c r="V4537" t="s">
        <v>9408</v>
      </c>
      <c r="W4537" t="s">
        <v>423</v>
      </c>
    </row>
    <row r="4538" spans="1:23" hidden="1" x14ac:dyDescent="0.2">
      <c r="A4538">
        <v>2012</v>
      </c>
      <c r="B4538" t="s">
        <v>303</v>
      </c>
      <c r="C4538" s="733">
        <v>40915</v>
      </c>
      <c r="D45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38" t="s">
        <v>478</v>
      </c>
      <c r="F4538" t="s">
        <v>2136</v>
      </c>
      <c r="G4538" t="s">
        <v>4288</v>
      </c>
      <c r="H4538">
        <v>34217</v>
      </c>
      <c r="I4538" t="s">
        <v>423</v>
      </c>
      <c r="J4538" t="s">
        <v>4289</v>
      </c>
      <c r="K4538" t="s">
        <v>425</v>
      </c>
      <c r="L4538" t="s">
        <v>2145</v>
      </c>
      <c r="M4538">
        <v>775</v>
      </c>
      <c r="N4538">
        <v>27.98</v>
      </c>
      <c r="O4538">
        <v>8760.26</v>
      </c>
      <c r="P4538">
        <v>0</v>
      </c>
      <c r="Q4538">
        <v>8760.26</v>
      </c>
      <c r="R4538">
        <v>1401.64</v>
      </c>
      <c r="S4538">
        <v>350.41</v>
      </c>
      <c r="T4538">
        <v>9811.49</v>
      </c>
      <c r="U4538" t="s">
        <v>2352</v>
      </c>
      <c r="V4538" t="s">
        <v>9409</v>
      </c>
      <c r="W4538" t="s">
        <v>423</v>
      </c>
    </row>
    <row r="4539" spans="1:23" hidden="1" x14ac:dyDescent="0.2">
      <c r="A4539">
        <v>2012</v>
      </c>
      <c r="B4539" t="s">
        <v>304</v>
      </c>
      <c r="C4539" s="733">
        <v>40954</v>
      </c>
      <c r="D45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39" t="s">
        <v>478</v>
      </c>
      <c r="F4539" t="s">
        <v>2136</v>
      </c>
      <c r="G4539" t="s">
        <v>7549</v>
      </c>
      <c r="H4539">
        <v>35587</v>
      </c>
      <c r="I4539" t="s">
        <v>423</v>
      </c>
      <c r="J4539" t="s">
        <v>2936</v>
      </c>
      <c r="K4539" t="s">
        <v>425</v>
      </c>
      <c r="L4539" t="s">
        <v>2145</v>
      </c>
      <c r="M4539">
        <v>604</v>
      </c>
      <c r="N4539">
        <v>25.98</v>
      </c>
      <c r="O4539">
        <v>8134.08</v>
      </c>
      <c r="P4539">
        <v>0</v>
      </c>
      <c r="Q4539">
        <v>8134.08</v>
      </c>
      <c r="R4539">
        <v>1301.45</v>
      </c>
      <c r="S4539">
        <v>325.36</v>
      </c>
      <c r="T4539">
        <v>9110.17</v>
      </c>
      <c r="U4539" t="s">
        <v>8312</v>
      </c>
      <c r="V4539" t="s">
        <v>9408</v>
      </c>
      <c r="W4539" t="s">
        <v>423</v>
      </c>
    </row>
    <row r="4540" spans="1:23" hidden="1" x14ac:dyDescent="0.2">
      <c r="A4540">
        <v>2012</v>
      </c>
      <c r="B4540" t="s">
        <v>304</v>
      </c>
      <c r="C4540" s="733">
        <v>40960</v>
      </c>
      <c r="D45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40" t="s">
        <v>478</v>
      </c>
      <c r="F4540" t="s">
        <v>2136</v>
      </c>
      <c r="G4540" t="s">
        <v>8365</v>
      </c>
      <c r="H4540">
        <v>35813</v>
      </c>
      <c r="I4540" t="s">
        <v>423</v>
      </c>
      <c r="J4540" t="s">
        <v>2936</v>
      </c>
      <c r="K4540" t="s">
        <v>425</v>
      </c>
      <c r="L4540" t="s">
        <v>2145</v>
      </c>
      <c r="M4540">
        <v>604</v>
      </c>
      <c r="N4540">
        <v>22.65</v>
      </c>
      <c r="O4540">
        <v>7091.49</v>
      </c>
      <c r="P4540">
        <v>0</v>
      </c>
      <c r="Q4540">
        <v>7091.49</v>
      </c>
      <c r="R4540">
        <v>1134.6400000000001</v>
      </c>
      <c r="S4540">
        <v>283.66000000000003</v>
      </c>
      <c r="T4540">
        <v>7942.47</v>
      </c>
      <c r="U4540" t="s">
        <v>8312</v>
      </c>
      <c r="V4540" t="s">
        <v>9408</v>
      </c>
      <c r="W4540" t="s">
        <v>423</v>
      </c>
    </row>
    <row r="4541" spans="1:23" hidden="1" x14ac:dyDescent="0.2">
      <c r="A4541">
        <v>2012</v>
      </c>
      <c r="B4541" t="s">
        <v>305</v>
      </c>
      <c r="C4541" s="733">
        <v>40970</v>
      </c>
      <c r="D4541" s="733" t="str">
        <f>CHOOSE(MONTH(Tabla_sqldatos_bonampakdb_Bon_v_ingresos2012[[#This Row],[fecha_guia]]),"Enero","Febrero","Marzo","Abril","Mayo","Junio","Julio","Agosto","Septiembre","Octubre","Noviembre","Diciembre")</f>
        <v>Marzo</v>
      </c>
      <c r="E4541" t="s">
        <v>478</v>
      </c>
      <c r="F4541" t="s">
        <v>2136</v>
      </c>
      <c r="G4541" t="s">
        <v>9735</v>
      </c>
      <c r="H4541">
        <v>36233</v>
      </c>
      <c r="I4541" t="s">
        <v>423</v>
      </c>
      <c r="J4541" t="s">
        <v>2936</v>
      </c>
      <c r="K4541" t="s">
        <v>425</v>
      </c>
      <c r="L4541" t="s">
        <v>2145</v>
      </c>
      <c r="M4541">
        <v>604</v>
      </c>
      <c r="N4541">
        <v>43.92</v>
      </c>
      <c r="O4541">
        <v>13750.91</v>
      </c>
      <c r="P4541">
        <v>0</v>
      </c>
      <c r="Q4541">
        <v>13750.91</v>
      </c>
      <c r="R4541">
        <v>2200.15</v>
      </c>
      <c r="S4541">
        <v>550.04</v>
      </c>
      <c r="T4541">
        <v>15401.02</v>
      </c>
      <c r="V4541" t="s">
        <v>9409</v>
      </c>
      <c r="W4541" t="s">
        <v>423</v>
      </c>
    </row>
    <row r="4542" spans="1:23" hidden="1" x14ac:dyDescent="0.2">
      <c r="A4542">
        <v>2012</v>
      </c>
      <c r="B4542" t="s">
        <v>305</v>
      </c>
      <c r="C4542" s="733">
        <v>40969</v>
      </c>
      <c r="D4542" s="733" t="str">
        <f>CHOOSE(MONTH(Tabla_sqldatos_bonampakdb_Bon_v_ingresos2012[[#This Row],[fecha_guia]]),"Enero","Febrero","Marzo","Abril","Mayo","Junio","Julio","Agosto","Septiembre","Octubre","Noviembre","Diciembre")</f>
        <v>Marzo</v>
      </c>
      <c r="E4542" t="s">
        <v>478</v>
      </c>
      <c r="F4542" t="s">
        <v>2136</v>
      </c>
      <c r="G4542" t="s">
        <v>9608</v>
      </c>
      <c r="H4542">
        <v>36184</v>
      </c>
      <c r="I4542" t="s">
        <v>423</v>
      </c>
      <c r="J4542" t="s">
        <v>2936</v>
      </c>
      <c r="K4542" t="s">
        <v>425</v>
      </c>
      <c r="L4542" t="s">
        <v>2145</v>
      </c>
      <c r="M4542">
        <v>604</v>
      </c>
      <c r="N4542">
        <v>45.93</v>
      </c>
      <c r="O4542">
        <v>14380.22</v>
      </c>
      <c r="P4542">
        <v>0</v>
      </c>
      <c r="Q4542">
        <v>14380.22</v>
      </c>
      <c r="R4542">
        <v>2300.84</v>
      </c>
      <c r="S4542">
        <v>575.21</v>
      </c>
      <c r="T4542">
        <v>16105.85</v>
      </c>
      <c r="V4542" t="s">
        <v>9409</v>
      </c>
      <c r="W4542" t="s">
        <v>423</v>
      </c>
    </row>
    <row r="4543" spans="1:23" hidden="1" x14ac:dyDescent="0.2">
      <c r="A4543">
        <v>2012</v>
      </c>
      <c r="B4543" t="s">
        <v>303</v>
      </c>
      <c r="C4543" s="733">
        <v>40912</v>
      </c>
      <c r="D45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43" t="s">
        <v>478</v>
      </c>
      <c r="F4543" t="s">
        <v>2136</v>
      </c>
      <c r="G4543" t="s">
        <v>3632</v>
      </c>
      <c r="H4543">
        <v>34242</v>
      </c>
      <c r="I4543" t="s">
        <v>423</v>
      </c>
      <c r="J4543" t="s">
        <v>2936</v>
      </c>
      <c r="K4543" t="s">
        <v>425</v>
      </c>
      <c r="L4543" t="s">
        <v>2145</v>
      </c>
      <c r="M4543">
        <v>604</v>
      </c>
      <c r="N4543">
        <v>23.02</v>
      </c>
      <c r="O4543">
        <v>3034.5</v>
      </c>
      <c r="P4543">
        <v>3416.5132050000002</v>
      </c>
      <c r="Q4543">
        <v>6451.0132050000002</v>
      </c>
      <c r="R4543">
        <v>1032.1621130000001</v>
      </c>
      <c r="S4543">
        <v>258.04052799999999</v>
      </c>
      <c r="T4543">
        <v>7225.1347900000001</v>
      </c>
      <c r="U4543" t="s">
        <v>3118</v>
      </c>
      <c r="V4543" t="s">
        <v>9408</v>
      </c>
      <c r="W4543" t="s">
        <v>423</v>
      </c>
    </row>
    <row r="4544" spans="1:23" hidden="1" x14ac:dyDescent="0.2">
      <c r="A4544">
        <v>2012</v>
      </c>
      <c r="B4544" t="s">
        <v>304</v>
      </c>
      <c r="C4544" s="733">
        <v>40941</v>
      </c>
      <c r="D45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44" t="s">
        <v>478</v>
      </c>
      <c r="F4544" t="s">
        <v>2136</v>
      </c>
      <c r="G4544" t="s">
        <v>4269</v>
      </c>
      <c r="H4544">
        <v>35204</v>
      </c>
      <c r="I4544" t="s">
        <v>423</v>
      </c>
      <c r="J4544" t="s">
        <v>4270</v>
      </c>
      <c r="K4544" t="s">
        <v>425</v>
      </c>
      <c r="L4544" t="s">
        <v>2145</v>
      </c>
      <c r="M4544">
        <v>560</v>
      </c>
      <c r="N4544">
        <v>25.41</v>
      </c>
      <c r="O4544">
        <v>8245.5400000000009</v>
      </c>
      <c r="P4544">
        <v>0</v>
      </c>
      <c r="Q4544">
        <v>8245.5400000000009</v>
      </c>
      <c r="R4544">
        <v>1319.29</v>
      </c>
      <c r="S4544">
        <v>329.82</v>
      </c>
      <c r="T4544">
        <v>9235.01</v>
      </c>
      <c r="U4544" t="s">
        <v>2580</v>
      </c>
      <c r="V4544" t="s">
        <v>9408</v>
      </c>
      <c r="W4544" t="s">
        <v>423</v>
      </c>
    </row>
    <row r="4545" spans="1:23" hidden="1" x14ac:dyDescent="0.2">
      <c r="A4545">
        <v>2012</v>
      </c>
      <c r="B4545" t="s">
        <v>304</v>
      </c>
      <c r="C4545" s="733">
        <v>40967</v>
      </c>
      <c r="D45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45" t="s">
        <v>478</v>
      </c>
      <c r="F4545" t="s">
        <v>2136</v>
      </c>
      <c r="G4545" t="s">
        <v>9320</v>
      </c>
      <c r="H4545">
        <v>36153</v>
      </c>
      <c r="I4545" t="s">
        <v>423</v>
      </c>
      <c r="J4545" t="s">
        <v>4270</v>
      </c>
      <c r="K4545" t="s">
        <v>425</v>
      </c>
      <c r="L4545" t="s">
        <v>2145</v>
      </c>
      <c r="M4545">
        <v>560</v>
      </c>
      <c r="N4545">
        <v>22.05</v>
      </c>
      <c r="O4545">
        <v>7044.98</v>
      </c>
      <c r="P4545">
        <v>0</v>
      </c>
      <c r="Q4545">
        <v>7044.98</v>
      </c>
      <c r="R4545">
        <v>1127.2</v>
      </c>
      <c r="S4545">
        <v>281.8</v>
      </c>
      <c r="T4545">
        <v>7890.38</v>
      </c>
      <c r="U4545" t="s">
        <v>9457</v>
      </c>
      <c r="V4545" t="s">
        <v>9408</v>
      </c>
      <c r="W4545" t="s">
        <v>423</v>
      </c>
    </row>
    <row r="4546" spans="1:23" hidden="1" x14ac:dyDescent="0.2">
      <c r="A4546">
        <v>2012</v>
      </c>
      <c r="B4546" t="s">
        <v>303</v>
      </c>
      <c r="C4546" s="733">
        <v>40929</v>
      </c>
      <c r="D45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46" t="s">
        <v>478</v>
      </c>
      <c r="F4546" t="s">
        <v>2136</v>
      </c>
      <c r="G4546" t="s">
        <v>4271</v>
      </c>
      <c r="H4546">
        <v>34327</v>
      </c>
      <c r="I4546" t="s">
        <v>423</v>
      </c>
      <c r="J4546" t="s">
        <v>4270</v>
      </c>
      <c r="K4546" t="s">
        <v>425</v>
      </c>
      <c r="L4546" t="s">
        <v>2145</v>
      </c>
      <c r="M4546">
        <v>560</v>
      </c>
      <c r="N4546">
        <v>25.76</v>
      </c>
      <c r="O4546">
        <v>8230.32</v>
      </c>
      <c r="P4546">
        <v>0</v>
      </c>
      <c r="Q4546">
        <v>8230.32</v>
      </c>
      <c r="R4546">
        <v>1316.85</v>
      </c>
      <c r="S4546">
        <v>329.21</v>
      </c>
      <c r="T4546">
        <v>9217.9599999999991</v>
      </c>
      <c r="U4546" t="s">
        <v>2927</v>
      </c>
      <c r="V4546" t="s">
        <v>9409</v>
      </c>
      <c r="W4546" t="s">
        <v>423</v>
      </c>
    </row>
    <row r="4547" spans="1:23" hidden="1" x14ac:dyDescent="0.2">
      <c r="A4547">
        <v>2012</v>
      </c>
      <c r="B4547" t="s">
        <v>304</v>
      </c>
      <c r="C4547" s="733">
        <v>40960</v>
      </c>
      <c r="D45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47" t="s">
        <v>478</v>
      </c>
      <c r="F4547" t="s">
        <v>2136</v>
      </c>
      <c r="G4547" t="s">
        <v>8364</v>
      </c>
      <c r="H4547">
        <v>35811</v>
      </c>
      <c r="I4547" t="s">
        <v>423</v>
      </c>
      <c r="J4547" t="s">
        <v>4270</v>
      </c>
      <c r="K4547" t="s">
        <v>425</v>
      </c>
      <c r="L4547" t="s">
        <v>2145</v>
      </c>
      <c r="M4547">
        <v>560</v>
      </c>
      <c r="N4547">
        <v>24.39</v>
      </c>
      <c r="O4547">
        <v>7792.6</v>
      </c>
      <c r="P4547">
        <v>0</v>
      </c>
      <c r="Q4547">
        <v>7792.6</v>
      </c>
      <c r="R4547">
        <v>1246.82</v>
      </c>
      <c r="S4547">
        <v>311.7</v>
      </c>
      <c r="T4547">
        <v>8727.7199999999993</v>
      </c>
      <c r="U4547" t="s">
        <v>8312</v>
      </c>
      <c r="V4547" t="s">
        <v>9408</v>
      </c>
      <c r="W4547" t="s">
        <v>423</v>
      </c>
    </row>
    <row r="4548" spans="1:23" hidden="1" x14ac:dyDescent="0.2">
      <c r="A4548">
        <v>2012</v>
      </c>
      <c r="B4548" t="s">
        <v>303</v>
      </c>
      <c r="C4548" s="733">
        <v>40933</v>
      </c>
      <c r="D45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48" t="s">
        <v>505</v>
      </c>
      <c r="F4548" t="s">
        <v>1915</v>
      </c>
      <c r="G4548" t="s">
        <v>4256</v>
      </c>
      <c r="H4548">
        <v>21700</v>
      </c>
      <c r="I4548" t="s">
        <v>423</v>
      </c>
      <c r="J4548" t="s">
        <v>4257</v>
      </c>
      <c r="K4548" t="s">
        <v>1918</v>
      </c>
      <c r="L4548" t="s">
        <v>1919</v>
      </c>
      <c r="M4548">
        <v>2083</v>
      </c>
      <c r="N4548">
        <v>53.82</v>
      </c>
      <c r="O4548">
        <v>56139.05</v>
      </c>
      <c r="P4548">
        <v>0</v>
      </c>
      <c r="Q4548">
        <v>56139.05</v>
      </c>
      <c r="R4548">
        <v>8982.25</v>
      </c>
      <c r="S4548">
        <v>2245.56</v>
      </c>
      <c r="T4548">
        <v>62875.74</v>
      </c>
      <c r="V4548" t="s">
        <v>9409</v>
      </c>
      <c r="W4548" t="s">
        <v>423</v>
      </c>
    </row>
    <row r="4549" spans="1:23" hidden="1" x14ac:dyDescent="0.2">
      <c r="A4549">
        <v>2012</v>
      </c>
      <c r="B4549" t="s">
        <v>303</v>
      </c>
      <c r="C4549" s="733">
        <v>40938</v>
      </c>
      <c r="D45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49" t="s">
        <v>505</v>
      </c>
      <c r="F4549" t="s">
        <v>1915</v>
      </c>
      <c r="G4549" t="s">
        <v>4253</v>
      </c>
      <c r="H4549">
        <v>22289</v>
      </c>
      <c r="I4549" t="s">
        <v>1979</v>
      </c>
      <c r="J4549" t="s">
        <v>4254</v>
      </c>
      <c r="K4549" t="s">
        <v>1918</v>
      </c>
      <c r="L4549" t="s">
        <v>1919</v>
      </c>
      <c r="M4549">
        <v>2819</v>
      </c>
      <c r="N4549">
        <v>49.59</v>
      </c>
      <c r="O4549">
        <v>57792.68</v>
      </c>
      <c r="P4549">
        <v>0</v>
      </c>
      <c r="Q4549">
        <v>57792.68</v>
      </c>
      <c r="R4549">
        <v>9246.83</v>
      </c>
      <c r="S4549">
        <v>2311.71</v>
      </c>
      <c r="T4549">
        <v>64727.8</v>
      </c>
      <c r="U4549" t="s">
        <v>7529</v>
      </c>
      <c r="V4549" t="s">
        <v>9409</v>
      </c>
      <c r="W4549" t="s">
        <v>1979</v>
      </c>
    </row>
    <row r="4550" spans="1:23" hidden="1" x14ac:dyDescent="0.2">
      <c r="A4550">
        <v>2012</v>
      </c>
      <c r="B4550" t="s">
        <v>304</v>
      </c>
      <c r="C4550" s="733">
        <v>40955</v>
      </c>
      <c r="D45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50" t="s">
        <v>478</v>
      </c>
      <c r="F4550" t="s">
        <v>2142</v>
      </c>
      <c r="G4550" t="s">
        <v>7761</v>
      </c>
      <c r="H4550">
        <v>35664</v>
      </c>
      <c r="I4550" t="s">
        <v>423</v>
      </c>
      <c r="J4550" t="s">
        <v>2936</v>
      </c>
      <c r="K4550" t="s">
        <v>425</v>
      </c>
      <c r="L4550" t="s">
        <v>2145</v>
      </c>
      <c r="M4550">
        <v>604</v>
      </c>
      <c r="N4550">
        <v>44.3</v>
      </c>
      <c r="O4550">
        <v>13869.89</v>
      </c>
      <c r="P4550">
        <v>0</v>
      </c>
      <c r="Q4550">
        <v>13869.89</v>
      </c>
      <c r="R4550">
        <v>2219.1799999999998</v>
      </c>
      <c r="S4550">
        <v>554.79999999999995</v>
      </c>
      <c r="T4550">
        <v>15534.27</v>
      </c>
      <c r="U4550" t="s">
        <v>7553</v>
      </c>
      <c r="V4550" t="s">
        <v>9409</v>
      </c>
      <c r="W4550" t="s">
        <v>423</v>
      </c>
    </row>
    <row r="4551" spans="1:23" hidden="1" x14ac:dyDescent="0.2">
      <c r="A4551">
        <v>2012</v>
      </c>
      <c r="B4551" t="s">
        <v>303</v>
      </c>
      <c r="C4551" s="733">
        <v>40918</v>
      </c>
      <c r="D45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51" t="s">
        <v>505</v>
      </c>
      <c r="F4551" t="s">
        <v>1915</v>
      </c>
      <c r="G4551" t="s">
        <v>4255</v>
      </c>
      <c r="H4551">
        <v>21810</v>
      </c>
      <c r="I4551" t="s">
        <v>1979</v>
      </c>
      <c r="J4551" t="s">
        <v>4254</v>
      </c>
      <c r="K4551" t="s">
        <v>1918</v>
      </c>
      <c r="L4551" t="s">
        <v>1919</v>
      </c>
      <c r="M4551">
        <v>2819</v>
      </c>
      <c r="N4551">
        <v>49.74</v>
      </c>
      <c r="O4551">
        <v>57967.49</v>
      </c>
      <c r="P4551">
        <v>0</v>
      </c>
      <c r="Q4551">
        <v>57967.49</v>
      </c>
      <c r="R4551">
        <v>9274.7999999999993</v>
      </c>
      <c r="S4551">
        <v>2318.6999999999998</v>
      </c>
      <c r="T4551">
        <v>64923.59</v>
      </c>
      <c r="U4551" t="s">
        <v>1931</v>
      </c>
      <c r="V4551" t="s">
        <v>9409</v>
      </c>
      <c r="W4551" t="s">
        <v>1979</v>
      </c>
    </row>
    <row r="4552" spans="1:23" hidden="1" x14ac:dyDescent="0.2">
      <c r="A4552">
        <v>2012</v>
      </c>
      <c r="B4552" t="s">
        <v>303</v>
      </c>
      <c r="C4552" s="733">
        <v>40911</v>
      </c>
      <c r="D45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52" t="s">
        <v>485</v>
      </c>
      <c r="F4552" t="s">
        <v>2065</v>
      </c>
      <c r="G4552" t="s">
        <v>3319</v>
      </c>
      <c r="H4552">
        <v>39697</v>
      </c>
      <c r="I4552" t="s">
        <v>423</v>
      </c>
      <c r="J4552" t="s">
        <v>2114</v>
      </c>
      <c r="K4552" t="s">
        <v>2102</v>
      </c>
      <c r="L4552" t="s">
        <v>2115</v>
      </c>
      <c r="M4552">
        <v>500</v>
      </c>
      <c r="N4552">
        <v>51.94</v>
      </c>
      <c r="O4552">
        <v>7353.15</v>
      </c>
      <c r="P4552">
        <v>8278.8380529999995</v>
      </c>
      <c r="Q4552">
        <v>15631.988052999999</v>
      </c>
      <c r="R4552">
        <v>2501.1180890000001</v>
      </c>
      <c r="S4552">
        <v>625.27952200000004</v>
      </c>
      <c r="T4552">
        <v>17507.82662</v>
      </c>
      <c r="U4552" t="s">
        <v>2104</v>
      </c>
      <c r="V4552" t="s">
        <v>9409</v>
      </c>
      <c r="W4552" t="s">
        <v>423</v>
      </c>
    </row>
    <row r="4553" spans="1:23" hidden="1" x14ac:dyDescent="0.2">
      <c r="A4553">
        <v>2012</v>
      </c>
      <c r="B4553" t="s">
        <v>304</v>
      </c>
      <c r="C4553" s="733">
        <v>40955.749050925922</v>
      </c>
      <c r="D45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53" t="s">
        <v>478</v>
      </c>
      <c r="F4553" t="s">
        <v>2622</v>
      </c>
      <c r="G4553" t="s">
        <v>7819</v>
      </c>
      <c r="H4553">
        <v>35725</v>
      </c>
      <c r="I4553" t="s">
        <v>423</v>
      </c>
      <c r="J4553" t="s">
        <v>2644</v>
      </c>
      <c r="K4553" t="s">
        <v>2625</v>
      </c>
      <c r="L4553" t="s">
        <v>2626</v>
      </c>
      <c r="M4553">
        <v>52</v>
      </c>
      <c r="N4553">
        <v>26.64</v>
      </c>
      <c r="O4553">
        <v>3136.33</v>
      </c>
      <c r="P4553">
        <v>0</v>
      </c>
      <c r="Q4553">
        <v>3136.33</v>
      </c>
      <c r="R4553">
        <v>501.81</v>
      </c>
      <c r="S4553">
        <v>125.45</v>
      </c>
      <c r="T4553">
        <v>3512.69</v>
      </c>
      <c r="U4553" t="s">
        <v>7548</v>
      </c>
      <c r="V4553" t="s">
        <v>9408</v>
      </c>
      <c r="W4553" t="s">
        <v>423</v>
      </c>
    </row>
    <row r="4554" spans="1:23" hidden="1" x14ac:dyDescent="0.2">
      <c r="A4554">
        <v>2012</v>
      </c>
      <c r="B4554" t="s">
        <v>303</v>
      </c>
      <c r="C4554" s="733">
        <v>40939.503819444442</v>
      </c>
      <c r="D45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54" t="s">
        <v>478</v>
      </c>
      <c r="F4554" t="s">
        <v>2622</v>
      </c>
      <c r="G4554" t="s">
        <v>3806</v>
      </c>
      <c r="H4554">
        <v>35114</v>
      </c>
      <c r="I4554" t="s">
        <v>423</v>
      </c>
      <c r="J4554" t="s">
        <v>2644</v>
      </c>
      <c r="K4554" t="s">
        <v>2625</v>
      </c>
      <c r="L4554" t="s">
        <v>2626</v>
      </c>
      <c r="M4554">
        <v>52</v>
      </c>
      <c r="N4554">
        <v>25.42</v>
      </c>
      <c r="O4554">
        <v>2992.7</v>
      </c>
      <c r="P4554">
        <v>0</v>
      </c>
      <c r="Q4554">
        <v>2992.7</v>
      </c>
      <c r="R4554">
        <v>478.83</v>
      </c>
      <c r="S4554">
        <v>119.71</v>
      </c>
      <c r="T4554">
        <v>3351.82</v>
      </c>
      <c r="U4554" t="s">
        <v>7548</v>
      </c>
      <c r="V4554" t="s">
        <v>9408</v>
      </c>
      <c r="W4554" t="s">
        <v>423</v>
      </c>
    </row>
    <row r="4555" spans="1:23" hidden="1" x14ac:dyDescent="0.2">
      <c r="A4555">
        <v>2012</v>
      </c>
      <c r="B4555" t="s">
        <v>304</v>
      </c>
      <c r="C4555" s="733">
        <v>40967.438946759263</v>
      </c>
      <c r="D45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55" t="s">
        <v>478</v>
      </c>
      <c r="F4555" t="s">
        <v>2622</v>
      </c>
      <c r="G4555" t="s">
        <v>8900</v>
      </c>
      <c r="H4555">
        <v>36116</v>
      </c>
      <c r="I4555" t="s">
        <v>423</v>
      </c>
      <c r="J4555" t="s">
        <v>2644</v>
      </c>
      <c r="K4555" t="s">
        <v>2625</v>
      </c>
      <c r="L4555" t="s">
        <v>2145</v>
      </c>
      <c r="M4555">
        <v>52</v>
      </c>
      <c r="N4555">
        <v>23.88</v>
      </c>
      <c r="O4555">
        <v>2811.39</v>
      </c>
      <c r="P4555">
        <v>0</v>
      </c>
      <c r="Q4555">
        <v>2811.39</v>
      </c>
      <c r="R4555">
        <v>449.82</v>
      </c>
      <c r="S4555">
        <v>112.46</v>
      </c>
      <c r="T4555">
        <v>3148.75</v>
      </c>
      <c r="U4555" t="s">
        <v>9428</v>
      </c>
      <c r="V4555" t="s">
        <v>9408</v>
      </c>
      <c r="W4555" t="s">
        <v>423</v>
      </c>
    </row>
    <row r="4556" spans="1:23" hidden="1" x14ac:dyDescent="0.2">
      <c r="A4556">
        <v>2012</v>
      </c>
      <c r="B4556" t="s">
        <v>304</v>
      </c>
      <c r="C4556" s="733">
        <v>40961</v>
      </c>
      <c r="D45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56" t="s">
        <v>485</v>
      </c>
      <c r="F4556" t="s">
        <v>2065</v>
      </c>
      <c r="G4556" t="s">
        <v>8471</v>
      </c>
      <c r="H4556">
        <v>42382</v>
      </c>
      <c r="I4556" t="s">
        <v>423</v>
      </c>
      <c r="J4556" t="s">
        <v>2189</v>
      </c>
      <c r="K4556" t="s">
        <v>2183</v>
      </c>
      <c r="L4556" t="s">
        <v>2184</v>
      </c>
      <c r="M4556">
        <v>720</v>
      </c>
      <c r="N4556">
        <v>24.69</v>
      </c>
      <c r="O4556">
        <v>10006.83</v>
      </c>
      <c r="P4556">
        <v>0</v>
      </c>
      <c r="Q4556">
        <v>10006.83</v>
      </c>
      <c r="R4556">
        <v>1601.09</v>
      </c>
      <c r="S4556">
        <v>400.27</v>
      </c>
      <c r="T4556">
        <v>11207.65</v>
      </c>
      <c r="U4556" t="s">
        <v>9411</v>
      </c>
      <c r="V4556" t="s">
        <v>9408</v>
      </c>
      <c r="W4556" t="s">
        <v>423</v>
      </c>
    </row>
    <row r="4557" spans="1:23" hidden="1" x14ac:dyDescent="0.2">
      <c r="A4557">
        <v>2012</v>
      </c>
      <c r="B4557" t="s">
        <v>304</v>
      </c>
      <c r="C4557" s="733">
        <v>40961</v>
      </c>
      <c r="D45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57" t="s">
        <v>505</v>
      </c>
      <c r="F4557" t="s">
        <v>1915</v>
      </c>
      <c r="G4557" t="s">
        <v>8472</v>
      </c>
      <c r="H4557">
        <v>22880</v>
      </c>
      <c r="I4557" t="s">
        <v>423</v>
      </c>
      <c r="J4557" t="s">
        <v>1947</v>
      </c>
      <c r="K4557" t="s">
        <v>1918</v>
      </c>
      <c r="L4557" t="s">
        <v>1919</v>
      </c>
      <c r="M4557">
        <v>973</v>
      </c>
      <c r="N4557">
        <v>49.45</v>
      </c>
      <c r="O4557">
        <v>28876.82</v>
      </c>
      <c r="P4557">
        <v>0</v>
      </c>
      <c r="Q4557">
        <v>28876.82</v>
      </c>
      <c r="R4557">
        <v>4620.29</v>
      </c>
      <c r="S4557">
        <v>1155.07</v>
      </c>
      <c r="T4557">
        <v>32342.04</v>
      </c>
      <c r="U4557" t="s">
        <v>8491</v>
      </c>
      <c r="V4557" t="s">
        <v>9409</v>
      </c>
      <c r="W4557" t="s">
        <v>423</v>
      </c>
    </row>
    <row r="4558" spans="1:23" hidden="1" x14ac:dyDescent="0.2">
      <c r="A4558">
        <v>2012</v>
      </c>
      <c r="B4558" t="s">
        <v>304</v>
      </c>
      <c r="C4558" s="733">
        <v>40949</v>
      </c>
      <c r="D45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58" t="s">
        <v>505</v>
      </c>
      <c r="F4558" t="s">
        <v>1915</v>
      </c>
      <c r="G4558" t="s">
        <v>6923</v>
      </c>
      <c r="H4558">
        <v>22582</v>
      </c>
      <c r="I4558" t="s">
        <v>423</v>
      </c>
      <c r="J4558" t="s">
        <v>1947</v>
      </c>
      <c r="K4558" t="s">
        <v>1918</v>
      </c>
      <c r="L4558" t="s">
        <v>1919</v>
      </c>
      <c r="M4558">
        <v>973</v>
      </c>
      <c r="N4558">
        <v>50.17</v>
      </c>
      <c r="O4558">
        <v>29297.27</v>
      </c>
      <c r="P4558">
        <v>0</v>
      </c>
      <c r="Q4558">
        <v>29297.27</v>
      </c>
      <c r="R4558">
        <v>4687.5600000000004</v>
      </c>
      <c r="S4558">
        <v>1171.8900000000001</v>
      </c>
      <c r="T4558">
        <v>32812.94</v>
      </c>
      <c r="U4558" t="s">
        <v>7522</v>
      </c>
      <c r="V4558" t="s">
        <v>9409</v>
      </c>
      <c r="W4558" t="s">
        <v>423</v>
      </c>
    </row>
    <row r="4559" spans="1:23" hidden="1" x14ac:dyDescent="0.2">
      <c r="A4559">
        <v>2012</v>
      </c>
      <c r="B4559" t="s">
        <v>304</v>
      </c>
      <c r="C4559" s="733">
        <v>40941</v>
      </c>
      <c r="D45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59" t="s">
        <v>505</v>
      </c>
      <c r="F4559" t="s">
        <v>1915</v>
      </c>
      <c r="G4559" t="s">
        <v>6924</v>
      </c>
      <c r="H4559">
        <v>22349</v>
      </c>
      <c r="I4559" t="s">
        <v>423</v>
      </c>
      <c r="J4559" t="s">
        <v>1947</v>
      </c>
      <c r="K4559" t="s">
        <v>1918</v>
      </c>
      <c r="L4559" t="s">
        <v>1919</v>
      </c>
      <c r="M4559">
        <v>973</v>
      </c>
      <c r="N4559">
        <v>54.18</v>
      </c>
      <c r="O4559">
        <v>31638.95</v>
      </c>
      <c r="P4559">
        <v>0</v>
      </c>
      <c r="Q4559">
        <v>31638.95</v>
      </c>
      <c r="R4559">
        <v>5062.2299999999996</v>
      </c>
      <c r="S4559">
        <v>1265.56</v>
      </c>
      <c r="T4559">
        <v>35435.620000000003</v>
      </c>
      <c r="U4559" t="s">
        <v>1926</v>
      </c>
      <c r="V4559" t="s">
        <v>9409</v>
      </c>
      <c r="W4559" t="s">
        <v>423</v>
      </c>
    </row>
    <row r="4560" spans="1:23" x14ac:dyDescent="0.2">
      <c r="A4560">
        <v>2012</v>
      </c>
      <c r="B4560" t="s">
        <v>304</v>
      </c>
      <c r="C4560" s="733">
        <v>40967</v>
      </c>
      <c r="D45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60" t="s">
        <v>485</v>
      </c>
      <c r="F4560" t="s">
        <v>2084</v>
      </c>
      <c r="G4560" t="s">
        <v>9157</v>
      </c>
      <c r="H4560">
        <v>42746</v>
      </c>
      <c r="I4560" t="s">
        <v>423</v>
      </c>
      <c r="J4560" t="s">
        <v>2972</v>
      </c>
      <c r="K4560" t="s">
        <v>2051</v>
      </c>
      <c r="L4560" t="s">
        <v>2052</v>
      </c>
      <c r="M4560">
        <v>398</v>
      </c>
      <c r="N4560">
        <v>26.2</v>
      </c>
      <c r="O4560">
        <v>7246.13</v>
      </c>
      <c r="P4560">
        <v>0</v>
      </c>
      <c r="Q4560">
        <v>7246.13</v>
      </c>
      <c r="R4560">
        <v>1159.3800000000001</v>
      </c>
      <c r="S4560">
        <v>289.85000000000002</v>
      </c>
      <c r="T4560">
        <v>8115.66</v>
      </c>
      <c r="U4560" t="s">
        <v>8780</v>
      </c>
      <c r="V4560" t="s">
        <v>9408</v>
      </c>
      <c r="W4560" t="s">
        <v>423</v>
      </c>
    </row>
    <row r="4561" spans="1:23" hidden="1" x14ac:dyDescent="0.2">
      <c r="A4561">
        <v>2012</v>
      </c>
      <c r="B4561" t="s">
        <v>303</v>
      </c>
      <c r="C4561" s="733">
        <v>40910</v>
      </c>
      <c r="D45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61" t="s">
        <v>478</v>
      </c>
      <c r="F4561" t="s">
        <v>2136</v>
      </c>
      <c r="G4561" t="s">
        <v>7083</v>
      </c>
      <c r="H4561">
        <v>34065</v>
      </c>
      <c r="I4561" t="s">
        <v>423</v>
      </c>
      <c r="J4561" t="s">
        <v>4276</v>
      </c>
      <c r="K4561" t="s">
        <v>425</v>
      </c>
      <c r="L4561" t="s">
        <v>2145</v>
      </c>
      <c r="M4561">
        <v>60</v>
      </c>
      <c r="N4561">
        <v>25.01</v>
      </c>
      <c r="O4561">
        <v>1413.57</v>
      </c>
      <c r="P4561">
        <v>1591.5243270000001</v>
      </c>
      <c r="Q4561">
        <v>3005.0943269999998</v>
      </c>
      <c r="R4561">
        <v>480.81509199999999</v>
      </c>
      <c r="S4561">
        <v>120.203773</v>
      </c>
      <c r="T4561">
        <v>3365.7056459999999</v>
      </c>
      <c r="U4561" t="s">
        <v>5788</v>
      </c>
      <c r="V4561" t="s">
        <v>9408</v>
      </c>
      <c r="W4561" t="s">
        <v>423</v>
      </c>
    </row>
    <row r="4562" spans="1:23" hidden="1" x14ac:dyDescent="0.2">
      <c r="A4562">
        <v>2012</v>
      </c>
      <c r="B4562" t="s">
        <v>304</v>
      </c>
      <c r="C4562" s="733">
        <v>40956</v>
      </c>
      <c r="D45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62" t="s">
        <v>478</v>
      </c>
      <c r="F4562" t="s">
        <v>2136</v>
      </c>
      <c r="G4562" t="s">
        <v>7867</v>
      </c>
      <c r="H4562">
        <v>35737</v>
      </c>
      <c r="I4562" t="s">
        <v>423</v>
      </c>
      <c r="J4562" t="s">
        <v>4276</v>
      </c>
      <c r="K4562" t="s">
        <v>425</v>
      </c>
      <c r="L4562" t="s">
        <v>2145</v>
      </c>
      <c r="M4562">
        <v>60</v>
      </c>
      <c r="N4562">
        <v>24.31</v>
      </c>
      <c r="O4562">
        <v>3263.62</v>
      </c>
      <c r="P4562">
        <v>0</v>
      </c>
      <c r="Q4562">
        <v>3263.62</v>
      </c>
      <c r="R4562">
        <v>522.17999999999995</v>
      </c>
      <c r="S4562">
        <v>130.54</v>
      </c>
      <c r="T4562">
        <v>3655.26</v>
      </c>
      <c r="U4562" t="s">
        <v>8510</v>
      </c>
      <c r="V4562" t="s">
        <v>9408</v>
      </c>
      <c r="W4562" t="s">
        <v>423</v>
      </c>
    </row>
    <row r="4563" spans="1:23" hidden="1" x14ac:dyDescent="0.2">
      <c r="A4563">
        <v>2012</v>
      </c>
      <c r="B4563" t="s">
        <v>304</v>
      </c>
      <c r="C4563" s="733">
        <v>40941</v>
      </c>
      <c r="D45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63" t="s">
        <v>478</v>
      </c>
      <c r="F4563" t="s">
        <v>2622</v>
      </c>
      <c r="G4563" t="s">
        <v>7084</v>
      </c>
      <c r="H4563">
        <v>35190</v>
      </c>
      <c r="I4563" t="s">
        <v>423</v>
      </c>
      <c r="J4563" t="s">
        <v>4276</v>
      </c>
      <c r="K4563" t="s">
        <v>425</v>
      </c>
      <c r="L4563" t="s">
        <v>2145</v>
      </c>
      <c r="M4563">
        <v>60</v>
      </c>
      <c r="N4563">
        <v>35.81</v>
      </c>
      <c r="O4563">
        <v>4807.49</v>
      </c>
      <c r="P4563">
        <v>0</v>
      </c>
      <c r="Q4563">
        <v>4807.49</v>
      </c>
      <c r="R4563">
        <v>769.2</v>
      </c>
      <c r="S4563">
        <v>192.3</v>
      </c>
      <c r="T4563">
        <v>5384.39</v>
      </c>
      <c r="U4563" t="s">
        <v>2580</v>
      </c>
      <c r="V4563" t="s">
        <v>9408</v>
      </c>
      <c r="W4563" t="s">
        <v>423</v>
      </c>
    </row>
    <row r="4564" spans="1:23" hidden="1" x14ac:dyDescent="0.2">
      <c r="A4564">
        <v>2012</v>
      </c>
      <c r="B4564" t="s">
        <v>303</v>
      </c>
      <c r="C4564" s="733">
        <v>40915</v>
      </c>
      <c r="D45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64" t="s">
        <v>505</v>
      </c>
      <c r="F4564" t="s">
        <v>1915</v>
      </c>
      <c r="G4564" t="s">
        <v>6919</v>
      </c>
      <c r="H4564">
        <v>21507</v>
      </c>
      <c r="I4564" t="s">
        <v>423</v>
      </c>
      <c r="J4564" t="s">
        <v>4158</v>
      </c>
      <c r="K4564" t="s">
        <v>1918</v>
      </c>
      <c r="L4564" t="s">
        <v>1919</v>
      </c>
      <c r="M4564">
        <v>274</v>
      </c>
      <c r="N4564">
        <v>27.05</v>
      </c>
      <c r="O4564">
        <v>7468.5</v>
      </c>
      <c r="P4564">
        <v>0</v>
      </c>
      <c r="Q4564">
        <v>7468.5</v>
      </c>
      <c r="R4564">
        <v>1194.96</v>
      </c>
      <c r="S4564">
        <v>298.74</v>
      </c>
      <c r="T4564">
        <v>8364.7199999999993</v>
      </c>
      <c r="U4564" t="s">
        <v>1984</v>
      </c>
      <c r="V4564" t="s">
        <v>9408</v>
      </c>
      <c r="W4564" t="s">
        <v>423</v>
      </c>
    </row>
    <row r="4565" spans="1:23" hidden="1" x14ac:dyDescent="0.2">
      <c r="A4565">
        <v>2012</v>
      </c>
      <c r="B4565" t="s">
        <v>304</v>
      </c>
      <c r="C4565" s="733">
        <v>40946</v>
      </c>
      <c r="D45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65" t="s">
        <v>505</v>
      </c>
      <c r="F4565" t="s">
        <v>1915</v>
      </c>
      <c r="G4565" t="s">
        <v>6917</v>
      </c>
      <c r="H4565">
        <v>22521</v>
      </c>
      <c r="I4565" t="s">
        <v>423</v>
      </c>
      <c r="J4565" t="s">
        <v>4158</v>
      </c>
      <c r="K4565" t="s">
        <v>1918</v>
      </c>
      <c r="L4565" t="s">
        <v>1919</v>
      </c>
      <c r="M4565">
        <v>274</v>
      </c>
      <c r="N4565">
        <v>54.3</v>
      </c>
      <c r="O4565">
        <v>14992.23</v>
      </c>
      <c r="P4565">
        <v>0</v>
      </c>
      <c r="Q4565">
        <v>14992.23</v>
      </c>
      <c r="R4565">
        <v>2398.7600000000002</v>
      </c>
      <c r="S4565">
        <v>599.69000000000005</v>
      </c>
      <c r="T4565">
        <v>16791.3</v>
      </c>
      <c r="U4565" t="s">
        <v>1924</v>
      </c>
      <c r="V4565" t="s">
        <v>9409</v>
      </c>
      <c r="W4565" t="s">
        <v>423</v>
      </c>
    </row>
    <row r="4566" spans="1:23" hidden="1" x14ac:dyDescent="0.2">
      <c r="A4566">
        <v>2012</v>
      </c>
      <c r="B4566" t="s">
        <v>304</v>
      </c>
      <c r="C4566" s="733">
        <v>40962</v>
      </c>
      <c r="D45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66" t="s">
        <v>485</v>
      </c>
      <c r="F4566" t="s">
        <v>2054</v>
      </c>
      <c r="G4566" t="s">
        <v>8683</v>
      </c>
      <c r="H4566">
        <v>10522</v>
      </c>
      <c r="I4566" t="s">
        <v>423</v>
      </c>
      <c r="J4566" t="s">
        <v>2056</v>
      </c>
      <c r="K4566" t="s">
        <v>2057</v>
      </c>
      <c r="L4566" t="s">
        <v>2058</v>
      </c>
      <c r="M4566">
        <v>19</v>
      </c>
      <c r="N4566">
        <v>45.54</v>
      </c>
      <c r="O4566">
        <v>5140.1000000000004</v>
      </c>
      <c r="P4566">
        <v>0</v>
      </c>
      <c r="Q4566">
        <v>5140.1000000000004</v>
      </c>
      <c r="R4566">
        <v>565.41</v>
      </c>
      <c r="S4566">
        <v>205.6</v>
      </c>
      <c r="T4566">
        <v>5499.91</v>
      </c>
      <c r="U4566" t="s">
        <v>8864</v>
      </c>
      <c r="V4566" t="s">
        <v>9409</v>
      </c>
      <c r="W4566" t="s">
        <v>423</v>
      </c>
    </row>
    <row r="4567" spans="1:23" hidden="1" x14ac:dyDescent="0.2">
      <c r="A4567">
        <v>2012</v>
      </c>
      <c r="B4567" t="s">
        <v>303</v>
      </c>
      <c r="C4567" s="733">
        <v>40919</v>
      </c>
      <c r="D45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67" t="s">
        <v>505</v>
      </c>
      <c r="F4567" t="s">
        <v>1915</v>
      </c>
      <c r="G4567" t="s">
        <v>6922</v>
      </c>
      <c r="H4567">
        <v>21873</v>
      </c>
      <c r="I4567" t="s">
        <v>423</v>
      </c>
      <c r="J4567" t="s">
        <v>5504</v>
      </c>
      <c r="K4567" t="s">
        <v>1918</v>
      </c>
      <c r="L4567" t="s">
        <v>1919</v>
      </c>
      <c r="M4567">
        <v>1115</v>
      </c>
      <c r="N4567">
        <v>29.53</v>
      </c>
      <c r="O4567">
        <v>21789.3</v>
      </c>
      <c r="P4567">
        <v>0</v>
      </c>
      <c r="Q4567">
        <v>21789.3</v>
      </c>
      <c r="R4567">
        <v>3486.29</v>
      </c>
      <c r="S4567">
        <v>871.57</v>
      </c>
      <c r="T4567">
        <v>24404.02</v>
      </c>
      <c r="U4567" t="s">
        <v>1931</v>
      </c>
      <c r="V4567" t="s">
        <v>9408</v>
      </c>
      <c r="W4567" t="s">
        <v>423</v>
      </c>
    </row>
    <row r="4568" spans="1:23" hidden="1" x14ac:dyDescent="0.2">
      <c r="A4568">
        <v>2012</v>
      </c>
      <c r="B4568" t="s">
        <v>304</v>
      </c>
      <c r="C4568" s="733">
        <v>40954</v>
      </c>
      <c r="D45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68" t="s">
        <v>505</v>
      </c>
      <c r="F4568" t="s">
        <v>1915</v>
      </c>
      <c r="G4568" t="s">
        <v>7509</v>
      </c>
      <c r="H4568">
        <v>21391</v>
      </c>
      <c r="I4568" t="s">
        <v>423</v>
      </c>
      <c r="J4568" t="s">
        <v>7510</v>
      </c>
      <c r="K4568" t="s">
        <v>1918</v>
      </c>
      <c r="L4568" t="s">
        <v>1919</v>
      </c>
      <c r="M4568">
        <v>1630</v>
      </c>
      <c r="N4568">
        <v>26.96</v>
      </c>
      <c r="O4568">
        <v>14091.23</v>
      </c>
      <c r="P4568">
        <v>0</v>
      </c>
      <c r="Q4568">
        <v>14091.23</v>
      </c>
      <c r="R4568">
        <v>2254.6</v>
      </c>
      <c r="S4568">
        <v>563.65</v>
      </c>
      <c r="T4568">
        <v>15782.18</v>
      </c>
      <c r="V4568" t="s">
        <v>9408</v>
      </c>
      <c r="W4568" t="s">
        <v>423</v>
      </c>
    </row>
    <row r="4569" spans="1:23" hidden="1" x14ac:dyDescent="0.2">
      <c r="A4569">
        <v>2012</v>
      </c>
      <c r="B4569" t="s">
        <v>303</v>
      </c>
      <c r="C4569" s="733">
        <v>40939.55023148148</v>
      </c>
      <c r="D45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69" t="s">
        <v>478</v>
      </c>
      <c r="F4569" t="s">
        <v>2622</v>
      </c>
      <c r="G4569" t="s">
        <v>4471</v>
      </c>
      <c r="H4569">
        <v>35153</v>
      </c>
      <c r="I4569" t="s">
        <v>423</v>
      </c>
      <c r="J4569" t="s">
        <v>2662</v>
      </c>
      <c r="K4569" t="s">
        <v>2625</v>
      </c>
      <c r="L4569" t="s">
        <v>2626</v>
      </c>
      <c r="M4569">
        <v>66</v>
      </c>
      <c r="N4569">
        <v>25.12</v>
      </c>
      <c r="O4569">
        <v>2957.38</v>
      </c>
      <c r="P4569">
        <v>0</v>
      </c>
      <c r="Q4569">
        <v>2957.38</v>
      </c>
      <c r="R4569">
        <v>473.18</v>
      </c>
      <c r="S4569">
        <v>118.3</v>
      </c>
      <c r="T4569">
        <v>3312.26</v>
      </c>
      <c r="U4569" t="s">
        <v>2648</v>
      </c>
      <c r="V4569" t="s">
        <v>9408</v>
      </c>
      <c r="W4569" t="s">
        <v>423</v>
      </c>
    </row>
    <row r="4570" spans="1:23" hidden="1" x14ac:dyDescent="0.2">
      <c r="A4570">
        <v>2012</v>
      </c>
      <c r="B4570" t="s">
        <v>303</v>
      </c>
      <c r="C4570" s="733">
        <v>40939.551249999997</v>
      </c>
      <c r="D45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70" t="s">
        <v>478</v>
      </c>
      <c r="F4570" t="s">
        <v>2622</v>
      </c>
      <c r="G4570" t="s">
        <v>4472</v>
      </c>
      <c r="H4570">
        <v>35156</v>
      </c>
      <c r="I4570" t="s">
        <v>423</v>
      </c>
      <c r="J4570" t="s">
        <v>2662</v>
      </c>
      <c r="K4570" t="s">
        <v>2625</v>
      </c>
      <c r="L4570" t="s">
        <v>2626</v>
      </c>
      <c r="M4570">
        <v>66</v>
      </c>
      <c r="N4570">
        <v>24.8</v>
      </c>
      <c r="O4570">
        <v>2919.7</v>
      </c>
      <c r="P4570">
        <v>0</v>
      </c>
      <c r="Q4570">
        <v>2919.7</v>
      </c>
      <c r="R4570">
        <v>467.15</v>
      </c>
      <c r="S4570">
        <v>116.79</v>
      </c>
      <c r="T4570">
        <v>3270.06</v>
      </c>
      <c r="U4570" t="s">
        <v>2648</v>
      </c>
      <c r="V4570" t="s">
        <v>9408</v>
      </c>
      <c r="W4570" t="s">
        <v>423</v>
      </c>
    </row>
    <row r="4571" spans="1:23" hidden="1" x14ac:dyDescent="0.2">
      <c r="A4571">
        <v>2012</v>
      </c>
      <c r="B4571" t="s">
        <v>303</v>
      </c>
      <c r="C4571" s="733">
        <v>40918</v>
      </c>
      <c r="D45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71" t="s">
        <v>478</v>
      </c>
      <c r="F4571" t="s">
        <v>2622</v>
      </c>
      <c r="G4571" t="s">
        <v>4470</v>
      </c>
      <c r="H4571">
        <v>34341</v>
      </c>
      <c r="I4571" t="s">
        <v>423</v>
      </c>
      <c r="J4571" t="s">
        <v>2662</v>
      </c>
      <c r="K4571" t="s">
        <v>2625</v>
      </c>
      <c r="L4571" t="s">
        <v>2626</v>
      </c>
      <c r="M4571">
        <v>66</v>
      </c>
      <c r="N4571">
        <v>25.62</v>
      </c>
      <c r="O4571">
        <v>3016.24</v>
      </c>
      <c r="P4571">
        <v>0</v>
      </c>
      <c r="Q4571">
        <v>3016.24</v>
      </c>
      <c r="R4571">
        <v>482.6</v>
      </c>
      <c r="S4571">
        <v>120.65</v>
      </c>
      <c r="T4571">
        <v>3378.19</v>
      </c>
      <c r="U4571" t="s">
        <v>2627</v>
      </c>
      <c r="V4571" t="s">
        <v>9408</v>
      </c>
      <c r="W4571" t="s">
        <v>423</v>
      </c>
    </row>
    <row r="4572" spans="1:23" hidden="1" x14ac:dyDescent="0.2">
      <c r="A4572">
        <v>2012</v>
      </c>
      <c r="B4572" t="s">
        <v>303</v>
      </c>
      <c r="C4572" s="733">
        <v>40918</v>
      </c>
      <c r="D45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72" t="s">
        <v>478</v>
      </c>
      <c r="F4572" t="s">
        <v>2622</v>
      </c>
      <c r="G4572" t="s">
        <v>3893</v>
      </c>
      <c r="H4572">
        <v>34295</v>
      </c>
      <c r="I4572" t="s">
        <v>423</v>
      </c>
      <c r="J4572" t="s">
        <v>2662</v>
      </c>
      <c r="K4572" t="s">
        <v>2625</v>
      </c>
      <c r="L4572" t="s">
        <v>2626</v>
      </c>
      <c r="M4572">
        <v>66</v>
      </c>
      <c r="N4572">
        <v>22.48</v>
      </c>
      <c r="O4572">
        <v>2646.57</v>
      </c>
      <c r="P4572">
        <v>0</v>
      </c>
      <c r="Q4572">
        <v>2646.57</v>
      </c>
      <c r="R4572">
        <v>423.45</v>
      </c>
      <c r="S4572">
        <v>105.86</v>
      </c>
      <c r="T4572">
        <v>2964.16</v>
      </c>
      <c r="U4572" t="s">
        <v>2630</v>
      </c>
      <c r="V4572" t="s">
        <v>9408</v>
      </c>
      <c r="W4572" t="s">
        <v>423</v>
      </c>
    </row>
    <row r="4573" spans="1:23" hidden="1" x14ac:dyDescent="0.2">
      <c r="A4573">
        <v>2012</v>
      </c>
      <c r="B4573" t="s">
        <v>304</v>
      </c>
      <c r="C4573" s="733">
        <v>40959</v>
      </c>
      <c r="D45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73" t="s">
        <v>485</v>
      </c>
      <c r="F4573" t="s">
        <v>2054</v>
      </c>
      <c r="G4573" t="s">
        <v>8174</v>
      </c>
      <c r="H4573">
        <v>10405</v>
      </c>
      <c r="I4573" t="s">
        <v>423</v>
      </c>
      <c r="J4573" t="s">
        <v>2056</v>
      </c>
      <c r="K4573" t="s">
        <v>2057</v>
      </c>
      <c r="L4573" t="s">
        <v>2058</v>
      </c>
      <c r="M4573">
        <v>19</v>
      </c>
      <c r="N4573">
        <v>28.85</v>
      </c>
      <c r="O4573">
        <v>3256.3</v>
      </c>
      <c r="P4573">
        <v>0</v>
      </c>
      <c r="Q4573">
        <v>3256.3</v>
      </c>
      <c r="R4573">
        <v>358.19</v>
      </c>
      <c r="S4573">
        <v>130.25</v>
      </c>
      <c r="T4573">
        <v>3484.24</v>
      </c>
      <c r="U4573" t="s">
        <v>8047</v>
      </c>
      <c r="V4573" t="s">
        <v>9408</v>
      </c>
      <c r="W4573" t="s">
        <v>423</v>
      </c>
    </row>
    <row r="4574" spans="1:23" x14ac:dyDescent="0.2">
      <c r="A4574">
        <v>2012</v>
      </c>
      <c r="B4574" t="s">
        <v>304</v>
      </c>
      <c r="C4574" s="733">
        <v>40967.433437500003</v>
      </c>
      <c r="D45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74" t="s">
        <v>485</v>
      </c>
      <c r="F4574" t="s">
        <v>2054</v>
      </c>
      <c r="G4574" t="s">
        <v>9354</v>
      </c>
      <c r="H4574">
        <v>10599</v>
      </c>
      <c r="I4574" t="s">
        <v>423</v>
      </c>
      <c r="J4574" t="s">
        <v>4078</v>
      </c>
      <c r="K4574" t="s">
        <v>2057</v>
      </c>
      <c r="L4574" t="s">
        <v>2058</v>
      </c>
      <c r="M4574">
        <v>154</v>
      </c>
      <c r="N4574">
        <v>47.21</v>
      </c>
      <c r="O4574">
        <v>7955.83</v>
      </c>
      <c r="P4574">
        <v>0</v>
      </c>
      <c r="Q4574">
        <v>7955.83</v>
      </c>
      <c r="R4574">
        <v>875.14</v>
      </c>
      <c r="S4574">
        <v>318.23</v>
      </c>
      <c r="T4574">
        <v>8512.74</v>
      </c>
      <c r="V4574" t="s">
        <v>9409</v>
      </c>
      <c r="W4574" t="s">
        <v>423</v>
      </c>
    </row>
    <row r="4575" spans="1:23" hidden="1" x14ac:dyDescent="0.2">
      <c r="A4575">
        <v>2012</v>
      </c>
      <c r="B4575" t="s">
        <v>303</v>
      </c>
      <c r="C4575" s="733">
        <v>40939.381481481483</v>
      </c>
      <c r="D45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75" t="s">
        <v>478</v>
      </c>
      <c r="F4575" t="s">
        <v>2142</v>
      </c>
      <c r="G4575" t="s">
        <v>7209</v>
      </c>
      <c r="H4575">
        <v>35089</v>
      </c>
      <c r="I4575" t="s">
        <v>423</v>
      </c>
      <c r="J4575" t="s">
        <v>3636</v>
      </c>
      <c r="K4575" t="s">
        <v>425</v>
      </c>
      <c r="L4575" t="s">
        <v>2145</v>
      </c>
      <c r="M4575">
        <v>244</v>
      </c>
      <c r="N4575">
        <v>48.72</v>
      </c>
      <c r="O4575">
        <v>8137.21</v>
      </c>
      <c r="P4575">
        <v>0</v>
      </c>
      <c r="Q4575">
        <v>8137.21</v>
      </c>
      <c r="R4575">
        <v>1301.95</v>
      </c>
      <c r="S4575">
        <v>325.49</v>
      </c>
      <c r="T4575">
        <v>9113.67</v>
      </c>
      <c r="U4575" t="s">
        <v>2580</v>
      </c>
      <c r="V4575" t="s">
        <v>9409</v>
      </c>
      <c r="W4575" t="s">
        <v>423</v>
      </c>
    </row>
    <row r="4576" spans="1:23" hidden="1" x14ac:dyDescent="0.2">
      <c r="A4576">
        <v>2012</v>
      </c>
      <c r="B4576" t="s">
        <v>304</v>
      </c>
      <c r="C4576" s="733">
        <v>40956</v>
      </c>
      <c r="D45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76" t="s">
        <v>478</v>
      </c>
      <c r="F4576" t="s">
        <v>2136</v>
      </c>
      <c r="G4576" t="s">
        <v>7945</v>
      </c>
      <c r="H4576">
        <v>35563</v>
      </c>
      <c r="I4576" t="s">
        <v>423</v>
      </c>
      <c r="J4576" t="s">
        <v>3636</v>
      </c>
      <c r="K4576" t="s">
        <v>425</v>
      </c>
      <c r="L4576" t="s">
        <v>2145</v>
      </c>
      <c r="M4576">
        <v>244</v>
      </c>
      <c r="N4576">
        <v>23.46</v>
      </c>
      <c r="O4576">
        <v>3918.29</v>
      </c>
      <c r="P4576">
        <v>0</v>
      </c>
      <c r="Q4576">
        <v>3918.29</v>
      </c>
      <c r="R4576">
        <v>626.92999999999995</v>
      </c>
      <c r="S4576">
        <v>156.72999999999999</v>
      </c>
      <c r="T4576">
        <v>4388.49</v>
      </c>
      <c r="U4576" t="s">
        <v>9455</v>
      </c>
      <c r="V4576" t="s">
        <v>9408</v>
      </c>
      <c r="W4576" t="s">
        <v>423</v>
      </c>
    </row>
    <row r="4577" spans="1:23" hidden="1" x14ac:dyDescent="0.2">
      <c r="A4577">
        <v>2012</v>
      </c>
      <c r="B4577" t="s">
        <v>303</v>
      </c>
      <c r="C4577" s="733">
        <v>40936.440532407411</v>
      </c>
      <c r="D45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77" t="s">
        <v>478</v>
      </c>
      <c r="F4577" t="s">
        <v>2136</v>
      </c>
      <c r="G4577" t="s">
        <v>3887</v>
      </c>
      <c r="H4577">
        <v>35029</v>
      </c>
      <c r="I4577" t="s">
        <v>423</v>
      </c>
      <c r="J4577" t="s">
        <v>2662</v>
      </c>
      <c r="K4577" t="s">
        <v>2625</v>
      </c>
      <c r="L4577" t="s">
        <v>2626</v>
      </c>
      <c r="M4577">
        <v>66</v>
      </c>
      <c r="N4577">
        <v>23</v>
      </c>
      <c r="O4577">
        <v>2707.79</v>
      </c>
      <c r="P4577">
        <v>0</v>
      </c>
      <c r="Q4577">
        <v>2707.79</v>
      </c>
      <c r="R4577">
        <v>433.25</v>
      </c>
      <c r="S4577">
        <v>108.31</v>
      </c>
      <c r="T4577">
        <v>3032.73</v>
      </c>
      <c r="U4577" t="s">
        <v>2630</v>
      </c>
      <c r="V4577" t="s">
        <v>9408</v>
      </c>
      <c r="W4577" t="s">
        <v>423</v>
      </c>
    </row>
    <row r="4578" spans="1:23" hidden="1" x14ac:dyDescent="0.2">
      <c r="A4578">
        <v>2012</v>
      </c>
      <c r="B4578" t="s">
        <v>303</v>
      </c>
      <c r="C4578" s="733">
        <v>40927</v>
      </c>
      <c r="D45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78" t="s">
        <v>478</v>
      </c>
      <c r="F4578" t="s">
        <v>2622</v>
      </c>
      <c r="G4578" t="s">
        <v>3886</v>
      </c>
      <c r="H4578">
        <v>34628</v>
      </c>
      <c r="I4578" t="s">
        <v>423</v>
      </c>
      <c r="J4578" t="s">
        <v>2662</v>
      </c>
      <c r="K4578" t="s">
        <v>2625</v>
      </c>
      <c r="L4578" t="s">
        <v>2626</v>
      </c>
      <c r="M4578">
        <v>66</v>
      </c>
      <c r="N4578">
        <v>26.29</v>
      </c>
      <c r="O4578">
        <v>3095.12</v>
      </c>
      <c r="P4578">
        <v>0</v>
      </c>
      <c r="Q4578">
        <v>3095.12</v>
      </c>
      <c r="R4578">
        <v>495.22</v>
      </c>
      <c r="S4578">
        <v>123.8</v>
      </c>
      <c r="T4578">
        <v>3466.54</v>
      </c>
      <c r="U4578" t="s">
        <v>2627</v>
      </c>
      <c r="V4578" t="s">
        <v>9408</v>
      </c>
      <c r="W4578" t="s">
        <v>423</v>
      </c>
    </row>
    <row r="4579" spans="1:23" hidden="1" x14ac:dyDescent="0.2">
      <c r="A4579">
        <v>2012</v>
      </c>
      <c r="B4579" t="s">
        <v>303</v>
      </c>
      <c r="C4579" s="733">
        <v>40919</v>
      </c>
      <c r="D45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79" t="s">
        <v>485</v>
      </c>
      <c r="F4579" t="s">
        <v>2054</v>
      </c>
      <c r="G4579" t="s">
        <v>6068</v>
      </c>
      <c r="H4579">
        <v>9971</v>
      </c>
      <c r="I4579" t="s">
        <v>423</v>
      </c>
      <c r="J4579" t="s">
        <v>4078</v>
      </c>
      <c r="K4579" t="s">
        <v>2057</v>
      </c>
      <c r="L4579" t="s">
        <v>2058</v>
      </c>
      <c r="M4579">
        <v>154</v>
      </c>
      <c r="N4579">
        <v>22.18</v>
      </c>
      <c r="O4579">
        <v>3737.77</v>
      </c>
      <c r="P4579">
        <v>0</v>
      </c>
      <c r="Q4579">
        <v>3737.77</v>
      </c>
      <c r="R4579">
        <v>598.04</v>
      </c>
      <c r="S4579">
        <v>149.51</v>
      </c>
      <c r="T4579">
        <v>4186.3</v>
      </c>
      <c r="U4579" t="s">
        <v>2070</v>
      </c>
      <c r="V4579" t="s">
        <v>9408</v>
      </c>
      <c r="W4579" t="s">
        <v>423</v>
      </c>
    </row>
    <row r="4580" spans="1:23" hidden="1" x14ac:dyDescent="0.2">
      <c r="A4580">
        <v>2012</v>
      </c>
      <c r="B4580" t="s">
        <v>304</v>
      </c>
      <c r="C4580" s="733">
        <v>40968</v>
      </c>
      <c r="D45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80" t="s">
        <v>505</v>
      </c>
      <c r="F4580" t="s">
        <v>1915</v>
      </c>
      <c r="G4580" t="s">
        <v>9356</v>
      </c>
      <c r="H4580">
        <v>23048</v>
      </c>
      <c r="I4580" t="s">
        <v>1979</v>
      </c>
      <c r="J4580" t="s">
        <v>1980</v>
      </c>
      <c r="K4580" t="s">
        <v>1918</v>
      </c>
      <c r="L4580" t="s">
        <v>1919</v>
      </c>
      <c r="M4580">
        <v>732</v>
      </c>
      <c r="N4580">
        <v>50.01</v>
      </c>
      <c r="O4580">
        <v>21934.39</v>
      </c>
      <c r="P4580">
        <v>0</v>
      </c>
      <c r="Q4580">
        <v>21934.39</v>
      </c>
      <c r="R4580">
        <v>3509.5</v>
      </c>
      <c r="S4580">
        <v>877.38</v>
      </c>
      <c r="T4580">
        <v>24566.51</v>
      </c>
      <c r="V4580" t="s">
        <v>9409</v>
      </c>
      <c r="W4580" t="s">
        <v>1979</v>
      </c>
    </row>
    <row r="4581" spans="1:23" hidden="1" x14ac:dyDescent="0.2">
      <c r="A4581">
        <v>2012</v>
      </c>
      <c r="B4581" t="s">
        <v>304</v>
      </c>
      <c r="C4581" s="733">
        <v>40947</v>
      </c>
      <c r="D45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81" t="s">
        <v>505</v>
      </c>
      <c r="F4581" t="s">
        <v>1915</v>
      </c>
      <c r="G4581" t="s">
        <v>6908</v>
      </c>
      <c r="H4581">
        <v>22524</v>
      </c>
      <c r="I4581" t="s">
        <v>1979</v>
      </c>
      <c r="J4581" t="s">
        <v>1980</v>
      </c>
      <c r="K4581" t="s">
        <v>1918</v>
      </c>
      <c r="L4581" t="s">
        <v>1919</v>
      </c>
      <c r="M4581">
        <v>732</v>
      </c>
      <c r="N4581">
        <v>49.45</v>
      </c>
      <c r="O4581">
        <v>21688.77</v>
      </c>
      <c r="P4581">
        <v>0</v>
      </c>
      <c r="Q4581">
        <v>21688.77</v>
      </c>
      <c r="R4581">
        <v>3470.2</v>
      </c>
      <c r="S4581">
        <v>867.55</v>
      </c>
      <c r="T4581">
        <v>24291.42</v>
      </c>
      <c r="U4581" t="s">
        <v>1924</v>
      </c>
      <c r="V4581" t="s">
        <v>9409</v>
      </c>
      <c r="W4581" t="s">
        <v>1979</v>
      </c>
    </row>
    <row r="4582" spans="1:23" hidden="1" x14ac:dyDescent="0.2">
      <c r="A4582">
        <v>2012</v>
      </c>
      <c r="B4582" t="s">
        <v>304</v>
      </c>
      <c r="C4582" s="733">
        <v>40964</v>
      </c>
      <c r="D45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82" t="s">
        <v>505</v>
      </c>
      <c r="F4582" t="s">
        <v>1915</v>
      </c>
      <c r="G4582" t="s">
        <v>8734</v>
      </c>
      <c r="H4582">
        <v>22992</v>
      </c>
      <c r="I4582" t="s">
        <v>423</v>
      </c>
      <c r="J4582" t="s">
        <v>1945</v>
      </c>
      <c r="K4582" t="s">
        <v>1918</v>
      </c>
      <c r="L4582" t="s">
        <v>1919</v>
      </c>
      <c r="M4582">
        <v>949</v>
      </c>
      <c r="N4582">
        <v>27</v>
      </c>
      <c r="O4582">
        <v>15536.07</v>
      </c>
      <c r="P4582">
        <v>0</v>
      </c>
      <c r="Q4582">
        <v>15536.07</v>
      </c>
      <c r="R4582">
        <v>2485.77</v>
      </c>
      <c r="S4582">
        <v>621.44000000000005</v>
      </c>
      <c r="T4582">
        <v>17400.400000000001</v>
      </c>
      <c r="U4582" t="s">
        <v>9415</v>
      </c>
      <c r="V4582" t="s">
        <v>9408</v>
      </c>
      <c r="W4582" t="s">
        <v>423</v>
      </c>
    </row>
    <row r="4583" spans="1:23" hidden="1" x14ac:dyDescent="0.2">
      <c r="A4583">
        <v>2012</v>
      </c>
      <c r="B4583" t="s">
        <v>305</v>
      </c>
      <c r="C4583" s="733">
        <v>40969</v>
      </c>
      <c r="D4583" s="733" t="str">
        <f>CHOOSE(MONTH(Tabla_sqldatos_bonampakdb_Bon_v_ingresos2012[[#This Row],[fecha_guia]]),"Enero","Febrero","Marzo","Abril","Mayo","Junio","Julio","Agosto","Septiembre","Octubre","Noviembre","Diciembre")</f>
        <v>Marzo</v>
      </c>
      <c r="E4583" t="s">
        <v>505</v>
      </c>
      <c r="F4583" t="s">
        <v>1915</v>
      </c>
      <c r="G4583" t="s">
        <v>9613</v>
      </c>
      <c r="H4583">
        <v>23080</v>
      </c>
      <c r="I4583" t="s">
        <v>423</v>
      </c>
      <c r="J4583" t="s">
        <v>4140</v>
      </c>
      <c r="K4583" t="s">
        <v>1918</v>
      </c>
      <c r="L4583" t="s">
        <v>1919</v>
      </c>
      <c r="M4583">
        <v>1</v>
      </c>
      <c r="N4583">
        <v>25.88</v>
      </c>
      <c r="O4583">
        <v>2499.4899999999998</v>
      </c>
      <c r="P4583">
        <v>0</v>
      </c>
      <c r="Q4583">
        <v>2499.4899999999998</v>
      </c>
      <c r="R4583">
        <v>399.92</v>
      </c>
      <c r="S4583">
        <v>99.98</v>
      </c>
      <c r="T4583">
        <v>2799.43</v>
      </c>
      <c r="V4583" t="s">
        <v>9408</v>
      </c>
      <c r="W4583" t="s">
        <v>423</v>
      </c>
    </row>
    <row r="4584" spans="1:23" hidden="1" x14ac:dyDescent="0.2">
      <c r="A4584">
        <v>2012</v>
      </c>
      <c r="B4584" t="s">
        <v>304</v>
      </c>
      <c r="C4584" s="733">
        <v>40941</v>
      </c>
      <c r="D45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84" t="s">
        <v>485</v>
      </c>
      <c r="F4584" t="s">
        <v>2054</v>
      </c>
      <c r="G4584" t="s">
        <v>6259</v>
      </c>
      <c r="H4584">
        <v>10291</v>
      </c>
      <c r="I4584" t="s">
        <v>423</v>
      </c>
      <c r="J4584" t="s">
        <v>4078</v>
      </c>
      <c r="K4584" t="s">
        <v>2057</v>
      </c>
      <c r="L4584" t="s">
        <v>2058</v>
      </c>
      <c r="M4584">
        <v>154</v>
      </c>
      <c r="N4584">
        <v>23.44</v>
      </c>
      <c r="O4584">
        <v>3950.11</v>
      </c>
      <c r="P4584">
        <v>0</v>
      </c>
      <c r="Q4584">
        <v>3950.11</v>
      </c>
      <c r="R4584">
        <v>632.02</v>
      </c>
      <c r="S4584">
        <v>158</v>
      </c>
      <c r="T4584">
        <v>4424.13</v>
      </c>
      <c r="U4584" t="s">
        <v>2075</v>
      </c>
      <c r="V4584" t="s">
        <v>9408</v>
      </c>
      <c r="W4584" t="s">
        <v>423</v>
      </c>
    </row>
    <row r="4585" spans="1:23" hidden="1" x14ac:dyDescent="0.2">
      <c r="A4585">
        <v>2012</v>
      </c>
      <c r="B4585" t="s">
        <v>303</v>
      </c>
      <c r="C4585" s="733">
        <v>40939</v>
      </c>
      <c r="D45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85" t="s">
        <v>505</v>
      </c>
      <c r="F4585" t="s">
        <v>1915</v>
      </c>
      <c r="G4585" t="s">
        <v>6528</v>
      </c>
      <c r="H4585">
        <v>21658</v>
      </c>
      <c r="I4585" t="s">
        <v>423</v>
      </c>
      <c r="J4585" t="s">
        <v>1980</v>
      </c>
      <c r="K4585" t="s">
        <v>1918</v>
      </c>
      <c r="L4585" t="s">
        <v>1919</v>
      </c>
      <c r="M4585">
        <v>732</v>
      </c>
      <c r="N4585">
        <v>26.09</v>
      </c>
      <c r="O4585">
        <v>11443.07</v>
      </c>
      <c r="P4585">
        <v>0</v>
      </c>
      <c r="Q4585">
        <v>11443.07</v>
      </c>
      <c r="R4585">
        <v>1830.89</v>
      </c>
      <c r="S4585">
        <v>457.72</v>
      </c>
      <c r="T4585">
        <v>12816.24</v>
      </c>
      <c r="U4585" t="s">
        <v>1936</v>
      </c>
      <c r="V4585" t="s">
        <v>9408</v>
      </c>
      <c r="W4585" t="s">
        <v>423</v>
      </c>
    </row>
    <row r="4586" spans="1:23" hidden="1" x14ac:dyDescent="0.2">
      <c r="A4586">
        <v>2012</v>
      </c>
      <c r="B4586" t="s">
        <v>303</v>
      </c>
      <c r="C4586" s="733">
        <v>40931</v>
      </c>
      <c r="D45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86" t="s">
        <v>505</v>
      </c>
      <c r="F4586" t="s">
        <v>1915</v>
      </c>
      <c r="G4586" t="s">
        <v>2523</v>
      </c>
      <c r="H4586">
        <v>22185</v>
      </c>
      <c r="I4586" t="s">
        <v>423</v>
      </c>
      <c r="J4586" t="s">
        <v>1980</v>
      </c>
      <c r="K4586" t="s">
        <v>1918</v>
      </c>
      <c r="L4586" t="s">
        <v>1919</v>
      </c>
      <c r="M4586">
        <v>732</v>
      </c>
      <c r="N4586">
        <v>49.4</v>
      </c>
      <c r="O4586">
        <v>21666.84</v>
      </c>
      <c r="P4586">
        <v>0</v>
      </c>
      <c r="Q4586">
        <v>21666.84</v>
      </c>
      <c r="R4586">
        <v>3466.69</v>
      </c>
      <c r="S4586">
        <v>866.67</v>
      </c>
      <c r="T4586">
        <v>24266.86</v>
      </c>
      <c r="V4586" t="s">
        <v>9409</v>
      </c>
      <c r="W4586" t="s">
        <v>423</v>
      </c>
    </row>
    <row r="4587" spans="1:23" hidden="1" x14ac:dyDescent="0.2">
      <c r="A4587">
        <v>2012</v>
      </c>
      <c r="B4587" t="s">
        <v>304</v>
      </c>
      <c r="C4587" s="733">
        <v>40942</v>
      </c>
      <c r="D45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87" t="s">
        <v>505</v>
      </c>
      <c r="F4587" t="s">
        <v>1915</v>
      </c>
      <c r="G4587" t="s">
        <v>2522</v>
      </c>
      <c r="H4587">
        <v>22426</v>
      </c>
      <c r="I4587" t="s">
        <v>1979</v>
      </c>
      <c r="J4587" t="s">
        <v>1980</v>
      </c>
      <c r="K4587" t="s">
        <v>1918</v>
      </c>
      <c r="L4587" t="s">
        <v>1919</v>
      </c>
      <c r="M4587">
        <v>732</v>
      </c>
      <c r="N4587">
        <v>49.58</v>
      </c>
      <c r="O4587">
        <v>21745.79</v>
      </c>
      <c r="P4587">
        <v>0</v>
      </c>
      <c r="Q4587">
        <v>21745.79</v>
      </c>
      <c r="R4587">
        <v>3479.33</v>
      </c>
      <c r="S4587">
        <v>869.83</v>
      </c>
      <c r="T4587">
        <v>24355.29</v>
      </c>
      <c r="U4587" t="s">
        <v>1924</v>
      </c>
      <c r="V4587" t="s">
        <v>9409</v>
      </c>
      <c r="W4587" t="s">
        <v>1979</v>
      </c>
    </row>
    <row r="4588" spans="1:23" hidden="1" x14ac:dyDescent="0.2">
      <c r="A4588">
        <v>2012</v>
      </c>
      <c r="B4588" t="s">
        <v>304</v>
      </c>
      <c r="C4588" s="733">
        <v>40966</v>
      </c>
      <c r="D45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88" t="s">
        <v>505</v>
      </c>
      <c r="F4588" t="s">
        <v>1915</v>
      </c>
      <c r="G4588" t="s">
        <v>8818</v>
      </c>
      <c r="H4588">
        <v>23009</v>
      </c>
      <c r="I4588" t="s">
        <v>1979</v>
      </c>
      <c r="J4588" t="s">
        <v>1980</v>
      </c>
      <c r="K4588" t="s">
        <v>1918</v>
      </c>
      <c r="L4588" t="s">
        <v>1919</v>
      </c>
      <c r="M4588">
        <v>732</v>
      </c>
      <c r="N4588">
        <v>49.72</v>
      </c>
      <c r="O4588">
        <v>23507.62</v>
      </c>
      <c r="P4588">
        <v>0</v>
      </c>
      <c r="Q4588">
        <v>23507.62</v>
      </c>
      <c r="R4588">
        <v>3761.22</v>
      </c>
      <c r="S4588">
        <v>940.3</v>
      </c>
      <c r="T4588">
        <v>26328.54</v>
      </c>
      <c r="U4588" t="s">
        <v>9415</v>
      </c>
      <c r="V4588" t="s">
        <v>9409</v>
      </c>
      <c r="W4588" t="s">
        <v>1979</v>
      </c>
    </row>
    <row r="4589" spans="1:23" hidden="1" x14ac:dyDescent="0.2">
      <c r="A4589">
        <v>2012</v>
      </c>
      <c r="B4589" t="s">
        <v>303</v>
      </c>
      <c r="C4589" s="733">
        <v>40939</v>
      </c>
      <c r="D45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89" t="s">
        <v>505</v>
      </c>
      <c r="F4589" t="s">
        <v>1915</v>
      </c>
      <c r="G4589" t="s">
        <v>2520</v>
      </c>
      <c r="H4589">
        <v>21710</v>
      </c>
      <c r="I4589" t="s">
        <v>423</v>
      </c>
      <c r="J4589" t="s">
        <v>1945</v>
      </c>
      <c r="K4589" t="s">
        <v>1918</v>
      </c>
      <c r="L4589" t="s">
        <v>1919</v>
      </c>
      <c r="M4589">
        <v>949</v>
      </c>
      <c r="N4589">
        <v>53.75</v>
      </c>
      <c r="O4589">
        <v>30928.29</v>
      </c>
      <c r="P4589">
        <v>0</v>
      </c>
      <c r="Q4589">
        <v>30928.29</v>
      </c>
      <c r="R4589">
        <v>4948.53</v>
      </c>
      <c r="S4589">
        <v>1237.1300000000001</v>
      </c>
      <c r="T4589">
        <v>34639.69</v>
      </c>
      <c r="U4589" t="s">
        <v>1936</v>
      </c>
      <c r="V4589" t="s">
        <v>9409</v>
      </c>
      <c r="W4589" t="s">
        <v>423</v>
      </c>
    </row>
    <row r="4590" spans="1:23" hidden="1" x14ac:dyDescent="0.2">
      <c r="A4590">
        <v>2012</v>
      </c>
      <c r="B4590" t="s">
        <v>304</v>
      </c>
      <c r="C4590" s="733">
        <v>40964</v>
      </c>
      <c r="D45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90" t="s">
        <v>505</v>
      </c>
      <c r="F4590" t="s">
        <v>1915</v>
      </c>
      <c r="G4590" t="s">
        <v>8748</v>
      </c>
      <c r="H4590">
        <v>22956</v>
      </c>
      <c r="I4590" t="s">
        <v>423</v>
      </c>
      <c r="J4590" t="s">
        <v>1945</v>
      </c>
      <c r="K4590" t="s">
        <v>1918</v>
      </c>
      <c r="L4590" t="s">
        <v>1919</v>
      </c>
      <c r="M4590">
        <v>949</v>
      </c>
      <c r="N4590">
        <v>28</v>
      </c>
      <c r="O4590">
        <v>16111.48</v>
      </c>
      <c r="P4590">
        <v>0</v>
      </c>
      <c r="Q4590">
        <v>16111.48</v>
      </c>
      <c r="R4590">
        <v>2577.84</v>
      </c>
      <c r="S4590">
        <v>644.46</v>
      </c>
      <c r="T4590">
        <v>18044.86</v>
      </c>
      <c r="U4590" t="s">
        <v>9415</v>
      </c>
      <c r="V4590" t="s">
        <v>9408</v>
      </c>
      <c r="W4590" t="s">
        <v>423</v>
      </c>
    </row>
    <row r="4591" spans="1:23" hidden="1" x14ac:dyDescent="0.2">
      <c r="A4591">
        <v>2012</v>
      </c>
      <c r="B4591" t="s">
        <v>303</v>
      </c>
      <c r="C4591" s="733">
        <v>40927</v>
      </c>
      <c r="D45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91" t="s">
        <v>505</v>
      </c>
      <c r="F4591" t="s">
        <v>1915</v>
      </c>
      <c r="G4591" t="s">
        <v>2521</v>
      </c>
      <c r="H4591">
        <v>22072</v>
      </c>
      <c r="I4591" t="s">
        <v>423</v>
      </c>
      <c r="J4591" t="s">
        <v>1945</v>
      </c>
      <c r="K4591" t="s">
        <v>1918</v>
      </c>
      <c r="L4591" t="s">
        <v>1919</v>
      </c>
      <c r="M4591">
        <v>949</v>
      </c>
      <c r="N4591">
        <v>54.1</v>
      </c>
      <c r="O4591">
        <v>31129.68</v>
      </c>
      <c r="P4591">
        <v>0</v>
      </c>
      <c r="Q4591">
        <v>31129.68</v>
      </c>
      <c r="R4591">
        <v>4980.75</v>
      </c>
      <c r="S4591">
        <v>1245.19</v>
      </c>
      <c r="T4591">
        <v>34865.24</v>
      </c>
      <c r="U4591" t="s">
        <v>8778</v>
      </c>
      <c r="V4591" t="s">
        <v>9409</v>
      </c>
      <c r="W4591" t="s">
        <v>423</v>
      </c>
    </row>
    <row r="4592" spans="1:23" hidden="1" x14ac:dyDescent="0.2">
      <c r="A4592">
        <v>2012</v>
      </c>
      <c r="B4592" t="s">
        <v>304</v>
      </c>
      <c r="C4592" s="733">
        <v>40959</v>
      </c>
      <c r="D45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92" t="s">
        <v>505</v>
      </c>
      <c r="F4592" t="s">
        <v>1915</v>
      </c>
      <c r="G4592" t="s">
        <v>8070</v>
      </c>
      <c r="H4592">
        <v>22826</v>
      </c>
      <c r="I4592" t="s">
        <v>1979</v>
      </c>
      <c r="J4592" t="s">
        <v>1980</v>
      </c>
      <c r="K4592" t="s">
        <v>1918</v>
      </c>
      <c r="L4592" t="s">
        <v>1919</v>
      </c>
      <c r="M4592">
        <v>732</v>
      </c>
      <c r="N4592">
        <v>50.22</v>
      </c>
      <c r="O4592">
        <v>22026.49</v>
      </c>
      <c r="P4592">
        <v>0</v>
      </c>
      <c r="Q4592">
        <v>22026.49</v>
      </c>
      <c r="R4592">
        <v>3524.24</v>
      </c>
      <c r="S4592">
        <v>881.06</v>
      </c>
      <c r="T4592">
        <v>24669.67</v>
      </c>
      <c r="U4592" t="s">
        <v>8491</v>
      </c>
      <c r="V4592" t="s">
        <v>9409</v>
      </c>
      <c r="W4592" t="s">
        <v>1979</v>
      </c>
    </row>
    <row r="4593" spans="1:23" hidden="1" x14ac:dyDescent="0.2">
      <c r="A4593">
        <v>2012</v>
      </c>
      <c r="B4593" t="s">
        <v>303</v>
      </c>
      <c r="C4593" s="733">
        <v>40933</v>
      </c>
      <c r="D45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93" t="s">
        <v>478</v>
      </c>
      <c r="F4593" t="s">
        <v>2622</v>
      </c>
      <c r="G4593" t="s">
        <v>3373</v>
      </c>
      <c r="H4593">
        <v>34856</v>
      </c>
      <c r="I4593" t="s">
        <v>423</v>
      </c>
      <c r="J4593" t="s">
        <v>2644</v>
      </c>
      <c r="K4593" t="s">
        <v>2625</v>
      </c>
      <c r="L4593" t="s">
        <v>2626</v>
      </c>
      <c r="M4593">
        <v>52</v>
      </c>
      <c r="N4593">
        <v>25.69</v>
      </c>
      <c r="O4593">
        <v>3024.48</v>
      </c>
      <c r="P4593">
        <v>0</v>
      </c>
      <c r="Q4593">
        <v>3024.48</v>
      </c>
      <c r="R4593">
        <v>483.92</v>
      </c>
      <c r="S4593">
        <v>120.98</v>
      </c>
      <c r="T4593">
        <v>3387.42</v>
      </c>
      <c r="U4593" t="s">
        <v>2648</v>
      </c>
      <c r="V4593" t="s">
        <v>9408</v>
      </c>
      <c r="W4593" t="s">
        <v>423</v>
      </c>
    </row>
    <row r="4594" spans="1:23" hidden="1" x14ac:dyDescent="0.2">
      <c r="A4594">
        <v>2012</v>
      </c>
      <c r="B4594" t="s">
        <v>303</v>
      </c>
      <c r="C4594" s="733">
        <v>40933</v>
      </c>
      <c r="D45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94" t="s">
        <v>478</v>
      </c>
      <c r="F4594" t="s">
        <v>2622</v>
      </c>
      <c r="G4594" t="s">
        <v>3374</v>
      </c>
      <c r="H4594">
        <v>34863</v>
      </c>
      <c r="I4594" t="s">
        <v>423</v>
      </c>
      <c r="J4594" t="s">
        <v>2644</v>
      </c>
      <c r="K4594" t="s">
        <v>2625</v>
      </c>
      <c r="L4594" t="s">
        <v>2626</v>
      </c>
      <c r="M4594">
        <v>52</v>
      </c>
      <c r="N4594">
        <v>24.53</v>
      </c>
      <c r="O4594">
        <v>2887.92</v>
      </c>
      <c r="P4594">
        <v>0</v>
      </c>
      <c r="Q4594">
        <v>2887.92</v>
      </c>
      <c r="R4594">
        <v>462.07</v>
      </c>
      <c r="S4594">
        <v>115.52</v>
      </c>
      <c r="T4594">
        <v>3234.47</v>
      </c>
      <c r="U4594" t="s">
        <v>2633</v>
      </c>
      <c r="V4594" t="s">
        <v>9408</v>
      </c>
      <c r="W4594" t="s">
        <v>423</v>
      </c>
    </row>
    <row r="4595" spans="1:23" hidden="1" x14ac:dyDescent="0.2">
      <c r="A4595">
        <v>2012</v>
      </c>
      <c r="B4595" t="s">
        <v>303</v>
      </c>
      <c r="C4595" s="733">
        <v>40921.858437499999</v>
      </c>
      <c r="D45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95" t="s">
        <v>478</v>
      </c>
      <c r="F4595" t="s">
        <v>2622</v>
      </c>
      <c r="G4595" t="s">
        <v>5781</v>
      </c>
      <c r="H4595">
        <v>34500</v>
      </c>
      <c r="I4595" t="s">
        <v>423</v>
      </c>
      <c r="J4595" t="s">
        <v>2644</v>
      </c>
      <c r="K4595" t="s">
        <v>2625</v>
      </c>
      <c r="L4595" t="s">
        <v>2626</v>
      </c>
      <c r="M4595">
        <v>52</v>
      </c>
      <c r="N4595">
        <v>27.78</v>
      </c>
      <c r="O4595">
        <v>3270.54</v>
      </c>
      <c r="P4595">
        <v>0</v>
      </c>
      <c r="Q4595">
        <v>3270.54</v>
      </c>
      <c r="R4595">
        <v>523.29</v>
      </c>
      <c r="S4595">
        <v>130.82</v>
      </c>
      <c r="T4595">
        <v>3663.01</v>
      </c>
      <c r="U4595" t="s">
        <v>2635</v>
      </c>
      <c r="V4595" t="s">
        <v>9408</v>
      </c>
      <c r="W4595" t="s">
        <v>423</v>
      </c>
    </row>
    <row r="4596" spans="1:23" hidden="1" x14ac:dyDescent="0.2">
      <c r="A4596">
        <v>2012</v>
      </c>
      <c r="B4596" t="s">
        <v>304</v>
      </c>
      <c r="C4596" s="733">
        <v>40940</v>
      </c>
      <c r="D45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96" t="s">
        <v>478</v>
      </c>
      <c r="F4596" t="s">
        <v>2136</v>
      </c>
      <c r="G4596" t="s">
        <v>6593</v>
      </c>
      <c r="H4596">
        <v>34988</v>
      </c>
      <c r="I4596" t="s">
        <v>423</v>
      </c>
      <c r="J4596" t="s">
        <v>3638</v>
      </c>
      <c r="K4596" t="s">
        <v>425</v>
      </c>
      <c r="L4596" t="s">
        <v>2145</v>
      </c>
      <c r="M4596">
        <v>1416</v>
      </c>
      <c r="N4596">
        <v>47.78</v>
      </c>
      <c r="O4596">
        <v>43326.43</v>
      </c>
      <c r="P4596">
        <v>0</v>
      </c>
      <c r="Q4596">
        <v>43326.43</v>
      </c>
      <c r="R4596">
        <v>6932.23</v>
      </c>
      <c r="S4596">
        <v>1733.06</v>
      </c>
      <c r="T4596">
        <v>48525.599999999999</v>
      </c>
      <c r="U4596" t="s">
        <v>2914</v>
      </c>
      <c r="V4596" t="s">
        <v>9409</v>
      </c>
      <c r="W4596" t="s">
        <v>423</v>
      </c>
    </row>
    <row r="4597" spans="1:23" hidden="1" x14ac:dyDescent="0.2">
      <c r="A4597">
        <v>2012</v>
      </c>
      <c r="B4597" t="s">
        <v>304</v>
      </c>
      <c r="C4597" s="733">
        <v>40946</v>
      </c>
      <c r="D45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97" t="s">
        <v>478</v>
      </c>
      <c r="F4597" t="s">
        <v>2136</v>
      </c>
      <c r="G4597" t="s">
        <v>6591</v>
      </c>
      <c r="H4597">
        <v>35264</v>
      </c>
      <c r="I4597" t="s">
        <v>423</v>
      </c>
      <c r="J4597" t="s">
        <v>3638</v>
      </c>
      <c r="K4597" t="s">
        <v>425</v>
      </c>
      <c r="L4597" t="s">
        <v>2145</v>
      </c>
      <c r="M4597">
        <v>1416</v>
      </c>
      <c r="N4597">
        <v>26.49</v>
      </c>
      <c r="O4597">
        <v>24020.87</v>
      </c>
      <c r="P4597">
        <v>0</v>
      </c>
      <c r="Q4597">
        <v>24020.87</v>
      </c>
      <c r="R4597">
        <v>3843.34</v>
      </c>
      <c r="S4597">
        <v>960.83</v>
      </c>
      <c r="T4597">
        <v>26903.38</v>
      </c>
      <c r="U4597" t="s">
        <v>3115</v>
      </c>
      <c r="V4597" t="s">
        <v>9408</v>
      </c>
      <c r="W4597" t="s">
        <v>423</v>
      </c>
    </row>
    <row r="4598" spans="1:23" hidden="1" x14ac:dyDescent="0.2">
      <c r="A4598">
        <v>2012</v>
      </c>
      <c r="B4598" t="s">
        <v>304</v>
      </c>
      <c r="C4598" s="733">
        <v>40949</v>
      </c>
      <c r="D45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598" t="s">
        <v>478</v>
      </c>
      <c r="F4598" t="s">
        <v>2136</v>
      </c>
      <c r="G4598" t="s">
        <v>6985</v>
      </c>
      <c r="H4598">
        <v>35361</v>
      </c>
      <c r="I4598" t="s">
        <v>423</v>
      </c>
      <c r="J4598" t="s">
        <v>3638</v>
      </c>
      <c r="K4598" t="s">
        <v>425</v>
      </c>
      <c r="L4598" t="s">
        <v>2145</v>
      </c>
      <c r="M4598">
        <v>1416</v>
      </c>
      <c r="N4598">
        <v>51.99</v>
      </c>
      <c r="O4598">
        <v>47144.01</v>
      </c>
      <c r="P4598">
        <v>0</v>
      </c>
      <c r="Q4598">
        <v>47144.01</v>
      </c>
      <c r="R4598">
        <v>7543.04</v>
      </c>
      <c r="S4598">
        <v>1885.76</v>
      </c>
      <c r="T4598">
        <v>52801.29</v>
      </c>
      <c r="U4598" t="s">
        <v>7523</v>
      </c>
      <c r="V4598" t="s">
        <v>9409</v>
      </c>
      <c r="W4598" t="s">
        <v>423</v>
      </c>
    </row>
    <row r="4599" spans="1:23" hidden="1" x14ac:dyDescent="0.2">
      <c r="A4599">
        <v>2012</v>
      </c>
      <c r="B4599" t="s">
        <v>303</v>
      </c>
      <c r="C4599" s="733">
        <v>40931</v>
      </c>
      <c r="D45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599" t="s">
        <v>478</v>
      </c>
      <c r="F4599" t="s">
        <v>2136</v>
      </c>
      <c r="G4599" t="s">
        <v>6986</v>
      </c>
      <c r="H4599">
        <v>34745</v>
      </c>
      <c r="I4599" t="s">
        <v>423</v>
      </c>
      <c r="J4599" t="s">
        <v>3638</v>
      </c>
      <c r="K4599" t="s">
        <v>425</v>
      </c>
      <c r="L4599" t="s">
        <v>2145</v>
      </c>
      <c r="M4599">
        <v>1416</v>
      </c>
      <c r="N4599">
        <v>51.41</v>
      </c>
      <c r="O4599">
        <v>46618.07</v>
      </c>
      <c r="P4599">
        <v>0</v>
      </c>
      <c r="Q4599">
        <v>46618.07</v>
      </c>
      <c r="R4599">
        <v>7458.89</v>
      </c>
      <c r="S4599">
        <v>1864.72</v>
      </c>
      <c r="T4599">
        <v>52212.24</v>
      </c>
      <c r="U4599" t="s">
        <v>3234</v>
      </c>
      <c r="V4599" t="s">
        <v>9409</v>
      </c>
      <c r="W4599" t="s">
        <v>423</v>
      </c>
    </row>
    <row r="4600" spans="1:23" hidden="1" x14ac:dyDescent="0.2">
      <c r="A4600">
        <v>2012</v>
      </c>
      <c r="B4600" t="s">
        <v>303</v>
      </c>
      <c r="C4600" s="733">
        <v>40928</v>
      </c>
      <c r="D46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00" t="s">
        <v>478</v>
      </c>
      <c r="F4600" t="s">
        <v>2136</v>
      </c>
      <c r="G4600" t="s">
        <v>6592</v>
      </c>
      <c r="H4600">
        <v>34564</v>
      </c>
      <c r="I4600" t="s">
        <v>423</v>
      </c>
      <c r="J4600" t="s">
        <v>3638</v>
      </c>
      <c r="K4600" t="s">
        <v>425</v>
      </c>
      <c r="L4600" t="s">
        <v>2145</v>
      </c>
      <c r="M4600">
        <v>1416</v>
      </c>
      <c r="N4600">
        <v>50.71</v>
      </c>
      <c r="O4600">
        <v>45983.32</v>
      </c>
      <c r="P4600">
        <v>0</v>
      </c>
      <c r="Q4600">
        <v>45983.32</v>
      </c>
      <c r="R4600">
        <v>7357.33</v>
      </c>
      <c r="S4600">
        <v>1839.33</v>
      </c>
      <c r="T4600">
        <v>51501.32</v>
      </c>
      <c r="U4600" t="s">
        <v>3234</v>
      </c>
      <c r="V4600" t="s">
        <v>9409</v>
      </c>
      <c r="W4600" t="s">
        <v>423</v>
      </c>
    </row>
    <row r="4601" spans="1:23" hidden="1" x14ac:dyDescent="0.2">
      <c r="A4601">
        <v>2012</v>
      </c>
      <c r="B4601" t="s">
        <v>304</v>
      </c>
      <c r="C4601" s="733">
        <v>40953</v>
      </c>
      <c r="D46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01" t="s">
        <v>485</v>
      </c>
      <c r="F4601" t="s">
        <v>2084</v>
      </c>
      <c r="G4601" t="s">
        <v>6234</v>
      </c>
      <c r="H4601">
        <v>41862</v>
      </c>
      <c r="I4601" t="s">
        <v>423</v>
      </c>
      <c r="J4601" t="s">
        <v>2274</v>
      </c>
      <c r="K4601" t="s">
        <v>2051</v>
      </c>
      <c r="L4601" t="s">
        <v>2052</v>
      </c>
      <c r="M4601">
        <v>573</v>
      </c>
      <c r="N4601">
        <v>26.2</v>
      </c>
      <c r="O4601">
        <v>8501.9</v>
      </c>
      <c r="P4601">
        <v>0</v>
      </c>
      <c r="Q4601">
        <v>8501.9</v>
      </c>
      <c r="R4601">
        <v>1360.3</v>
      </c>
      <c r="S4601">
        <v>340.08</v>
      </c>
      <c r="T4601">
        <v>9522.1200000000008</v>
      </c>
      <c r="U4601" t="s">
        <v>7568</v>
      </c>
      <c r="V4601" t="s">
        <v>9409</v>
      </c>
      <c r="W4601" t="s">
        <v>423</v>
      </c>
    </row>
    <row r="4602" spans="1:23" hidden="1" x14ac:dyDescent="0.2">
      <c r="A4602">
        <v>2012</v>
      </c>
      <c r="B4602" t="s">
        <v>303</v>
      </c>
      <c r="C4602" s="733">
        <v>40933</v>
      </c>
      <c r="D46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02" t="s">
        <v>485</v>
      </c>
      <c r="F4602" t="s">
        <v>2048</v>
      </c>
      <c r="G4602" t="s">
        <v>6235</v>
      </c>
      <c r="H4602">
        <v>40873</v>
      </c>
      <c r="I4602" t="s">
        <v>423</v>
      </c>
      <c r="J4602" t="s">
        <v>2274</v>
      </c>
      <c r="K4602" t="s">
        <v>2051</v>
      </c>
      <c r="L4602" t="s">
        <v>2052</v>
      </c>
      <c r="M4602">
        <v>573</v>
      </c>
      <c r="N4602">
        <v>27.8</v>
      </c>
      <c r="O4602">
        <v>9021.1</v>
      </c>
      <c r="P4602">
        <v>0</v>
      </c>
      <c r="Q4602">
        <v>9021.1</v>
      </c>
      <c r="R4602">
        <v>1443.38</v>
      </c>
      <c r="S4602">
        <v>360.84</v>
      </c>
      <c r="T4602">
        <v>10103.64</v>
      </c>
      <c r="U4602" t="s">
        <v>8780</v>
      </c>
      <c r="V4602" t="s">
        <v>9408</v>
      </c>
      <c r="W4602" t="s">
        <v>423</v>
      </c>
    </row>
    <row r="4603" spans="1:23" hidden="1" x14ac:dyDescent="0.2">
      <c r="A4603">
        <v>2012</v>
      </c>
      <c r="B4603" t="s">
        <v>304</v>
      </c>
      <c r="C4603" s="733">
        <v>40952.472129629627</v>
      </c>
      <c r="D46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03" t="s">
        <v>485</v>
      </c>
      <c r="F4603" t="s">
        <v>2054</v>
      </c>
      <c r="G4603" t="s">
        <v>6257</v>
      </c>
      <c r="H4603">
        <v>10403</v>
      </c>
      <c r="I4603" t="s">
        <v>423</v>
      </c>
      <c r="J4603" t="s">
        <v>3564</v>
      </c>
      <c r="K4603" t="s">
        <v>2057</v>
      </c>
      <c r="L4603" t="s">
        <v>2058</v>
      </c>
      <c r="M4603">
        <v>388</v>
      </c>
      <c r="N4603">
        <v>22.85</v>
      </c>
      <c r="O4603">
        <v>6071.47</v>
      </c>
      <c r="P4603">
        <v>0</v>
      </c>
      <c r="Q4603">
        <v>6071.47</v>
      </c>
      <c r="R4603">
        <v>667.86</v>
      </c>
      <c r="S4603">
        <v>242.86</v>
      </c>
      <c r="T4603">
        <v>6496.47</v>
      </c>
      <c r="U4603" t="s">
        <v>8047</v>
      </c>
      <c r="V4603" t="s">
        <v>9408</v>
      </c>
      <c r="W4603" t="s">
        <v>423</v>
      </c>
    </row>
    <row r="4604" spans="1:23" hidden="1" x14ac:dyDescent="0.2">
      <c r="A4604">
        <v>2012</v>
      </c>
      <c r="B4604" t="s">
        <v>304</v>
      </c>
      <c r="C4604" s="733">
        <v>40959</v>
      </c>
      <c r="D46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04" t="s">
        <v>478</v>
      </c>
      <c r="F4604" t="s">
        <v>2136</v>
      </c>
      <c r="G4604" t="s">
        <v>8071</v>
      </c>
      <c r="H4604">
        <v>35734</v>
      </c>
      <c r="I4604" t="s">
        <v>423</v>
      </c>
      <c r="J4604" t="s">
        <v>3638</v>
      </c>
      <c r="K4604" t="s">
        <v>425</v>
      </c>
      <c r="L4604" t="s">
        <v>2145</v>
      </c>
      <c r="M4604">
        <v>1416</v>
      </c>
      <c r="N4604">
        <v>24.34</v>
      </c>
      <c r="O4604">
        <v>22071.27</v>
      </c>
      <c r="P4604">
        <v>0</v>
      </c>
      <c r="Q4604">
        <v>22071.27</v>
      </c>
      <c r="R4604">
        <v>3531.4</v>
      </c>
      <c r="S4604">
        <v>882.85</v>
      </c>
      <c r="T4604">
        <v>24719.82</v>
      </c>
      <c r="U4604" t="s">
        <v>8252</v>
      </c>
      <c r="V4604" t="s">
        <v>9408</v>
      </c>
      <c r="W4604" t="s">
        <v>423</v>
      </c>
    </row>
    <row r="4605" spans="1:23" hidden="1" x14ac:dyDescent="0.2">
      <c r="A4605">
        <v>2012</v>
      </c>
      <c r="B4605" t="s">
        <v>304</v>
      </c>
      <c r="C4605" s="733">
        <v>40946.626180555555</v>
      </c>
      <c r="D46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05" t="s">
        <v>478</v>
      </c>
      <c r="F4605" t="s">
        <v>2622</v>
      </c>
      <c r="G4605" t="s">
        <v>4105</v>
      </c>
      <c r="H4605">
        <v>35401</v>
      </c>
      <c r="I4605" t="s">
        <v>423</v>
      </c>
      <c r="J4605" t="s">
        <v>2644</v>
      </c>
      <c r="K4605" t="s">
        <v>2625</v>
      </c>
      <c r="L4605" t="s">
        <v>2626</v>
      </c>
      <c r="M4605">
        <v>52</v>
      </c>
      <c r="N4605">
        <v>20.71</v>
      </c>
      <c r="O4605">
        <v>2438.19</v>
      </c>
      <c r="P4605">
        <v>0</v>
      </c>
      <c r="Q4605">
        <v>2438.19</v>
      </c>
      <c r="R4605">
        <v>390.11</v>
      </c>
      <c r="S4605">
        <v>97.53</v>
      </c>
      <c r="T4605">
        <v>2730.77</v>
      </c>
      <c r="U4605" t="s">
        <v>2652</v>
      </c>
      <c r="V4605" t="s">
        <v>9408</v>
      </c>
      <c r="W4605" t="s">
        <v>423</v>
      </c>
    </row>
    <row r="4606" spans="1:23" hidden="1" x14ac:dyDescent="0.2">
      <c r="A4606">
        <v>2012</v>
      </c>
      <c r="B4606" t="s">
        <v>303</v>
      </c>
      <c r="C4606" s="733">
        <v>40910</v>
      </c>
      <c r="D46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06" t="s">
        <v>478</v>
      </c>
      <c r="F4606" t="s">
        <v>2622</v>
      </c>
      <c r="G4606" t="s">
        <v>4104</v>
      </c>
      <c r="H4606">
        <v>34167</v>
      </c>
      <c r="I4606" t="s">
        <v>423</v>
      </c>
      <c r="J4606" t="s">
        <v>2644</v>
      </c>
      <c r="K4606" t="s">
        <v>2625</v>
      </c>
      <c r="L4606" t="s">
        <v>2145</v>
      </c>
      <c r="M4606">
        <v>52</v>
      </c>
      <c r="N4606">
        <v>34.950000000000003</v>
      </c>
      <c r="O4606">
        <v>2038.28</v>
      </c>
      <c r="P4606">
        <v>1644.3008589999999</v>
      </c>
      <c r="Q4606">
        <v>3682.5808590000001</v>
      </c>
      <c r="R4606">
        <v>589.21293700000001</v>
      </c>
      <c r="S4606">
        <v>147.303234</v>
      </c>
      <c r="T4606">
        <v>4124.490562</v>
      </c>
      <c r="U4606" t="s">
        <v>2665</v>
      </c>
      <c r="V4606" t="s">
        <v>9408</v>
      </c>
      <c r="W4606" t="s">
        <v>423</v>
      </c>
    </row>
    <row r="4607" spans="1:23" hidden="1" x14ac:dyDescent="0.2">
      <c r="A4607">
        <v>2012</v>
      </c>
      <c r="B4607" t="s">
        <v>304</v>
      </c>
      <c r="C4607" s="733">
        <v>40966.937615740739</v>
      </c>
      <c r="D46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07" t="s">
        <v>478</v>
      </c>
      <c r="F4607" t="s">
        <v>2622</v>
      </c>
      <c r="G4607" t="s">
        <v>9287</v>
      </c>
      <c r="H4607">
        <v>36071</v>
      </c>
      <c r="I4607" t="s">
        <v>423</v>
      </c>
      <c r="J4607" t="s">
        <v>2644</v>
      </c>
      <c r="K4607" t="s">
        <v>2625</v>
      </c>
      <c r="L4607" t="s">
        <v>2145</v>
      </c>
      <c r="M4607">
        <v>52</v>
      </c>
      <c r="N4607">
        <v>25.18</v>
      </c>
      <c r="O4607">
        <v>2964.44</v>
      </c>
      <c r="P4607">
        <v>0</v>
      </c>
      <c r="Q4607">
        <v>2964.44</v>
      </c>
      <c r="R4607">
        <v>474.31</v>
      </c>
      <c r="S4607">
        <v>118.58</v>
      </c>
      <c r="T4607">
        <v>3320.17</v>
      </c>
      <c r="U4607" t="s">
        <v>9428</v>
      </c>
      <c r="V4607" t="s">
        <v>9408</v>
      </c>
      <c r="W4607" t="s">
        <v>423</v>
      </c>
    </row>
    <row r="4608" spans="1:23" hidden="1" x14ac:dyDescent="0.2">
      <c r="A4608">
        <v>2012</v>
      </c>
      <c r="B4608" t="s">
        <v>304</v>
      </c>
      <c r="C4608" s="733">
        <v>40952</v>
      </c>
      <c r="D46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08" t="s">
        <v>485</v>
      </c>
      <c r="F4608" t="s">
        <v>2054</v>
      </c>
      <c r="G4608" t="s">
        <v>6256</v>
      </c>
      <c r="H4608">
        <v>41840</v>
      </c>
      <c r="I4608" t="s">
        <v>423</v>
      </c>
      <c r="J4608" t="s">
        <v>2274</v>
      </c>
      <c r="K4608" t="s">
        <v>2051</v>
      </c>
      <c r="L4608" t="s">
        <v>2052</v>
      </c>
      <c r="M4608">
        <v>573</v>
      </c>
      <c r="N4608">
        <v>28.35</v>
      </c>
      <c r="O4608">
        <v>9199.58</v>
      </c>
      <c r="P4608">
        <v>0</v>
      </c>
      <c r="Q4608">
        <v>9199.58</v>
      </c>
      <c r="R4608">
        <v>1471.93</v>
      </c>
      <c r="S4608">
        <v>367.98</v>
      </c>
      <c r="T4608">
        <v>10303.530000000001</v>
      </c>
      <c r="U4608" t="s">
        <v>7568</v>
      </c>
      <c r="V4608" t="s">
        <v>9408</v>
      </c>
      <c r="W4608" t="s">
        <v>423</v>
      </c>
    </row>
    <row r="4609" spans="1:23" hidden="1" x14ac:dyDescent="0.2">
      <c r="A4609">
        <v>2012</v>
      </c>
      <c r="B4609" t="s">
        <v>304</v>
      </c>
      <c r="C4609" s="733">
        <v>40962</v>
      </c>
      <c r="D46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09" t="s">
        <v>485</v>
      </c>
      <c r="F4609" t="s">
        <v>2065</v>
      </c>
      <c r="G4609" t="s">
        <v>8608</v>
      </c>
      <c r="H4609">
        <v>42498</v>
      </c>
      <c r="I4609" t="s">
        <v>423</v>
      </c>
      <c r="J4609" t="s">
        <v>2274</v>
      </c>
      <c r="K4609" t="s">
        <v>2051</v>
      </c>
      <c r="L4609" t="s">
        <v>2052</v>
      </c>
      <c r="M4609">
        <v>573</v>
      </c>
      <c r="N4609">
        <v>24.85</v>
      </c>
      <c r="O4609">
        <v>8063.82</v>
      </c>
      <c r="P4609">
        <v>0</v>
      </c>
      <c r="Q4609">
        <v>8063.82</v>
      </c>
      <c r="R4609">
        <v>1290.21</v>
      </c>
      <c r="S4609">
        <v>322.55</v>
      </c>
      <c r="T4609">
        <v>9031.48</v>
      </c>
      <c r="U4609" t="s">
        <v>8780</v>
      </c>
      <c r="V4609" t="s">
        <v>9408</v>
      </c>
      <c r="W4609" t="s">
        <v>423</v>
      </c>
    </row>
    <row r="4610" spans="1:23" hidden="1" x14ac:dyDescent="0.2">
      <c r="A4610">
        <v>2012</v>
      </c>
      <c r="B4610" t="s">
        <v>304</v>
      </c>
      <c r="C4610" s="733">
        <v>40956</v>
      </c>
      <c r="D46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10" t="s">
        <v>485</v>
      </c>
      <c r="F4610" t="s">
        <v>2048</v>
      </c>
      <c r="G4610" t="s">
        <v>7552</v>
      </c>
      <c r="H4610">
        <v>42144</v>
      </c>
      <c r="I4610" t="s">
        <v>423</v>
      </c>
      <c r="J4610" t="s">
        <v>2274</v>
      </c>
      <c r="K4610" t="s">
        <v>2051</v>
      </c>
      <c r="L4610" t="s">
        <v>2052</v>
      </c>
      <c r="M4610">
        <v>573</v>
      </c>
      <c r="N4610">
        <v>28.55</v>
      </c>
      <c r="O4610">
        <v>9264.48</v>
      </c>
      <c r="P4610">
        <v>0</v>
      </c>
      <c r="Q4610">
        <v>9264.48</v>
      </c>
      <c r="R4610">
        <v>1482.32</v>
      </c>
      <c r="S4610">
        <v>370.58</v>
      </c>
      <c r="T4610">
        <v>10376.219999999999</v>
      </c>
      <c r="U4610" t="s">
        <v>8257</v>
      </c>
      <c r="V4610" t="s">
        <v>9408</v>
      </c>
      <c r="W4610" t="s">
        <v>423</v>
      </c>
    </row>
    <row r="4611" spans="1:23" hidden="1" x14ac:dyDescent="0.2">
      <c r="A4611">
        <v>2012</v>
      </c>
      <c r="B4611" t="s">
        <v>304</v>
      </c>
      <c r="C4611" s="733">
        <v>40954</v>
      </c>
      <c r="D46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11" t="s">
        <v>478</v>
      </c>
      <c r="F4611" t="s">
        <v>2622</v>
      </c>
      <c r="G4611" t="s">
        <v>7858</v>
      </c>
      <c r="H4611">
        <v>35645</v>
      </c>
      <c r="I4611" t="s">
        <v>423</v>
      </c>
      <c r="J4611" t="s">
        <v>2624</v>
      </c>
      <c r="K4611" t="s">
        <v>2625</v>
      </c>
      <c r="L4611" t="s">
        <v>2626</v>
      </c>
      <c r="M4611">
        <v>10</v>
      </c>
      <c r="N4611">
        <v>24.52</v>
      </c>
      <c r="O4611">
        <v>2767.08</v>
      </c>
      <c r="P4611">
        <v>0</v>
      </c>
      <c r="Q4611">
        <v>2767.08</v>
      </c>
      <c r="R4611">
        <v>442.73</v>
      </c>
      <c r="S4611">
        <v>110.68</v>
      </c>
      <c r="T4611">
        <v>3099.13</v>
      </c>
      <c r="U4611" t="s">
        <v>7548</v>
      </c>
      <c r="V4611" t="s">
        <v>9408</v>
      </c>
      <c r="W4611" t="s">
        <v>423</v>
      </c>
    </row>
    <row r="4612" spans="1:23" hidden="1" x14ac:dyDescent="0.2">
      <c r="A4612">
        <v>2012</v>
      </c>
      <c r="B4612" t="s">
        <v>304</v>
      </c>
      <c r="C4612" s="733">
        <v>40949</v>
      </c>
      <c r="D46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12" t="s">
        <v>478</v>
      </c>
      <c r="F4612" t="s">
        <v>2622</v>
      </c>
      <c r="G4612" t="s">
        <v>6208</v>
      </c>
      <c r="H4612">
        <v>35519</v>
      </c>
      <c r="I4612" t="s">
        <v>423</v>
      </c>
      <c r="J4612" t="s">
        <v>2624</v>
      </c>
      <c r="K4612" t="s">
        <v>2625</v>
      </c>
      <c r="L4612" t="s">
        <v>2626</v>
      </c>
      <c r="M4612">
        <v>10</v>
      </c>
      <c r="N4612">
        <v>23.92</v>
      </c>
      <c r="O4612">
        <v>2699.37</v>
      </c>
      <c r="P4612">
        <v>0</v>
      </c>
      <c r="Q4612">
        <v>2699.37</v>
      </c>
      <c r="R4612">
        <v>431.9</v>
      </c>
      <c r="S4612">
        <v>107.97</v>
      </c>
      <c r="T4612">
        <v>3023.3</v>
      </c>
      <c r="U4612" t="s">
        <v>7548</v>
      </c>
      <c r="V4612" t="s">
        <v>9408</v>
      </c>
      <c r="W4612" t="s">
        <v>423</v>
      </c>
    </row>
    <row r="4613" spans="1:23" hidden="1" x14ac:dyDescent="0.2">
      <c r="A4613">
        <v>2012</v>
      </c>
      <c r="B4613" t="s">
        <v>303</v>
      </c>
      <c r="C4613" s="733">
        <v>40910</v>
      </c>
      <c r="D46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13" t="s">
        <v>478</v>
      </c>
      <c r="F4613" t="s">
        <v>2622</v>
      </c>
      <c r="G4613" t="s">
        <v>6171</v>
      </c>
      <c r="H4613">
        <v>34191</v>
      </c>
      <c r="I4613" t="s">
        <v>423</v>
      </c>
      <c r="J4613" t="s">
        <v>2624</v>
      </c>
      <c r="K4613" t="s">
        <v>2625</v>
      </c>
      <c r="L4613" t="s">
        <v>2626</v>
      </c>
      <c r="M4613">
        <v>10</v>
      </c>
      <c r="N4613">
        <v>22.81</v>
      </c>
      <c r="O4613">
        <v>1083.93</v>
      </c>
      <c r="P4613">
        <v>1220.1800009999999</v>
      </c>
      <c r="Q4613">
        <v>2304.110001</v>
      </c>
      <c r="R4613">
        <v>368.6576</v>
      </c>
      <c r="S4613">
        <v>92.164400000000001</v>
      </c>
      <c r="T4613">
        <v>2580.6032009999999</v>
      </c>
      <c r="U4613" t="s">
        <v>2665</v>
      </c>
      <c r="V4613" t="s">
        <v>9408</v>
      </c>
      <c r="W4613" t="s">
        <v>423</v>
      </c>
    </row>
    <row r="4614" spans="1:23" hidden="1" x14ac:dyDescent="0.2">
      <c r="A4614">
        <v>2012</v>
      </c>
      <c r="B4614" t="s">
        <v>303</v>
      </c>
      <c r="C4614" s="733">
        <v>40911.683125000003</v>
      </c>
      <c r="D46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14" t="s">
        <v>478</v>
      </c>
      <c r="F4614" t="s">
        <v>2136</v>
      </c>
      <c r="G4614" t="s">
        <v>6204</v>
      </c>
      <c r="H4614">
        <v>34197</v>
      </c>
      <c r="I4614" t="s">
        <v>423</v>
      </c>
      <c r="J4614" t="s">
        <v>2624</v>
      </c>
      <c r="K4614" t="s">
        <v>2625</v>
      </c>
      <c r="L4614" t="s">
        <v>2626</v>
      </c>
      <c r="M4614">
        <v>10</v>
      </c>
      <c r="N4614">
        <v>22.21</v>
      </c>
      <c r="O4614">
        <v>1055.42</v>
      </c>
      <c r="P4614">
        <v>1188.086294</v>
      </c>
      <c r="Q4614">
        <v>2243.5062939999998</v>
      </c>
      <c r="R4614">
        <v>358.961007</v>
      </c>
      <c r="S4614">
        <v>89.740251999999998</v>
      </c>
      <c r="T4614">
        <v>2512.7270490000001</v>
      </c>
      <c r="U4614" t="s">
        <v>2660</v>
      </c>
      <c r="V4614" t="s">
        <v>9408</v>
      </c>
      <c r="W4614" t="s">
        <v>423</v>
      </c>
    </row>
    <row r="4615" spans="1:23" hidden="1" x14ac:dyDescent="0.2">
      <c r="A4615">
        <v>2012</v>
      </c>
      <c r="B4615" t="s">
        <v>303</v>
      </c>
      <c r="C4615" s="733">
        <v>40920</v>
      </c>
      <c r="D46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15" t="s">
        <v>478</v>
      </c>
      <c r="F4615" t="s">
        <v>2136</v>
      </c>
      <c r="G4615" t="s">
        <v>6172</v>
      </c>
      <c r="H4615">
        <v>34427</v>
      </c>
      <c r="I4615" t="s">
        <v>423</v>
      </c>
      <c r="J4615" t="s">
        <v>2624</v>
      </c>
      <c r="K4615" t="s">
        <v>2625</v>
      </c>
      <c r="L4615" t="s">
        <v>2626</v>
      </c>
      <c r="M4615">
        <v>10</v>
      </c>
      <c r="N4615">
        <v>21.7</v>
      </c>
      <c r="O4615">
        <v>2448.84</v>
      </c>
      <c r="P4615">
        <v>0</v>
      </c>
      <c r="Q4615">
        <v>2448.84</v>
      </c>
      <c r="R4615">
        <v>391.82</v>
      </c>
      <c r="S4615">
        <v>97.95</v>
      </c>
      <c r="T4615">
        <v>2742.71</v>
      </c>
      <c r="U4615" t="s">
        <v>2627</v>
      </c>
      <c r="V4615" t="s">
        <v>9408</v>
      </c>
      <c r="W4615" t="s">
        <v>423</v>
      </c>
    </row>
    <row r="4616" spans="1:23" hidden="1" x14ac:dyDescent="0.2">
      <c r="A4616">
        <v>2012</v>
      </c>
      <c r="B4616" t="s">
        <v>303</v>
      </c>
      <c r="C4616" s="733">
        <v>40920</v>
      </c>
      <c r="D46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16" t="s">
        <v>478</v>
      </c>
      <c r="F4616" t="s">
        <v>2136</v>
      </c>
      <c r="G4616" t="s">
        <v>6173</v>
      </c>
      <c r="H4616">
        <v>34433</v>
      </c>
      <c r="I4616" t="s">
        <v>423</v>
      </c>
      <c r="J4616" t="s">
        <v>2624</v>
      </c>
      <c r="K4616" t="s">
        <v>2625</v>
      </c>
      <c r="L4616" t="s">
        <v>2626</v>
      </c>
      <c r="M4616">
        <v>10</v>
      </c>
      <c r="N4616">
        <v>23.16</v>
      </c>
      <c r="O4616">
        <v>2613.61</v>
      </c>
      <c r="P4616">
        <v>0</v>
      </c>
      <c r="Q4616">
        <v>2613.61</v>
      </c>
      <c r="R4616">
        <v>418.18</v>
      </c>
      <c r="S4616">
        <v>104.54</v>
      </c>
      <c r="T4616">
        <v>2927.25</v>
      </c>
      <c r="U4616" t="s">
        <v>2630</v>
      </c>
      <c r="V4616" t="s">
        <v>9408</v>
      </c>
      <c r="W4616" t="s">
        <v>423</v>
      </c>
    </row>
    <row r="4617" spans="1:23" hidden="1" x14ac:dyDescent="0.2">
      <c r="A4617">
        <v>2012</v>
      </c>
      <c r="B4617" t="s">
        <v>303</v>
      </c>
      <c r="C4617" s="733">
        <v>40925.997037037036</v>
      </c>
      <c r="D46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17" t="s">
        <v>478</v>
      </c>
      <c r="F4617" t="s">
        <v>2136</v>
      </c>
      <c r="G4617" t="s">
        <v>6174</v>
      </c>
      <c r="H4617">
        <v>34659</v>
      </c>
      <c r="I4617" t="s">
        <v>423</v>
      </c>
      <c r="J4617" t="s">
        <v>2624</v>
      </c>
      <c r="K4617" t="s">
        <v>2625</v>
      </c>
      <c r="L4617" t="s">
        <v>2626</v>
      </c>
      <c r="M4617">
        <v>10</v>
      </c>
      <c r="N4617">
        <v>21.39</v>
      </c>
      <c r="O4617">
        <v>2413.86</v>
      </c>
      <c r="P4617">
        <v>0</v>
      </c>
      <c r="Q4617">
        <v>2413.86</v>
      </c>
      <c r="R4617">
        <v>386.22</v>
      </c>
      <c r="S4617">
        <v>96.55</v>
      </c>
      <c r="T4617">
        <v>2703.53</v>
      </c>
      <c r="U4617" t="s">
        <v>2627</v>
      </c>
      <c r="V4617" t="s">
        <v>9408</v>
      </c>
      <c r="W4617" t="s">
        <v>423</v>
      </c>
    </row>
    <row r="4618" spans="1:23" hidden="1" x14ac:dyDescent="0.2">
      <c r="A4618">
        <v>2012</v>
      </c>
      <c r="B4618" t="s">
        <v>303</v>
      </c>
      <c r="C4618" s="733">
        <v>40910</v>
      </c>
      <c r="D46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18" t="s">
        <v>478</v>
      </c>
      <c r="F4618" t="s">
        <v>2622</v>
      </c>
      <c r="G4618" t="s">
        <v>6169</v>
      </c>
      <c r="H4618">
        <v>33919</v>
      </c>
      <c r="I4618" t="s">
        <v>423</v>
      </c>
      <c r="J4618" t="s">
        <v>2624</v>
      </c>
      <c r="K4618" t="s">
        <v>2625</v>
      </c>
      <c r="L4618" t="s">
        <v>2626</v>
      </c>
      <c r="M4618">
        <v>10</v>
      </c>
      <c r="N4618">
        <v>23.82</v>
      </c>
      <c r="O4618">
        <v>1131.93</v>
      </c>
      <c r="P4618">
        <v>1274.21</v>
      </c>
      <c r="Q4618">
        <v>2406.14</v>
      </c>
      <c r="R4618">
        <v>384.98</v>
      </c>
      <c r="S4618">
        <v>96.25</v>
      </c>
      <c r="T4618">
        <v>2694.87</v>
      </c>
      <c r="U4618" t="s">
        <v>6170</v>
      </c>
      <c r="V4618" t="s">
        <v>9408</v>
      </c>
      <c r="W4618" t="s">
        <v>423</v>
      </c>
    </row>
    <row r="4619" spans="1:23" hidden="1" x14ac:dyDescent="0.2">
      <c r="A4619">
        <v>2012</v>
      </c>
      <c r="B4619" t="s">
        <v>303</v>
      </c>
      <c r="C4619" s="733">
        <v>40918</v>
      </c>
      <c r="D46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19" t="s">
        <v>478</v>
      </c>
      <c r="F4619" t="s">
        <v>2622</v>
      </c>
      <c r="G4619" t="s">
        <v>6206</v>
      </c>
      <c r="H4619">
        <v>34359</v>
      </c>
      <c r="I4619" t="s">
        <v>423</v>
      </c>
      <c r="J4619" t="s">
        <v>2624</v>
      </c>
      <c r="K4619" t="s">
        <v>2625</v>
      </c>
      <c r="L4619" t="s">
        <v>2626</v>
      </c>
      <c r="M4619">
        <v>10</v>
      </c>
      <c r="N4619">
        <v>25.48</v>
      </c>
      <c r="O4619">
        <v>2875.42</v>
      </c>
      <c r="P4619">
        <v>0</v>
      </c>
      <c r="Q4619">
        <v>2875.42</v>
      </c>
      <c r="R4619">
        <v>460.07</v>
      </c>
      <c r="S4619">
        <v>115.02</v>
      </c>
      <c r="T4619">
        <v>3220.47</v>
      </c>
      <c r="U4619" t="s">
        <v>2635</v>
      </c>
      <c r="V4619" t="s">
        <v>9408</v>
      </c>
      <c r="W4619" t="s">
        <v>423</v>
      </c>
    </row>
    <row r="4620" spans="1:23" hidden="1" x14ac:dyDescent="0.2">
      <c r="A4620">
        <v>2012</v>
      </c>
      <c r="B4620" t="s">
        <v>303</v>
      </c>
      <c r="C4620" s="733">
        <v>40918</v>
      </c>
      <c r="D46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20" t="s">
        <v>478</v>
      </c>
      <c r="F4620" t="s">
        <v>2622</v>
      </c>
      <c r="G4620" t="s">
        <v>6166</v>
      </c>
      <c r="H4620">
        <v>34353</v>
      </c>
      <c r="I4620" t="s">
        <v>423</v>
      </c>
      <c r="J4620" t="s">
        <v>2624</v>
      </c>
      <c r="K4620" t="s">
        <v>2625</v>
      </c>
      <c r="L4620" t="s">
        <v>2626</v>
      </c>
      <c r="M4620">
        <v>10</v>
      </c>
      <c r="N4620">
        <v>25.96</v>
      </c>
      <c r="O4620">
        <v>2929.59</v>
      </c>
      <c r="P4620">
        <v>0</v>
      </c>
      <c r="Q4620">
        <v>2929.59</v>
      </c>
      <c r="R4620">
        <v>468.73</v>
      </c>
      <c r="S4620">
        <v>117.18</v>
      </c>
      <c r="T4620">
        <v>3281.14</v>
      </c>
      <c r="U4620" t="s">
        <v>2627</v>
      </c>
      <c r="V4620" t="s">
        <v>9408</v>
      </c>
      <c r="W4620" t="s">
        <v>423</v>
      </c>
    </row>
    <row r="4621" spans="1:23" hidden="1" x14ac:dyDescent="0.2">
      <c r="A4621">
        <v>2012</v>
      </c>
      <c r="B4621" t="s">
        <v>304</v>
      </c>
      <c r="C4621" s="733">
        <v>40947.80364583333</v>
      </c>
      <c r="D46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21" t="s">
        <v>478</v>
      </c>
      <c r="F4621" t="s">
        <v>2136</v>
      </c>
      <c r="G4621" t="s">
        <v>6216</v>
      </c>
      <c r="H4621">
        <v>35466</v>
      </c>
      <c r="I4621" t="s">
        <v>423</v>
      </c>
      <c r="J4621" t="s">
        <v>2668</v>
      </c>
      <c r="K4621" t="s">
        <v>2625</v>
      </c>
      <c r="L4621" t="s">
        <v>2626</v>
      </c>
      <c r="M4621">
        <v>76</v>
      </c>
      <c r="N4621">
        <v>22.89</v>
      </c>
      <c r="O4621">
        <v>2583.14</v>
      </c>
      <c r="P4621">
        <v>0</v>
      </c>
      <c r="Q4621">
        <v>2583.14</v>
      </c>
      <c r="R4621">
        <v>413.3</v>
      </c>
      <c r="S4621">
        <v>103.33</v>
      </c>
      <c r="T4621">
        <v>2893.11</v>
      </c>
      <c r="U4621" t="s">
        <v>2652</v>
      </c>
      <c r="V4621" t="s">
        <v>9408</v>
      </c>
      <c r="W4621" t="s">
        <v>423</v>
      </c>
    </row>
    <row r="4622" spans="1:23" hidden="1" x14ac:dyDescent="0.2">
      <c r="A4622">
        <v>2012</v>
      </c>
      <c r="B4622" t="s">
        <v>304</v>
      </c>
      <c r="C4622" s="733">
        <v>40952</v>
      </c>
      <c r="D46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22" t="s">
        <v>485</v>
      </c>
      <c r="F4622" t="s">
        <v>2065</v>
      </c>
      <c r="G4622" t="s">
        <v>6774</v>
      </c>
      <c r="H4622">
        <v>41838</v>
      </c>
      <c r="I4622" t="s">
        <v>423</v>
      </c>
      <c r="J4622" t="s">
        <v>4093</v>
      </c>
      <c r="K4622" t="s">
        <v>2051</v>
      </c>
      <c r="L4622" t="s">
        <v>2052</v>
      </c>
      <c r="M4622">
        <v>647</v>
      </c>
      <c r="N4622">
        <v>51.1</v>
      </c>
      <c r="O4622">
        <v>19332.66</v>
      </c>
      <c r="P4622">
        <v>0</v>
      </c>
      <c r="Q4622">
        <v>19332.66</v>
      </c>
      <c r="R4622">
        <v>3093.23</v>
      </c>
      <c r="S4622">
        <v>773.31</v>
      </c>
      <c r="T4622">
        <v>21652.58</v>
      </c>
      <c r="U4622" t="s">
        <v>7568</v>
      </c>
      <c r="V4622" t="s">
        <v>9409</v>
      </c>
      <c r="W4622" t="s">
        <v>423</v>
      </c>
    </row>
    <row r="4623" spans="1:23" hidden="1" x14ac:dyDescent="0.2">
      <c r="A4623">
        <v>2012</v>
      </c>
      <c r="B4623" t="s">
        <v>303</v>
      </c>
      <c r="C4623" s="733">
        <v>40926</v>
      </c>
      <c r="D46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23" t="s">
        <v>485</v>
      </c>
      <c r="F4623" t="s">
        <v>2048</v>
      </c>
      <c r="G4623" t="s">
        <v>6775</v>
      </c>
      <c r="H4623">
        <v>40528</v>
      </c>
      <c r="I4623" t="s">
        <v>423</v>
      </c>
      <c r="J4623" t="s">
        <v>4093</v>
      </c>
      <c r="K4623" t="s">
        <v>2051</v>
      </c>
      <c r="L4623" t="s">
        <v>2052</v>
      </c>
      <c r="M4623">
        <v>647</v>
      </c>
      <c r="N4623">
        <v>48.05</v>
      </c>
      <c r="O4623">
        <v>18178.759999999998</v>
      </c>
      <c r="P4623">
        <v>0</v>
      </c>
      <c r="Q4623">
        <v>18178.759999999998</v>
      </c>
      <c r="R4623">
        <v>2908.6</v>
      </c>
      <c r="S4623">
        <v>727.15</v>
      </c>
      <c r="T4623">
        <v>20360.21</v>
      </c>
      <c r="U4623" t="s">
        <v>2062</v>
      </c>
      <c r="V4623" t="s">
        <v>9409</v>
      </c>
      <c r="W4623" t="s">
        <v>423</v>
      </c>
    </row>
    <row r="4624" spans="1:23" hidden="1" x14ac:dyDescent="0.2">
      <c r="A4624">
        <v>2012</v>
      </c>
      <c r="B4624" t="s">
        <v>304</v>
      </c>
      <c r="C4624" s="733">
        <v>40947</v>
      </c>
      <c r="D46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24" t="s">
        <v>478</v>
      </c>
      <c r="F4624" t="s">
        <v>2142</v>
      </c>
      <c r="G4624" t="s">
        <v>6205</v>
      </c>
      <c r="H4624">
        <v>35239</v>
      </c>
      <c r="I4624" t="s">
        <v>423</v>
      </c>
      <c r="J4624" t="s">
        <v>2639</v>
      </c>
      <c r="K4624" t="s">
        <v>2640</v>
      </c>
      <c r="L4624" t="s">
        <v>2641</v>
      </c>
      <c r="M4624">
        <v>274</v>
      </c>
      <c r="N4624">
        <v>48.2</v>
      </c>
      <c r="O4624">
        <v>6195.63</v>
      </c>
      <c r="P4624">
        <v>0</v>
      </c>
      <c r="Q4624">
        <v>6195.63</v>
      </c>
      <c r="R4624">
        <v>991.3</v>
      </c>
      <c r="S4624">
        <v>247.83</v>
      </c>
      <c r="T4624">
        <v>6939.1</v>
      </c>
      <c r="U4624" t="s">
        <v>2887</v>
      </c>
      <c r="V4624" t="s">
        <v>9409</v>
      </c>
      <c r="W4624" t="s">
        <v>423</v>
      </c>
    </row>
    <row r="4625" spans="1:23" hidden="1" x14ac:dyDescent="0.2">
      <c r="A4625">
        <v>2012</v>
      </c>
      <c r="B4625" t="s">
        <v>304</v>
      </c>
      <c r="C4625" s="733">
        <v>40947.392442129632</v>
      </c>
      <c r="D46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25" t="s">
        <v>478</v>
      </c>
      <c r="F4625" t="s">
        <v>2622</v>
      </c>
      <c r="G4625" t="s">
        <v>6217</v>
      </c>
      <c r="H4625">
        <v>35406</v>
      </c>
      <c r="I4625" t="s">
        <v>423</v>
      </c>
      <c r="J4625" t="s">
        <v>2624</v>
      </c>
      <c r="K4625" t="s">
        <v>2625</v>
      </c>
      <c r="L4625" t="s">
        <v>2626</v>
      </c>
      <c r="M4625">
        <v>10</v>
      </c>
      <c r="N4625">
        <v>24.75</v>
      </c>
      <c r="O4625">
        <v>2793.04</v>
      </c>
      <c r="P4625">
        <v>0</v>
      </c>
      <c r="Q4625">
        <v>2793.04</v>
      </c>
      <c r="R4625">
        <v>446.89</v>
      </c>
      <c r="S4625">
        <v>111.72</v>
      </c>
      <c r="T4625">
        <v>3128.21</v>
      </c>
      <c r="U4625" t="s">
        <v>2652</v>
      </c>
      <c r="V4625" t="s">
        <v>9408</v>
      </c>
      <c r="W4625" t="s">
        <v>423</v>
      </c>
    </row>
    <row r="4626" spans="1:23" hidden="1" x14ac:dyDescent="0.2">
      <c r="A4626">
        <v>2012</v>
      </c>
      <c r="B4626" t="s">
        <v>304</v>
      </c>
      <c r="C4626" s="733">
        <v>40960</v>
      </c>
      <c r="D46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26" t="s">
        <v>478</v>
      </c>
      <c r="F4626" t="s">
        <v>2136</v>
      </c>
      <c r="G4626" t="s">
        <v>8381</v>
      </c>
      <c r="H4626">
        <v>35872</v>
      </c>
      <c r="I4626" t="s">
        <v>423</v>
      </c>
      <c r="J4626" t="s">
        <v>2624</v>
      </c>
      <c r="K4626" t="s">
        <v>2625</v>
      </c>
      <c r="L4626" t="s">
        <v>2626</v>
      </c>
      <c r="M4626">
        <v>10</v>
      </c>
      <c r="N4626">
        <v>23.17</v>
      </c>
      <c r="O4626">
        <v>2614.73</v>
      </c>
      <c r="P4626">
        <v>0</v>
      </c>
      <c r="Q4626">
        <v>2614.73</v>
      </c>
      <c r="R4626">
        <v>418.36</v>
      </c>
      <c r="S4626">
        <v>104.59</v>
      </c>
      <c r="T4626">
        <v>2928.5</v>
      </c>
      <c r="U4626" t="s">
        <v>8267</v>
      </c>
      <c r="V4626" t="s">
        <v>9408</v>
      </c>
      <c r="W4626" t="s">
        <v>423</v>
      </c>
    </row>
    <row r="4627" spans="1:23" hidden="1" x14ac:dyDescent="0.2">
      <c r="A4627">
        <v>2012</v>
      </c>
      <c r="B4627" t="s">
        <v>304</v>
      </c>
      <c r="C4627" s="733">
        <v>40960</v>
      </c>
      <c r="D46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27" t="s">
        <v>478</v>
      </c>
      <c r="F4627" t="s">
        <v>2136</v>
      </c>
      <c r="G4627" t="s">
        <v>8380</v>
      </c>
      <c r="H4627">
        <v>35878</v>
      </c>
      <c r="I4627" t="s">
        <v>423</v>
      </c>
      <c r="J4627" t="s">
        <v>2624</v>
      </c>
      <c r="K4627" t="s">
        <v>2625</v>
      </c>
      <c r="L4627" t="s">
        <v>2626</v>
      </c>
      <c r="M4627">
        <v>10</v>
      </c>
      <c r="N4627">
        <v>23.38</v>
      </c>
      <c r="O4627">
        <v>2638.43</v>
      </c>
      <c r="P4627">
        <v>0</v>
      </c>
      <c r="Q4627">
        <v>2638.43</v>
      </c>
      <c r="R4627">
        <v>422.15</v>
      </c>
      <c r="S4627">
        <v>105.54</v>
      </c>
      <c r="T4627">
        <v>2955.04</v>
      </c>
      <c r="U4627" t="s">
        <v>8267</v>
      </c>
      <c r="V4627" t="s">
        <v>9408</v>
      </c>
      <c r="W4627" t="s">
        <v>423</v>
      </c>
    </row>
    <row r="4628" spans="1:23" hidden="1" x14ac:dyDescent="0.2">
      <c r="A4628">
        <v>2012</v>
      </c>
      <c r="B4628" t="s">
        <v>304</v>
      </c>
      <c r="C4628" s="733">
        <v>40963.458506944444</v>
      </c>
      <c r="D46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28" t="s">
        <v>478</v>
      </c>
      <c r="F4628" t="s">
        <v>2622</v>
      </c>
      <c r="G4628" t="s">
        <v>8994</v>
      </c>
      <c r="H4628">
        <v>36000</v>
      </c>
      <c r="I4628" t="s">
        <v>423</v>
      </c>
      <c r="J4628" t="s">
        <v>2624</v>
      </c>
      <c r="K4628" t="s">
        <v>2625</v>
      </c>
      <c r="L4628" t="s">
        <v>2626</v>
      </c>
      <c r="M4628">
        <v>10</v>
      </c>
      <c r="N4628">
        <v>21.97</v>
      </c>
      <c r="O4628">
        <v>2479.31</v>
      </c>
      <c r="P4628">
        <v>0</v>
      </c>
      <c r="Q4628">
        <v>2479.31</v>
      </c>
      <c r="R4628">
        <v>396.69</v>
      </c>
      <c r="S4628">
        <v>99.17</v>
      </c>
      <c r="T4628">
        <v>2776.83</v>
      </c>
      <c r="U4628" t="s">
        <v>9428</v>
      </c>
      <c r="V4628" t="s">
        <v>9408</v>
      </c>
      <c r="W4628" t="s">
        <v>423</v>
      </c>
    </row>
    <row r="4629" spans="1:23" hidden="1" x14ac:dyDescent="0.2">
      <c r="A4629">
        <v>2012</v>
      </c>
      <c r="B4629" t="s">
        <v>303</v>
      </c>
      <c r="C4629" s="733">
        <v>40939.47923611111</v>
      </c>
      <c r="D46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29" t="s">
        <v>478</v>
      </c>
      <c r="F4629" t="s">
        <v>2622</v>
      </c>
      <c r="G4629" t="s">
        <v>6207</v>
      </c>
      <c r="H4629">
        <v>35113</v>
      </c>
      <c r="I4629" t="s">
        <v>423</v>
      </c>
      <c r="J4629" t="s">
        <v>2624</v>
      </c>
      <c r="K4629" t="s">
        <v>2625</v>
      </c>
      <c r="L4629" t="s">
        <v>2626</v>
      </c>
      <c r="M4629">
        <v>10</v>
      </c>
      <c r="N4629">
        <v>23.6</v>
      </c>
      <c r="O4629">
        <v>2663.26</v>
      </c>
      <c r="P4629">
        <v>0</v>
      </c>
      <c r="Q4629">
        <v>2663.26</v>
      </c>
      <c r="R4629">
        <v>426.12</v>
      </c>
      <c r="S4629">
        <v>106.53</v>
      </c>
      <c r="T4629">
        <v>2982.85</v>
      </c>
      <c r="U4629" t="s">
        <v>2630</v>
      </c>
      <c r="V4629" t="s">
        <v>9408</v>
      </c>
      <c r="W4629" t="s">
        <v>423</v>
      </c>
    </row>
    <row r="4630" spans="1:23" hidden="1" x14ac:dyDescent="0.2">
      <c r="A4630">
        <v>2012</v>
      </c>
      <c r="B4630" t="s">
        <v>303</v>
      </c>
      <c r="C4630" s="733">
        <v>40926</v>
      </c>
      <c r="D46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30" t="s">
        <v>478</v>
      </c>
      <c r="F4630" t="s">
        <v>2622</v>
      </c>
      <c r="G4630" t="s">
        <v>6168</v>
      </c>
      <c r="H4630">
        <v>34597</v>
      </c>
      <c r="I4630" t="s">
        <v>423</v>
      </c>
      <c r="J4630" t="s">
        <v>2624</v>
      </c>
      <c r="K4630" t="s">
        <v>2625</v>
      </c>
      <c r="L4630" t="s">
        <v>2626</v>
      </c>
      <c r="M4630">
        <v>10</v>
      </c>
      <c r="N4630">
        <v>25.11</v>
      </c>
      <c r="O4630">
        <v>2833.66</v>
      </c>
      <c r="P4630">
        <v>0</v>
      </c>
      <c r="Q4630">
        <v>2833.66</v>
      </c>
      <c r="R4630">
        <v>453.39</v>
      </c>
      <c r="S4630">
        <v>113.35</v>
      </c>
      <c r="T4630">
        <v>3173.7</v>
      </c>
      <c r="U4630" t="s">
        <v>2627</v>
      </c>
      <c r="V4630" t="s">
        <v>9408</v>
      </c>
      <c r="W4630" t="s">
        <v>423</v>
      </c>
    </row>
    <row r="4631" spans="1:23" hidden="1" x14ac:dyDescent="0.2">
      <c r="A4631">
        <v>2012</v>
      </c>
      <c r="B4631" t="s">
        <v>303</v>
      </c>
      <c r="C4631" s="733">
        <v>40926</v>
      </c>
      <c r="D46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31" t="s">
        <v>478</v>
      </c>
      <c r="F4631" t="s">
        <v>2142</v>
      </c>
      <c r="G4631" t="s">
        <v>6225</v>
      </c>
      <c r="H4631">
        <v>34539</v>
      </c>
      <c r="I4631" t="s">
        <v>423</v>
      </c>
      <c r="J4631" t="s">
        <v>2639</v>
      </c>
      <c r="K4631" t="s">
        <v>2640</v>
      </c>
      <c r="L4631" t="s">
        <v>2641</v>
      </c>
      <c r="M4631">
        <v>274</v>
      </c>
      <c r="N4631">
        <v>52.78</v>
      </c>
      <c r="O4631">
        <v>6784.34</v>
      </c>
      <c r="P4631">
        <v>0</v>
      </c>
      <c r="Q4631">
        <v>6784.34</v>
      </c>
      <c r="R4631">
        <v>1085.49</v>
      </c>
      <c r="S4631">
        <v>271.37</v>
      </c>
      <c r="T4631">
        <v>7598.46</v>
      </c>
      <c r="U4631" t="s">
        <v>2992</v>
      </c>
      <c r="V4631" t="s">
        <v>9409</v>
      </c>
      <c r="W4631" t="s">
        <v>423</v>
      </c>
    </row>
    <row r="4632" spans="1:23" hidden="1" x14ac:dyDescent="0.2">
      <c r="A4632">
        <v>2012</v>
      </c>
      <c r="B4632" t="s">
        <v>304</v>
      </c>
      <c r="C4632" s="733">
        <v>40953</v>
      </c>
      <c r="D46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32" t="s">
        <v>478</v>
      </c>
      <c r="F4632" t="s">
        <v>2142</v>
      </c>
      <c r="G4632" t="s">
        <v>6224</v>
      </c>
      <c r="H4632">
        <v>35462</v>
      </c>
      <c r="I4632" t="s">
        <v>423</v>
      </c>
      <c r="J4632" t="s">
        <v>2639</v>
      </c>
      <c r="K4632" t="s">
        <v>2640</v>
      </c>
      <c r="L4632" t="s">
        <v>2641</v>
      </c>
      <c r="M4632">
        <v>274</v>
      </c>
      <c r="N4632">
        <v>27.6</v>
      </c>
      <c r="O4632">
        <v>3547.7</v>
      </c>
      <c r="P4632">
        <v>0</v>
      </c>
      <c r="Q4632">
        <v>3547.7</v>
      </c>
      <c r="R4632">
        <v>567.63</v>
      </c>
      <c r="S4632">
        <v>141.91</v>
      </c>
      <c r="T4632">
        <v>3973.42</v>
      </c>
      <c r="U4632" t="s">
        <v>7598</v>
      </c>
      <c r="V4632" t="s">
        <v>9408</v>
      </c>
      <c r="W4632" t="s">
        <v>423</v>
      </c>
    </row>
    <row r="4633" spans="1:23" hidden="1" x14ac:dyDescent="0.2">
      <c r="A4633">
        <v>2012</v>
      </c>
      <c r="B4633" t="s">
        <v>304</v>
      </c>
      <c r="C4633" s="733">
        <v>40960.425023148149</v>
      </c>
      <c r="D46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33" t="s">
        <v>478</v>
      </c>
      <c r="F4633" t="s">
        <v>2622</v>
      </c>
      <c r="G4633" t="s">
        <v>8355</v>
      </c>
      <c r="H4633">
        <v>35860</v>
      </c>
      <c r="I4633" t="s">
        <v>423</v>
      </c>
      <c r="J4633" t="s">
        <v>2668</v>
      </c>
      <c r="K4633" t="s">
        <v>2625</v>
      </c>
      <c r="L4633" t="s">
        <v>2626</v>
      </c>
      <c r="M4633">
        <v>76</v>
      </c>
      <c r="N4633">
        <v>26.36</v>
      </c>
      <c r="O4633">
        <v>2974.73</v>
      </c>
      <c r="P4633">
        <v>0</v>
      </c>
      <c r="Q4633">
        <v>2974.73</v>
      </c>
      <c r="R4633">
        <v>475.96</v>
      </c>
      <c r="S4633">
        <v>118.99</v>
      </c>
      <c r="T4633">
        <v>3331.7</v>
      </c>
      <c r="U4633" t="s">
        <v>8267</v>
      </c>
      <c r="V4633" t="s">
        <v>9408</v>
      </c>
      <c r="W4633" t="s">
        <v>423</v>
      </c>
    </row>
    <row r="4634" spans="1:23" hidden="1" x14ac:dyDescent="0.2">
      <c r="A4634">
        <v>2012</v>
      </c>
      <c r="B4634" t="s">
        <v>304</v>
      </c>
      <c r="C4634" s="733">
        <v>40953</v>
      </c>
      <c r="D46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34" t="s">
        <v>485</v>
      </c>
      <c r="F4634" t="s">
        <v>2065</v>
      </c>
      <c r="G4634" t="s">
        <v>6773</v>
      </c>
      <c r="H4634">
        <v>41858</v>
      </c>
      <c r="I4634" t="s">
        <v>423</v>
      </c>
      <c r="J4634" t="s">
        <v>4093</v>
      </c>
      <c r="K4634" t="s">
        <v>2051</v>
      </c>
      <c r="L4634" t="s">
        <v>2052</v>
      </c>
      <c r="M4634">
        <v>647</v>
      </c>
      <c r="N4634">
        <v>48.6</v>
      </c>
      <c r="O4634">
        <v>18386.84</v>
      </c>
      <c r="P4634">
        <v>0</v>
      </c>
      <c r="Q4634">
        <v>18386.84</v>
      </c>
      <c r="R4634">
        <v>2941.89</v>
      </c>
      <c r="S4634">
        <v>735.47</v>
      </c>
      <c r="T4634">
        <v>20593.259999999998</v>
      </c>
      <c r="U4634" t="s">
        <v>7568</v>
      </c>
      <c r="V4634" t="s">
        <v>9409</v>
      </c>
      <c r="W4634" t="s">
        <v>423</v>
      </c>
    </row>
    <row r="4635" spans="1:23" hidden="1" x14ac:dyDescent="0.2">
      <c r="A4635">
        <v>2012</v>
      </c>
      <c r="B4635" t="s">
        <v>303</v>
      </c>
      <c r="C4635" s="733">
        <v>40931</v>
      </c>
      <c r="D46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35" t="s">
        <v>485</v>
      </c>
      <c r="F4635" t="s">
        <v>2084</v>
      </c>
      <c r="G4635" t="s">
        <v>6772</v>
      </c>
      <c r="H4635">
        <v>40754</v>
      </c>
      <c r="I4635" t="s">
        <v>423</v>
      </c>
      <c r="J4635" t="s">
        <v>4093</v>
      </c>
      <c r="K4635" t="s">
        <v>2051</v>
      </c>
      <c r="L4635" t="s">
        <v>2052</v>
      </c>
      <c r="M4635">
        <v>647</v>
      </c>
      <c r="N4635">
        <v>24.75</v>
      </c>
      <c r="O4635">
        <v>9363.67</v>
      </c>
      <c r="P4635">
        <v>0</v>
      </c>
      <c r="Q4635">
        <v>9363.67</v>
      </c>
      <c r="R4635">
        <v>1498.19</v>
      </c>
      <c r="S4635">
        <v>374.55</v>
      </c>
      <c r="T4635">
        <v>10487.31</v>
      </c>
      <c r="U4635" t="s">
        <v>2053</v>
      </c>
      <c r="V4635" t="s">
        <v>9408</v>
      </c>
      <c r="W4635" t="s">
        <v>423</v>
      </c>
    </row>
    <row r="4636" spans="1:23" hidden="1" x14ac:dyDescent="0.2">
      <c r="A4636">
        <v>2012</v>
      </c>
      <c r="B4636" t="s">
        <v>303</v>
      </c>
      <c r="C4636" s="733">
        <v>40933</v>
      </c>
      <c r="D46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36" t="s">
        <v>485</v>
      </c>
      <c r="F4636" t="s">
        <v>2084</v>
      </c>
      <c r="G4636" t="s">
        <v>6771</v>
      </c>
      <c r="H4636">
        <v>40880</v>
      </c>
      <c r="I4636" t="s">
        <v>423</v>
      </c>
      <c r="J4636" t="s">
        <v>4093</v>
      </c>
      <c r="K4636" t="s">
        <v>2051</v>
      </c>
      <c r="L4636" t="s">
        <v>2052</v>
      </c>
      <c r="M4636">
        <v>647</v>
      </c>
      <c r="N4636">
        <v>27.5</v>
      </c>
      <c r="O4636">
        <v>10404.08</v>
      </c>
      <c r="P4636">
        <v>0</v>
      </c>
      <c r="Q4636">
        <v>10404.08</v>
      </c>
      <c r="R4636">
        <v>1664.65</v>
      </c>
      <c r="S4636">
        <v>416.16</v>
      </c>
      <c r="T4636">
        <v>11652.57</v>
      </c>
      <c r="U4636" t="s">
        <v>2053</v>
      </c>
      <c r="V4636" t="s">
        <v>9408</v>
      </c>
      <c r="W4636" t="s">
        <v>423</v>
      </c>
    </row>
    <row r="4637" spans="1:23" hidden="1" x14ac:dyDescent="0.2">
      <c r="A4637">
        <v>2012</v>
      </c>
      <c r="B4637" t="s">
        <v>303</v>
      </c>
      <c r="C4637" s="733">
        <v>40932</v>
      </c>
      <c r="D46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37" t="s">
        <v>478</v>
      </c>
      <c r="F4637" t="s">
        <v>2136</v>
      </c>
      <c r="G4637" t="s">
        <v>7193</v>
      </c>
      <c r="H4637">
        <v>34809</v>
      </c>
      <c r="I4637" t="s">
        <v>423</v>
      </c>
      <c r="J4637" t="s">
        <v>5620</v>
      </c>
      <c r="K4637" t="s">
        <v>425</v>
      </c>
      <c r="L4637" t="s">
        <v>2145</v>
      </c>
      <c r="M4637">
        <v>700</v>
      </c>
      <c r="N4637">
        <v>25.4</v>
      </c>
      <c r="O4637">
        <v>9310.1200000000008</v>
      </c>
      <c r="P4637">
        <v>0</v>
      </c>
      <c r="Q4637">
        <v>9310.1200000000008</v>
      </c>
      <c r="R4637">
        <v>1489.62</v>
      </c>
      <c r="S4637">
        <v>372.4</v>
      </c>
      <c r="T4637">
        <v>10427.34</v>
      </c>
      <c r="U4637" t="s">
        <v>3234</v>
      </c>
      <c r="V4637" t="s">
        <v>9408</v>
      </c>
      <c r="W4637" t="s">
        <v>423</v>
      </c>
    </row>
    <row r="4638" spans="1:23" hidden="1" x14ac:dyDescent="0.2">
      <c r="A4638">
        <v>2012</v>
      </c>
      <c r="B4638" t="s">
        <v>304</v>
      </c>
      <c r="C4638" s="733">
        <v>40956</v>
      </c>
      <c r="D46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38" t="s">
        <v>505</v>
      </c>
      <c r="F4638" t="s">
        <v>1915</v>
      </c>
      <c r="G4638" t="s">
        <v>7947</v>
      </c>
      <c r="H4638">
        <v>22778</v>
      </c>
      <c r="I4638" t="s">
        <v>423</v>
      </c>
      <c r="J4638" t="s">
        <v>1945</v>
      </c>
      <c r="K4638" t="s">
        <v>1918</v>
      </c>
      <c r="L4638" t="s">
        <v>1919</v>
      </c>
      <c r="M4638">
        <v>949</v>
      </c>
      <c r="N4638">
        <v>49.97</v>
      </c>
      <c r="O4638">
        <v>28753.24</v>
      </c>
      <c r="P4638">
        <v>0</v>
      </c>
      <c r="Q4638">
        <v>28753.24</v>
      </c>
      <c r="R4638">
        <v>4600.5200000000004</v>
      </c>
      <c r="S4638">
        <v>1150.1300000000001</v>
      </c>
      <c r="T4638">
        <v>32203.63</v>
      </c>
      <c r="U4638" t="s">
        <v>7529</v>
      </c>
      <c r="V4638" t="s">
        <v>9409</v>
      </c>
      <c r="W4638" t="s">
        <v>423</v>
      </c>
    </row>
    <row r="4639" spans="1:23" hidden="1" x14ac:dyDescent="0.2">
      <c r="A4639">
        <v>2012</v>
      </c>
      <c r="B4639" t="s">
        <v>304</v>
      </c>
      <c r="C4639" s="733">
        <v>40967.455208333333</v>
      </c>
      <c r="D46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39" t="s">
        <v>478</v>
      </c>
      <c r="F4639" t="s">
        <v>2622</v>
      </c>
      <c r="G4639" t="s">
        <v>9355</v>
      </c>
      <c r="H4639">
        <v>36104</v>
      </c>
      <c r="I4639" t="s">
        <v>423</v>
      </c>
      <c r="J4639" t="s">
        <v>2662</v>
      </c>
      <c r="K4639" t="s">
        <v>2625</v>
      </c>
      <c r="L4639" t="s">
        <v>2626</v>
      </c>
      <c r="M4639">
        <v>66</v>
      </c>
      <c r="N4639">
        <v>23.78</v>
      </c>
      <c r="O4639">
        <v>2799.62</v>
      </c>
      <c r="P4639">
        <v>0</v>
      </c>
      <c r="Q4639">
        <v>2799.62</v>
      </c>
      <c r="R4639">
        <v>447.94</v>
      </c>
      <c r="S4639">
        <v>111.98</v>
      </c>
      <c r="T4639">
        <v>3135.58</v>
      </c>
      <c r="U4639" t="s">
        <v>9428</v>
      </c>
      <c r="V4639" t="s">
        <v>9408</v>
      </c>
      <c r="W4639" t="s">
        <v>423</v>
      </c>
    </row>
    <row r="4640" spans="1:23" hidden="1" x14ac:dyDescent="0.2">
      <c r="A4640">
        <v>2012</v>
      </c>
      <c r="B4640" t="s">
        <v>304</v>
      </c>
      <c r="C4640" s="733">
        <v>40955</v>
      </c>
      <c r="D46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40" t="s">
        <v>478</v>
      </c>
      <c r="F4640" t="s">
        <v>2136</v>
      </c>
      <c r="G4640" t="s">
        <v>7726</v>
      </c>
      <c r="H4640">
        <v>35684</v>
      </c>
      <c r="I4640" t="s">
        <v>423</v>
      </c>
      <c r="J4640" t="s">
        <v>3636</v>
      </c>
      <c r="K4640" t="s">
        <v>425</v>
      </c>
      <c r="L4640" t="s">
        <v>2145</v>
      </c>
      <c r="M4640">
        <v>244</v>
      </c>
      <c r="N4640">
        <v>23.12</v>
      </c>
      <c r="O4640">
        <v>3861.5</v>
      </c>
      <c r="P4640">
        <v>0</v>
      </c>
      <c r="Q4640">
        <v>3861.5</v>
      </c>
      <c r="R4640">
        <v>617.84</v>
      </c>
      <c r="S4640">
        <v>154.46</v>
      </c>
      <c r="T4640">
        <v>4324.88</v>
      </c>
      <c r="U4640" t="s">
        <v>9455</v>
      </c>
      <c r="V4640" t="s">
        <v>9408</v>
      </c>
      <c r="W4640" t="s">
        <v>423</v>
      </c>
    </row>
    <row r="4641" spans="1:23" hidden="1" x14ac:dyDescent="0.2">
      <c r="A4641">
        <v>2012</v>
      </c>
      <c r="B4641" t="s">
        <v>305</v>
      </c>
      <c r="C4641" s="733">
        <v>40970.777465277781</v>
      </c>
      <c r="D4641" s="733" t="str">
        <f>CHOOSE(MONTH(Tabla_sqldatos_bonampakdb_Bon_v_ingresos2012[[#This Row],[fecha_guia]]),"Enero","Febrero","Marzo","Abril","Mayo","Junio","Julio","Agosto","Septiembre","Octubre","Noviembre","Diciembre")</f>
        <v>Marzo</v>
      </c>
      <c r="E4641" t="s">
        <v>478</v>
      </c>
      <c r="F4641" t="s">
        <v>2136</v>
      </c>
      <c r="G4641" t="s">
        <v>9736</v>
      </c>
      <c r="H4641">
        <v>36255</v>
      </c>
      <c r="I4641" t="s">
        <v>423</v>
      </c>
      <c r="J4641" t="s">
        <v>3636</v>
      </c>
      <c r="K4641" t="s">
        <v>425</v>
      </c>
      <c r="L4641" t="s">
        <v>2145</v>
      </c>
      <c r="M4641">
        <v>244</v>
      </c>
      <c r="N4641">
        <v>41.35</v>
      </c>
      <c r="O4641">
        <v>6906.28</v>
      </c>
      <c r="P4641">
        <v>0</v>
      </c>
      <c r="Q4641">
        <v>6906.28</v>
      </c>
      <c r="R4641">
        <v>1105</v>
      </c>
      <c r="S4641">
        <v>276.25</v>
      </c>
      <c r="T4641">
        <v>7735.03</v>
      </c>
      <c r="V4641" t="s">
        <v>9409</v>
      </c>
      <c r="W4641" t="s">
        <v>423</v>
      </c>
    </row>
    <row r="4642" spans="1:23" hidden="1" x14ac:dyDescent="0.2">
      <c r="A4642">
        <v>2012</v>
      </c>
      <c r="B4642" t="s">
        <v>303</v>
      </c>
      <c r="C4642" s="733">
        <v>40931</v>
      </c>
      <c r="D46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42" t="s">
        <v>478</v>
      </c>
      <c r="F4642" t="s">
        <v>2136</v>
      </c>
      <c r="G4642" t="s">
        <v>5118</v>
      </c>
      <c r="H4642">
        <v>34756</v>
      </c>
      <c r="I4642" t="s">
        <v>423</v>
      </c>
      <c r="J4642" t="s">
        <v>3636</v>
      </c>
      <c r="K4642" t="s">
        <v>425</v>
      </c>
      <c r="L4642" t="s">
        <v>2145</v>
      </c>
      <c r="M4642">
        <v>244</v>
      </c>
      <c r="N4642">
        <v>27.17</v>
      </c>
      <c r="O4642">
        <v>4537.93</v>
      </c>
      <c r="P4642">
        <v>0</v>
      </c>
      <c r="Q4642">
        <v>4537.93</v>
      </c>
      <c r="R4642">
        <v>726.07</v>
      </c>
      <c r="S4642">
        <v>181.52</v>
      </c>
      <c r="T4642">
        <v>5082.4799999999996</v>
      </c>
      <c r="U4642" t="s">
        <v>2355</v>
      </c>
      <c r="V4642" t="s">
        <v>9409</v>
      </c>
      <c r="W4642" t="s">
        <v>423</v>
      </c>
    </row>
    <row r="4643" spans="1:23" hidden="1" x14ac:dyDescent="0.2">
      <c r="A4643">
        <v>2012</v>
      </c>
      <c r="B4643" t="s">
        <v>304</v>
      </c>
      <c r="C4643" s="733">
        <v>40946</v>
      </c>
      <c r="D46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43" t="s">
        <v>505</v>
      </c>
      <c r="F4643" t="s">
        <v>1915</v>
      </c>
      <c r="G4643" t="s">
        <v>2011</v>
      </c>
      <c r="H4643">
        <v>22469</v>
      </c>
      <c r="I4643" t="s">
        <v>1979</v>
      </c>
      <c r="J4643" t="s">
        <v>1980</v>
      </c>
      <c r="K4643" t="s">
        <v>1918</v>
      </c>
      <c r="L4643" t="s">
        <v>1919</v>
      </c>
      <c r="M4643">
        <v>732</v>
      </c>
      <c r="N4643">
        <v>49.7</v>
      </c>
      <c r="O4643">
        <v>23498.16</v>
      </c>
      <c r="P4643">
        <v>0</v>
      </c>
      <c r="Q4643">
        <v>23498.16</v>
      </c>
      <c r="R4643">
        <v>3759.71</v>
      </c>
      <c r="S4643">
        <v>939.93</v>
      </c>
      <c r="T4643">
        <v>26317.94</v>
      </c>
      <c r="U4643" t="s">
        <v>1924</v>
      </c>
      <c r="V4643" t="s">
        <v>9409</v>
      </c>
      <c r="W4643" t="s">
        <v>1979</v>
      </c>
    </row>
    <row r="4644" spans="1:23" hidden="1" x14ac:dyDescent="0.2">
      <c r="A4644">
        <v>2012</v>
      </c>
      <c r="B4644" t="s">
        <v>303</v>
      </c>
      <c r="C4644" s="733">
        <v>40919</v>
      </c>
      <c r="D46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44" t="s">
        <v>505</v>
      </c>
      <c r="F4644" t="s">
        <v>1915</v>
      </c>
      <c r="G4644" t="s">
        <v>2012</v>
      </c>
      <c r="H4644">
        <v>21637</v>
      </c>
      <c r="I4644" t="s">
        <v>423</v>
      </c>
      <c r="J4644" t="s">
        <v>1980</v>
      </c>
      <c r="K4644" t="s">
        <v>1918</v>
      </c>
      <c r="L4644" t="s">
        <v>1919</v>
      </c>
      <c r="M4644">
        <v>732</v>
      </c>
      <c r="N4644">
        <v>27.06</v>
      </c>
      <c r="O4644">
        <v>11868.52</v>
      </c>
      <c r="P4644">
        <v>0</v>
      </c>
      <c r="Q4644">
        <v>11868.52</v>
      </c>
      <c r="R4644">
        <v>1898.96</v>
      </c>
      <c r="S4644">
        <v>474.74</v>
      </c>
      <c r="T4644">
        <v>13292.74</v>
      </c>
      <c r="U4644" t="s">
        <v>1984</v>
      </c>
      <c r="V4644" t="s">
        <v>9408</v>
      </c>
      <c r="W4644" t="s">
        <v>423</v>
      </c>
    </row>
    <row r="4645" spans="1:23" hidden="1" x14ac:dyDescent="0.2">
      <c r="A4645">
        <v>2012</v>
      </c>
      <c r="B4645" t="s">
        <v>304</v>
      </c>
      <c r="C4645" s="733">
        <v>40954</v>
      </c>
      <c r="D46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45" t="s">
        <v>505</v>
      </c>
      <c r="F4645" t="s">
        <v>1915</v>
      </c>
      <c r="G4645" t="s">
        <v>6909</v>
      </c>
      <c r="H4645">
        <v>22705</v>
      </c>
      <c r="I4645" t="s">
        <v>1979</v>
      </c>
      <c r="J4645" t="s">
        <v>1980</v>
      </c>
      <c r="K4645" t="s">
        <v>1918</v>
      </c>
      <c r="L4645" t="s">
        <v>1919</v>
      </c>
      <c r="M4645">
        <v>732</v>
      </c>
      <c r="N4645">
        <v>50.28</v>
      </c>
      <c r="O4645">
        <v>22052.81</v>
      </c>
      <c r="P4645">
        <v>0</v>
      </c>
      <c r="Q4645">
        <v>22052.81</v>
      </c>
      <c r="R4645">
        <v>3528.45</v>
      </c>
      <c r="S4645">
        <v>882.11</v>
      </c>
      <c r="T4645">
        <v>24699.15</v>
      </c>
      <c r="U4645" t="s">
        <v>7529</v>
      </c>
      <c r="V4645" t="s">
        <v>9409</v>
      </c>
      <c r="W4645" t="s">
        <v>1979</v>
      </c>
    </row>
    <row r="4646" spans="1:23" hidden="1" x14ac:dyDescent="0.2">
      <c r="A4646">
        <v>2012</v>
      </c>
      <c r="B4646" t="s">
        <v>304</v>
      </c>
      <c r="C4646" s="733">
        <v>40954</v>
      </c>
      <c r="D46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46" t="s">
        <v>505</v>
      </c>
      <c r="F4646" t="s">
        <v>1915</v>
      </c>
      <c r="G4646" t="s">
        <v>7869</v>
      </c>
      <c r="H4646">
        <v>22696</v>
      </c>
      <c r="I4646" t="s">
        <v>1979</v>
      </c>
      <c r="J4646" t="s">
        <v>1980</v>
      </c>
      <c r="K4646" t="s">
        <v>1918</v>
      </c>
      <c r="L4646" t="s">
        <v>1919</v>
      </c>
      <c r="M4646">
        <v>732</v>
      </c>
      <c r="N4646">
        <v>50.36</v>
      </c>
      <c r="O4646">
        <v>22087.9</v>
      </c>
      <c r="P4646">
        <v>0</v>
      </c>
      <c r="Q4646">
        <v>22087.9</v>
      </c>
      <c r="R4646">
        <v>3534.06</v>
      </c>
      <c r="S4646">
        <v>883.52</v>
      </c>
      <c r="T4646">
        <v>24738.44</v>
      </c>
      <c r="U4646" t="s">
        <v>7529</v>
      </c>
      <c r="V4646" t="s">
        <v>9409</v>
      </c>
      <c r="W4646" t="s">
        <v>1979</v>
      </c>
    </row>
    <row r="4647" spans="1:23" hidden="1" x14ac:dyDescent="0.2">
      <c r="A4647">
        <v>2012</v>
      </c>
      <c r="B4647" t="s">
        <v>303</v>
      </c>
      <c r="C4647" s="733">
        <v>40910</v>
      </c>
      <c r="D46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47" t="s">
        <v>478</v>
      </c>
      <c r="F4647" t="s">
        <v>2622</v>
      </c>
      <c r="G4647" t="s">
        <v>3881</v>
      </c>
      <c r="H4647">
        <v>34177</v>
      </c>
      <c r="I4647" t="s">
        <v>423</v>
      </c>
      <c r="J4647" t="s">
        <v>2644</v>
      </c>
      <c r="K4647" t="s">
        <v>2625</v>
      </c>
      <c r="L4647" t="s">
        <v>2626</v>
      </c>
      <c r="M4647">
        <v>52</v>
      </c>
      <c r="N4647">
        <v>25.87</v>
      </c>
      <c r="O4647">
        <v>1508.74</v>
      </c>
      <c r="P4647">
        <v>1217.1156450000001</v>
      </c>
      <c r="Q4647">
        <v>2725.8556450000001</v>
      </c>
      <c r="R4647">
        <v>436.13690300000002</v>
      </c>
      <c r="S4647">
        <v>109.034226</v>
      </c>
      <c r="T4647">
        <v>3052.958322</v>
      </c>
      <c r="U4647" t="s">
        <v>2660</v>
      </c>
      <c r="V4647" t="s">
        <v>9408</v>
      </c>
      <c r="W4647" t="s">
        <v>423</v>
      </c>
    </row>
    <row r="4648" spans="1:23" hidden="1" x14ac:dyDescent="0.2">
      <c r="A4648">
        <v>2012</v>
      </c>
      <c r="B4648" t="s">
        <v>303</v>
      </c>
      <c r="C4648" s="733">
        <v>40933</v>
      </c>
      <c r="D46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48" t="s">
        <v>478</v>
      </c>
      <c r="F4648" t="s">
        <v>2622</v>
      </c>
      <c r="G4648" t="s">
        <v>3879</v>
      </c>
      <c r="H4648">
        <v>34857</v>
      </c>
      <c r="I4648" t="s">
        <v>423</v>
      </c>
      <c r="J4648" t="s">
        <v>2644</v>
      </c>
      <c r="K4648" t="s">
        <v>2625</v>
      </c>
      <c r="L4648" t="s">
        <v>2626</v>
      </c>
      <c r="M4648">
        <v>52</v>
      </c>
      <c r="N4648">
        <v>24.73</v>
      </c>
      <c r="O4648">
        <v>2911.46</v>
      </c>
      <c r="P4648">
        <v>0</v>
      </c>
      <c r="Q4648">
        <v>2911.46</v>
      </c>
      <c r="R4648">
        <v>465.83</v>
      </c>
      <c r="S4648">
        <v>116.46</v>
      </c>
      <c r="T4648">
        <v>3260.83</v>
      </c>
      <c r="U4648" t="s">
        <v>2633</v>
      </c>
      <c r="V4648" t="s">
        <v>9408</v>
      </c>
      <c r="W4648" t="s">
        <v>423</v>
      </c>
    </row>
    <row r="4649" spans="1:23" hidden="1" x14ac:dyDescent="0.2">
      <c r="A4649">
        <v>2012</v>
      </c>
      <c r="B4649" t="s">
        <v>303</v>
      </c>
      <c r="C4649" s="733">
        <v>40933</v>
      </c>
      <c r="D46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49" t="s">
        <v>478</v>
      </c>
      <c r="F4649" t="s">
        <v>2622</v>
      </c>
      <c r="G4649" t="s">
        <v>5139</v>
      </c>
      <c r="H4649">
        <v>34855</v>
      </c>
      <c r="I4649" t="s">
        <v>423</v>
      </c>
      <c r="J4649" t="s">
        <v>2644</v>
      </c>
      <c r="K4649" t="s">
        <v>2625</v>
      </c>
      <c r="L4649" t="s">
        <v>2626</v>
      </c>
      <c r="M4649">
        <v>52</v>
      </c>
      <c r="N4649">
        <v>23.91</v>
      </c>
      <c r="O4649">
        <v>2814.92</v>
      </c>
      <c r="P4649">
        <v>0</v>
      </c>
      <c r="Q4649">
        <v>2814.92</v>
      </c>
      <c r="R4649">
        <v>450.39</v>
      </c>
      <c r="S4649">
        <v>112.6</v>
      </c>
      <c r="T4649">
        <v>3152.71</v>
      </c>
      <c r="U4649" t="s">
        <v>2633</v>
      </c>
      <c r="V4649" t="s">
        <v>9408</v>
      </c>
      <c r="W4649" t="s">
        <v>423</v>
      </c>
    </row>
    <row r="4650" spans="1:23" hidden="1" x14ac:dyDescent="0.2">
      <c r="A4650">
        <v>2012</v>
      </c>
      <c r="B4650" t="s">
        <v>304</v>
      </c>
      <c r="C4650" s="733">
        <v>40968.749305555553</v>
      </c>
      <c r="D46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50" t="s">
        <v>478</v>
      </c>
      <c r="F4650" t="s">
        <v>2136</v>
      </c>
      <c r="G4650" t="s">
        <v>9578</v>
      </c>
      <c r="H4650">
        <v>36199</v>
      </c>
      <c r="I4650" t="s">
        <v>423</v>
      </c>
      <c r="J4650" t="s">
        <v>2644</v>
      </c>
      <c r="K4650" t="s">
        <v>2625</v>
      </c>
      <c r="L4650" t="s">
        <v>2626</v>
      </c>
      <c r="M4650">
        <v>52</v>
      </c>
      <c r="N4650">
        <v>22.04</v>
      </c>
      <c r="O4650">
        <v>2594.77</v>
      </c>
      <c r="P4650">
        <v>0</v>
      </c>
      <c r="Q4650">
        <v>2594.77</v>
      </c>
      <c r="R4650">
        <v>415.16</v>
      </c>
      <c r="S4650">
        <v>103.79</v>
      </c>
      <c r="T4650">
        <v>2906.14</v>
      </c>
      <c r="V4650" t="s">
        <v>9408</v>
      </c>
      <c r="W4650" t="s">
        <v>423</v>
      </c>
    </row>
    <row r="4651" spans="1:23" hidden="1" x14ac:dyDescent="0.2">
      <c r="A4651">
        <v>2012</v>
      </c>
      <c r="B4651" t="s">
        <v>303</v>
      </c>
      <c r="C4651" s="733">
        <v>40938</v>
      </c>
      <c r="D46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51" t="s">
        <v>478</v>
      </c>
      <c r="F4651" t="s">
        <v>2136</v>
      </c>
      <c r="G4651" t="s">
        <v>7203</v>
      </c>
      <c r="H4651">
        <v>35034</v>
      </c>
      <c r="I4651" t="s">
        <v>423</v>
      </c>
      <c r="J4651" t="s">
        <v>3638</v>
      </c>
      <c r="K4651" t="s">
        <v>425</v>
      </c>
      <c r="L4651" t="s">
        <v>2145</v>
      </c>
      <c r="M4651">
        <v>1416</v>
      </c>
      <c r="N4651">
        <v>42.22</v>
      </c>
      <c r="O4651">
        <v>38284.67</v>
      </c>
      <c r="P4651">
        <v>0</v>
      </c>
      <c r="Q4651">
        <v>38284.67</v>
      </c>
      <c r="R4651">
        <v>6125.55</v>
      </c>
      <c r="S4651">
        <v>1531.39</v>
      </c>
      <c r="T4651">
        <v>42878.83</v>
      </c>
      <c r="U4651" t="s">
        <v>2914</v>
      </c>
      <c r="V4651" t="s">
        <v>9409</v>
      </c>
      <c r="W4651" t="s">
        <v>423</v>
      </c>
    </row>
    <row r="4652" spans="1:23" hidden="1" x14ac:dyDescent="0.2">
      <c r="A4652">
        <v>2012</v>
      </c>
      <c r="B4652" t="s">
        <v>303</v>
      </c>
      <c r="C4652" s="733">
        <v>40929</v>
      </c>
      <c r="D46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52" t="s">
        <v>478</v>
      </c>
      <c r="F4652" t="s">
        <v>2136</v>
      </c>
      <c r="G4652" t="s">
        <v>7106</v>
      </c>
      <c r="H4652">
        <v>34697</v>
      </c>
      <c r="I4652" t="s">
        <v>423</v>
      </c>
      <c r="J4652" t="s">
        <v>3638</v>
      </c>
      <c r="K4652" t="s">
        <v>425</v>
      </c>
      <c r="L4652" t="s">
        <v>2145</v>
      </c>
      <c r="M4652">
        <v>1416</v>
      </c>
      <c r="N4652">
        <v>47.59</v>
      </c>
      <c r="O4652">
        <v>43154.14</v>
      </c>
      <c r="P4652">
        <v>0</v>
      </c>
      <c r="Q4652">
        <v>43154.14</v>
      </c>
      <c r="R4652">
        <v>6904.66</v>
      </c>
      <c r="S4652">
        <v>1726.17</v>
      </c>
      <c r="T4652">
        <v>48332.63</v>
      </c>
      <c r="U4652" t="s">
        <v>3234</v>
      </c>
      <c r="V4652" t="s">
        <v>9409</v>
      </c>
      <c r="W4652" t="s">
        <v>423</v>
      </c>
    </row>
    <row r="4653" spans="1:23" hidden="1" x14ac:dyDescent="0.2">
      <c r="A4653">
        <v>2012</v>
      </c>
      <c r="B4653" t="s">
        <v>304</v>
      </c>
      <c r="C4653" s="733">
        <v>40962</v>
      </c>
      <c r="D46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53" t="s">
        <v>485</v>
      </c>
      <c r="F4653" t="s">
        <v>2084</v>
      </c>
      <c r="G4653" t="s">
        <v>8689</v>
      </c>
      <c r="H4653">
        <v>42491</v>
      </c>
      <c r="I4653" t="s">
        <v>423</v>
      </c>
      <c r="J4653" t="s">
        <v>2274</v>
      </c>
      <c r="K4653" t="s">
        <v>2051</v>
      </c>
      <c r="L4653" t="s">
        <v>2052</v>
      </c>
      <c r="M4653">
        <v>573</v>
      </c>
      <c r="N4653">
        <v>28.7</v>
      </c>
      <c r="O4653">
        <v>9313.15</v>
      </c>
      <c r="P4653">
        <v>0</v>
      </c>
      <c r="Q4653">
        <v>9313.15</v>
      </c>
      <c r="R4653">
        <v>1490.1</v>
      </c>
      <c r="S4653">
        <v>372.53</v>
      </c>
      <c r="T4653">
        <v>10430.719999999999</v>
      </c>
      <c r="U4653" t="s">
        <v>8780</v>
      </c>
      <c r="V4653" t="s">
        <v>9408</v>
      </c>
      <c r="W4653" t="s">
        <v>423</v>
      </c>
    </row>
    <row r="4654" spans="1:23" hidden="1" x14ac:dyDescent="0.2">
      <c r="A4654">
        <v>2012</v>
      </c>
      <c r="B4654" t="s">
        <v>303</v>
      </c>
      <c r="C4654" s="733">
        <v>40910</v>
      </c>
      <c r="D46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54" t="s">
        <v>478</v>
      </c>
      <c r="F4654" t="s">
        <v>2622</v>
      </c>
      <c r="G4654" t="s">
        <v>4473</v>
      </c>
      <c r="H4654">
        <v>34166</v>
      </c>
      <c r="I4654" t="s">
        <v>423</v>
      </c>
      <c r="J4654" t="s">
        <v>2644</v>
      </c>
      <c r="K4654" t="s">
        <v>2625</v>
      </c>
      <c r="L4654" t="s">
        <v>2145</v>
      </c>
      <c r="M4654">
        <v>52</v>
      </c>
      <c r="N4654">
        <v>26.42</v>
      </c>
      <c r="O4654">
        <v>1540.81</v>
      </c>
      <c r="P4654">
        <v>1242.9868349999999</v>
      </c>
      <c r="Q4654">
        <v>2783.7968350000001</v>
      </c>
      <c r="R4654">
        <v>445.40749399999999</v>
      </c>
      <c r="S4654">
        <v>111.351873</v>
      </c>
      <c r="T4654">
        <v>3117.8524560000001</v>
      </c>
      <c r="U4654" t="s">
        <v>2660</v>
      </c>
      <c r="V4654" t="s">
        <v>9408</v>
      </c>
      <c r="W4654" t="s">
        <v>423</v>
      </c>
    </row>
    <row r="4655" spans="1:23" hidden="1" x14ac:dyDescent="0.2">
      <c r="A4655">
        <v>2012</v>
      </c>
      <c r="B4655" t="s">
        <v>304</v>
      </c>
      <c r="C4655" s="733">
        <v>40963</v>
      </c>
      <c r="D46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55" t="s">
        <v>478</v>
      </c>
      <c r="F4655" t="s">
        <v>2622</v>
      </c>
      <c r="G4655" t="s">
        <v>9366</v>
      </c>
      <c r="H4655">
        <v>35871</v>
      </c>
      <c r="I4655" t="s">
        <v>423</v>
      </c>
      <c r="J4655" t="s">
        <v>2644</v>
      </c>
      <c r="K4655" t="s">
        <v>2625</v>
      </c>
      <c r="L4655" t="s">
        <v>2626</v>
      </c>
      <c r="M4655">
        <v>52</v>
      </c>
      <c r="N4655">
        <v>21.05</v>
      </c>
      <c r="O4655">
        <v>2478.2199999999998</v>
      </c>
      <c r="P4655">
        <v>0</v>
      </c>
      <c r="Q4655">
        <v>2478.2199999999998</v>
      </c>
      <c r="R4655">
        <v>396.51</v>
      </c>
      <c r="S4655">
        <v>99.13</v>
      </c>
      <c r="T4655">
        <v>2775.6</v>
      </c>
      <c r="U4655" t="s">
        <v>9428</v>
      </c>
      <c r="V4655" t="s">
        <v>9408</v>
      </c>
      <c r="W4655" t="s">
        <v>423</v>
      </c>
    </row>
    <row r="4656" spans="1:23" hidden="1" x14ac:dyDescent="0.2">
      <c r="A4656">
        <v>2012</v>
      </c>
      <c r="B4656" t="s">
        <v>303</v>
      </c>
      <c r="C4656" s="733">
        <v>40939</v>
      </c>
      <c r="D46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56" t="s">
        <v>478</v>
      </c>
      <c r="F4656" t="s">
        <v>2622</v>
      </c>
      <c r="G4656" t="s">
        <v>3880</v>
      </c>
      <c r="H4656">
        <v>35094</v>
      </c>
      <c r="I4656" t="s">
        <v>423</v>
      </c>
      <c r="J4656" t="s">
        <v>2644</v>
      </c>
      <c r="K4656" t="s">
        <v>2625</v>
      </c>
      <c r="L4656" t="s">
        <v>2626</v>
      </c>
      <c r="M4656">
        <v>52</v>
      </c>
      <c r="N4656">
        <v>25.09</v>
      </c>
      <c r="O4656">
        <v>2953.85</v>
      </c>
      <c r="P4656">
        <v>0</v>
      </c>
      <c r="Q4656">
        <v>2953.85</v>
      </c>
      <c r="R4656">
        <v>472.62</v>
      </c>
      <c r="S4656">
        <v>118.15</v>
      </c>
      <c r="T4656">
        <v>3308.32</v>
      </c>
      <c r="U4656" t="s">
        <v>2630</v>
      </c>
      <c r="V4656" t="s">
        <v>9408</v>
      </c>
      <c r="W4656" t="s">
        <v>423</v>
      </c>
    </row>
    <row r="4657" spans="1:23" hidden="1" x14ac:dyDescent="0.2">
      <c r="A4657">
        <v>2012</v>
      </c>
      <c r="B4657" t="s">
        <v>303</v>
      </c>
      <c r="C4657" s="733">
        <v>40912</v>
      </c>
      <c r="D46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57" t="s">
        <v>478</v>
      </c>
      <c r="F4657" t="s">
        <v>2136</v>
      </c>
      <c r="G4657" t="s">
        <v>7096</v>
      </c>
      <c r="H4657">
        <v>34112</v>
      </c>
      <c r="I4657" t="s">
        <v>423</v>
      </c>
      <c r="J4657" t="s">
        <v>4291</v>
      </c>
      <c r="K4657" t="s">
        <v>425</v>
      </c>
      <c r="L4657" t="s">
        <v>2145</v>
      </c>
      <c r="M4657">
        <v>163</v>
      </c>
      <c r="N4657">
        <v>26.5</v>
      </c>
      <c r="O4657">
        <v>1982.73</v>
      </c>
      <c r="P4657">
        <v>2232.3358800000001</v>
      </c>
      <c r="Q4657">
        <v>4215.0658800000001</v>
      </c>
      <c r="R4657">
        <v>674.41054099999997</v>
      </c>
      <c r="S4657">
        <v>168.60263499999999</v>
      </c>
      <c r="T4657">
        <v>4720.8737860000001</v>
      </c>
      <c r="U4657" t="s">
        <v>3323</v>
      </c>
      <c r="V4657" t="s">
        <v>9408</v>
      </c>
      <c r="W4657" t="s">
        <v>423</v>
      </c>
    </row>
    <row r="4658" spans="1:23" hidden="1" x14ac:dyDescent="0.2">
      <c r="A4658">
        <v>2012</v>
      </c>
      <c r="B4658" t="s">
        <v>304</v>
      </c>
      <c r="C4658" s="733">
        <v>40966</v>
      </c>
      <c r="D46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58" t="s">
        <v>478</v>
      </c>
      <c r="F4658" t="s">
        <v>2136</v>
      </c>
      <c r="G4658" t="s">
        <v>9368</v>
      </c>
      <c r="H4658">
        <v>35973</v>
      </c>
      <c r="I4658" t="s">
        <v>423</v>
      </c>
      <c r="J4658" t="s">
        <v>3638</v>
      </c>
      <c r="K4658" t="s">
        <v>425</v>
      </c>
      <c r="L4658" t="s">
        <v>2145</v>
      </c>
      <c r="M4658">
        <v>1416</v>
      </c>
      <c r="N4658">
        <v>38.93</v>
      </c>
      <c r="O4658">
        <v>35301.33</v>
      </c>
      <c r="P4658">
        <v>0</v>
      </c>
      <c r="Q4658">
        <v>35301.33</v>
      </c>
      <c r="R4658">
        <v>5648.21</v>
      </c>
      <c r="S4658">
        <v>1412.05</v>
      </c>
      <c r="T4658">
        <v>39537.49</v>
      </c>
      <c r="U4658" t="s">
        <v>9430</v>
      </c>
      <c r="V4658" t="s">
        <v>9409</v>
      </c>
      <c r="W4658" t="s">
        <v>423</v>
      </c>
    </row>
    <row r="4659" spans="1:23" hidden="1" x14ac:dyDescent="0.2">
      <c r="A4659">
        <v>2012</v>
      </c>
      <c r="B4659" t="s">
        <v>304</v>
      </c>
      <c r="C4659" s="733">
        <v>40952</v>
      </c>
      <c r="D46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59" t="s">
        <v>478</v>
      </c>
      <c r="F4659" t="s">
        <v>2136</v>
      </c>
      <c r="G4659" t="s">
        <v>7098</v>
      </c>
      <c r="H4659">
        <v>35425</v>
      </c>
      <c r="I4659" t="s">
        <v>423</v>
      </c>
      <c r="J4659" t="s">
        <v>3638</v>
      </c>
      <c r="K4659" t="s">
        <v>425</v>
      </c>
      <c r="L4659" t="s">
        <v>2145</v>
      </c>
      <c r="M4659">
        <v>1416</v>
      </c>
      <c r="N4659">
        <v>51.52</v>
      </c>
      <c r="O4659">
        <v>46717.82</v>
      </c>
      <c r="P4659">
        <v>0</v>
      </c>
      <c r="Q4659">
        <v>46717.82</v>
      </c>
      <c r="R4659">
        <v>7474.85</v>
      </c>
      <c r="S4659">
        <v>1868.71</v>
      </c>
      <c r="T4659">
        <v>52323.96</v>
      </c>
      <c r="U4659" t="s">
        <v>7523</v>
      </c>
      <c r="V4659" t="s">
        <v>9409</v>
      </c>
      <c r="W4659" t="s">
        <v>423</v>
      </c>
    </row>
    <row r="4660" spans="1:23" hidden="1" x14ac:dyDescent="0.2">
      <c r="A4660">
        <v>2012</v>
      </c>
      <c r="B4660" t="s">
        <v>304</v>
      </c>
      <c r="C4660" s="733">
        <v>40961</v>
      </c>
      <c r="D46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60" t="s">
        <v>478</v>
      </c>
      <c r="F4660" t="s">
        <v>2136</v>
      </c>
      <c r="G4660" t="s">
        <v>8475</v>
      </c>
      <c r="H4660">
        <v>35794</v>
      </c>
      <c r="I4660" t="s">
        <v>423</v>
      </c>
      <c r="J4660" t="s">
        <v>3638</v>
      </c>
      <c r="K4660" t="s">
        <v>425</v>
      </c>
      <c r="L4660" t="s">
        <v>2145</v>
      </c>
      <c r="M4660">
        <v>1416</v>
      </c>
      <c r="N4660">
        <v>40.43</v>
      </c>
      <c r="O4660">
        <v>36661.519999999997</v>
      </c>
      <c r="P4660">
        <v>0</v>
      </c>
      <c r="Q4660">
        <v>36661.519999999997</v>
      </c>
      <c r="R4660">
        <v>5865.84</v>
      </c>
      <c r="S4660">
        <v>1466.46</v>
      </c>
      <c r="T4660">
        <v>41060.9</v>
      </c>
      <c r="U4660" t="s">
        <v>9430</v>
      </c>
      <c r="V4660" t="s">
        <v>9409</v>
      </c>
      <c r="W4660" t="s">
        <v>423</v>
      </c>
    </row>
    <row r="4661" spans="1:23" hidden="1" x14ac:dyDescent="0.2">
      <c r="A4661">
        <v>2012</v>
      </c>
      <c r="B4661" t="s">
        <v>304</v>
      </c>
      <c r="C4661" s="733">
        <v>40960</v>
      </c>
      <c r="D46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61" t="s">
        <v>478</v>
      </c>
      <c r="F4661" t="s">
        <v>2136</v>
      </c>
      <c r="G4661" t="s">
        <v>8477</v>
      </c>
      <c r="H4661">
        <v>35739</v>
      </c>
      <c r="I4661" t="s">
        <v>423</v>
      </c>
      <c r="J4661" t="s">
        <v>3638</v>
      </c>
      <c r="K4661" t="s">
        <v>425</v>
      </c>
      <c r="L4661" t="s">
        <v>2145</v>
      </c>
      <c r="M4661">
        <v>1416</v>
      </c>
      <c r="N4661">
        <v>40.99</v>
      </c>
      <c r="O4661">
        <v>37169.32</v>
      </c>
      <c r="P4661">
        <v>0</v>
      </c>
      <c r="Q4661">
        <v>37169.32</v>
      </c>
      <c r="R4661">
        <v>5947.09</v>
      </c>
      <c r="S4661">
        <v>1486.77</v>
      </c>
      <c r="T4661">
        <v>41629.64</v>
      </c>
      <c r="U4661" t="s">
        <v>8252</v>
      </c>
      <c r="V4661" t="s">
        <v>9409</v>
      </c>
      <c r="W4661" t="s">
        <v>423</v>
      </c>
    </row>
    <row r="4662" spans="1:23" hidden="1" x14ac:dyDescent="0.2">
      <c r="A4662">
        <v>2012</v>
      </c>
      <c r="B4662" t="s">
        <v>303</v>
      </c>
      <c r="C4662" s="733">
        <v>40938</v>
      </c>
      <c r="D46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62" t="s">
        <v>478</v>
      </c>
      <c r="F4662" t="s">
        <v>2136</v>
      </c>
      <c r="G4662" t="s">
        <v>7105</v>
      </c>
      <c r="H4662">
        <v>34984</v>
      </c>
      <c r="I4662" t="s">
        <v>423</v>
      </c>
      <c r="J4662" t="s">
        <v>3638</v>
      </c>
      <c r="K4662" t="s">
        <v>425</v>
      </c>
      <c r="L4662" t="s">
        <v>2145</v>
      </c>
      <c r="M4662">
        <v>1416</v>
      </c>
      <c r="N4662">
        <v>44.89</v>
      </c>
      <c r="O4662">
        <v>40705.800000000003</v>
      </c>
      <c r="P4662">
        <v>0</v>
      </c>
      <c r="Q4662">
        <v>40705.800000000003</v>
      </c>
      <c r="R4662">
        <v>6512.93</v>
      </c>
      <c r="S4662">
        <v>1628.23</v>
      </c>
      <c r="T4662">
        <v>45590.5</v>
      </c>
      <c r="U4662" t="s">
        <v>2914</v>
      </c>
      <c r="V4662" t="s">
        <v>9409</v>
      </c>
      <c r="W4662" t="s">
        <v>423</v>
      </c>
    </row>
    <row r="4663" spans="1:23" hidden="1" x14ac:dyDescent="0.2">
      <c r="A4663">
        <v>2012</v>
      </c>
      <c r="B4663" t="s">
        <v>304</v>
      </c>
      <c r="C4663" s="733">
        <v>40966</v>
      </c>
      <c r="D46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63" t="s">
        <v>478</v>
      </c>
      <c r="F4663" t="s">
        <v>2136</v>
      </c>
      <c r="G4663" t="s">
        <v>9369</v>
      </c>
      <c r="H4663">
        <v>35948</v>
      </c>
      <c r="I4663" t="s">
        <v>423</v>
      </c>
      <c r="J4663" t="s">
        <v>3638</v>
      </c>
      <c r="K4663" t="s">
        <v>425</v>
      </c>
      <c r="L4663" t="s">
        <v>2145</v>
      </c>
      <c r="M4663">
        <v>1416</v>
      </c>
      <c r="N4663">
        <v>44.44</v>
      </c>
      <c r="O4663">
        <v>40297.75</v>
      </c>
      <c r="P4663">
        <v>0</v>
      </c>
      <c r="Q4663">
        <v>40297.75</v>
      </c>
      <c r="R4663">
        <v>6447.64</v>
      </c>
      <c r="S4663">
        <v>1611.91</v>
      </c>
      <c r="T4663">
        <v>45133.48</v>
      </c>
      <c r="U4663" t="s">
        <v>9430</v>
      </c>
      <c r="V4663" t="s">
        <v>9409</v>
      </c>
      <c r="W4663" t="s">
        <v>423</v>
      </c>
    </row>
    <row r="4664" spans="1:23" hidden="1" x14ac:dyDescent="0.2">
      <c r="A4664">
        <v>2012</v>
      </c>
      <c r="B4664" t="s">
        <v>304</v>
      </c>
      <c r="C4664" s="733">
        <v>40941</v>
      </c>
      <c r="D46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64" t="s">
        <v>485</v>
      </c>
      <c r="F4664" t="s">
        <v>2048</v>
      </c>
      <c r="G4664" t="s">
        <v>6076</v>
      </c>
      <c r="H4664">
        <v>41341</v>
      </c>
      <c r="I4664" t="s">
        <v>423</v>
      </c>
      <c r="J4664" t="s">
        <v>2274</v>
      </c>
      <c r="K4664" t="s">
        <v>2051</v>
      </c>
      <c r="L4664" t="s">
        <v>2052</v>
      </c>
      <c r="M4664">
        <v>573</v>
      </c>
      <c r="N4664">
        <v>27.7</v>
      </c>
      <c r="O4664">
        <v>8988.65</v>
      </c>
      <c r="P4664">
        <v>0</v>
      </c>
      <c r="Q4664">
        <v>8988.65</v>
      </c>
      <c r="R4664">
        <v>1438.18</v>
      </c>
      <c r="S4664">
        <v>359.55</v>
      </c>
      <c r="T4664">
        <v>10067.280000000001</v>
      </c>
      <c r="U4664" t="s">
        <v>2067</v>
      </c>
      <c r="V4664" t="s">
        <v>9408</v>
      </c>
      <c r="W4664" t="s">
        <v>423</v>
      </c>
    </row>
    <row r="4665" spans="1:23" hidden="1" x14ac:dyDescent="0.2">
      <c r="A4665">
        <v>2012</v>
      </c>
      <c r="B4665" t="s">
        <v>304</v>
      </c>
      <c r="C4665" s="733">
        <v>40948</v>
      </c>
      <c r="D46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65" t="s">
        <v>478</v>
      </c>
      <c r="F4665" t="s">
        <v>2136</v>
      </c>
      <c r="G4665" t="s">
        <v>6594</v>
      </c>
      <c r="H4665">
        <v>35315</v>
      </c>
      <c r="I4665" t="s">
        <v>423</v>
      </c>
      <c r="J4665" t="s">
        <v>3638</v>
      </c>
      <c r="K4665" t="s">
        <v>425</v>
      </c>
      <c r="L4665" t="s">
        <v>2145</v>
      </c>
      <c r="M4665">
        <v>1416</v>
      </c>
      <c r="N4665">
        <v>52.11</v>
      </c>
      <c r="O4665">
        <v>47252.83</v>
      </c>
      <c r="P4665">
        <v>0</v>
      </c>
      <c r="Q4665">
        <v>47252.83</v>
      </c>
      <c r="R4665">
        <v>7560.45</v>
      </c>
      <c r="S4665">
        <v>1890.11</v>
      </c>
      <c r="T4665">
        <v>52923.17</v>
      </c>
      <c r="U4665" t="s">
        <v>3115</v>
      </c>
      <c r="V4665" t="s">
        <v>9409</v>
      </c>
      <c r="W4665" t="s">
        <v>423</v>
      </c>
    </row>
    <row r="4666" spans="1:23" hidden="1" x14ac:dyDescent="0.2">
      <c r="A4666">
        <v>2012</v>
      </c>
      <c r="B4666" t="s">
        <v>304</v>
      </c>
      <c r="C4666" s="733">
        <v>40960</v>
      </c>
      <c r="D46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66" t="s">
        <v>478</v>
      </c>
      <c r="F4666" t="s">
        <v>2142</v>
      </c>
      <c r="G4666" t="s">
        <v>8426</v>
      </c>
      <c r="H4666">
        <v>35738</v>
      </c>
      <c r="I4666" t="s">
        <v>423</v>
      </c>
      <c r="J4666" t="s">
        <v>3638</v>
      </c>
      <c r="K4666" t="s">
        <v>425</v>
      </c>
      <c r="L4666" t="s">
        <v>2145</v>
      </c>
      <c r="M4666">
        <v>1416</v>
      </c>
      <c r="N4666">
        <v>45.62</v>
      </c>
      <c r="O4666">
        <v>41367.760000000002</v>
      </c>
      <c r="P4666">
        <v>0</v>
      </c>
      <c r="Q4666">
        <v>41367.760000000002</v>
      </c>
      <c r="R4666">
        <v>6618.84</v>
      </c>
      <c r="S4666">
        <v>1654.71</v>
      </c>
      <c r="T4666">
        <v>46331.89</v>
      </c>
      <c r="U4666" t="s">
        <v>8252</v>
      </c>
      <c r="V4666" t="s">
        <v>9409</v>
      </c>
      <c r="W4666" t="s">
        <v>423</v>
      </c>
    </row>
    <row r="4667" spans="1:23" hidden="1" x14ac:dyDescent="0.2">
      <c r="A4667">
        <v>2012</v>
      </c>
      <c r="B4667" t="s">
        <v>303</v>
      </c>
      <c r="C4667" s="733">
        <v>40938</v>
      </c>
      <c r="D46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67" t="s">
        <v>505</v>
      </c>
      <c r="F4667" t="s">
        <v>1915</v>
      </c>
      <c r="G4667" t="s">
        <v>6526</v>
      </c>
      <c r="H4667">
        <v>22305</v>
      </c>
      <c r="I4667" t="s">
        <v>423</v>
      </c>
      <c r="J4667" t="s">
        <v>4140</v>
      </c>
      <c r="K4667" t="s">
        <v>1918</v>
      </c>
      <c r="L4667" t="s">
        <v>1919</v>
      </c>
      <c r="M4667">
        <v>1</v>
      </c>
      <c r="N4667">
        <v>25.19</v>
      </c>
      <c r="O4667">
        <v>2432.85</v>
      </c>
      <c r="P4667">
        <v>0</v>
      </c>
      <c r="Q4667">
        <v>2432.85</v>
      </c>
      <c r="R4667">
        <v>389.26</v>
      </c>
      <c r="S4667">
        <v>97.31</v>
      </c>
      <c r="T4667">
        <v>2724.8</v>
      </c>
      <c r="U4667" t="s">
        <v>1936</v>
      </c>
      <c r="V4667" t="s">
        <v>9408</v>
      </c>
      <c r="W4667" t="s">
        <v>423</v>
      </c>
    </row>
    <row r="4668" spans="1:23" hidden="1" x14ac:dyDescent="0.2">
      <c r="A4668">
        <v>2012</v>
      </c>
      <c r="B4668" t="s">
        <v>304</v>
      </c>
      <c r="C4668" s="733">
        <v>40962</v>
      </c>
      <c r="D46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68" t="s">
        <v>505</v>
      </c>
      <c r="F4668" t="s">
        <v>1915</v>
      </c>
      <c r="G4668" t="s">
        <v>8609</v>
      </c>
      <c r="H4668">
        <v>22954</v>
      </c>
      <c r="I4668" t="s">
        <v>423</v>
      </c>
      <c r="J4668" t="s">
        <v>4140</v>
      </c>
      <c r="K4668" t="s">
        <v>1918</v>
      </c>
      <c r="L4668" t="s">
        <v>1919</v>
      </c>
      <c r="M4668">
        <v>1</v>
      </c>
      <c r="N4668">
        <v>24.85</v>
      </c>
      <c r="O4668">
        <v>2400.0100000000002</v>
      </c>
      <c r="P4668">
        <v>0</v>
      </c>
      <c r="Q4668">
        <v>2400.0100000000002</v>
      </c>
      <c r="R4668">
        <v>384</v>
      </c>
      <c r="S4668">
        <v>96</v>
      </c>
      <c r="T4668">
        <v>2688.01</v>
      </c>
      <c r="U4668" t="s">
        <v>8778</v>
      </c>
      <c r="V4668" t="s">
        <v>9408</v>
      </c>
      <c r="W4668" t="s">
        <v>423</v>
      </c>
    </row>
    <row r="4669" spans="1:23" hidden="1" x14ac:dyDescent="0.2">
      <c r="A4669">
        <v>2012</v>
      </c>
      <c r="B4669" t="s">
        <v>305</v>
      </c>
      <c r="C4669" s="733">
        <v>40969</v>
      </c>
      <c r="D4669" s="733" t="str">
        <f>CHOOSE(MONTH(Tabla_sqldatos_bonampakdb_Bon_v_ingresos2012[[#This Row],[fecha_guia]]),"Enero","Febrero","Marzo","Abril","Mayo","Junio","Julio","Agosto","Septiembre","Octubre","Noviembre","Diciembre")</f>
        <v>Marzo</v>
      </c>
      <c r="E4669" t="s">
        <v>505</v>
      </c>
      <c r="F4669" t="s">
        <v>1915</v>
      </c>
      <c r="G4669" t="s">
        <v>9473</v>
      </c>
      <c r="H4669">
        <v>23128</v>
      </c>
      <c r="I4669" t="s">
        <v>423</v>
      </c>
      <c r="J4669" t="s">
        <v>4140</v>
      </c>
      <c r="K4669" t="s">
        <v>1918</v>
      </c>
      <c r="L4669" t="s">
        <v>1919</v>
      </c>
      <c r="M4669">
        <v>1</v>
      </c>
      <c r="N4669">
        <v>24.92</v>
      </c>
      <c r="O4669">
        <v>2406.77</v>
      </c>
      <c r="P4669">
        <v>0</v>
      </c>
      <c r="Q4669">
        <v>2406.77</v>
      </c>
      <c r="R4669">
        <v>385.08</v>
      </c>
      <c r="S4669">
        <v>96.27</v>
      </c>
      <c r="T4669">
        <v>2695.58</v>
      </c>
      <c r="V4669" t="s">
        <v>9408</v>
      </c>
      <c r="W4669" t="s">
        <v>423</v>
      </c>
    </row>
    <row r="4670" spans="1:23" hidden="1" x14ac:dyDescent="0.2">
      <c r="A4670">
        <v>2012</v>
      </c>
      <c r="B4670" t="s">
        <v>303</v>
      </c>
      <c r="C4670" s="733">
        <v>40928</v>
      </c>
      <c r="D46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70" t="s">
        <v>505</v>
      </c>
      <c r="F4670" t="s">
        <v>1915</v>
      </c>
      <c r="G4670" t="s">
        <v>6582</v>
      </c>
      <c r="H4670">
        <v>22131</v>
      </c>
      <c r="I4670" t="s">
        <v>423</v>
      </c>
      <c r="J4670" t="s">
        <v>4140</v>
      </c>
      <c r="K4670" t="s">
        <v>1918</v>
      </c>
      <c r="L4670" t="s">
        <v>1919</v>
      </c>
      <c r="M4670">
        <v>1</v>
      </c>
      <c r="N4670">
        <v>28.22</v>
      </c>
      <c r="O4670">
        <v>2725.49</v>
      </c>
      <c r="P4670">
        <v>0</v>
      </c>
      <c r="Q4670">
        <v>2725.49</v>
      </c>
      <c r="R4670">
        <v>436.08</v>
      </c>
      <c r="S4670">
        <v>109.02</v>
      </c>
      <c r="T4670">
        <v>3052.55</v>
      </c>
      <c r="U4670" t="s">
        <v>1936</v>
      </c>
      <c r="V4670" t="s">
        <v>9408</v>
      </c>
      <c r="W4670" t="s">
        <v>423</v>
      </c>
    </row>
    <row r="4671" spans="1:23" hidden="1" x14ac:dyDescent="0.2">
      <c r="A4671">
        <v>2012</v>
      </c>
      <c r="B4671" t="s">
        <v>304</v>
      </c>
      <c r="C4671" s="733">
        <v>40964</v>
      </c>
      <c r="D46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71" t="s">
        <v>505</v>
      </c>
      <c r="F4671" t="s">
        <v>1915</v>
      </c>
      <c r="G4671" t="s">
        <v>8758</v>
      </c>
      <c r="H4671">
        <v>23012</v>
      </c>
      <c r="I4671" t="s">
        <v>423</v>
      </c>
      <c r="J4671" t="s">
        <v>4140</v>
      </c>
      <c r="K4671" t="s">
        <v>1918</v>
      </c>
      <c r="L4671" t="s">
        <v>1919</v>
      </c>
      <c r="M4671">
        <v>1</v>
      </c>
      <c r="N4671">
        <v>25.12</v>
      </c>
      <c r="O4671">
        <v>2426.09</v>
      </c>
      <c r="P4671">
        <v>0</v>
      </c>
      <c r="Q4671">
        <v>2426.09</v>
      </c>
      <c r="R4671">
        <v>388.17</v>
      </c>
      <c r="S4671">
        <v>97.04</v>
      </c>
      <c r="T4671">
        <v>2717.22</v>
      </c>
      <c r="U4671" t="s">
        <v>9415</v>
      </c>
      <c r="V4671" t="s">
        <v>9408</v>
      </c>
      <c r="W4671" t="s">
        <v>423</v>
      </c>
    </row>
    <row r="4672" spans="1:23" hidden="1" x14ac:dyDescent="0.2">
      <c r="A4672">
        <v>2012</v>
      </c>
      <c r="B4672" t="s">
        <v>304</v>
      </c>
      <c r="C4672" s="733">
        <v>40957</v>
      </c>
      <c r="D46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72" t="s">
        <v>505</v>
      </c>
      <c r="F4672" t="s">
        <v>1915</v>
      </c>
      <c r="G4672" t="s">
        <v>7620</v>
      </c>
      <c r="H4672">
        <v>22840</v>
      </c>
      <c r="I4672" t="s">
        <v>423</v>
      </c>
      <c r="J4672" t="s">
        <v>5285</v>
      </c>
      <c r="K4672" t="s">
        <v>1918</v>
      </c>
      <c r="L4672" t="s">
        <v>1919</v>
      </c>
      <c r="M4672">
        <v>433</v>
      </c>
      <c r="N4672">
        <v>25.08</v>
      </c>
      <c r="O4672">
        <v>7924.78</v>
      </c>
      <c r="P4672">
        <v>0</v>
      </c>
      <c r="Q4672">
        <v>7924.78</v>
      </c>
      <c r="R4672">
        <v>1267.96</v>
      </c>
      <c r="S4672">
        <v>316.99</v>
      </c>
      <c r="T4672">
        <v>8875.75</v>
      </c>
      <c r="U4672" t="s">
        <v>8491</v>
      </c>
      <c r="V4672" t="s">
        <v>9408</v>
      </c>
      <c r="W4672" t="s">
        <v>423</v>
      </c>
    </row>
    <row r="4673" spans="1:23" hidden="1" x14ac:dyDescent="0.2">
      <c r="A4673">
        <v>2012</v>
      </c>
      <c r="B4673" t="s">
        <v>304</v>
      </c>
      <c r="C4673" s="733">
        <v>40960</v>
      </c>
      <c r="D46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73" t="s">
        <v>505</v>
      </c>
      <c r="F4673" t="s">
        <v>1915</v>
      </c>
      <c r="G4673" t="s">
        <v>8427</v>
      </c>
      <c r="H4673">
        <v>22885</v>
      </c>
      <c r="I4673" t="s">
        <v>423</v>
      </c>
      <c r="J4673" t="s">
        <v>5285</v>
      </c>
      <c r="K4673" t="s">
        <v>1918</v>
      </c>
      <c r="L4673" t="s">
        <v>1919</v>
      </c>
      <c r="M4673">
        <v>433</v>
      </c>
      <c r="N4673">
        <v>24.78</v>
      </c>
      <c r="O4673">
        <v>7829.98</v>
      </c>
      <c r="P4673">
        <v>0</v>
      </c>
      <c r="Q4673">
        <v>7829.98</v>
      </c>
      <c r="R4673">
        <v>1252.8</v>
      </c>
      <c r="S4673">
        <v>313.2</v>
      </c>
      <c r="T4673">
        <v>8769.58</v>
      </c>
      <c r="U4673" t="s">
        <v>8491</v>
      </c>
      <c r="V4673" t="s">
        <v>9408</v>
      </c>
      <c r="W4673" t="s">
        <v>423</v>
      </c>
    </row>
    <row r="4674" spans="1:23" hidden="1" x14ac:dyDescent="0.2">
      <c r="A4674">
        <v>2012</v>
      </c>
      <c r="B4674" t="s">
        <v>304</v>
      </c>
      <c r="C4674" s="733">
        <v>40946</v>
      </c>
      <c r="D46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74" t="s">
        <v>505</v>
      </c>
      <c r="F4674" t="s">
        <v>1915</v>
      </c>
      <c r="G4674" t="s">
        <v>6581</v>
      </c>
      <c r="H4674">
        <v>22488</v>
      </c>
      <c r="I4674" t="s">
        <v>423</v>
      </c>
      <c r="J4674" t="s">
        <v>4140</v>
      </c>
      <c r="K4674" t="s">
        <v>1918</v>
      </c>
      <c r="L4674" t="s">
        <v>1919</v>
      </c>
      <c r="M4674">
        <v>1</v>
      </c>
      <c r="N4674">
        <v>24.33</v>
      </c>
      <c r="O4674">
        <v>2349.79</v>
      </c>
      <c r="P4674">
        <v>0</v>
      </c>
      <c r="Q4674">
        <v>2349.79</v>
      </c>
      <c r="R4674">
        <v>375.97</v>
      </c>
      <c r="S4674">
        <v>93.99</v>
      </c>
      <c r="T4674">
        <v>2631.77</v>
      </c>
      <c r="U4674" t="s">
        <v>1924</v>
      </c>
      <c r="V4674" t="s">
        <v>9408</v>
      </c>
      <c r="W4674" t="s">
        <v>423</v>
      </c>
    </row>
    <row r="4675" spans="1:23" hidden="1" x14ac:dyDescent="0.2">
      <c r="A4675">
        <v>2012</v>
      </c>
      <c r="B4675" t="s">
        <v>304</v>
      </c>
      <c r="C4675" s="733">
        <v>40956</v>
      </c>
      <c r="D46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75" t="s">
        <v>485</v>
      </c>
      <c r="F4675" t="s">
        <v>2065</v>
      </c>
      <c r="G4675" t="s">
        <v>7767</v>
      </c>
      <c r="H4675">
        <v>42105</v>
      </c>
      <c r="I4675" t="s">
        <v>423</v>
      </c>
      <c r="J4675" t="s">
        <v>4828</v>
      </c>
      <c r="K4675" t="s">
        <v>2183</v>
      </c>
      <c r="L4675" t="s">
        <v>2184</v>
      </c>
      <c r="M4675">
        <v>134</v>
      </c>
      <c r="N4675">
        <v>24.13</v>
      </c>
      <c r="O4675">
        <v>4803.8</v>
      </c>
      <c r="P4675">
        <v>0</v>
      </c>
      <c r="Q4675">
        <v>4803.8</v>
      </c>
      <c r="R4675">
        <v>768.61</v>
      </c>
      <c r="S4675">
        <v>192.15</v>
      </c>
      <c r="T4675">
        <v>5380.26</v>
      </c>
      <c r="U4675" t="s">
        <v>8048</v>
      </c>
      <c r="V4675" t="s">
        <v>9408</v>
      </c>
      <c r="W4675" t="s">
        <v>423</v>
      </c>
    </row>
    <row r="4676" spans="1:23" hidden="1" x14ac:dyDescent="0.2">
      <c r="A4676">
        <v>2012</v>
      </c>
      <c r="B4676" t="s">
        <v>303</v>
      </c>
      <c r="C4676" s="733">
        <v>40918</v>
      </c>
      <c r="D46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76" t="s">
        <v>478</v>
      </c>
      <c r="F4676" t="s">
        <v>2136</v>
      </c>
      <c r="G4676" t="s">
        <v>6784</v>
      </c>
      <c r="H4676">
        <v>34308</v>
      </c>
      <c r="I4676" t="s">
        <v>423</v>
      </c>
      <c r="J4676" t="s">
        <v>2936</v>
      </c>
      <c r="K4676" t="s">
        <v>425</v>
      </c>
      <c r="L4676" t="s">
        <v>2145</v>
      </c>
      <c r="M4676">
        <v>604</v>
      </c>
      <c r="N4676">
        <v>23.84</v>
      </c>
      <c r="O4676">
        <v>7464.07</v>
      </c>
      <c r="P4676">
        <v>0</v>
      </c>
      <c r="Q4676">
        <v>7464.07</v>
      </c>
      <c r="R4676">
        <v>1194.25</v>
      </c>
      <c r="S4676">
        <v>298.56</v>
      </c>
      <c r="T4676">
        <v>8359.76</v>
      </c>
      <c r="U4676" t="s">
        <v>2352</v>
      </c>
      <c r="V4676" t="s">
        <v>9408</v>
      </c>
      <c r="W4676" t="s">
        <v>423</v>
      </c>
    </row>
    <row r="4677" spans="1:23" hidden="1" x14ac:dyDescent="0.2">
      <c r="A4677">
        <v>2012</v>
      </c>
      <c r="B4677" t="s">
        <v>303</v>
      </c>
      <c r="C4677" s="733">
        <v>40938</v>
      </c>
      <c r="D46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77" t="s">
        <v>478</v>
      </c>
      <c r="F4677" t="s">
        <v>2142</v>
      </c>
      <c r="G4677" t="s">
        <v>6949</v>
      </c>
      <c r="H4677">
        <v>35037</v>
      </c>
      <c r="I4677" t="s">
        <v>423</v>
      </c>
      <c r="J4677" t="s">
        <v>2936</v>
      </c>
      <c r="K4677" t="s">
        <v>425</v>
      </c>
      <c r="L4677" t="s">
        <v>2145</v>
      </c>
      <c r="M4677">
        <v>604</v>
      </c>
      <c r="N4677">
        <v>24.48</v>
      </c>
      <c r="O4677">
        <v>7664.44</v>
      </c>
      <c r="P4677">
        <v>0</v>
      </c>
      <c r="Q4677">
        <v>7664.44</v>
      </c>
      <c r="R4677">
        <v>1226.31</v>
      </c>
      <c r="S4677">
        <v>306.58</v>
      </c>
      <c r="T4677">
        <v>8584.17</v>
      </c>
      <c r="U4677" t="s">
        <v>2580</v>
      </c>
      <c r="V4677" t="s">
        <v>9409</v>
      </c>
      <c r="W4677" t="s">
        <v>423</v>
      </c>
    </row>
    <row r="4678" spans="1:23" hidden="1" x14ac:dyDescent="0.2">
      <c r="A4678">
        <v>2012</v>
      </c>
      <c r="B4678" t="s">
        <v>304</v>
      </c>
      <c r="C4678" s="733">
        <v>40952</v>
      </c>
      <c r="D46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78" t="s">
        <v>478</v>
      </c>
      <c r="F4678" t="s">
        <v>2136</v>
      </c>
      <c r="G4678" t="s">
        <v>6778</v>
      </c>
      <c r="H4678">
        <v>35522</v>
      </c>
      <c r="I4678" t="s">
        <v>423</v>
      </c>
      <c r="J4678" t="s">
        <v>2936</v>
      </c>
      <c r="K4678" t="s">
        <v>425</v>
      </c>
      <c r="L4678" t="s">
        <v>2145</v>
      </c>
      <c r="M4678">
        <v>604</v>
      </c>
      <c r="N4678">
        <v>24.3</v>
      </c>
      <c r="O4678">
        <v>7608.09</v>
      </c>
      <c r="P4678">
        <v>0</v>
      </c>
      <c r="Q4678">
        <v>7608.09</v>
      </c>
      <c r="R4678">
        <v>1217.29</v>
      </c>
      <c r="S4678">
        <v>304.32</v>
      </c>
      <c r="T4678">
        <v>8521.06</v>
      </c>
      <c r="U4678" t="s">
        <v>7553</v>
      </c>
      <c r="V4678" t="s">
        <v>9408</v>
      </c>
      <c r="W4678" t="s">
        <v>423</v>
      </c>
    </row>
    <row r="4679" spans="1:23" hidden="1" x14ac:dyDescent="0.2">
      <c r="A4679">
        <v>2012</v>
      </c>
      <c r="B4679" t="s">
        <v>304</v>
      </c>
      <c r="C4679" s="733">
        <v>40962</v>
      </c>
      <c r="D46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79" t="s">
        <v>478</v>
      </c>
      <c r="F4679" t="s">
        <v>2136</v>
      </c>
      <c r="G4679" t="s">
        <v>8635</v>
      </c>
      <c r="H4679">
        <v>35759</v>
      </c>
      <c r="I4679" t="s">
        <v>423</v>
      </c>
      <c r="J4679" t="s">
        <v>2936</v>
      </c>
      <c r="K4679" t="s">
        <v>425</v>
      </c>
      <c r="L4679" t="s">
        <v>2145</v>
      </c>
      <c r="M4679">
        <v>604</v>
      </c>
      <c r="N4679">
        <v>40.17</v>
      </c>
      <c r="O4679">
        <v>12576.83</v>
      </c>
      <c r="P4679">
        <v>0</v>
      </c>
      <c r="Q4679">
        <v>12576.83</v>
      </c>
      <c r="R4679">
        <v>2012.29</v>
      </c>
      <c r="S4679">
        <v>503.07</v>
      </c>
      <c r="T4679">
        <v>14086.05</v>
      </c>
      <c r="U4679" t="s">
        <v>9457</v>
      </c>
      <c r="V4679" t="s">
        <v>9409</v>
      </c>
      <c r="W4679" t="s">
        <v>423</v>
      </c>
    </row>
    <row r="4680" spans="1:23" hidden="1" x14ac:dyDescent="0.2">
      <c r="A4680">
        <v>2012</v>
      </c>
      <c r="B4680" t="s">
        <v>303</v>
      </c>
      <c r="C4680" s="733">
        <v>40912</v>
      </c>
      <c r="D46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80" t="s">
        <v>478</v>
      </c>
      <c r="F4680" t="s">
        <v>2622</v>
      </c>
      <c r="G4680" t="s">
        <v>6948</v>
      </c>
      <c r="H4680">
        <v>34120</v>
      </c>
      <c r="I4680" t="s">
        <v>423</v>
      </c>
      <c r="J4680" t="s">
        <v>2936</v>
      </c>
      <c r="K4680" t="s">
        <v>425</v>
      </c>
      <c r="L4680" t="s">
        <v>2145</v>
      </c>
      <c r="M4680">
        <v>604</v>
      </c>
      <c r="N4680">
        <v>49.72</v>
      </c>
      <c r="O4680">
        <v>6554.09</v>
      </c>
      <c r="P4680">
        <v>7379.1843900000003</v>
      </c>
      <c r="Q4680">
        <v>13933.27439</v>
      </c>
      <c r="R4680">
        <v>2229.3239020000001</v>
      </c>
      <c r="S4680">
        <v>557.33097599999996</v>
      </c>
      <c r="T4680">
        <v>15605.267315999999</v>
      </c>
      <c r="V4680" t="s">
        <v>9409</v>
      </c>
      <c r="W4680" t="s">
        <v>423</v>
      </c>
    </row>
    <row r="4681" spans="1:23" hidden="1" x14ac:dyDescent="0.2">
      <c r="A4681">
        <v>2012</v>
      </c>
      <c r="B4681" t="s">
        <v>304</v>
      </c>
      <c r="C4681" s="733">
        <v>40956</v>
      </c>
      <c r="D46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81" t="s">
        <v>478</v>
      </c>
      <c r="F4681" t="s">
        <v>2136</v>
      </c>
      <c r="G4681" t="s">
        <v>7998</v>
      </c>
      <c r="H4681">
        <v>35766</v>
      </c>
      <c r="I4681" t="s">
        <v>423</v>
      </c>
      <c r="J4681" t="s">
        <v>2936</v>
      </c>
      <c r="K4681" t="s">
        <v>425</v>
      </c>
      <c r="L4681" t="s">
        <v>2145</v>
      </c>
      <c r="M4681">
        <v>604</v>
      </c>
      <c r="N4681">
        <v>22.06</v>
      </c>
      <c r="O4681">
        <v>6906.77</v>
      </c>
      <c r="P4681">
        <v>0</v>
      </c>
      <c r="Q4681">
        <v>6906.77</v>
      </c>
      <c r="R4681">
        <v>1105.08</v>
      </c>
      <c r="S4681">
        <v>276.27</v>
      </c>
      <c r="T4681">
        <v>7735.58</v>
      </c>
      <c r="U4681" t="s">
        <v>8312</v>
      </c>
      <c r="V4681" t="s">
        <v>9408</v>
      </c>
      <c r="W4681" t="s">
        <v>423</v>
      </c>
    </row>
    <row r="4682" spans="1:23" hidden="1" x14ac:dyDescent="0.2">
      <c r="A4682">
        <v>2012</v>
      </c>
      <c r="B4682" t="s">
        <v>303</v>
      </c>
      <c r="C4682" s="733">
        <v>40931</v>
      </c>
      <c r="D46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82" t="s">
        <v>478</v>
      </c>
      <c r="F4682" t="s">
        <v>2136</v>
      </c>
      <c r="G4682" t="s">
        <v>6777</v>
      </c>
      <c r="H4682">
        <v>34816</v>
      </c>
      <c r="I4682" t="s">
        <v>423</v>
      </c>
      <c r="J4682" t="s">
        <v>3329</v>
      </c>
      <c r="K4682" t="s">
        <v>425</v>
      </c>
      <c r="L4682" t="s">
        <v>2145</v>
      </c>
      <c r="M4682">
        <v>596</v>
      </c>
      <c r="N4682">
        <v>25.14</v>
      </c>
      <c r="O4682">
        <v>8157.93</v>
      </c>
      <c r="P4682">
        <v>0</v>
      </c>
      <c r="Q4682">
        <v>8157.93</v>
      </c>
      <c r="R4682">
        <v>1305.27</v>
      </c>
      <c r="S4682">
        <v>326.32</v>
      </c>
      <c r="T4682">
        <v>9136.8799999999992</v>
      </c>
      <c r="U4682" t="s">
        <v>2355</v>
      </c>
      <c r="V4682" t="s">
        <v>9408</v>
      </c>
      <c r="W4682" t="s">
        <v>423</v>
      </c>
    </row>
    <row r="4683" spans="1:23" hidden="1" x14ac:dyDescent="0.2">
      <c r="A4683">
        <v>2012</v>
      </c>
      <c r="B4683" t="s">
        <v>303</v>
      </c>
      <c r="C4683" s="733">
        <v>40922</v>
      </c>
      <c r="D46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83" t="s">
        <v>478</v>
      </c>
      <c r="F4683" t="s">
        <v>2136</v>
      </c>
      <c r="G4683" t="s">
        <v>6785</v>
      </c>
      <c r="H4683">
        <v>34482</v>
      </c>
      <c r="I4683" t="s">
        <v>423</v>
      </c>
      <c r="J4683" t="s">
        <v>4270</v>
      </c>
      <c r="K4683" t="s">
        <v>425</v>
      </c>
      <c r="L4683" t="s">
        <v>2145</v>
      </c>
      <c r="M4683">
        <v>560</v>
      </c>
      <c r="N4683">
        <v>25.66</v>
      </c>
      <c r="O4683">
        <v>8198.3700000000008</v>
      </c>
      <c r="P4683">
        <v>0</v>
      </c>
      <c r="Q4683">
        <v>8198.3700000000008</v>
      </c>
      <c r="R4683">
        <v>1311.74</v>
      </c>
      <c r="S4683">
        <v>327.93</v>
      </c>
      <c r="T4683">
        <v>9182.18</v>
      </c>
      <c r="U4683" t="s">
        <v>2927</v>
      </c>
      <c r="V4683" t="s">
        <v>9409</v>
      </c>
      <c r="W4683" t="s">
        <v>423</v>
      </c>
    </row>
    <row r="4684" spans="1:23" hidden="1" x14ac:dyDescent="0.2">
      <c r="A4684">
        <v>2012</v>
      </c>
      <c r="B4684" t="s">
        <v>304</v>
      </c>
      <c r="C4684" s="733">
        <v>40952</v>
      </c>
      <c r="D46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84" t="s">
        <v>478</v>
      </c>
      <c r="F4684" t="s">
        <v>2136</v>
      </c>
      <c r="G4684" t="s">
        <v>5625</v>
      </c>
      <c r="H4684">
        <v>35550</v>
      </c>
      <c r="I4684" t="s">
        <v>423</v>
      </c>
      <c r="J4684" t="s">
        <v>2936</v>
      </c>
      <c r="K4684" t="s">
        <v>425</v>
      </c>
      <c r="L4684" t="s">
        <v>2145</v>
      </c>
      <c r="M4684">
        <v>604</v>
      </c>
      <c r="N4684">
        <v>48.15</v>
      </c>
      <c r="O4684">
        <v>15075.28</v>
      </c>
      <c r="P4684">
        <v>0</v>
      </c>
      <c r="Q4684">
        <v>15075.28</v>
      </c>
      <c r="R4684">
        <v>2412.0500000000002</v>
      </c>
      <c r="S4684">
        <v>603.01</v>
      </c>
      <c r="T4684">
        <v>16884.32</v>
      </c>
      <c r="U4684" t="s">
        <v>7553</v>
      </c>
      <c r="V4684" t="s">
        <v>9409</v>
      </c>
      <c r="W4684" t="s">
        <v>423</v>
      </c>
    </row>
    <row r="4685" spans="1:23" hidden="1" x14ac:dyDescent="0.2">
      <c r="A4685">
        <v>2012</v>
      </c>
      <c r="B4685" t="s">
        <v>303</v>
      </c>
      <c r="C4685" s="733">
        <v>40921</v>
      </c>
      <c r="D46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85" t="s">
        <v>505</v>
      </c>
      <c r="F4685" t="s">
        <v>1915</v>
      </c>
      <c r="G4685" t="s">
        <v>7161</v>
      </c>
      <c r="H4685">
        <v>21837</v>
      </c>
      <c r="I4685" t="s">
        <v>1979</v>
      </c>
      <c r="J4685" t="s">
        <v>4254</v>
      </c>
      <c r="K4685" t="s">
        <v>1918</v>
      </c>
      <c r="L4685" t="s">
        <v>1919</v>
      </c>
      <c r="M4685">
        <v>2819</v>
      </c>
      <c r="N4685">
        <v>49.91</v>
      </c>
      <c r="O4685">
        <v>58165.61</v>
      </c>
      <c r="P4685">
        <v>0</v>
      </c>
      <c r="Q4685">
        <v>58165.61</v>
      </c>
      <c r="R4685">
        <v>9306.5</v>
      </c>
      <c r="S4685">
        <v>2326.62</v>
      </c>
      <c r="T4685">
        <v>65145.49</v>
      </c>
      <c r="U4685" t="s">
        <v>1931</v>
      </c>
      <c r="V4685" t="s">
        <v>9409</v>
      </c>
      <c r="W4685" t="s">
        <v>1979</v>
      </c>
    </row>
    <row r="4686" spans="1:23" hidden="1" x14ac:dyDescent="0.2">
      <c r="A4686">
        <v>2012</v>
      </c>
      <c r="B4686" t="s">
        <v>303</v>
      </c>
      <c r="C4686" s="733">
        <v>40931</v>
      </c>
      <c r="D46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86" t="s">
        <v>478</v>
      </c>
      <c r="F4686" t="s">
        <v>2136</v>
      </c>
      <c r="G4686" t="s">
        <v>5624</v>
      </c>
      <c r="H4686">
        <v>34771</v>
      </c>
      <c r="I4686" t="s">
        <v>423</v>
      </c>
      <c r="J4686" t="s">
        <v>2936</v>
      </c>
      <c r="K4686" t="s">
        <v>425</v>
      </c>
      <c r="L4686" t="s">
        <v>2145</v>
      </c>
      <c r="M4686">
        <v>604</v>
      </c>
      <c r="N4686">
        <v>54.6</v>
      </c>
      <c r="O4686">
        <v>17094.71</v>
      </c>
      <c r="P4686">
        <v>0</v>
      </c>
      <c r="Q4686">
        <v>17094.71</v>
      </c>
      <c r="R4686">
        <v>2735.15</v>
      </c>
      <c r="S4686">
        <v>683.79</v>
      </c>
      <c r="T4686">
        <v>19146.07</v>
      </c>
      <c r="U4686" t="s">
        <v>3234</v>
      </c>
      <c r="V4686" t="s">
        <v>9409</v>
      </c>
      <c r="W4686" t="s">
        <v>423</v>
      </c>
    </row>
    <row r="4687" spans="1:23" hidden="1" x14ac:dyDescent="0.2">
      <c r="A4687">
        <v>2012</v>
      </c>
      <c r="B4687" t="s">
        <v>303</v>
      </c>
      <c r="C4687" s="733">
        <v>40927</v>
      </c>
      <c r="D46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87" t="s">
        <v>478</v>
      </c>
      <c r="F4687" t="s">
        <v>2136</v>
      </c>
      <c r="G4687" t="s">
        <v>5623</v>
      </c>
      <c r="H4687">
        <v>34542</v>
      </c>
      <c r="I4687" t="s">
        <v>423</v>
      </c>
      <c r="J4687" t="s">
        <v>2936</v>
      </c>
      <c r="K4687" t="s">
        <v>425</v>
      </c>
      <c r="L4687" t="s">
        <v>2145</v>
      </c>
      <c r="M4687">
        <v>604</v>
      </c>
      <c r="N4687">
        <v>47.21</v>
      </c>
      <c r="O4687">
        <v>14780.98</v>
      </c>
      <c r="P4687">
        <v>0</v>
      </c>
      <c r="Q4687">
        <v>14780.98</v>
      </c>
      <c r="R4687">
        <v>2364.96</v>
      </c>
      <c r="S4687">
        <v>591.24</v>
      </c>
      <c r="T4687">
        <v>16554.7</v>
      </c>
      <c r="U4687" t="s">
        <v>2146</v>
      </c>
      <c r="V4687" t="s">
        <v>9409</v>
      </c>
      <c r="W4687" t="s">
        <v>423</v>
      </c>
    </row>
    <row r="4688" spans="1:23" hidden="1" x14ac:dyDescent="0.2">
      <c r="A4688">
        <v>2012</v>
      </c>
      <c r="B4688" t="s">
        <v>304</v>
      </c>
      <c r="C4688" s="733">
        <v>40941</v>
      </c>
      <c r="D46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88" t="s">
        <v>485</v>
      </c>
      <c r="F4688" t="s">
        <v>2065</v>
      </c>
      <c r="G4688" t="s">
        <v>6501</v>
      </c>
      <c r="H4688">
        <v>41283</v>
      </c>
      <c r="I4688" t="s">
        <v>423</v>
      </c>
      <c r="J4688" t="s">
        <v>3419</v>
      </c>
      <c r="K4688" t="s">
        <v>2183</v>
      </c>
      <c r="L4688" t="s">
        <v>2184</v>
      </c>
      <c r="M4688">
        <v>80</v>
      </c>
      <c r="N4688">
        <v>16.21</v>
      </c>
      <c r="O4688">
        <v>1829.62</v>
      </c>
      <c r="P4688">
        <v>0</v>
      </c>
      <c r="Q4688">
        <v>1829.62</v>
      </c>
      <c r="R4688">
        <v>292.74</v>
      </c>
      <c r="S4688">
        <v>73.180000000000007</v>
      </c>
      <c r="T4688">
        <v>2049.1799999999998</v>
      </c>
      <c r="U4688" t="s">
        <v>2192</v>
      </c>
      <c r="V4688" t="s">
        <v>9408</v>
      </c>
      <c r="W4688" t="s">
        <v>423</v>
      </c>
    </row>
    <row r="4689" spans="1:23" hidden="1" x14ac:dyDescent="0.2">
      <c r="A4689">
        <v>2012</v>
      </c>
      <c r="B4689" t="s">
        <v>303</v>
      </c>
      <c r="C4689" s="733">
        <v>40928</v>
      </c>
      <c r="D46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89" t="s">
        <v>485</v>
      </c>
      <c r="F4689" t="s">
        <v>2065</v>
      </c>
      <c r="G4689" t="s">
        <v>3758</v>
      </c>
      <c r="H4689">
        <v>39596</v>
      </c>
      <c r="I4689" t="s">
        <v>424</v>
      </c>
      <c r="J4689" t="s">
        <v>2114</v>
      </c>
      <c r="K4689" t="s">
        <v>2102</v>
      </c>
      <c r="L4689" t="s">
        <v>2115</v>
      </c>
      <c r="M4689">
        <v>500</v>
      </c>
      <c r="N4689">
        <v>54</v>
      </c>
      <c r="O4689">
        <v>10009.44</v>
      </c>
      <c r="P4689">
        <v>0</v>
      </c>
      <c r="Q4689">
        <v>10009.44</v>
      </c>
      <c r="R4689">
        <v>1601.51</v>
      </c>
      <c r="S4689">
        <v>400.38</v>
      </c>
      <c r="T4689">
        <v>11210.57</v>
      </c>
      <c r="U4689" t="s">
        <v>8871</v>
      </c>
      <c r="V4689" t="s">
        <v>9409</v>
      </c>
      <c r="W4689" t="s">
        <v>424</v>
      </c>
    </row>
    <row r="4690" spans="1:23" hidden="1" x14ac:dyDescent="0.2">
      <c r="A4690">
        <v>2012</v>
      </c>
      <c r="B4690" t="s">
        <v>304</v>
      </c>
      <c r="C4690" s="733">
        <v>40953</v>
      </c>
      <c r="D46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90" t="s">
        <v>485</v>
      </c>
      <c r="F4690" t="s">
        <v>2065</v>
      </c>
      <c r="G4690" t="s">
        <v>5631</v>
      </c>
      <c r="H4690">
        <v>41924</v>
      </c>
      <c r="I4690" t="s">
        <v>423</v>
      </c>
      <c r="J4690" t="s">
        <v>2182</v>
      </c>
      <c r="K4690" t="s">
        <v>2183</v>
      </c>
      <c r="L4690" t="s">
        <v>2184</v>
      </c>
      <c r="M4690">
        <v>62</v>
      </c>
      <c r="N4690">
        <v>16.22</v>
      </c>
      <c r="O4690">
        <v>2402.83</v>
      </c>
      <c r="P4690">
        <v>0</v>
      </c>
      <c r="Q4690">
        <v>2402.83</v>
      </c>
      <c r="R4690">
        <v>384.45</v>
      </c>
      <c r="S4690">
        <v>96.11</v>
      </c>
      <c r="T4690">
        <v>2691.17</v>
      </c>
      <c r="U4690" t="s">
        <v>8048</v>
      </c>
      <c r="V4690" t="s">
        <v>9408</v>
      </c>
      <c r="W4690" t="s">
        <v>423</v>
      </c>
    </row>
    <row r="4691" spans="1:23" hidden="1" x14ac:dyDescent="0.2">
      <c r="A4691">
        <v>2012</v>
      </c>
      <c r="B4691" t="s">
        <v>304</v>
      </c>
      <c r="C4691" s="733">
        <v>40962</v>
      </c>
      <c r="D46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91" t="s">
        <v>485</v>
      </c>
      <c r="F4691" t="s">
        <v>2065</v>
      </c>
      <c r="G4691" t="s">
        <v>8520</v>
      </c>
      <c r="H4691">
        <v>42467</v>
      </c>
      <c r="I4691" t="s">
        <v>423</v>
      </c>
      <c r="J4691" t="s">
        <v>2182</v>
      </c>
      <c r="K4691" t="s">
        <v>2183</v>
      </c>
      <c r="L4691" t="s">
        <v>2184</v>
      </c>
      <c r="M4691">
        <v>62</v>
      </c>
      <c r="N4691">
        <v>15.06</v>
      </c>
      <c r="O4691">
        <v>2230.9899999999998</v>
      </c>
      <c r="P4691">
        <v>0</v>
      </c>
      <c r="Q4691">
        <v>2230.9899999999998</v>
      </c>
      <c r="R4691">
        <v>356.96</v>
      </c>
      <c r="S4691">
        <v>89.24</v>
      </c>
      <c r="T4691">
        <v>2498.71</v>
      </c>
      <c r="U4691" t="s">
        <v>9411</v>
      </c>
      <c r="V4691" t="s">
        <v>9408</v>
      </c>
      <c r="W4691" t="s">
        <v>423</v>
      </c>
    </row>
    <row r="4692" spans="1:23" hidden="1" x14ac:dyDescent="0.2">
      <c r="A4692">
        <v>2012</v>
      </c>
      <c r="B4692" t="s">
        <v>303</v>
      </c>
      <c r="C4692" s="733">
        <v>40939</v>
      </c>
      <c r="D46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92" t="s">
        <v>485</v>
      </c>
      <c r="F4692" t="s">
        <v>2065</v>
      </c>
      <c r="G4692" t="s">
        <v>5632</v>
      </c>
      <c r="H4692">
        <v>41164</v>
      </c>
      <c r="I4692" t="s">
        <v>423</v>
      </c>
      <c r="J4692" t="s">
        <v>2182</v>
      </c>
      <c r="K4692" t="s">
        <v>2183</v>
      </c>
      <c r="L4692" t="s">
        <v>2184</v>
      </c>
      <c r="M4692">
        <v>62</v>
      </c>
      <c r="N4692">
        <v>15.64</v>
      </c>
      <c r="O4692">
        <v>2316.91</v>
      </c>
      <c r="P4692">
        <v>0</v>
      </c>
      <c r="Q4692">
        <v>2316.91</v>
      </c>
      <c r="R4692">
        <v>370.71</v>
      </c>
      <c r="S4692">
        <v>92.68</v>
      </c>
      <c r="T4692">
        <v>2594.94</v>
      </c>
      <c r="U4692" t="s">
        <v>2192</v>
      </c>
      <c r="V4692" t="s">
        <v>9408</v>
      </c>
      <c r="W4692" t="s">
        <v>423</v>
      </c>
    </row>
    <row r="4693" spans="1:23" hidden="1" x14ac:dyDescent="0.2">
      <c r="A4693">
        <v>2012</v>
      </c>
      <c r="B4693" t="s">
        <v>304</v>
      </c>
      <c r="C4693" s="733">
        <v>40960</v>
      </c>
      <c r="D46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93" t="s">
        <v>505</v>
      </c>
      <c r="F4693" t="s">
        <v>1915</v>
      </c>
      <c r="G4693" t="s">
        <v>8403</v>
      </c>
      <c r="H4693">
        <v>22899</v>
      </c>
      <c r="I4693" t="s">
        <v>423</v>
      </c>
      <c r="J4693" t="s">
        <v>3207</v>
      </c>
      <c r="K4693" t="s">
        <v>1918</v>
      </c>
      <c r="L4693" t="s">
        <v>1919</v>
      </c>
      <c r="M4693">
        <v>334</v>
      </c>
      <c r="N4693">
        <v>52.2</v>
      </c>
      <c r="O4693">
        <v>14414.51</v>
      </c>
      <c r="P4693">
        <v>0</v>
      </c>
      <c r="Q4693">
        <v>14414.51</v>
      </c>
      <c r="R4693">
        <v>2306.3200000000002</v>
      </c>
      <c r="S4693">
        <v>576.58000000000004</v>
      </c>
      <c r="T4693">
        <v>16144.25</v>
      </c>
      <c r="U4693" t="s">
        <v>8491</v>
      </c>
      <c r="V4693" t="s">
        <v>9409</v>
      </c>
      <c r="W4693" t="s">
        <v>423</v>
      </c>
    </row>
    <row r="4694" spans="1:23" hidden="1" x14ac:dyDescent="0.2">
      <c r="A4694">
        <v>2012</v>
      </c>
      <c r="B4694" t="s">
        <v>304</v>
      </c>
      <c r="C4694" s="733">
        <v>40942</v>
      </c>
      <c r="D46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94" t="s">
        <v>505</v>
      </c>
      <c r="F4694" t="s">
        <v>1915</v>
      </c>
      <c r="G4694" t="s">
        <v>7153</v>
      </c>
      <c r="H4694">
        <v>22374</v>
      </c>
      <c r="I4694" t="s">
        <v>423</v>
      </c>
      <c r="J4694" t="s">
        <v>4155</v>
      </c>
      <c r="K4694" t="s">
        <v>1918</v>
      </c>
      <c r="L4694" t="s">
        <v>1919</v>
      </c>
      <c r="M4694">
        <v>650</v>
      </c>
      <c r="N4694">
        <v>51.89</v>
      </c>
      <c r="O4694">
        <v>22315.29</v>
      </c>
      <c r="P4694">
        <v>0</v>
      </c>
      <c r="Q4694">
        <v>22315.29</v>
      </c>
      <c r="R4694">
        <v>3570.45</v>
      </c>
      <c r="S4694">
        <v>892.61</v>
      </c>
      <c r="T4694">
        <v>24993.13</v>
      </c>
      <c r="U4694" t="s">
        <v>1926</v>
      </c>
      <c r="V4694" t="s">
        <v>9409</v>
      </c>
      <c r="W4694" t="s">
        <v>423</v>
      </c>
    </row>
    <row r="4695" spans="1:23" hidden="1" x14ac:dyDescent="0.2">
      <c r="A4695">
        <v>2012</v>
      </c>
      <c r="B4695" t="s">
        <v>303</v>
      </c>
      <c r="C4695" s="733">
        <v>40939</v>
      </c>
      <c r="D46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95" t="s">
        <v>485</v>
      </c>
      <c r="F4695" t="s">
        <v>2065</v>
      </c>
      <c r="G4695" t="s">
        <v>6231</v>
      </c>
      <c r="H4695">
        <v>41172</v>
      </c>
      <c r="I4695" t="s">
        <v>423</v>
      </c>
      <c r="J4695" t="s">
        <v>3204</v>
      </c>
      <c r="K4695" t="s">
        <v>2183</v>
      </c>
      <c r="L4695" t="s">
        <v>2184</v>
      </c>
      <c r="M4695">
        <v>80</v>
      </c>
      <c r="N4695">
        <v>29.24</v>
      </c>
      <c r="O4695">
        <v>3300.32</v>
      </c>
      <c r="P4695">
        <v>0</v>
      </c>
      <c r="Q4695">
        <v>3300.32</v>
      </c>
      <c r="R4695">
        <v>528.04999999999995</v>
      </c>
      <c r="S4695">
        <v>132.01</v>
      </c>
      <c r="T4695">
        <v>3696.36</v>
      </c>
      <c r="U4695" t="s">
        <v>2192</v>
      </c>
      <c r="V4695" t="s">
        <v>9408</v>
      </c>
      <c r="W4695" t="s">
        <v>423</v>
      </c>
    </row>
    <row r="4696" spans="1:23" hidden="1" x14ac:dyDescent="0.2">
      <c r="A4696">
        <v>2012</v>
      </c>
      <c r="B4696" t="s">
        <v>303</v>
      </c>
      <c r="C4696" s="733">
        <v>40920</v>
      </c>
      <c r="D46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696" t="s">
        <v>485</v>
      </c>
      <c r="F4696" t="s">
        <v>2065</v>
      </c>
      <c r="G4696" t="s">
        <v>3768</v>
      </c>
      <c r="H4696">
        <v>40166</v>
      </c>
      <c r="I4696" t="s">
        <v>423</v>
      </c>
      <c r="J4696" t="s">
        <v>2135</v>
      </c>
      <c r="K4696" t="s">
        <v>2102</v>
      </c>
      <c r="L4696" t="s">
        <v>2115</v>
      </c>
      <c r="M4696">
        <v>494</v>
      </c>
      <c r="N4696">
        <v>26.38</v>
      </c>
      <c r="O4696">
        <v>8870.2800000000007</v>
      </c>
      <c r="P4696">
        <v>0</v>
      </c>
      <c r="Q4696">
        <v>8870.2800000000007</v>
      </c>
      <c r="R4696">
        <v>1419.24</v>
      </c>
      <c r="S4696">
        <v>354.81</v>
      </c>
      <c r="T4696">
        <v>9934.7099999999991</v>
      </c>
      <c r="U4696" t="s">
        <v>2106</v>
      </c>
      <c r="V4696" t="s">
        <v>9408</v>
      </c>
      <c r="W4696" t="s">
        <v>423</v>
      </c>
    </row>
    <row r="4697" spans="1:23" hidden="1" x14ac:dyDescent="0.2">
      <c r="A4697">
        <v>2012</v>
      </c>
      <c r="B4697" t="s">
        <v>304</v>
      </c>
      <c r="C4697" s="733">
        <v>40964</v>
      </c>
      <c r="D46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97" t="s">
        <v>505</v>
      </c>
      <c r="F4697" t="s">
        <v>1915</v>
      </c>
      <c r="G4697" t="s">
        <v>8712</v>
      </c>
      <c r="H4697">
        <v>23016</v>
      </c>
      <c r="I4697" t="s">
        <v>423</v>
      </c>
      <c r="J4697" t="s">
        <v>3207</v>
      </c>
      <c r="K4697" t="s">
        <v>1918</v>
      </c>
      <c r="L4697" t="s">
        <v>1919</v>
      </c>
      <c r="M4697">
        <v>334</v>
      </c>
      <c r="N4697">
        <v>25.04</v>
      </c>
      <c r="O4697">
        <v>6914.55</v>
      </c>
      <c r="P4697">
        <v>0</v>
      </c>
      <c r="Q4697">
        <v>6914.55</v>
      </c>
      <c r="R4697">
        <v>1106.33</v>
      </c>
      <c r="S4697">
        <v>276.58</v>
      </c>
      <c r="T4697">
        <v>7744.3</v>
      </c>
      <c r="V4697" t="s">
        <v>9408</v>
      </c>
      <c r="W4697" t="s">
        <v>423</v>
      </c>
    </row>
    <row r="4698" spans="1:23" hidden="1" x14ac:dyDescent="0.2">
      <c r="A4698">
        <v>2012</v>
      </c>
      <c r="B4698" t="s">
        <v>304</v>
      </c>
      <c r="C4698" s="733">
        <v>40962</v>
      </c>
      <c r="D46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98" t="s">
        <v>505</v>
      </c>
      <c r="F4698" t="s">
        <v>1915</v>
      </c>
      <c r="G4698" t="s">
        <v>8521</v>
      </c>
      <c r="H4698">
        <v>22957</v>
      </c>
      <c r="I4698" t="s">
        <v>423</v>
      </c>
      <c r="J4698" t="s">
        <v>3207</v>
      </c>
      <c r="K4698" t="s">
        <v>1918</v>
      </c>
      <c r="L4698" t="s">
        <v>1919</v>
      </c>
      <c r="M4698">
        <v>334</v>
      </c>
      <c r="N4698">
        <v>49.89</v>
      </c>
      <c r="O4698">
        <v>13776.62</v>
      </c>
      <c r="P4698">
        <v>0</v>
      </c>
      <c r="Q4698">
        <v>13776.62</v>
      </c>
      <c r="R4698">
        <v>2204.2600000000002</v>
      </c>
      <c r="S4698">
        <v>551.05999999999995</v>
      </c>
      <c r="T4698">
        <v>15429.82</v>
      </c>
      <c r="U4698" t="s">
        <v>8778</v>
      </c>
      <c r="V4698" t="s">
        <v>9409</v>
      </c>
      <c r="W4698" t="s">
        <v>423</v>
      </c>
    </row>
    <row r="4699" spans="1:23" hidden="1" x14ac:dyDescent="0.2">
      <c r="A4699">
        <v>2012</v>
      </c>
      <c r="B4699" t="s">
        <v>304</v>
      </c>
      <c r="C4699" s="733">
        <v>40942</v>
      </c>
      <c r="D46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699" t="s">
        <v>505</v>
      </c>
      <c r="F4699" t="s">
        <v>1915</v>
      </c>
      <c r="G4699" t="s">
        <v>6976</v>
      </c>
      <c r="H4699">
        <v>22489</v>
      </c>
      <c r="I4699" t="s">
        <v>423</v>
      </c>
      <c r="J4699" t="s">
        <v>3207</v>
      </c>
      <c r="K4699" t="s">
        <v>1918</v>
      </c>
      <c r="L4699" t="s">
        <v>1919</v>
      </c>
      <c r="M4699">
        <v>334</v>
      </c>
      <c r="N4699">
        <v>49.65</v>
      </c>
      <c r="O4699">
        <v>13710.35</v>
      </c>
      <c r="P4699">
        <v>0</v>
      </c>
      <c r="Q4699">
        <v>13710.35</v>
      </c>
      <c r="R4699">
        <v>2193.66</v>
      </c>
      <c r="S4699">
        <v>548.41</v>
      </c>
      <c r="T4699">
        <v>15355.6</v>
      </c>
      <c r="U4699" t="s">
        <v>1924</v>
      </c>
      <c r="V4699" t="s">
        <v>9409</v>
      </c>
      <c r="W4699" t="s">
        <v>423</v>
      </c>
    </row>
    <row r="4700" spans="1:23" hidden="1" x14ac:dyDescent="0.2">
      <c r="A4700">
        <v>2012</v>
      </c>
      <c r="B4700" t="s">
        <v>304</v>
      </c>
      <c r="C4700" s="733">
        <v>40947</v>
      </c>
      <c r="D47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00" t="s">
        <v>505</v>
      </c>
      <c r="F4700" t="s">
        <v>1915</v>
      </c>
      <c r="G4700" t="s">
        <v>6970</v>
      </c>
      <c r="H4700">
        <v>22544</v>
      </c>
      <c r="I4700" t="s">
        <v>423</v>
      </c>
      <c r="J4700" t="s">
        <v>3207</v>
      </c>
      <c r="K4700" t="s">
        <v>1918</v>
      </c>
      <c r="L4700" t="s">
        <v>1919</v>
      </c>
      <c r="M4700">
        <v>334</v>
      </c>
      <c r="N4700">
        <v>53.87</v>
      </c>
      <c r="O4700">
        <v>14875.66</v>
      </c>
      <c r="P4700">
        <v>0</v>
      </c>
      <c r="Q4700">
        <v>14875.66</v>
      </c>
      <c r="R4700">
        <v>2380.11</v>
      </c>
      <c r="S4700">
        <v>595.03</v>
      </c>
      <c r="T4700">
        <v>16660.740000000002</v>
      </c>
      <c r="U4700" t="s">
        <v>1924</v>
      </c>
      <c r="V4700" t="s">
        <v>9409</v>
      </c>
      <c r="W4700" t="s">
        <v>423</v>
      </c>
    </row>
    <row r="4701" spans="1:23" hidden="1" x14ac:dyDescent="0.2">
      <c r="A4701">
        <v>2012</v>
      </c>
      <c r="B4701" t="s">
        <v>305</v>
      </c>
      <c r="C4701" s="733">
        <v>40970</v>
      </c>
      <c r="D4701" s="733" t="str">
        <f>CHOOSE(MONTH(Tabla_sqldatos_bonampakdb_Bon_v_ingresos2012[[#This Row],[fecha_guia]]),"Enero","Febrero","Marzo","Abril","Mayo","Junio","Julio","Agosto","Septiembre","Octubre","Noviembre","Diciembre")</f>
        <v>Marzo</v>
      </c>
      <c r="E4701" t="s">
        <v>505</v>
      </c>
      <c r="F4701" t="s">
        <v>1915</v>
      </c>
      <c r="G4701" t="s">
        <v>9737</v>
      </c>
      <c r="H4701">
        <v>23132</v>
      </c>
      <c r="I4701" t="s">
        <v>423</v>
      </c>
      <c r="J4701" t="s">
        <v>3207</v>
      </c>
      <c r="K4701" t="s">
        <v>1918</v>
      </c>
      <c r="L4701" t="s">
        <v>1919</v>
      </c>
      <c r="M4701">
        <v>334</v>
      </c>
      <c r="N4701">
        <v>25.13</v>
      </c>
      <c r="O4701">
        <v>6939.4</v>
      </c>
      <c r="P4701">
        <v>0</v>
      </c>
      <c r="Q4701">
        <v>6939.4</v>
      </c>
      <c r="R4701">
        <v>1110.3</v>
      </c>
      <c r="S4701">
        <v>277.58</v>
      </c>
      <c r="T4701">
        <v>7772.12</v>
      </c>
      <c r="V4701" t="s">
        <v>9408</v>
      </c>
      <c r="W4701" t="s">
        <v>423</v>
      </c>
    </row>
    <row r="4702" spans="1:23" hidden="1" x14ac:dyDescent="0.2">
      <c r="A4702">
        <v>2012</v>
      </c>
      <c r="B4702" t="s">
        <v>304</v>
      </c>
      <c r="C4702" s="733">
        <v>40942.690081018518</v>
      </c>
      <c r="D47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02" t="s">
        <v>478</v>
      </c>
      <c r="F4702" t="s">
        <v>3787</v>
      </c>
      <c r="G4702" t="s">
        <v>6164</v>
      </c>
      <c r="H4702">
        <v>35301</v>
      </c>
      <c r="I4702" t="s">
        <v>423</v>
      </c>
      <c r="J4702" t="s">
        <v>3797</v>
      </c>
      <c r="K4702" t="s">
        <v>3481</v>
      </c>
      <c r="L4702" t="s">
        <v>3482</v>
      </c>
      <c r="M4702">
        <v>266</v>
      </c>
      <c r="N4702">
        <v>25.56</v>
      </c>
      <c r="O4702">
        <v>5708.06</v>
      </c>
      <c r="P4702">
        <v>0</v>
      </c>
      <c r="Q4702">
        <v>5708.06</v>
      </c>
      <c r="R4702">
        <v>913.29</v>
      </c>
      <c r="S4702">
        <v>228.32</v>
      </c>
      <c r="T4702">
        <v>6393.03</v>
      </c>
      <c r="U4702" t="s">
        <v>3483</v>
      </c>
      <c r="V4702" t="s">
        <v>9408</v>
      </c>
      <c r="W4702" t="s">
        <v>423</v>
      </c>
    </row>
    <row r="4703" spans="1:23" hidden="1" x14ac:dyDescent="0.2">
      <c r="A4703">
        <v>2012</v>
      </c>
      <c r="B4703" t="s">
        <v>303</v>
      </c>
      <c r="C4703" s="733">
        <v>40931</v>
      </c>
      <c r="D47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03" t="s">
        <v>478</v>
      </c>
      <c r="F4703" t="s">
        <v>2136</v>
      </c>
      <c r="G4703" t="s">
        <v>5119</v>
      </c>
      <c r="H4703">
        <v>34746</v>
      </c>
      <c r="I4703" t="s">
        <v>423</v>
      </c>
      <c r="J4703" t="s">
        <v>3638</v>
      </c>
      <c r="K4703" t="s">
        <v>425</v>
      </c>
      <c r="L4703" t="s">
        <v>2145</v>
      </c>
      <c r="M4703">
        <v>1416</v>
      </c>
      <c r="N4703">
        <v>48.06</v>
      </c>
      <c r="O4703">
        <v>43580.33</v>
      </c>
      <c r="P4703">
        <v>0</v>
      </c>
      <c r="Q4703">
        <v>43580.33</v>
      </c>
      <c r="R4703">
        <v>6972.85</v>
      </c>
      <c r="S4703">
        <v>1743.21</v>
      </c>
      <c r="T4703">
        <v>48809.97</v>
      </c>
      <c r="U4703" t="s">
        <v>3234</v>
      </c>
      <c r="V4703" t="s">
        <v>9409</v>
      </c>
      <c r="W4703" t="s">
        <v>423</v>
      </c>
    </row>
    <row r="4704" spans="1:23" hidden="1" x14ac:dyDescent="0.2">
      <c r="A4704">
        <v>2012</v>
      </c>
      <c r="B4704" t="s">
        <v>304</v>
      </c>
      <c r="C4704" s="733">
        <v>40966</v>
      </c>
      <c r="D47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04" t="s">
        <v>478</v>
      </c>
      <c r="F4704" t="s">
        <v>2142</v>
      </c>
      <c r="G4704" t="s">
        <v>9367</v>
      </c>
      <c r="H4704">
        <v>36020</v>
      </c>
      <c r="I4704" t="s">
        <v>423</v>
      </c>
      <c r="J4704" t="s">
        <v>3638</v>
      </c>
      <c r="K4704" t="s">
        <v>425</v>
      </c>
      <c r="L4704" t="s">
        <v>2145</v>
      </c>
      <c r="M4704">
        <v>1416</v>
      </c>
      <c r="N4704">
        <v>41.29</v>
      </c>
      <c r="O4704">
        <v>37441.360000000001</v>
      </c>
      <c r="P4704">
        <v>0</v>
      </c>
      <c r="Q4704">
        <v>37441.360000000001</v>
      </c>
      <c r="R4704">
        <v>5990.62</v>
      </c>
      <c r="S4704">
        <v>1497.65</v>
      </c>
      <c r="T4704">
        <v>41934.33</v>
      </c>
      <c r="U4704" t="s">
        <v>9430</v>
      </c>
      <c r="V4704" t="s">
        <v>9409</v>
      </c>
      <c r="W4704" t="s">
        <v>423</v>
      </c>
    </row>
    <row r="4705" spans="1:23" hidden="1" x14ac:dyDescent="0.2">
      <c r="A4705">
        <v>2012</v>
      </c>
      <c r="B4705" t="s">
        <v>303</v>
      </c>
      <c r="C4705" s="733">
        <v>40924</v>
      </c>
      <c r="D47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05" t="s">
        <v>478</v>
      </c>
      <c r="F4705" t="s">
        <v>2136</v>
      </c>
      <c r="G4705" t="s">
        <v>7097</v>
      </c>
      <c r="H4705">
        <v>34517</v>
      </c>
      <c r="I4705" t="s">
        <v>423</v>
      </c>
      <c r="J4705" t="s">
        <v>4291</v>
      </c>
      <c r="K4705" t="s">
        <v>425</v>
      </c>
      <c r="L4705" t="s">
        <v>2145</v>
      </c>
      <c r="M4705">
        <v>163</v>
      </c>
      <c r="N4705">
        <v>23.46</v>
      </c>
      <c r="O4705">
        <v>4169.08</v>
      </c>
      <c r="P4705">
        <v>0</v>
      </c>
      <c r="Q4705">
        <v>4169.08</v>
      </c>
      <c r="R4705">
        <v>667.05</v>
      </c>
      <c r="S4705">
        <v>166.76</v>
      </c>
      <c r="T4705">
        <v>4669.37</v>
      </c>
      <c r="U4705" t="s">
        <v>2927</v>
      </c>
      <c r="V4705" t="s">
        <v>9408</v>
      </c>
      <c r="W4705" t="s">
        <v>423</v>
      </c>
    </row>
    <row r="4706" spans="1:23" hidden="1" x14ac:dyDescent="0.2">
      <c r="A4706">
        <v>2012</v>
      </c>
      <c r="B4706" t="s">
        <v>304</v>
      </c>
      <c r="C4706" s="733">
        <v>40959</v>
      </c>
      <c r="D47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06" t="s">
        <v>505</v>
      </c>
      <c r="F4706" t="s">
        <v>1915</v>
      </c>
      <c r="G4706" t="s">
        <v>7589</v>
      </c>
      <c r="H4706">
        <v>22818</v>
      </c>
      <c r="I4706" t="s">
        <v>423</v>
      </c>
      <c r="J4706" t="s">
        <v>4140</v>
      </c>
      <c r="K4706" t="s">
        <v>1918</v>
      </c>
      <c r="L4706" t="s">
        <v>1919</v>
      </c>
      <c r="M4706">
        <v>1</v>
      </c>
      <c r="N4706">
        <v>25.03</v>
      </c>
      <c r="O4706">
        <v>2417.4</v>
      </c>
      <c r="P4706">
        <v>0</v>
      </c>
      <c r="Q4706">
        <v>2417.4</v>
      </c>
      <c r="R4706">
        <v>386.78</v>
      </c>
      <c r="S4706">
        <v>96.7</v>
      </c>
      <c r="T4706">
        <v>2707.48</v>
      </c>
      <c r="U4706" t="s">
        <v>8491</v>
      </c>
      <c r="V4706" t="s">
        <v>9408</v>
      </c>
      <c r="W4706" t="s">
        <v>423</v>
      </c>
    </row>
    <row r="4707" spans="1:23" hidden="1" x14ac:dyDescent="0.2">
      <c r="A4707">
        <v>2012</v>
      </c>
      <c r="B4707" t="s">
        <v>304</v>
      </c>
      <c r="C4707" s="733">
        <v>40961</v>
      </c>
      <c r="D47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07" t="s">
        <v>485</v>
      </c>
      <c r="F4707" t="s">
        <v>2065</v>
      </c>
      <c r="G4707" t="s">
        <v>8476</v>
      </c>
      <c r="H4707">
        <v>42356</v>
      </c>
      <c r="I4707" t="s">
        <v>423</v>
      </c>
      <c r="J4707" t="s">
        <v>4828</v>
      </c>
      <c r="K4707" t="s">
        <v>2183</v>
      </c>
      <c r="L4707" t="s">
        <v>2184</v>
      </c>
      <c r="M4707">
        <v>134</v>
      </c>
      <c r="N4707">
        <v>24.73</v>
      </c>
      <c r="O4707">
        <v>4923.25</v>
      </c>
      <c r="P4707">
        <v>0</v>
      </c>
      <c r="Q4707">
        <v>4923.25</v>
      </c>
      <c r="R4707">
        <v>787.72</v>
      </c>
      <c r="S4707">
        <v>196.93</v>
      </c>
      <c r="T4707">
        <v>5514.04</v>
      </c>
      <c r="U4707" t="s">
        <v>9411</v>
      </c>
      <c r="V4707" t="s">
        <v>9408</v>
      </c>
      <c r="W4707" t="s">
        <v>423</v>
      </c>
    </row>
    <row r="4708" spans="1:23" hidden="1" x14ac:dyDescent="0.2">
      <c r="A4708">
        <v>2012</v>
      </c>
      <c r="B4708" t="s">
        <v>303</v>
      </c>
      <c r="C4708" s="733">
        <v>40938</v>
      </c>
      <c r="D47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08" t="s">
        <v>485</v>
      </c>
      <c r="F4708" t="s">
        <v>2048</v>
      </c>
      <c r="G4708" t="s">
        <v>6075</v>
      </c>
      <c r="H4708">
        <v>41113</v>
      </c>
      <c r="I4708" t="s">
        <v>423</v>
      </c>
      <c r="J4708" t="s">
        <v>2274</v>
      </c>
      <c r="K4708" t="s">
        <v>2051</v>
      </c>
      <c r="L4708" t="s">
        <v>2052</v>
      </c>
      <c r="M4708">
        <v>573</v>
      </c>
      <c r="N4708">
        <v>29.9</v>
      </c>
      <c r="O4708">
        <v>9702.5499999999993</v>
      </c>
      <c r="P4708">
        <v>0</v>
      </c>
      <c r="Q4708">
        <v>9702.5499999999993</v>
      </c>
      <c r="R4708">
        <v>1552.41</v>
      </c>
      <c r="S4708">
        <v>388.1</v>
      </c>
      <c r="T4708">
        <v>10866.86</v>
      </c>
      <c r="U4708" t="s">
        <v>8257</v>
      </c>
      <c r="V4708" t="s">
        <v>9408</v>
      </c>
      <c r="W4708" t="s">
        <v>423</v>
      </c>
    </row>
    <row r="4709" spans="1:23" hidden="1" x14ac:dyDescent="0.2">
      <c r="A4709">
        <v>2012</v>
      </c>
      <c r="B4709" t="s">
        <v>304</v>
      </c>
      <c r="C4709" s="733">
        <v>40953</v>
      </c>
      <c r="D47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09" t="s">
        <v>485</v>
      </c>
      <c r="F4709" t="s">
        <v>2084</v>
      </c>
      <c r="G4709" t="s">
        <v>2843</v>
      </c>
      <c r="H4709">
        <v>41753</v>
      </c>
      <c r="I4709" t="s">
        <v>423</v>
      </c>
      <c r="J4709" t="s">
        <v>2813</v>
      </c>
      <c r="K4709" t="s">
        <v>2814</v>
      </c>
      <c r="L4709" t="s">
        <v>2815</v>
      </c>
      <c r="M4709">
        <v>365</v>
      </c>
      <c r="N4709">
        <v>24.905000000000001</v>
      </c>
      <c r="O4709">
        <v>6703.93</v>
      </c>
      <c r="P4709">
        <v>0</v>
      </c>
      <c r="Q4709">
        <v>6703.93</v>
      </c>
      <c r="R4709">
        <v>737.43</v>
      </c>
      <c r="S4709">
        <v>268.16000000000003</v>
      </c>
      <c r="T4709">
        <v>7173.2</v>
      </c>
      <c r="U4709" t="s">
        <v>7527</v>
      </c>
      <c r="V4709" t="s">
        <v>9408</v>
      </c>
      <c r="W4709" t="s">
        <v>423</v>
      </c>
    </row>
    <row r="4710" spans="1:23" hidden="1" x14ac:dyDescent="0.2">
      <c r="A4710">
        <v>2012</v>
      </c>
      <c r="B4710" t="s">
        <v>304</v>
      </c>
      <c r="C4710" s="733">
        <v>40953</v>
      </c>
      <c r="D47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10" t="s">
        <v>485</v>
      </c>
      <c r="F4710" t="s">
        <v>2084</v>
      </c>
      <c r="G4710" t="s">
        <v>2842</v>
      </c>
      <c r="H4710">
        <v>41451</v>
      </c>
      <c r="I4710" t="s">
        <v>423</v>
      </c>
      <c r="J4710" t="s">
        <v>2813</v>
      </c>
      <c r="K4710" t="s">
        <v>2814</v>
      </c>
      <c r="L4710" t="s">
        <v>2815</v>
      </c>
      <c r="M4710">
        <v>365</v>
      </c>
      <c r="N4710">
        <v>23.960999999999999</v>
      </c>
      <c r="O4710">
        <v>6449.82</v>
      </c>
      <c r="P4710">
        <v>0</v>
      </c>
      <c r="Q4710">
        <v>6449.82</v>
      </c>
      <c r="R4710">
        <v>709.48</v>
      </c>
      <c r="S4710">
        <v>257.99</v>
      </c>
      <c r="T4710">
        <v>6901.31</v>
      </c>
      <c r="U4710" t="s">
        <v>7527</v>
      </c>
      <c r="V4710" t="s">
        <v>9408</v>
      </c>
      <c r="W4710" t="s">
        <v>423</v>
      </c>
    </row>
    <row r="4711" spans="1:23" hidden="1" x14ac:dyDescent="0.2">
      <c r="A4711">
        <v>2012</v>
      </c>
      <c r="B4711" t="s">
        <v>303</v>
      </c>
      <c r="C4711" s="733">
        <v>40932</v>
      </c>
      <c r="D47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11" t="s">
        <v>485</v>
      </c>
      <c r="F4711" t="s">
        <v>2084</v>
      </c>
      <c r="G4711" t="s">
        <v>2844</v>
      </c>
      <c r="H4711">
        <v>40323</v>
      </c>
      <c r="I4711" t="s">
        <v>423</v>
      </c>
      <c r="J4711" t="s">
        <v>2813</v>
      </c>
      <c r="K4711" t="s">
        <v>2814</v>
      </c>
      <c r="L4711" t="s">
        <v>2815</v>
      </c>
      <c r="M4711">
        <v>365</v>
      </c>
      <c r="N4711">
        <v>25.542000000000002</v>
      </c>
      <c r="O4711">
        <v>6875.4</v>
      </c>
      <c r="P4711">
        <v>0</v>
      </c>
      <c r="Q4711">
        <v>6875.4</v>
      </c>
      <c r="R4711">
        <v>1100.06</v>
      </c>
      <c r="S4711">
        <v>275.02</v>
      </c>
      <c r="T4711">
        <v>7700.44</v>
      </c>
      <c r="U4711" t="s">
        <v>2826</v>
      </c>
      <c r="V4711" t="s">
        <v>9408</v>
      </c>
      <c r="W4711" t="s">
        <v>423</v>
      </c>
    </row>
    <row r="4712" spans="1:23" hidden="1" x14ac:dyDescent="0.2">
      <c r="A4712">
        <v>2012</v>
      </c>
      <c r="B4712" t="s">
        <v>304</v>
      </c>
      <c r="C4712" s="733">
        <v>40964</v>
      </c>
      <c r="D47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12" t="s">
        <v>505</v>
      </c>
      <c r="F4712" t="s">
        <v>1915</v>
      </c>
      <c r="G4712" t="s">
        <v>8741</v>
      </c>
      <c r="H4712">
        <v>22941</v>
      </c>
      <c r="I4712" t="s">
        <v>423</v>
      </c>
      <c r="J4712" t="s">
        <v>4140</v>
      </c>
      <c r="K4712" t="s">
        <v>1918</v>
      </c>
      <c r="L4712" t="s">
        <v>1919</v>
      </c>
      <c r="M4712">
        <v>1</v>
      </c>
      <c r="N4712">
        <v>26.53</v>
      </c>
      <c r="O4712">
        <v>2562.27</v>
      </c>
      <c r="P4712">
        <v>0</v>
      </c>
      <c r="Q4712">
        <v>2562.27</v>
      </c>
      <c r="R4712">
        <v>409.96</v>
      </c>
      <c r="S4712">
        <v>102.49</v>
      </c>
      <c r="T4712">
        <v>2869.74</v>
      </c>
      <c r="U4712" t="s">
        <v>9415</v>
      </c>
      <c r="V4712" t="s">
        <v>9408</v>
      </c>
      <c r="W4712" t="s">
        <v>423</v>
      </c>
    </row>
    <row r="4713" spans="1:23" hidden="1" x14ac:dyDescent="0.2">
      <c r="A4713">
        <v>2012</v>
      </c>
      <c r="B4713" t="s">
        <v>303</v>
      </c>
      <c r="C4713" s="733">
        <v>40927</v>
      </c>
      <c r="D47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13" t="s">
        <v>478</v>
      </c>
      <c r="F4713" t="s">
        <v>2136</v>
      </c>
      <c r="G4713" t="s">
        <v>2994</v>
      </c>
      <c r="H4713">
        <v>34615</v>
      </c>
      <c r="I4713" t="s">
        <v>423</v>
      </c>
      <c r="J4713" t="s">
        <v>2644</v>
      </c>
      <c r="K4713" t="s">
        <v>2625</v>
      </c>
      <c r="L4713" t="s">
        <v>2626</v>
      </c>
      <c r="M4713">
        <v>52</v>
      </c>
      <c r="N4713">
        <v>24.07</v>
      </c>
      <c r="O4713">
        <v>2833.76</v>
      </c>
      <c r="P4713">
        <v>0</v>
      </c>
      <c r="Q4713">
        <v>2833.76</v>
      </c>
      <c r="R4713">
        <v>453.4</v>
      </c>
      <c r="S4713">
        <v>113.35</v>
      </c>
      <c r="T4713">
        <v>3173.81</v>
      </c>
      <c r="U4713" t="s">
        <v>2635</v>
      </c>
      <c r="V4713" t="s">
        <v>9408</v>
      </c>
      <c r="W4713" t="s">
        <v>423</v>
      </c>
    </row>
    <row r="4714" spans="1:23" hidden="1" x14ac:dyDescent="0.2">
      <c r="A4714">
        <v>2012</v>
      </c>
      <c r="B4714" t="s">
        <v>304</v>
      </c>
      <c r="C4714" s="733">
        <v>40955.734027777777</v>
      </c>
      <c r="D47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14" t="s">
        <v>478</v>
      </c>
      <c r="F4714" t="s">
        <v>2136</v>
      </c>
      <c r="G4714" t="s">
        <v>7821</v>
      </c>
      <c r="H4714">
        <v>35719</v>
      </c>
      <c r="I4714" t="s">
        <v>423</v>
      </c>
      <c r="J4714" t="s">
        <v>2644</v>
      </c>
      <c r="K4714" t="s">
        <v>2625</v>
      </c>
      <c r="L4714" t="s">
        <v>2626</v>
      </c>
      <c r="M4714">
        <v>52</v>
      </c>
      <c r="N4714">
        <v>22.6</v>
      </c>
      <c r="O4714">
        <v>2660.7</v>
      </c>
      <c r="P4714">
        <v>0</v>
      </c>
      <c r="Q4714">
        <v>2660.7</v>
      </c>
      <c r="R4714">
        <v>425.71</v>
      </c>
      <c r="S4714">
        <v>106.43</v>
      </c>
      <c r="T4714">
        <v>2979.98</v>
      </c>
      <c r="U4714" t="s">
        <v>7548</v>
      </c>
      <c r="V4714" t="s">
        <v>9408</v>
      </c>
      <c r="W4714" t="s">
        <v>423</v>
      </c>
    </row>
    <row r="4715" spans="1:23" hidden="1" x14ac:dyDescent="0.2">
      <c r="A4715">
        <v>2012</v>
      </c>
      <c r="B4715" t="s">
        <v>303</v>
      </c>
      <c r="C4715" s="733">
        <v>40929.890046296299</v>
      </c>
      <c r="D47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15" t="s">
        <v>478</v>
      </c>
      <c r="F4715" t="s">
        <v>2622</v>
      </c>
      <c r="G4715" t="s">
        <v>3801</v>
      </c>
      <c r="H4715">
        <v>34827</v>
      </c>
      <c r="I4715" t="s">
        <v>423</v>
      </c>
      <c r="J4715" t="s">
        <v>2644</v>
      </c>
      <c r="K4715" t="s">
        <v>2625</v>
      </c>
      <c r="L4715" t="s">
        <v>2626</v>
      </c>
      <c r="M4715">
        <v>52</v>
      </c>
      <c r="N4715">
        <v>23.27</v>
      </c>
      <c r="O4715">
        <v>2739.58</v>
      </c>
      <c r="P4715">
        <v>0</v>
      </c>
      <c r="Q4715">
        <v>2739.58</v>
      </c>
      <c r="R4715">
        <v>438.33</v>
      </c>
      <c r="S4715">
        <v>109.58</v>
      </c>
      <c r="T4715">
        <v>3068.33</v>
      </c>
      <c r="U4715" t="s">
        <v>2633</v>
      </c>
      <c r="V4715" t="s">
        <v>9408</v>
      </c>
      <c r="W4715" t="s">
        <v>423</v>
      </c>
    </row>
    <row r="4716" spans="1:23" hidden="1" x14ac:dyDescent="0.2">
      <c r="A4716">
        <v>2012</v>
      </c>
      <c r="B4716" t="s">
        <v>304</v>
      </c>
      <c r="C4716" s="733">
        <v>40946</v>
      </c>
      <c r="D47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16" t="s">
        <v>478</v>
      </c>
      <c r="F4716" t="s">
        <v>2136</v>
      </c>
      <c r="G4716" t="s">
        <v>4622</v>
      </c>
      <c r="H4716">
        <v>35302</v>
      </c>
      <c r="I4716" t="s">
        <v>423</v>
      </c>
      <c r="J4716" t="s">
        <v>3638</v>
      </c>
      <c r="K4716" t="s">
        <v>425</v>
      </c>
      <c r="L4716" t="s">
        <v>2145</v>
      </c>
      <c r="M4716">
        <v>1416</v>
      </c>
      <c r="N4716">
        <v>48.88</v>
      </c>
      <c r="O4716">
        <v>44323.9</v>
      </c>
      <c r="P4716">
        <v>0</v>
      </c>
      <c r="Q4716">
        <v>44323.9</v>
      </c>
      <c r="R4716">
        <v>7091.82</v>
      </c>
      <c r="S4716">
        <v>1772.96</v>
      </c>
      <c r="T4716">
        <v>49642.76</v>
      </c>
      <c r="U4716" t="s">
        <v>3115</v>
      </c>
      <c r="V4716" t="s">
        <v>9409</v>
      </c>
      <c r="W4716" t="s">
        <v>423</v>
      </c>
    </row>
    <row r="4717" spans="1:23" hidden="1" x14ac:dyDescent="0.2">
      <c r="A4717">
        <v>2012</v>
      </c>
      <c r="B4717" t="s">
        <v>303</v>
      </c>
      <c r="C4717" s="733">
        <v>40924</v>
      </c>
      <c r="D47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17" t="s">
        <v>485</v>
      </c>
      <c r="F4717" t="s">
        <v>2048</v>
      </c>
      <c r="G4717" t="s">
        <v>2696</v>
      </c>
      <c r="H4717">
        <v>40407</v>
      </c>
      <c r="I4717" t="s">
        <v>423</v>
      </c>
      <c r="J4717" t="s">
        <v>2274</v>
      </c>
      <c r="K4717" t="s">
        <v>2051</v>
      </c>
      <c r="L4717" t="s">
        <v>2052</v>
      </c>
      <c r="M4717">
        <v>573</v>
      </c>
      <c r="N4717">
        <v>24.6</v>
      </c>
      <c r="O4717">
        <v>7982.7</v>
      </c>
      <c r="P4717">
        <v>0</v>
      </c>
      <c r="Q4717">
        <v>7982.7</v>
      </c>
      <c r="R4717">
        <v>1277.23</v>
      </c>
      <c r="S4717">
        <v>319.31</v>
      </c>
      <c r="T4717">
        <v>8940.6200000000008</v>
      </c>
      <c r="U4717" t="s">
        <v>2062</v>
      </c>
      <c r="V4717" t="s">
        <v>9408</v>
      </c>
      <c r="W4717" t="s">
        <v>423</v>
      </c>
    </row>
    <row r="4718" spans="1:23" hidden="1" x14ac:dyDescent="0.2">
      <c r="A4718">
        <v>2012</v>
      </c>
      <c r="B4718" t="s">
        <v>304</v>
      </c>
      <c r="C4718" s="733">
        <v>40962</v>
      </c>
      <c r="D47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18" t="s">
        <v>485</v>
      </c>
      <c r="F4718" t="s">
        <v>2054</v>
      </c>
      <c r="G4718" t="s">
        <v>8681</v>
      </c>
      <c r="H4718">
        <v>10519</v>
      </c>
      <c r="I4718" t="s">
        <v>423</v>
      </c>
      <c r="J4718" t="s">
        <v>3564</v>
      </c>
      <c r="K4718" t="s">
        <v>2057</v>
      </c>
      <c r="L4718" t="s">
        <v>2058</v>
      </c>
      <c r="M4718">
        <v>388</v>
      </c>
      <c r="N4718">
        <v>23.14</v>
      </c>
      <c r="O4718">
        <v>6148.53</v>
      </c>
      <c r="P4718">
        <v>0</v>
      </c>
      <c r="Q4718">
        <v>6148.53</v>
      </c>
      <c r="R4718">
        <v>676.34</v>
      </c>
      <c r="S4718">
        <v>245.94</v>
      </c>
      <c r="T4718">
        <v>6578.93</v>
      </c>
      <c r="U4718" t="s">
        <v>8864</v>
      </c>
      <c r="V4718" t="s">
        <v>9408</v>
      </c>
      <c r="W4718" t="s">
        <v>423</v>
      </c>
    </row>
    <row r="4719" spans="1:23" hidden="1" x14ac:dyDescent="0.2">
      <c r="A4719">
        <v>2012</v>
      </c>
      <c r="B4719" t="s">
        <v>304</v>
      </c>
      <c r="C4719" s="733">
        <v>40941</v>
      </c>
      <c r="D47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19" t="s">
        <v>478</v>
      </c>
      <c r="F4719" t="s">
        <v>2136</v>
      </c>
      <c r="G4719" t="s">
        <v>4290</v>
      </c>
      <c r="H4719">
        <v>35109</v>
      </c>
      <c r="I4719" t="s">
        <v>423</v>
      </c>
      <c r="J4719" t="s">
        <v>4291</v>
      </c>
      <c r="K4719" t="s">
        <v>425</v>
      </c>
      <c r="L4719" t="s">
        <v>2145</v>
      </c>
      <c r="M4719">
        <v>163</v>
      </c>
      <c r="N4719">
        <v>23.48</v>
      </c>
      <c r="O4719">
        <v>4172.63</v>
      </c>
      <c r="P4719">
        <v>0</v>
      </c>
      <c r="Q4719">
        <v>4172.63</v>
      </c>
      <c r="R4719">
        <v>667.62</v>
      </c>
      <c r="S4719">
        <v>166.91</v>
      </c>
      <c r="T4719">
        <v>4673.34</v>
      </c>
      <c r="U4719" t="s">
        <v>2580</v>
      </c>
      <c r="V4719" t="s">
        <v>9408</v>
      </c>
      <c r="W4719" t="s">
        <v>423</v>
      </c>
    </row>
    <row r="4720" spans="1:23" hidden="1" x14ac:dyDescent="0.2">
      <c r="A4720">
        <v>2012</v>
      </c>
      <c r="B4720" t="s">
        <v>303</v>
      </c>
      <c r="C4720" s="733">
        <v>40939</v>
      </c>
      <c r="D47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20" t="s">
        <v>478</v>
      </c>
      <c r="F4720" t="s">
        <v>2622</v>
      </c>
      <c r="G4720" t="s">
        <v>3805</v>
      </c>
      <c r="H4720">
        <v>35133</v>
      </c>
      <c r="I4720" t="s">
        <v>423</v>
      </c>
      <c r="J4720" t="s">
        <v>2644</v>
      </c>
      <c r="K4720" t="s">
        <v>2625</v>
      </c>
      <c r="L4720" t="s">
        <v>2145</v>
      </c>
      <c r="M4720">
        <v>52</v>
      </c>
      <c r="N4720">
        <v>21.91</v>
      </c>
      <c r="O4720">
        <v>2579.46</v>
      </c>
      <c r="P4720">
        <v>0</v>
      </c>
      <c r="Q4720">
        <v>2579.46</v>
      </c>
      <c r="R4720">
        <v>412.71</v>
      </c>
      <c r="S4720">
        <v>103.18</v>
      </c>
      <c r="T4720">
        <v>2888.99</v>
      </c>
      <c r="U4720" t="s">
        <v>2648</v>
      </c>
      <c r="V4720" t="s">
        <v>9408</v>
      </c>
      <c r="W4720" t="s">
        <v>423</v>
      </c>
    </row>
    <row r="4721" spans="1:23" hidden="1" x14ac:dyDescent="0.2">
      <c r="A4721">
        <v>2012</v>
      </c>
      <c r="B4721" t="s">
        <v>304</v>
      </c>
      <c r="C4721" s="733">
        <v>40961.841666666667</v>
      </c>
      <c r="D47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21" t="s">
        <v>478</v>
      </c>
      <c r="F4721" t="s">
        <v>2622</v>
      </c>
      <c r="G4721" t="s">
        <v>8465</v>
      </c>
      <c r="H4721">
        <v>35942</v>
      </c>
      <c r="I4721" t="s">
        <v>423</v>
      </c>
      <c r="J4721" t="s">
        <v>2644</v>
      </c>
      <c r="K4721" t="s">
        <v>2625</v>
      </c>
      <c r="L4721" t="s">
        <v>2626</v>
      </c>
      <c r="M4721">
        <v>52</v>
      </c>
      <c r="N4721">
        <v>25.27</v>
      </c>
      <c r="O4721">
        <v>2975.04</v>
      </c>
      <c r="P4721">
        <v>0</v>
      </c>
      <c r="Q4721">
        <v>2975.04</v>
      </c>
      <c r="R4721">
        <v>476.01</v>
      </c>
      <c r="S4721">
        <v>119</v>
      </c>
      <c r="T4721">
        <v>3332.05</v>
      </c>
      <c r="U4721" t="s">
        <v>9428</v>
      </c>
      <c r="V4721" t="s">
        <v>9408</v>
      </c>
      <c r="W4721" t="s">
        <v>423</v>
      </c>
    </row>
    <row r="4722" spans="1:23" hidden="1" x14ac:dyDescent="0.2">
      <c r="A4722">
        <v>2012</v>
      </c>
      <c r="B4722" t="s">
        <v>304</v>
      </c>
      <c r="C4722" s="733">
        <v>40947.412835648145</v>
      </c>
      <c r="D47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22" t="s">
        <v>478</v>
      </c>
      <c r="F4722" t="s">
        <v>2622</v>
      </c>
      <c r="G4722" t="s">
        <v>3807</v>
      </c>
      <c r="H4722">
        <v>35419</v>
      </c>
      <c r="I4722" t="s">
        <v>423</v>
      </c>
      <c r="J4722" t="s">
        <v>2644</v>
      </c>
      <c r="K4722" t="s">
        <v>2625</v>
      </c>
      <c r="L4722" t="s">
        <v>2626</v>
      </c>
      <c r="M4722">
        <v>52</v>
      </c>
      <c r="N4722">
        <v>23.22</v>
      </c>
      <c r="O4722">
        <v>2733.69</v>
      </c>
      <c r="P4722">
        <v>0</v>
      </c>
      <c r="Q4722">
        <v>2733.69</v>
      </c>
      <c r="R4722">
        <v>437.39</v>
      </c>
      <c r="S4722">
        <v>109.35</v>
      </c>
      <c r="T4722">
        <v>3061.73</v>
      </c>
      <c r="U4722" t="s">
        <v>2652</v>
      </c>
      <c r="V4722" t="s">
        <v>9408</v>
      </c>
      <c r="W4722" t="s">
        <v>423</v>
      </c>
    </row>
    <row r="4723" spans="1:23" hidden="1" x14ac:dyDescent="0.2">
      <c r="A4723">
        <v>2012</v>
      </c>
      <c r="B4723" t="s">
        <v>304</v>
      </c>
      <c r="C4723" s="733">
        <v>40954</v>
      </c>
      <c r="D47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23" t="s">
        <v>478</v>
      </c>
      <c r="F4723" t="s">
        <v>2622</v>
      </c>
      <c r="G4723" t="s">
        <v>7662</v>
      </c>
      <c r="H4723">
        <v>35656</v>
      </c>
      <c r="I4723" t="s">
        <v>423</v>
      </c>
      <c r="J4723" t="s">
        <v>2644</v>
      </c>
      <c r="K4723" t="s">
        <v>2625</v>
      </c>
      <c r="L4723" t="s">
        <v>2626</v>
      </c>
      <c r="M4723">
        <v>52</v>
      </c>
      <c r="N4723">
        <v>27.35</v>
      </c>
      <c r="O4723">
        <v>3219.92</v>
      </c>
      <c r="P4723">
        <v>0</v>
      </c>
      <c r="Q4723">
        <v>3219.92</v>
      </c>
      <c r="R4723">
        <v>515.19000000000005</v>
      </c>
      <c r="S4723">
        <v>128.80000000000001</v>
      </c>
      <c r="T4723">
        <v>3606.31</v>
      </c>
      <c r="U4723" t="s">
        <v>8267</v>
      </c>
      <c r="V4723" t="s">
        <v>9408</v>
      </c>
      <c r="W4723" t="s">
        <v>423</v>
      </c>
    </row>
    <row r="4724" spans="1:23" hidden="1" x14ac:dyDescent="0.2">
      <c r="A4724">
        <v>2012</v>
      </c>
      <c r="B4724" t="s">
        <v>303</v>
      </c>
      <c r="C4724" s="733">
        <v>40938.92083333333</v>
      </c>
      <c r="D47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24" t="s">
        <v>478</v>
      </c>
      <c r="F4724" t="s">
        <v>2622</v>
      </c>
      <c r="G4724" t="s">
        <v>3799</v>
      </c>
      <c r="H4724">
        <v>35074</v>
      </c>
      <c r="I4724" t="s">
        <v>423</v>
      </c>
      <c r="J4724" t="s">
        <v>2644</v>
      </c>
      <c r="K4724" t="s">
        <v>2625</v>
      </c>
      <c r="L4724" t="s">
        <v>2626</v>
      </c>
      <c r="M4724">
        <v>52</v>
      </c>
      <c r="N4724">
        <v>26.16</v>
      </c>
      <c r="O4724">
        <v>3079.82</v>
      </c>
      <c r="P4724">
        <v>0</v>
      </c>
      <c r="Q4724">
        <v>3079.82</v>
      </c>
      <c r="R4724">
        <v>492.77</v>
      </c>
      <c r="S4724">
        <v>123.19</v>
      </c>
      <c r="T4724">
        <v>3449.4</v>
      </c>
      <c r="U4724" t="s">
        <v>2648</v>
      </c>
      <c r="V4724" t="s">
        <v>9408</v>
      </c>
      <c r="W4724" t="s">
        <v>423</v>
      </c>
    </row>
    <row r="4725" spans="1:23" hidden="1" x14ac:dyDescent="0.2">
      <c r="A4725">
        <v>2012</v>
      </c>
      <c r="B4725" t="s">
        <v>304</v>
      </c>
      <c r="C4725" s="733">
        <v>40942</v>
      </c>
      <c r="D47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25" t="s">
        <v>478</v>
      </c>
      <c r="F4725" t="s">
        <v>2622</v>
      </c>
      <c r="G4725" t="s">
        <v>3800</v>
      </c>
      <c r="H4725">
        <v>35317</v>
      </c>
      <c r="I4725" t="s">
        <v>423</v>
      </c>
      <c r="J4725" t="s">
        <v>2644</v>
      </c>
      <c r="K4725" t="s">
        <v>2625</v>
      </c>
      <c r="L4725" t="s">
        <v>2626</v>
      </c>
      <c r="M4725">
        <v>52</v>
      </c>
      <c r="N4725">
        <v>25.11</v>
      </c>
      <c r="O4725">
        <v>2956.2</v>
      </c>
      <c r="P4725">
        <v>0</v>
      </c>
      <c r="Q4725">
        <v>2956.2</v>
      </c>
      <c r="R4725">
        <v>472.99</v>
      </c>
      <c r="S4725">
        <v>118.25</v>
      </c>
      <c r="T4725">
        <v>3310.94</v>
      </c>
      <c r="U4725" t="s">
        <v>2652</v>
      </c>
      <c r="V4725" t="s">
        <v>9408</v>
      </c>
      <c r="W4725" t="s">
        <v>423</v>
      </c>
    </row>
    <row r="4726" spans="1:23" hidden="1" x14ac:dyDescent="0.2">
      <c r="A4726">
        <v>2012</v>
      </c>
      <c r="B4726" t="s">
        <v>304</v>
      </c>
      <c r="C4726" s="733">
        <v>40960.451516203706</v>
      </c>
      <c r="D47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26" t="s">
        <v>478</v>
      </c>
      <c r="F4726" t="s">
        <v>2622</v>
      </c>
      <c r="G4726" t="s">
        <v>8467</v>
      </c>
      <c r="H4726">
        <v>35830</v>
      </c>
      <c r="I4726" t="s">
        <v>423</v>
      </c>
      <c r="J4726" t="s">
        <v>2644</v>
      </c>
      <c r="K4726" t="s">
        <v>2625</v>
      </c>
      <c r="L4726" t="s">
        <v>2145</v>
      </c>
      <c r="M4726">
        <v>52</v>
      </c>
      <c r="N4726">
        <v>20.92</v>
      </c>
      <c r="O4726">
        <v>2462.91</v>
      </c>
      <c r="P4726">
        <v>0</v>
      </c>
      <c r="Q4726">
        <v>2462.91</v>
      </c>
      <c r="R4726">
        <v>394.07</v>
      </c>
      <c r="S4726">
        <v>98.52</v>
      </c>
      <c r="T4726">
        <v>2758.46</v>
      </c>
      <c r="U4726" t="s">
        <v>8267</v>
      </c>
      <c r="V4726" t="s">
        <v>9408</v>
      </c>
      <c r="W4726" t="s">
        <v>423</v>
      </c>
    </row>
    <row r="4727" spans="1:23" hidden="1" x14ac:dyDescent="0.2">
      <c r="A4727">
        <v>2012</v>
      </c>
      <c r="B4727" t="s">
        <v>304</v>
      </c>
      <c r="C4727" s="733">
        <v>40959</v>
      </c>
      <c r="D47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27" t="s">
        <v>485</v>
      </c>
      <c r="F4727" t="s">
        <v>2065</v>
      </c>
      <c r="G4727" t="s">
        <v>7661</v>
      </c>
      <c r="H4727">
        <v>42095</v>
      </c>
      <c r="I4727" t="s">
        <v>423</v>
      </c>
      <c r="J4727" t="s">
        <v>5277</v>
      </c>
      <c r="K4727" t="s">
        <v>2102</v>
      </c>
      <c r="L4727" t="s">
        <v>2115</v>
      </c>
      <c r="M4727">
        <v>1156</v>
      </c>
      <c r="N4727">
        <v>27.04</v>
      </c>
      <c r="O4727">
        <v>19244.37</v>
      </c>
      <c r="P4727">
        <v>0</v>
      </c>
      <c r="Q4727">
        <v>19244.37</v>
      </c>
      <c r="R4727">
        <v>3079.1</v>
      </c>
      <c r="S4727">
        <v>769.77</v>
      </c>
      <c r="T4727">
        <v>21553.7</v>
      </c>
      <c r="U4727" t="s">
        <v>8883</v>
      </c>
      <c r="V4727" t="s">
        <v>9409</v>
      </c>
      <c r="W4727" t="s">
        <v>423</v>
      </c>
    </row>
    <row r="4728" spans="1:23" hidden="1" x14ac:dyDescent="0.2">
      <c r="A4728">
        <v>2012</v>
      </c>
      <c r="B4728" t="s">
        <v>304</v>
      </c>
      <c r="C4728" s="733">
        <v>40961</v>
      </c>
      <c r="D47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28" t="s">
        <v>478</v>
      </c>
      <c r="F4728" t="s">
        <v>2622</v>
      </c>
      <c r="G4728" t="s">
        <v>8469</v>
      </c>
      <c r="H4728">
        <v>35775</v>
      </c>
      <c r="I4728" t="s">
        <v>423</v>
      </c>
      <c r="J4728" t="s">
        <v>3638</v>
      </c>
      <c r="K4728" t="s">
        <v>425</v>
      </c>
      <c r="L4728" t="s">
        <v>2145</v>
      </c>
      <c r="M4728">
        <v>1416</v>
      </c>
      <c r="N4728">
        <v>40.94</v>
      </c>
      <c r="O4728">
        <v>37123.980000000003</v>
      </c>
      <c r="P4728">
        <v>0</v>
      </c>
      <c r="Q4728">
        <v>37123.980000000003</v>
      </c>
      <c r="R4728">
        <v>5939.84</v>
      </c>
      <c r="S4728">
        <v>1484.96</v>
      </c>
      <c r="T4728">
        <v>41578.86</v>
      </c>
      <c r="U4728" t="s">
        <v>9430</v>
      </c>
      <c r="V4728" t="s">
        <v>9409</v>
      </c>
      <c r="W4728" t="s">
        <v>423</v>
      </c>
    </row>
    <row r="4729" spans="1:23" hidden="1" x14ac:dyDescent="0.2">
      <c r="A4729">
        <v>2012</v>
      </c>
      <c r="B4729" t="s">
        <v>303</v>
      </c>
      <c r="C4729" s="733">
        <v>40934</v>
      </c>
      <c r="D47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29" t="s">
        <v>478</v>
      </c>
      <c r="F4729" t="s">
        <v>2136</v>
      </c>
      <c r="G4729" t="s">
        <v>4268</v>
      </c>
      <c r="H4729">
        <v>34787</v>
      </c>
      <c r="I4729" t="s">
        <v>423</v>
      </c>
      <c r="J4729" t="s">
        <v>3638</v>
      </c>
      <c r="K4729" t="s">
        <v>425</v>
      </c>
      <c r="L4729" t="s">
        <v>2145</v>
      </c>
      <c r="M4729">
        <v>1416</v>
      </c>
      <c r="N4729">
        <v>58.84</v>
      </c>
      <c r="O4729">
        <v>53355.519999999997</v>
      </c>
      <c r="P4729">
        <v>0</v>
      </c>
      <c r="Q4729">
        <v>53355.519999999997</v>
      </c>
      <c r="R4729">
        <v>8536.8799999999992</v>
      </c>
      <c r="S4729">
        <v>2134.2199999999998</v>
      </c>
      <c r="T4729">
        <v>59758.18</v>
      </c>
      <c r="U4729" t="s">
        <v>3234</v>
      </c>
      <c r="V4729" t="s">
        <v>9409</v>
      </c>
      <c r="W4729" t="s">
        <v>423</v>
      </c>
    </row>
    <row r="4730" spans="1:23" hidden="1" x14ac:dyDescent="0.2">
      <c r="A4730">
        <v>2012</v>
      </c>
      <c r="B4730" t="s">
        <v>304</v>
      </c>
      <c r="C4730" s="733">
        <v>40954</v>
      </c>
      <c r="D47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30" t="s">
        <v>485</v>
      </c>
      <c r="F4730" t="s">
        <v>2054</v>
      </c>
      <c r="G4730" t="s">
        <v>7927</v>
      </c>
      <c r="H4730">
        <v>42013</v>
      </c>
      <c r="I4730" t="s">
        <v>423</v>
      </c>
      <c r="J4730" t="s">
        <v>2274</v>
      </c>
      <c r="K4730" t="s">
        <v>2051</v>
      </c>
      <c r="L4730" t="s">
        <v>2052</v>
      </c>
      <c r="M4730">
        <v>573</v>
      </c>
      <c r="N4730">
        <v>57.5</v>
      </c>
      <c r="O4730">
        <v>18658.75</v>
      </c>
      <c r="P4730">
        <v>0</v>
      </c>
      <c r="Q4730">
        <v>18658.75</v>
      </c>
      <c r="R4730">
        <v>2985.4</v>
      </c>
      <c r="S4730">
        <v>746.35</v>
      </c>
      <c r="T4730">
        <v>20897.8</v>
      </c>
      <c r="U4730" t="s">
        <v>8780</v>
      </c>
      <c r="V4730" t="s">
        <v>9409</v>
      </c>
      <c r="W4730" t="s">
        <v>423</v>
      </c>
    </row>
    <row r="4731" spans="1:23" x14ac:dyDescent="0.2">
      <c r="A4731">
        <v>2012</v>
      </c>
      <c r="B4731" t="s">
        <v>304</v>
      </c>
      <c r="C4731" s="733">
        <v>40967</v>
      </c>
      <c r="D47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31" t="s">
        <v>485</v>
      </c>
      <c r="F4731" t="s">
        <v>2048</v>
      </c>
      <c r="G4731" t="s">
        <v>8935</v>
      </c>
      <c r="H4731">
        <v>42728</v>
      </c>
      <c r="I4731" t="s">
        <v>423</v>
      </c>
      <c r="J4731" t="s">
        <v>2274</v>
      </c>
      <c r="K4731" t="s">
        <v>2051</v>
      </c>
      <c r="L4731" t="s">
        <v>2052</v>
      </c>
      <c r="M4731">
        <v>573</v>
      </c>
      <c r="N4731">
        <v>24.5</v>
      </c>
      <c r="O4731">
        <v>7950.25</v>
      </c>
      <c r="P4731">
        <v>0</v>
      </c>
      <c r="Q4731">
        <v>7950.25</v>
      </c>
      <c r="R4731">
        <v>1272.04</v>
      </c>
      <c r="S4731">
        <v>318.01</v>
      </c>
      <c r="T4731">
        <v>8904.2800000000007</v>
      </c>
      <c r="U4731" t="s">
        <v>8780</v>
      </c>
      <c r="V4731" t="s">
        <v>9408</v>
      </c>
      <c r="W4731" t="s">
        <v>423</v>
      </c>
    </row>
    <row r="4732" spans="1:23" hidden="1" x14ac:dyDescent="0.2">
      <c r="A4732">
        <v>2012</v>
      </c>
      <c r="B4732" t="s">
        <v>303</v>
      </c>
      <c r="C4732" s="733">
        <v>40919</v>
      </c>
      <c r="D47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32" t="s">
        <v>485</v>
      </c>
      <c r="F4732" t="s">
        <v>2048</v>
      </c>
      <c r="G4732" t="s">
        <v>2695</v>
      </c>
      <c r="H4732">
        <v>40086</v>
      </c>
      <c r="I4732" t="s">
        <v>423</v>
      </c>
      <c r="J4732" t="s">
        <v>2274</v>
      </c>
      <c r="K4732" t="s">
        <v>2051</v>
      </c>
      <c r="L4732" t="s">
        <v>2052</v>
      </c>
      <c r="M4732">
        <v>573</v>
      </c>
      <c r="N4732">
        <v>55.35</v>
      </c>
      <c r="O4732">
        <v>17961.080000000002</v>
      </c>
      <c r="P4732">
        <v>0</v>
      </c>
      <c r="Q4732">
        <v>17961.080000000002</v>
      </c>
      <c r="R4732">
        <v>2873.77</v>
      </c>
      <c r="S4732">
        <v>718.44</v>
      </c>
      <c r="T4732">
        <v>20116.41</v>
      </c>
      <c r="U4732" t="s">
        <v>2062</v>
      </c>
      <c r="V4732" t="s">
        <v>9409</v>
      </c>
      <c r="W4732" t="s">
        <v>423</v>
      </c>
    </row>
    <row r="4733" spans="1:23" hidden="1" x14ac:dyDescent="0.2">
      <c r="A4733">
        <v>2012</v>
      </c>
      <c r="B4733" t="s">
        <v>303</v>
      </c>
      <c r="C4733" s="733">
        <v>40935</v>
      </c>
      <c r="D47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33" t="s">
        <v>478</v>
      </c>
      <c r="F4733" t="s">
        <v>2136</v>
      </c>
      <c r="G4733" t="s">
        <v>3637</v>
      </c>
      <c r="H4733">
        <v>34792</v>
      </c>
      <c r="I4733" t="s">
        <v>423</v>
      </c>
      <c r="J4733" t="s">
        <v>3638</v>
      </c>
      <c r="K4733" t="s">
        <v>425</v>
      </c>
      <c r="L4733" t="s">
        <v>2145</v>
      </c>
      <c r="M4733">
        <v>1416</v>
      </c>
      <c r="N4733">
        <v>52.59</v>
      </c>
      <c r="O4733">
        <v>47688.09</v>
      </c>
      <c r="P4733">
        <v>0</v>
      </c>
      <c r="Q4733">
        <v>47688.09</v>
      </c>
      <c r="R4733">
        <v>7630.09</v>
      </c>
      <c r="S4733">
        <v>1907.52</v>
      </c>
      <c r="T4733">
        <v>53410.66</v>
      </c>
      <c r="U4733" t="s">
        <v>2914</v>
      </c>
      <c r="V4733" t="s">
        <v>9409</v>
      </c>
      <c r="W4733" t="s">
        <v>423</v>
      </c>
    </row>
    <row r="4734" spans="1:23" hidden="1" x14ac:dyDescent="0.2">
      <c r="A4734">
        <v>2012</v>
      </c>
      <c r="B4734" t="s">
        <v>303</v>
      </c>
      <c r="C4734" s="733">
        <v>40929</v>
      </c>
      <c r="D47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34" t="s">
        <v>478</v>
      </c>
      <c r="F4734" t="s">
        <v>2136</v>
      </c>
      <c r="G4734" t="s">
        <v>4623</v>
      </c>
      <c r="H4734">
        <v>34734</v>
      </c>
      <c r="I4734" t="s">
        <v>423</v>
      </c>
      <c r="J4734" t="s">
        <v>3638</v>
      </c>
      <c r="K4734" t="s">
        <v>425</v>
      </c>
      <c r="L4734" t="s">
        <v>2145</v>
      </c>
      <c r="M4734">
        <v>1416</v>
      </c>
      <c r="N4734">
        <v>48.79</v>
      </c>
      <c r="O4734">
        <v>44242.28</v>
      </c>
      <c r="P4734">
        <v>0</v>
      </c>
      <c r="Q4734">
        <v>44242.28</v>
      </c>
      <c r="R4734">
        <v>7078.77</v>
      </c>
      <c r="S4734">
        <v>1769.69</v>
      </c>
      <c r="T4734">
        <v>49551.360000000001</v>
      </c>
      <c r="U4734" t="s">
        <v>3234</v>
      </c>
      <c r="V4734" t="s">
        <v>9409</v>
      </c>
      <c r="W4734" t="s">
        <v>423</v>
      </c>
    </row>
    <row r="4735" spans="1:23" hidden="1" x14ac:dyDescent="0.2">
      <c r="A4735">
        <v>2012</v>
      </c>
      <c r="B4735" t="s">
        <v>304</v>
      </c>
      <c r="C4735" s="733">
        <v>40955</v>
      </c>
      <c r="D47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35" t="s">
        <v>478</v>
      </c>
      <c r="F4735" t="s">
        <v>2136</v>
      </c>
      <c r="G4735" t="s">
        <v>7820</v>
      </c>
      <c r="H4735">
        <v>35530</v>
      </c>
      <c r="I4735" t="s">
        <v>423</v>
      </c>
      <c r="J4735" t="s">
        <v>4282</v>
      </c>
      <c r="K4735" t="s">
        <v>425</v>
      </c>
      <c r="L4735" t="s">
        <v>2145</v>
      </c>
      <c r="M4735">
        <v>1405</v>
      </c>
      <c r="N4735">
        <v>37.58</v>
      </c>
      <c r="O4735">
        <v>34077.17</v>
      </c>
      <c r="P4735">
        <v>0</v>
      </c>
      <c r="Q4735">
        <v>34077.17</v>
      </c>
      <c r="R4735">
        <v>5452.35</v>
      </c>
      <c r="S4735">
        <v>1363.09</v>
      </c>
      <c r="T4735">
        <v>38166.43</v>
      </c>
      <c r="U4735" t="s">
        <v>7523</v>
      </c>
      <c r="V4735" t="s">
        <v>9409</v>
      </c>
      <c r="W4735" t="s">
        <v>423</v>
      </c>
    </row>
    <row r="4736" spans="1:23" hidden="1" x14ac:dyDescent="0.2">
      <c r="A4736">
        <v>2012</v>
      </c>
      <c r="B4736" t="s">
        <v>304</v>
      </c>
      <c r="C4736" s="733">
        <v>40942</v>
      </c>
      <c r="D47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36" t="s">
        <v>505</v>
      </c>
      <c r="F4736" t="s">
        <v>1915</v>
      </c>
      <c r="G4736" t="s">
        <v>4141</v>
      </c>
      <c r="H4736">
        <v>22464</v>
      </c>
      <c r="I4736" t="s">
        <v>423</v>
      </c>
      <c r="J4736" t="s">
        <v>4140</v>
      </c>
      <c r="K4736" t="s">
        <v>1918</v>
      </c>
      <c r="L4736" t="s">
        <v>1919</v>
      </c>
      <c r="M4736">
        <v>1</v>
      </c>
      <c r="N4736">
        <v>24.81</v>
      </c>
      <c r="O4736">
        <v>2396.15</v>
      </c>
      <c r="P4736">
        <v>0</v>
      </c>
      <c r="Q4736">
        <v>2396.15</v>
      </c>
      <c r="R4736">
        <v>383.38</v>
      </c>
      <c r="S4736">
        <v>95.85</v>
      </c>
      <c r="T4736">
        <v>2683.68</v>
      </c>
      <c r="U4736" t="s">
        <v>1924</v>
      </c>
      <c r="V4736" t="s">
        <v>9408</v>
      </c>
      <c r="W4736" t="s">
        <v>423</v>
      </c>
    </row>
    <row r="4737" spans="1:23" hidden="1" x14ac:dyDescent="0.2">
      <c r="A4737">
        <v>2012</v>
      </c>
      <c r="B4737" t="s">
        <v>304</v>
      </c>
      <c r="C4737" s="733">
        <v>40953</v>
      </c>
      <c r="D47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37" t="s">
        <v>505</v>
      </c>
      <c r="F4737" t="s">
        <v>1915</v>
      </c>
      <c r="G4737" t="s">
        <v>4142</v>
      </c>
      <c r="H4737">
        <v>22706</v>
      </c>
      <c r="I4737" t="s">
        <v>423</v>
      </c>
      <c r="J4737" t="s">
        <v>4140</v>
      </c>
      <c r="K4737" t="s">
        <v>1918</v>
      </c>
      <c r="L4737" t="s">
        <v>1919</v>
      </c>
      <c r="M4737">
        <v>1</v>
      </c>
      <c r="N4737">
        <v>24.95</v>
      </c>
      <c r="O4737">
        <v>2409.67</v>
      </c>
      <c r="P4737">
        <v>0</v>
      </c>
      <c r="Q4737">
        <v>2409.67</v>
      </c>
      <c r="R4737">
        <v>385.55</v>
      </c>
      <c r="S4737">
        <v>96.39</v>
      </c>
      <c r="T4737">
        <v>2698.83</v>
      </c>
      <c r="U4737" t="s">
        <v>7529</v>
      </c>
      <c r="V4737" t="s">
        <v>9408</v>
      </c>
      <c r="W4737" t="s">
        <v>423</v>
      </c>
    </row>
    <row r="4738" spans="1:23" hidden="1" x14ac:dyDescent="0.2">
      <c r="A4738">
        <v>2012</v>
      </c>
      <c r="B4738" t="s">
        <v>304</v>
      </c>
      <c r="C4738" s="733">
        <v>40949.742291666669</v>
      </c>
      <c r="D47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38" t="s">
        <v>505</v>
      </c>
      <c r="F4738" t="s">
        <v>1915</v>
      </c>
      <c r="G4738" t="s">
        <v>4139</v>
      </c>
      <c r="H4738">
        <v>22643</v>
      </c>
      <c r="I4738" t="s">
        <v>423</v>
      </c>
      <c r="J4738" t="s">
        <v>4140</v>
      </c>
      <c r="K4738" t="s">
        <v>1918</v>
      </c>
      <c r="L4738" t="s">
        <v>1919</v>
      </c>
      <c r="M4738">
        <v>1</v>
      </c>
      <c r="N4738">
        <v>25</v>
      </c>
      <c r="O4738">
        <v>2414.5</v>
      </c>
      <c r="P4738">
        <v>0</v>
      </c>
      <c r="Q4738">
        <v>2414.5</v>
      </c>
      <c r="R4738">
        <v>386.32</v>
      </c>
      <c r="S4738">
        <v>96.58</v>
      </c>
      <c r="T4738">
        <v>2704.24</v>
      </c>
      <c r="U4738" t="s">
        <v>7522</v>
      </c>
      <c r="V4738" t="s">
        <v>9408</v>
      </c>
      <c r="W4738" t="s">
        <v>423</v>
      </c>
    </row>
    <row r="4739" spans="1:23" hidden="1" x14ac:dyDescent="0.2">
      <c r="A4739">
        <v>2012</v>
      </c>
      <c r="B4739" t="s">
        <v>303</v>
      </c>
      <c r="C4739" s="733">
        <v>40914</v>
      </c>
      <c r="D47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39" t="s">
        <v>505</v>
      </c>
      <c r="F4739" t="s">
        <v>1915</v>
      </c>
      <c r="G4739" t="s">
        <v>4152</v>
      </c>
      <c r="H4739">
        <v>21758</v>
      </c>
      <c r="I4739" t="s">
        <v>423</v>
      </c>
      <c r="J4739" t="s">
        <v>4153</v>
      </c>
      <c r="K4739" t="s">
        <v>1918</v>
      </c>
      <c r="L4739" t="s">
        <v>1919</v>
      </c>
      <c r="M4739">
        <v>850</v>
      </c>
      <c r="N4739">
        <v>24.87</v>
      </c>
      <c r="O4739">
        <v>15540.27</v>
      </c>
      <c r="P4739">
        <v>0</v>
      </c>
      <c r="Q4739">
        <v>15540.27</v>
      </c>
      <c r="R4739">
        <v>2486.44</v>
      </c>
      <c r="S4739">
        <v>621.61</v>
      </c>
      <c r="T4739">
        <v>17405.099999999999</v>
      </c>
      <c r="U4739" t="s">
        <v>1920</v>
      </c>
      <c r="V4739" t="s">
        <v>9408</v>
      </c>
      <c r="W4739" t="s">
        <v>423</v>
      </c>
    </row>
    <row r="4740" spans="1:23" hidden="1" x14ac:dyDescent="0.2">
      <c r="A4740">
        <v>2012</v>
      </c>
      <c r="B4740" t="s">
        <v>304</v>
      </c>
      <c r="C4740" s="733">
        <v>40942.688460648147</v>
      </c>
      <c r="D47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40" t="s">
        <v>478</v>
      </c>
      <c r="F4740" t="s">
        <v>3787</v>
      </c>
      <c r="G4740" t="s">
        <v>6163</v>
      </c>
      <c r="H4740">
        <v>35299</v>
      </c>
      <c r="I4740" t="s">
        <v>423</v>
      </c>
      <c r="J4740" t="s">
        <v>3797</v>
      </c>
      <c r="K4740" t="s">
        <v>3481</v>
      </c>
      <c r="L4740" t="s">
        <v>3482</v>
      </c>
      <c r="M4740">
        <v>266</v>
      </c>
      <c r="N4740">
        <v>27.125</v>
      </c>
      <c r="O4740">
        <v>6057.56</v>
      </c>
      <c r="P4740">
        <v>0</v>
      </c>
      <c r="Q4740">
        <v>6057.56</v>
      </c>
      <c r="R4740">
        <v>969.21</v>
      </c>
      <c r="S4740">
        <v>242.3</v>
      </c>
      <c r="T4740">
        <v>6784.47</v>
      </c>
      <c r="U4740" t="s">
        <v>3483</v>
      </c>
      <c r="V4740" t="s">
        <v>9408</v>
      </c>
      <c r="W4740" t="s">
        <v>423</v>
      </c>
    </row>
    <row r="4741" spans="1:23" hidden="1" x14ac:dyDescent="0.2">
      <c r="A4741">
        <v>2012</v>
      </c>
      <c r="B4741" t="s">
        <v>303</v>
      </c>
      <c r="C4741" s="733">
        <v>40936</v>
      </c>
      <c r="D47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41" t="s">
        <v>478</v>
      </c>
      <c r="F4741" t="s">
        <v>3787</v>
      </c>
      <c r="G4741" t="s">
        <v>6165</v>
      </c>
      <c r="H4741">
        <v>34773</v>
      </c>
      <c r="I4741" t="s">
        <v>423</v>
      </c>
      <c r="J4741" t="s">
        <v>3797</v>
      </c>
      <c r="K4741" t="s">
        <v>3481</v>
      </c>
      <c r="L4741" t="s">
        <v>3482</v>
      </c>
      <c r="M4741">
        <v>266</v>
      </c>
      <c r="N4741">
        <v>29.99</v>
      </c>
      <c r="O4741">
        <v>6697.37</v>
      </c>
      <c r="P4741">
        <v>0</v>
      </c>
      <c r="Q4741">
        <v>6697.37</v>
      </c>
      <c r="R4741">
        <v>1071.58</v>
      </c>
      <c r="S4741">
        <v>267.89</v>
      </c>
      <c r="T4741">
        <v>7501.06</v>
      </c>
      <c r="U4741" t="s">
        <v>3784</v>
      </c>
      <c r="V4741" t="s">
        <v>9408</v>
      </c>
      <c r="W4741" t="s">
        <v>423</v>
      </c>
    </row>
    <row r="4742" spans="1:23" hidden="1" x14ac:dyDescent="0.2">
      <c r="A4742">
        <v>2012</v>
      </c>
      <c r="B4742" t="s">
        <v>304</v>
      </c>
      <c r="C4742" s="733">
        <v>40956</v>
      </c>
      <c r="D47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42" t="s">
        <v>485</v>
      </c>
      <c r="F4742" t="s">
        <v>2065</v>
      </c>
      <c r="G4742" t="s">
        <v>7986</v>
      </c>
      <c r="H4742">
        <v>42057</v>
      </c>
      <c r="I4742" t="s">
        <v>423</v>
      </c>
      <c r="J4742" t="s">
        <v>2182</v>
      </c>
      <c r="K4742" t="s">
        <v>2183</v>
      </c>
      <c r="L4742" t="s">
        <v>2184</v>
      </c>
      <c r="M4742">
        <v>62</v>
      </c>
      <c r="N4742">
        <v>51.23</v>
      </c>
      <c r="O4742">
        <v>7589.21</v>
      </c>
      <c r="P4742">
        <v>0</v>
      </c>
      <c r="Q4742">
        <v>7589.21</v>
      </c>
      <c r="R4742">
        <v>1214.27</v>
      </c>
      <c r="S4742">
        <v>303.57</v>
      </c>
      <c r="T4742">
        <v>8499.91</v>
      </c>
      <c r="U4742" t="s">
        <v>8048</v>
      </c>
      <c r="V4742" t="s">
        <v>9409</v>
      </c>
      <c r="W4742" t="s">
        <v>423</v>
      </c>
    </row>
    <row r="4743" spans="1:23" hidden="1" x14ac:dyDescent="0.2">
      <c r="A4743">
        <v>2012</v>
      </c>
      <c r="B4743" t="s">
        <v>303</v>
      </c>
      <c r="C4743" s="733">
        <v>40939</v>
      </c>
      <c r="D47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43" t="s">
        <v>485</v>
      </c>
      <c r="F4743" t="s">
        <v>2065</v>
      </c>
      <c r="G4743" t="s">
        <v>5645</v>
      </c>
      <c r="H4743">
        <v>39858</v>
      </c>
      <c r="I4743" t="s">
        <v>423</v>
      </c>
      <c r="J4743" t="s">
        <v>2182</v>
      </c>
      <c r="K4743" t="s">
        <v>2183</v>
      </c>
      <c r="L4743" t="s">
        <v>2184</v>
      </c>
      <c r="M4743">
        <v>62</v>
      </c>
      <c r="N4743">
        <v>53.19</v>
      </c>
      <c r="O4743">
        <v>7879.57</v>
      </c>
      <c r="P4743">
        <v>0</v>
      </c>
      <c r="Q4743">
        <v>7879.57</v>
      </c>
      <c r="R4743">
        <v>1260.73</v>
      </c>
      <c r="S4743">
        <v>315.18</v>
      </c>
      <c r="T4743">
        <v>8825.1200000000008</v>
      </c>
      <c r="U4743" t="s">
        <v>2187</v>
      </c>
      <c r="V4743" t="s">
        <v>9409</v>
      </c>
      <c r="W4743" t="s">
        <v>423</v>
      </c>
    </row>
    <row r="4744" spans="1:23" hidden="1" x14ac:dyDescent="0.2">
      <c r="A4744">
        <v>2012</v>
      </c>
      <c r="B4744" t="s">
        <v>304</v>
      </c>
      <c r="C4744" s="733">
        <v>40942</v>
      </c>
      <c r="D47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44" t="s">
        <v>485</v>
      </c>
      <c r="F4744" t="s">
        <v>2065</v>
      </c>
      <c r="G4744" t="s">
        <v>5646</v>
      </c>
      <c r="H4744">
        <v>39894</v>
      </c>
      <c r="I4744" t="s">
        <v>423</v>
      </c>
      <c r="J4744" t="s">
        <v>2182</v>
      </c>
      <c r="K4744" t="s">
        <v>2183</v>
      </c>
      <c r="L4744" t="s">
        <v>2184</v>
      </c>
      <c r="M4744">
        <v>62</v>
      </c>
      <c r="N4744">
        <v>25.92</v>
      </c>
      <c r="O4744">
        <v>3839.79</v>
      </c>
      <c r="P4744">
        <v>0</v>
      </c>
      <c r="Q4744">
        <v>3839.79</v>
      </c>
      <c r="R4744">
        <v>614.37</v>
      </c>
      <c r="S4744">
        <v>153.59</v>
      </c>
      <c r="T4744">
        <v>4300.57</v>
      </c>
      <c r="U4744" t="s">
        <v>2192</v>
      </c>
      <c r="V4744" t="s">
        <v>9409</v>
      </c>
      <c r="W4744" t="s">
        <v>423</v>
      </c>
    </row>
    <row r="4745" spans="1:23" hidden="1" x14ac:dyDescent="0.2">
      <c r="A4745">
        <v>2012</v>
      </c>
      <c r="B4745" t="s">
        <v>303</v>
      </c>
      <c r="C4745" s="733">
        <v>40927</v>
      </c>
      <c r="D47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45" t="s">
        <v>478</v>
      </c>
      <c r="F4745" t="s">
        <v>3358</v>
      </c>
      <c r="G4745" t="s">
        <v>6157</v>
      </c>
      <c r="H4745">
        <v>34662</v>
      </c>
      <c r="I4745" t="s">
        <v>423</v>
      </c>
      <c r="J4745" t="s">
        <v>3360</v>
      </c>
      <c r="K4745" t="s">
        <v>483</v>
      </c>
      <c r="L4745" t="s">
        <v>3361</v>
      </c>
      <c r="M4745">
        <v>49</v>
      </c>
      <c r="N4745">
        <v>29.74</v>
      </c>
      <c r="O4745">
        <v>3356.75</v>
      </c>
      <c r="P4745">
        <v>0</v>
      </c>
      <c r="Q4745">
        <v>3356.75</v>
      </c>
      <c r="R4745">
        <v>537.08000000000004</v>
      </c>
      <c r="S4745">
        <v>134.27000000000001</v>
      </c>
      <c r="T4745">
        <v>3759.56</v>
      </c>
      <c r="U4745" t="s">
        <v>3780</v>
      </c>
      <c r="V4745" t="s">
        <v>9408</v>
      </c>
      <c r="W4745" t="s">
        <v>423</v>
      </c>
    </row>
    <row r="4746" spans="1:23" hidden="1" x14ac:dyDescent="0.2">
      <c r="A4746">
        <v>2012</v>
      </c>
      <c r="B4746" t="s">
        <v>304</v>
      </c>
      <c r="C4746" s="733">
        <v>40962</v>
      </c>
      <c r="D47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46" t="s">
        <v>478</v>
      </c>
      <c r="F4746" t="s">
        <v>2136</v>
      </c>
      <c r="G4746" t="s">
        <v>8612</v>
      </c>
      <c r="H4746">
        <v>35754</v>
      </c>
      <c r="I4746" t="s">
        <v>423</v>
      </c>
      <c r="J4746" t="s">
        <v>5689</v>
      </c>
      <c r="K4746" t="s">
        <v>425</v>
      </c>
      <c r="L4746" t="s">
        <v>2145</v>
      </c>
      <c r="M4746">
        <v>764</v>
      </c>
      <c r="N4746">
        <v>20.82</v>
      </c>
      <c r="O4746">
        <v>6651.99</v>
      </c>
      <c r="P4746">
        <v>0</v>
      </c>
      <c r="Q4746">
        <v>6651.99</v>
      </c>
      <c r="R4746">
        <v>1064.32</v>
      </c>
      <c r="S4746">
        <v>266.08</v>
      </c>
      <c r="T4746">
        <v>7450.23</v>
      </c>
      <c r="U4746" t="s">
        <v>8510</v>
      </c>
      <c r="V4746" t="s">
        <v>9408</v>
      </c>
      <c r="W4746" t="s">
        <v>423</v>
      </c>
    </row>
    <row r="4747" spans="1:23" hidden="1" x14ac:dyDescent="0.2">
      <c r="A4747">
        <v>2012</v>
      </c>
      <c r="B4747" t="s">
        <v>304</v>
      </c>
      <c r="C4747" s="733">
        <v>40960</v>
      </c>
      <c r="D47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47" t="s">
        <v>505</v>
      </c>
      <c r="F4747" t="s">
        <v>1915</v>
      </c>
      <c r="G4747" t="s">
        <v>8209</v>
      </c>
      <c r="H4747">
        <v>22841</v>
      </c>
      <c r="I4747" t="s">
        <v>423</v>
      </c>
      <c r="J4747" t="s">
        <v>3207</v>
      </c>
      <c r="K4747" t="s">
        <v>1918</v>
      </c>
      <c r="L4747" t="s">
        <v>1919</v>
      </c>
      <c r="M4747">
        <v>334</v>
      </c>
      <c r="N4747">
        <v>51.98</v>
      </c>
      <c r="O4747">
        <v>14353.76</v>
      </c>
      <c r="P4747">
        <v>0</v>
      </c>
      <c r="Q4747">
        <v>14353.76</v>
      </c>
      <c r="R4747">
        <v>2296.6</v>
      </c>
      <c r="S4747">
        <v>574.15</v>
      </c>
      <c r="T4747">
        <v>16076.21</v>
      </c>
      <c r="V4747" t="s">
        <v>9409</v>
      </c>
      <c r="W4747" t="s">
        <v>423</v>
      </c>
    </row>
    <row r="4748" spans="1:23" hidden="1" x14ac:dyDescent="0.2">
      <c r="A4748">
        <v>2012</v>
      </c>
      <c r="B4748" t="s">
        <v>304</v>
      </c>
      <c r="C4748" s="733">
        <v>40967</v>
      </c>
      <c r="D47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48" t="s">
        <v>478</v>
      </c>
      <c r="F4748" t="s">
        <v>3358</v>
      </c>
      <c r="G4748" t="s">
        <v>8981</v>
      </c>
      <c r="H4748">
        <v>36166</v>
      </c>
      <c r="I4748" t="s">
        <v>423</v>
      </c>
      <c r="J4748" t="s">
        <v>4396</v>
      </c>
      <c r="K4748" t="s">
        <v>4397</v>
      </c>
      <c r="L4748" t="s">
        <v>4398</v>
      </c>
      <c r="M4748">
        <v>112</v>
      </c>
      <c r="N4748">
        <v>27.1</v>
      </c>
      <c r="O4748">
        <v>3058.78</v>
      </c>
      <c r="P4748">
        <v>0</v>
      </c>
      <c r="Q4748">
        <v>3058.78</v>
      </c>
      <c r="R4748">
        <v>489.4</v>
      </c>
      <c r="S4748">
        <v>122.35</v>
      </c>
      <c r="T4748">
        <v>3425.83</v>
      </c>
      <c r="U4748" t="s">
        <v>8982</v>
      </c>
      <c r="V4748" t="s">
        <v>9408</v>
      </c>
      <c r="W4748" t="s">
        <v>423</v>
      </c>
    </row>
    <row r="4749" spans="1:23" hidden="1" x14ac:dyDescent="0.2">
      <c r="A4749">
        <v>2012</v>
      </c>
      <c r="B4749" t="s">
        <v>304</v>
      </c>
      <c r="C4749" s="733">
        <v>40955.41034722222</v>
      </c>
      <c r="D47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49" t="s">
        <v>478</v>
      </c>
      <c r="F4749" t="s">
        <v>3358</v>
      </c>
      <c r="G4749" t="s">
        <v>7924</v>
      </c>
      <c r="H4749">
        <v>35702</v>
      </c>
      <c r="I4749" t="s">
        <v>423</v>
      </c>
      <c r="J4749" t="s">
        <v>4396</v>
      </c>
      <c r="K4749" t="s">
        <v>4397</v>
      </c>
      <c r="L4749" t="s">
        <v>4398</v>
      </c>
      <c r="M4749">
        <v>112</v>
      </c>
      <c r="N4749">
        <v>19.72</v>
      </c>
      <c r="O4749">
        <v>2225.8000000000002</v>
      </c>
      <c r="P4749">
        <v>0</v>
      </c>
      <c r="Q4749">
        <v>2225.8000000000002</v>
      </c>
      <c r="R4749">
        <v>356.13</v>
      </c>
      <c r="S4749">
        <v>89.03</v>
      </c>
      <c r="T4749">
        <v>2492.9</v>
      </c>
      <c r="U4749" t="s">
        <v>7540</v>
      </c>
      <c r="V4749" t="s">
        <v>9408</v>
      </c>
      <c r="W4749" t="s">
        <v>423</v>
      </c>
    </row>
    <row r="4750" spans="1:23" hidden="1" x14ac:dyDescent="0.2">
      <c r="A4750">
        <v>2012</v>
      </c>
      <c r="B4750" t="s">
        <v>303</v>
      </c>
      <c r="C4750" s="733">
        <v>40933.726388888892</v>
      </c>
      <c r="D47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50" t="s">
        <v>478</v>
      </c>
      <c r="F4750" t="s">
        <v>3358</v>
      </c>
      <c r="G4750" t="s">
        <v>6226</v>
      </c>
      <c r="H4750">
        <v>34948</v>
      </c>
      <c r="I4750" t="s">
        <v>423</v>
      </c>
      <c r="J4750" t="s">
        <v>4396</v>
      </c>
      <c r="K4750" t="s">
        <v>4397</v>
      </c>
      <c r="L4750" t="s">
        <v>4398</v>
      </c>
      <c r="M4750">
        <v>112</v>
      </c>
      <c r="N4750">
        <v>24.88</v>
      </c>
      <c r="O4750">
        <v>2808.21</v>
      </c>
      <c r="P4750">
        <v>0</v>
      </c>
      <c r="Q4750">
        <v>2808.21</v>
      </c>
      <c r="R4750">
        <v>449.31</v>
      </c>
      <c r="S4750">
        <v>112.33</v>
      </c>
      <c r="T4750">
        <v>3145.19</v>
      </c>
      <c r="U4750" t="s">
        <v>4402</v>
      </c>
      <c r="V4750" t="s">
        <v>9408</v>
      </c>
      <c r="W4750" t="s">
        <v>423</v>
      </c>
    </row>
    <row r="4751" spans="1:23" hidden="1" x14ac:dyDescent="0.2">
      <c r="A4751">
        <v>2012</v>
      </c>
      <c r="B4751" t="s">
        <v>304</v>
      </c>
      <c r="C4751" s="733">
        <v>40955.411412037036</v>
      </c>
      <c r="D47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51" t="s">
        <v>478</v>
      </c>
      <c r="F4751" t="s">
        <v>3358</v>
      </c>
      <c r="G4751" t="s">
        <v>7909</v>
      </c>
      <c r="H4751">
        <v>35705</v>
      </c>
      <c r="I4751" t="s">
        <v>423</v>
      </c>
      <c r="J4751" t="s">
        <v>4396</v>
      </c>
      <c r="K4751" t="s">
        <v>4397</v>
      </c>
      <c r="L4751" t="s">
        <v>4398</v>
      </c>
      <c r="M4751">
        <v>112</v>
      </c>
      <c r="N4751">
        <v>19.954999999999998</v>
      </c>
      <c r="O4751">
        <v>2252.3200000000002</v>
      </c>
      <c r="P4751">
        <v>0</v>
      </c>
      <c r="Q4751">
        <v>2252.3200000000002</v>
      </c>
      <c r="R4751">
        <v>360.37</v>
      </c>
      <c r="S4751">
        <v>90.09</v>
      </c>
      <c r="T4751">
        <v>2522.6</v>
      </c>
      <c r="U4751" t="s">
        <v>7540</v>
      </c>
      <c r="V4751" t="s">
        <v>9408</v>
      </c>
      <c r="W4751" t="s">
        <v>423</v>
      </c>
    </row>
    <row r="4752" spans="1:23" hidden="1" x14ac:dyDescent="0.2">
      <c r="A4752">
        <v>2012</v>
      </c>
      <c r="B4752" t="s">
        <v>304</v>
      </c>
      <c r="C4752" s="733">
        <v>40955.409131944441</v>
      </c>
      <c r="D47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52" t="s">
        <v>478</v>
      </c>
      <c r="F4752" t="s">
        <v>3358</v>
      </c>
      <c r="G4752" t="s">
        <v>7880</v>
      </c>
      <c r="H4752">
        <v>35699</v>
      </c>
      <c r="I4752" t="s">
        <v>423</v>
      </c>
      <c r="J4752" t="s">
        <v>4396</v>
      </c>
      <c r="K4752" t="s">
        <v>4397</v>
      </c>
      <c r="L4752" t="s">
        <v>4398</v>
      </c>
      <c r="M4752">
        <v>112</v>
      </c>
      <c r="N4752">
        <v>24.96</v>
      </c>
      <c r="O4752">
        <v>2817.24</v>
      </c>
      <c r="P4752">
        <v>0</v>
      </c>
      <c r="Q4752">
        <v>2817.24</v>
      </c>
      <c r="R4752">
        <v>450.76</v>
      </c>
      <c r="S4752">
        <v>112.69</v>
      </c>
      <c r="T4752">
        <v>3155.31</v>
      </c>
      <c r="U4752" t="s">
        <v>7540</v>
      </c>
      <c r="V4752" t="s">
        <v>9408</v>
      </c>
      <c r="W4752" t="s">
        <v>423</v>
      </c>
    </row>
    <row r="4753" spans="1:23" hidden="1" x14ac:dyDescent="0.2">
      <c r="A4753">
        <v>2012</v>
      </c>
      <c r="B4753" t="s">
        <v>304</v>
      </c>
      <c r="C4753" s="733">
        <v>40960</v>
      </c>
      <c r="D47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53" t="s">
        <v>505</v>
      </c>
      <c r="F4753" t="s">
        <v>1915</v>
      </c>
      <c r="G4753" t="s">
        <v>8211</v>
      </c>
      <c r="H4753">
        <v>22830</v>
      </c>
      <c r="I4753" t="s">
        <v>423</v>
      </c>
      <c r="J4753" t="s">
        <v>4153</v>
      </c>
      <c r="K4753" t="s">
        <v>1918</v>
      </c>
      <c r="L4753" t="s">
        <v>1919</v>
      </c>
      <c r="M4753">
        <v>850</v>
      </c>
      <c r="N4753">
        <v>48.99</v>
      </c>
      <c r="O4753">
        <v>30611.89</v>
      </c>
      <c r="P4753">
        <v>0</v>
      </c>
      <c r="Q4753">
        <v>30611.89</v>
      </c>
      <c r="R4753">
        <v>4897.8999999999996</v>
      </c>
      <c r="S4753">
        <v>1224.48</v>
      </c>
      <c r="T4753">
        <v>34285.31</v>
      </c>
      <c r="U4753" t="s">
        <v>8491</v>
      </c>
      <c r="V4753" t="s">
        <v>9409</v>
      </c>
      <c r="W4753" t="s">
        <v>423</v>
      </c>
    </row>
    <row r="4754" spans="1:23" hidden="1" x14ac:dyDescent="0.2">
      <c r="A4754">
        <v>2012</v>
      </c>
      <c r="B4754" t="s">
        <v>304</v>
      </c>
      <c r="C4754" s="733">
        <v>40955</v>
      </c>
      <c r="D47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54" t="s">
        <v>505</v>
      </c>
      <c r="F4754" t="s">
        <v>1915</v>
      </c>
      <c r="G4754" t="s">
        <v>7563</v>
      </c>
      <c r="H4754">
        <v>22728</v>
      </c>
      <c r="I4754" t="s">
        <v>423</v>
      </c>
      <c r="J4754" t="s">
        <v>4153</v>
      </c>
      <c r="K4754" t="s">
        <v>1918</v>
      </c>
      <c r="L4754" t="s">
        <v>1919</v>
      </c>
      <c r="M4754">
        <v>850</v>
      </c>
      <c r="N4754">
        <v>50.09</v>
      </c>
      <c r="O4754">
        <v>31299.24</v>
      </c>
      <c r="P4754">
        <v>0</v>
      </c>
      <c r="Q4754">
        <v>31299.24</v>
      </c>
      <c r="R4754">
        <v>5007.88</v>
      </c>
      <c r="S4754">
        <v>1251.97</v>
      </c>
      <c r="T4754">
        <v>35055.15</v>
      </c>
      <c r="V4754" t="s">
        <v>9409</v>
      </c>
      <c r="W4754" t="s">
        <v>423</v>
      </c>
    </row>
    <row r="4755" spans="1:23" hidden="1" x14ac:dyDescent="0.2">
      <c r="A4755">
        <v>2012</v>
      </c>
      <c r="B4755" t="s">
        <v>303</v>
      </c>
      <c r="C4755" s="733">
        <v>40927.419548611113</v>
      </c>
      <c r="D47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55" t="s">
        <v>478</v>
      </c>
      <c r="F4755" t="s">
        <v>4128</v>
      </c>
      <c r="G4755" t="s">
        <v>6227</v>
      </c>
      <c r="H4755">
        <v>34719</v>
      </c>
      <c r="I4755" t="s">
        <v>423</v>
      </c>
      <c r="J4755" t="s">
        <v>4396</v>
      </c>
      <c r="K4755" t="s">
        <v>4397</v>
      </c>
      <c r="L4755" t="s">
        <v>4398</v>
      </c>
      <c r="M4755">
        <v>112</v>
      </c>
      <c r="N4755">
        <v>29.7</v>
      </c>
      <c r="O4755">
        <v>3352.24</v>
      </c>
      <c r="P4755">
        <v>0</v>
      </c>
      <c r="Q4755">
        <v>3352.24</v>
      </c>
      <c r="R4755">
        <v>536.36</v>
      </c>
      <c r="S4755">
        <v>134.09</v>
      </c>
      <c r="T4755">
        <v>3754.51</v>
      </c>
      <c r="U4755" t="s">
        <v>4404</v>
      </c>
      <c r="V4755" t="s">
        <v>9408</v>
      </c>
      <c r="W4755" t="s">
        <v>423</v>
      </c>
    </row>
    <row r="4756" spans="1:23" hidden="1" x14ac:dyDescent="0.2">
      <c r="A4756">
        <v>2012</v>
      </c>
      <c r="B4756" t="s">
        <v>304</v>
      </c>
      <c r="C4756" s="733">
        <v>40949</v>
      </c>
      <c r="D47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56" t="s">
        <v>505</v>
      </c>
      <c r="F4756" t="s">
        <v>1915</v>
      </c>
      <c r="G4756" t="s">
        <v>7156</v>
      </c>
      <c r="H4756">
        <v>22604</v>
      </c>
      <c r="I4756" t="s">
        <v>423</v>
      </c>
      <c r="J4756" t="s">
        <v>4153</v>
      </c>
      <c r="K4756" t="s">
        <v>1918</v>
      </c>
      <c r="L4756" t="s">
        <v>1919</v>
      </c>
      <c r="M4756">
        <v>850</v>
      </c>
      <c r="N4756">
        <v>50.04</v>
      </c>
      <c r="O4756">
        <v>31267.99</v>
      </c>
      <c r="P4756">
        <v>0</v>
      </c>
      <c r="Q4756">
        <v>31267.99</v>
      </c>
      <c r="R4756">
        <v>5002.88</v>
      </c>
      <c r="S4756">
        <v>1250.72</v>
      </c>
      <c r="T4756">
        <v>35020.15</v>
      </c>
      <c r="U4756" t="s">
        <v>7522</v>
      </c>
      <c r="V4756" t="s">
        <v>9409</v>
      </c>
      <c r="W4756" t="s">
        <v>423</v>
      </c>
    </row>
    <row r="4757" spans="1:23" hidden="1" x14ac:dyDescent="0.2">
      <c r="A4757">
        <v>2012</v>
      </c>
      <c r="B4757" t="s">
        <v>304</v>
      </c>
      <c r="C4757" s="733">
        <v>40941</v>
      </c>
      <c r="D47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57" t="s">
        <v>478</v>
      </c>
      <c r="F4757" t="s">
        <v>2136</v>
      </c>
      <c r="G4757" t="s">
        <v>7191</v>
      </c>
      <c r="H4757">
        <v>35179</v>
      </c>
      <c r="I4757" t="s">
        <v>423</v>
      </c>
      <c r="J4757" t="s">
        <v>4289</v>
      </c>
      <c r="K4757" t="s">
        <v>425</v>
      </c>
      <c r="L4757" t="s">
        <v>2145</v>
      </c>
      <c r="M4757">
        <v>775</v>
      </c>
      <c r="N4757">
        <v>47.25</v>
      </c>
      <c r="O4757">
        <v>18093.439999999999</v>
      </c>
      <c r="P4757">
        <v>0</v>
      </c>
      <c r="Q4757">
        <v>18093.439999999999</v>
      </c>
      <c r="R4757">
        <v>2894.95</v>
      </c>
      <c r="S4757">
        <v>723.74</v>
      </c>
      <c r="T4757">
        <v>20264.650000000001</v>
      </c>
      <c r="U4757" t="s">
        <v>2914</v>
      </c>
      <c r="V4757" t="s">
        <v>9409</v>
      </c>
      <c r="W4757" t="s">
        <v>423</v>
      </c>
    </row>
    <row r="4758" spans="1:23" hidden="1" x14ac:dyDescent="0.2">
      <c r="A4758">
        <v>2012</v>
      </c>
      <c r="B4758" t="s">
        <v>303</v>
      </c>
      <c r="C4758" s="733">
        <v>40912</v>
      </c>
      <c r="D47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58" t="s">
        <v>478</v>
      </c>
      <c r="F4758" t="s">
        <v>2136</v>
      </c>
      <c r="G4758" t="s">
        <v>7190</v>
      </c>
      <c r="H4758">
        <v>34128</v>
      </c>
      <c r="I4758" t="s">
        <v>423</v>
      </c>
      <c r="J4758" t="s">
        <v>4294</v>
      </c>
      <c r="K4758" t="s">
        <v>425</v>
      </c>
      <c r="L4758" t="s">
        <v>2145</v>
      </c>
      <c r="M4758">
        <v>1089</v>
      </c>
      <c r="N4758">
        <v>50.39</v>
      </c>
      <c r="O4758">
        <v>10708.88</v>
      </c>
      <c r="P4758">
        <v>12057.020903000001</v>
      </c>
      <c r="Q4758">
        <v>22765.900903000002</v>
      </c>
      <c r="R4758">
        <v>3642.5441449999998</v>
      </c>
      <c r="S4758">
        <v>910.63603599999999</v>
      </c>
      <c r="T4758">
        <v>25497.809012000002</v>
      </c>
      <c r="U4758" t="s">
        <v>3118</v>
      </c>
      <c r="V4758" t="s">
        <v>9409</v>
      </c>
      <c r="W4758" t="s">
        <v>423</v>
      </c>
    </row>
    <row r="4759" spans="1:23" hidden="1" x14ac:dyDescent="0.2">
      <c r="A4759">
        <v>2012</v>
      </c>
      <c r="B4759" t="s">
        <v>303</v>
      </c>
      <c r="C4759" s="733">
        <v>40928</v>
      </c>
      <c r="D47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59" t="s">
        <v>478</v>
      </c>
      <c r="F4759" t="s">
        <v>2136</v>
      </c>
      <c r="G4759" t="s">
        <v>7189</v>
      </c>
      <c r="H4759">
        <v>34696</v>
      </c>
      <c r="I4759" t="s">
        <v>423</v>
      </c>
      <c r="J4759" t="s">
        <v>4294</v>
      </c>
      <c r="K4759" t="s">
        <v>425</v>
      </c>
      <c r="L4759" t="s">
        <v>2145</v>
      </c>
      <c r="M4759">
        <v>1089</v>
      </c>
      <c r="N4759">
        <v>53.01</v>
      </c>
      <c r="O4759">
        <v>26757.86</v>
      </c>
      <c r="P4759">
        <v>0</v>
      </c>
      <c r="Q4759">
        <v>26757.86</v>
      </c>
      <c r="R4759">
        <v>4281.26</v>
      </c>
      <c r="S4759">
        <v>1070.31</v>
      </c>
      <c r="T4759">
        <v>29968.81</v>
      </c>
      <c r="U4759" t="s">
        <v>3234</v>
      </c>
      <c r="V4759" t="s">
        <v>9409</v>
      </c>
      <c r="W4759" t="s">
        <v>423</v>
      </c>
    </row>
    <row r="4760" spans="1:23" hidden="1" x14ac:dyDescent="0.2">
      <c r="A4760">
        <v>2012</v>
      </c>
      <c r="B4760" t="s">
        <v>303</v>
      </c>
      <c r="C4760" s="733">
        <v>40912</v>
      </c>
      <c r="D47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60" t="s">
        <v>485</v>
      </c>
      <c r="F4760" t="s">
        <v>2084</v>
      </c>
      <c r="G4760" t="s">
        <v>6156</v>
      </c>
      <c r="H4760">
        <v>39678</v>
      </c>
      <c r="I4760" t="s">
        <v>423</v>
      </c>
      <c r="J4760" t="s">
        <v>3355</v>
      </c>
      <c r="K4760" t="s">
        <v>2814</v>
      </c>
      <c r="L4760" t="s">
        <v>2815</v>
      </c>
      <c r="M4760">
        <v>417</v>
      </c>
      <c r="N4760">
        <v>23.83</v>
      </c>
      <c r="O4760">
        <v>2783.82</v>
      </c>
      <c r="P4760">
        <v>3134.2750999999998</v>
      </c>
      <c r="Q4760">
        <v>5918.0950999999995</v>
      </c>
      <c r="R4760">
        <v>946.895216</v>
      </c>
      <c r="S4760">
        <v>236.723804</v>
      </c>
      <c r="T4760">
        <v>6628.2665120000001</v>
      </c>
      <c r="U4760" t="s">
        <v>2846</v>
      </c>
      <c r="V4760" t="s">
        <v>9408</v>
      </c>
      <c r="W4760" t="s">
        <v>423</v>
      </c>
    </row>
    <row r="4761" spans="1:23" hidden="1" x14ac:dyDescent="0.2">
      <c r="A4761">
        <v>2012</v>
      </c>
      <c r="B4761" t="s">
        <v>303</v>
      </c>
      <c r="C4761" s="733">
        <v>40931</v>
      </c>
      <c r="D47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61" t="s">
        <v>485</v>
      </c>
      <c r="F4761" t="s">
        <v>3450</v>
      </c>
      <c r="G4761" t="s">
        <v>6230</v>
      </c>
      <c r="H4761">
        <v>40161</v>
      </c>
      <c r="I4761" t="s">
        <v>423</v>
      </c>
      <c r="J4761" t="s">
        <v>3952</v>
      </c>
      <c r="K4761" t="s">
        <v>3953</v>
      </c>
      <c r="L4761" t="s">
        <v>3454</v>
      </c>
      <c r="M4761">
        <v>54</v>
      </c>
      <c r="N4761">
        <v>26.52</v>
      </c>
      <c r="O4761">
        <v>2993.31</v>
      </c>
      <c r="P4761">
        <v>0</v>
      </c>
      <c r="Q4761">
        <v>2993.31</v>
      </c>
      <c r="R4761">
        <v>478.93</v>
      </c>
      <c r="S4761">
        <v>119.73</v>
      </c>
      <c r="T4761">
        <v>3352.51</v>
      </c>
      <c r="U4761" t="s">
        <v>3459</v>
      </c>
      <c r="V4761" t="s">
        <v>9408</v>
      </c>
      <c r="W4761" t="s">
        <v>423</v>
      </c>
    </row>
    <row r="4762" spans="1:23" hidden="1" x14ac:dyDescent="0.2">
      <c r="A4762">
        <v>2012</v>
      </c>
      <c r="B4762" t="s">
        <v>304</v>
      </c>
      <c r="C4762" s="733">
        <v>40953</v>
      </c>
      <c r="D47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62" t="s">
        <v>485</v>
      </c>
      <c r="F4762" t="s">
        <v>3450</v>
      </c>
      <c r="G4762" t="s">
        <v>6229</v>
      </c>
      <c r="H4762">
        <v>41673</v>
      </c>
      <c r="I4762" t="s">
        <v>423</v>
      </c>
      <c r="J4762" t="s">
        <v>3952</v>
      </c>
      <c r="K4762" t="s">
        <v>3953</v>
      </c>
      <c r="L4762" t="s">
        <v>3454</v>
      </c>
      <c r="M4762">
        <v>54</v>
      </c>
      <c r="N4762">
        <v>29.57</v>
      </c>
      <c r="O4762">
        <v>3337.57</v>
      </c>
      <c r="P4762">
        <v>0</v>
      </c>
      <c r="Q4762">
        <v>3337.57</v>
      </c>
      <c r="R4762">
        <v>534.01</v>
      </c>
      <c r="S4762">
        <v>133.5</v>
      </c>
      <c r="T4762">
        <v>3738.08</v>
      </c>
      <c r="U4762" t="s">
        <v>7533</v>
      </c>
      <c r="V4762" t="s">
        <v>9408</v>
      </c>
      <c r="W4762" t="s">
        <v>423</v>
      </c>
    </row>
    <row r="4763" spans="1:23" hidden="1" x14ac:dyDescent="0.2">
      <c r="A4763">
        <v>2012</v>
      </c>
      <c r="B4763" t="s">
        <v>303</v>
      </c>
      <c r="C4763" s="733">
        <v>40939</v>
      </c>
      <c r="D47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63" t="s">
        <v>478</v>
      </c>
      <c r="F4763" t="s">
        <v>2136</v>
      </c>
      <c r="G4763" t="s">
        <v>7196</v>
      </c>
      <c r="H4763">
        <v>35090</v>
      </c>
      <c r="I4763" t="s">
        <v>423</v>
      </c>
      <c r="J4763" t="s">
        <v>4289</v>
      </c>
      <c r="K4763" t="s">
        <v>425</v>
      </c>
      <c r="L4763" t="s">
        <v>2145</v>
      </c>
      <c r="M4763">
        <v>775</v>
      </c>
      <c r="N4763">
        <v>24.61</v>
      </c>
      <c r="O4763">
        <v>9423.91</v>
      </c>
      <c r="P4763">
        <v>0</v>
      </c>
      <c r="Q4763">
        <v>9423.91</v>
      </c>
      <c r="R4763">
        <v>1507.83</v>
      </c>
      <c r="S4763">
        <v>376.96</v>
      </c>
      <c r="T4763">
        <v>10554.78</v>
      </c>
      <c r="U4763" t="s">
        <v>2580</v>
      </c>
      <c r="V4763" t="s">
        <v>9408</v>
      </c>
      <c r="W4763" t="s">
        <v>423</v>
      </c>
    </row>
    <row r="4764" spans="1:23" hidden="1" x14ac:dyDescent="0.2">
      <c r="A4764">
        <v>2012</v>
      </c>
      <c r="B4764" t="s">
        <v>303</v>
      </c>
      <c r="C4764" s="733">
        <v>40914</v>
      </c>
      <c r="D47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64" t="s">
        <v>478</v>
      </c>
      <c r="F4764" t="s">
        <v>2136</v>
      </c>
      <c r="G4764" t="s">
        <v>7188</v>
      </c>
      <c r="H4764">
        <v>34260</v>
      </c>
      <c r="I4764" t="s">
        <v>423</v>
      </c>
      <c r="J4764" t="s">
        <v>4294</v>
      </c>
      <c r="K4764" t="s">
        <v>425</v>
      </c>
      <c r="L4764" t="s">
        <v>2145</v>
      </c>
      <c r="M4764">
        <v>1089</v>
      </c>
      <c r="N4764">
        <v>49.72</v>
      </c>
      <c r="O4764">
        <v>25097.16</v>
      </c>
      <c r="P4764">
        <v>0</v>
      </c>
      <c r="Q4764">
        <v>25097.16</v>
      </c>
      <c r="R4764">
        <v>4015.55</v>
      </c>
      <c r="S4764">
        <v>1003.89</v>
      </c>
      <c r="T4764">
        <v>28108.82</v>
      </c>
      <c r="U4764" t="s">
        <v>2350</v>
      </c>
      <c r="V4764" t="s">
        <v>9409</v>
      </c>
      <c r="W4764" t="s">
        <v>423</v>
      </c>
    </row>
    <row r="4765" spans="1:23" hidden="1" x14ac:dyDescent="0.2">
      <c r="A4765">
        <v>2012</v>
      </c>
      <c r="B4765" t="s">
        <v>304</v>
      </c>
      <c r="C4765" s="733">
        <v>40941</v>
      </c>
      <c r="D47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65" t="s">
        <v>478</v>
      </c>
      <c r="F4765" t="s">
        <v>2136</v>
      </c>
      <c r="G4765" t="s">
        <v>7187</v>
      </c>
      <c r="H4765">
        <v>35180</v>
      </c>
      <c r="I4765" t="s">
        <v>423</v>
      </c>
      <c r="J4765" t="s">
        <v>4294</v>
      </c>
      <c r="K4765" t="s">
        <v>425</v>
      </c>
      <c r="L4765" t="s">
        <v>2145</v>
      </c>
      <c r="M4765">
        <v>1089</v>
      </c>
      <c r="N4765">
        <v>42.29</v>
      </c>
      <c r="O4765">
        <v>21346.720000000001</v>
      </c>
      <c r="P4765">
        <v>0</v>
      </c>
      <c r="Q4765">
        <v>21346.720000000001</v>
      </c>
      <c r="R4765">
        <v>3415.48</v>
      </c>
      <c r="S4765">
        <v>853.87</v>
      </c>
      <c r="T4765">
        <v>23908.33</v>
      </c>
      <c r="U4765" t="s">
        <v>2914</v>
      </c>
      <c r="V4765" t="s">
        <v>9409</v>
      </c>
      <c r="W4765" t="s">
        <v>423</v>
      </c>
    </row>
    <row r="4766" spans="1:23" hidden="1" x14ac:dyDescent="0.2">
      <c r="A4766">
        <v>2012</v>
      </c>
      <c r="B4766" t="s">
        <v>304</v>
      </c>
      <c r="C4766" s="733">
        <v>40963</v>
      </c>
      <c r="D47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66" t="s">
        <v>485</v>
      </c>
      <c r="F4766" t="s">
        <v>2065</v>
      </c>
      <c r="G4766" t="s">
        <v>8553</v>
      </c>
      <c r="H4766">
        <v>42436</v>
      </c>
      <c r="I4766" t="s">
        <v>423</v>
      </c>
      <c r="J4766" t="s">
        <v>4533</v>
      </c>
      <c r="K4766" t="s">
        <v>2183</v>
      </c>
      <c r="L4766" t="s">
        <v>2184</v>
      </c>
      <c r="M4766">
        <v>253</v>
      </c>
      <c r="N4766">
        <v>53.2</v>
      </c>
      <c r="O4766">
        <v>11175.19</v>
      </c>
      <c r="P4766">
        <v>0</v>
      </c>
      <c r="Q4766">
        <v>11175.19</v>
      </c>
      <c r="R4766">
        <v>1788.03</v>
      </c>
      <c r="S4766">
        <v>447.01</v>
      </c>
      <c r="T4766">
        <v>12516.21</v>
      </c>
      <c r="U4766" t="s">
        <v>9411</v>
      </c>
      <c r="V4766" t="s">
        <v>9409</v>
      </c>
      <c r="W4766" t="s">
        <v>423</v>
      </c>
    </row>
    <row r="4767" spans="1:23" hidden="1" x14ac:dyDescent="0.2">
      <c r="A4767">
        <v>2012</v>
      </c>
      <c r="B4767" t="s">
        <v>304</v>
      </c>
      <c r="C4767" s="733">
        <v>40968</v>
      </c>
      <c r="D47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67" t="s">
        <v>505</v>
      </c>
      <c r="F4767" t="s">
        <v>1915</v>
      </c>
      <c r="G4767" t="s">
        <v>9593</v>
      </c>
      <c r="H4767">
        <v>23061</v>
      </c>
      <c r="I4767" t="s">
        <v>423</v>
      </c>
      <c r="J4767" t="s">
        <v>4153</v>
      </c>
      <c r="K4767" t="s">
        <v>1918</v>
      </c>
      <c r="L4767" t="s">
        <v>1919</v>
      </c>
      <c r="M4767">
        <v>850</v>
      </c>
      <c r="N4767">
        <v>49.98</v>
      </c>
      <c r="O4767">
        <v>31230.5</v>
      </c>
      <c r="P4767">
        <v>0</v>
      </c>
      <c r="Q4767">
        <v>31230.5</v>
      </c>
      <c r="R4767">
        <v>4996.88</v>
      </c>
      <c r="S4767">
        <v>1249.22</v>
      </c>
      <c r="T4767">
        <v>34978.160000000003</v>
      </c>
      <c r="V4767" t="s">
        <v>9409</v>
      </c>
      <c r="W4767" t="s">
        <v>423</v>
      </c>
    </row>
    <row r="4768" spans="1:23" hidden="1" x14ac:dyDescent="0.2">
      <c r="A4768">
        <v>2012</v>
      </c>
      <c r="B4768" t="s">
        <v>303</v>
      </c>
      <c r="C4768" s="733">
        <v>40915</v>
      </c>
      <c r="D47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68" t="s">
        <v>505</v>
      </c>
      <c r="F4768" t="s">
        <v>1915</v>
      </c>
      <c r="G4768" t="s">
        <v>4160</v>
      </c>
      <c r="H4768">
        <v>21817</v>
      </c>
      <c r="I4768" t="s">
        <v>423</v>
      </c>
      <c r="J4768" t="s">
        <v>4153</v>
      </c>
      <c r="K4768" t="s">
        <v>1918</v>
      </c>
      <c r="L4768" t="s">
        <v>1919</v>
      </c>
      <c r="M4768">
        <v>850</v>
      </c>
      <c r="N4768">
        <v>24.98</v>
      </c>
      <c r="O4768">
        <v>6571.72</v>
      </c>
      <c r="P4768">
        <v>7399.0338309999997</v>
      </c>
      <c r="Q4768">
        <v>13970.753831</v>
      </c>
      <c r="R4768">
        <v>2235.3206129999999</v>
      </c>
      <c r="S4768">
        <v>558.830153</v>
      </c>
      <c r="T4768">
        <v>15647.244291000001</v>
      </c>
      <c r="U4768" t="s">
        <v>1931</v>
      </c>
      <c r="V4768" t="s">
        <v>9408</v>
      </c>
      <c r="W4768" t="s">
        <v>423</v>
      </c>
    </row>
    <row r="4769" spans="1:23" hidden="1" x14ac:dyDescent="0.2">
      <c r="A4769">
        <v>2012</v>
      </c>
      <c r="B4769" t="s">
        <v>303</v>
      </c>
      <c r="C4769" s="733">
        <v>40929</v>
      </c>
      <c r="D47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69" t="s">
        <v>478</v>
      </c>
      <c r="F4769" t="s">
        <v>2136</v>
      </c>
      <c r="G4769" t="s">
        <v>4293</v>
      </c>
      <c r="H4769">
        <v>34789</v>
      </c>
      <c r="I4769" t="s">
        <v>423</v>
      </c>
      <c r="J4769" t="s">
        <v>4294</v>
      </c>
      <c r="K4769" t="s">
        <v>425</v>
      </c>
      <c r="L4769" t="s">
        <v>2145</v>
      </c>
      <c r="M4769">
        <v>1089</v>
      </c>
      <c r="N4769">
        <v>52.7</v>
      </c>
      <c r="O4769">
        <v>26601.38</v>
      </c>
      <c r="P4769">
        <v>0</v>
      </c>
      <c r="Q4769">
        <v>26601.38</v>
      </c>
      <c r="R4769">
        <v>4256.22</v>
      </c>
      <c r="S4769">
        <v>1064.06</v>
      </c>
      <c r="T4769">
        <v>29793.54</v>
      </c>
      <c r="U4769" t="s">
        <v>3234</v>
      </c>
      <c r="V4769" t="s">
        <v>9409</v>
      </c>
      <c r="W4769" t="s">
        <v>423</v>
      </c>
    </row>
    <row r="4770" spans="1:23" hidden="1" x14ac:dyDescent="0.2">
      <c r="A4770">
        <v>2012</v>
      </c>
      <c r="B4770" t="s">
        <v>304</v>
      </c>
      <c r="C4770" s="733">
        <v>40967</v>
      </c>
      <c r="D47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70" t="s">
        <v>478</v>
      </c>
      <c r="F4770" t="s">
        <v>2136</v>
      </c>
      <c r="G4770" t="s">
        <v>9302</v>
      </c>
      <c r="H4770">
        <v>36063</v>
      </c>
      <c r="I4770" t="s">
        <v>423</v>
      </c>
      <c r="J4770" t="s">
        <v>4294</v>
      </c>
      <c r="K4770" t="s">
        <v>425</v>
      </c>
      <c r="L4770" t="s">
        <v>2145</v>
      </c>
      <c r="M4770">
        <v>1089</v>
      </c>
      <c r="N4770">
        <v>44.6</v>
      </c>
      <c r="O4770">
        <v>22512.74</v>
      </c>
      <c r="P4770">
        <v>0</v>
      </c>
      <c r="Q4770">
        <v>22512.74</v>
      </c>
      <c r="R4770">
        <v>3602.04</v>
      </c>
      <c r="S4770">
        <v>900.51</v>
      </c>
      <c r="T4770">
        <v>25214.27</v>
      </c>
      <c r="U4770" t="s">
        <v>9430</v>
      </c>
      <c r="V4770" t="s">
        <v>9409</v>
      </c>
      <c r="W4770" t="s">
        <v>423</v>
      </c>
    </row>
    <row r="4771" spans="1:23" hidden="1" x14ac:dyDescent="0.2">
      <c r="A4771">
        <v>2012</v>
      </c>
      <c r="B4771" t="s">
        <v>303</v>
      </c>
      <c r="C4771" s="733">
        <v>40926</v>
      </c>
      <c r="D47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71" t="s">
        <v>485</v>
      </c>
      <c r="F4771" t="s">
        <v>2065</v>
      </c>
      <c r="G4771" t="s">
        <v>3777</v>
      </c>
      <c r="H4771">
        <v>40317</v>
      </c>
      <c r="I4771" t="s">
        <v>423</v>
      </c>
      <c r="J4771" t="s">
        <v>3355</v>
      </c>
      <c r="K4771" t="s">
        <v>2814</v>
      </c>
      <c r="L4771" t="s">
        <v>2815</v>
      </c>
      <c r="M4771">
        <v>417</v>
      </c>
      <c r="N4771">
        <v>23.677</v>
      </c>
      <c r="O4771">
        <v>6569.66</v>
      </c>
      <c r="P4771">
        <v>0</v>
      </c>
      <c r="Q4771">
        <v>6569.66</v>
      </c>
      <c r="R4771">
        <v>1051.1500000000001</v>
      </c>
      <c r="S4771">
        <v>262.79000000000002</v>
      </c>
      <c r="T4771">
        <v>7358.02</v>
      </c>
      <c r="U4771" t="s">
        <v>2824</v>
      </c>
      <c r="V4771" t="s">
        <v>9408</v>
      </c>
      <c r="W4771" t="s">
        <v>423</v>
      </c>
    </row>
    <row r="4772" spans="1:23" hidden="1" x14ac:dyDescent="0.2">
      <c r="A4772">
        <v>2012</v>
      </c>
      <c r="B4772" t="s">
        <v>303</v>
      </c>
      <c r="C4772" s="733">
        <v>40932</v>
      </c>
      <c r="D47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72" t="s">
        <v>485</v>
      </c>
      <c r="F4772" t="s">
        <v>2084</v>
      </c>
      <c r="G4772" t="s">
        <v>3778</v>
      </c>
      <c r="H4772">
        <v>40554</v>
      </c>
      <c r="I4772" t="s">
        <v>423</v>
      </c>
      <c r="J4772" t="s">
        <v>3355</v>
      </c>
      <c r="K4772" t="s">
        <v>2814</v>
      </c>
      <c r="L4772" t="s">
        <v>2815</v>
      </c>
      <c r="M4772">
        <v>417</v>
      </c>
      <c r="N4772">
        <v>23.861000000000001</v>
      </c>
      <c r="O4772">
        <v>6620.71</v>
      </c>
      <c r="P4772">
        <v>0</v>
      </c>
      <c r="Q4772">
        <v>6620.71</v>
      </c>
      <c r="R4772">
        <v>1059.31</v>
      </c>
      <c r="S4772">
        <v>264.83</v>
      </c>
      <c r="T4772">
        <v>7415.19</v>
      </c>
      <c r="U4772" t="s">
        <v>2826</v>
      </c>
      <c r="V4772" t="s">
        <v>9408</v>
      </c>
      <c r="W4772" t="s">
        <v>423</v>
      </c>
    </row>
    <row r="4773" spans="1:23" hidden="1" x14ac:dyDescent="0.2">
      <c r="A4773">
        <v>2012</v>
      </c>
      <c r="B4773" t="s">
        <v>304</v>
      </c>
      <c r="C4773" s="733">
        <v>40961</v>
      </c>
      <c r="D47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73" t="s">
        <v>485</v>
      </c>
      <c r="F4773" t="s">
        <v>3450</v>
      </c>
      <c r="G4773" t="s">
        <v>8443</v>
      </c>
      <c r="H4773">
        <v>41943</v>
      </c>
      <c r="I4773" t="s">
        <v>423</v>
      </c>
      <c r="J4773" t="s">
        <v>3952</v>
      </c>
      <c r="K4773" t="s">
        <v>3953</v>
      </c>
      <c r="L4773" t="s">
        <v>3454</v>
      </c>
      <c r="M4773">
        <v>54</v>
      </c>
      <c r="N4773">
        <v>26.16</v>
      </c>
      <c r="O4773">
        <v>2952.68</v>
      </c>
      <c r="P4773">
        <v>0</v>
      </c>
      <c r="Q4773">
        <v>2952.68</v>
      </c>
      <c r="R4773">
        <v>472.43</v>
      </c>
      <c r="S4773">
        <v>118.11</v>
      </c>
      <c r="T4773">
        <v>3307</v>
      </c>
      <c r="U4773" t="s">
        <v>8991</v>
      </c>
      <c r="V4773" t="s">
        <v>9408</v>
      </c>
      <c r="W4773" t="s">
        <v>423</v>
      </c>
    </row>
    <row r="4774" spans="1:23" hidden="1" x14ac:dyDescent="0.2">
      <c r="A4774">
        <v>2012</v>
      </c>
      <c r="B4774" t="s">
        <v>303</v>
      </c>
      <c r="C4774" s="733">
        <v>40931</v>
      </c>
      <c r="D47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74" t="s">
        <v>485</v>
      </c>
      <c r="F4774" t="s">
        <v>3450</v>
      </c>
      <c r="G4774" t="s">
        <v>3951</v>
      </c>
      <c r="H4774">
        <v>39848</v>
      </c>
      <c r="I4774" t="s">
        <v>423</v>
      </c>
      <c r="J4774" t="s">
        <v>3952</v>
      </c>
      <c r="K4774" t="s">
        <v>3953</v>
      </c>
      <c r="L4774" t="s">
        <v>3454</v>
      </c>
      <c r="M4774">
        <v>54</v>
      </c>
      <c r="N4774">
        <v>26.24</v>
      </c>
      <c r="O4774">
        <v>2961.71</v>
      </c>
      <c r="P4774">
        <v>0</v>
      </c>
      <c r="Q4774">
        <v>2961.71</v>
      </c>
      <c r="R4774">
        <v>473.87</v>
      </c>
      <c r="S4774">
        <v>118.47</v>
      </c>
      <c r="T4774">
        <v>3317.11</v>
      </c>
      <c r="U4774" t="s">
        <v>3459</v>
      </c>
      <c r="V4774" t="s">
        <v>9408</v>
      </c>
      <c r="W4774" t="s">
        <v>423</v>
      </c>
    </row>
    <row r="4775" spans="1:23" hidden="1" x14ac:dyDescent="0.2">
      <c r="A4775">
        <v>2012</v>
      </c>
      <c r="B4775" t="s">
        <v>303</v>
      </c>
      <c r="C4775" s="733">
        <v>40914.643877314818</v>
      </c>
      <c r="D47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75" t="s">
        <v>478</v>
      </c>
      <c r="F4775" t="s">
        <v>2136</v>
      </c>
      <c r="G4775" t="s">
        <v>4627</v>
      </c>
      <c r="H4775">
        <v>34217</v>
      </c>
      <c r="I4775" t="s">
        <v>423</v>
      </c>
      <c r="J4775" t="s">
        <v>4289</v>
      </c>
      <c r="K4775" t="s">
        <v>425</v>
      </c>
      <c r="L4775" t="s">
        <v>2145</v>
      </c>
      <c r="M4775">
        <v>775</v>
      </c>
      <c r="N4775">
        <v>25.77</v>
      </c>
      <c r="O4775">
        <v>9868.11</v>
      </c>
      <c r="P4775">
        <v>0</v>
      </c>
      <c r="Q4775">
        <v>9868.11</v>
      </c>
      <c r="R4775">
        <v>1578.9</v>
      </c>
      <c r="S4775">
        <v>394.72</v>
      </c>
      <c r="T4775">
        <v>11052.29</v>
      </c>
      <c r="U4775" t="s">
        <v>4628</v>
      </c>
      <c r="V4775" t="s">
        <v>9409</v>
      </c>
      <c r="W4775" t="s">
        <v>423</v>
      </c>
    </row>
    <row r="4776" spans="1:23" hidden="1" x14ac:dyDescent="0.2">
      <c r="A4776">
        <v>2012</v>
      </c>
      <c r="B4776" t="s">
        <v>303</v>
      </c>
      <c r="C4776" s="733">
        <v>40928</v>
      </c>
      <c r="D47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76" t="s">
        <v>478</v>
      </c>
      <c r="F4776" t="s">
        <v>2136</v>
      </c>
      <c r="G4776" t="s">
        <v>4621</v>
      </c>
      <c r="H4776">
        <v>34720</v>
      </c>
      <c r="I4776" t="s">
        <v>423</v>
      </c>
      <c r="J4776" t="s">
        <v>4289</v>
      </c>
      <c r="K4776" t="s">
        <v>425</v>
      </c>
      <c r="L4776" t="s">
        <v>2145</v>
      </c>
      <c r="M4776">
        <v>775</v>
      </c>
      <c r="N4776">
        <v>49.04</v>
      </c>
      <c r="O4776">
        <v>18778.89</v>
      </c>
      <c r="P4776">
        <v>0</v>
      </c>
      <c r="Q4776">
        <v>18778.89</v>
      </c>
      <c r="R4776">
        <v>3004.62</v>
      </c>
      <c r="S4776">
        <v>751.16</v>
      </c>
      <c r="T4776">
        <v>21032.35</v>
      </c>
      <c r="U4776" t="s">
        <v>3234</v>
      </c>
      <c r="V4776" t="s">
        <v>9409</v>
      </c>
      <c r="W4776" t="s">
        <v>423</v>
      </c>
    </row>
    <row r="4777" spans="1:23" hidden="1" x14ac:dyDescent="0.2">
      <c r="A4777">
        <v>2012</v>
      </c>
      <c r="B4777" t="s">
        <v>304</v>
      </c>
      <c r="C4777" s="733">
        <v>40956</v>
      </c>
      <c r="D47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77" t="s">
        <v>478</v>
      </c>
      <c r="F4777" t="s">
        <v>2622</v>
      </c>
      <c r="G4777" t="s">
        <v>7968</v>
      </c>
      <c r="H4777">
        <v>35781</v>
      </c>
      <c r="I4777" t="s">
        <v>423</v>
      </c>
      <c r="J4777" t="s">
        <v>4396</v>
      </c>
      <c r="K4777" t="s">
        <v>4397</v>
      </c>
      <c r="L4777" t="s">
        <v>4398</v>
      </c>
      <c r="M4777">
        <v>112</v>
      </c>
      <c r="N4777">
        <v>24.66</v>
      </c>
      <c r="O4777">
        <v>2783.37</v>
      </c>
      <c r="P4777">
        <v>0</v>
      </c>
      <c r="Q4777">
        <v>2783.37</v>
      </c>
      <c r="R4777">
        <v>445.34</v>
      </c>
      <c r="S4777">
        <v>111.33</v>
      </c>
      <c r="T4777">
        <v>3117.38</v>
      </c>
      <c r="U4777" t="s">
        <v>8384</v>
      </c>
      <c r="V4777" t="s">
        <v>9408</v>
      </c>
      <c r="W4777" t="s">
        <v>423</v>
      </c>
    </row>
    <row r="4778" spans="1:23" hidden="1" x14ac:dyDescent="0.2">
      <c r="A4778">
        <v>2012</v>
      </c>
      <c r="B4778" t="s">
        <v>304</v>
      </c>
      <c r="C4778" s="733">
        <v>40954</v>
      </c>
      <c r="D47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78" t="s">
        <v>505</v>
      </c>
      <c r="F4778" t="s">
        <v>1915</v>
      </c>
      <c r="G4778" t="s">
        <v>7486</v>
      </c>
      <c r="H4778">
        <v>20512</v>
      </c>
      <c r="I4778" t="s">
        <v>1979</v>
      </c>
      <c r="J4778" t="s">
        <v>7487</v>
      </c>
      <c r="K4778" t="s">
        <v>1918</v>
      </c>
      <c r="L4778" t="s">
        <v>1919</v>
      </c>
      <c r="M4778">
        <v>1955</v>
      </c>
      <c r="N4778">
        <v>54.31</v>
      </c>
      <c r="O4778">
        <v>63293.42</v>
      </c>
      <c r="P4778">
        <v>0</v>
      </c>
      <c r="Q4778">
        <v>63293.42</v>
      </c>
      <c r="R4778">
        <v>10126.950000000001</v>
      </c>
      <c r="S4778">
        <v>2531.7399999999998</v>
      </c>
      <c r="T4778">
        <v>70888.63</v>
      </c>
      <c r="V4778" t="s">
        <v>9409</v>
      </c>
      <c r="W4778" t="s">
        <v>1979</v>
      </c>
    </row>
    <row r="4779" spans="1:23" hidden="1" x14ac:dyDescent="0.2">
      <c r="A4779">
        <v>2012</v>
      </c>
      <c r="B4779" t="s">
        <v>303</v>
      </c>
      <c r="C4779" s="733">
        <v>40917</v>
      </c>
      <c r="D47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79" t="s">
        <v>478</v>
      </c>
      <c r="F4779" t="s">
        <v>2136</v>
      </c>
      <c r="G4779" t="s">
        <v>4272</v>
      </c>
      <c r="H4779">
        <v>34274</v>
      </c>
      <c r="I4779" t="s">
        <v>423</v>
      </c>
      <c r="J4779" t="s">
        <v>4273</v>
      </c>
      <c r="K4779" t="s">
        <v>425</v>
      </c>
      <c r="L4779" t="s">
        <v>2145</v>
      </c>
      <c r="M4779">
        <v>797</v>
      </c>
      <c r="N4779">
        <v>28.43</v>
      </c>
      <c r="O4779">
        <v>10886.7</v>
      </c>
      <c r="P4779">
        <v>0</v>
      </c>
      <c r="Q4779">
        <v>10886.7</v>
      </c>
      <c r="R4779">
        <v>1741.87</v>
      </c>
      <c r="S4779">
        <v>435.47</v>
      </c>
      <c r="T4779">
        <v>12193.1</v>
      </c>
      <c r="U4779" t="s">
        <v>2927</v>
      </c>
      <c r="V4779" t="s">
        <v>9408</v>
      </c>
      <c r="W4779" t="s">
        <v>423</v>
      </c>
    </row>
    <row r="4780" spans="1:23" x14ac:dyDescent="0.2">
      <c r="A4780">
        <v>2012</v>
      </c>
      <c r="B4780" t="s">
        <v>304</v>
      </c>
      <c r="C4780" s="733">
        <v>40968</v>
      </c>
      <c r="D47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80" t="s">
        <v>485</v>
      </c>
      <c r="F4780" t="s">
        <v>3450</v>
      </c>
      <c r="G4780" t="s">
        <v>9587</v>
      </c>
      <c r="H4780">
        <v>42481</v>
      </c>
      <c r="I4780" t="s">
        <v>423</v>
      </c>
      <c r="J4780" t="s">
        <v>3452</v>
      </c>
      <c r="K4780" t="s">
        <v>3453</v>
      </c>
      <c r="L4780" t="s">
        <v>3454</v>
      </c>
      <c r="M4780">
        <v>19</v>
      </c>
      <c r="N4780">
        <v>26.31</v>
      </c>
      <c r="O4780">
        <v>2969.61</v>
      </c>
      <c r="P4780">
        <v>0</v>
      </c>
      <c r="Q4780">
        <v>2969.61</v>
      </c>
      <c r="R4780">
        <v>475.14</v>
      </c>
      <c r="S4780">
        <v>118.78</v>
      </c>
      <c r="T4780">
        <v>3325.97</v>
      </c>
      <c r="V4780" t="s">
        <v>9408</v>
      </c>
      <c r="W4780" t="s">
        <v>423</v>
      </c>
    </row>
    <row r="4781" spans="1:23" hidden="1" x14ac:dyDescent="0.2">
      <c r="A4781">
        <v>2012</v>
      </c>
      <c r="B4781" t="s">
        <v>304</v>
      </c>
      <c r="C4781" s="733">
        <v>40960</v>
      </c>
      <c r="D47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81" t="s">
        <v>485</v>
      </c>
      <c r="F4781" t="s">
        <v>3450</v>
      </c>
      <c r="G4781" t="s">
        <v>8418</v>
      </c>
      <c r="H4781">
        <v>42078</v>
      </c>
      <c r="I4781" t="s">
        <v>423</v>
      </c>
      <c r="J4781" t="s">
        <v>3452</v>
      </c>
      <c r="K4781" t="s">
        <v>3453</v>
      </c>
      <c r="L4781" t="s">
        <v>3454</v>
      </c>
      <c r="M4781">
        <v>19</v>
      </c>
      <c r="N4781">
        <v>26.09</v>
      </c>
      <c r="O4781">
        <v>2944.78</v>
      </c>
      <c r="P4781">
        <v>0</v>
      </c>
      <c r="Q4781">
        <v>2944.78</v>
      </c>
      <c r="R4781">
        <v>471.16</v>
      </c>
      <c r="S4781">
        <v>117.79</v>
      </c>
      <c r="T4781">
        <v>3298.15</v>
      </c>
      <c r="V4781" t="s">
        <v>9408</v>
      </c>
      <c r="W4781" t="s">
        <v>423</v>
      </c>
    </row>
    <row r="4782" spans="1:23" x14ac:dyDescent="0.2">
      <c r="A4782">
        <v>2012</v>
      </c>
      <c r="B4782" t="s">
        <v>304</v>
      </c>
      <c r="C4782" s="733">
        <v>40968</v>
      </c>
      <c r="D47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82" t="s">
        <v>485</v>
      </c>
      <c r="F4782" t="s">
        <v>3450</v>
      </c>
      <c r="G4782" t="s">
        <v>9588</v>
      </c>
      <c r="H4782">
        <v>42530</v>
      </c>
      <c r="I4782" t="s">
        <v>423</v>
      </c>
      <c r="J4782" t="s">
        <v>3452</v>
      </c>
      <c r="K4782" t="s">
        <v>3453</v>
      </c>
      <c r="L4782" t="s">
        <v>3454</v>
      </c>
      <c r="M4782">
        <v>19</v>
      </c>
      <c r="N4782">
        <v>26.99</v>
      </c>
      <c r="O4782">
        <v>3046.36</v>
      </c>
      <c r="P4782">
        <v>0</v>
      </c>
      <c r="Q4782">
        <v>3046.36</v>
      </c>
      <c r="R4782">
        <v>487.42</v>
      </c>
      <c r="S4782">
        <v>121.85</v>
      </c>
      <c r="T4782">
        <v>3411.93</v>
      </c>
      <c r="V4782" t="s">
        <v>9408</v>
      </c>
      <c r="W4782" t="s">
        <v>423</v>
      </c>
    </row>
    <row r="4783" spans="1:23" hidden="1" x14ac:dyDescent="0.2">
      <c r="A4783">
        <v>2012</v>
      </c>
      <c r="B4783" t="s">
        <v>303</v>
      </c>
      <c r="C4783" s="733">
        <v>40921</v>
      </c>
      <c r="D47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83" t="s">
        <v>478</v>
      </c>
      <c r="F4783" t="s">
        <v>2136</v>
      </c>
      <c r="G4783" t="s">
        <v>4278</v>
      </c>
      <c r="H4783">
        <v>34437</v>
      </c>
      <c r="I4783" t="s">
        <v>423</v>
      </c>
      <c r="J4783" t="s">
        <v>4279</v>
      </c>
      <c r="K4783" t="s">
        <v>425</v>
      </c>
      <c r="L4783" t="s">
        <v>2145</v>
      </c>
      <c r="M4783">
        <v>381</v>
      </c>
      <c r="N4783">
        <v>38.33</v>
      </c>
      <c r="O4783">
        <v>9597.4500000000007</v>
      </c>
      <c r="P4783">
        <v>0</v>
      </c>
      <c r="Q4783">
        <v>9597.4500000000007</v>
      </c>
      <c r="R4783">
        <v>1535.59</v>
      </c>
      <c r="S4783">
        <v>383.9</v>
      </c>
      <c r="T4783">
        <v>10749.14</v>
      </c>
      <c r="U4783" t="s">
        <v>2350</v>
      </c>
      <c r="V4783" t="s">
        <v>9408</v>
      </c>
      <c r="W4783" t="s">
        <v>423</v>
      </c>
    </row>
    <row r="4784" spans="1:23" hidden="1" x14ac:dyDescent="0.2">
      <c r="A4784">
        <v>2012</v>
      </c>
      <c r="B4784" t="s">
        <v>304</v>
      </c>
      <c r="C4784" s="733">
        <v>40954</v>
      </c>
      <c r="D47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84" t="s">
        <v>478</v>
      </c>
      <c r="F4784" t="s">
        <v>2136</v>
      </c>
      <c r="G4784" t="s">
        <v>7964</v>
      </c>
      <c r="H4784">
        <v>35554</v>
      </c>
      <c r="I4784" t="s">
        <v>423</v>
      </c>
      <c r="J4784" t="s">
        <v>4279</v>
      </c>
      <c r="K4784" t="s">
        <v>425</v>
      </c>
      <c r="L4784" t="s">
        <v>2145</v>
      </c>
      <c r="M4784">
        <v>381</v>
      </c>
      <c r="N4784">
        <v>41.67</v>
      </c>
      <c r="O4784">
        <v>10433.75</v>
      </c>
      <c r="P4784">
        <v>0</v>
      </c>
      <c r="Q4784">
        <v>10433.75</v>
      </c>
      <c r="R4784">
        <v>1669.4</v>
      </c>
      <c r="S4784">
        <v>417.35</v>
      </c>
      <c r="T4784">
        <v>11685.8</v>
      </c>
      <c r="U4784" t="s">
        <v>7523</v>
      </c>
      <c r="V4784" t="s">
        <v>9409</v>
      </c>
      <c r="W4784" t="s">
        <v>423</v>
      </c>
    </row>
    <row r="4785" spans="1:23" x14ac:dyDescent="0.2">
      <c r="A4785">
        <v>2012</v>
      </c>
      <c r="B4785" t="s">
        <v>304</v>
      </c>
      <c r="C4785" s="733">
        <v>40968</v>
      </c>
      <c r="D47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85" t="s">
        <v>485</v>
      </c>
      <c r="F4785" t="s">
        <v>3450</v>
      </c>
      <c r="G4785" t="s">
        <v>9590</v>
      </c>
      <c r="H4785">
        <v>42484</v>
      </c>
      <c r="I4785" t="s">
        <v>423</v>
      </c>
      <c r="J4785" t="s">
        <v>3452</v>
      </c>
      <c r="K4785" t="s">
        <v>3453</v>
      </c>
      <c r="L4785" t="s">
        <v>3454</v>
      </c>
      <c r="M4785">
        <v>19</v>
      </c>
      <c r="N4785">
        <v>29.58</v>
      </c>
      <c r="O4785">
        <v>3338.69</v>
      </c>
      <c r="P4785">
        <v>0</v>
      </c>
      <c r="Q4785">
        <v>3338.69</v>
      </c>
      <c r="R4785">
        <v>534.19000000000005</v>
      </c>
      <c r="S4785">
        <v>133.55000000000001</v>
      </c>
      <c r="T4785">
        <v>3739.33</v>
      </c>
      <c r="V4785" t="s">
        <v>9408</v>
      </c>
      <c r="W4785" t="s">
        <v>423</v>
      </c>
    </row>
    <row r="4786" spans="1:23" x14ac:dyDescent="0.2">
      <c r="A4786">
        <v>2012</v>
      </c>
      <c r="B4786" t="s">
        <v>304</v>
      </c>
      <c r="C4786" s="733">
        <v>40968</v>
      </c>
      <c r="D47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86" t="s">
        <v>485</v>
      </c>
      <c r="F4786" t="s">
        <v>3450</v>
      </c>
      <c r="G4786" t="s">
        <v>9589</v>
      </c>
      <c r="H4786">
        <v>42478</v>
      </c>
      <c r="I4786" t="s">
        <v>423</v>
      </c>
      <c r="J4786" t="s">
        <v>3452</v>
      </c>
      <c r="K4786" t="s">
        <v>3453</v>
      </c>
      <c r="L4786" t="s">
        <v>3454</v>
      </c>
      <c r="M4786">
        <v>19</v>
      </c>
      <c r="N4786">
        <v>29.14</v>
      </c>
      <c r="O4786">
        <v>3289.03</v>
      </c>
      <c r="P4786">
        <v>0</v>
      </c>
      <c r="Q4786">
        <v>3289.03</v>
      </c>
      <c r="R4786">
        <v>526.25</v>
      </c>
      <c r="S4786">
        <v>131.56</v>
      </c>
      <c r="T4786">
        <v>3683.72</v>
      </c>
      <c r="V4786" t="s">
        <v>9408</v>
      </c>
      <c r="W4786" t="s">
        <v>423</v>
      </c>
    </row>
    <row r="4787" spans="1:23" hidden="1" x14ac:dyDescent="0.2">
      <c r="A4787">
        <v>2012</v>
      </c>
      <c r="B4787" t="s">
        <v>304</v>
      </c>
      <c r="C4787" s="733">
        <v>40963</v>
      </c>
      <c r="D47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87" t="s">
        <v>478</v>
      </c>
      <c r="F4787" t="s">
        <v>2136</v>
      </c>
      <c r="G4787" t="s">
        <v>9338</v>
      </c>
      <c r="H4787">
        <v>35953</v>
      </c>
      <c r="I4787" t="s">
        <v>423</v>
      </c>
      <c r="J4787" t="s">
        <v>4279</v>
      </c>
      <c r="K4787" t="s">
        <v>425</v>
      </c>
      <c r="L4787" t="s">
        <v>2145</v>
      </c>
      <c r="M4787">
        <v>381</v>
      </c>
      <c r="N4787">
        <v>25.85</v>
      </c>
      <c r="O4787">
        <v>6472.58</v>
      </c>
      <c r="P4787">
        <v>0</v>
      </c>
      <c r="Q4787">
        <v>6472.58</v>
      </c>
      <c r="R4787">
        <v>1035.6099999999999</v>
      </c>
      <c r="S4787">
        <v>258.89999999999998</v>
      </c>
      <c r="T4787">
        <v>7249.29</v>
      </c>
      <c r="U4787" t="s">
        <v>9457</v>
      </c>
      <c r="V4787" t="s">
        <v>9408</v>
      </c>
      <c r="W4787" t="s">
        <v>423</v>
      </c>
    </row>
    <row r="4788" spans="1:23" hidden="1" x14ac:dyDescent="0.2">
      <c r="A4788">
        <v>2012</v>
      </c>
      <c r="B4788" t="s">
        <v>304</v>
      </c>
      <c r="C4788" s="733">
        <v>40967</v>
      </c>
      <c r="D47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88" t="s">
        <v>478</v>
      </c>
      <c r="F4788" t="s">
        <v>4128</v>
      </c>
      <c r="G4788" t="s">
        <v>9337</v>
      </c>
      <c r="H4788">
        <v>36181</v>
      </c>
      <c r="I4788" t="s">
        <v>423</v>
      </c>
      <c r="J4788" t="s">
        <v>4509</v>
      </c>
      <c r="K4788" t="s">
        <v>4397</v>
      </c>
      <c r="L4788" t="s">
        <v>4398</v>
      </c>
      <c r="M4788">
        <v>183</v>
      </c>
      <c r="N4788">
        <v>22.1</v>
      </c>
      <c r="O4788">
        <v>3817.11</v>
      </c>
      <c r="P4788">
        <v>0</v>
      </c>
      <c r="Q4788">
        <v>3817.11</v>
      </c>
      <c r="R4788">
        <v>610.74</v>
      </c>
      <c r="S4788">
        <v>152.68</v>
      </c>
      <c r="T4788">
        <v>4275.17</v>
      </c>
      <c r="U4788" t="s">
        <v>8982</v>
      </c>
      <c r="V4788" t="s">
        <v>9408</v>
      </c>
      <c r="W4788" t="s">
        <v>423</v>
      </c>
    </row>
    <row r="4789" spans="1:23" hidden="1" x14ac:dyDescent="0.2">
      <c r="A4789">
        <v>2012</v>
      </c>
      <c r="B4789" t="s">
        <v>304</v>
      </c>
      <c r="C4789" s="733">
        <v>40960</v>
      </c>
      <c r="D47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89" t="s">
        <v>505</v>
      </c>
      <c r="F4789" t="s">
        <v>1915</v>
      </c>
      <c r="G4789" t="s">
        <v>8206</v>
      </c>
      <c r="H4789">
        <v>22823</v>
      </c>
      <c r="I4789" t="s">
        <v>423</v>
      </c>
      <c r="J4789" t="s">
        <v>5253</v>
      </c>
      <c r="K4789" t="s">
        <v>1918</v>
      </c>
      <c r="L4789" t="s">
        <v>1919</v>
      </c>
      <c r="M4789">
        <v>88</v>
      </c>
      <c r="N4789">
        <v>26.57</v>
      </c>
      <c r="O4789">
        <v>3701.73</v>
      </c>
      <c r="P4789">
        <v>0</v>
      </c>
      <c r="Q4789">
        <v>3701.73</v>
      </c>
      <c r="R4789">
        <v>592.28</v>
      </c>
      <c r="S4789">
        <v>148.07</v>
      </c>
      <c r="T4789">
        <v>4145.9399999999996</v>
      </c>
      <c r="U4789" t="s">
        <v>8491</v>
      </c>
      <c r="V4789" t="s">
        <v>9408</v>
      </c>
      <c r="W4789" t="s">
        <v>423</v>
      </c>
    </row>
    <row r="4790" spans="1:23" hidden="1" x14ac:dyDescent="0.2">
      <c r="A4790">
        <v>2012</v>
      </c>
      <c r="B4790" t="s">
        <v>304</v>
      </c>
      <c r="C4790" s="733">
        <v>40961</v>
      </c>
      <c r="D47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90" t="s">
        <v>505</v>
      </c>
      <c r="F4790" t="s">
        <v>1915</v>
      </c>
      <c r="G4790" t="s">
        <v>8419</v>
      </c>
      <c r="H4790">
        <v>22938</v>
      </c>
      <c r="I4790" t="s">
        <v>423</v>
      </c>
      <c r="J4790" t="s">
        <v>5253</v>
      </c>
      <c r="K4790" t="s">
        <v>1918</v>
      </c>
      <c r="L4790" t="s">
        <v>1919</v>
      </c>
      <c r="M4790">
        <v>88</v>
      </c>
      <c r="N4790">
        <v>25.29</v>
      </c>
      <c r="O4790">
        <v>3523.4</v>
      </c>
      <c r="P4790">
        <v>0</v>
      </c>
      <c r="Q4790">
        <v>3523.4</v>
      </c>
      <c r="R4790">
        <v>563.74</v>
      </c>
      <c r="S4790">
        <v>140.94</v>
      </c>
      <c r="T4790">
        <v>3946.2</v>
      </c>
      <c r="U4790" t="s">
        <v>8491</v>
      </c>
      <c r="V4790" t="s">
        <v>9408</v>
      </c>
      <c r="W4790" t="s">
        <v>423</v>
      </c>
    </row>
    <row r="4791" spans="1:23" hidden="1" x14ac:dyDescent="0.2">
      <c r="A4791">
        <v>2012</v>
      </c>
      <c r="B4791" t="s">
        <v>304</v>
      </c>
      <c r="C4791" s="733">
        <v>40967</v>
      </c>
      <c r="D47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91" t="s">
        <v>505</v>
      </c>
      <c r="F4791" t="s">
        <v>1915</v>
      </c>
      <c r="G4791" t="s">
        <v>9193</v>
      </c>
      <c r="H4791">
        <v>23058</v>
      </c>
      <c r="I4791" t="s">
        <v>423</v>
      </c>
      <c r="J4791" t="s">
        <v>4158</v>
      </c>
      <c r="K4791" t="s">
        <v>1918</v>
      </c>
      <c r="L4791" t="s">
        <v>1919</v>
      </c>
      <c r="M4791">
        <v>274</v>
      </c>
      <c r="N4791">
        <v>25.07</v>
      </c>
      <c r="O4791">
        <v>6921.83</v>
      </c>
      <c r="P4791">
        <v>0</v>
      </c>
      <c r="Q4791">
        <v>6921.83</v>
      </c>
      <c r="R4791">
        <v>1107.49</v>
      </c>
      <c r="S4791">
        <v>276.87</v>
      </c>
      <c r="T4791">
        <v>7752.45</v>
      </c>
      <c r="V4791" t="s">
        <v>9409</v>
      </c>
      <c r="W4791" t="s">
        <v>423</v>
      </c>
    </row>
    <row r="4792" spans="1:23" hidden="1" x14ac:dyDescent="0.2">
      <c r="A4792">
        <v>2012</v>
      </c>
      <c r="B4792" t="s">
        <v>303</v>
      </c>
      <c r="C4792" s="733">
        <v>40921</v>
      </c>
      <c r="D47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92" t="s">
        <v>505</v>
      </c>
      <c r="F4792" t="s">
        <v>1915</v>
      </c>
      <c r="G4792" t="s">
        <v>4161</v>
      </c>
      <c r="H4792">
        <v>21941</v>
      </c>
      <c r="I4792" t="s">
        <v>423</v>
      </c>
      <c r="J4792" t="s">
        <v>4158</v>
      </c>
      <c r="K4792" t="s">
        <v>1918</v>
      </c>
      <c r="L4792" t="s">
        <v>1919</v>
      </c>
      <c r="M4792">
        <v>274</v>
      </c>
      <c r="N4792">
        <v>28.1</v>
      </c>
      <c r="O4792">
        <v>7758.41</v>
      </c>
      <c r="P4792">
        <v>0</v>
      </c>
      <c r="Q4792">
        <v>7758.41</v>
      </c>
      <c r="R4792">
        <v>1241.3499999999999</v>
      </c>
      <c r="S4792">
        <v>310.33999999999997</v>
      </c>
      <c r="T4792">
        <v>8689.42</v>
      </c>
      <c r="U4792" t="s">
        <v>1931</v>
      </c>
      <c r="V4792" t="s">
        <v>9408</v>
      </c>
      <c r="W4792" t="s">
        <v>423</v>
      </c>
    </row>
    <row r="4793" spans="1:23" hidden="1" x14ac:dyDescent="0.2">
      <c r="A4793">
        <v>2012</v>
      </c>
      <c r="B4793" t="s">
        <v>304</v>
      </c>
      <c r="C4793" s="733">
        <v>40947</v>
      </c>
      <c r="D47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93" t="s">
        <v>505</v>
      </c>
      <c r="F4793" t="s">
        <v>1915</v>
      </c>
      <c r="G4793" t="s">
        <v>4157</v>
      </c>
      <c r="H4793">
        <v>22525</v>
      </c>
      <c r="I4793" t="s">
        <v>423</v>
      </c>
      <c r="J4793" t="s">
        <v>4158</v>
      </c>
      <c r="K4793" t="s">
        <v>1918</v>
      </c>
      <c r="L4793" t="s">
        <v>1919</v>
      </c>
      <c r="M4793">
        <v>274</v>
      </c>
      <c r="N4793">
        <v>27.12</v>
      </c>
      <c r="O4793">
        <v>7487.83</v>
      </c>
      <c r="P4793">
        <v>0</v>
      </c>
      <c r="Q4793">
        <v>7487.83</v>
      </c>
      <c r="R4793">
        <v>1198.05</v>
      </c>
      <c r="S4793">
        <v>299.51</v>
      </c>
      <c r="T4793">
        <v>8386.3700000000008</v>
      </c>
      <c r="U4793" t="s">
        <v>1924</v>
      </c>
      <c r="V4793" t="s">
        <v>9408</v>
      </c>
      <c r="W4793" t="s">
        <v>423</v>
      </c>
    </row>
    <row r="4794" spans="1:23" hidden="1" x14ac:dyDescent="0.2">
      <c r="A4794">
        <v>2012</v>
      </c>
      <c r="B4794" t="s">
        <v>304</v>
      </c>
      <c r="C4794" s="733">
        <v>40953</v>
      </c>
      <c r="D47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94" t="s">
        <v>485</v>
      </c>
      <c r="F4794" t="s">
        <v>3450</v>
      </c>
      <c r="G4794" t="s">
        <v>4605</v>
      </c>
      <c r="H4794">
        <v>41811</v>
      </c>
      <c r="I4794" t="s">
        <v>423</v>
      </c>
      <c r="J4794" t="s">
        <v>3462</v>
      </c>
      <c r="K4794" t="s">
        <v>3453</v>
      </c>
      <c r="L4794" t="s">
        <v>3454</v>
      </c>
      <c r="M4794">
        <v>425</v>
      </c>
      <c r="N4794">
        <v>29.57</v>
      </c>
      <c r="O4794">
        <v>8251.2099999999991</v>
      </c>
      <c r="P4794">
        <v>0</v>
      </c>
      <c r="Q4794">
        <v>8251.2099999999991</v>
      </c>
      <c r="R4794">
        <v>1320.19</v>
      </c>
      <c r="S4794">
        <v>330.05</v>
      </c>
      <c r="T4794">
        <v>9241.35</v>
      </c>
      <c r="U4794" t="s">
        <v>7533</v>
      </c>
      <c r="V4794" t="s">
        <v>9408</v>
      </c>
      <c r="W4794" t="s">
        <v>423</v>
      </c>
    </row>
    <row r="4795" spans="1:23" hidden="1" x14ac:dyDescent="0.2">
      <c r="A4795">
        <v>2012</v>
      </c>
      <c r="B4795" t="s">
        <v>304</v>
      </c>
      <c r="C4795" s="733">
        <v>40959.383750000001</v>
      </c>
      <c r="D47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95" t="s">
        <v>485</v>
      </c>
      <c r="F4795" t="s">
        <v>2065</v>
      </c>
      <c r="G4795" t="s">
        <v>7698</v>
      </c>
      <c r="H4795">
        <v>42174</v>
      </c>
      <c r="I4795" t="s">
        <v>423</v>
      </c>
      <c r="J4795" t="s">
        <v>2126</v>
      </c>
      <c r="K4795" t="s">
        <v>2102</v>
      </c>
      <c r="L4795" t="s">
        <v>2115</v>
      </c>
      <c r="M4795">
        <v>930</v>
      </c>
      <c r="N4795">
        <v>25.81</v>
      </c>
      <c r="O4795">
        <v>15152.53</v>
      </c>
      <c r="P4795">
        <v>0</v>
      </c>
      <c r="Q4795">
        <v>15152.53</v>
      </c>
      <c r="R4795">
        <v>2424.41</v>
      </c>
      <c r="S4795">
        <v>606.1</v>
      </c>
      <c r="T4795">
        <v>16970.84</v>
      </c>
      <c r="U4795" t="s">
        <v>8883</v>
      </c>
      <c r="V4795" t="s">
        <v>9409</v>
      </c>
      <c r="W4795" t="s">
        <v>423</v>
      </c>
    </row>
    <row r="4796" spans="1:23" hidden="1" x14ac:dyDescent="0.2">
      <c r="A4796">
        <v>2012</v>
      </c>
      <c r="B4796" t="s">
        <v>303</v>
      </c>
      <c r="C4796" s="733">
        <v>40936</v>
      </c>
      <c r="D47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96" t="s">
        <v>478</v>
      </c>
      <c r="F4796" t="s">
        <v>2136</v>
      </c>
      <c r="G4796" t="s">
        <v>4803</v>
      </c>
      <c r="H4796">
        <v>34728</v>
      </c>
      <c r="I4796" t="s">
        <v>423</v>
      </c>
      <c r="J4796" t="s">
        <v>3480</v>
      </c>
      <c r="K4796" t="s">
        <v>3481</v>
      </c>
      <c r="L4796" t="s">
        <v>3482</v>
      </c>
      <c r="M4796">
        <v>75</v>
      </c>
      <c r="N4796">
        <v>24.045000000000002</v>
      </c>
      <c r="O4796">
        <v>2713.96</v>
      </c>
      <c r="P4796">
        <v>0</v>
      </c>
      <c r="Q4796">
        <v>2713.96</v>
      </c>
      <c r="R4796">
        <v>434.23</v>
      </c>
      <c r="S4796">
        <v>108.56</v>
      </c>
      <c r="T4796">
        <v>3039.63</v>
      </c>
      <c r="U4796" t="s">
        <v>3784</v>
      </c>
      <c r="V4796" t="s">
        <v>9408</v>
      </c>
      <c r="W4796" t="s">
        <v>423</v>
      </c>
    </row>
    <row r="4797" spans="1:23" hidden="1" x14ac:dyDescent="0.2">
      <c r="A4797">
        <v>2012</v>
      </c>
      <c r="B4797" t="s">
        <v>303</v>
      </c>
      <c r="C4797" s="733">
        <v>40925</v>
      </c>
      <c r="D47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97" t="s">
        <v>485</v>
      </c>
      <c r="F4797" t="s">
        <v>2099</v>
      </c>
      <c r="G4797" t="s">
        <v>2724</v>
      </c>
      <c r="H4797">
        <v>40457</v>
      </c>
      <c r="I4797" t="s">
        <v>423</v>
      </c>
      <c r="J4797" t="s">
        <v>2101</v>
      </c>
      <c r="K4797" t="s">
        <v>2102</v>
      </c>
      <c r="L4797" t="s">
        <v>2103</v>
      </c>
      <c r="M4797">
        <v>119</v>
      </c>
      <c r="N4797">
        <v>25.51</v>
      </c>
      <c r="O4797">
        <v>4278.79</v>
      </c>
      <c r="P4797">
        <v>0</v>
      </c>
      <c r="Q4797">
        <v>4278.79</v>
      </c>
      <c r="R4797">
        <v>684.61</v>
      </c>
      <c r="S4797">
        <v>171.15</v>
      </c>
      <c r="T4797">
        <v>4792.25</v>
      </c>
      <c r="U4797" t="s">
        <v>2106</v>
      </c>
      <c r="V4797" t="s">
        <v>9408</v>
      </c>
      <c r="W4797" t="s">
        <v>423</v>
      </c>
    </row>
    <row r="4798" spans="1:23" hidden="1" x14ac:dyDescent="0.2">
      <c r="A4798">
        <v>2012</v>
      </c>
      <c r="B4798" t="s">
        <v>303</v>
      </c>
      <c r="C4798" s="733">
        <v>40912</v>
      </c>
      <c r="D47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798" t="s">
        <v>485</v>
      </c>
      <c r="F4798" t="s">
        <v>2099</v>
      </c>
      <c r="G4798" t="s">
        <v>3148</v>
      </c>
      <c r="H4798">
        <v>39773</v>
      </c>
      <c r="I4798" t="s">
        <v>423</v>
      </c>
      <c r="J4798" t="s">
        <v>2101</v>
      </c>
      <c r="K4798" t="s">
        <v>2102</v>
      </c>
      <c r="L4798" t="s">
        <v>2103</v>
      </c>
      <c r="M4798">
        <v>119</v>
      </c>
      <c r="N4798">
        <v>25.95</v>
      </c>
      <c r="O4798">
        <v>1832.59</v>
      </c>
      <c r="P4798">
        <v>2063.2947549999999</v>
      </c>
      <c r="Q4798">
        <v>3895.884755</v>
      </c>
      <c r="R4798">
        <v>623.34156099999996</v>
      </c>
      <c r="S4798">
        <v>155.83538999999999</v>
      </c>
      <c r="T4798">
        <v>4363.390926</v>
      </c>
      <c r="U4798" t="s">
        <v>2104</v>
      </c>
      <c r="V4798" t="s">
        <v>9408</v>
      </c>
      <c r="W4798" t="s">
        <v>423</v>
      </c>
    </row>
    <row r="4799" spans="1:23" hidden="1" x14ac:dyDescent="0.2">
      <c r="A4799">
        <v>2012</v>
      </c>
      <c r="B4799" t="s">
        <v>304</v>
      </c>
      <c r="C4799" s="733">
        <v>40960</v>
      </c>
      <c r="D47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799" t="s">
        <v>485</v>
      </c>
      <c r="F4799" t="s">
        <v>2099</v>
      </c>
      <c r="G4799" t="s">
        <v>8147</v>
      </c>
      <c r="H4799">
        <v>42283</v>
      </c>
      <c r="I4799" t="s">
        <v>423</v>
      </c>
      <c r="J4799" t="s">
        <v>2101</v>
      </c>
      <c r="K4799" t="s">
        <v>2102</v>
      </c>
      <c r="L4799" t="s">
        <v>2103</v>
      </c>
      <c r="M4799">
        <v>119</v>
      </c>
      <c r="N4799">
        <v>25.4</v>
      </c>
      <c r="O4799">
        <v>4260.34</v>
      </c>
      <c r="P4799">
        <v>0</v>
      </c>
      <c r="Q4799">
        <v>4260.34</v>
      </c>
      <c r="R4799">
        <v>681.65</v>
      </c>
      <c r="S4799">
        <v>170.41</v>
      </c>
      <c r="T4799">
        <v>4771.58</v>
      </c>
      <c r="U4799" t="s">
        <v>8883</v>
      </c>
      <c r="V4799" t="s">
        <v>9408</v>
      </c>
      <c r="W4799" t="s">
        <v>423</v>
      </c>
    </row>
    <row r="4800" spans="1:23" hidden="1" x14ac:dyDescent="0.2">
      <c r="A4800">
        <v>2012</v>
      </c>
      <c r="B4800" t="s">
        <v>304</v>
      </c>
      <c r="C4800" s="733">
        <v>40963</v>
      </c>
      <c r="D48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00" t="s">
        <v>485</v>
      </c>
      <c r="F4800" t="s">
        <v>2099</v>
      </c>
      <c r="G4800" t="s">
        <v>8738</v>
      </c>
      <c r="H4800">
        <v>42585</v>
      </c>
      <c r="I4800" t="s">
        <v>423</v>
      </c>
      <c r="J4800" t="s">
        <v>2101</v>
      </c>
      <c r="K4800" t="s">
        <v>2102</v>
      </c>
      <c r="L4800" t="s">
        <v>2103</v>
      </c>
      <c r="M4800">
        <v>119</v>
      </c>
      <c r="N4800">
        <v>24.91</v>
      </c>
      <c r="O4800">
        <v>4178.1499999999996</v>
      </c>
      <c r="P4800">
        <v>0</v>
      </c>
      <c r="Q4800">
        <v>4178.1499999999996</v>
      </c>
      <c r="R4800">
        <v>668.5</v>
      </c>
      <c r="S4800">
        <v>167.13</v>
      </c>
      <c r="T4800">
        <v>4679.5200000000004</v>
      </c>
      <c r="U4800" t="s">
        <v>8883</v>
      </c>
      <c r="V4800" t="s">
        <v>9408</v>
      </c>
      <c r="W4800" t="s">
        <v>423</v>
      </c>
    </row>
    <row r="4801" spans="1:23" hidden="1" x14ac:dyDescent="0.2">
      <c r="A4801">
        <v>2012</v>
      </c>
      <c r="B4801" t="s">
        <v>304</v>
      </c>
      <c r="C4801" s="733">
        <v>40966</v>
      </c>
      <c r="D48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01" t="s">
        <v>485</v>
      </c>
      <c r="F4801" t="s">
        <v>2099</v>
      </c>
      <c r="G4801" t="s">
        <v>9228</v>
      </c>
      <c r="H4801">
        <v>42702</v>
      </c>
      <c r="I4801" t="s">
        <v>423</v>
      </c>
      <c r="J4801" t="s">
        <v>2101</v>
      </c>
      <c r="K4801" t="s">
        <v>2102</v>
      </c>
      <c r="L4801" t="s">
        <v>2103</v>
      </c>
      <c r="M4801">
        <v>119</v>
      </c>
      <c r="N4801">
        <v>24.54</v>
      </c>
      <c r="O4801">
        <v>4116.09</v>
      </c>
      <c r="P4801">
        <v>0</v>
      </c>
      <c r="Q4801">
        <v>4116.09</v>
      </c>
      <c r="R4801">
        <v>658.58</v>
      </c>
      <c r="S4801">
        <v>164.64</v>
      </c>
      <c r="T4801">
        <v>4610.03</v>
      </c>
      <c r="U4801" t="s">
        <v>8883</v>
      </c>
      <c r="V4801" t="s">
        <v>9408</v>
      </c>
      <c r="W4801" t="s">
        <v>423</v>
      </c>
    </row>
    <row r="4802" spans="1:23" hidden="1" x14ac:dyDescent="0.2">
      <c r="A4802">
        <v>2012</v>
      </c>
      <c r="B4802" t="s">
        <v>304</v>
      </c>
      <c r="C4802" s="733">
        <v>40959</v>
      </c>
      <c r="D48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02" t="s">
        <v>485</v>
      </c>
      <c r="F4802" t="s">
        <v>2054</v>
      </c>
      <c r="G4802" t="s">
        <v>8160</v>
      </c>
      <c r="H4802">
        <v>10449</v>
      </c>
      <c r="I4802" t="s">
        <v>423</v>
      </c>
      <c r="J4802" t="s">
        <v>2072</v>
      </c>
      <c r="K4802" t="s">
        <v>2057</v>
      </c>
      <c r="L4802" t="s">
        <v>2058</v>
      </c>
      <c r="M4802">
        <v>406</v>
      </c>
      <c r="N4802">
        <v>24.05</v>
      </c>
      <c r="O4802">
        <v>6572.38</v>
      </c>
      <c r="P4802">
        <v>0</v>
      </c>
      <c r="Q4802">
        <v>6572.38</v>
      </c>
      <c r="R4802">
        <v>722.96</v>
      </c>
      <c r="S4802">
        <v>262.89999999999998</v>
      </c>
      <c r="T4802">
        <v>7032.44</v>
      </c>
      <c r="U4802" t="s">
        <v>8047</v>
      </c>
      <c r="V4802" t="s">
        <v>9409</v>
      </c>
      <c r="W4802" t="s">
        <v>423</v>
      </c>
    </row>
    <row r="4803" spans="1:23" hidden="1" x14ac:dyDescent="0.2">
      <c r="A4803">
        <v>2012</v>
      </c>
      <c r="B4803" t="s">
        <v>304</v>
      </c>
      <c r="C4803" s="733">
        <v>40954.667986111112</v>
      </c>
      <c r="D48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03" t="s">
        <v>485</v>
      </c>
      <c r="F4803" t="s">
        <v>2054</v>
      </c>
      <c r="G4803" t="s">
        <v>7915</v>
      </c>
      <c r="H4803">
        <v>10447</v>
      </c>
      <c r="I4803" t="s">
        <v>423</v>
      </c>
      <c r="J4803" t="s">
        <v>2098</v>
      </c>
      <c r="K4803" t="s">
        <v>2057</v>
      </c>
      <c r="L4803" t="s">
        <v>2058</v>
      </c>
      <c r="M4803">
        <v>565</v>
      </c>
      <c r="N4803">
        <v>47.07</v>
      </c>
      <c r="O4803">
        <v>15910.6</v>
      </c>
      <c r="P4803">
        <v>0</v>
      </c>
      <c r="Q4803">
        <v>15910.6</v>
      </c>
      <c r="R4803">
        <v>1750.17</v>
      </c>
      <c r="S4803">
        <v>636.41999999999996</v>
      </c>
      <c r="T4803">
        <v>17024.349999999999</v>
      </c>
      <c r="U4803" t="s">
        <v>8047</v>
      </c>
      <c r="V4803" t="s">
        <v>9409</v>
      </c>
      <c r="W4803" t="s">
        <v>423</v>
      </c>
    </row>
    <row r="4804" spans="1:23" hidden="1" x14ac:dyDescent="0.2">
      <c r="A4804">
        <v>2012</v>
      </c>
      <c r="B4804" t="s">
        <v>304</v>
      </c>
      <c r="C4804" s="733">
        <v>40963</v>
      </c>
      <c r="D48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04" t="s">
        <v>485</v>
      </c>
      <c r="F4804" t="s">
        <v>2099</v>
      </c>
      <c r="G4804" t="s">
        <v>8737</v>
      </c>
      <c r="H4804">
        <v>42582</v>
      </c>
      <c r="I4804" t="s">
        <v>423</v>
      </c>
      <c r="J4804" t="s">
        <v>2101</v>
      </c>
      <c r="K4804" t="s">
        <v>2102</v>
      </c>
      <c r="L4804" t="s">
        <v>2103</v>
      </c>
      <c r="M4804">
        <v>119</v>
      </c>
      <c r="N4804">
        <v>49.01</v>
      </c>
      <c r="O4804">
        <v>8220.4500000000007</v>
      </c>
      <c r="P4804">
        <v>0</v>
      </c>
      <c r="Q4804">
        <v>8220.4500000000007</v>
      </c>
      <c r="R4804">
        <v>1315.27</v>
      </c>
      <c r="S4804">
        <v>328.82</v>
      </c>
      <c r="T4804">
        <v>9206.9</v>
      </c>
      <c r="U4804" t="s">
        <v>8883</v>
      </c>
      <c r="V4804" t="s">
        <v>9409</v>
      </c>
      <c r="W4804" t="s">
        <v>423</v>
      </c>
    </row>
    <row r="4805" spans="1:23" hidden="1" x14ac:dyDescent="0.2">
      <c r="A4805">
        <v>2012</v>
      </c>
      <c r="B4805" t="s">
        <v>303</v>
      </c>
      <c r="C4805" s="733">
        <v>40938</v>
      </c>
      <c r="D48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05" t="s">
        <v>485</v>
      </c>
      <c r="F4805" t="s">
        <v>2099</v>
      </c>
      <c r="G4805" t="s">
        <v>3149</v>
      </c>
      <c r="H4805">
        <v>41128</v>
      </c>
      <c r="I4805" t="s">
        <v>423</v>
      </c>
      <c r="J4805" t="s">
        <v>2101</v>
      </c>
      <c r="K4805" t="s">
        <v>2102</v>
      </c>
      <c r="L4805" t="s">
        <v>2103</v>
      </c>
      <c r="M4805">
        <v>119</v>
      </c>
      <c r="N4805">
        <v>24.04</v>
      </c>
      <c r="O4805">
        <v>4032.23</v>
      </c>
      <c r="P4805">
        <v>0</v>
      </c>
      <c r="Q4805">
        <v>4032.23</v>
      </c>
      <c r="R4805">
        <v>645.16</v>
      </c>
      <c r="S4805">
        <v>161.29</v>
      </c>
      <c r="T4805">
        <v>4516.1000000000004</v>
      </c>
      <c r="U4805" t="s">
        <v>2110</v>
      </c>
      <c r="V4805" t="s">
        <v>9408</v>
      </c>
      <c r="W4805" t="s">
        <v>423</v>
      </c>
    </row>
    <row r="4806" spans="1:23" hidden="1" x14ac:dyDescent="0.2">
      <c r="A4806">
        <v>2012</v>
      </c>
      <c r="B4806" t="s">
        <v>304</v>
      </c>
      <c r="C4806" s="733">
        <v>40966</v>
      </c>
      <c r="D48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06" t="s">
        <v>485</v>
      </c>
      <c r="F4806" t="s">
        <v>2099</v>
      </c>
      <c r="G4806" t="s">
        <v>9229</v>
      </c>
      <c r="H4806">
        <v>42699</v>
      </c>
      <c r="I4806" t="s">
        <v>423</v>
      </c>
      <c r="J4806" t="s">
        <v>2101</v>
      </c>
      <c r="K4806" t="s">
        <v>2102</v>
      </c>
      <c r="L4806" t="s">
        <v>2103</v>
      </c>
      <c r="M4806">
        <v>119</v>
      </c>
      <c r="N4806">
        <v>26.04</v>
      </c>
      <c r="O4806">
        <v>4367.6899999999996</v>
      </c>
      <c r="P4806">
        <v>0</v>
      </c>
      <c r="Q4806">
        <v>4367.6899999999996</v>
      </c>
      <c r="R4806">
        <v>698.83</v>
      </c>
      <c r="S4806">
        <v>174.71</v>
      </c>
      <c r="T4806">
        <v>4891.8100000000004</v>
      </c>
      <c r="U4806" t="s">
        <v>8883</v>
      </c>
      <c r="V4806" t="s">
        <v>9408</v>
      </c>
      <c r="W4806" t="s">
        <v>423</v>
      </c>
    </row>
    <row r="4807" spans="1:23" hidden="1" x14ac:dyDescent="0.2">
      <c r="A4807">
        <v>2012</v>
      </c>
      <c r="B4807" t="s">
        <v>303</v>
      </c>
      <c r="C4807" s="733">
        <v>40912</v>
      </c>
      <c r="D48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07" t="s">
        <v>485</v>
      </c>
      <c r="F4807" t="s">
        <v>2099</v>
      </c>
      <c r="G4807" t="s">
        <v>3150</v>
      </c>
      <c r="H4807">
        <v>39769</v>
      </c>
      <c r="I4807" t="s">
        <v>423</v>
      </c>
      <c r="J4807" t="s">
        <v>2101</v>
      </c>
      <c r="K4807" t="s">
        <v>2102</v>
      </c>
      <c r="L4807" t="s">
        <v>2103</v>
      </c>
      <c r="M4807">
        <v>119</v>
      </c>
      <c r="N4807">
        <v>51.44</v>
      </c>
      <c r="O4807">
        <v>3632.69</v>
      </c>
      <c r="P4807">
        <v>4090.0093440000001</v>
      </c>
      <c r="Q4807">
        <v>7722.6993439999997</v>
      </c>
      <c r="R4807">
        <v>1235.631895</v>
      </c>
      <c r="S4807">
        <v>308.90797400000002</v>
      </c>
      <c r="T4807">
        <v>8649.4232649999994</v>
      </c>
      <c r="U4807" t="s">
        <v>2104</v>
      </c>
      <c r="V4807" t="s">
        <v>9409</v>
      </c>
      <c r="W4807" t="s">
        <v>423</v>
      </c>
    </row>
    <row r="4808" spans="1:23" hidden="1" x14ac:dyDescent="0.2">
      <c r="A4808">
        <v>2012</v>
      </c>
      <c r="B4808" t="s">
        <v>303</v>
      </c>
      <c r="C4808" s="733">
        <v>40912</v>
      </c>
      <c r="D48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08" t="s">
        <v>485</v>
      </c>
      <c r="F4808" t="s">
        <v>2065</v>
      </c>
      <c r="G4808" t="s">
        <v>4793</v>
      </c>
      <c r="H4808">
        <v>39459</v>
      </c>
      <c r="I4808" t="s">
        <v>423</v>
      </c>
      <c r="J4808" t="s">
        <v>2836</v>
      </c>
      <c r="K4808" t="s">
        <v>2814</v>
      </c>
      <c r="L4808" t="s">
        <v>2815</v>
      </c>
      <c r="M4808">
        <v>70</v>
      </c>
      <c r="N4808">
        <v>23.262</v>
      </c>
      <c r="O4808">
        <v>1105.4100000000001</v>
      </c>
      <c r="P4808">
        <v>1244.5700650000001</v>
      </c>
      <c r="Q4808">
        <v>2349.9800650000002</v>
      </c>
      <c r="R4808">
        <v>375.99680999999998</v>
      </c>
      <c r="S4808">
        <v>93.999202999999994</v>
      </c>
      <c r="T4808">
        <v>2631.977672</v>
      </c>
      <c r="U4808" t="s">
        <v>2846</v>
      </c>
      <c r="V4808" t="s">
        <v>9408</v>
      </c>
      <c r="W4808" t="s">
        <v>423</v>
      </c>
    </row>
    <row r="4809" spans="1:23" hidden="1" x14ac:dyDescent="0.2">
      <c r="A4809">
        <v>2012</v>
      </c>
      <c r="B4809" t="s">
        <v>303</v>
      </c>
      <c r="C4809" s="733">
        <v>40933.620694444442</v>
      </c>
      <c r="D48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09" t="s">
        <v>485</v>
      </c>
      <c r="F4809" t="s">
        <v>2054</v>
      </c>
      <c r="G4809" t="s">
        <v>4937</v>
      </c>
      <c r="H4809">
        <v>10210</v>
      </c>
      <c r="I4809" t="s">
        <v>423</v>
      </c>
      <c r="J4809" t="s">
        <v>2098</v>
      </c>
      <c r="K4809" t="s">
        <v>2057</v>
      </c>
      <c r="L4809" t="s">
        <v>2058</v>
      </c>
      <c r="M4809">
        <v>565</v>
      </c>
      <c r="N4809">
        <v>44.8</v>
      </c>
      <c r="O4809">
        <v>15143.3</v>
      </c>
      <c r="P4809">
        <v>0</v>
      </c>
      <c r="Q4809">
        <v>15143.3</v>
      </c>
      <c r="R4809">
        <v>2422.9299999999998</v>
      </c>
      <c r="S4809">
        <v>605.73</v>
      </c>
      <c r="T4809">
        <v>16960.5</v>
      </c>
      <c r="U4809" t="s">
        <v>2073</v>
      </c>
      <c r="V4809" t="s">
        <v>9409</v>
      </c>
      <c r="W4809" t="s">
        <v>423</v>
      </c>
    </row>
    <row r="4810" spans="1:23" hidden="1" x14ac:dyDescent="0.2">
      <c r="A4810">
        <v>2012</v>
      </c>
      <c r="B4810" t="s">
        <v>303</v>
      </c>
      <c r="C4810" s="733">
        <v>40928.494421296295</v>
      </c>
      <c r="D48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10" t="s">
        <v>485</v>
      </c>
      <c r="F4810" t="s">
        <v>2054</v>
      </c>
      <c r="G4810" t="s">
        <v>4938</v>
      </c>
      <c r="H4810">
        <v>10145</v>
      </c>
      <c r="I4810" t="s">
        <v>423</v>
      </c>
      <c r="J4810" t="s">
        <v>2098</v>
      </c>
      <c r="K4810" t="s">
        <v>2057</v>
      </c>
      <c r="L4810" t="s">
        <v>2058</v>
      </c>
      <c r="M4810">
        <v>565</v>
      </c>
      <c r="N4810">
        <v>46.52</v>
      </c>
      <c r="O4810">
        <v>15724.69</v>
      </c>
      <c r="P4810">
        <v>0</v>
      </c>
      <c r="Q4810">
        <v>15724.69</v>
      </c>
      <c r="R4810">
        <v>2515.9499999999998</v>
      </c>
      <c r="S4810">
        <v>628.99</v>
      </c>
      <c r="T4810">
        <v>17611.650000000001</v>
      </c>
      <c r="U4810" t="s">
        <v>2077</v>
      </c>
      <c r="V4810" t="s">
        <v>9409</v>
      </c>
      <c r="W4810" t="s">
        <v>423</v>
      </c>
    </row>
    <row r="4811" spans="1:23" hidden="1" x14ac:dyDescent="0.2">
      <c r="A4811">
        <v>2012</v>
      </c>
      <c r="B4811" t="s">
        <v>304</v>
      </c>
      <c r="C4811" s="733">
        <v>40966.479085648149</v>
      </c>
      <c r="D48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11" t="s">
        <v>485</v>
      </c>
      <c r="F4811" t="s">
        <v>2054</v>
      </c>
      <c r="G4811" t="s">
        <v>9230</v>
      </c>
      <c r="H4811">
        <v>10559</v>
      </c>
      <c r="I4811" t="s">
        <v>423</v>
      </c>
      <c r="J4811" t="s">
        <v>4733</v>
      </c>
      <c r="K4811" t="s">
        <v>2057</v>
      </c>
      <c r="L4811" t="s">
        <v>2058</v>
      </c>
      <c r="M4811">
        <v>184</v>
      </c>
      <c r="N4811">
        <v>25.39</v>
      </c>
      <c r="O4811">
        <v>8582.33</v>
      </c>
      <c r="P4811">
        <v>0</v>
      </c>
      <c r="Q4811">
        <v>8582.33</v>
      </c>
      <c r="R4811">
        <v>944.06</v>
      </c>
      <c r="S4811">
        <v>343.29</v>
      </c>
      <c r="T4811">
        <v>9183.1</v>
      </c>
      <c r="U4811" t="s">
        <v>8864</v>
      </c>
      <c r="V4811" t="s">
        <v>9408</v>
      </c>
      <c r="W4811" t="s">
        <v>423</v>
      </c>
    </row>
    <row r="4812" spans="1:23" hidden="1" x14ac:dyDescent="0.2">
      <c r="A4812">
        <v>2012</v>
      </c>
      <c r="B4812" t="s">
        <v>303</v>
      </c>
      <c r="C4812" s="733">
        <v>40919</v>
      </c>
      <c r="D48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12" t="s">
        <v>485</v>
      </c>
      <c r="F4812" t="s">
        <v>2054</v>
      </c>
      <c r="G4812" t="s">
        <v>2097</v>
      </c>
      <c r="H4812">
        <v>10020</v>
      </c>
      <c r="I4812" t="s">
        <v>423</v>
      </c>
      <c r="J4812" t="s">
        <v>2098</v>
      </c>
      <c r="K4812" t="s">
        <v>2057</v>
      </c>
      <c r="L4812" t="s">
        <v>2058</v>
      </c>
      <c r="M4812">
        <v>565</v>
      </c>
      <c r="N4812">
        <v>47.94</v>
      </c>
      <c r="O4812">
        <v>16204.68</v>
      </c>
      <c r="P4812">
        <v>0</v>
      </c>
      <c r="Q4812">
        <v>16204.68</v>
      </c>
      <c r="R4812">
        <v>2592.75</v>
      </c>
      <c r="S4812">
        <v>648.19000000000005</v>
      </c>
      <c r="T4812">
        <v>18149.240000000002</v>
      </c>
      <c r="U4812" t="s">
        <v>2070</v>
      </c>
      <c r="V4812" t="s">
        <v>9409</v>
      </c>
      <c r="W4812" t="s">
        <v>423</v>
      </c>
    </row>
    <row r="4813" spans="1:23" hidden="1" x14ac:dyDescent="0.2">
      <c r="A4813">
        <v>2012</v>
      </c>
      <c r="B4813" t="s">
        <v>304</v>
      </c>
      <c r="C4813" s="733">
        <v>40946</v>
      </c>
      <c r="D48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13" t="s">
        <v>485</v>
      </c>
      <c r="F4813" t="s">
        <v>2065</v>
      </c>
      <c r="G4813" t="s">
        <v>5278</v>
      </c>
      <c r="H4813">
        <v>41521</v>
      </c>
      <c r="I4813" t="s">
        <v>423</v>
      </c>
      <c r="J4813" t="s">
        <v>2101</v>
      </c>
      <c r="K4813" t="s">
        <v>2102</v>
      </c>
      <c r="L4813" t="s">
        <v>2103</v>
      </c>
      <c r="M4813">
        <v>119</v>
      </c>
      <c r="N4813">
        <v>21.45</v>
      </c>
      <c r="O4813">
        <v>3597.81</v>
      </c>
      <c r="P4813">
        <v>0</v>
      </c>
      <c r="Q4813">
        <v>3597.81</v>
      </c>
      <c r="R4813">
        <v>575.65</v>
      </c>
      <c r="S4813">
        <v>143.91</v>
      </c>
      <c r="T4813">
        <v>4029.55</v>
      </c>
      <c r="U4813" t="s">
        <v>2110</v>
      </c>
      <c r="V4813" t="s">
        <v>9408</v>
      </c>
      <c r="W4813" t="s">
        <v>423</v>
      </c>
    </row>
    <row r="4814" spans="1:23" hidden="1" x14ac:dyDescent="0.2">
      <c r="A4814">
        <v>2012</v>
      </c>
      <c r="B4814" t="s">
        <v>303</v>
      </c>
      <c r="C4814" s="733">
        <v>40924.769895833335</v>
      </c>
      <c r="D48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14" t="s">
        <v>485</v>
      </c>
      <c r="F4814" t="s">
        <v>2054</v>
      </c>
      <c r="G4814" t="s">
        <v>2697</v>
      </c>
      <c r="H4814">
        <v>10081</v>
      </c>
      <c r="I4814" t="s">
        <v>423</v>
      </c>
      <c r="J4814" t="s">
        <v>2098</v>
      </c>
      <c r="K4814" t="s">
        <v>2057</v>
      </c>
      <c r="L4814" t="s">
        <v>2058</v>
      </c>
      <c r="M4814">
        <v>565</v>
      </c>
      <c r="N4814">
        <v>49.07</v>
      </c>
      <c r="O4814">
        <v>16586.64</v>
      </c>
      <c r="P4814">
        <v>0</v>
      </c>
      <c r="Q4814">
        <v>16586.64</v>
      </c>
      <c r="R4814">
        <v>2653.86</v>
      </c>
      <c r="S4814">
        <v>663.47</v>
      </c>
      <c r="T4814">
        <v>18577.03</v>
      </c>
      <c r="U4814" t="s">
        <v>2059</v>
      </c>
      <c r="V4814" t="s">
        <v>9409</v>
      </c>
      <c r="W4814" t="s">
        <v>423</v>
      </c>
    </row>
    <row r="4815" spans="1:23" hidden="1" x14ac:dyDescent="0.2">
      <c r="A4815">
        <v>2012</v>
      </c>
      <c r="B4815" t="s">
        <v>303</v>
      </c>
      <c r="C4815" s="733">
        <v>40938</v>
      </c>
      <c r="D48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15" t="s">
        <v>485</v>
      </c>
      <c r="F4815" t="s">
        <v>2065</v>
      </c>
      <c r="G4815" t="s">
        <v>4794</v>
      </c>
      <c r="H4815">
        <v>40719</v>
      </c>
      <c r="I4815" t="s">
        <v>423</v>
      </c>
      <c r="J4815" t="s">
        <v>2836</v>
      </c>
      <c r="K4815" t="s">
        <v>2814</v>
      </c>
      <c r="L4815" t="s">
        <v>2815</v>
      </c>
      <c r="M4815">
        <v>70</v>
      </c>
      <c r="N4815">
        <v>24.111000000000001</v>
      </c>
      <c r="O4815">
        <v>2721.41</v>
      </c>
      <c r="P4815">
        <v>0</v>
      </c>
      <c r="Q4815">
        <v>2721.41</v>
      </c>
      <c r="R4815">
        <v>435.43</v>
      </c>
      <c r="S4815">
        <v>108.86</v>
      </c>
      <c r="T4815">
        <v>3047.98</v>
      </c>
      <c r="U4815" t="s">
        <v>2826</v>
      </c>
      <c r="V4815" t="s">
        <v>9408</v>
      </c>
      <c r="W4815" t="s">
        <v>423</v>
      </c>
    </row>
    <row r="4816" spans="1:23" hidden="1" x14ac:dyDescent="0.2">
      <c r="A4816">
        <v>2012</v>
      </c>
      <c r="B4816" t="s">
        <v>304</v>
      </c>
      <c r="C4816" s="733">
        <v>40949</v>
      </c>
      <c r="D48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16" t="s">
        <v>485</v>
      </c>
      <c r="F4816" t="s">
        <v>2084</v>
      </c>
      <c r="G4816" t="s">
        <v>4617</v>
      </c>
      <c r="H4816">
        <v>41401</v>
      </c>
      <c r="I4816" t="s">
        <v>423</v>
      </c>
      <c r="J4816" t="s">
        <v>2813</v>
      </c>
      <c r="K4816" t="s">
        <v>2814</v>
      </c>
      <c r="L4816" t="s">
        <v>2815</v>
      </c>
      <c r="M4816">
        <v>365</v>
      </c>
      <c r="N4816">
        <v>30.018000000000001</v>
      </c>
      <c r="O4816">
        <v>8080.25</v>
      </c>
      <c r="P4816">
        <v>0</v>
      </c>
      <c r="Q4816">
        <v>8080.25</v>
      </c>
      <c r="R4816">
        <v>888.83</v>
      </c>
      <c r="S4816">
        <v>323.20999999999998</v>
      </c>
      <c r="T4816">
        <v>8645.8700000000008</v>
      </c>
      <c r="U4816" t="s">
        <v>7527</v>
      </c>
      <c r="V4816" t="s">
        <v>9408</v>
      </c>
      <c r="W4816" t="s">
        <v>423</v>
      </c>
    </row>
    <row r="4817" spans="1:23" hidden="1" x14ac:dyDescent="0.2">
      <c r="A4817">
        <v>2012</v>
      </c>
      <c r="B4817" t="s">
        <v>304</v>
      </c>
      <c r="C4817" s="733">
        <v>40949</v>
      </c>
      <c r="D48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17" t="s">
        <v>485</v>
      </c>
      <c r="F4817" t="s">
        <v>2084</v>
      </c>
      <c r="G4817" t="s">
        <v>4616</v>
      </c>
      <c r="H4817">
        <v>41236</v>
      </c>
      <c r="I4817" t="s">
        <v>423</v>
      </c>
      <c r="J4817" t="s">
        <v>2813</v>
      </c>
      <c r="K4817" t="s">
        <v>2814</v>
      </c>
      <c r="L4817" t="s">
        <v>2815</v>
      </c>
      <c r="M4817">
        <v>365</v>
      </c>
      <c r="N4817">
        <v>23.344000000000001</v>
      </c>
      <c r="O4817">
        <v>6283.74</v>
      </c>
      <c r="P4817">
        <v>0</v>
      </c>
      <c r="Q4817">
        <v>6283.74</v>
      </c>
      <c r="R4817">
        <v>691.21</v>
      </c>
      <c r="S4817">
        <v>251.35</v>
      </c>
      <c r="T4817">
        <v>6723.6</v>
      </c>
      <c r="U4817" t="s">
        <v>7527</v>
      </c>
      <c r="V4817" t="s">
        <v>9408</v>
      </c>
      <c r="W4817" t="s">
        <v>423</v>
      </c>
    </row>
    <row r="4818" spans="1:23" x14ac:dyDescent="0.2">
      <c r="A4818">
        <v>2012</v>
      </c>
      <c r="B4818" t="s">
        <v>304</v>
      </c>
      <c r="C4818" s="733">
        <v>40967</v>
      </c>
      <c r="D48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18" t="s">
        <v>485</v>
      </c>
      <c r="F4818" t="s">
        <v>2084</v>
      </c>
      <c r="G4818" t="s">
        <v>9207</v>
      </c>
      <c r="H4818">
        <v>42045</v>
      </c>
      <c r="I4818" t="s">
        <v>423</v>
      </c>
      <c r="J4818" t="s">
        <v>2813</v>
      </c>
      <c r="K4818" t="s">
        <v>2814</v>
      </c>
      <c r="L4818" t="s">
        <v>2815</v>
      </c>
      <c r="M4818">
        <v>365</v>
      </c>
      <c r="N4818">
        <v>23.899000000000001</v>
      </c>
      <c r="O4818">
        <v>6433.13</v>
      </c>
      <c r="P4818">
        <v>0</v>
      </c>
      <c r="Q4818">
        <v>6433.13</v>
      </c>
      <c r="R4818">
        <v>707.64</v>
      </c>
      <c r="S4818">
        <v>257.33</v>
      </c>
      <c r="T4818">
        <v>6883.44</v>
      </c>
      <c r="U4818" t="s">
        <v>8877</v>
      </c>
      <c r="V4818" t="s">
        <v>9408</v>
      </c>
      <c r="W4818" t="s">
        <v>423</v>
      </c>
    </row>
    <row r="4819" spans="1:23" hidden="1" x14ac:dyDescent="0.2">
      <c r="A4819">
        <v>2012</v>
      </c>
      <c r="B4819" t="s">
        <v>303</v>
      </c>
      <c r="C4819" s="733">
        <v>40938</v>
      </c>
      <c r="D48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19" t="s">
        <v>485</v>
      </c>
      <c r="F4819" t="s">
        <v>2084</v>
      </c>
      <c r="G4819" t="s">
        <v>4619</v>
      </c>
      <c r="H4819">
        <v>40716</v>
      </c>
      <c r="I4819" t="s">
        <v>423</v>
      </c>
      <c r="J4819" t="s">
        <v>2813</v>
      </c>
      <c r="K4819" t="s">
        <v>2814</v>
      </c>
      <c r="L4819" t="s">
        <v>2815</v>
      </c>
      <c r="M4819">
        <v>365</v>
      </c>
      <c r="N4819">
        <v>29.771000000000001</v>
      </c>
      <c r="O4819">
        <v>8013.76</v>
      </c>
      <c r="P4819">
        <v>0</v>
      </c>
      <c r="Q4819">
        <v>8013.76</v>
      </c>
      <c r="R4819">
        <v>1282.2</v>
      </c>
      <c r="S4819">
        <v>320.55</v>
      </c>
      <c r="T4819">
        <v>8975.41</v>
      </c>
      <c r="U4819" t="s">
        <v>2826</v>
      </c>
      <c r="V4819" t="s">
        <v>9408</v>
      </c>
      <c r="W4819" t="s">
        <v>423</v>
      </c>
    </row>
    <row r="4820" spans="1:23" hidden="1" x14ac:dyDescent="0.2">
      <c r="A4820">
        <v>2012</v>
      </c>
      <c r="B4820" t="s">
        <v>303</v>
      </c>
      <c r="C4820" s="733">
        <v>40917</v>
      </c>
      <c r="D48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20" t="s">
        <v>478</v>
      </c>
      <c r="F4820" t="s">
        <v>2136</v>
      </c>
      <c r="G4820" t="s">
        <v>6284</v>
      </c>
      <c r="H4820">
        <v>34301</v>
      </c>
      <c r="I4820" t="s">
        <v>423</v>
      </c>
      <c r="J4820" t="s">
        <v>4270</v>
      </c>
      <c r="K4820" t="s">
        <v>425</v>
      </c>
      <c r="L4820" t="s">
        <v>2145</v>
      </c>
      <c r="M4820">
        <v>560</v>
      </c>
      <c r="N4820">
        <v>36.07</v>
      </c>
      <c r="O4820">
        <v>11524.36</v>
      </c>
      <c r="P4820">
        <v>0</v>
      </c>
      <c r="Q4820">
        <v>11524.36</v>
      </c>
      <c r="R4820">
        <v>1843.9</v>
      </c>
      <c r="S4820">
        <v>460.97</v>
      </c>
      <c r="T4820">
        <v>12907.29</v>
      </c>
      <c r="U4820" t="s">
        <v>2927</v>
      </c>
      <c r="V4820" t="s">
        <v>9408</v>
      </c>
      <c r="W4820" t="s">
        <v>423</v>
      </c>
    </row>
    <row r="4821" spans="1:23" hidden="1" x14ac:dyDescent="0.2">
      <c r="A4821">
        <v>2012</v>
      </c>
      <c r="B4821" t="s">
        <v>303</v>
      </c>
      <c r="C4821" s="733">
        <v>40913</v>
      </c>
      <c r="D48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21" t="s">
        <v>478</v>
      </c>
      <c r="F4821" t="s">
        <v>2136</v>
      </c>
      <c r="G4821" t="s">
        <v>3117</v>
      </c>
      <c r="H4821">
        <v>34237</v>
      </c>
      <c r="I4821" t="s">
        <v>423</v>
      </c>
      <c r="J4821" t="s">
        <v>2936</v>
      </c>
      <c r="K4821" t="s">
        <v>425</v>
      </c>
      <c r="L4821" t="s">
        <v>2145</v>
      </c>
      <c r="M4821">
        <v>604</v>
      </c>
      <c r="N4821">
        <v>47.32</v>
      </c>
      <c r="O4821">
        <v>6237.72</v>
      </c>
      <c r="P4821">
        <v>7022.9865710000004</v>
      </c>
      <c r="Q4821">
        <v>13260.706571000001</v>
      </c>
      <c r="R4821">
        <v>2121.7130510000002</v>
      </c>
      <c r="S4821">
        <v>530.42826300000002</v>
      </c>
      <c r="T4821">
        <v>14851.991359</v>
      </c>
      <c r="U4821" t="s">
        <v>3118</v>
      </c>
      <c r="V4821" t="s">
        <v>9409</v>
      </c>
      <c r="W4821" t="s">
        <v>423</v>
      </c>
    </row>
    <row r="4822" spans="1:23" hidden="1" x14ac:dyDescent="0.2">
      <c r="A4822">
        <v>2012</v>
      </c>
      <c r="B4822" t="s">
        <v>303</v>
      </c>
      <c r="C4822" s="733">
        <v>40935</v>
      </c>
      <c r="D48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22" t="s">
        <v>505</v>
      </c>
      <c r="F4822" t="s">
        <v>1915</v>
      </c>
      <c r="G4822" t="s">
        <v>6571</v>
      </c>
      <c r="H4822">
        <v>22296</v>
      </c>
      <c r="I4822" t="s">
        <v>423</v>
      </c>
      <c r="J4822" t="s">
        <v>5042</v>
      </c>
      <c r="K4822" t="s">
        <v>1918</v>
      </c>
      <c r="L4822" t="s">
        <v>1919</v>
      </c>
      <c r="M4822">
        <v>29</v>
      </c>
      <c r="N4822">
        <v>26.76</v>
      </c>
      <c r="O4822">
        <v>2584.48</v>
      </c>
      <c r="P4822">
        <v>0</v>
      </c>
      <c r="Q4822">
        <v>2584.48</v>
      </c>
      <c r="R4822">
        <v>413.52</v>
      </c>
      <c r="S4822">
        <v>103.38</v>
      </c>
      <c r="T4822">
        <v>2894.62</v>
      </c>
      <c r="U4822" t="s">
        <v>1926</v>
      </c>
      <c r="V4822" t="s">
        <v>9408</v>
      </c>
      <c r="W4822" t="s">
        <v>423</v>
      </c>
    </row>
    <row r="4823" spans="1:23" hidden="1" x14ac:dyDescent="0.2">
      <c r="A4823">
        <v>2012</v>
      </c>
      <c r="B4823" t="s">
        <v>304</v>
      </c>
      <c r="C4823" s="733">
        <v>40942</v>
      </c>
      <c r="D48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23" t="s">
        <v>505</v>
      </c>
      <c r="F4823" t="s">
        <v>1915</v>
      </c>
      <c r="G4823" t="s">
        <v>6573</v>
      </c>
      <c r="H4823">
        <v>22358</v>
      </c>
      <c r="I4823" t="s">
        <v>1979</v>
      </c>
      <c r="J4823" t="s">
        <v>4254</v>
      </c>
      <c r="K4823" t="s">
        <v>1918</v>
      </c>
      <c r="L4823" t="s">
        <v>1919</v>
      </c>
      <c r="M4823">
        <v>2819</v>
      </c>
      <c r="N4823">
        <v>49.58</v>
      </c>
      <c r="O4823">
        <v>57781.03</v>
      </c>
      <c r="P4823">
        <v>0</v>
      </c>
      <c r="Q4823">
        <v>57781.03</v>
      </c>
      <c r="R4823">
        <v>9244.9599999999991</v>
      </c>
      <c r="S4823">
        <v>2311.2399999999998</v>
      </c>
      <c r="T4823">
        <v>64714.75</v>
      </c>
      <c r="U4823" t="s">
        <v>1924</v>
      </c>
      <c r="V4823" t="s">
        <v>9409</v>
      </c>
      <c r="W4823" t="s">
        <v>1979</v>
      </c>
    </row>
    <row r="4824" spans="1:23" hidden="1" x14ac:dyDescent="0.2">
      <c r="A4824">
        <v>2012</v>
      </c>
      <c r="B4824" t="s">
        <v>303</v>
      </c>
      <c r="C4824" s="733">
        <v>40929</v>
      </c>
      <c r="D48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24" t="s">
        <v>505</v>
      </c>
      <c r="F4824" t="s">
        <v>1915</v>
      </c>
      <c r="G4824" t="s">
        <v>6574</v>
      </c>
      <c r="H4824">
        <v>22062</v>
      </c>
      <c r="I4824" t="s">
        <v>1979</v>
      </c>
      <c r="J4824" t="s">
        <v>4254</v>
      </c>
      <c r="K4824" t="s">
        <v>1918</v>
      </c>
      <c r="L4824" t="s">
        <v>1919</v>
      </c>
      <c r="M4824">
        <v>2819</v>
      </c>
      <c r="N4824">
        <v>50.09</v>
      </c>
      <c r="O4824">
        <v>58375.39</v>
      </c>
      <c r="P4824">
        <v>0</v>
      </c>
      <c r="Q4824">
        <v>58375.39</v>
      </c>
      <c r="R4824">
        <v>9340.06</v>
      </c>
      <c r="S4824">
        <v>2335.02</v>
      </c>
      <c r="T4824">
        <v>65380.43</v>
      </c>
      <c r="U4824" t="s">
        <v>1936</v>
      </c>
      <c r="V4824" t="s">
        <v>9409</v>
      </c>
      <c r="W4824" t="s">
        <v>1979</v>
      </c>
    </row>
    <row r="4825" spans="1:23" hidden="1" x14ac:dyDescent="0.2">
      <c r="A4825">
        <v>2012</v>
      </c>
      <c r="B4825" t="s">
        <v>304</v>
      </c>
      <c r="C4825" s="733">
        <v>40952</v>
      </c>
      <c r="D48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25" t="s">
        <v>505</v>
      </c>
      <c r="F4825" t="s">
        <v>1915</v>
      </c>
      <c r="G4825" t="s">
        <v>6575</v>
      </c>
      <c r="H4825">
        <v>22591</v>
      </c>
      <c r="I4825" t="s">
        <v>1979</v>
      </c>
      <c r="J4825" t="s">
        <v>4254</v>
      </c>
      <c r="K4825" t="s">
        <v>1918</v>
      </c>
      <c r="L4825" t="s">
        <v>1919</v>
      </c>
      <c r="M4825">
        <v>2819</v>
      </c>
      <c r="N4825">
        <v>49.42</v>
      </c>
      <c r="O4825">
        <v>57594.559999999998</v>
      </c>
      <c r="P4825">
        <v>0</v>
      </c>
      <c r="Q4825">
        <v>57594.559999999998</v>
      </c>
      <c r="R4825">
        <v>9215.1299999999992</v>
      </c>
      <c r="S4825">
        <v>2303.7800000000002</v>
      </c>
      <c r="T4825">
        <v>64505.91</v>
      </c>
      <c r="U4825" t="s">
        <v>7522</v>
      </c>
      <c r="V4825" t="s">
        <v>9409</v>
      </c>
      <c r="W4825" t="s">
        <v>1979</v>
      </c>
    </row>
    <row r="4826" spans="1:23" hidden="1" x14ac:dyDescent="0.2">
      <c r="A4826">
        <v>2012</v>
      </c>
      <c r="B4826" t="s">
        <v>304</v>
      </c>
      <c r="C4826" s="733">
        <v>40962</v>
      </c>
      <c r="D48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26" t="s">
        <v>478</v>
      </c>
      <c r="F4826" t="s">
        <v>2136</v>
      </c>
      <c r="G4826" t="s">
        <v>8571</v>
      </c>
      <c r="H4826">
        <v>35918</v>
      </c>
      <c r="I4826" t="s">
        <v>423</v>
      </c>
      <c r="J4826" t="s">
        <v>2936</v>
      </c>
      <c r="K4826" t="s">
        <v>425</v>
      </c>
      <c r="L4826" t="s">
        <v>2145</v>
      </c>
      <c r="M4826">
        <v>604</v>
      </c>
      <c r="N4826">
        <v>26.34</v>
      </c>
      <c r="O4826">
        <v>8246.7900000000009</v>
      </c>
      <c r="P4826">
        <v>0</v>
      </c>
      <c r="Q4826">
        <v>8246.7900000000009</v>
      </c>
      <c r="R4826">
        <v>1319.49</v>
      </c>
      <c r="S4826">
        <v>329.87</v>
      </c>
      <c r="T4826">
        <v>9236.41</v>
      </c>
      <c r="V4826" t="s">
        <v>9408</v>
      </c>
      <c r="W4826" t="s">
        <v>423</v>
      </c>
    </row>
    <row r="4827" spans="1:23" hidden="1" x14ac:dyDescent="0.2">
      <c r="A4827">
        <v>2012</v>
      </c>
      <c r="B4827" t="s">
        <v>304</v>
      </c>
      <c r="C4827" s="733">
        <v>40946</v>
      </c>
      <c r="D48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27" t="s">
        <v>478</v>
      </c>
      <c r="F4827" t="s">
        <v>2136</v>
      </c>
      <c r="G4827" t="s">
        <v>3114</v>
      </c>
      <c r="H4827">
        <v>35326</v>
      </c>
      <c r="I4827" t="s">
        <v>423</v>
      </c>
      <c r="J4827" t="s">
        <v>2936</v>
      </c>
      <c r="K4827" t="s">
        <v>425</v>
      </c>
      <c r="L4827" t="s">
        <v>2145</v>
      </c>
      <c r="M4827">
        <v>604</v>
      </c>
      <c r="N4827">
        <v>25.53</v>
      </c>
      <c r="O4827">
        <v>7993.19</v>
      </c>
      <c r="P4827">
        <v>0</v>
      </c>
      <c r="Q4827">
        <v>7993.19</v>
      </c>
      <c r="R4827">
        <v>1278.9100000000001</v>
      </c>
      <c r="S4827">
        <v>319.73</v>
      </c>
      <c r="T4827">
        <v>8952.3700000000008</v>
      </c>
      <c r="U4827" t="s">
        <v>3115</v>
      </c>
      <c r="V4827" t="s">
        <v>9408</v>
      </c>
      <c r="W4827" t="s">
        <v>423</v>
      </c>
    </row>
    <row r="4828" spans="1:23" hidden="1" x14ac:dyDescent="0.2">
      <c r="A4828">
        <v>2012</v>
      </c>
      <c r="B4828" t="s">
        <v>304</v>
      </c>
      <c r="C4828" s="733">
        <v>40956</v>
      </c>
      <c r="D48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28" t="s">
        <v>478</v>
      </c>
      <c r="F4828" t="s">
        <v>2136</v>
      </c>
      <c r="G4828" t="s">
        <v>7559</v>
      </c>
      <c r="H4828">
        <v>35685</v>
      </c>
      <c r="I4828" t="s">
        <v>423</v>
      </c>
      <c r="J4828" t="s">
        <v>2936</v>
      </c>
      <c r="K4828" t="s">
        <v>425</v>
      </c>
      <c r="L4828" t="s">
        <v>2145</v>
      </c>
      <c r="M4828">
        <v>604</v>
      </c>
      <c r="N4828">
        <v>22.89</v>
      </c>
      <c r="O4828">
        <v>7166.63</v>
      </c>
      <c r="P4828">
        <v>0</v>
      </c>
      <c r="Q4828">
        <v>7166.63</v>
      </c>
      <c r="R4828">
        <v>1146.6600000000001</v>
      </c>
      <c r="S4828">
        <v>286.67</v>
      </c>
      <c r="T4828">
        <v>8026.62</v>
      </c>
      <c r="U4828" t="s">
        <v>9455</v>
      </c>
      <c r="V4828" t="s">
        <v>9408</v>
      </c>
      <c r="W4828" t="s">
        <v>423</v>
      </c>
    </row>
    <row r="4829" spans="1:23" hidden="1" x14ac:dyDescent="0.2">
      <c r="A4829">
        <v>2012</v>
      </c>
      <c r="B4829" t="s">
        <v>303</v>
      </c>
      <c r="C4829" s="733">
        <v>40915</v>
      </c>
      <c r="D48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29" t="s">
        <v>505</v>
      </c>
      <c r="F4829" t="s">
        <v>1915</v>
      </c>
      <c r="G4829" t="s">
        <v>6572</v>
      </c>
      <c r="H4829">
        <v>21765</v>
      </c>
      <c r="I4829" t="s">
        <v>423</v>
      </c>
      <c r="J4829" t="s">
        <v>5042</v>
      </c>
      <c r="K4829" t="s">
        <v>1918</v>
      </c>
      <c r="L4829" t="s">
        <v>1919</v>
      </c>
      <c r="M4829">
        <v>29</v>
      </c>
      <c r="N4829">
        <v>29.75</v>
      </c>
      <c r="O4829">
        <v>2873.26</v>
      </c>
      <c r="P4829">
        <v>0</v>
      </c>
      <c r="Q4829">
        <v>2873.26</v>
      </c>
      <c r="R4829">
        <v>459.72</v>
      </c>
      <c r="S4829">
        <v>114.93</v>
      </c>
      <c r="T4829">
        <v>3218.05</v>
      </c>
      <c r="U4829" t="s">
        <v>1920</v>
      </c>
      <c r="V4829" t="s">
        <v>9408</v>
      </c>
      <c r="W4829" t="s">
        <v>423</v>
      </c>
    </row>
    <row r="4830" spans="1:23" hidden="1" x14ac:dyDescent="0.2">
      <c r="A4830">
        <v>2012</v>
      </c>
      <c r="B4830" t="s">
        <v>304</v>
      </c>
      <c r="C4830" s="733">
        <v>40954</v>
      </c>
      <c r="D48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30" t="s">
        <v>485</v>
      </c>
      <c r="F4830" t="s">
        <v>2065</v>
      </c>
      <c r="G4830" t="s">
        <v>7482</v>
      </c>
      <c r="H4830">
        <v>41891</v>
      </c>
      <c r="I4830" t="s">
        <v>423</v>
      </c>
      <c r="J4830" t="s">
        <v>2345</v>
      </c>
      <c r="K4830" t="s">
        <v>2102</v>
      </c>
      <c r="L4830" t="s">
        <v>2115</v>
      </c>
      <c r="M4830">
        <v>426</v>
      </c>
      <c r="N4830">
        <v>52.56</v>
      </c>
      <c r="O4830">
        <v>17673.3</v>
      </c>
      <c r="P4830">
        <v>0</v>
      </c>
      <c r="Q4830">
        <v>17673.3</v>
      </c>
      <c r="R4830">
        <v>2827.73</v>
      </c>
      <c r="S4830">
        <v>706.93</v>
      </c>
      <c r="T4830">
        <v>19794.099999999999</v>
      </c>
      <c r="U4830" t="s">
        <v>8051</v>
      </c>
      <c r="V4830" t="s">
        <v>9409</v>
      </c>
      <c r="W4830" t="s">
        <v>423</v>
      </c>
    </row>
    <row r="4831" spans="1:23" hidden="1" x14ac:dyDescent="0.2">
      <c r="A4831">
        <v>2012</v>
      </c>
      <c r="B4831" t="s">
        <v>304</v>
      </c>
      <c r="C4831" s="733">
        <v>40954.423078703701</v>
      </c>
      <c r="D48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31" t="s">
        <v>485</v>
      </c>
      <c r="F4831" t="s">
        <v>2065</v>
      </c>
      <c r="G4831" t="s">
        <v>3343</v>
      </c>
      <c r="H4831">
        <v>41955</v>
      </c>
      <c r="I4831" t="s">
        <v>423</v>
      </c>
      <c r="J4831" t="s">
        <v>2182</v>
      </c>
      <c r="K4831" t="s">
        <v>2183</v>
      </c>
      <c r="L4831" t="s">
        <v>2184</v>
      </c>
      <c r="M4831">
        <v>62</v>
      </c>
      <c r="N4831">
        <v>31.62</v>
      </c>
      <c r="O4831">
        <v>4684.1899999999996</v>
      </c>
      <c r="P4831">
        <v>0</v>
      </c>
      <c r="Q4831">
        <v>4684.1899999999996</v>
      </c>
      <c r="R4831">
        <v>749.47</v>
      </c>
      <c r="S4831">
        <v>187.37</v>
      </c>
      <c r="T4831">
        <v>5246.29</v>
      </c>
      <c r="U4831" t="s">
        <v>8048</v>
      </c>
      <c r="V4831" t="s">
        <v>9408</v>
      </c>
      <c r="W4831" t="s">
        <v>423</v>
      </c>
    </row>
    <row r="4832" spans="1:23" hidden="1" x14ac:dyDescent="0.2">
      <c r="A4832">
        <v>2012</v>
      </c>
      <c r="B4832" t="s">
        <v>303</v>
      </c>
      <c r="C4832" s="733">
        <v>40924</v>
      </c>
      <c r="D48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32" t="s">
        <v>485</v>
      </c>
      <c r="F4832" t="s">
        <v>2065</v>
      </c>
      <c r="G4832" t="s">
        <v>3344</v>
      </c>
      <c r="H4832">
        <v>40294</v>
      </c>
      <c r="I4832" t="s">
        <v>423</v>
      </c>
      <c r="J4832" t="s">
        <v>2182</v>
      </c>
      <c r="K4832" t="s">
        <v>2183</v>
      </c>
      <c r="L4832" t="s">
        <v>2184</v>
      </c>
      <c r="M4832">
        <v>62</v>
      </c>
      <c r="N4832">
        <v>25.61</v>
      </c>
      <c r="O4832">
        <v>3793.87</v>
      </c>
      <c r="P4832">
        <v>0</v>
      </c>
      <c r="Q4832">
        <v>3793.87</v>
      </c>
      <c r="R4832">
        <v>607.02</v>
      </c>
      <c r="S4832">
        <v>151.75</v>
      </c>
      <c r="T4832">
        <v>4249.1400000000003</v>
      </c>
      <c r="U4832" t="s">
        <v>7587</v>
      </c>
      <c r="V4832" t="s">
        <v>9408</v>
      </c>
      <c r="W4832" t="s">
        <v>423</v>
      </c>
    </row>
    <row r="4833" spans="1:23" hidden="1" x14ac:dyDescent="0.2">
      <c r="A4833">
        <v>2012</v>
      </c>
      <c r="B4833" t="s">
        <v>303</v>
      </c>
      <c r="C4833" s="733">
        <v>40926</v>
      </c>
      <c r="D48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33" t="s">
        <v>485</v>
      </c>
      <c r="F4833" t="s">
        <v>2065</v>
      </c>
      <c r="G4833" t="s">
        <v>3332</v>
      </c>
      <c r="H4833">
        <v>40481</v>
      </c>
      <c r="I4833" t="s">
        <v>423</v>
      </c>
      <c r="J4833" t="s">
        <v>2182</v>
      </c>
      <c r="K4833" t="s">
        <v>2183</v>
      </c>
      <c r="L4833" t="s">
        <v>2184</v>
      </c>
      <c r="M4833">
        <v>62</v>
      </c>
      <c r="N4833">
        <v>16.38</v>
      </c>
      <c r="O4833">
        <v>2426.5300000000002</v>
      </c>
      <c r="P4833">
        <v>0</v>
      </c>
      <c r="Q4833">
        <v>2426.5300000000002</v>
      </c>
      <c r="R4833">
        <v>388.25</v>
      </c>
      <c r="S4833">
        <v>97.06</v>
      </c>
      <c r="T4833">
        <v>2717.72</v>
      </c>
      <c r="U4833" t="s">
        <v>7554</v>
      </c>
      <c r="V4833" t="s">
        <v>9408</v>
      </c>
      <c r="W4833" t="s">
        <v>423</v>
      </c>
    </row>
    <row r="4834" spans="1:23" hidden="1" x14ac:dyDescent="0.2">
      <c r="A4834">
        <v>2012</v>
      </c>
      <c r="B4834" t="s">
        <v>304</v>
      </c>
      <c r="C4834" s="733">
        <v>40960</v>
      </c>
      <c r="D48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34" t="s">
        <v>485</v>
      </c>
      <c r="F4834" t="s">
        <v>2065</v>
      </c>
      <c r="G4834" t="s">
        <v>8128</v>
      </c>
      <c r="H4834">
        <v>42247</v>
      </c>
      <c r="I4834" t="s">
        <v>423</v>
      </c>
      <c r="J4834" t="s">
        <v>2182</v>
      </c>
      <c r="K4834" t="s">
        <v>2183</v>
      </c>
      <c r="L4834" t="s">
        <v>2184</v>
      </c>
      <c r="M4834">
        <v>62</v>
      </c>
      <c r="N4834">
        <v>16.11</v>
      </c>
      <c r="O4834">
        <v>2386.54</v>
      </c>
      <c r="P4834">
        <v>0</v>
      </c>
      <c r="Q4834">
        <v>2386.54</v>
      </c>
      <c r="R4834">
        <v>381.85</v>
      </c>
      <c r="S4834">
        <v>95.46</v>
      </c>
      <c r="T4834">
        <v>2672.93</v>
      </c>
      <c r="U4834" t="s">
        <v>9411</v>
      </c>
      <c r="V4834" t="s">
        <v>9408</v>
      </c>
      <c r="W4834" t="s">
        <v>423</v>
      </c>
    </row>
    <row r="4835" spans="1:23" hidden="1" x14ac:dyDescent="0.2">
      <c r="A4835">
        <v>2012</v>
      </c>
      <c r="B4835" t="s">
        <v>303</v>
      </c>
      <c r="C4835" s="733">
        <v>40935</v>
      </c>
      <c r="D48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35" t="s">
        <v>485</v>
      </c>
      <c r="F4835" t="s">
        <v>2065</v>
      </c>
      <c r="G4835" t="s">
        <v>3342</v>
      </c>
      <c r="H4835">
        <v>40037</v>
      </c>
      <c r="I4835" t="s">
        <v>423</v>
      </c>
      <c r="J4835" t="s">
        <v>2182</v>
      </c>
      <c r="K4835" t="s">
        <v>2183</v>
      </c>
      <c r="L4835" t="s">
        <v>2184</v>
      </c>
      <c r="M4835">
        <v>62</v>
      </c>
      <c r="N4835">
        <v>52.73</v>
      </c>
      <c r="O4835">
        <v>7811.42</v>
      </c>
      <c r="P4835">
        <v>0</v>
      </c>
      <c r="Q4835">
        <v>7811.42</v>
      </c>
      <c r="R4835">
        <v>1249.83</v>
      </c>
      <c r="S4835">
        <v>312.45999999999998</v>
      </c>
      <c r="T4835">
        <v>8748.7900000000009</v>
      </c>
      <c r="U4835" t="s">
        <v>2187</v>
      </c>
      <c r="V4835" t="s">
        <v>9409</v>
      </c>
      <c r="W4835" t="s">
        <v>423</v>
      </c>
    </row>
    <row r="4836" spans="1:23" hidden="1" x14ac:dyDescent="0.2">
      <c r="A4836">
        <v>2012</v>
      </c>
      <c r="B4836" t="s">
        <v>303</v>
      </c>
      <c r="C4836" s="733">
        <v>40918.739421296297</v>
      </c>
      <c r="D48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36" t="s">
        <v>505</v>
      </c>
      <c r="F4836" t="s">
        <v>1915</v>
      </c>
      <c r="G4836" t="s">
        <v>6881</v>
      </c>
      <c r="H4836">
        <v>21881</v>
      </c>
      <c r="I4836" t="s">
        <v>423</v>
      </c>
      <c r="J4836" t="s">
        <v>5606</v>
      </c>
      <c r="K4836" t="s">
        <v>1918</v>
      </c>
      <c r="L4836" t="s">
        <v>1919</v>
      </c>
      <c r="M4836">
        <v>383</v>
      </c>
      <c r="N4836">
        <v>53.94</v>
      </c>
      <c r="O4836">
        <v>15817.37</v>
      </c>
      <c r="P4836">
        <v>0</v>
      </c>
      <c r="Q4836">
        <v>15817.37</v>
      </c>
      <c r="R4836">
        <v>2530.7800000000002</v>
      </c>
      <c r="S4836">
        <v>632.69000000000005</v>
      </c>
      <c r="T4836">
        <v>17715.46</v>
      </c>
      <c r="U4836" t="s">
        <v>1931</v>
      </c>
      <c r="V4836" t="s">
        <v>9409</v>
      </c>
      <c r="W4836" t="s">
        <v>423</v>
      </c>
    </row>
    <row r="4837" spans="1:23" hidden="1" x14ac:dyDescent="0.2">
      <c r="A4837">
        <v>2012</v>
      </c>
      <c r="B4837" t="s">
        <v>303</v>
      </c>
      <c r="C4837" s="733">
        <v>40918</v>
      </c>
      <c r="D48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37" t="s">
        <v>505</v>
      </c>
      <c r="F4837" t="s">
        <v>1915</v>
      </c>
      <c r="G4837" t="s">
        <v>6567</v>
      </c>
      <c r="H4837">
        <v>21818</v>
      </c>
      <c r="I4837" t="s">
        <v>423</v>
      </c>
      <c r="J4837" t="s">
        <v>5606</v>
      </c>
      <c r="K4837" t="s">
        <v>1918</v>
      </c>
      <c r="L4837" t="s">
        <v>1919</v>
      </c>
      <c r="M4837">
        <v>383</v>
      </c>
      <c r="N4837">
        <v>54.21</v>
      </c>
      <c r="O4837">
        <v>15896.54</v>
      </c>
      <c r="P4837">
        <v>0</v>
      </c>
      <c r="Q4837">
        <v>15896.54</v>
      </c>
      <c r="R4837">
        <v>2543.4499999999998</v>
      </c>
      <c r="S4837">
        <v>635.86</v>
      </c>
      <c r="T4837">
        <v>17804.13</v>
      </c>
      <c r="U4837" t="s">
        <v>1931</v>
      </c>
      <c r="V4837" t="s">
        <v>9409</v>
      </c>
      <c r="W4837" t="s">
        <v>423</v>
      </c>
    </row>
    <row r="4838" spans="1:23" hidden="1" x14ac:dyDescent="0.2">
      <c r="A4838">
        <v>2012</v>
      </c>
      <c r="B4838" t="s">
        <v>303</v>
      </c>
      <c r="C4838" s="733">
        <v>40927</v>
      </c>
      <c r="D48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38" t="s">
        <v>505</v>
      </c>
      <c r="F4838" t="s">
        <v>1915</v>
      </c>
      <c r="G4838" t="s">
        <v>6557</v>
      </c>
      <c r="H4838">
        <v>22060</v>
      </c>
      <c r="I4838" t="s">
        <v>423</v>
      </c>
      <c r="J4838" t="s">
        <v>3207</v>
      </c>
      <c r="K4838" t="s">
        <v>1918</v>
      </c>
      <c r="L4838" t="s">
        <v>1919</v>
      </c>
      <c r="M4838">
        <v>334</v>
      </c>
      <c r="N4838">
        <v>24.74</v>
      </c>
      <c r="O4838">
        <v>6831.7</v>
      </c>
      <c r="P4838">
        <v>0</v>
      </c>
      <c r="Q4838">
        <v>6831.7</v>
      </c>
      <c r="R4838">
        <v>1093.07</v>
      </c>
      <c r="S4838">
        <v>273.27</v>
      </c>
      <c r="T4838">
        <v>7651.5</v>
      </c>
      <c r="U4838" t="s">
        <v>1936</v>
      </c>
      <c r="V4838" t="s">
        <v>9408</v>
      </c>
      <c r="W4838" t="s">
        <v>423</v>
      </c>
    </row>
    <row r="4839" spans="1:23" hidden="1" x14ac:dyDescent="0.2">
      <c r="A4839">
        <v>2012</v>
      </c>
      <c r="B4839" t="s">
        <v>303</v>
      </c>
      <c r="C4839" s="733">
        <v>40936</v>
      </c>
      <c r="D48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39" t="s">
        <v>478</v>
      </c>
      <c r="F4839" t="s">
        <v>2136</v>
      </c>
      <c r="G4839" t="s">
        <v>5214</v>
      </c>
      <c r="H4839">
        <v>34536</v>
      </c>
      <c r="I4839" t="s">
        <v>423</v>
      </c>
      <c r="J4839" t="s">
        <v>3797</v>
      </c>
      <c r="K4839" t="s">
        <v>3481</v>
      </c>
      <c r="L4839" t="s">
        <v>3482</v>
      </c>
      <c r="M4839">
        <v>266</v>
      </c>
      <c r="N4839">
        <v>29.254999999999999</v>
      </c>
      <c r="O4839">
        <v>6533.23</v>
      </c>
      <c r="P4839">
        <v>0</v>
      </c>
      <c r="Q4839">
        <v>6533.23</v>
      </c>
      <c r="R4839">
        <v>1045.32</v>
      </c>
      <c r="S4839">
        <v>261.33</v>
      </c>
      <c r="T4839">
        <v>7317.22</v>
      </c>
      <c r="U4839" t="s">
        <v>3784</v>
      </c>
      <c r="V4839" t="s">
        <v>9408</v>
      </c>
      <c r="W4839" t="s">
        <v>423</v>
      </c>
    </row>
    <row r="4840" spans="1:23" hidden="1" x14ac:dyDescent="0.2">
      <c r="A4840">
        <v>2012</v>
      </c>
      <c r="B4840" t="s">
        <v>304</v>
      </c>
      <c r="C4840" s="733">
        <v>40940</v>
      </c>
      <c r="D48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40" t="s">
        <v>485</v>
      </c>
      <c r="F4840" t="s">
        <v>2065</v>
      </c>
      <c r="G4840" t="s">
        <v>4566</v>
      </c>
      <c r="H4840">
        <v>39920</v>
      </c>
      <c r="I4840" t="s">
        <v>423</v>
      </c>
      <c r="J4840" t="s">
        <v>2182</v>
      </c>
      <c r="K4840" t="s">
        <v>2183</v>
      </c>
      <c r="L4840" t="s">
        <v>2184</v>
      </c>
      <c r="M4840">
        <v>62</v>
      </c>
      <c r="N4840">
        <v>47.31</v>
      </c>
      <c r="O4840">
        <v>7008.5</v>
      </c>
      <c r="P4840">
        <v>0</v>
      </c>
      <c r="Q4840">
        <v>7008.5</v>
      </c>
      <c r="R4840">
        <v>1121.3599999999999</v>
      </c>
      <c r="S4840">
        <v>280.33999999999997</v>
      </c>
      <c r="T4840">
        <v>7849.52</v>
      </c>
      <c r="U4840" t="s">
        <v>2187</v>
      </c>
      <c r="V4840" t="s">
        <v>9409</v>
      </c>
      <c r="W4840" t="s">
        <v>423</v>
      </c>
    </row>
    <row r="4841" spans="1:23" hidden="1" x14ac:dyDescent="0.2">
      <c r="A4841">
        <v>2012</v>
      </c>
      <c r="B4841" t="s">
        <v>304</v>
      </c>
      <c r="C4841" s="733">
        <v>40962</v>
      </c>
      <c r="D48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41" t="s">
        <v>478</v>
      </c>
      <c r="F4841" t="s">
        <v>3358</v>
      </c>
      <c r="G4841" t="s">
        <v>8518</v>
      </c>
      <c r="H4841">
        <v>35912</v>
      </c>
      <c r="I4841" t="s">
        <v>423</v>
      </c>
      <c r="J4841" t="s">
        <v>3360</v>
      </c>
      <c r="K4841" t="s">
        <v>483</v>
      </c>
      <c r="L4841" t="s">
        <v>3361</v>
      </c>
      <c r="M4841">
        <v>49</v>
      </c>
      <c r="N4841">
        <v>31.9</v>
      </c>
      <c r="O4841">
        <v>3600.55</v>
      </c>
      <c r="P4841">
        <v>0</v>
      </c>
      <c r="Q4841">
        <v>3600.55</v>
      </c>
      <c r="R4841">
        <v>576.09</v>
      </c>
      <c r="S4841">
        <v>144.02000000000001</v>
      </c>
      <c r="T4841">
        <v>4032.62</v>
      </c>
      <c r="V4841" t="s">
        <v>9408</v>
      </c>
      <c r="W4841" t="s">
        <v>423</v>
      </c>
    </row>
    <row r="4842" spans="1:23" hidden="1" x14ac:dyDescent="0.2">
      <c r="A4842">
        <v>2012</v>
      </c>
      <c r="B4842" t="s">
        <v>304</v>
      </c>
      <c r="C4842" s="733">
        <v>40941</v>
      </c>
      <c r="D48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42" t="s">
        <v>485</v>
      </c>
      <c r="F4842" t="s">
        <v>2065</v>
      </c>
      <c r="G4842" t="s">
        <v>3111</v>
      </c>
      <c r="H4842">
        <v>40170</v>
      </c>
      <c r="I4842" t="s">
        <v>423</v>
      </c>
      <c r="J4842" t="s">
        <v>2114</v>
      </c>
      <c r="K4842" t="s">
        <v>2102</v>
      </c>
      <c r="L4842" t="s">
        <v>2115</v>
      </c>
      <c r="M4842">
        <v>500</v>
      </c>
      <c r="N4842">
        <v>54.1</v>
      </c>
      <c r="O4842">
        <v>18191.12</v>
      </c>
      <c r="P4842">
        <v>0</v>
      </c>
      <c r="Q4842">
        <v>18191.12</v>
      </c>
      <c r="R4842">
        <v>2910.58</v>
      </c>
      <c r="S4842">
        <v>727.64</v>
      </c>
      <c r="T4842">
        <v>20374.060000000001</v>
      </c>
      <c r="V4842" t="s">
        <v>9409</v>
      </c>
      <c r="W4842" t="s">
        <v>423</v>
      </c>
    </row>
    <row r="4843" spans="1:23" hidden="1" x14ac:dyDescent="0.2">
      <c r="A4843">
        <v>2012</v>
      </c>
      <c r="B4843" t="s">
        <v>304</v>
      </c>
      <c r="C4843" s="733">
        <v>40963</v>
      </c>
      <c r="D48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43" t="s">
        <v>478</v>
      </c>
      <c r="F4843" t="s">
        <v>3358</v>
      </c>
      <c r="G4843" t="s">
        <v>9022</v>
      </c>
      <c r="H4843">
        <v>35915</v>
      </c>
      <c r="I4843" t="s">
        <v>423</v>
      </c>
      <c r="J4843" t="s">
        <v>4396</v>
      </c>
      <c r="K4843" t="s">
        <v>4397</v>
      </c>
      <c r="L4843" t="s">
        <v>4398</v>
      </c>
      <c r="M4843">
        <v>112</v>
      </c>
      <c r="N4843">
        <v>25.734999999999999</v>
      </c>
      <c r="O4843">
        <v>2904.71</v>
      </c>
      <c r="P4843">
        <v>0</v>
      </c>
      <c r="Q4843">
        <v>2904.71</v>
      </c>
      <c r="R4843">
        <v>464.75</v>
      </c>
      <c r="S4843">
        <v>116.19</v>
      </c>
      <c r="T4843">
        <v>3253.27</v>
      </c>
      <c r="U4843" t="s">
        <v>8982</v>
      </c>
      <c r="V4843" t="s">
        <v>9408</v>
      </c>
      <c r="W4843" t="s">
        <v>423</v>
      </c>
    </row>
    <row r="4844" spans="1:23" hidden="1" x14ac:dyDescent="0.2">
      <c r="A4844">
        <v>2012</v>
      </c>
      <c r="B4844" t="s">
        <v>304</v>
      </c>
      <c r="C4844" s="733">
        <v>40964</v>
      </c>
      <c r="D48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44" t="s">
        <v>505</v>
      </c>
      <c r="F4844" t="s">
        <v>1915</v>
      </c>
      <c r="G4844" t="s">
        <v>8773</v>
      </c>
      <c r="H4844">
        <v>22942</v>
      </c>
      <c r="I4844" t="s">
        <v>423</v>
      </c>
      <c r="J4844" t="s">
        <v>4153</v>
      </c>
      <c r="K4844" t="s">
        <v>1918</v>
      </c>
      <c r="L4844" t="s">
        <v>1919</v>
      </c>
      <c r="M4844">
        <v>850</v>
      </c>
      <c r="N4844">
        <v>49.93</v>
      </c>
      <c r="O4844">
        <v>31199.26</v>
      </c>
      <c r="P4844">
        <v>0</v>
      </c>
      <c r="Q4844">
        <v>31199.26</v>
      </c>
      <c r="R4844">
        <v>4991.88</v>
      </c>
      <c r="S4844">
        <v>1247.97</v>
      </c>
      <c r="T4844">
        <v>34943.17</v>
      </c>
      <c r="U4844" t="s">
        <v>9415</v>
      </c>
      <c r="V4844" t="s">
        <v>9409</v>
      </c>
      <c r="W4844" t="s">
        <v>423</v>
      </c>
    </row>
    <row r="4845" spans="1:23" hidden="1" x14ac:dyDescent="0.2">
      <c r="A4845">
        <v>2012</v>
      </c>
      <c r="B4845" t="s">
        <v>304</v>
      </c>
      <c r="C4845" s="733">
        <v>40954</v>
      </c>
      <c r="D48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45" t="s">
        <v>505</v>
      </c>
      <c r="F4845" t="s">
        <v>1915</v>
      </c>
      <c r="G4845" t="s">
        <v>7682</v>
      </c>
      <c r="H4845">
        <v>22707</v>
      </c>
      <c r="I4845" t="s">
        <v>423</v>
      </c>
      <c r="J4845" t="s">
        <v>4153</v>
      </c>
      <c r="K4845" t="s">
        <v>1918</v>
      </c>
      <c r="L4845" t="s">
        <v>1919</v>
      </c>
      <c r="M4845">
        <v>850</v>
      </c>
      <c r="N4845">
        <v>50.01</v>
      </c>
      <c r="O4845">
        <v>31249.25</v>
      </c>
      <c r="P4845">
        <v>0</v>
      </c>
      <c r="Q4845">
        <v>31249.25</v>
      </c>
      <c r="R4845">
        <v>4999.88</v>
      </c>
      <c r="S4845">
        <v>1249.97</v>
      </c>
      <c r="T4845">
        <v>34999.160000000003</v>
      </c>
      <c r="U4845" t="s">
        <v>7529</v>
      </c>
      <c r="V4845" t="s">
        <v>9409</v>
      </c>
      <c r="W4845" t="s">
        <v>423</v>
      </c>
    </row>
    <row r="4846" spans="1:23" hidden="1" x14ac:dyDescent="0.2">
      <c r="A4846">
        <v>2012</v>
      </c>
      <c r="B4846" t="s">
        <v>303</v>
      </c>
      <c r="C4846" s="733">
        <v>40931</v>
      </c>
      <c r="D48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46" t="s">
        <v>505</v>
      </c>
      <c r="F4846" t="s">
        <v>1915</v>
      </c>
      <c r="G4846" t="s">
        <v>6880</v>
      </c>
      <c r="H4846">
        <v>22122</v>
      </c>
      <c r="I4846" t="s">
        <v>423</v>
      </c>
      <c r="J4846" t="s">
        <v>4153</v>
      </c>
      <c r="K4846" t="s">
        <v>1918</v>
      </c>
      <c r="L4846" t="s">
        <v>1919</v>
      </c>
      <c r="M4846">
        <v>850</v>
      </c>
      <c r="N4846">
        <v>48.76</v>
      </c>
      <c r="O4846">
        <v>30468.17</v>
      </c>
      <c r="P4846">
        <v>0</v>
      </c>
      <c r="Q4846">
        <v>30468.17</v>
      </c>
      <c r="R4846">
        <v>4874.91</v>
      </c>
      <c r="S4846">
        <v>1218.73</v>
      </c>
      <c r="T4846">
        <v>34124.35</v>
      </c>
      <c r="U4846" t="s">
        <v>1936</v>
      </c>
      <c r="V4846" t="s">
        <v>9409</v>
      </c>
      <c r="W4846" t="s">
        <v>423</v>
      </c>
    </row>
    <row r="4847" spans="1:23" hidden="1" x14ac:dyDescent="0.2">
      <c r="A4847">
        <v>2012</v>
      </c>
      <c r="B4847" t="s">
        <v>304</v>
      </c>
      <c r="C4847" s="733">
        <v>40960</v>
      </c>
      <c r="D48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47" t="s">
        <v>485</v>
      </c>
      <c r="F4847" t="s">
        <v>2084</v>
      </c>
      <c r="G4847" t="s">
        <v>8148</v>
      </c>
      <c r="H4847">
        <v>42048</v>
      </c>
      <c r="I4847" t="s">
        <v>423</v>
      </c>
      <c r="J4847" t="s">
        <v>2813</v>
      </c>
      <c r="K4847" t="s">
        <v>2814</v>
      </c>
      <c r="L4847" t="s">
        <v>2815</v>
      </c>
      <c r="M4847">
        <v>365</v>
      </c>
      <c r="N4847">
        <v>24.177</v>
      </c>
      <c r="O4847">
        <v>6507.96</v>
      </c>
      <c r="P4847">
        <v>0</v>
      </c>
      <c r="Q4847">
        <v>6507.96</v>
      </c>
      <c r="R4847">
        <v>715.88</v>
      </c>
      <c r="S4847">
        <v>260.32</v>
      </c>
      <c r="T4847">
        <v>6963.52</v>
      </c>
      <c r="U4847" t="s">
        <v>8877</v>
      </c>
      <c r="V4847" t="s">
        <v>9408</v>
      </c>
      <c r="W4847" t="s">
        <v>423</v>
      </c>
    </row>
    <row r="4848" spans="1:23" hidden="1" x14ac:dyDescent="0.2">
      <c r="A4848">
        <v>2012</v>
      </c>
      <c r="B4848" t="s">
        <v>304</v>
      </c>
      <c r="C4848" s="733">
        <v>40953</v>
      </c>
      <c r="D48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48" t="s">
        <v>485</v>
      </c>
      <c r="F4848" t="s">
        <v>2084</v>
      </c>
      <c r="G4848" t="s">
        <v>4612</v>
      </c>
      <c r="H4848">
        <v>41575</v>
      </c>
      <c r="I4848" t="s">
        <v>423</v>
      </c>
      <c r="J4848" t="s">
        <v>2813</v>
      </c>
      <c r="K4848" t="s">
        <v>2814</v>
      </c>
      <c r="L4848" t="s">
        <v>2815</v>
      </c>
      <c r="M4848">
        <v>365</v>
      </c>
      <c r="N4848">
        <v>24.117000000000001</v>
      </c>
      <c r="O4848">
        <v>6491.81</v>
      </c>
      <c r="P4848">
        <v>0</v>
      </c>
      <c r="Q4848">
        <v>6491.81</v>
      </c>
      <c r="R4848">
        <v>714.1</v>
      </c>
      <c r="S4848">
        <v>259.67</v>
      </c>
      <c r="T4848">
        <v>6946.24</v>
      </c>
      <c r="U4848" t="s">
        <v>7527</v>
      </c>
      <c r="V4848" t="s">
        <v>9408</v>
      </c>
      <c r="W4848" t="s">
        <v>423</v>
      </c>
    </row>
    <row r="4849" spans="1:23" x14ac:dyDescent="0.2">
      <c r="A4849">
        <v>2012</v>
      </c>
      <c r="B4849" t="s">
        <v>304</v>
      </c>
      <c r="C4849" s="733">
        <v>40967</v>
      </c>
      <c r="D48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49" t="s">
        <v>485</v>
      </c>
      <c r="F4849" t="s">
        <v>2084</v>
      </c>
      <c r="G4849" t="s">
        <v>9205</v>
      </c>
      <c r="H4849">
        <v>42399</v>
      </c>
      <c r="I4849" t="s">
        <v>423</v>
      </c>
      <c r="J4849" t="s">
        <v>2813</v>
      </c>
      <c r="K4849" t="s">
        <v>2814</v>
      </c>
      <c r="L4849" t="s">
        <v>2815</v>
      </c>
      <c r="M4849">
        <v>365</v>
      </c>
      <c r="N4849">
        <v>23.949000000000002</v>
      </c>
      <c r="O4849">
        <v>6446.59</v>
      </c>
      <c r="P4849">
        <v>0</v>
      </c>
      <c r="Q4849">
        <v>6446.59</v>
      </c>
      <c r="R4849">
        <v>709.13</v>
      </c>
      <c r="S4849">
        <v>257.86</v>
      </c>
      <c r="T4849">
        <v>6897.86</v>
      </c>
      <c r="U4849" t="s">
        <v>8877</v>
      </c>
      <c r="V4849" t="s">
        <v>9408</v>
      </c>
      <c r="W4849" t="s">
        <v>423</v>
      </c>
    </row>
    <row r="4850" spans="1:23" hidden="1" x14ac:dyDescent="0.2">
      <c r="A4850">
        <v>2012</v>
      </c>
      <c r="B4850" t="s">
        <v>303</v>
      </c>
      <c r="C4850" s="733">
        <v>40938</v>
      </c>
      <c r="D48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50" t="s">
        <v>485</v>
      </c>
      <c r="F4850" t="s">
        <v>2084</v>
      </c>
      <c r="G4850" t="s">
        <v>4615</v>
      </c>
      <c r="H4850">
        <v>39820</v>
      </c>
      <c r="I4850" t="s">
        <v>423</v>
      </c>
      <c r="J4850" t="s">
        <v>2813</v>
      </c>
      <c r="K4850" t="s">
        <v>2814</v>
      </c>
      <c r="L4850" t="s">
        <v>2815</v>
      </c>
      <c r="M4850">
        <v>365</v>
      </c>
      <c r="N4850">
        <v>23.361999999999998</v>
      </c>
      <c r="O4850">
        <v>6288.58</v>
      </c>
      <c r="P4850">
        <v>0</v>
      </c>
      <c r="Q4850">
        <v>6288.58</v>
      </c>
      <c r="R4850">
        <v>1006.17</v>
      </c>
      <c r="S4850">
        <v>251.54</v>
      </c>
      <c r="T4850">
        <v>7043.21</v>
      </c>
      <c r="U4850" t="s">
        <v>2826</v>
      </c>
      <c r="V4850" t="s">
        <v>9408</v>
      </c>
      <c r="W4850" t="s">
        <v>423</v>
      </c>
    </row>
    <row r="4851" spans="1:23" hidden="1" x14ac:dyDescent="0.2">
      <c r="A4851">
        <v>2012</v>
      </c>
      <c r="B4851" t="s">
        <v>304</v>
      </c>
      <c r="C4851" s="733">
        <v>40960</v>
      </c>
      <c r="D48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51" t="s">
        <v>485</v>
      </c>
      <c r="F4851" t="s">
        <v>2084</v>
      </c>
      <c r="G4851" t="s">
        <v>8181</v>
      </c>
      <c r="H4851">
        <v>41928</v>
      </c>
      <c r="I4851" t="s">
        <v>423</v>
      </c>
      <c r="J4851" t="s">
        <v>2813</v>
      </c>
      <c r="K4851" t="s">
        <v>2814</v>
      </c>
      <c r="L4851" t="s">
        <v>2815</v>
      </c>
      <c r="M4851">
        <v>365</v>
      </c>
      <c r="N4851">
        <v>24.001999999999999</v>
      </c>
      <c r="O4851">
        <v>6460.86</v>
      </c>
      <c r="P4851">
        <v>0</v>
      </c>
      <c r="Q4851">
        <v>6460.86</v>
      </c>
      <c r="R4851">
        <v>710.69</v>
      </c>
      <c r="S4851">
        <v>258.43</v>
      </c>
      <c r="T4851">
        <v>6913.12</v>
      </c>
      <c r="U4851" t="s">
        <v>8877</v>
      </c>
      <c r="V4851" t="s">
        <v>9408</v>
      </c>
      <c r="W4851" t="s">
        <v>423</v>
      </c>
    </row>
    <row r="4852" spans="1:23" hidden="1" x14ac:dyDescent="0.2">
      <c r="A4852">
        <v>2012</v>
      </c>
      <c r="B4852" t="s">
        <v>303</v>
      </c>
      <c r="C4852" s="733">
        <v>40932</v>
      </c>
      <c r="D48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52" t="s">
        <v>485</v>
      </c>
      <c r="F4852" t="s">
        <v>2084</v>
      </c>
      <c r="G4852" t="s">
        <v>4611</v>
      </c>
      <c r="H4852">
        <v>40488</v>
      </c>
      <c r="I4852" t="s">
        <v>423</v>
      </c>
      <c r="J4852" t="s">
        <v>2813</v>
      </c>
      <c r="K4852" t="s">
        <v>2814</v>
      </c>
      <c r="L4852" t="s">
        <v>2815</v>
      </c>
      <c r="M4852">
        <v>365</v>
      </c>
      <c r="N4852">
        <v>23.818000000000001</v>
      </c>
      <c r="O4852">
        <v>6411.33</v>
      </c>
      <c r="P4852">
        <v>0</v>
      </c>
      <c r="Q4852">
        <v>6411.33</v>
      </c>
      <c r="R4852">
        <v>1025.81</v>
      </c>
      <c r="S4852">
        <v>256.45</v>
      </c>
      <c r="T4852">
        <v>7180.69</v>
      </c>
      <c r="U4852" t="s">
        <v>8522</v>
      </c>
      <c r="V4852" t="s">
        <v>9408</v>
      </c>
      <c r="W4852" t="s">
        <v>423</v>
      </c>
    </row>
    <row r="4853" spans="1:23" hidden="1" x14ac:dyDescent="0.2">
      <c r="A4853">
        <v>2012</v>
      </c>
      <c r="B4853" t="s">
        <v>304</v>
      </c>
      <c r="C4853" s="733">
        <v>40949</v>
      </c>
      <c r="D48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53" t="s">
        <v>485</v>
      </c>
      <c r="F4853" t="s">
        <v>2084</v>
      </c>
      <c r="G4853" t="s">
        <v>4607</v>
      </c>
      <c r="H4853">
        <v>41239</v>
      </c>
      <c r="I4853" t="s">
        <v>423</v>
      </c>
      <c r="J4853" t="s">
        <v>2813</v>
      </c>
      <c r="K4853" t="s">
        <v>2814</v>
      </c>
      <c r="L4853" t="s">
        <v>2815</v>
      </c>
      <c r="M4853">
        <v>365</v>
      </c>
      <c r="N4853">
        <v>24.324000000000002</v>
      </c>
      <c r="O4853">
        <v>6547.53</v>
      </c>
      <c r="P4853">
        <v>0</v>
      </c>
      <c r="Q4853">
        <v>6547.53</v>
      </c>
      <c r="R4853">
        <v>720.23</v>
      </c>
      <c r="S4853">
        <v>261.89999999999998</v>
      </c>
      <c r="T4853">
        <v>7005.86</v>
      </c>
      <c r="U4853" t="s">
        <v>7527</v>
      </c>
      <c r="V4853" t="s">
        <v>9408</v>
      </c>
      <c r="W4853" t="s">
        <v>423</v>
      </c>
    </row>
    <row r="4854" spans="1:23" hidden="1" x14ac:dyDescent="0.2">
      <c r="A4854">
        <v>2012</v>
      </c>
      <c r="B4854" t="s">
        <v>303</v>
      </c>
      <c r="C4854" s="733">
        <v>40926</v>
      </c>
      <c r="D48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54" t="s">
        <v>485</v>
      </c>
      <c r="F4854" t="s">
        <v>2084</v>
      </c>
      <c r="G4854" t="s">
        <v>4620</v>
      </c>
      <c r="H4854">
        <v>40115</v>
      </c>
      <c r="I4854" t="s">
        <v>423</v>
      </c>
      <c r="J4854" t="s">
        <v>2813</v>
      </c>
      <c r="K4854" t="s">
        <v>2814</v>
      </c>
      <c r="L4854" t="s">
        <v>2815</v>
      </c>
      <c r="M4854">
        <v>365</v>
      </c>
      <c r="N4854">
        <v>24.298999999999999</v>
      </c>
      <c r="O4854">
        <v>6540.8</v>
      </c>
      <c r="P4854">
        <v>0</v>
      </c>
      <c r="Q4854">
        <v>6540.8</v>
      </c>
      <c r="R4854">
        <v>1046.53</v>
      </c>
      <c r="S4854">
        <v>261.63</v>
      </c>
      <c r="T4854">
        <v>7325.7</v>
      </c>
      <c r="U4854" t="s">
        <v>2826</v>
      </c>
      <c r="V4854" t="s">
        <v>9408</v>
      </c>
      <c r="W4854" t="s">
        <v>423</v>
      </c>
    </row>
    <row r="4855" spans="1:23" hidden="1" x14ac:dyDescent="0.2">
      <c r="A4855">
        <v>2012</v>
      </c>
      <c r="B4855" t="s">
        <v>304</v>
      </c>
      <c r="C4855" s="733">
        <v>40953</v>
      </c>
      <c r="D48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55" t="s">
        <v>485</v>
      </c>
      <c r="F4855" t="s">
        <v>2084</v>
      </c>
      <c r="G4855" t="s">
        <v>4610</v>
      </c>
      <c r="H4855">
        <v>41572</v>
      </c>
      <c r="I4855" t="s">
        <v>423</v>
      </c>
      <c r="J4855" t="s">
        <v>2813</v>
      </c>
      <c r="K4855" t="s">
        <v>2814</v>
      </c>
      <c r="L4855" t="s">
        <v>2815</v>
      </c>
      <c r="M4855">
        <v>365</v>
      </c>
      <c r="N4855">
        <v>23.954000000000001</v>
      </c>
      <c r="O4855">
        <v>6447.94</v>
      </c>
      <c r="P4855">
        <v>0</v>
      </c>
      <c r="Q4855">
        <v>6447.94</v>
      </c>
      <c r="R4855">
        <v>709.27</v>
      </c>
      <c r="S4855">
        <v>257.92</v>
      </c>
      <c r="T4855">
        <v>6899.29</v>
      </c>
      <c r="U4855" t="s">
        <v>7527</v>
      </c>
      <c r="V4855" t="s">
        <v>9408</v>
      </c>
      <c r="W4855" t="s">
        <v>423</v>
      </c>
    </row>
    <row r="4856" spans="1:23" hidden="1" x14ac:dyDescent="0.2">
      <c r="A4856">
        <v>2012</v>
      </c>
      <c r="B4856" t="s">
        <v>303</v>
      </c>
      <c r="C4856" s="733">
        <v>40938</v>
      </c>
      <c r="D48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56" t="s">
        <v>485</v>
      </c>
      <c r="F4856" t="s">
        <v>2084</v>
      </c>
      <c r="G4856" t="s">
        <v>4609</v>
      </c>
      <c r="H4856">
        <v>39937</v>
      </c>
      <c r="I4856" t="s">
        <v>423</v>
      </c>
      <c r="J4856" t="s">
        <v>2813</v>
      </c>
      <c r="K4856" t="s">
        <v>2814</v>
      </c>
      <c r="L4856" t="s">
        <v>2815</v>
      </c>
      <c r="M4856">
        <v>365</v>
      </c>
      <c r="N4856">
        <v>23.826000000000001</v>
      </c>
      <c r="O4856">
        <v>6413.48</v>
      </c>
      <c r="P4856">
        <v>0</v>
      </c>
      <c r="Q4856">
        <v>6413.48</v>
      </c>
      <c r="R4856">
        <v>1026.1600000000001</v>
      </c>
      <c r="S4856">
        <v>256.54000000000002</v>
      </c>
      <c r="T4856">
        <v>7183.1</v>
      </c>
      <c r="U4856" t="s">
        <v>2826</v>
      </c>
      <c r="V4856" t="s">
        <v>9408</v>
      </c>
      <c r="W4856" t="s">
        <v>423</v>
      </c>
    </row>
    <row r="4857" spans="1:23" hidden="1" x14ac:dyDescent="0.2">
      <c r="A4857">
        <v>2012</v>
      </c>
      <c r="B4857" t="s">
        <v>304</v>
      </c>
      <c r="C4857" s="733">
        <v>40960</v>
      </c>
      <c r="D48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57" t="s">
        <v>485</v>
      </c>
      <c r="F4857" t="s">
        <v>2084</v>
      </c>
      <c r="G4857" t="s">
        <v>8096</v>
      </c>
      <c r="H4857">
        <v>41777</v>
      </c>
      <c r="I4857" t="s">
        <v>423</v>
      </c>
      <c r="J4857" t="s">
        <v>2813</v>
      </c>
      <c r="K4857" t="s">
        <v>2814</v>
      </c>
      <c r="L4857" t="s">
        <v>2815</v>
      </c>
      <c r="M4857">
        <v>365</v>
      </c>
      <c r="N4857">
        <v>24.773</v>
      </c>
      <c r="O4857">
        <v>6668.4</v>
      </c>
      <c r="P4857">
        <v>0</v>
      </c>
      <c r="Q4857">
        <v>6668.4</v>
      </c>
      <c r="R4857">
        <v>733.52</v>
      </c>
      <c r="S4857">
        <v>266.74</v>
      </c>
      <c r="T4857">
        <v>7135.18</v>
      </c>
      <c r="U4857" t="s">
        <v>8877</v>
      </c>
      <c r="V4857" t="s">
        <v>9408</v>
      </c>
      <c r="W4857" t="s">
        <v>423</v>
      </c>
    </row>
    <row r="4858" spans="1:23" hidden="1" x14ac:dyDescent="0.2">
      <c r="A4858">
        <v>2012</v>
      </c>
      <c r="B4858" t="s">
        <v>304</v>
      </c>
      <c r="C4858" s="733">
        <v>40953</v>
      </c>
      <c r="D48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58" t="s">
        <v>485</v>
      </c>
      <c r="F4858" t="s">
        <v>2084</v>
      </c>
      <c r="G4858" t="s">
        <v>4608</v>
      </c>
      <c r="H4858">
        <v>41767</v>
      </c>
      <c r="I4858" t="s">
        <v>423</v>
      </c>
      <c r="J4858" t="s">
        <v>2813</v>
      </c>
      <c r="K4858" t="s">
        <v>2814</v>
      </c>
      <c r="L4858" t="s">
        <v>2815</v>
      </c>
      <c r="M4858">
        <v>365</v>
      </c>
      <c r="N4858">
        <v>24.631</v>
      </c>
      <c r="O4858">
        <v>6630.17</v>
      </c>
      <c r="P4858">
        <v>0</v>
      </c>
      <c r="Q4858">
        <v>6630.17</v>
      </c>
      <c r="R4858">
        <v>729.32</v>
      </c>
      <c r="S4858">
        <v>265.20999999999998</v>
      </c>
      <c r="T4858">
        <v>7094.28</v>
      </c>
      <c r="U4858" t="s">
        <v>8877</v>
      </c>
      <c r="V4858" t="s">
        <v>9408</v>
      </c>
      <c r="W4858" t="s">
        <v>423</v>
      </c>
    </row>
    <row r="4859" spans="1:23" hidden="1" x14ac:dyDescent="0.2">
      <c r="A4859">
        <v>2012</v>
      </c>
      <c r="B4859" t="s">
        <v>304</v>
      </c>
      <c r="C4859" s="733">
        <v>40960</v>
      </c>
      <c r="D48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59" t="s">
        <v>485</v>
      </c>
      <c r="F4859" t="s">
        <v>2065</v>
      </c>
      <c r="G4859" t="s">
        <v>8113</v>
      </c>
      <c r="H4859">
        <v>42233</v>
      </c>
      <c r="I4859" t="s">
        <v>423</v>
      </c>
      <c r="J4859" t="s">
        <v>5260</v>
      </c>
      <c r="K4859" t="s">
        <v>2102</v>
      </c>
      <c r="L4859" t="s">
        <v>2115</v>
      </c>
      <c r="M4859">
        <v>832</v>
      </c>
      <c r="N4859">
        <v>49.38</v>
      </c>
      <c r="O4859">
        <v>24639.14</v>
      </c>
      <c r="P4859">
        <v>0</v>
      </c>
      <c r="Q4859">
        <v>24639.14</v>
      </c>
      <c r="R4859">
        <v>3942.26</v>
      </c>
      <c r="S4859">
        <v>985.57</v>
      </c>
      <c r="T4859">
        <v>27595.83</v>
      </c>
      <c r="U4859" t="s">
        <v>8883</v>
      </c>
      <c r="V4859" t="s">
        <v>9409</v>
      </c>
      <c r="W4859" t="s">
        <v>423</v>
      </c>
    </row>
    <row r="4860" spans="1:23" x14ac:dyDescent="0.2">
      <c r="A4860">
        <v>2012</v>
      </c>
      <c r="B4860" t="s">
        <v>304</v>
      </c>
      <c r="C4860" s="733">
        <v>40967</v>
      </c>
      <c r="D48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60" t="s">
        <v>485</v>
      </c>
      <c r="F4860" t="s">
        <v>2084</v>
      </c>
      <c r="G4860" t="s">
        <v>9204</v>
      </c>
      <c r="H4860">
        <v>42396</v>
      </c>
      <c r="I4860" t="s">
        <v>423</v>
      </c>
      <c r="J4860" t="s">
        <v>2813</v>
      </c>
      <c r="K4860" t="s">
        <v>2814</v>
      </c>
      <c r="L4860" t="s">
        <v>2815</v>
      </c>
      <c r="M4860">
        <v>365</v>
      </c>
      <c r="N4860">
        <v>24.074999999999999</v>
      </c>
      <c r="O4860">
        <v>6480.51</v>
      </c>
      <c r="P4860">
        <v>0</v>
      </c>
      <c r="Q4860">
        <v>6480.51</v>
      </c>
      <c r="R4860">
        <v>712.86</v>
      </c>
      <c r="S4860">
        <v>259.22000000000003</v>
      </c>
      <c r="T4860">
        <v>6934.15</v>
      </c>
      <c r="U4860" t="s">
        <v>8877</v>
      </c>
      <c r="V4860" t="s">
        <v>9408</v>
      </c>
      <c r="W4860" t="s">
        <v>423</v>
      </c>
    </row>
    <row r="4861" spans="1:23" x14ac:dyDescent="0.2">
      <c r="A4861">
        <v>2012</v>
      </c>
      <c r="B4861" t="s">
        <v>304</v>
      </c>
      <c r="C4861" s="733">
        <v>40967</v>
      </c>
      <c r="D48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61" t="s">
        <v>485</v>
      </c>
      <c r="F4861" t="s">
        <v>2084</v>
      </c>
      <c r="G4861" t="s">
        <v>9206</v>
      </c>
      <c r="H4861">
        <v>42088</v>
      </c>
      <c r="I4861" t="s">
        <v>423</v>
      </c>
      <c r="J4861" t="s">
        <v>2813</v>
      </c>
      <c r="K4861" t="s">
        <v>2814</v>
      </c>
      <c r="L4861" t="s">
        <v>2815</v>
      </c>
      <c r="M4861">
        <v>365</v>
      </c>
      <c r="N4861">
        <v>23.603000000000002</v>
      </c>
      <c r="O4861">
        <v>6353.46</v>
      </c>
      <c r="P4861">
        <v>0</v>
      </c>
      <c r="Q4861">
        <v>6353.46</v>
      </c>
      <c r="R4861">
        <v>698.88</v>
      </c>
      <c r="S4861">
        <v>254.14</v>
      </c>
      <c r="T4861">
        <v>6798.2</v>
      </c>
      <c r="U4861" t="s">
        <v>8877</v>
      </c>
      <c r="V4861" t="s">
        <v>9408</v>
      </c>
      <c r="W4861" t="s">
        <v>423</v>
      </c>
    </row>
    <row r="4862" spans="1:23" hidden="1" x14ac:dyDescent="0.2">
      <c r="A4862">
        <v>2012</v>
      </c>
      <c r="B4862" t="s">
        <v>303</v>
      </c>
      <c r="C4862" s="733">
        <v>40938</v>
      </c>
      <c r="D48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62" t="s">
        <v>485</v>
      </c>
      <c r="F4862" t="s">
        <v>2084</v>
      </c>
      <c r="G4862" t="s">
        <v>4606</v>
      </c>
      <c r="H4862">
        <v>39815</v>
      </c>
      <c r="I4862" t="s">
        <v>423</v>
      </c>
      <c r="J4862" t="s">
        <v>2813</v>
      </c>
      <c r="K4862" t="s">
        <v>2814</v>
      </c>
      <c r="L4862" t="s">
        <v>2815</v>
      </c>
      <c r="M4862">
        <v>365</v>
      </c>
      <c r="N4862">
        <v>24.097000000000001</v>
      </c>
      <c r="O4862">
        <v>6486.43</v>
      </c>
      <c r="P4862">
        <v>0</v>
      </c>
      <c r="Q4862">
        <v>6486.43</v>
      </c>
      <c r="R4862">
        <v>1037.83</v>
      </c>
      <c r="S4862">
        <v>259.45999999999998</v>
      </c>
      <c r="T4862">
        <v>7264.8</v>
      </c>
      <c r="U4862" t="s">
        <v>2826</v>
      </c>
      <c r="V4862" t="s">
        <v>9408</v>
      </c>
      <c r="W4862" t="s">
        <v>423</v>
      </c>
    </row>
    <row r="4863" spans="1:23" hidden="1" x14ac:dyDescent="0.2">
      <c r="A4863">
        <v>2012</v>
      </c>
      <c r="B4863" t="s">
        <v>304</v>
      </c>
      <c r="C4863" s="733">
        <v>40953</v>
      </c>
      <c r="D48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63" t="s">
        <v>485</v>
      </c>
      <c r="F4863" t="s">
        <v>2084</v>
      </c>
      <c r="G4863" t="s">
        <v>4613</v>
      </c>
      <c r="H4863">
        <v>41404</v>
      </c>
      <c r="I4863" t="s">
        <v>423</v>
      </c>
      <c r="J4863" t="s">
        <v>2813</v>
      </c>
      <c r="K4863" t="s">
        <v>2814</v>
      </c>
      <c r="L4863" t="s">
        <v>2815</v>
      </c>
      <c r="M4863">
        <v>365</v>
      </c>
      <c r="N4863">
        <v>23.992999999999999</v>
      </c>
      <c r="O4863">
        <v>6458.44</v>
      </c>
      <c r="P4863">
        <v>0</v>
      </c>
      <c r="Q4863">
        <v>6458.44</v>
      </c>
      <c r="R4863">
        <v>710.43</v>
      </c>
      <c r="S4863">
        <v>258.33999999999997</v>
      </c>
      <c r="T4863">
        <v>6910.53</v>
      </c>
      <c r="U4863" t="s">
        <v>7527</v>
      </c>
      <c r="V4863" t="s">
        <v>9408</v>
      </c>
      <c r="W4863" t="s">
        <v>423</v>
      </c>
    </row>
    <row r="4864" spans="1:23" hidden="1" x14ac:dyDescent="0.2">
      <c r="A4864">
        <v>2012</v>
      </c>
      <c r="B4864" t="s">
        <v>304</v>
      </c>
      <c r="C4864" s="733">
        <v>40953</v>
      </c>
      <c r="D48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64" t="s">
        <v>485</v>
      </c>
      <c r="F4864" t="s">
        <v>2065</v>
      </c>
      <c r="G4864" t="s">
        <v>4614</v>
      </c>
      <c r="H4864">
        <v>41568</v>
      </c>
      <c r="I4864" t="s">
        <v>423</v>
      </c>
      <c r="J4864" t="s">
        <v>2813</v>
      </c>
      <c r="K4864" t="s">
        <v>2814</v>
      </c>
      <c r="L4864" t="s">
        <v>2815</v>
      </c>
      <c r="M4864">
        <v>365</v>
      </c>
      <c r="N4864">
        <v>24.600999999999999</v>
      </c>
      <c r="O4864">
        <v>6622.1</v>
      </c>
      <c r="P4864">
        <v>0</v>
      </c>
      <c r="Q4864">
        <v>6622.1</v>
      </c>
      <c r="R4864">
        <v>728.43</v>
      </c>
      <c r="S4864">
        <v>264.88</v>
      </c>
      <c r="T4864">
        <v>7085.65</v>
      </c>
      <c r="U4864" t="s">
        <v>7527</v>
      </c>
      <c r="V4864" t="s">
        <v>9408</v>
      </c>
      <c r="W4864" t="s">
        <v>423</v>
      </c>
    </row>
    <row r="4865" spans="1:23" hidden="1" x14ac:dyDescent="0.2">
      <c r="A4865">
        <v>2012</v>
      </c>
      <c r="B4865" t="s">
        <v>304</v>
      </c>
      <c r="C4865" s="733">
        <v>40960</v>
      </c>
      <c r="D48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65" t="s">
        <v>478</v>
      </c>
      <c r="F4865" t="s">
        <v>2136</v>
      </c>
      <c r="G4865" t="s">
        <v>8390</v>
      </c>
      <c r="H4865">
        <v>35647</v>
      </c>
      <c r="I4865" t="s">
        <v>423</v>
      </c>
      <c r="J4865" t="s">
        <v>5249</v>
      </c>
      <c r="K4865" t="s">
        <v>425</v>
      </c>
      <c r="L4865" t="s">
        <v>2145</v>
      </c>
      <c r="M4865">
        <v>134</v>
      </c>
      <c r="N4865">
        <v>42.17</v>
      </c>
      <c r="O4865">
        <v>7674.52</v>
      </c>
      <c r="P4865">
        <v>0</v>
      </c>
      <c r="Q4865">
        <v>7674.52</v>
      </c>
      <c r="R4865">
        <v>1227.92</v>
      </c>
      <c r="S4865">
        <v>306.98</v>
      </c>
      <c r="T4865">
        <v>8595.4599999999991</v>
      </c>
      <c r="U4865" t="s">
        <v>8252</v>
      </c>
      <c r="V4865" t="s">
        <v>9409</v>
      </c>
      <c r="W4865" t="s">
        <v>423</v>
      </c>
    </row>
    <row r="4866" spans="1:23" hidden="1" x14ac:dyDescent="0.2">
      <c r="A4866">
        <v>2012</v>
      </c>
      <c r="B4866" t="s">
        <v>303</v>
      </c>
      <c r="C4866" s="733">
        <v>40934</v>
      </c>
      <c r="D48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66" t="s">
        <v>478</v>
      </c>
      <c r="F4866" t="s">
        <v>2136</v>
      </c>
      <c r="G4866" t="s">
        <v>5071</v>
      </c>
      <c r="H4866">
        <v>34977</v>
      </c>
      <c r="I4866" t="s">
        <v>423</v>
      </c>
      <c r="J4866" t="s">
        <v>3029</v>
      </c>
      <c r="K4866" t="s">
        <v>425</v>
      </c>
      <c r="L4866" t="s">
        <v>2145</v>
      </c>
      <c r="M4866">
        <v>35</v>
      </c>
      <c r="N4866">
        <v>23.38</v>
      </c>
      <c r="O4866">
        <v>3138.76</v>
      </c>
      <c r="P4866">
        <v>0</v>
      </c>
      <c r="Q4866">
        <v>3138.76</v>
      </c>
      <c r="R4866">
        <v>502.2</v>
      </c>
      <c r="S4866">
        <v>125.55</v>
      </c>
      <c r="T4866">
        <v>3515.41</v>
      </c>
      <c r="U4866" t="s">
        <v>3234</v>
      </c>
      <c r="V4866" t="s">
        <v>9408</v>
      </c>
      <c r="W4866" t="s">
        <v>423</v>
      </c>
    </row>
    <row r="4867" spans="1:23" hidden="1" x14ac:dyDescent="0.2">
      <c r="A4867">
        <v>2012</v>
      </c>
      <c r="B4867" t="s">
        <v>304</v>
      </c>
      <c r="C4867" s="733">
        <v>40961.888935185183</v>
      </c>
      <c r="D48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67" t="s">
        <v>478</v>
      </c>
      <c r="F4867" t="s">
        <v>2136</v>
      </c>
      <c r="G4867" t="s">
        <v>8389</v>
      </c>
      <c r="H4867">
        <v>35945</v>
      </c>
      <c r="I4867" t="s">
        <v>423</v>
      </c>
      <c r="J4867" t="s">
        <v>3029</v>
      </c>
      <c r="K4867" t="s">
        <v>425</v>
      </c>
      <c r="L4867" t="s">
        <v>2145</v>
      </c>
      <c r="M4867">
        <v>35</v>
      </c>
      <c r="N4867">
        <v>22.91</v>
      </c>
      <c r="O4867">
        <v>3075.67</v>
      </c>
      <c r="P4867">
        <v>0</v>
      </c>
      <c r="Q4867">
        <v>3075.67</v>
      </c>
      <c r="R4867">
        <v>492.11</v>
      </c>
      <c r="S4867">
        <v>123.03</v>
      </c>
      <c r="T4867">
        <v>3444.75</v>
      </c>
      <c r="U4867" t="s">
        <v>9430</v>
      </c>
      <c r="V4867" t="s">
        <v>9408</v>
      </c>
      <c r="W4867" t="s">
        <v>423</v>
      </c>
    </row>
    <row r="4868" spans="1:23" hidden="1" x14ac:dyDescent="0.2">
      <c r="A4868">
        <v>2012</v>
      </c>
      <c r="B4868" t="s">
        <v>304</v>
      </c>
      <c r="C4868" s="733">
        <v>40962</v>
      </c>
      <c r="D48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68" t="s">
        <v>485</v>
      </c>
      <c r="F4868" t="s">
        <v>2065</v>
      </c>
      <c r="G4868" t="s">
        <v>8550</v>
      </c>
      <c r="H4868">
        <v>42231</v>
      </c>
      <c r="I4868" t="s">
        <v>423</v>
      </c>
      <c r="J4868" t="s">
        <v>5260</v>
      </c>
      <c r="K4868" t="s">
        <v>2102</v>
      </c>
      <c r="L4868" t="s">
        <v>2115</v>
      </c>
      <c r="M4868">
        <v>832</v>
      </c>
      <c r="N4868">
        <v>49.81</v>
      </c>
      <c r="O4868">
        <v>24853.7</v>
      </c>
      <c r="P4868">
        <v>0</v>
      </c>
      <c r="Q4868">
        <v>24853.7</v>
      </c>
      <c r="R4868">
        <v>3976.59</v>
      </c>
      <c r="S4868">
        <v>994.15</v>
      </c>
      <c r="T4868">
        <v>27836.14</v>
      </c>
      <c r="U4868" t="s">
        <v>8883</v>
      </c>
      <c r="V4868" t="s">
        <v>9409</v>
      </c>
      <c r="W4868" t="s">
        <v>423</v>
      </c>
    </row>
    <row r="4869" spans="1:23" hidden="1" x14ac:dyDescent="0.2">
      <c r="A4869">
        <v>2012</v>
      </c>
      <c r="B4869" t="s">
        <v>303</v>
      </c>
      <c r="C4869" s="733">
        <v>40922</v>
      </c>
      <c r="D48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69" t="s">
        <v>505</v>
      </c>
      <c r="F4869" t="s">
        <v>1915</v>
      </c>
      <c r="G4869" t="s">
        <v>5547</v>
      </c>
      <c r="H4869">
        <v>21971</v>
      </c>
      <c r="I4869" t="s">
        <v>423</v>
      </c>
      <c r="J4869" t="s">
        <v>4259</v>
      </c>
      <c r="K4869" t="s">
        <v>1918</v>
      </c>
      <c r="L4869" t="s">
        <v>1919</v>
      </c>
      <c r="M4869">
        <v>467</v>
      </c>
      <c r="N4869">
        <v>27.02</v>
      </c>
      <c r="O4869">
        <v>8385.39</v>
      </c>
      <c r="P4869">
        <v>0</v>
      </c>
      <c r="Q4869">
        <v>8385.39</v>
      </c>
      <c r="R4869">
        <v>1341.66</v>
      </c>
      <c r="S4869">
        <v>335.42</v>
      </c>
      <c r="T4869">
        <v>9391.6299999999992</v>
      </c>
      <c r="U4869" t="s">
        <v>1931</v>
      </c>
      <c r="V4869" t="s">
        <v>9408</v>
      </c>
      <c r="W4869" t="s">
        <v>423</v>
      </c>
    </row>
    <row r="4870" spans="1:23" hidden="1" x14ac:dyDescent="0.2">
      <c r="A4870">
        <v>2012</v>
      </c>
      <c r="B4870" t="s">
        <v>304</v>
      </c>
      <c r="C4870" s="733">
        <v>40954</v>
      </c>
      <c r="D48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70" t="s">
        <v>505</v>
      </c>
      <c r="F4870" t="s">
        <v>1915</v>
      </c>
      <c r="G4870" t="s">
        <v>7511</v>
      </c>
      <c r="H4870">
        <v>22587</v>
      </c>
      <c r="I4870" t="s">
        <v>424</v>
      </c>
      <c r="J4870" t="s">
        <v>7512</v>
      </c>
      <c r="K4870" t="s">
        <v>1918</v>
      </c>
      <c r="L4870" t="s">
        <v>1919</v>
      </c>
      <c r="M4870">
        <v>647</v>
      </c>
      <c r="N4870">
        <v>30</v>
      </c>
      <c r="O4870">
        <v>9349.5</v>
      </c>
      <c r="P4870">
        <v>0</v>
      </c>
      <c r="Q4870">
        <v>9349.5</v>
      </c>
      <c r="R4870">
        <v>1495.92</v>
      </c>
      <c r="S4870">
        <v>373.98</v>
      </c>
      <c r="T4870">
        <v>10471.44</v>
      </c>
      <c r="U4870" t="s">
        <v>7522</v>
      </c>
      <c r="V4870" t="s">
        <v>9408</v>
      </c>
      <c r="W4870" t="s">
        <v>424</v>
      </c>
    </row>
    <row r="4871" spans="1:23" hidden="1" x14ac:dyDescent="0.2">
      <c r="A4871">
        <v>2012</v>
      </c>
      <c r="B4871" t="s">
        <v>303</v>
      </c>
      <c r="C4871" s="733">
        <v>40934</v>
      </c>
      <c r="D48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71" t="s">
        <v>505</v>
      </c>
      <c r="F4871" t="s">
        <v>1915</v>
      </c>
      <c r="G4871" t="s">
        <v>4198</v>
      </c>
      <c r="H4871">
        <v>22267</v>
      </c>
      <c r="I4871" t="s">
        <v>423</v>
      </c>
      <c r="J4871" t="s">
        <v>1917</v>
      </c>
      <c r="K4871" t="s">
        <v>1918</v>
      </c>
      <c r="L4871" t="s">
        <v>1919</v>
      </c>
      <c r="M4871">
        <v>267</v>
      </c>
      <c r="N4871">
        <v>24.84</v>
      </c>
      <c r="O4871">
        <v>5585.03</v>
      </c>
      <c r="P4871">
        <v>0</v>
      </c>
      <c r="Q4871">
        <v>5585.03</v>
      </c>
      <c r="R4871">
        <v>893.6</v>
      </c>
      <c r="S4871">
        <v>223.4</v>
      </c>
      <c r="T4871">
        <v>6255.23</v>
      </c>
      <c r="U4871" t="s">
        <v>1926</v>
      </c>
      <c r="V4871" t="s">
        <v>9408</v>
      </c>
      <c r="W4871" t="s">
        <v>423</v>
      </c>
    </row>
    <row r="4872" spans="1:23" hidden="1" x14ac:dyDescent="0.2">
      <c r="A4872">
        <v>2012</v>
      </c>
      <c r="B4872" t="s">
        <v>303</v>
      </c>
      <c r="C4872" s="733">
        <v>40932</v>
      </c>
      <c r="D48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72" t="s">
        <v>505</v>
      </c>
      <c r="F4872" t="s">
        <v>1915</v>
      </c>
      <c r="G4872" t="s">
        <v>5552</v>
      </c>
      <c r="H4872">
        <v>22210</v>
      </c>
      <c r="I4872" t="s">
        <v>423</v>
      </c>
      <c r="J4872" t="s">
        <v>4760</v>
      </c>
      <c r="K4872" t="s">
        <v>1918</v>
      </c>
      <c r="L4872" t="s">
        <v>1919</v>
      </c>
      <c r="M4872">
        <v>444</v>
      </c>
      <c r="N4872">
        <v>27.22</v>
      </c>
      <c r="O4872">
        <v>8447.4500000000007</v>
      </c>
      <c r="P4872">
        <v>0</v>
      </c>
      <c r="Q4872">
        <v>8447.4500000000007</v>
      </c>
      <c r="R4872">
        <v>1351.59</v>
      </c>
      <c r="S4872">
        <v>337.9</v>
      </c>
      <c r="T4872">
        <v>9461.14</v>
      </c>
      <c r="U4872" t="s">
        <v>1936</v>
      </c>
      <c r="V4872" t="s">
        <v>9408</v>
      </c>
      <c r="W4872" t="s">
        <v>423</v>
      </c>
    </row>
    <row r="4873" spans="1:23" hidden="1" x14ac:dyDescent="0.2">
      <c r="A4873">
        <v>2012</v>
      </c>
      <c r="B4873" t="s">
        <v>303</v>
      </c>
      <c r="C4873" s="733">
        <v>40931</v>
      </c>
      <c r="D48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73" t="s">
        <v>478</v>
      </c>
      <c r="F4873" t="s">
        <v>2136</v>
      </c>
      <c r="G4873" t="s">
        <v>5616</v>
      </c>
      <c r="H4873">
        <v>34817</v>
      </c>
      <c r="I4873" t="s">
        <v>423</v>
      </c>
      <c r="J4873" t="s">
        <v>5249</v>
      </c>
      <c r="K4873" t="s">
        <v>425</v>
      </c>
      <c r="L4873" t="s">
        <v>2145</v>
      </c>
      <c r="M4873">
        <v>134</v>
      </c>
      <c r="N4873">
        <v>47.6</v>
      </c>
      <c r="O4873">
        <v>8662.7199999999993</v>
      </c>
      <c r="P4873">
        <v>0</v>
      </c>
      <c r="Q4873">
        <v>8662.7199999999993</v>
      </c>
      <c r="R4873">
        <v>1386.04</v>
      </c>
      <c r="S4873">
        <v>346.51</v>
      </c>
      <c r="T4873">
        <v>9702.25</v>
      </c>
      <c r="V4873" t="s">
        <v>9409</v>
      </c>
      <c r="W4873" t="s">
        <v>423</v>
      </c>
    </row>
    <row r="4874" spans="1:23" hidden="1" x14ac:dyDescent="0.2">
      <c r="A4874">
        <v>2012</v>
      </c>
      <c r="B4874" t="s">
        <v>304</v>
      </c>
      <c r="C4874" s="733">
        <v>40949</v>
      </c>
      <c r="D48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74" t="s">
        <v>505</v>
      </c>
      <c r="F4874" t="s">
        <v>1915</v>
      </c>
      <c r="G4874" t="s">
        <v>5603</v>
      </c>
      <c r="H4874">
        <v>22627</v>
      </c>
      <c r="I4874" t="s">
        <v>423</v>
      </c>
      <c r="J4874" t="s">
        <v>4259</v>
      </c>
      <c r="K4874" t="s">
        <v>1918</v>
      </c>
      <c r="L4874" t="s">
        <v>1919</v>
      </c>
      <c r="M4874">
        <v>467</v>
      </c>
      <c r="N4874">
        <v>53.25</v>
      </c>
      <c r="O4874">
        <v>16525.599999999999</v>
      </c>
      <c r="P4874">
        <v>0</v>
      </c>
      <c r="Q4874">
        <v>16525.599999999999</v>
      </c>
      <c r="R4874">
        <v>2644.1</v>
      </c>
      <c r="S4874">
        <v>661.02</v>
      </c>
      <c r="T4874">
        <v>18508.68</v>
      </c>
      <c r="U4874" t="s">
        <v>7522</v>
      </c>
      <c r="V4874" t="s">
        <v>9409</v>
      </c>
      <c r="W4874" t="s">
        <v>423</v>
      </c>
    </row>
    <row r="4875" spans="1:23" hidden="1" x14ac:dyDescent="0.2">
      <c r="A4875">
        <v>2012</v>
      </c>
      <c r="B4875" t="s">
        <v>304</v>
      </c>
      <c r="C4875" s="733">
        <v>40967</v>
      </c>
      <c r="D48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75" t="s">
        <v>478</v>
      </c>
      <c r="F4875" t="s">
        <v>2136</v>
      </c>
      <c r="G4875" t="s">
        <v>9283</v>
      </c>
      <c r="H4875">
        <v>34843</v>
      </c>
      <c r="I4875" t="s">
        <v>423</v>
      </c>
      <c r="J4875" t="s">
        <v>9284</v>
      </c>
      <c r="K4875" t="s">
        <v>2625</v>
      </c>
      <c r="L4875" t="s">
        <v>2626</v>
      </c>
      <c r="M4875">
        <v>425</v>
      </c>
      <c r="N4875">
        <v>58.7</v>
      </c>
      <c r="O4875">
        <v>15470.97</v>
      </c>
      <c r="P4875">
        <v>0</v>
      </c>
      <c r="Q4875">
        <v>15470.97</v>
      </c>
      <c r="R4875">
        <v>2475.36</v>
      </c>
      <c r="S4875">
        <v>618.84</v>
      </c>
      <c r="T4875">
        <v>17327.490000000002</v>
      </c>
      <c r="U4875" t="s">
        <v>8889</v>
      </c>
      <c r="V4875" t="s">
        <v>9409</v>
      </c>
      <c r="W4875" t="s">
        <v>423</v>
      </c>
    </row>
    <row r="4876" spans="1:23" hidden="1" x14ac:dyDescent="0.2">
      <c r="A4876">
        <v>2012</v>
      </c>
      <c r="B4876" t="s">
        <v>303</v>
      </c>
      <c r="C4876" s="733">
        <v>40938</v>
      </c>
      <c r="D48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76" t="s">
        <v>505</v>
      </c>
      <c r="F4876" t="s">
        <v>1915</v>
      </c>
      <c r="G4876" t="s">
        <v>2600</v>
      </c>
      <c r="H4876">
        <v>22337</v>
      </c>
      <c r="I4876" t="s">
        <v>423</v>
      </c>
      <c r="J4876" t="s">
        <v>1917</v>
      </c>
      <c r="K4876" t="s">
        <v>1918</v>
      </c>
      <c r="L4876" t="s">
        <v>1919</v>
      </c>
      <c r="M4876">
        <v>267</v>
      </c>
      <c r="N4876">
        <v>50.4</v>
      </c>
      <c r="O4876">
        <v>11331.94</v>
      </c>
      <c r="P4876">
        <v>0</v>
      </c>
      <c r="Q4876">
        <v>11331.94</v>
      </c>
      <c r="R4876">
        <v>1813.11</v>
      </c>
      <c r="S4876">
        <v>453.28</v>
      </c>
      <c r="T4876">
        <v>12691.77</v>
      </c>
      <c r="U4876" t="s">
        <v>1936</v>
      </c>
      <c r="V4876" t="s">
        <v>9409</v>
      </c>
      <c r="W4876" t="s">
        <v>423</v>
      </c>
    </row>
    <row r="4877" spans="1:23" hidden="1" x14ac:dyDescent="0.2">
      <c r="A4877">
        <v>2012</v>
      </c>
      <c r="B4877" t="s">
        <v>304</v>
      </c>
      <c r="C4877" s="733">
        <v>40948</v>
      </c>
      <c r="D48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77" t="s">
        <v>505</v>
      </c>
      <c r="F4877" t="s">
        <v>1915</v>
      </c>
      <c r="G4877" t="s">
        <v>3236</v>
      </c>
      <c r="H4877">
        <v>22563</v>
      </c>
      <c r="I4877" t="s">
        <v>423</v>
      </c>
      <c r="J4877" t="s">
        <v>1917</v>
      </c>
      <c r="K4877" t="s">
        <v>1918</v>
      </c>
      <c r="L4877" t="s">
        <v>1919</v>
      </c>
      <c r="M4877">
        <v>267</v>
      </c>
      <c r="N4877">
        <v>24.58</v>
      </c>
      <c r="O4877">
        <v>5526.57</v>
      </c>
      <c r="P4877">
        <v>0</v>
      </c>
      <c r="Q4877">
        <v>5526.57</v>
      </c>
      <c r="R4877">
        <v>884.25</v>
      </c>
      <c r="S4877">
        <v>221.06</v>
      </c>
      <c r="T4877">
        <v>6189.76</v>
      </c>
      <c r="U4877" t="s">
        <v>1924</v>
      </c>
      <c r="V4877" t="s">
        <v>9408</v>
      </c>
      <c r="W4877" t="s">
        <v>423</v>
      </c>
    </row>
    <row r="4878" spans="1:23" hidden="1" x14ac:dyDescent="0.2">
      <c r="A4878">
        <v>2012</v>
      </c>
      <c r="B4878" t="s">
        <v>303</v>
      </c>
      <c r="C4878" s="733">
        <v>40927</v>
      </c>
      <c r="D48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78" t="s">
        <v>505</v>
      </c>
      <c r="F4878" t="s">
        <v>1915</v>
      </c>
      <c r="G4878" t="s">
        <v>5610</v>
      </c>
      <c r="H4878">
        <v>22098</v>
      </c>
      <c r="I4878" t="s">
        <v>424</v>
      </c>
      <c r="J4878" t="s">
        <v>1917</v>
      </c>
      <c r="K4878" t="s">
        <v>1918</v>
      </c>
      <c r="L4878" t="s">
        <v>1919</v>
      </c>
      <c r="M4878">
        <v>267</v>
      </c>
      <c r="N4878">
        <v>27</v>
      </c>
      <c r="O4878">
        <v>2636.97</v>
      </c>
      <c r="P4878">
        <v>1515.4402889999999</v>
      </c>
      <c r="Q4878">
        <v>4152.4102890000004</v>
      </c>
      <c r="R4878">
        <v>664.38564599999995</v>
      </c>
      <c r="S4878">
        <v>166.09641199999999</v>
      </c>
      <c r="T4878">
        <v>4650.6995230000002</v>
      </c>
      <c r="U4878" t="s">
        <v>1928</v>
      </c>
      <c r="V4878" t="s">
        <v>9408</v>
      </c>
      <c r="W4878" t="s">
        <v>424</v>
      </c>
    </row>
    <row r="4879" spans="1:23" hidden="1" x14ac:dyDescent="0.2">
      <c r="A4879">
        <v>2012</v>
      </c>
      <c r="B4879" t="s">
        <v>304</v>
      </c>
      <c r="C4879" s="733">
        <v>40961</v>
      </c>
      <c r="D48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79" t="s">
        <v>505</v>
      </c>
      <c r="F4879" t="s">
        <v>1915</v>
      </c>
      <c r="G4879" t="s">
        <v>8254</v>
      </c>
      <c r="H4879">
        <v>22917</v>
      </c>
      <c r="I4879" t="s">
        <v>424</v>
      </c>
      <c r="J4879" t="s">
        <v>1917</v>
      </c>
      <c r="K4879" t="s">
        <v>1918</v>
      </c>
      <c r="L4879" t="s">
        <v>1919</v>
      </c>
      <c r="M4879">
        <v>267</v>
      </c>
      <c r="N4879">
        <v>30</v>
      </c>
      <c r="O4879">
        <v>4613.7</v>
      </c>
      <c r="P4879">
        <v>0</v>
      </c>
      <c r="Q4879">
        <v>4613.7</v>
      </c>
      <c r="R4879">
        <v>738.19</v>
      </c>
      <c r="S4879">
        <v>184.55</v>
      </c>
      <c r="T4879">
        <v>5167.34</v>
      </c>
      <c r="U4879" t="s">
        <v>8491</v>
      </c>
      <c r="V4879" t="s">
        <v>9408</v>
      </c>
      <c r="W4879" t="s">
        <v>424</v>
      </c>
    </row>
    <row r="4880" spans="1:23" x14ac:dyDescent="0.2">
      <c r="A4880">
        <v>2012</v>
      </c>
      <c r="B4880" t="s">
        <v>304</v>
      </c>
      <c r="C4880" s="733">
        <v>40968</v>
      </c>
      <c r="D48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80" t="s">
        <v>485</v>
      </c>
      <c r="F4880" t="s">
        <v>2065</v>
      </c>
      <c r="G4880" t="s">
        <v>9300</v>
      </c>
      <c r="H4880">
        <v>42761</v>
      </c>
      <c r="I4880" t="s">
        <v>423</v>
      </c>
      <c r="J4880" t="s">
        <v>2189</v>
      </c>
      <c r="K4880" t="s">
        <v>2183</v>
      </c>
      <c r="L4880" t="s">
        <v>9301</v>
      </c>
      <c r="M4880">
        <v>720</v>
      </c>
      <c r="N4880">
        <v>24.92</v>
      </c>
      <c r="O4880">
        <v>11061.74</v>
      </c>
      <c r="P4880">
        <v>0</v>
      </c>
      <c r="Q4880">
        <v>11061.74</v>
      </c>
      <c r="R4880">
        <v>1769.88</v>
      </c>
      <c r="S4880">
        <v>442.47</v>
      </c>
      <c r="T4880">
        <v>12389.15</v>
      </c>
      <c r="V4880" t="s">
        <v>9408</v>
      </c>
      <c r="W4880" t="s">
        <v>423</v>
      </c>
    </row>
    <row r="4881" spans="1:23" hidden="1" x14ac:dyDescent="0.2">
      <c r="A4881">
        <v>2012</v>
      </c>
      <c r="B4881" t="s">
        <v>304</v>
      </c>
      <c r="C4881" s="733">
        <v>40955.445787037039</v>
      </c>
      <c r="D48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81" t="s">
        <v>485</v>
      </c>
      <c r="F4881" t="s">
        <v>2065</v>
      </c>
      <c r="G4881" t="s">
        <v>7923</v>
      </c>
      <c r="H4881">
        <v>42071</v>
      </c>
      <c r="I4881" t="s">
        <v>423</v>
      </c>
      <c r="J4881" t="s">
        <v>2186</v>
      </c>
      <c r="K4881" t="s">
        <v>2183</v>
      </c>
      <c r="L4881" t="s">
        <v>2184</v>
      </c>
      <c r="M4881">
        <v>19</v>
      </c>
      <c r="N4881">
        <v>16.190000000000001</v>
      </c>
      <c r="O4881">
        <v>1827.37</v>
      </c>
      <c r="P4881">
        <v>0</v>
      </c>
      <c r="Q4881">
        <v>1827.37</v>
      </c>
      <c r="R4881">
        <v>292.38</v>
      </c>
      <c r="S4881">
        <v>73.09</v>
      </c>
      <c r="T4881">
        <v>2046.66</v>
      </c>
      <c r="U4881" t="s">
        <v>8048</v>
      </c>
      <c r="V4881" t="s">
        <v>9408</v>
      </c>
      <c r="W4881" t="s">
        <v>423</v>
      </c>
    </row>
    <row r="4882" spans="1:23" hidden="1" x14ac:dyDescent="0.2">
      <c r="A4882">
        <v>2012</v>
      </c>
      <c r="B4882" t="s">
        <v>303</v>
      </c>
      <c r="C4882" s="733">
        <v>40927</v>
      </c>
      <c r="D48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82" t="s">
        <v>485</v>
      </c>
      <c r="F4882" t="s">
        <v>2065</v>
      </c>
      <c r="G4882" t="s">
        <v>4939</v>
      </c>
      <c r="H4882">
        <v>40564</v>
      </c>
      <c r="I4882" t="s">
        <v>423</v>
      </c>
      <c r="J4882" t="s">
        <v>2186</v>
      </c>
      <c r="K4882" t="s">
        <v>2183</v>
      </c>
      <c r="L4882" t="s">
        <v>2184</v>
      </c>
      <c r="M4882">
        <v>19</v>
      </c>
      <c r="N4882">
        <v>15.53</v>
      </c>
      <c r="O4882">
        <v>1752.87</v>
      </c>
      <c r="P4882">
        <v>0</v>
      </c>
      <c r="Q4882">
        <v>1752.87</v>
      </c>
      <c r="R4882">
        <v>280.45999999999998</v>
      </c>
      <c r="S4882">
        <v>70.11</v>
      </c>
      <c r="T4882">
        <v>1963.22</v>
      </c>
      <c r="U4882" t="s">
        <v>7554</v>
      </c>
      <c r="V4882" t="s">
        <v>9408</v>
      </c>
      <c r="W4882" t="s">
        <v>423</v>
      </c>
    </row>
    <row r="4883" spans="1:23" hidden="1" x14ac:dyDescent="0.2">
      <c r="A4883">
        <v>2012</v>
      </c>
      <c r="B4883" t="s">
        <v>304</v>
      </c>
      <c r="C4883" s="733">
        <v>40946</v>
      </c>
      <c r="D48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83" t="s">
        <v>485</v>
      </c>
      <c r="F4883" t="s">
        <v>2065</v>
      </c>
      <c r="G4883" t="s">
        <v>3936</v>
      </c>
      <c r="H4883">
        <v>41359</v>
      </c>
      <c r="I4883" t="s">
        <v>423</v>
      </c>
      <c r="J4883" t="s">
        <v>2189</v>
      </c>
      <c r="K4883" t="s">
        <v>2183</v>
      </c>
      <c r="L4883" t="s">
        <v>2184</v>
      </c>
      <c r="M4883">
        <v>720</v>
      </c>
      <c r="N4883">
        <v>26.46</v>
      </c>
      <c r="O4883">
        <v>11745.33</v>
      </c>
      <c r="P4883">
        <v>0</v>
      </c>
      <c r="Q4883">
        <v>11745.33</v>
      </c>
      <c r="R4883">
        <v>1879.25</v>
      </c>
      <c r="S4883">
        <v>469.81</v>
      </c>
      <c r="T4883">
        <v>13154.77</v>
      </c>
      <c r="U4883" t="s">
        <v>2192</v>
      </c>
      <c r="V4883" t="s">
        <v>9408</v>
      </c>
      <c r="W4883" t="s">
        <v>423</v>
      </c>
    </row>
    <row r="4884" spans="1:23" hidden="1" x14ac:dyDescent="0.2">
      <c r="A4884">
        <v>2012</v>
      </c>
      <c r="B4884" t="s">
        <v>303</v>
      </c>
      <c r="C4884" s="733">
        <v>40936</v>
      </c>
      <c r="D48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84" t="s">
        <v>478</v>
      </c>
      <c r="F4884" t="s">
        <v>3787</v>
      </c>
      <c r="G4884" t="s">
        <v>4723</v>
      </c>
      <c r="H4884">
        <v>34785</v>
      </c>
      <c r="I4884" t="s">
        <v>423</v>
      </c>
      <c r="J4884" t="s">
        <v>3789</v>
      </c>
      <c r="K4884" t="s">
        <v>3481</v>
      </c>
      <c r="L4884" t="s">
        <v>3482</v>
      </c>
      <c r="M4884">
        <v>27</v>
      </c>
      <c r="N4884">
        <v>23.704999999999998</v>
      </c>
      <c r="O4884">
        <v>2675.58</v>
      </c>
      <c r="P4884">
        <v>0</v>
      </c>
      <c r="Q4884">
        <v>2675.58</v>
      </c>
      <c r="R4884">
        <v>428.09</v>
      </c>
      <c r="S4884">
        <v>107.02</v>
      </c>
      <c r="T4884">
        <v>2996.65</v>
      </c>
      <c r="U4884" t="s">
        <v>3784</v>
      </c>
      <c r="V4884" t="s">
        <v>9408</v>
      </c>
      <c r="W4884" t="s">
        <v>423</v>
      </c>
    </row>
    <row r="4885" spans="1:23" hidden="1" x14ac:dyDescent="0.2">
      <c r="A4885">
        <v>2012</v>
      </c>
      <c r="B4885" t="s">
        <v>304</v>
      </c>
      <c r="C4885" s="733">
        <v>40942.689108796294</v>
      </c>
      <c r="D48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85" t="s">
        <v>478</v>
      </c>
      <c r="F4885" t="s">
        <v>3787</v>
      </c>
      <c r="G4885" t="s">
        <v>4721</v>
      </c>
      <c r="H4885">
        <v>35300</v>
      </c>
      <c r="I4885" t="s">
        <v>423</v>
      </c>
      <c r="J4885" t="s">
        <v>3789</v>
      </c>
      <c r="K4885" t="s">
        <v>3481</v>
      </c>
      <c r="L4885" t="s">
        <v>3482</v>
      </c>
      <c r="M4885">
        <v>27</v>
      </c>
      <c r="N4885">
        <v>23.965</v>
      </c>
      <c r="O4885">
        <v>2704.93</v>
      </c>
      <c r="P4885">
        <v>0</v>
      </c>
      <c r="Q4885">
        <v>2704.93</v>
      </c>
      <c r="R4885">
        <v>432.79</v>
      </c>
      <c r="S4885">
        <v>108.2</v>
      </c>
      <c r="T4885">
        <v>3029.52</v>
      </c>
      <c r="U4885" t="s">
        <v>3483</v>
      </c>
      <c r="V4885" t="s">
        <v>9408</v>
      </c>
      <c r="W4885" t="s">
        <v>423</v>
      </c>
    </row>
    <row r="4886" spans="1:23" hidden="1" x14ac:dyDescent="0.2">
      <c r="A4886">
        <v>2012</v>
      </c>
      <c r="B4886" t="s">
        <v>303</v>
      </c>
      <c r="C4886" s="733">
        <v>40936</v>
      </c>
      <c r="D48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86" t="s">
        <v>478</v>
      </c>
      <c r="F4886" t="s">
        <v>3787</v>
      </c>
      <c r="G4886" t="s">
        <v>4722</v>
      </c>
      <c r="H4886">
        <v>34774</v>
      </c>
      <c r="I4886" t="s">
        <v>423</v>
      </c>
      <c r="J4886" t="s">
        <v>3789</v>
      </c>
      <c r="K4886" t="s">
        <v>3481</v>
      </c>
      <c r="L4886" t="s">
        <v>3482</v>
      </c>
      <c r="M4886">
        <v>27</v>
      </c>
      <c r="N4886">
        <v>25.7</v>
      </c>
      <c r="O4886">
        <v>2900.76</v>
      </c>
      <c r="P4886">
        <v>0</v>
      </c>
      <c r="Q4886">
        <v>2900.76</v>
      </c>
      <c r="R4886">
        <v>464.12</v>
      </c>
      <c r="S4886">
        <v>116.03</v>
      </c>
      <c r="T4886">
        <v>3248.85</v>
      </c>
      <c r="U4886" t="s">
        <v>3784</v>
      </c>
      <c r="V4886" t="s">
        <v>9408</v>
      </c>
      <c r="W4886" t="s">
        <v>423</v>
      </c>
    </row>
    <row r="4887" spans="1:23" hidden="1" x14ac:dyDescent="0.2">
      <c r="A4887">
        <v>2012</v>
      </c>
      <c r="B4887" t="s">
        <v>304</v>
      </c>
      <c r="C4887" s="733">
        <v>40960.424340277779</v>
      </c>
      <c r="D48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87" t="s">
        <v>478</v>
      </c>
      <c r="F4887" t="s">
        <v>2622</v>
      </c>
      <c r="G4887" t="s">
        <v>8272</v>
      </c>
      <c r="H4887">
        <v>35857</v>
      </c>
      <c r="I4887" t="s">
        <v>423</v>
      </c>
      <c r="J4887" t="s">
        <v>2629</v>
      </c>
      <c r="K4887" t="s">
        <v>2625</v>
      </c>
      <c r="L4887" t="s">
        <v>2626</v>
      </c>
      <c r="M4887">
        <v>33</v>
      </c>
      <c r="N4887">
        <v>26.46</v>
      </c>
      <c r="O4887">
        <v>3086.29</v>
      </c>
      <c r="P4887">
        <v>0</v>
      </c>
      <c r="Q4887">
        <v>3086.29</v>
      </c>
      <c r="R4887">
        <v>493.81</v>
      </c>
      <c r="S4887">
        <v>123.45</v>
      </c>
      <c r="T4887">
        <v>3456.65</v>
      </c>
      <c r="U4887" t="s">
        <v>8267</v>
      </c>
      <c r="V4887" t="s">
        <v>9408</v>
      </c>
      <c r="W4887" t="s">
        <v>423</v>
      </c>
    </row>
    <row r="4888" spans="1:23" hidden="1" x14ac:dyDescent="0.2">
      <c r="A4888">
        <v>2012</v>
      </c>
      <c r="B4888" t="s">
        <v>304</v>
      </c>
      <c r="C4888" s="733">
        <v>40947.392754629633</v>
      </c>
      <c r="D48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88" t="s">
        <v>478</v>
      </c>
      <c r="F4888" t="s">
        <v>2622</v>
      </c>
      <c r="G4888" t="s">
        <v>4860</v>
      </c>
      <c r="H4888">
        <v>35407</v>
      </c>
      <c r="I4888" t="s">
        <v>423</v>
      </c>
      <c r="J4888" t="s">
        <v>2629</v>
      </c>
      <c r="K4888" t="s">
        <v>2625</v>
      </c>
      <c r="L4888" t="s">
        <v>2626</v>
      </c>
      <c r="M4888">
        <v>33</v>
      </c>
      <c r="N4888">
        <v>25.5</v>
      </c>
      <c r="O4888">
        <v>2974.32</v>
      </c>
      <c r="P4888">
        <v>0</v>
      </c>
      <c r="Q4888">
        <v>2974.32</v>
      </c>
      <c r="R4888">
        <v>475.89</v>
      </c>
      <c r="S4888">
        <v>118.97</v>
      </c>
      <c r="T4888">
        <v>3331.24</v>
      </c>
      <c r="U4888" t="s">
        <v>2652</v>
      </c>
      <c r="V4888" t="s">
        <v>9408</v>
      </c>
      <c r="W4888" t="s">
        <v>423</v>
      </c>
    </row>
    <row r="4889" spans="1:23" hidden="1" x14ac:dyDescent="0.2">
      <c r="A4889">
        <v>2012</v>
      </c>
      <c r="B4889" t="s">
        <v>304</v>
      </c>
      <c r="C4889" s="733">
        <v>40960</v>
      </c>
      <c r="D48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89" t="s">
        <v>485</v>
      </c>
      <c r="F4889" t="s">
        <v>2065</v>
      </c>
      <c r="G4889" t="s">
        <v>8103</v>
      </c>
      <c r="H4889">
        <v>42189</v>
      </c>
      <c r="I4889" t="s">
        <v>423</v>
      </c>
      <c r="J4889" t="s">
        <v>2189</v>
      </c>
      <c r="K4889" t="s">
        <v>2183</v>
      </c>
      <c r="L4889" t="s">
        <v>2184</v>
      </c>
      <c r="M4889">
        <v>720</v>
      </c>
      <c r="N4889">
        <v>26.1</v>
      </c>
      <c r="O4889">
        <v>11585.53</v>
      </c>
      <c r="P4889">
        <v>0</v>
      </c>
      <c r="Q4889">
        <v>11585.53</v>
      </c>
      <c r="R4889">
        <v>1853.68</v>
      </c>
      <c r="S4889">
        <v>463.42</v>
      </c>
      <c r="T4889">
        <v>12975.79</v>
      </c>
      <c r="U4889" t="s">
        <v>9411</v>
      </c>
      <c r="V4889" t="s">
        <v>9408</v>
      </c>
      <c r="W4889" t="s">
        <v>423</v>
      </c>
    </row>
    <row r="4890" spans="1:23" hidden="1" x14ac:dyDescent="0.2">
      <c r="A4890">
        <v>2012</v>
      </c>
      <c r="B4890" t="s">
        <v>303</v>
      </c>
      <c r="C4890" s="733">
        <v>40928</v>
      </c>
      <c r="D48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90" t="s">
        <v>485</v>
      </c>
      <c r="F4890" t="s">
        <v>2065</v>
      </c>
      <c r="G4890" t="s">
        <v>5179</v>
      </c>
      <c r="H4890">
        <v>40669</v>
      </c>
      <c r="I4890" t="s">
        <v>423</v>
      </c>
      <c r="J4890" t="s">
        <v>2274</v>
      </c>
      <c r="K4890" t="s">
        <v>2051</v>
      </c>
      <c r="L4890" t="s">
        <v>2052</v>
      </c>
      <c r="M4890">
        <v>573</v>
      </c>
      <c r="N4890">
        <v>51.55</v>
      </c>
      <c r="O4890">
        <v>16727.98</v>
      </c>
      <c r="P4890">
        <v>0</v>
      </c>
      <c r="Q4890">
        <v>16727.98</v>
      </c>
      <c r="R4890">
        <v>2676.48</v>
      </c>
      <c r="S4890">
        <v>669.12</v>
      </c>
      <c r="T4890">
        <v>18735.34</v>
      </c>
      <c r="U4890" t="s">
        <v>2062</v>
      </c>
      <c r="V4890" t="s">
        <v>9409</v>
      </c>
      <c r="W4890" t="s">
        <v>423</v>
      </c>
    </row>
    <row r="4891" spans="1:23" hidden="1" x14ac:dyDescent="0.2">
      <c r="A4891">
        <v>2012</v>
      </c>
      <c r="B4891" t="s">
        <v>303</v>
      </c>
      <c r="C4891" s="733">
        <v>40931</v>
      </c>
      <c r="D48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91" t="s">
        <v>478</v>
      </c>
      <c r="F4891" t="s">
        <v>2136</v>
      </c>
      <c r="G4891" t="s">
        <v>5418</v>
      </c>
      <c r="H4891">
        <v>34814</v>
      </c>
      <c r="I4891" t="s">
        <v>423</v>
      </c>
      <c r="J4891" t="s">
        <v>3636</v>
      </c>
      <c r="K4891" t="s">
        <v>425</v>
      </c>
      <c r="L4891" t="s">
        <v>2145</v>
      </c>
      <c r="M4891">
        <v>244</v>
      </c>
      <c r="N4891">
        <v>24.2</v>
      </c>
      <c r="O4891">
        <v>4041.88</v>
      </c>
      <c r="P4891">
        <v>0</v>
      </c>
      <c r="Q4891">
        <v>4041.88</v>
      </c>
      <c r="R4891">
        <v>646.70000000000005</v>
      </c>
      <c r="S4891">
        <v>161.68</v>
      </c>
      <c r="T4891">
        <v>4526.8999999999996</v>
      </c>
      <c r="U4891" t="s">
        <v>2355</v>
      </c>
      <c r="V4891" t="s">
        <v>9409</v>
      </c>
      <c r="W4891" t="s">
        <v>423</v>
      </c>
    </row>
    <row r="4892" spans="1:23" hidden="1" x14ac:dyDescent="0.2">
      <c r="A4892">
        <v>2012</v>
      </c>
      <c r="B4892" t="s">
        <v>304</v>
      </c>
      <c r="C4892" s="733">
        <v>40942</v>
      </c>
      <c r="D48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92" t="s">
        <v>478</v>
      </c>
      <c r="F4892" t="s">
        <v>2136</v>
      </c>
      <c r="G4892" t="s">
        <v>5612</v>
      </c>
      <c r="H4892">
        <v>35287</v>
      </c>
      <c r="I4892" t="s">
        <v>423</v>
      </c>
      <c r="J4892" t="s">
        <v>4791</v>
      </c>
      <c r="K4892" t="s">
        <v>425</v>
      </c>
      <c r="L4892" t="s">
        <v>2145</v>
      </c>
      <c r="M4892">
        <v>139</v>
      </c>
      <c r="N4892">
        <v>24.45</v>
      </c>
      <c r="O4892">
        <v>4083.64</v>
      </c>
      <c r="P4892">
        <v>0</v>
      </c>
      <c r="Q4892">
        <v>4083.64</v>
      </c>
      <c r="R4892">
        <v>653.38</v>
      </c>
      <c r="S4892">
        <v>163.35</v>
      </c>
      <c r="T4892">
        <v>4573.67</v>
      </c>
      <c r="U4892" t="s">
        <v>3115</v>
      </c>
      <c r="V4892" t="s">
        <v>9409</v>
      </c>
      <c r="W4892" t="s">
        <v>423</v>
      </c>
    </row>
    <row r="4893" spans="1:23" hidden="1" x14ac:dyDescent="0.2">
      <c r="A4893">
        <v>2012</v>
      </c>
      <c r="B4893" t="s">
        <v>304</v>
      </c>
      <c r="C4893" s="733">
        <v>40947</v>
      </c>
      <c r="D48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93" t="s">
        <v>478</v>
      </c>
      <c r="F4893" t="s">
        <v>2136</v>
      </c>
      <c r="G4893" t="s">
        <v>3259</v>
      </c>
      <c r="H4893">
        <v>35346</v>
      </c>
      <c r="I4893" t="s">
        <v>423</v>
      </c>
      <c r="J4893" t="s">
        <v>2144</v>
      </c>
      <c r="K4893" t="s">
        <v>425</v>
      </c>
      <c r="L4893" t="s">
        <v>2145</v>
      </c>
      <c r="M4893">
        <v>1354</v>
      </c>
      <c r="N4893">
        <v>49.83</v>
      </c>
      <c r="O4893">
        <v>45185.35</v>
      </c>
      <c r="P4893">
        <v>0</v>
      </c>
      <c r="Q4893">
        <v>45185.35</v>
      </c>
      <c r="R4893">
        <v>7229.66</v>
      </c>
      <c r="S4893">
        <v>1807.41</v>
      </c>
      <c r="T4893">
        <v>50607.6</v>
      </c>
      <c r="U4893" t="s">
        <v>3115</v>
      </c>
      <c r="V4893" t="s">
        <v>9409</v>
      </c>
      <c r="W4893" t="s">
        <v>423</v>
      </c>
    </row>
    <row r="4894" spans="1:23" hidden="1" x14ac:dyDescent="0.2">
      <c r="A4894">
        <v>2012</v>
      </c>
      <c r="B4894" t="s">
        <v>304</v>
      </c>
      <c r="C4894" s="733">
        <v>40947.393796296295</v>
      </c>
      <c r="D48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894" t="s">
        <v>478</v>
      </c>
      <c r="F4894" t="s">
        <v>2622</v>
      </c>
      <c r="G4894" t="s">
        <v>4866</v>
      </c>
      <c r="H4894">
        <v>35410</v>
      </c>
      <c r="I4894" t="s">
        <v>423</v>
      </c>
      <c r="J4894" t="s">
        <v>2668</v>
      </c>
      <c r="K4894" t="s">
        <v>2625</v>
      </c>
      <c r="L4894" t="s">
        <v>2626</v>
      </c>
      <c r="M4894">
        <v>76</v>
      </c>
      <c r="N4894">
        <v>24.87</v>
      </c>
      <c r="O4894">
        <v>2806.58</v>
      </c>
      <c r="P4894">
        <v>0</v>
      </c>
      <c r="Q4894">
        <v>2806.58</v>
      </c>
      <c r="R4894">
        <v>449.05</v>
      </c>
      <c r="S4894">
        <v>112.26</v>
      </c>
      <c r="T4894">
        <v>3143.37</v>
      </c>
      <c r="U4894" t="s">
        <v>2652</v>
      </c>
      <c r="V4894" t="s">
        <v>9408</v>
      </c>
      <c r="W4894" t="s">
        <v>423</v>
      </c>
    </row>
    <row r="4895" spans="1:23" hidden="1" x14ac:dyDescent="0.2">
      <c r="A4895">
        <v>2012</v>
      </c>
      <c r="B4895" t="s">
        <v>303</v>
      </c>
      <c r="C4895" s="733">
        <v>40911</v>
      </c>
      <c r="D48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95" t="s">
        <v>485</v>
      </c>
      <c r="F4895" t="s">
        <v>2048</v>
      </c>
      <c r="G4895" t="s">
        <v>5175</v>
      </c>
      <c r="H4895">
        <v>39721</v>
      </c>
      <c r="I4895" t="s">
        <v>423</v>
      </c>
      <c r="J4895" t="s">
        <v>4093</v>
      </c>
      <c r="K4895" t="s">
        <v>2051</v>
      </c>
      <c r="L4895" t="s">
        <v>2052</v>
      </c>
      <c r="M4895">
        <v>647</v>
      </c>
      <c r="N4895">
        <v>58.05</v>
      </c>
      <c r="O4895">
        <v>9246.7800000000007</v>
      </c>
      <c r="P4895">
        <v>10410.857134</v>
      </c>
      <c r="Q4895">
        <v>19657.637134000001</v>
      </c>
      <c r="R4895">
        <v>3145.2219409999998</v>
      </c>
      <c r="S4895">
        <v>786.30548499999998</v>
      </c>
      <c r="T4895">
        <v>22016.55359</v>
      </c>
      <c r="U4895" t="s">
        <v>2089</v>
      </c>
      <c r="V4895" t="s">
        <v>9409</v>
      </c>
      <c r="W4895" t="s">
        <v>423</v>
      </c>
    </row>
    <row r="4896" spans="1:23" hidden="1" x14ac:dyDescent="0.2">
      <c r="A4896">
        <v>2012</v>
      </c>
      <c r="B4896" t="s">
        <v>303</v>
      </c>
      <c r="C4896" s="733">
        <v>40912</v>
      </c>
      <c r="D48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96" t="s">
        <v>485</v>
      </c>
      <c r="F4896" t="s">
        <v>2084</v>
      </c>
      <c r="G4896" t="s">
        <v>4710</v>
      </c>
      <c r="H4896">
        <v>39473</v>
      </c>
      <c r="I4896" t="s">
        <v>423</v>
      </c>
      <c r="J4896" t="s">
        <v>2848</v>
      </c>
      <c r="K4896" t="s">
        <v>2814</v>
      </c>
      <c r="L4896" t="s">
        <v>2815</v>
      </c>
      <c r="M4896">
        <v>708</v>
      </c>
      <c r="N4896">
        <v>23.91</v>
      </c>
      <c r="O4896">
        <v>4130.93</v>
      </c>
      <c r="P4896">
        <v>4650.9727780000003</v>
      </c>
      <c r="Q4896">
        <v>8781.9027779999997</v>
      </c>
      <c r="R4896">
        <v>1405.1044440000001</v>
      </c>
      <c r="S4896">
        <v>351.27611100000001</v>
      </c>
      <c r="T4896">
        <v>9835.7311109999991</v>
      </c>
      <c r="U4896" t="s">
        <v>2846</v>
      </c>
      <c r="V4896" t="s">
        <v>9408</v>
      </c>
      <c r="W4896" t="s">
        <v>423</v>
      </c>
    </row>
    <row r="4897" spans="1:23" hidden="1" x14ac:dyDescent="0.2">
      <c r="A4897">
        <v>2012</v>
      </c>
      <c r="B4897" t="s">
        <v>303</v>
      </c>
      <c r="C4897" s="733">
        <v>40932</v>
      </c>
      <c r="D48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97" t="s">
        <v>485</v>
      </c>
      <c r="F4897" t="s">
        <v>2084</v>
      </c>
      <c r="G4897" t="s">
        <v>4712</v>
      </c>
      <c r="H4897">
        <v>40493</v>
      </c>
      <c r="I4897" t="s">
        <v>423</v>
      </c>
      <c r="J4897" t="s">
        <v>2848</v>
      </c>
      <c r="K4897" t="s">
        <v>2814</v>
      </c>
      <c r="L4897" t="s">
        <v>2815</v>
      </c>
      <c r="M4897">
        <v>708</v>
      </c>
      <c r="N4897">
        <v>27.88</v>
      </c>
      <c r="O4897">
        <v>11440.28</v>
      </c>
      <c r="P4897">
        <v>0</v>
      </c>
      <c r="Q4897">
        <v>11440.28</v>
      </c>
      <c r="R4897">
        <v>1830.44</v>
      </c>
      <c r="S4897">
        <v>457.61</v>
      </c>
      <c r="T4897">
        <v>12813.11</v>
      </c>
      <c r="U4897" t="s">
        <v>2826</v>
      </c>
      <c r="V4897" t="s">
        <v>9408</v>
      </c>
      <c r="W4897" t="s">
        <v>423</v>
      </c>
    </row>
    <row r="4898" spans="1:23" hidden="1" x14ac:dyDescent="0.2">
      <c r="A4898">
        <v>2012</v>
      </c>
      <c r="B4898" t="s">
        <v>303</v>
      </c>
      <c r="C4898" s="733">
        <v>40939</v>
      </c>
      <c r="D48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98" t="s">
        <v>485</v>
      </c>
      <c r="F4898" t="s">
        <v>2084</v>
      </c>
      <c r="G4898" t="s">
        <v>4711</v>
      </c>
      <c r="H4898">
        <v>40890</v>
      </c>
      <c r="I4898" t="s">
        <v>423</v>
      </c>
      <c r="J4898" t="s">
        <v>2848</v>
      </c>
      <c r="K4898" t="s">
        <v>2814</v>
      </c>
      <c r="L4898" t="s">
        <v>2815</v>
      </c>
      <c r="M4898">
        <v>708</v>
      </c>
      <c r="N4898">
        <v>23.59</v>
      </c>
      <c r="O4898">
        <v>9679.92</v>
      </c>
      <c r="P4898">
        <v>0</v>
      </c>
      <c r="Q4898">
        <v>9679.92</v>
      </c>
      <c r="R4898">
        <v>1548.79</v>
      </c>
      <c r="S4898">
        <v>387.2</v>
      </c>
      <c r="T4898">
        <v>10841.51</v>
      </c>
      <c r="U4898" t="s">
        <v>8522</v>
      </c>
      <c r="V4898" t="s">
        <v>9408</v>
      </c>
      <c r="W4898" t="s">
        <v>423</v>
      </c>
    </row>
    <row r="4899" spans="1:23" hidden="1" x14ac:dyDescent="0.2">
      <c r="A4899">
        <v>2012</v>
      </c>
      <c r="B4899" t="s">
        <v>303</v>
      </c>
      <c r="C4899" s="733">
        <v>40927</v>
      </c>
      <c r="D48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899" t="s">
        <v>478</v>
      </c>
      <c r="F4899" t="s">
        <v>2136</v>
      </c>
      <c r="G4899" t="s">
        <v>5619</v>
      </c>
      <c r="H4899">
        <v>34543</v>
      </c>
      <c r="I4899" t="s">
        <v>423</v>
      </c>
      <c r="J4899" t="s">
        <v>5620</v>
      </c>
      <c r="K4899" t="s">
        <v>425</v>
      </c>
      <c r="L4899" t="s">
        <v>2145</v>
      </c>
      <c r="M4899">
        <v>700</v>
      </c>
      <c r="N4899">
        <v>26.57</v>
      </c>
      <c r="O4899">
        <v>9738.9699999999993</v>
      </c>
      <c r="P4899">
        <v>0</v>
      </c>
      <c r="Q4899">
        <v>9738.9699999999993</v>
      </c>
      <c r="R4899">
        <v>1558.23</v>
      </c>
      <c r="S4899">
        <v>389.56</v>
      </c>
      <c r="T4899">
        <v>10907.64</v>
      </c>
      <c r="U4899" t="s">
        <v>2146</v>
      </c>
      <c r="V4899" t="s">
        <v>9408</v>
      </c>
      <c r="W4899" t="s">
        <v>423</v>
      </c>
    </row>
    <row r="4900" spans="1:23" hidden="1" x14ac:dyDescent="0.2">
      <c r="A4900">
        <v>2012</v>
      </c>
      <c r="B4900" t="s">
        <v>303</v>
      </c>
      <c r="C4900" s="733">
        <v>40929</v>
      </c>
      <c r="D49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00" t="s">
        <v>505</v>
      </c>
      <c r="F4900" t="s">
        <v>1915</v>
      </c>
      <c r="G4900" t="s">
        <v>5551</v>
      </c>
      <c r="H4900">
        <v>22147</v>
      </c>
      <c r="I4900" t="s">
        <v>423</v>
      </c>
      <c r="J4900" t="s">
        <v>4760</v>
      </c>
      <c r="K4900" t="s">
        <v>1918</v>
      </c>
      <c r="L4900" t="s">
        <v>1919</v>
      </c>
      <c r="M4900">
        <v>444</v>
      </c>
      <c r="N4900">
        <v>24.5</v>
      </c>
      <c r="O4900">
        <v>7603.33</v>
      </c>
      <c r="P4900">
        <v>0</v>
      </c>
      <c r="Q4900">
        <v>7603.33</v>
      </c>
      <c r="R4900">
        <v>1216.53</v>
      </c>
      <c r="S4900">
        <v>304.13</v>
      </c>
      <c r="T4900">
        <v>8515.73</v>
      </c>
      <c r="U4900" t="s">
        <v>8778</v>
      </c>
      <c r="V4900" t="s">
        <v>9408</v>
      </c>
      <c r="W4900" t="s">
        <v>423</v>
      </c>
    </row>
    <row r="4901" spans="1:23" hidden="1" x14ac:dyDescent="0.2">
      <c r="A4901">
        <v>2012</v>
      </c>
      <c r="B4901" t="s">
        <v>304</v>
      </c>
      <c r="C4901" s="733">
        <v>40940</v>
      </c>
      <c r="D49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01" t="s">
        <v>478</v>
      </c>
      <c r="F4901" t="s">
        <v>2136</v>
      </c>
      <c r="G4901" t="s">
        <v>5271</v>
      </c>
      <c r="H4901">
        <v>35008</v>
      </c>
      <c r="I4901" t="s">
        <v>423</v>
      </c>
      <c r="J4901" t="s">
        <v>4282</v>
      </c>
      <c r="K4901" t="s">
        <v>425</v>
      </c>
      <c r="L4901" t="s">
        <v>2145</v>
      </c>
      <c r="M4901">
        <v>1405</v>
      </c>
      <c r="N4901">
        <v>45.25</v>
      </c>
      <c r="O4901">
        <v>45676.26</v>
      </c>
      <c r="P4901">
        <v>0</v>
      </c>
      <c r="Q4901">
        <v>45676.26</v>
      </c>
      <c r="R4901">
        <v>7308.2</v>
      </c>
      <c r="S4901">
        <v>1827.05</v>
      </c>
      <c r="T4901">
        <v>51157.41</v>
      </c>
      <c r="U4901" t="s">
        <v>2914</v>
      </c>
      <c r="V4901" t="s">
        <v>9409</v>
      </c>
      <c r="W4901" t="s">
        <v>423</v>
      </c>
    </row>
    <row r="4902" spans="1:23" hidden="1" x14ac:dyDescent="0.2">
      <c r="A4902">
        <v>2012</v>
      </c>
      <c r="B4902" t="s">
        <v>304</v>
      </c>
      <c r="C4902" s="733">
        <v>40940</v>
      </c>
      <c r="D49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02" t="s">
        <v>485</v>
      </c>
      <c r="F4902" t="s">
        <v>2065</v>
      </c>
      <c r="G4902" t="s">
        <v>4917</v>
      </c>
      <c r="H4902">
        <v>40535</v>
      </c>
      <c r="I4902" t="s">
        <v>423</v>
      </c>
      <c r="J4902" t="s">
        <v>2189</v>
      </c>
      <c r="K4902" t="s">
        <v>2183</v>
      </c>
      <c r="L4902" t="s">
        <v>2184</v>
      </c>
      <c r="M4902">
        <v>720</v>
      </c>
      <c r="N4902">
        <v>27.36</v>
      </c>
      <c r="O4902">
        <v>12144.83</v>
      </c>
      <c r="P4902">
        <v>0</v>
      </c>
      <c r="Q4902">
        <v>12144.83</v>
      </c>
      <c r="R4902">
        <v>1943.17</v>
      </c>
      <c r="S4902">
        <v>485.79</v>
      </c>
      <c r="T4902">
        <v>13602.21</v>
      </c>
      <c r="U4902" t="s">
        <v>2187</v>
      </c>
      <c r="V4902" t="s">
        <v>9408</v>
      </c>
      <c r="W4902" t="s">
        <v>423</v>
      </c>
    </row>
    <row r="4903" spans="1:23" hidden="1" x14ac:dyDescent="0.2">
      <c r="A4903">
        <v>2012</v>
      </c>
      <c r="B4903" t="s">
        <v>304</v>
      </c>
      <c r="C4903" s="733">
        <v>40940</v>
      </c>
      <c r="D49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03" t="s">
        <v>485</v>
      </c>
      <c r="F4903" t="s">
        <v>2065</v>
      </c>
      <c r="G4903" t="s">
        <v>4916</v>
      </c>
      <c r="H4903">
        <v>40248</v>
      </c>
      <c r="I4903" t="s">
        <v>423</v>
      </c>
      <c r="J4903" t="s">
        <v>2189</v>
      </c>
      <c r="K4903" t="s">
        <v>2183</v>
      </c>
      <c r="L4903" t="s">
        <v>2184</v>
      </c>
      <c r="M4903">
        <v>720</v>
      </c>
      <c r="N4903">
        <v>26.87</v>
      </c>
      <c r="O4903">
        <v>11927.32</v>
      </c>
      <c r="P4903">
        <v>0</v>
      </c>
      <c r="Q4903">
        <v>11927.32</v>
      </c>
      <c r="R4903">
        <v>1908.37</v>
      </c>
      <c r="S4903">
        <v>477.09</v>
      </c>
      <c r="T4903">
        <v>13358.6</v>
      </c>
      <c r="U4903" t="s">
        <v>2187</v>
      </c>
      <c r="V4903" t="s">
        <v>9408</v>
      </c>
      <c r="W4903" t="s">
        <v>423</v>
      </c>
    </row>
    <row r="4904" spans="1:23" hidden="1" x14ac:dyDescent="0.2">
      <c r="A4904">
        <v>2012</v>
      </c>
      <c r="B4904" t="s">
        <v>303</v>
      </c>
      <c r="C4904" s="733">
        <v>40939</v>
      </c>
      <c r="D49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04" t="s">
        <v>485</v>
      </c>
      <c r="F4904" t="s">
        <v>2065</v>
      </c>
      <c r="G4904" t="s">
        <v>3165</v>
      </c>
      <c r="H4904">
        <v>41055</v>
      </c>
      <c r="I4904" t="s">
        <v>423</v>
      </c>
      <c r="J4904" t="s">
        <v>2189</v>
      </c>
      <c r="K4904" t="s">
        <v>2183</v>
      </c>
      <c r="L4904" t="s">
        <v>2184</v>
      </c>
      <c r="M4904">
        <v>720</v>
      </c>
      <c r="N4904">
        <v>27.47</v>
      </c>
      <c r="O4904">
        <v>12193.66</v>
      </c>
      <c r="P4904">
        <v>0</v>
      </c>
      <c r="Q4904">
        <v>12193.66</v>
      </c>
      <c r="R4904">
        <v>1950.99</v>
      </c>
      <c r="S4904">
        <v>487.75</v>
      </c>
      <c r="T4904">
        <v>13656.9</v>
      </c>
      <c r="U4904" t="s">
        <v>3049</v>
      </c>
      <c r="V4904" t="s">
        <v>9408</v>
      </c>
      <c r="W4904" t="s">
        <v>423</v>
      </c>
    </row>
    <row r="4905" spans="1:23" hidden="1" x14ac:dyDescent="0.2">
      <c r="A4905">
        <v>2012</v>
      </c>
      <c r="B4905" t="s">
        <v>304</v>
      </c>
      <c r="C4905" s="733">
        <v>40940</v>
      </c>
      <c r="D49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05" t="s">
        <v>485</v>
      </c>
      <c r="F4905" t="s">
        <v>2065</v>
      </c>
      <c r="G4905" t="s">
        <v>3155</v>
      </c>
      <c r="H4905">
        <v>41179</v>
      </c>
      <c r="I4905" t="s">
        <v>423</v>
      </c>
      <c r="J4905" t="s">
        <v>2186</v>
      </c>
      <c r="K4905" t="s">
        <v>2183</v>
      </c>
      <c r="L4905" t="s">
        <v>2184</v>
      </c>
      <c r="M4905">
        <v>19</v>
      </c>
      <c r="N4905">
        <v>15.88</v>
      </c>
      <c r="O4905">
        <v>1792.38</v>
      </c>
      <c r="P4905">
        <v>0</v>
      </c>
      <c r="Q4905">
        <v>1792.38</v>
      </c>
      <c r="R4905">
        <v>286.77999999999997</v>
      </c>
      <c r="S4905">
        <v>71.7</v>
      </c>
      <c r="T4905">
        <v>2007.46</v>
      </c>
      <c r="U4905" t="s">
        <v>2192</v>
      </c>
      <c r="V4905" t="s">
        <v>9408</v>
      </c>
      <c r="W4905" t="s">
        <v>423</v>
      </c>
    </row>
    <row r="4906" spans="1:23" hidden="1" x14ac:dyDescent="0.2">
      <c r="A4906">
        <v>2012</v>
      </c>
      <c r="B4906" t="s">
        <v>304</v>
      </c>
      <c r="C4906" s="733">
        <v>40966</v>
      </c>
      <c r="D49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06" t="s">
        <v>485</v>
      </c>
      <c r="F4906" t="s">
        <v>2065</v>
      </c>
      <c r="G4906" t="s">
        <v>8804</v>
      </c>
      <c r="H4906">
        <v>42687</v>
      </c>
      <c r="I4906" t="s">
        <v>423</v>
      </c>
      <c r="J4906" t="s">
        <v>2186</v>
      </c>
      <c r="K4906" t="s">
        <v>2183</v>
      </c>
      <c r="L4906" t="s">
        <v>2184</v>
      </c>
      <c r="M4906">
        <v>19</v>
      </c>
      <c r="N4906">
        <v>16.09</v>
      </c>
      <c r="O4906">
        <v>1816.08</v>
      </c>
      <c r="P4906">
        <v>0</v>
      </c>
      <c r="Q4906">
        <v>1816.08</v>
      </c>
      <c r="R4906">
        <v>290.57</v>
      </c>
      <c r="S4906">
        <v>72.64</v>
      </c>
      <c r="T4906">
        <v>2034.01</v>
      </c>
      <c r="V4906" t="s">
        <v>9408</v>
      </c>
      <c r="W4906" t="s">
        <v>423</v>
      </c>
    </row>
    <row r="4907" spans="1:23" hidden="1" x14ac:dyDescent="0.2">
      <c r="A4907">
        <v>2012</v>
      </c>
      <c r="B4907" t="s">
        <v>304</v>
      </c>
      <c r="C4907" s="733">
        <v>40952</v>
      </c>
      <c r="D49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07" t="s">
        <v>478</v>
      </c>
      <c r="F4907" t="s">
        <v>3787</v>
      </c>
      <c r="G4907" t="s">
        <v>4804</v>
      </c>
      <c r="H4907">
        <v>34325</v>
      </c>
      <c r="I4907" t="s">
        <v>423</v>
      </c>
      <c r="J4907" t="s">
        <v>3789</v>
      </c>
      <c r="K4907" t="s">
        <v>3481</v>
      </c>
      <c r="L4907" t="s">
        <v>3482</v>
      </c>
      <c r="M4907">
        <v>27</v>
      </c>
      <c r="N4907">
        <v>21.92</v>
      </c>
      <c r="O4907">
        <v>2474.11</v>
      </c>
      <c r="P4907">
        <v>0</v>
      </c>
      <c r="Q4907">
        <v>2474.11</v>
      </c>
      <c r="R4907">
        <v>395.86</v>
      </c>
      <c r="S4907">
        <v>98.96</v>
      </c>
      <c r="T4907">
        <v>2771.01</v>
      </c>
      <c r="U4907" t="s">
        <v>3483</v>
      </c>
      <c r="V4907" t="s">
        <v>9408</v>
      </c>
      <c r="W4907" t="s">
        <v>423</v>
      </c>
    </row>
    <row r="4908" spans="1:23" hidden="1" x14ac:dyDescent="0.2">
      <c r="A4908">
        <v>2012</v>
      </c>
      <c r="B4908" t="s">
        <v>304</v>
      </c>
      <c r="C4908" s="733">
        <v>40954</v>
      </c>
      <c r="D49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08" t="s">
        <v>478</v>
      </c>
      <c r="F4908" t="s">
        <v>2622</v>
      </c>
      <c r="G4908" t="s">
        <v>7823</v>
      </c>
      <c r="H4908">
        <v>35596</v>
      </c>
      <c r="I4908" t="s">
        <v>423</v>
      </c>
      <c r="J4908" t="s">
        <v>2629</v>
      </c>
      <c r="K4908" t="s">
        <v>2625</v>
      </c>
      <c r="L4908" t="s">
        <v>2626</v>
      </c>
      <c r="M4908">
        <v>33</v>
      </c>
      <c r="N4908">
        <v>23.3</v>
      </c>
      <c r="O4908">
        <v>2717.71</v>
      </c>
      <c r="P4908">
        <v>0</v>
      </c>
      <c r="Q4908">
        <v>2717.71</v>
      </c>
      <c r="R4908">
        <v>434.83</v>
      </c>
      <c r="S4908">
        <v>108.71</v>
      </c>
      <c r="T4908">
        <v>3043.83</v>
      </c>
      <c r="U4908" t="s">
        <v>7548</v>
      </c>
      <c r="V4908" t="s">
        <v>9408</v>
      </c>
      <c r="W4908" t="s">
        <v>423</v>
      </c>
    </row>
    <row r="4909" spans="1:23" hidden="1" x14ac:dyDescent="0.2">
      <c r="A4909">
        <v>2012</v>
      </c>
      <c r="B4909" t="s">
        <v>304</v>
      </c>
      <c r="C4909" s="733">
        <v>40960</v>
      </c>
      <c r="D49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09" t="s">
        <v>485</v>
      </c>
      <c r="F4909" t="s">
        <v>2048</v>
      </c>
      <c r="G4909" t="s">
        <v>8171</v>
      </c>
      <c r="H4909">
        <v>42292</v>
      </c>
      <c r="I4909" t="s">
        <v>423</v>
      </c>
      <c r="J4909" t="s">
        <v>2274</v>
      </c>
      <c r="K4909" t="s">
        <v>2051</v>
      </c>
      <c r="L4909" t="s">
        <v>2052</v>
      </c>
      <c r="M4909">
        <v>573</v>
      </c>
      <c r="N4909">
        <v>50.9</v>
      </c>
      <c r="O4909">
        <v>16517.05</v>
      </c>
      <c r="P4909">
        <v>0</v>
      </c>
      <c r="Q4909">
        <v>16517.05</v>
      </c>
      <c r="R4909">
        <v>2642.73</v>
      </c>
      <c r="S4909">
        <v>660.68</v>
      </c>
      <c r="T4909">
        <v>18499.099999999999</v>
      </c>
      <c r="U4909" t="s">
        <v>8780</v>
      </c>
      <c r="V4909" t="s">
        <v>9409</v>
      </c>
      <c r="W4909" t="s">
        <v>423</v>
      </c>
    </row>
    <row r="4910" spans="1:23" hidden="1" x14ac:dyDescent="0.2">
      <c r="A4910">
        <v>2012</v>
      </c>
      <c r="B4910" t="s">
        <v>304</v>
      </c>
      <c r="C4910" s="733">
        <v>40966</v>
      </c>
      <c r="D49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10" t="s">
        <v>478</v>
      </c>
      <c r="F4910" t="s">
        <v>2136</v>
      </c>
      <c r="G4910" t="s">
        <v>9002</v>
      </c>
      <c r="H4910">
        <v>35950</v>
      </c>
      <c r="I4910" t="s">
        <v>423</v>
      </c>
      <c r="J4910" t="s">
        <v>4282</v>
      </c>
      <c r="K4910" t="s">
        <v>425</v>
      </c>
      <c r="L4910" t="s">
        <v>2145</v>
      </c>
      <c r="M4910">
        <v>1405</v>
      </c>
      <c r="N4910">
        <v>41.71</v>
      </c>
      <c r="O4910">
        <v>42102.91</v>
      </c>
      <c r="P4910">
        <v>0</v>
      </c>
      <c r="Q4910">
        <v>42102.91</v>
      </c>
      <c r="R4910">
        <v>6736.47</v>
      </c>
      <c r="S4910">
        <v>1684.12</v>
      </c>
      <c r="T4910">
        <v>47155.26</v>
      </c>
      <c r="U4910" t="s">
        <v>9430</v>
      </c>
      <c r="V4910" t="s">
        <v>9409</v>
      </c>
      <c r="W4910" t="s">
        <v>423</v>
      </c>
    </row>
    <row r="4911" spans="1:23" hidden="1" x14ac:dyDescent="0.2">
      <c r="A4911">
        <v>2012</v>
      </c>
      <c r="B4911" t="s">
        <v>304</v>
      </c>
      <c r="C4911" s="733">
        <v>40961</v>
      </c>
      <c r="D49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11" t="s">
        <v>478</v>
      </c>
      <c r="F4911" t="s">
        <v>2136</v>
      </c>
      <c r="G4911" t="s">
        <v>8332</v>
      </c>
      <c r="H4911">
        <v>35771</v>
      </c>
      <c r="I4911" t="s">
        <v>423</v>
      </c>
      <c r="J4911" t="s">
        <v>4282</v>
      </c>
      <c r="K4911" t="s">
        <v>425</v>
      </c>
      <c r="L4911" t="s">
        <v>2145</v>
      </c>
      <c r="M4911">
        <v>1405</v>
      </c>
      <c r="N4911">
        <v>38.06</v>
      </c>
      <c r="O4911">
        <v>38418.53</v>
      </c>
      <c r="P4911">
        <v>0</v>
      </c>
      <c r="Q4911">
        <v>38418.53</v>
      </c>
      <c r="R4911">
        <v>6146.96</v>
      </c>
      <c r="S4911">
        <v>1536.74</v>
      </c>
      <c r="T4911">
        <v>43028.75</v>
      </c>
      <c r="U4911" t="s">
        <v>9430</v>
      </c>
      <c r="V4911" t="s">
        <v>9409</v>
      </c>
      <c r="W4911" t="s">
        <v>423</v>
      </c>
    </row>
    <row r="4912" spans="1:23" hidden="1" x14ac:dyDescent="0.2">
      <c r="A4912">
        <v>2012</v>
      </c>
      <c r="B4912" t="s">
        <v>303</v>
      </c>
      <c r="C4912" s="733">
        <v>40929</v>
      </c>
      <c r="D49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12" t="s">
        <v>478</v>
      </c>
      <c r="F4912" t="s">
        <v>2136</v>
      </c>
      <c r="G4912" t="s">
        <v>5263</v>
      </c>
      <c r="H4912">
        <v>34673</v>
      </c>
      <c r="I4912" t="s">
        <v>423</v>
      </c>
      <c r="J4912" t="s">
        <v>2144</v>
      </c>
      <c r="K4912" t="s">
        <v>425</v>
      </c>
      <c r="L4912" t="s">
        <v>2145</v>
      </c>
      <c r="M4912">
        <v>1354</v>
      </c>
      <c r="N4912">
        <v>42.54</v>
      </c>
      <c r="O4912">
        <v>38574.85</v>
      </c>
      <c r="P4912">
        <v>0</v>
      </c>
      <c r="Q4912">
        <v>38574.85</v>
      </c>
      <c r="R4912">
        <v>6171.98</v>
      </c>
      <c r="S4912">
        <v>1542.99</v>
      </c>
      <c r="T4912">
        <v>43203.839999999997</v>
      </c>
      <c r="U4912" t="s">
        <v>3234</v>
      </c>
      <c r="V4912" t="s">
        <v>9409</v>
      </c>
      <c r="W4912" t="s">
        <v>423</v>
      </c>
    </row>
    <row r="4913" spans="1:23" hidden="1" x14ac:dyDescent="0.2">
      <c r="A4913">
        <v>2012</v>
      </c>
      <c r="B4913" t="s">
        <v>304</v>
      </c>
      <c r="C4913" s="733">
        <v>40954</v>
      </c>
      <c r="D49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13" t="s">
        <v>478</v>
      </c>
      <c r="F4913" t="s">
        <v>2622</v>
      </c>
      <c r="G4913" t="s">
        <v>7822</v>
      </c>
      <c r="H4913">
        <v>35592</v>
      </c>
      <c r="I4913" t="s">
        <v>423</v>
      </c>
      <c r="J4913" t="s">
        <v>2624</v>
      </c>
      <c r="K4913" t="s">
        <v>2625</v>
      </c>
      <c r="L4913" t="s">
        <v>2626</v>
      </c>
      <c r="M4913">
        <v>10</v>
      </c>
      <c r="N4913">
        <v>22.64</v>
      </c>
      <c r="O4913">
        <v>2554.92</v>
      </c>
      <c r="P4913">
        <v>0</v>
      </c>
      <c r="Q4913">
        <v>2554.92</v>
      </c>
      <c r="R4913">
        <v>408.79</v>
      </c>
      <c r="S4913">
        <v>102.2</v>
      </c>
      <c r="T4913">
        <v>2861.51</v>
      </c>
      <c r="U4913" t="s">
        <v>7548</v>
      </c>
      <c r="V4913" t="s">
        <v>9408</v>
      </c>
      <c r="W4913" t="s">
        <v>423</v>
      </c>
    </row>
    <row r="4914" spans="1:23" hidden="1" x14ac:dyDescent="0.2">
      <c r="A4914">
        <v>2012</v>
      </c>
      <c r="B4914" t="s">
        <v>304</v>
      </c>
      <c r="C4914" s="733">
        <v>40954</v>
      </c>
      <c r="D49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14" t="s">
        <v>478</v>
      </c>
      <c r="F4914" t="s">
        <v>2622</v>
      </c>
      <c r="G4914" t="s">
        <v>7848</v>
      </c>
      <c r="H4914">
        <v>35595</v>
      </c>
      <c r="I4914" t="s">
        <v>423</v>
      </c>
      <c r="J4914" t="s">
        <v>2624</v>
      </c>
      <c r="K4914" t="s">
        <v>2625</v>
      </c>
      <c r="L4914" t="s">
        <v>2626</v>
      </c>
      <c r="M4914">
        <v>10</v>
      </c>
      <c r="N4914">
        <v>24.22</v>
      </c>
      <c r="O4914">
        <v>2733.23</v>
      </c>
      <c r="P4914">
        <v>0</v>
      </c>
      <c r="Q4914">
        <v>2733.23</v>
      </c>
      <c r="R4914">
        <v>437.32</v>
      </c>
      <c r="S4914">
        <v>109.33</v>
      </c>
      <c r="T4914">
        <v>3061.22</v>
      </c>
      <c r="U4914" t="s">
        <v>7548</v>
      </c>
      <c r="V4914" t="s">
        <v>9408</v>
      </c>
      <c r="W4914" t="s">
        <v>423</v>
      </c>
    </row>
    <row r="4915" spans="1:23" hidden="1" x14ac:dyDescent="0.2">
      <c r="A4915">
        <v>2012</v>
      </c>
      <c r="B4915" t="s">
        <v>303</v>
      </c>
      <c r="C4915" s="733">
        <v>40939</v>
      </c>
      <c r="D49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15" t="s">
        <v>478</v>
      </c>
      <c r="F4915" t="s">
        <v>2622</v>
      </c>
      <c r="G4915" t="s">
        <v>4212</v>
      </c>
      <c r="H4915">
        <v>35135</v>
      </c>
      <c r="I4915" t="s">
        <v>423</v>
      </c>
      <c r="J4915" t="s">
        <v>2624</v>
      </c>
      <c r="K4915" t="s">
        <v>2625</v>
      </c>
      <c r="L4915" t="s">
        <v>2626</v>
      </c>
      <c r="M4915">
        <v>10</v>
      </c>
      <c r="N4915">
        <v>23.32</v>
      </c>
      <c r="O4915">
        <v>2631.66</v>
      </c>
      <c r="P4915">
        <v>0</v>
      </c>
      <c r="Q4915">
        <v>2631.66</v>
      </c>
      <c r="R4915">
        <v>421.07</v>
      </c>
      <c r="S4915">
        <v>105.27</v>
      </c>
      <c r="T4915">
        <v>2947.46</v>
      </c>
      <c r="U4915" t="s">
        <v>2648</v>
      </c>
      <c r="V4915" t="s">
        <v>9408</v>
      </c>
      <c r="W4915" t="s">
        <v>423</v>
      </c>
    </row>
    <row r="4916" spans="1:23" hidden="1" x14ac:dyDescent="0.2">
      <c r="A4916">
        <v>2012</v>
      </c>
      <c r="B4916" t="s">
        <v>304</v>
      </c>
      <c r="C4916" s="733">
        <v>40947.411377314813</v>
      </c>
      <c r="D49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16" t="s">
        <v>478</v>
      </c>
      <c r="F4916" t="s">
        <v>2622</v>
      </c>
      <c r="G4916" t="s">
        <v>4204</v>
      </c>
      <c r="H4916">
        <v>35415</v>
      </c>
      <c r="I4916" t="s">
        <v>423</v>
      </c>
      <c r="J4916" t="s">
        <v>2624</v>
      </c>
      <c r="K4916" t="s">
        <v>2625</v>
      </c>
      <c r="L4916" t="s">
        <v>2626</v>
      </c>
      <c r="M4916">
        <v>10</v>
      </c>
      <c r="N4916">
        <v>21.63</v>
      </c>
      <c r="O4916">
        <v>2440.9499999999998</v>
      </c>
      <c r="P4916">
        <v>0</v>
      </c>
      <c r="Q4916">
        <v>2440.9499999999998</v>
      </c>
      <c r="R4916">
        <v>390.55</v>
      </c>
      <c r="S4916">
        <v>97.64</v>
      </c>
      <c r="T4916">
        <v>2733.86</v>
      </c>
      <c r="U4916" t="s">
        <v>2652</v>
      </c>
      <c r="V4916" t="s">
        <v>9408</v>
      </c>
      <c r="W4916" t="s">
        <v>423</v>
      </c>
    </row>
    <row r="4917" spans="1:23" hidden="1" x14ac:dyDescent="0.2">
      <c r="A4917">
        <v>2012</v>
      </c>
      <c r="B4917" t="s">
        <v>304</v>
      </c>
      <c r="C4917" s="733">
        <v>40960.434340277781</v>
      </c>
      <c r="D49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17" t="s">
        <v>478</v>
      </c>
      <c r="F4917" t="s">
        <v>2622</v>
      </c>
      <c r="G4917" t="s">
        <v>8414</v>
      </c>
      <c r="H4917">
        <v>35854</v>
      </c>
      <c r="I4917" t="s">
        <v>423</v>
      </c>
      <c r="J4917" t="s">
        <v>2624</v>
      </c>
      <c r="K4917" t="s">
        <v>2625</v>
      </c>
      <c r="L4917" t="s">
        <v>2626</v>
      </c>
      <c r="M4917">
        <v>10</v>
      </c>
      <c r="N4917">
        <v>25.63</v>
      </c>
      <c r="O4917">
        <v>2892.35</v>
      </c>
      <c r="P4917">
        <v>0</v>
      </c>
      <c r="Q4917">
        <v>2892.35</v>
      </c>
      <c r="R4917">
        <v>462.78</v>
      </c>
      <c r="S4917">
        <v>115.69</v>
      </c>
      <c r="T4917">
        <v>3239.44</v>
      </c>
      <c r="U4917" t="s">
        <v>8267</v>
      </c>
      <c r="V4917" t="s">
        <v>9408</v>
      </c>
      <c r="W4917" t="s">
        <v>423</v>
      </c>
    </row>
    <row r="4918" spans="1:23" hidden="1" x14ac:dyDescent="0.2">
      <c r="A4918">
        <v>2012</v>
      </c>
      <c r="B4918" t="s">
        <v>303</v>
      </c>
      <c r="C4918" s="733">
        <v>40918.472256944442</v>
      </c>
      <c r="D49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18" t="s">
        <v>478</v>
      </c>
      <c r="F4918" t="s">
        <v>2622</v>
      </c>
      <c r="G4918" t="s">
        <v>4200</v>
      </c>
      <c r="H4918">
        <v>34381</v>
      </c>
      <c r="I4918" t="s">
        <v>423</v>
      </c>
      <c r="J4918" t="s">
        <v>2624</v>
      </c>
      <c r="K4918" t="s">
        <v>2625</v>
      </c>
      <c r="L4918" t="s">
        <v>2626</v>
      </c>
      <c r="M4918">
        <v>10</v>
      </c>
      <c r="N4918">
        <v>25.86</v>
      </c>
      <c r="O4918">
        <v>2918.3</v>
      </c>
      <c r="P4918">
        <v>0</v>
      </c>
      <c r="Q4918">
        <v>2918.3</v>
      </c>
      <c r="R4918">
        <v>466.93</v>
      </c>
      <c r="S4918">
        <v>116.73</v>
      </c>
      <c r="T4918">
        <v>3268.5</v>
      </c>
      <c r="U4918" t="s">
        <v>2635</v>
      </c>
      <c r="V4918" t="s">
        <v>9408</v>
      </c>
      <c r="W4918" t="s">
        <v>423</v>
      </c>
    </row>
    <row r="4919" spans="1:23" hidden="1" x14ac:dyDescent="0.2">
      <c r="A4919">
        <v>2012</v>
      </c>
      <c r="B4919" t="s">
        <v>304</v>
      </c>
      <c r="C4919" s="733">
        <v>40966</v>
      </c>
      <c r="D49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19" t="s">
        <v>478</v>
      </c>
      <c r="F4919" t="s">
        <v>2136</v>
      </c>
      <c r="G4919" t="s">
        <v>9246</v>
      </c>
      <c r="H4919">
        <v>36017</v>
      </c>
      <c r="I4919" t="s">
        <v>423</v>
      </c>
      <c r="J4919" t="s">
        <v>2624</v>
      </c>
      <c r="K4919" t="s">
        <v>2625</v>
      </c>
      <c r="L4919" t="s">
        <v>2626</v>
      </c>
      <c r="M4919">
        <v>10</v>
      </c>
      <c r="N4919">
        <v>21.34</v>
      </c>
      <c r="O4919">
        <v>2408.2199999999998</v>
      </c>
      <c r="P4919">
        <v>0</v>
      </c>
      <c r="Q4919">
        <v>2408.2199999999998</v>
      </c>
      <c r="R4919">
        <v>385.32</v>
      </c>
      <c r="S4919">
        <v>96.33</v>
      </c>
      <c r="T4919">
        <v>2697.21</v>
      </c>
      <c r="U4919" t="s">
        <v>9428</v>
      </c>
      <c r="V4919" t="s">
        <v>9408</v>
      </c>
      <c r="W4919" t="s">
        <v>423</v>
      </c>
    </row>
    <row r="4920" spans="1:23" hidden="1" x14ac:dyDescent="0.2">
      <c r="A4920">
        <v>2012</v>
      </c>
      <c r="B4920" t="s">
        <v>304</v>
      </c>
      <c r="C4920" s="733">
        <v>40946.613055555557</v>
      </c>
      <c r="D49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20" t="s">
        <v>478</v>
      </c>
      <c r="F4920" t="s">
        <v>2136</v>
      </c>
      <c r="G4920" t="s">
        <v>4207</v>
      </c>
      <c r="H4920">
        <v>35381</v>
      </c>
      <c r="I4920" t="s">
        <v>423</v>
      </c>
      <c r="J4920" t="s">
        <v>2624</v>
      </c>
      <c r="K4920" t="s">
        <v>2625</v>
      </c>
      <c r="L4920" t="s">
        <v>2626</v>
      </c>
      <c r="M4920">
        <v>10</v>
      </c>
      <c r="N4920">
        <v>23.22</v>
      </c>
      <c r="O4920">
        <v>2620.38</v>
      </c>
      <c r="P4920">
        <v>0</v>
      </c>
      <c r="Q4920">
        <v>2620.38</v>
      </c>
      <c r="R4920">
        <v>419.26</v>
      </c>
      <c r="S4920">
        <v>104.82</v>
      </c>
      <c r="T4920">
        <v>2934.82</v>
      </c>
      <c r="U4920" t="s">
        <v>2652</v>
      </c>
      <c r="V4920" t="s">
        <v>9408</v>
      </c>
      <c r="W4920" t="s">
        <v>423</v>
      </c>
    </row>
    <row r="4921" spans="1:23" hidden="1" x14ac:dyDescent="0.2">
      <c r="A4921">
        <v>2012</v>
      </c>
      <c r="B4921" t="s">
        <v>303</v>
      </c>
      <c r="C4921" s="733">
        <v>40932.477222222224</v>
      </c>
      <c r="D49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21" t="s">
        <v>478</v>
      </c>
      <c r="F4921" t="s">
        <v>2622</v>
      </c>
      <c r="G4921" t="s">
        <v>4211</v>
      </c>
      <c r="H4921">
        <v>34905</v>
      </c>
      <c r="I4921" t="s">
        <v>423</v>
      </c>
      <c r="J4921" t="s">
        <v>2624</v>
      </c>
      <c r="K4921" t="s">
        <v>2625</v>
      </c>
      <c r="L4921" t="s">
        <v>2626</v>
      </c>
      <c r="M4921">
        <v>10</v>
      </c>
      <c r="N4921">
        <v>25.04</v>
      </c>
      <c r="O4921">
        <v>2825.76</v>
      </c>
      <c r="P4921">
        <v>0</v>
      </c>
      <c r="Q4921">
        <v>2825.76</v>
      </c>
      <c r="R4921">
        <v>452.12</v>
      </c>
      <c r="S4921">
        <v>113.03</v>
      </c>
      <c r="T4921">
        <v>3164.85</v>
      </c>
      <c r="U4921" t="s">
        <v>2633</v>
      </c>
      <c r="V4921" t="s">
        <v>9408</v>
      </c>
      <c r="W4921" t="s">
        <v>423</v>
      </c>
    </row>
    <row r="4922" spans="1:23" hidden="1" x14ac:dyDescent="0.2">
      <c r="A4922">
        <v>2012</v>
      </c>
      <c r="B4922" t="s">
        <v>303</v>
      </c>
      <c r="C4922" s="733">
        <v>40932.476111111115</v>
      </c>
      <c r="D49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22" t="s">
        <v>478</v>
      </c>
      <c r="F4922" t="s">
        <v>2622</v>
      </c>
      <c r="G4922" t="s">
        <v>4201</v>
      </c>
      <c r="H4922">
        <v>34902</v>
      </c>
      <c r="I4922" t="s">
        <v>423</v>
      </c>
      <c r="J4922" t="s">
        <v>2624</v>
      </c>
      <c r="K4922" t="s">
        <v>2625</v>
      </c>
      <c r="L4922" t="s">
        <v>2626</v>
      </c>
      <c r="M4922">
        <v>10</v>
      </c>
      <c r="N4922">
        <v>23.51</v>
      </c>
      <c r="O4922">
        <v>2653.1</v>
      </c>
      <c r="P4922">
        <v>0</v>
      </c>
      <c r="Q4922">
        <v>2653.1</v>
      </c>
      <c r="R4922">
        <v>424.5</v>
      </c>
      <c r="S4922">
        <v>106.12</v>
      </c>
      <c r="T4922">
        <v>2971.48</v>
      </c>
      <c r="U4922" t="s">
        <v>2633</v>
      </c>
      <c r="V4922" t="s">
        <v>9408</v>
      </c>
      <c r="W4922" t="s">
        <v>423</v>
      </c>
    </row>
    <row r="4923" spans="1:23" hidden="1" x14ac:dyDescent="0.2">
      <c r="A4923">
        <v>2012</v>
      </c>
      <c r="B4923" t="s">
        <v>305</v>
      </c>
      <c r="C4923" s="733">
        <v>40969.697615740741</v>
      </c>
      <c r="D4923" s="733" t="str">
        <f>CHOOSE(MONTH(Tabla_sqldatos_bonampakdb_Bon_v_ingresos2012[[#This Row],[fecha_guia]]),"Enero","Febrero","Marzo","Abril","Mayo","Junio","Julio","Agosto","Septiembre","Octubre","Noviembre","Diciembre")</f>
        <v>Marzo</v>
      </c>
      <c r="E4923" t="s">
        <v>478</v>
      </c>
      <c r="F4923" t="s">
        <v>2622</v>
      </c>
      <c r="G4923" t="s">
        <v>9602</v>
      </c>
      <c r="H4923">
        <v>36227</v>
      </c>
      <c r="I4923" t="s">
        <v>423</v>
      </c>
      <c r="J4923" t="s">
        <v>2668</v>
      </c>
      <c r="K4923" t="s">
        <v>2625</v>
      </c>
      <c r="L4923" t="s">
        <v>2626</v>
      </c>
      <c r="M4923">
        <v>76</v>
      </c>
      <c r="N4923">
        <v>25</v>
      </c>
      <c r="O4923">
        <v>2821.25</v>
      </c>
      <c r="P4923">
        <v>0</v>
      </c>
      <c r="Q4923">
        <v>2821.25</v>
      </c>
      <c r="R4923">
        <v>451.4</v>
      </c>
      <c r="S4923">
        <v>112.85</v>
      </c>
      <c r="T4923">
        <v>3159.8</v>
      </c>
      <c r="V4923" t="s">
        <v>9408</v>
      </c>
      <c r="W4923" t="s">
        <v>423</v>
      </c>
    </row>
    <row r="4924" spans="1:23" hidden="1" x14ac:dyDescent="0.2">
      <c r="A4924">
        <v>2012</v>
      </c>
      <c r="B4924" t="s">
        <v>303</v>
      </c>
      <c r="C4924" s="733">
        <v>40926</v>
      </c>
      <c r="D49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24" t="s">
        <v>478</v>
      </c>
      <c r="F4924" t="s">
        <v>2622</v>
      </c>
      <c r="G4924" t="s">
        <v>4216</v>
      </c>
      <c r="H4924">
        <v>34604</v>
      </c>
      <c r="I4924" t="s">
        <v>423</v>
      </c>
      <c r="J4924" t="s">
        <v>2668</v>
      </c>
      <c r="K4924" t="s">
        <v>2625</v>
      </c>
      <c r="L4924" t="s">
        <v>2626</v>
      </c>
      <c r="M4924">
        <v>76</v>
      </c>
      <c r="N4924">
        <v>24.2</v>
      </c>
      <c r="O4924">
        <v>2730.97</v>
      </c>
      <c r="P4924">
        <v>0</v>
      </c>
      <c r="Q4924">
        <v>2730.97</v>
      </c>
      <c r="R4924">
        <v>436.96</v>
      </c>
      <c r="S4924">
        <v>109.24</v>
      </c>
      <c r="T4924">
        <v>3058.69</v>
      </c>
      <c r="U4924" t="s">
        <v>2633</v>
      </c>
      <c r="V4924" t="s">
        <v>9408</v>
      </c>
      <c r="W4924" t="s">
        <v>423</v>
      </c>
    </row>
    <row r="4925" spans="1:23" hidden="1" x14ac:dyDescent="0.2">
      <c r="A4925">
        <v>2012</v>
      </c>
      <c r="B4925" t="s">
        <v>303</v>
      </c>
      <c r="C4925" s="733">
        <v>40932.461724537039</v>
      </c>
      <c r="D49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25" t="s">
        <v>478</v>
      </c>
      <c r="F4925" t="s">
        <v>2136</v>
      </c>
      <c r="G4925" t="s">
        <v>4218</v>
      </c>
      <c r="H4925">
        <v>34895</v>
      </c>
      <c r="I4925" t="s">
        <v>423</v>
      </c>
      <c r="J4925" t="s">
        <v>2668</v>
      </c>
      <c r="K4925" t="s">
        <v>2625</v>
      </c>
      <c r="L4925" t="s">
        <v>2626</v>
      </c>
      <c r="M4925">
        <v>76</v>
      </c>
      <c r="N4925">
        <v>22.43</v>
      </c>
      <c r="O4925">
        <v>2531.23</v>
      </c>
      <c r="P4925">
        <v>0</v>
      </c>
      <c r="Q4925">
        <v>2531.23</v>
      </c>
      <c r="R4925">
        <v>405</v>
      </c>
      <c r="S4925">
        <v>101.25</v>
      </c>
      <c r="T4925">
        <v>2834.98</v>
      </c>
      <c r="U4925" t="s">
        <v>2633</v>
      </c>
      <c r="V4925" t="s">
        <v>9408</v>
      </c>
      <c r="W4925" t="s">
        <v>423</v>
      </c>
    </row>
    <row r="4926" spans="1:23" hidden="1" x14ac:dyDescent="0.2">
      <c r="A4926">
        <v>2012</v>
      </c>
      <c r="B4926" t="s">
        <v>304</v>
      </c>
      <c r="C4926" s="733">
        <v>40954</v>
      </c>
      <c r="D49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26" t="s">
        <v>478</v>
      </c>
      <c r="F4926" t="s">
        <v>2622</v>
      </c>
      <c r="G4926" t="s">
        <v>7979</v>
      </c>
      <c r="H4926">
        <v>35652</v>
      </c>
      <c r="I4926" t="s">
        <v>423</v>
      </c>
      <c r="J4926" t="s">
        <v>2668</v>
      </c>
      <c r="K4926" t="s">
        <v>2625</v>
      </c>
      <c r="L4926" t="s">
        <v>2626</v>
      </c>
      <c r="M4926">
        <v>76</v>
      </c>
      <c r="N4926">
        <v>27.523</v>
      </c>
      <c r="O4926">
        <v>3105.97</v>
      </c>
      <c r="P4926">
        <v>0</v>
      </c>
      <c r="Q4926">
        <v>3105.97</v>
      </c>
      <c r="R4926">
        <v>496.96</v>
      </c>
      <c r="S4926">
        <v>124.24</v>
      </c>
      <c r="T4926">
        <v>3478.69</v>
      </c>
      <c r="V4926" t="s">
        <v>9408</v>
      </c>
      <c r="W4926" t="s">
        <v>423</v>
      </c>
    </row>
    <row r="4927" spans="1:23" hidden="1" x14ac:dyDescent="0.2">
      <c r="A4927">
        <v>2012</v>
      </c>
      <c r="B4927" t="s">
        <v>303</v>
      </c>
      <c r="C4927" s="733">
        <v>40925</v>
      </c>
      <c r="D49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27" t="s">
        <v>485</v>
      </c>
      <c r="F4927" t="s">
        <v>2065</v>
      </c>
      <c r="G4927" t="s">
        <v>6625</v>
      </c>
      <c r="H4927">
        <v>40431</v>
      </c>
      <c r="I4927" t="s">
        <v>423</v>
      </c>
      <c r="J4927" t="s">
        <v>3054</v>
      </c>
      <c r="K4927" t="s">
        <v>2183</v>
      </c>
      <c r="L4927" t="s">
        <v>2184</v>
      </c>
      <c r="M4927">
        <v>43</v>
      </c>
      <c r="N4927">
        <v>15.6</v>
      </c>
      <c r="O4927">
        <v>2310.98</v>
      </c>
      <c r="P4927">
        <v>0</v>
      </c>
      <c r="Q4927">
        <v>2310.98</v>
      </c>
      <c r="R4927">
        <v>369.76</v>
      </c>
      <c r="S4927">
        <v>92.44</v>
      </c>
      <c r="T4927">
        <v>2588.3000000000002</v>
      </c>
      <c r="U4927" t="s">
        <v>2187</v>
      </c>
      <c r="V4927" t="s">
        <v>9408</v>
      </c>
      <c r="W4927" t="s">
        <v>423</v>
      </c>
    </row>
    <row r="4928" spans="1:23" hidden="1" x14ac:dyDescent="0.2">
      <c r="A4928">
        <v>2012</v>
      </c>
      <c r="B4928" t="s">
        <v>303</v>
      </c>
      <c r="C4928" s="733">
        <v>40935</v>
      </c>
      <c r="D49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28" t="s">
        <v>505</v>
      </c>
      <c r="F4928" t="s">
        <v>1915</v>
      </c>
      <c r="G4928" t="s">
        <v>6797</v>
      </c>
      <c r="H4928">
        <v>22263</v>
      </c>
      <c r="I4928" t="s">
        <v>423</v>
      </c>
      <c r="J4928" t="s">
        <v>4155</v>
      </c>
      <c r="K4928" t="s">
        <v>1918</v>
      </c>
      <c r="L4928" t="s">
        <v>1919</v>
      </c>
      <c r="M4928">
        <v>650</v>
      </c>
      <c r="N4928">
        <v>52.18</v>
      </c>
      <c r="O4928">
        <v>22440.01</v>
      </c>
      <c r="P4928">
        <v>0</v>
      </c>
      <c r="Q4928">
        <v>22440.01</v>
      </c>
      <c r="R4928">
        <v>3590.4</v>
      </c>
      <c r="S4928">
        <v>897.6</v>
      </c>
      <c r="T4928">
        <v>25132.81</v>
      </c>
      <c r="U4928" t="s">
        <v>1926</v>
      </c>
      <c r="V4928" t="s">
        <v>9409</v>
      </c>
      <c r="W4928" t="s">
        <v>423</v>
      </c>
    </row>
    <row r="4929" spans="1:23" hidden="1" x14ac:dyDescent="0.2">
      <c r="A4929">
        <v>2012</v>
      </c>
      <c r="B4929" t="s">
        <v>303</v>
      </c>
      <c r="C4929" s="733">
        <v>40918</v>
      </c>
      <c r="D49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29" t="s">
        <v>505</v>
      </c>
      <c r="F4929" t="s">
        <v>1915</v>
      </c>
      <c r="G4929" t="s">
        <v>6011</v>
      </c>
      <c r="H4929">
        <v>21840</v>
      </c>
      <c r="I4929" t="s">
        <v>423</v>
      </c>
      <c r="J4929" t="s">
        <v>1945</v>
      </c>
      <c r="K4929" t="s">
        <v>1918</v>
      </c>
      <c r="L4929" t="s">
        <v>1919</v>
      </c>
      <c r="M4929">
        <v>949</v>
      </c>
      <c r="N4929">
        <v>50.65</v>
      </c>
      <c r="O4929">
        <v>29577.57</v>
      </c>
      <c r="P4929">
        <v>0</v>
      </c>
      <c r="Q4929">
        <v>29577.57</v>
      </c>
      <c r="R4929">
        <v>4732.41</v>
      </c>
      <c r="S4929">
        <v>1183.0999999999999</v>
      </c>
      <c r="T4929">
        <v>33126.879999999997</v>
      </c>
      <c r="U4929" t="s">
        <v>1931</v>
      </c>
      <c r="V4929" t="s">
        <v>9409</v>
      </c>
      <c r="W4929" t="s">
        <v>423</v>
      </c>
    </row>
    <row r="4930" spans="1:23" hidden="1" x14ac:dyDescent="0.2">
      <c r="A4930">
        <v>2012</v>
      </c>
      <c r="B4930" t="s">
        <v>303</v>
      </c>
      <c r="C4930" s="733">
        <v>40934</v>
      </c>
      <c r="D49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30" t="s">
        <v>505</v>
      </c>
      <c r="F4930" t="s">
        <v>1915</v>
      </c>
      <c r="G4930" t="s">
        <v>6010</v>
      </c>
      <c r="H4930">
        <v>22266</v>
      </c>
      <c r="I4930" t="s">
        <v>423</v>
      </c>
      <c r="J4930" t="s">
        <v>3207</v>
      </c>
      <c r="K4930" t="s">
        <v>1918</v>
      </c>
      <c r="L4930" t="s">
        <v>1919</v>
      </c>
      <c r="M4930">
        <v>334</v>
      </c>
      <c r="N4930">
        <v>24.82</v>
      </c>
      <c r="O4930">
        <v>6853.79</v>
      </c>
      <c r="P4930">
        <v>0</v>
      </c>
      <c r="Q4930">
        <v>6853.79</v>
      </c>
      <c r="R4930">
        <v>1096.6099999999999</v>
      </c>
      <c r="S4930">
        <v>274.14999999999998</v>
      </c>
      <c r="T4930">
        <v>7676.25</v>
      </c>
      <c r="U4930" t="s">
        <v>1926</v>
      </c>
      <c r="V4930" t="s">
        <v>9408</v>
      </c>
      <c r="W4930" t="s">
        <v>423</v>
      </c>
    </row>
    <row r="4931" spans="1:23" hidden="1" x14ac:dyDescent="0.2">
      <c r="A4931">
        <v>2012</v>
      </c>
      <c r="B4931" t="s">
        <v>304</v>
      </c>
      <c r="C4931" s="733">
        <v>40956.527974537035</v>
      </c>
      <c r="D49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31" t="s">
        <v>478</v>
      </c>
      <c r="F4931" t="s">
        <v>3787</v>
      </c>
      <c r="G4931" t="s">
        <v>7862</v>
      </c>
      <c r="H4931">
        <v>35742</v>
      </c>
      <c r="I4931" t="s">
        <v>423</v>
      </c>
      <c r="J4931" t="s">
        <v>3797</v>
      </c>
      <c r="K4931" t="s">
        <v>3481</v>
      </c>
      <c r="L4931" t="s">
        <v>3482</v>
      </c>
      <c r="M4931">
        <v>266</v>
      </c>
      <c r="N4931">
        <v>19.62</v>
      </c>
      <c r="O4931">
        <v>4381.7299999999996</v>
      </c>
      <c r="P4931">
        <v>0</v>
      </c>
      <c r="Q4931">
        <v>4381.7299999999996</v>
      </c>
      <c r="R4931">
        <v>701.08</v>
      </c>
      <c r="S4931">
        <v>175.27</v>
      </c>
      <c r="T4931">
        <v>4907.54</v>
      </c>
      <c r="U4931" t="s">
        <v>8277</v>
      </c>
      <c r="V4931" t="s">
        <v>9408</v>
      </c>
      <c r="W4931" t="s">
        <v>423</v>
      </c>
    </row>
    <row r="4932" spans="1:23" hidden="1" x14ac:dyDescent="0.2">
      <c r="A4932">
        <v>2012</v>
      </c>
      <c r="B4932" t="s">
        <v>304</v>
      </c>
      <c r="C4932" s="733">
        <v>40967.387719907405</v>
      </c>
      <c r="D49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32" t="s">
        <v>478</v>
      </c>
      <c r="F4932" t="s">
        <v>2136</v>
      </c>
      <c r="G4932" t="s">
        <v>8968</v>
      </c>
      <c r="H4932">
        <v>36091</v>
      </c>
      <c r="I4932" t="s">
        <v>423</v>
      </c>
      <c r="J4932" t="s">
        <v>3797</v>
      </c>
      <c r="K4932" t="s">
        <v>3481</v>
      </c>
      <c r="L4932" t="s">
        <v>3482</v>
      </c>
      <c r="M4932">
        <v>266</v>
      </c>
      <c r="N4932">
        <v>29.32</v>
      </c>
      <c r="O4932">
        <v>6547.74</v>
      </c>
      <c r="P4932">
        <v>0</v>
      </c>
      <c r="Q4932">
        <v>6547.74</v>
      </c>
      <c r="R4932">
        <v>1047.6400000000001</v>
      </c>
      <c r="S4932">
        <v>261.91000000000003</v>
      </c>
      <c r="T4932">
        <v>7333.47</v>
      </c>
      <c r="U4932" t="s">
        <v>9462</v>
      </c>
      <c r="V4932" t="s">
        <v>9408</v>
      </c>
      <c r="W4932" t="s">
        <v>423</v>
      </c>
    </row>
    <row r="4933" spans="1:23" hidden="1" x14ac:dyDescent="0.2">
      <c r="A4933">
        <v>2012</v>
      </c>
      <c r="B4933" t="s">
        <v>304</v>
      </c>
      <c r="C4933" s="733">
        <v>40942</v>
      </c>
      <c r="D49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33" t="s">
        <v>485</v>
      </c>
      <c r="F4933" t="s">
        <v>2065</v>
      </c>
      <c r="G4933" t="s">
        <v>3140</v>
      </c>
      <c r="H4933">
        <v>41291</v>
      </c>
      <c r="I4933" t="s">
        <v>423</v>
      </c>
      <c r="J4933" t="s">
        <v>2182</v>
      </c>
      <c r="K4933" t="s">
        <v>2183</v>
      </c>
      <c r="L4933" t="s">
        <v>2184</v>
      </c>
      <c r="M4933">
        <v>62</v>
      </c>
      <c r="N4933">
        <v>15.97</v>
      </c>
      <c r="O4933">
        <v>2365.8000000000002</v>
      </c>
      <c r="P4933">
        <v>0</v>
      </c>
      <c r="Q4933">
        <v>2365.8000000000002</v>
      </c>
      <c r="R4933">
        <v>378.53</v>
      </c>
      <c r="S4933">
        <v>94.63</v>
      </c>
      <c r="T4933">
        <v>2649.7</v>
      </c>
      <c r="U4933" t="s">
        <v>2192</v>
      </c>
      <c r="V4933" t="s">
        <v>9408</v>
      </c>
      <c r="W4933" t="s">
        <v>423</v>
      </c>
    </row>
    <row r="4934" spans="1:23" hidden="1" x14ac:dyDescent="0.2">
      <c r="A4934">
        <v>2012</v>
      </c>
      <c r="B4934" t="s">
        <v>304</v>
      </c>
      <c r="C4934" s="733">
        <v>40959</v>
      </c>
      <c r="D49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34" t="s">
        <v>485</v>
      </c>
      <c r="F4934" t="s">
        <v>2065</v>
      </c>
      <c r="G4934" t="s">
        <v>7864</v>
      </c>
      <c r="H4934">
        <v>42193</v>
      </c>
      <c r="I4934" t="s">
        <v>423</v>
      </c>
      <c r="J4934" t="s">
        <v>2182</v>
      </c>
      <c r="K4934" t="s">
        <v>2183</v>
      </c>
      <c r="L4934" t="s">
        <v>2184</v>
      </c>
      <c r="M4934">
        <v>62</v>
      </c>
      <c r="N4934">
        <v>25.44</v>
      </c>
      <c r="O4934">
        <v>3768.68</v>
      </c>
      <c r="P4934">
        <v>0</v>
      </c>
      <c r="Q4934">
        <v>3768.68</v>
      </c>
      <c r="R4934">
        <v>602.99</v>
      </c>
      <c r="S4934">
        <v>150.75</v>
      </c>
      <c r="T4934">
        <v>4220.92</v>
      </c>
      <c r="U4934" t="s">
        <v>9411</v>
      </c>
      <c r="V4934" t="s">
        <v>9408</v>
      </c>
      <c r="W4934" t="s">
        <v>423</v>
      </c>
    </row>
    <row r="4935" spans="1:23" hidden="1" x14ac:dyDescent="0.2">
      <c r="A4935">
        <v>2012</v>
      </c>
      <c r="B4935" t="s">
        <v>303</v>
      </c>
      <c r="C4935" s="733">
        <v>40932</v>
      </c>
      <c r="D49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35" t="s">
        <v>485</v>
      </c>
      <c r="F4935" t="s">
        <v>2065</v>
      </c>
      <c r="G4935" t="s">
        <v>3145</v>
      </c>
      <c r="H4935">
        <v>40762</v>
      </c>
      <c r="I4935" t="s">
        <v>423</v>
      </c>
      <c r="J4935" t="s">
        <v>2182</v>
      </c>
      <c r="K4935" t="s">
        <v>2183</v>
      </c>
      <c r="L4935" t="s">
        <v>2184</v>
      </c>
      <c r="M4935">
        <v>62</v>
      </c>
      <c r="N4935">
        <v>23.87</v>
      </c>
      <c r="O4935">
        <v>3536.1</v>
      </c>
      <c r="P4935">
        <v>0</v>
      </c>
      <c r="Q4935">
        <v>3536.1</v>
      </c>
      <c r="R4935">
        <v>565.78</v>
      </c>
      <c r="S4935">
        <v>141.44</v>
      </c>
      <c r="T4935">
        <v>3960.44</v>
      </c>
      <c r="U4935" t="s">
        <v>2187</v>
      </c>
      <c r="V4935" t="s">
        <v>9408</v>
      </c>
      <c r="W4935" t="s">
        <v>423</v>
      </c>
    </row>
    <row r="4936" spans="1:23" hidden="1" x14ac:dyDescent="0.2">
      <c r="A4936">
        <v>2012</v>
      </c>
      <c r="B4936" t="s">
        <v>304</v>
      </c>
      <c r="C4936" s="733">
        <v>40955.406631944446</v>
      </c>
      <c r="D49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36" t="s">
        <v>478</v>
      </c>
      <c r="F4936" t="s">
        <v>3358</v>
      </c>
      <c r="G4936" t="s">
        <v>7681</v>
      </c>
      <c r="H4936">
        <v>35692</v>
      </c>
      <c r="I4936" t="s">
        <v>423</v>
      </c>
      <c r="J4936" t="s">
        <v>3360</v>
      </c>
      <c r="K4936" t="s">
        <v>483</v>
      </c>
      <c r="L4936" t="s">
        <v>3361</v>
      </c>
      <c r="M4936">
        <v>49</v>
      </c>
      <c r="N4936">
        <v>22.02</v>
      </c>
      <c r="O4936">
        <v>2485.4</v>
      </c>
      <c r="P4936">
        <v>0</v>
      </c>
      <c r="Q4936">
        <v>2485.4</v>
      </c>
      <c r="R4936">
        <v>397.66</v>
      </c>
      <c r="S4936">
        <v>99.42</v>
      </c>
      <c r="T4936">
        <v>2783.64</v>
      </c>
      <c r="V4936" t="s">
        <v>9408</v>
      </c>
      <c r="W4936" t="s">
        <v>423</v>
      </c>
    </row>
    <row r="4937" spans="1:23" x14ac:dyDescent="0.2">
      <c r="A4937">
        <v>2012</v>
      </c>
      <c r="B4937" t="s">
        <v>304</v>
      </c>
      <c r="C4937" s="733">
        <v>40968</v>
      </c>
      <c r="D49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37" t="s">
        <v>485</v>
      </c>
      <c r="F4937" t="s">
        <v>2065</v>
      </c>
      <c r="G4937" t="s">
        <v>9459</v>
      </c>
      <c r="H4937">
        <v>42863</v>
      </c>
      <c r="I4937" t="s">
        <v>423</v>
      </c>
      <c r="J4937" t="s">
        <v>4073</v>
      </c>
      <c r="K4937" t="s">
        <v>2051</v>
      </c>
      <c r="L4937" t="s">
        <v>2052</v>
      </c>
      <c r="M4937">
        <v>610</v>
      </c>
      <c r="N4937">
        <v>49.6</v>
      </c>
      <c r="O4937">
        <v>17582.7</v>
      </c>
      <c r="P4937">
        <v>0</v>
      </c>
      <c r="Q4937">
        <v>17582.7</v>
      </c>
      <c r="R4937">
        <v>2813.23</v>
      </c>
      <c r="S4937">
        <v>703.31</v>
      </c>
      <c r="T4937">
        <v>19692.62</v>
      </c>
      <c r="V4937" t="s">
        <v>9409</v>
      </c>
      <c r="W4937" t="s">
        <v>423</v>
      </c>
    </row>
    <row r="4938" spans="1:23" hidden="1" x14ac:dyDescent="0.2">
      <c r="A4938">
        <v>2012</v>
      </c>
      <c r="B4938" t="s">
        <v>303</v>
      </c>
      <c r="C4938" s="733">
        <v>40934</v>
      </c>
      <c r="D49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38" t="s">
        <v>478</v>
      </c>
      <c r="F4938" t="s">
        <v>2136</v>
      </c>
      <c r="G4938" t="s">
        <v>7238</v>
      </c>
      <c r="H4938">
        <v>34880</v>
      </c>
      <c r="I4938" t="s">
        <v>423</v>
      </c>
      <c r="J4938" t="s">
        <v>4632</v>
      </c>
      <c r="K4938" t="s">
        <v>425</v>
      </c>
      <c r="L4938" t="s">
        <v>2145</v>
      </c>
      <c r="M4938">
        <v>1395</v>
      </c>
      <c r="N4938">
        <v>47.15</v>
      </c>
      <c r="O4938">
        <v>42755.15</v>
      </c>
      <c r="P4938">
        <v>0</v>
      </c>
      <c r="Q4938">
        <v>42755.15</v>
      </c>
      <c r="R4938">
        <v>6840.82</v>
      </c>
      <c r="S4938">
        <v>1710.21</v>
      </c>
      <c r="T4938">
        <v>47885.760000000002</v>
      </c>
      <c r="U4938" t="s">
        <v>3234</v>
      </c>
      <c r="V4938" t="s">
        <v>9409</v>
      </c>
      <c r="W4938" t="s">
        <v>423</v>
      </c>
    </row>
    <row r="4939" spans="1:23" hidden="1" x14ac:dyDescent="0.2">
      <c r="A4939">
        <v>2012</v>
      </c>
      <c r="B4939" t="s">
        <v>303</v>
      </c>
      <c r="C4939" s="733">
        <v>40933</v>
      </c>
      <c r="D49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39" t="s">
        <v>478</v>
      </c>
      <c r="F4939" t="s">
        <v>2136</v>
      </c>
      <c r="G4939" t="s">
        <v>7239</v>
      </c>
      <c r="H4939">
        <v>34845</v>
      </c>
      <c r="I4939" t="s">
        <v>423</v>
      </c>
      <c r="J4939" t="s">
        <v>4632</v>
      </c>
      <c r="K4939" t="s">
        <v>425</v>
      </c>
      <c r="L4939" t="s">
        <v>2145</v>
      </c>
      <c r="M4939">
        <v>1395</v>
      </c>
      <c r="N4939">
        <v>50.1</v>
      </c>
      <c r="O4939">
        <v>45430.18</v>
      </c>
      <c r="P4939">
        <v>0</v>
      </c>
      <c r="Q4939">
        <v>45430.18</v>
      </c>
      <c r="R4939">
        <v>7268.83</v>
      </c>
      <c r="S4939">
        <v>1817.21</v>
      </c>
      <c r="T4939">
        <v>50881.8</v>
      </c>
      <c r="U4939" t="s">
        <v>3234</v>
      </c>
      <c r="V4939" t="s">
        <v>9409</v>
      </c>
      <c r="W4939" t="s">
        <v>423</v>
      </c>
    </row>
    <row r="4940" spans="1:23" hidden="1" x14ac:dyDescent="0.2">
      <c r="A4940">
        <v>2012</v>
      </c>
      <c r="B4940" t="s">
        <v>303</v>
      </c>
      <c r="C4940" s="733">
        <v>40931</v>
      </c>
      <c r="D49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40" t="s">
        <v>478</v>
      </c>
      <c r="F4940" t="s">
        <v>2136</v>
      </c>
      <c r="G4940" t="s">
        <v>7229</v>
      </c>
      <c r="H4940">
        <v>34768</v>
      </c>
      <c r="I4940" t="s">
        <v>423</v>
      </c>
      <c r="J4940" t="s">
        <v>2936</v>
      </c>
      <c r="K4940" t="s">
        <v>425</v>
      </c>
      <c r="L4940" t="s">
        <v>2145</v>
      </c>
      <c r="M4940">
        <v>604</v>
      </c>
      <c r="N4940">
        <v>26.62</v>
      </c>
      <c r="O4940">
        <v>8505.09</v>
      </c>
      <c r="P4940">
        <v>0</v>
      </c>
      <c r="Q4940">
        <v>8505.09</v>
      </c>
      <c r="R4940">
        <v>1360.81</v>
      </c>
      <c r="S4940">
        <v>340.2</v>
      </c>
      <c r="T4940">
        <v>9525.7000000000007</v>
      </c>
      <c r="U4940" t="s">
        <v>3234</v>
      </c>
      <c r="V4940" t="s">
        <v>9408</v>
      </c>
      <c r="W4940" t="s">
        <v>423</v>
      </c>
    </row>
    <row r="4941" spans="1:23" hidden="1" x14ac:dyDescent="0.2">
      <c r="A4941">
        <v>2012</v>
      </c>
      <c r="B4941" t="s">
        <v>303</v>
      </c>
      <c r="C4941" s="733">
        <v>40927</v>
      </c>
      <c r="D49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41" t="s">
        <v>485</v>
      </c>
      <c r="F4941" t="s">
        <v>2065</v>
      </c>
      <c r="G4941" t="s">
        <v>7242</v>
      </c>
      <c r="H4941">
        <v>40471</v>
      </c>
      <c r="I4941" t="s">
        <v>423</v>
      </c>
      <c r="J4941" t="s">
        <v>4626</v>
      </c>
      <c r="K4941" t="s">
        <v>2102</v>
      </c>
      <c r="L4941" t="s">
        <v>2115</v>
      </c>
      <c r="M4941">
        <v>1457</v>
      </c>
      <c r="N4941">
        <v>25.37</v>
      </c>
      <c r="O4941">
        <v>18771.77</v>
      </c>
      <c r="P4941">
        <v>0</v>
      </c>
      <c r="Q4941">
        <v>18771.77</v>
      </c>
      <c r="R4941">
        <v>3003.48</v>
      </c>
      <c r="S4941">
        <v>750.87</v>
      </c>
      <c r="T4941">
        <v>21024.38</v>
      </c>
      <c r="U4941" t="s">
        <v>2110</v>
      </c>
      <c r="V4941" t="s">
        <v>9408</v>
      </c>
      <c r="W4941" t="s">
        <v>423</v>
      </c>
    </row>
    <row r="4942" spans="1:23" hidden="1" x14ac:dyDescent="0.2">
      <c r="A4942">
        <v>2012</v>
      </c>
      <c r="B4942" t="s">
        <v>304</v>
      </c>
      <c r="C4942" s="733">
        <v>40952</v>
      </c>
      <c r="D49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42" t="s">
        <v>485</v>
      </c>
      <c r="F4942" t="s">
        <v>2065</v>
      </c>
      <c r="G4942" t="s">
        <v>6672</v>
      </c>
      <c r="H4942">
        <v>41801</v>
      </c>
      <c r="I4942" t="s">
        <v>423</v>
      </c>
      <c r="J4942" t="s">
        <v>4073</v>
      </c>
      <c r="K4942" t="s">
        <v>2051</v>
      </c>
      <c r="L4942" t="s">
        <v>2052</v>
      </c>
      <c r="M4942">
        <v>610</v>
      </c>
      <c r="N4942">
        <v>59.9</v>
      </c>
      <c r="O4942">
        <v>21233.95</v>
      </c>
      <c r="P4942">
        <v>0</v>
      </c>
      <c r="Q4942">
        <v>21233.95</v>
      </c>
      <c r="R4942">
        <v>3397.43</v>
      </c>
      <c r="S4942">
        <v>849.36</v>
      </c>
      <c r="T4942">
        <v>23782.02</v>
      </c>
      <c r="U4942" t="s">
        <v>7568</v>
      </c>
      <c r="V4942" t="s">
        <v>9409</v>
      </c>
      <c r="W4942" t="s">
        <v>423</v>
      </c>
    </row>
    <row r="4943" spans="1:23" hidden="1" x14ac:dyDescent="0.2">
      <c r="A4943">
        <v>2012</v>
      </c>
      <c r="B4943" t="s">
        <v>304</v>
      </c>
      <c r="C4943" s="733">
        <v>40948</v>
      </c>
      <c r="D49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43" t="s">
        <v>485</v>
      </c>
      <c r="F4943" t="s">
        <v>2065</v>
      </c>
      <c r="G4943" t="s">
        <v>6673</v>
      </c>
      <c r="H4943">
        <v>41648</v>
      </c>
      <c r="I4943" t="s">
        <v>423</v>
      </c>
      <c r="J4943" t="s">
        <v>4073</v>
      </c>
      <c r="K4943" t="s">
        <v>2051</v>
      </c>
      <c r="L4943" t="s">
        <v>2052</v>
      </c>
      <c r="M4943">
        <v>610</v>
      </c>
      <c r="N4943">
        <v>45.15</v>
      </c>
      <c r="O4943">
        <v>16005.22</v>
      </c>
      <c r="P4943">
        <v>0</v>
      </c>
      <c r="Q4943">
        <v>16005.22</v>
      </c>
      <c r="R4943">
        <v>2560.84</v>
      </c>
      <c r="S4943">
        <v>640.21</v>
      </c>
      <c r="T4943">
        <v>17925.849999999999</v>
      </c>
      <c r="U4943" t="s">
        <v>8257</v>
      </c>
      <c r="V4943" t="s">
        <v>9409</v>
      </c>
      <c r="W4943" t="s">
        <v>423</v>
      </c>
    </row>
    <row r="4944" spans="1:23" hidden="1" x14ac:dyDescent="0.2">
      <c r="A4944">
        <v>2012</v>
      </c>
      <c r="B4944" t="s">
        <v>303</v>
      </c>
      <c r="C4944" s="733">
        <v>40911.484594907408</v>
      </c>
      <c r="D49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44" t="s">
        <v>485</v>
      </c>
      <c r="F4944" t="s">
        <v>2065</v>
      </c>
      <c r="G4944" t="s">
        <v>3132</v>
      </c>
      <c r="H4944">
        <v>39701</v>
      </c>
      <c r="I4944" t="s">
        <v>423</v>
      </c>
      <c r="J4944" t="s">
        <v>3054</v>
      </c>
      <c r="K4944" t="s">
        <v>2183</v>
      </c>
      <c r="L4944" t="s">
        <v>2184</v>
      </c>
      <c r="M4944">
        <v>43</v>
      </c>
      <c r="N4944">
        <v>15.54</v>
      </c>
      <c r="O4944">
        <v>738.46</v>
      </c>
      <c r="P4944">
        <v>831.42472899999996</v>
      </c>
      <c r="Q4944">
        <v>1569.8847290000001</v>
      </c>
      <c r="R4944">
        <v>251.181557</v>
      </c>
      <c r="S4944">
        <v>62.795389</v>
      </c>
      <c r="T4944">
        <v>1758.2708970000001</v>
      </c>
      <c r="U4944" t="s">
        <v>3038</v>
      </c>
      <c r="V4944" t="s">
        <v>9408</v>
      </c>
      <c r="W4944" t="s">
        <v>423</v>
      </c>
    </row>
    <row r="4945" spans="1:23" hidden="1" x14ac:dyDescent="0.2">
      <c r="A4945">
        <v>2012</v>
      </c>
      <c r="B4945" t="s">
        <v>303</v>
      </c>
      <c r="C4945" s="733">
        <v>40935</v>
      </c>
      <c r="D49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45" t="s">
        <v>485</v>
      </c>
      <c r="F4945" t="s">
        <v>2065</v>
      </c>
      <c r="G4945" t="s">
        <v>3133</v>
      </c>
      <c r="H4945">
        <v>40964</v>
      </c>
      <c r="I4945" t="s">
        <v>423</v>
      </c>
      <c r="J4945" t="s">
        <v>3054</v>
      </c>
      <c r="K4945" t="s">
        <v>2183</v>
      </c>
      <c r="L4945" t="s">
        <v>2184</v>
      </c>
      <c r="M4945">
        <v>43</v>
      </c>
      <c r="N4945">
        <v>15.69</v>
      </c>
      <c r="O4945">
        <v>1770.93</v>
      </c>
      <c r="P4945">
        <v>0</v>
      </c>
      <c r="Q4945">
        <v>1770.93</v>
      </c>
      <c r="R4945">
        <v>283.35000000000002</v>
      </c>
      <c r="S4945">
        <v>70.84</v>
      </c>
      <c r="T4945">
        <v>1983.44</v>
      </c>
      <c r="U4945" t="s">
        <v>2187</v>
      </c>
      <c r="V4945" t="s">
        <v>9408</v>
      </c>
      <c r="W4945" t="s">
        <v>423</v>
      </c>
    </row>
    <row r="4946" spans="1:23" hidden="1" x14ac:dyDescent="0.2">
      <c r="A4946">
        <v>2012</v>
      </c>
      <c r="B4946" t="s">
        <v>303</v>
      </c>
      <c r="C4946" s="733">
        <v>40911.483240740738</v>
      </c>
      <c r="D49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46" t="s">
        <v>485</v>
      </c>
      <c r="F4946" t="s">
        <v>2065</v>
      </c>
      <c r="G4946" t="s">
        <v>3131</v>
      </c>
      <c r="H4946">
        <v>39704</v>
      </c>
      <c r="I4946" t="s">
        <v>423</v>
      </c>
      <c r="J4946" t="s">
        <v>3054</v>
      </c>
      <c r="K4946" t="s">
        <v>2183</v>
      </c>
      <c r="L4946" t="s">
        <v>2184</v>
      </c>
      <c r="M4946">
        <v>43</v>
      </c>
      <c r="N4946">
        <v>15.65</v>
      </c>
      <c r="O4946">
        <v>743.69</v>
      </c>
      <c r="P4946">
        <v>837.31313399999999</v>
      </c>
      <c r="Q4946">
        <v>1581.003134</v>
      </c>
      <c r="R4946">
        <v>252.96050099999999</v>
      </c>
      <c r="S4946">
        <v>63.240124999999999</v>
      </c>
      <c r="T4946">
        <v>1770.72351</v>
      </c>
      <c r="U4946" t="s">
        <v>3038</v>
      </c>
      <c r="V4946" t="s">
        <v>9408</v>
      </c>
      <c r="W4946" t="s">
        <v>423</v>
      </c>
    </row>
    <row r="4947" spans="1:23" hidden="1" x14ac:dyDescent="0.2">
      <c r="A4947">
        <v>2012</v>
      </c>
      <c r="B4947" t="s">
        <v>303</v>
      </c>
      <c r="C4947" s="733">
        <v>40918</v>
      </c>
      <c r="D49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47" t="s">
        <v>478</v>
      </c>
      <c r="F4947" t="s">
        <v>2136</v>
      </c>
      <c r="G4947" t="s">
        <v>7231</v>
      </c>
      <c r="H4947">
        <v>34347</v>
      </c>
      <c r="I4947" t="s">
        <v>423</v>
      </c>
      <c r="J4947" t="s">
        <v>5620</v>
      </c>
      <c r="K4947" t="s">
        <v>425</v>
      </c>
      <c r="L4947" t="s">
        <v>2145</v>
      </c>
      <c r="M4947">
        <v>700</v>
      </c>
      <c r="N4947">
        <v>53.61</v>
      </c>
      <c r="O4947">
        <v>17128.400000000001</v>
      </c>
      <c r="P4947">
        <v>0</v>
      </c>
      <c r="Q4947">
        <v>17128.400000000001</v>
      </c>
      <c r="R4947">
        <v>2740.54</v>
      </c>
      <c r="S4947">
        <v>685.14</v>
      </c>
      <c r="T4947">
        <v>19183.8</v>
      </c>
      <c r="U4947" t="s">
        <v>2350</v>
      </c>
      <c r="V4947" t="s">
        <v>9409</v>
      </c>
      <c r="W4947" t="s">
        <v>423</v>
      </c>
    </row>
    <row r="4948" spans="1:23" hidden="1" x14ac:dyDescent="0.2">
      <c r="A4948">
        <v>2012</v>
      </c>
      <c r="B4948" t="s">
        <v>303</v>
      </c>
      <c r="C4948" s="733">
        <v>40925</v>
      </c>
      <c r="D49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48" t="s">
        <v>485</v>
      </c>
      <c r="F4948" t="s">
        <v>2065</v>
      </c>
      <c r="G4948" t="s">
        <v>7230</v>
      </c>
      <c r="H4948">
        <v>40310</v>
      </c>
      <c r="I4948" t="s">
        <v>423</v>
      </c>
      <c r="J4948" t="s">
        <v>4626</v>
      </c>
      <c r="K4948" t="s">
        <v>2102</v>
      </c>
      <c r="L4948" t="s">
        <v>2115</v>
      </c>
      <c r="M4948">
        <v>1457</v>
      </c>
      <c r="N4948">
        <v>26.39</v>
      </c>
      <c r="O4948">
        <v>19526.490000000002</v>
      </c>
      <c r="P4948">
        <v>0</v>
      </c>
      <c r="Q4948">
        <v>19526.490000000002</v>
      </c>
      <c r="R4948">
        <v>3124.24</v>
      </c>
      <c r="S4948">
        <v>781.06</v>
      </c>
      <c r="T4948">
        <v>21869.67</v>
      </c>
      <c r="U4948" t="s">
        <v>2106</v>
      </c>
      <c r="V4948" t="s">
        <v>9408</v>
      </c>
      <c r="W4948" t="s">
        <v>423</v>
      </c>
    </row>
    <row r="4949" spans="1:23" x14ac:dyDescent="0.2">
      <c r="A4949">
        <v>2012</v>
      </c>
      <c r="B4949" t="s">
        <v>304</v>
      </c>
      <c r="C4949" s="733">
        <v>40968</v>
      </c>
      <c r="D49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49" t="s">
        <v>485</v>
      </c>
      <c r="F4949" t="s">
        <v>2065</v>
      </c>
      <c r="G4949" t="s">
        <v>9451</v>
      </c>
      <c r="H4949">
        <v>42862</v>
      </c>
      <c r="I4949" t="s">
        <v>423</v>
      </c>
      <c r="J4949" t="s">
        <v>4073</v>
      </c>
      <c r="K4949" t="s">
        <v>2051</v>
      </c>
      <c r="L4949" t="s">
        <v>2052</v>
      </c>
      <c r="M4949">
        <v>610</v>
      </c>
      <c r="N4949">
        <v>49.1</v>
      </c>
      <c r="O4949">
        <v>17405.46</v>
      </c>
      <c r="P4949">
        <v>0</v>
      </c>
      <c r="Q4949">
        <v>17405.46</v>
      </c>
      <c r="R4949">
        <v>2784.87</v>
      </c>
      <c r="S4949">
        <v>696.22</v>
      </c>
      <c r="T4949">
        <v>19494.11</v>
      </c>
      <c r="V4949" t="s">
        <v>9409</v>
      </c>
      <c r="W4949" t="s">
        <v>423</v>
      </c>
    </row>
    <row r="4950" spans="1:23" hidden="1" x14ac:dyDescent="0.2">
      <c r="A4950">
        <v>2012</v>
      </c>
      <c r="B4950" t="s">
        <v>304</v>
      </c>
      <c r="C4950" s="733">
        <v>40956</v>
      </c>
      <c r="D49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50" t="s">
        <v>485</v>
      </c>
      <c r="F4950" t="s">
        <v>2084</v>
      </c>
      <c r="G4950" t="s">
        <v>7861</v>
      </c>
      <c r="H4950">
        <v>42164</v>
      </c>
      <c r="I4950" t="s">
        <v>423</v>
      </c>
      <c r="J4950" t="s">
        <v>4770</v>
      </c>
      <c r="K4950" t="s">
        <v>2051</v>
      </c>
      <c r="L4950" t="s">
        <v>2052</v>
      </c>
      <c r="M4950">
        <v>599</v>
      </c>
      <c r="N4950">
        <v>25.4</v>
      </c>
      <c r="O4950">
        <v>8859.52</v>
      </c>
      <c r="P4950">
        <v>0</v>
      </c>
      <c r="Q4950">
        <v>8859.52</v>
      </c>
      <c r="R4950">
        <v>1417.52</v>
      </c>
      <c r="S4950">
        <v>354.38</v>
      </c>
      <c r="T4950">
        <v>9922.66</v>
      </c>
      <c r="U4950" t="s">
        <v>8257</v>
      </c>
      <c r="V4950" t="s">
        <v>9408</v>
      </c>
      <c r="W4950" t="s">
        <v>423</v>
      </c>
    </row>
    <row r="4951" spans="1:23" hidden="1" x14ac:dyDescent="0.2">
      <c r="A4951">
        <v>2012</v>
      </c>
      <c r="B4951" t="s">
        <v>303</v>
      </c>
      <c r="C4951" s="733">
        <v>40910</v>
      </c>
      <c r="D49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51" t="s">
        <v>485</v>
      </c>
      <c r="F4951" t="s">
        <v>2065</v>
      </c>
      <c r="G4951" t="s">
        <v>6629</v>
      </c>
      <c r="H4951">
        <v>39329</v>
      </c>
      <c r="I4951" t="s">
        <v>423</v>
      </c>
      <c r="J4951" t="s">
        <v>3280</v>
      </c>
      <c r="K4951" t="s">
        <v>2183</v>
      </c>
      <c r="L4951" t="s">
        <v>2184</v>
      </c>
      <c r="M4951">
        <v>1020</v>
      </c>
      <c r="N4951">
        <v>25.54</v>
      </c>
      <c r="O4951">
        <v>5973.04</v>
      </c>
      <c r="P4951">
        <v>6724.9860060000001</v>
      </c>
      <c r="Q4951">
        <v>12698.026006</v>
      </c>
      <c r="R4951">
        <v>2031.6841609999999</v>
      </c>
      <c r="S4951">
        <v>507.92104</v>
      </c>
      <c r="T4951">
        <v>14221.789127</v>
      </c>
      <c r="U4951" t="s">
        <v>3038</v>
      </c>
      <c r="V4951" t="s">
        <v>9409</v>
      </c>
      <c r="W4951" t="s">
        <v>423</v>
      </c>
    </row>
    <row r="4952" spans="1:23" hidden="1" x14ac:dyDescent="0.2">
      <c r="A4952">
        <v>2012</v>
      </c>
      <c r="B4952" t="s">
        <v>303</v>
      </c>
      <c r="C4952" s="733">
        <v>40910</v>
      </c>
      <c r="D49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52" t="s">
        <v>485</v>
      </c>
      <c r="F4952" t="s">
        <v>2065</v>
      </c>
      <c r="G4952" t="s">
        <v>6628</v>
      </c>
      <c r="H4952">
        <v>39329</v>
      </c>
      <c r="I4952" t="s">
        <v>423</v>
      </c>
      <c r="J4952" t="s">
        <v>3280</v>
      </c>
      <c r="K4952" t="s">
        <v>2183</v>
      </c>
      <c r="L4952" t="s">
        <v>2184</v>
      </c>
      <c r="M4952">
        <v>1020</v>
      </c>
      <c r="N4952">
        <v>26.26</v>
      </c>
      <c r="O4952">
        <v>6141.43</v>
      </c>
      <c r="P4952">
        <v>6914.5746230000004</v>
      </c>
      <c r="Q4952">
        <v>13056.004623000001</v>
      </c>
      <c r="R4952">
        <v>2088.96074</v>
      </c>
      <c r="S4952">
        <v>522.240185</v>
      </c>
      <c r="T4952">
        <v>14622.725178000001</v>
      </c>
      <c r="U4952" t="s">
        <v>3038</v>
      </c>
      <c r="V4952" t="s">
        <v>9409</v>
      </c>
      <c r="W4952" t="s">
        <v>423</v>
      </c>
    </row>
    <row r="4953" spans="1:23" hidden="1" x14ac:dyDescent="0.2">
      <c r="A4953">
        <v>2012</v>
      </c>
      <c r="B4953" t="s">
        <v>304</v>
      </c>
      <c r="C4953" s="733">
        <v>40948</v>
      </c>
      <c r="D49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53" t="s">
        <v>485</v>
      </c>
      <c r="F4953" t="s">
        <v>2065</v>
      </c>
      <c r="G4953" t="s">
        <v>6630</v>
      </c>
      <c r="H4953">
        <v>41606</v>
      </c>
      <c r="I4953" t="s">
        <v>423</v>
      </c>
      <c r="J4953" t="s">
        <v>3054</v>
      </c>
      <c r="K4953" t="s">
        <v>2183</v>
      </c>
      <c r="L4953" t="s">
        <v>2184</v>
      </c>
      <c r="M4953">
        <v>43</v>
      </c>
      <c r="N4953">
        <v>16.64</v>
      </c>
      <c r="O4953">
        <v>1878.16</v>
      </c>
      <c r="P4953">
        <v>0</v>
      </c>
      <c r="Q4953">
        <v>1878.16</v>
      </c>
      <c r="R4953">
        <v>300.51</v>
      </c>
      <c r="S4953">
        <v>75.13</v>
      </c>
      <c r="T4953">
        <v>2103.54</v>
      </c>
      <c r="U4953" t="s">
        <v>2192</v>
      </c>
      <c r="V4953" t="s">
        <v>9408</v>
      </c>
      <c r="W4953" t="s">
        <v>423</v>
      </c>
    </row>
    <row r="4954" spans="1:23" x14ac:dyDescent="0.2">
      <c r="A4954">
        <v>2012</v>
      </c>
      <c r="B4954" t="s">
        <v>304</v>
      </c>
      <c r="C4954" s="733">
        <v>40967</v>
      </c>
      <c r="D49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54" t="s">
        <v>485</v>
      </c>
      <c r="F4954" t="s">
        <v>2048</v>
      </c>
      <c r="G4954" t="s">
        <v>9027</v>
      </c>
      <c r="H4954">
        <v>42734</v>
      </c>
      <c r="I4954" t="s">
        <v>423</v>
      </c>
      <c r="J4954" t="s">
        <v>2050</v>
      </c>
      <c r="K4954" t="s">
        <v>2051</v>
      </c>
      <c r="L4954" t="s">
        <v>2052</v>
      </c>
      <c r="M4954">
        <v>90</v>
      </c>
      <c r="N4954">
        <v>24.8</v>
      </c>
      <c r="O4954">
        <v>3479.69</v>
      </c>
      <c r="P4954">
        <v>0</v>
      </c>
      <c r="Q4954">
        <v>3479.69</v>
      </c>
      <c r="R4954">
        <v>556.75</v>
      </c>
      <c r="S4954">
        <v>139.19</v>
      </c>
      <c r="T4954">
        <v>3897.25</v>
      </c>
      <c r="U4954" t="s">
        <v>8780</v>
      </c>
      <c r="V4954" t="s">
        <v>9408</v>
      </c>
      <c r="W4954" t="s">
        <v>423</v>
      </c>
    </row>
    <row r="4955" spans="1:23" x14ac:dyDescent="0.2">
      <c r="A4955">
        <v>2012</v>
      </c>
      <c r="B4955" t="s">
        <v>304</v>
      </c>
      <c r="C4955" s="733">
        <v>40967</v>
      </c>
      <c r="D49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55" t="s">
        <v>485</v>
      </c>
      <c r="F4955" t="s">
        <v>2065</v>
      </c>
      <c r="G4955" t="s">
        <v>9374</v>
      </c>
      <c r="H4955">
        <v>42368</v>
      </c>
      <c r="I4955" t="s">
        <v>423</v>
      </c>
      <c r="J4955" t="s">
        <v>5471</v>
      </c>
      <c r="K4955" t="s">
        <v>2183</v>
      </c>
      <c r="L4955" t="s">
        <v>2184</v>
      </c>
      <c r="M4955">
        <v>690</v>
      </c>
      <c r="N4955">
        <v>25.68</v>
      </c>
      <c r="O4955">
        <v>11399.1</v>
      </c>
      <c r="P4955">
        <v>0</v>
      </c>
      <c r="Q4955">
        <v>11399.1</v>
      </c>
      <c r="R4955">
        <v>1823.86</v>
      </c>
      <c r="S4955">
        <v>455.96</v>
      </c>
      <c r="T4955">
        <v>12767</v>
      </c>
      <c r="U4955" t="s">
        <v>9411</v>
      </c>
      <c r="V4955" t="s">
        <v>9408</v>
      </c>
      <c r="W4955" t="s">
        <v>423</v>
      </c>
    </row>
    <row r="4956" spans="1:23" hidden="1" x14ac:dyDescent="0.2">
      <c r="A4956">
        <v>2012</v>
      </c>
      <c r="B4956" t="s">
        <v>305</v>
      </c>
      <c r="C4956" s="733">
        <v>40970.533819444441</v>
      </c>
      <c r="D4956" s="733" t="str">
        <f>CHOOSE(MONTH(Tabla_sqldatos_bonampakdb_Bon_v_ingresos2012[[#This Row],[fecha_guia]]),"Enero","Febrero","Marzo","Abril","Mayo","Junio","Julio","Agosto","Septiembre","Octubre","Noviembre","Diciembre")</f>
        <v>Marzo</v>
      </c>
      <c r="E4956" t="s">
        <v>485</v>
      </c>
      <c r="F4956" t="s">
        <v>2054</v>
      </c>
      <c r="G4956" t="s">
        <v>9738</v>
      </c>
      <c r="H4956">
        <v>10630</v>
      </c>
      <c r="I4956" t="s">
        <v>423</v>
      </c>
      <c r="J4956" t="s">
        <v>2056</v>
      </c>
      <c r="K4956" t="s">
        <v>2057</v>
      </c>
      <c r="L4956" t="s">
        <v>2058</v>
      </c>
      <c r="M4956">
        <v>19</v>
      </c>
      <c r="N4956">
        <v>47.5</v>
      </c>
      <c r="O4956">
        <v>5361.32</v>
      </c>
      <c r="P4956">
        <v>0</v>
      </c>
      <c r="Q4956">
        <v>5361.32</v>
      </c>
      <c r="R4956">
        <v>589.75</v>
      </c>
      <c r="S4956">
        <v>214.45</v>
      </c>
      <c r="T4956">
        <v>5736.62</v>
      </c>
      <c r="V4956" t="s">
        <v>9409</v>
      </c>
      <c r="W4956" t="s">
        <v>423</v>
      </c>
    </row>
    <row r="4957" spans="1:23" hidden="1" x14ac:dyDescent="0.2">
      <c r="A4957">
        <v>2012</v>
      </c>
      <c r="B4957" t="s">
        <v>304</v>
      </c>
      <c r="C4957" s="733">
        <v>40968</v>
      </c>
      <c r="D49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57" t="s">
        <v>505</v>
      </c>
      <c r="F4957" t="s">
        <v>1915</v>
      </c>
      <c r="G4957" t="s">
        <v>9375</v>
      </c>
      <c r="H4957">
        <v>23052</v>
      </c>
      <c r="I4957" t="s">
        <v>423</v>
      </c>
      <c r="J4957" t="s">
        <v>5504</v>
      </c>
      <c r="K4957" t="s">
        <v>1918</v>
      </c>
      <c r="L4957" t="s">
        <v>1919</v>
      </c>
      <c r="M4957">
        <v>1115</v>
      </c>
      <c r="N4957">
        <v>25.44</v>
      </c>
      <c r="O4957">
        <v>18771.41</v>
      </c>
      <c r="P4957">
        <v>0</v>
      </c>
      <c r="Q4957">
        <v>18771.41</v>
      </c>
      <c r="R4957">
        <v>3003.43</v>
      </c>
      <c r="S4957">
        <v>750.86</v>
      </c>
      <c r="T4957">
        <v>21023.98</v>
      </c>
      <c r="V4957" t="s">
        <v>9408</v>
      </c>
      <c r="W4957" t="s">
        <v>423</v>
      </c>
    </row>
    <row r="4958" spans="1:23" hidden="1" x14ac:dyDescent="0.2">
      <c r="A4958">
        <v>2012</v>
      </c>
      <c r="B4958" t="s">
        <v>303</v>
      </c>
      <c r="C4958" s="733">
        <v>40926</v>
      </c>
      <c r="D49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58" t="s">
        <v>478</v>
      </c>
      <c r="F4958" t="s">
        <v>2622</v>
      </c>
      <c r="G4958" t="s">
        <v>3950</v>
      </c>
      <c r="H4958">
        <v>34611</v>
      </c>
      <c r="I4958" t="s">
        <v>423</v>
      </c>
      <c r="J4958" t="s">
        <v>2662</v>
      </c>
      <c r="K4958" t="s">
        <v>2625</v>
      </c>
      <c r="L4958" t="s">
        <v>2626</v>
      </c>
      <c r="M4958">
        <v>66</v>
      </c>
      <c r="N4958">
        <v>25.77</v>
      </c>
      <c r="O4958">
        <v>3005.81</v>
      </c>
      <c r="P4958">
        <v>0</v>
      </c>
      <c r="Q4958">
        <v>3005.81</v>
      </c>
      <c r="R4958">
        <v>480.93</v>
      </c>
      <c r="S4958">
        <v>120.23</v>
      </c>
      <c r="T4958">
        <v>3366.51</v>
      </c>
      <c r="U4958" t="s">
        <v>2627</v>
      </c>
      <c r="V4958" t="s">
        <v>9408</v>
      </c>
      <c r="W4958" t="s">
        <v>423</v>
      </c>
    </row>
    <row r="4959" spans="1:23" hidden="1" x14ac:dyDescent="0.2">
      <c r="A4959">
        <v>2012</v>
      </c>
      <c r="B4959" t="s">
        <v>303</v>
      </c>
      <c r="C4959" s="733">
        <v>40929.931458333333</v>
      </c>
      <c r="D49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59" t="s">
        <v>478</v>
      </c>
      <c r="F4959" t="s">
        <v>2622</v>
      </c>
      <c r="G4959" t="s">
        <v>3297</v>
      </c>
      <c r="H4959">
        <v>34830</v>
      </c>
      <c r="I4959" t="s">
        <v>423</v>
      </c>
      <c r="J4959" t="s">
        <v>2662</v>
      </c>
      <c r="K4959" t="s">
        <v>2625</v>
      </c>
      <c r="L4959" t="s">
        <v>2626</v>
      </c>
      <c r="M4959">
        <v>66</v>
      </c>
      <c r="N4959">
        <v>26.03</v>
      </c>
      <c r="O4959">
        <v>3064.51</v>
      </c>
      <c r="P4959">
        <v>0</v>
      </c>
      <c r="Q4959">
        <v>3064.51</v>
      </c>
      <c r="R4959">
        <v>490.32</v>
      </c>
      <c r="S4959">
        <v>122.58</v>
      </c>
      <c r="T4959">
        <v>3432.25</v>
      </c>
      <c r="U4959" t="s">
        <v>2633</v>
      </c>
      <c r="V4959" t="s">
        <v>9408</v>
      </c>
      <c r="W4959" t="s">
        <v>423</v>
      </c>
    </row>
    <row r="4960" spans="1:23" hidden="1" x14ac:dyDescent="0.2">
      <c r="A4960">
        <v>2012</v>
      </c>
      <c r="B4960" t="s">
        <v>304</v>
      </c>
      <c r="C4960" s="733">
        <v>40942</v>
      </c>
      <c r="D49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60" t="s">
        <v>478</v>
      </c>
      <c r="F4960" t="s">
        <v>2622</v>
      </c>
      <c r="G4960" t="s">
        <v>3298</v>
      </c>
      <c r="H4960">
        <v>35251</v>
      </c>
      <c r="I4960" t="s">
        <v>423</v>
      </c>
      <c r="J4960" t="s">
        <v>2662</v>
      </c>
      <c r="K4960" t="s">
        <v>2625</v>
      </c>
      <c r="L4960" t="s">
        <v>2626</v>
      </c>
      <c r="M4960">
        <v>66</v>
      </c>
      <c r="N4960">
        <v>21.64</v>
      </c>
      <c r="O4960">
        <v>2547.6799999999998</v>
      </c>
      <c r="P4960">
        <v>0</v>
      </c>
      <c r="Q4960">
        <v>2547.6799999999998</v>
      </c>
      <c r="R4960">
        <v>407.63</v>
      </c>
      <c r="S4960">
        <v>101.91</v>
      </c>
      <c r="T4960">
        <v>2853.4</v>
      </c>
      <c r="U4960" t="s">
        <v>2630</v>
      </c>
      <c r="V4960" t="s">
        <v>9408</v>
      </c>
      <c r="W4960" t="s">
        <v>423</v>
      </c>
    </row>
    <row r="4961" spans="1:23" hidden="1" x14ac:dyDescent="0.2">
      <c r="A4961">
        <v>2012</v>
      </c>
      <c r="B4961" t="s">
        <v>304</v>
      </c>
      <c r="C4961" s="733">
        <v>40963.551157407404</v>
      </c>
      <c r="D49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61" t="s">
        <v>478</v>
      </c>
      <c r="F4961" t="s">
        <v>2622</v>
      </c>
      <c r="G4961" t="s">
        <v>9372</v>
      </c>
      <c r="H4961">
        <v>35989</v>
      </c>
      <c r="I4961" t="s">
        <v>423</v>
      </c>
      <c r="J4961" t="s">
        <v>2662</v>
      </c>
      <c r="K4961" t="s">
        <v>2625</v>
      </c>
      <c r="L4961" t="s">
        <v>2626</v>
      </c>
      <c r="M4961">
        <v>66</v>
      </c>
      <c r="N4961">
        <v>27.08</v>
      </c>
      <c r="O4961">
        <v>3188.13</v>
      </c>
      <c r="P4961">
        <v>0</v>
      </c>
      <c r="Q4961">
        <v>3188.13</v>
      </c>
      <c r="R4961">
        <v>510.1</v>
      </c>
      <c r="S4961">
        <v>127.53</v>
      </c>
      <c r="T4961">
        <v>3570.7</v>
      </c>
      <c r="U4961" t="s">
        <v>9428</v>
      </c>
      <c r="V4961" t="s">
        <v>9408</v>
      </c>
      <c r="W4961" t="s">
        <v>423</v>
      </c>
    </row>
    <row r="4962" spans="1:23" hidden="1" x14ac:dyDescent="0.2">
      <c r="A4962">
        <v>2012</v>
      </c>
      <c r="B4962" t="s">
        <v>304</v>
      </c>
      <c r="C4962" s="733">
        <v>40946.620115740741</v>
      </c>
      <c r="D49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62" t="s">
        <v>478</v>
      </c>
      <c r="F4962" t="s">
        <v>2622</v>
      </c>
      <c r="G4962" t="s">
        <v>3294</v>
      </c>
      <c r="H4962">
        <v>35388</v>
      </c>
      <c r="I4962" t="s">
        <v>423</v>
      </c>
      <c r="J4962" t="s">
        <v>2662</v>
      </c>
      <c r="K4962" t="s">
        <v>2625</v>
      </c>
      <c r="L4962" t="s">
        <v>2626</v>
      </c>
      <c r="M4962">
        <v>66</v>
      </c>
      <c r="N4962">
        <v>23.65</v>
      </c>
      <c r="O4962">
        <v>2784.31</v>
      </c>
      <c r="P4962">
        <v>0</v>
      </c>
      <c r="Q4962">
        <v>2784.31</v>
      </c>
      <c r="R4962">
        <v>445.49</v>
      </c>
      <c r="S4962">
        <v>111.37</v>
      </c>
      <c r="T4962">
        <v>3118.43</v>
      </c>
      <c r="U4962" t="s">
        <v>2652</v>
      </c>
      <c r="V4962" t="s">
        <v>9408</v>
      </c>
      <c r="W4962" t="s">
        <v>423</v>
      </c>
    </row>
    <row r="4963" spans="1:23" hidden="1" x14ac:dyDescent="0.2">
      <c r="A4963">
        <v>2012</v>
      </c>
      <c r="B4963" t="s">
        <v>304</v>
      </c>
      <c r="C4963" s="733">
        <v>40946.621087962965</v>
      </c>
      <c r="D49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63" t="s">
        <v>478</v>
      </c>
      <c r="F4963" t="s">
        <v>2622</v>
      </c>
      <c r="G4963" t="s">
        <v>3295</v>
      </c>
      <c r="H4963">
        <v>35391</v>
      </c>
      <c r="I4963" t="s">
        <v>423</v>
      </c>
      <c r="J4963" t="s">
        <v>2662</v>
      </c>
      <c r="K4963" t="s">
        <v>2625</v>
      </c>
      <c r="L4963" t="s">
        <v>2626</v>
      </c>
      <c r="M4963">
        <v>66</v>
      </c>
      <c r="N4963">
        <v>21.09</v>
      </c>
      <c r="O4963">
        <v>2482.9299999999998</v>
      </c>
      <c r="P4963">
        <v>0</v>
      </c>
      <c r="Q4963">
        <v>2482.9299999999998</v>
      </c>
      <c r="R4963">
        <v>397.27</v>
      </c>
      <c r="S4963">
        <v>99.32</v>
      </c>
      <c r="T4963">
        <v>2780.88</v>
      </c>
      <c r="U4963" t="s">
        <v>2652</v>
      </c>
      <c r="V4963" t="s">
        <v>9408</v>
      </c>
      <c r="W4963" t="s">
        <v>423</v>
      </c>
    </row>
    <row r="4964" spans="1:23" hidden="1" x14ac:dyDescent="0.2">
      <c r="A4964">
        <v>2012</v>
      </c>
      <c r="B4964" t="s">
        <v>304</v>
      </c>
      <c r="C4964" s="733">
        <v>40946.622048611112</v>
      </c>
      <c r="D49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64" t="s">
        <v>478</v>
      </c>
      <c r="F4964" t="s">
        <v>2622</v>
      </c>
      <c r="G4964" t="s">
        <v>3296</v>
      </c>
      <c r="H4964">
        <v>35394</v>
      </c>
      <c r="I4964" t="s">
        <v>423</v>
      </c>
      <c r="J4964" t="s">
        <v>2662</v>
      </c>
      <c r="K4964" t="s">
        <v>2625</v>
      </c>
      <c r="L4964" t="s">
        <v>2626</v>
      </c>
      <c r="M4964">
        <v>66</v>
      </c>
      <c r="N4964">
        <v>21.02</v>
      </c>
      <c r="O4964">
        <v>2474.6799999999998</v>
      </c>
      <c r="P4964">
        <v>0</v>
      </c>
      <c r="Q4964">
        <v>2474.6799999999998</v>
      </c>
      <c r="R4964">
        <v>395.95</v>
      </c>
      <c r="S4964">
        <v>98.99</v>
      </c>
      <c r="T4964">
        <v>2771.64</v>
      </c>
      <c r="U4964" t="s">
        <v>2652</v>
      </c>
      <c r="V4964" t="s">
        <v>9408</v>
      </c>
      <c r="W4964" t="s">
        <v>423</v>
      </c>
    </row>
    <row r="4965" spans="1:23" hidden="1" x14ac:dyDescent="0.2">
      <c r="A4965">
        <v>2012</v>
      </c>
      <c r="B4965" t="s">
        <v>303</v>
      </c>
      <c r="C4965" s="733">
        <v>40921</v>
      </c>
      <c r="D49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65" t="s">
        <v>485</v>
      </c>
      <c r="F4965" t="s">
        <v>2054</v>
      </c>
      <c r="G4965" t="s">
        <v>4080</v>
      </c>
      <c r="H4965">
        <v>10027</v>
      </c>
      <c r="I4965" t="s">
        <v>423</v>
      </c>
      <c r="J4965" t="s">
        <v>4078</v>
      </c>
      <c r="K4965" t="s">
        <v>2057</v>
      </c>
      <c r="L4965" t="s">
        <v>2058</v>
      </c>
      <c r="M4965">
        <v>154</v>
      </c>
      <c r="N4965">
        <v>25.51</v>
      </c>
      <c r="O4965">
        <v>4298.95</v>
      </c>
      <c r="P4965">
        <v>0</v>
      </c>
      <c r="Q4965">
        <v>4298.95</v>
      </c>
      <c r="R4965">
        <v>687.83</v>
      </c>
      <c r="S4965">
        <v>171.96</v>
      </c>
      <c r="T4965">
        <v>4814.82</v>
      </c>
      <c r="U4965" t="s">
        <v>2059</v>
      </c>
      <c r="V4965" t="s">
        <v>9408</v>
      </c>
      <c r="W4965" t="s">
        <v>423</v>
      </c>
    </row>
    <row r="4966" spans="1:23" hidden="1" x14ac:dyDescent="0.2">
      <c r="A4966">
        <v>2012</v>
      </c>
      <c r="B4966" t="s">
        <v>304</v>
      </c>
      <c r="C4966" s="733">
        <v>40962</v>
      </c>
      <c r="D49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66" t="s">
        <v>485</v>
      </c>
      <c r="F4966" t="s">
        <v>2054</v>
      </c>
      <c r="G4966" t="s">
        <v>8631</v>
      </c>
      <c r="H4966">
        <v>10504</v>
      </c>
      <c r="I4966" t="s">
        <v>423</v>
      </c>
      <c r="J4966" t="s">
        <v>4078</v>
      </c>
      <c r="K4966" t="s">
        <v>2057</v>
      </c>
      <c r="L4966" t="s">
        <v>2058</v>
      </c>
      <c r="M4966">
        <v>154</v>
      </c>
      <c r="N4966">
        <v>29.78</v>
      </c>
      <c r="O4966">
        <v>5018.53</v>
      </c>
      <c r="P4966">
        <v>0</v>
      </c>
      <c r="Q4966">
        <v>5018.53</v>
      </c>
      <c r="R4966">
        <v>552.04</v>
      </c>
      <c r="S4966">
        <v>200.74</v>
      </c>
      <c r="T4966">
        <v>5369.83</v>
      </c>
      <c r="U4966" t="s">
        <v>8864</v>
      </c>
      <c r="V4966" t="s">
        <v>9408</v>
      </c>
      <c r="W4966" t="s">
        <v>423</v>
      </c>
    </row>
    <row r="4967" spans="1:23" hidden="1" x14ac:dyDescent="0.2">
      <c r="A4967">
        <v>2012</v>
      </c>
      <c r="B4967" t="s">
        <v>305</v>
      </c>
      <c r="C4967" s="733">
        <v>40971</v>
      </c>
      <c r="D4967" s="733" t="str">
        <f>CHOOSE(MONTH(Tabla_sqldatos_bonampakdb_Bon_v_ingresos2012[[#This Row],[fecha_guia]]),"Enero","Febrero","Marzo","Abril","Mayo","Junio","Julio","Agosto","Septiembre","Octubre","Noviembre","Diciembre")</f>
        <v>Marzo</v>
      </c>
      <c r="E4967" t="s">
        <v>485</v>
      </c>
      <c r="F4967" t="s">
        <v>2054</v>
      </c>
      <c r="G4967" t="s">
        <v>9739</v>
      </c>
      <c r="H4967">
        <v>10633</v>
      </c>
      <c r="I4967" t="s">
        <v>423</v>
      </c>
      <c r="J4967" t="s">
        <v>4078</v>
      </c>
      <c r="K4967" t="s">
        <v>2057</v>
      </c>
      <c r="L4967" t="s">
        <v>2058</v>
      </c>
      <c r="M4967">
        <v>154</v>
      </c>
      <c r="N4967">
        <v>46.4</v>
      </c>
      <c r="O4967">
        <v>7819.33</v>
      </c>
      <c r="P4967">
        <v>0</v>
      </c>
      <c r="Q4967">
        <v>7819.33</v>
      </c>
      <c r="R4967">
        <v>860.13</v>
      </c>
      <c r="S4967">
        <v>312.77</v>
      </c>
      <c r="T4967">
        <v>8366.69</v>
      </c>
      <c r="V4967" t="s">
        <v>9409</v>
      </c>
      <c r="W4967" t="s">
        <v>423</v>
      </c>
    </row>
    <row r="4968" spans="1:23" hidden="1" x14ac:dyDescent="0.2">
      <c r="A4968">
        <v>2012</v>
      </c>
      <c r="B4968" t="s">
        <v>304</v>
      </c>
      <c r="C4968" s="733">
        <v>40950.460347222222</v>
      </c>
      <c r="D49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68" t="s">
        <v>485</v>
      </c>
      <c r="F4968" t="s">
        <v>2054</v>
      </c>
      <c r="G4968" t="s">
        <v>4077</v>
      </c>
      <c r="H4968">
        <v>10381</v>
      </c>
      <c r="I4968" t="s">
        <v>423</v>
      </c>
      <c r="J4968" t="s">
        <v>4078</v>
      </c>
      <c r="K4968" t="s">
        <v>2057</v>
      </c>
      <c r="L4968" t="s">
        <v>2058</v>
      </c>
      <c r="M4968">
        <v>154</v>
      </c>
      <c r="N4968">
        <v>46</v>
      </c>
      <c r="O4968">
        <v>7751.92</v>
      </c>
      <c r="P4968">
        <v>0</v>
      </c>
      <c r="Q4968">
        <v>7751.92</v>
      </c>
      <c r="R4968">
        <v>852.71</v>
      </c>
      <c r="S4968">
        <v>310.08</v>
      </c>
      <c r="T4968">
        <v>8294.5499999999993</v>
      </c>
      <c r="U4968" t="s">
        <v>2082</v>
      </c>
      <c r="V4968" t="s">
        <v>9409</v>
      </c>
      <c r="W4968" t="s">
        <v>423</v>
      </c>
    </row>
    <row r="4969" spans="1:23" hidden="1" x14ac:dyDescent="0.2">
      <c r="A4969">
        <v>2012</v>
      </c>
      <c r="B4969" t="s">
        <v>303</v>
      </c>
      <c r="C4969" s="733">
        <v>40920</v>
      </c>
      <c r="D49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69" t="s">
        <v>485</v>
      </c>
      <c r="F4969" t="s">
        <v>2054</v>
      </c>
      <c r="G4969" t="s">
        <v>4079</v>
      </c>
      <c r="H4969">
        <v>10024</v>
      </c>
      <c r="I4969" t="s">
        <v>423</v>
      </c>
      <c r="J4969" t="s">
        <v>4078</v>
      </c>
      <c r="K4969" t="s">
        <v>2057</v>
      </c>
      <c r="L4969" t="s">
        <v>2058</v>
      </c>
      <c r="M4969">
        <v>154</v>
      </c>
      <c r="N4969">
        <v>22.79</v>
      </c>
      <c r="O4969">
        <v>3840.57</v>
      </c>
      <c r="P4969">
        <v>0</v>
      </c>
      <c r="Q4969">
        <v>3840.57</v>
      </c>
      <c r="R4969">
        <v>614.49</v>
      </c>
      <c r="S4969">
        <v>153.62</v>
      </c>
      <c r="T4969">
        <v>4301.4399999999996</v>
      </c>
      <c r="U4969" t="s">
        <v>2059</v>
      </c>
      <c r="V4969" t="s">
        <v>9408</v>
      </c>
      <c r="W4969" t="s">
        <v>423</v>
      </c>
    </row>
    <row r="4970" spans="1:23" hidden="1" x14ac:dyDescent="0.2">
      <c r="A4970">
        <v>2012</v>
      </c>
      <c r="B4970" t="s">
        <v>304</v>
      </c>
      <c r="C4970" s="733">
        <v>40967.444351851853</v>
      </c>
      <c r="D49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70" t="s">
        <v>478</v>
      </c>
      <c r="F4970" t="s">
        <v>2622</v>
      </c>
      <c r="G4970" t="s">
        <v>9373</v>
      </c>
      <c r="H4970">
        <v>36125</v>
      </c>
      <c r="I4970" t="s">
        <v>423</v>
      </c>
      <c r="J4970" t="s">
        <v>2662</v>
      </c>
      <c r="K4970" t="s">
        <v>2625</v>
      </c>
      <c r="L4970" t="s">
        <v>2626</v>
      </c>
      <c r="M4970">
        <v>66</v>
      </c>
      <c r="N4970">
        <v>22.4</v>
      </c>
      <c r="O4970">
        <v>2637.15</v>
      </c>
      <c r="P4970">
        <v>0</v>
      </c>
      <c r="Q4970">
        <v>2637.15</v>
      </c>
      <c r="R4970">
        <v>421.94</v>
      </c>
      <c r="S4970">
        <v>105.49</v>
      </c>
      <c r="T4970">
        <v>2953.6</v>
      </c>
      <c r="U4970" t="s">
        <v>9428</v>
      </c>
      <c r="V4970" t="s">
        <v>9408</v>
      </c>
      <c r="W4970" t="s">
        <v>423</v>
      </c>
    </row>
    <row r="4971" spans="1:23" hidden="1" x14ac:dyDescent="0.2">
      <c r="A4971">
        <v>2012</v>
      </c>
      <c r="B4971" t="s">
        <v>304</v>
      </c>
      <c r="C4971" s="733">
        <v>40960</v>
      </c>
      <c r="D49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71" t="s">
        <v>478</v>
      </c>
      <c r="F4971" t="s">
        <v>2136</v>
      </c>
      <c r="G4971" t="s">
        <v>8463</v>
      </c>
      <c r="H4971">
        <v>35868</v>
      </c>
      <c r="I4971" t="s">
        <v>423</v>
      </c>
      <c r="J4971" t="s">
        <v>2662</v>
      </c>
      <c r="K4971" t="s">
        <v>2625</v>
      </c>
      <c r="L4971" t="s">
        <v>2626</v>
      </c>
      <c r="M4971">
        <v>66</v>
      </c>
      <c r="N4971">
        <v>20.85</v>
      </c>
      <c r="O4971">
        <v>2454.67</v>
      </c>
      <c r="P4971">
        <v>0</v>
      </c>
      <c r="Q4971">
        <v>2454.67</v>
      </c>
      <c r="R4971">
        <v>392.75</v>
      </c>
      <c r="S4971">
        <v>98.19</v>
      </c>
      <c r="T4971">
        <v>2749.23</v>
      </c>
      <c r="U4971" t="s">
        <v>8267</v>
      </c>
      <c r="V4971" t="s">
        <v>9408</v>
      </c>
      <c r="W4971" t="s">
        <v>423</v>
      </c>
    </row>
    <row r="4972" spans="1:23" hidden="1" x14ac:dyDescent="0.2">
      <c r="A4972">
        <v>2012</v>
      </c>
      <c r="B4972" t="s">
        <v>303</v>
      </c>
      <c r="C4972" s="733">
        <v>40918.472777777781</v>
      </c>
      <c r="D49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72" t="s">
        <v>478</v>
      </c>
      <c r="F4972" t="s">
        <v>2622</v>
      </c>
      <c r="G4972" t="s">
        <v>2996</v>
      </c>
      <c r="H4972">
        <v>34382</v>
      </c>
      <c r="I4972" t="s">
        <v>423</v>
      </c>
      <c r="J4972" t="s">
        <v>2662</v>
      </c>
      <c r="K4972" t="s">
        <v>2625</v>
      </c>
      <c r="L4972" t="s">
        <v>2626</v>
      </c>
      <c r="M4972">
        <v>66</v>
      </c>
      <c r="N4972">
        <v>25.65</v>
      </c>
      <c r="O4972">
        <v>3019.77</v>
      </c>
      <c r="P4972">
        <v>0</v>
      </c>
      <c r="Q4972">
        <v>3019.77</v>
      </c>
      <c r="R4972">
        <v>483.16</v>
      </c>
      <c r="S4972">
        <v>120.79</v>
      </c>
      <c r="T4972">
        <v>3382.14</v>
      </c>
      <c r="U4972" t="s">
        <v>2635</v>
      </c>
      <c r="V4972" t="s">
        <v>9408</v>
      </c>
      <c r="W4972" t="s">
        <v>423</v>
      </c>
    </row>
    <row r="4973" spans="1:23" hidden="1" x14ac:dyDescent="0.2">
      <c r="A4973">
        <v>2012</v>
      </c>
      <c r="B4973" t="s">
        <v>304</v>
      </c>
      <c r="C4973" s="733">
        <v>40954.712291666663</v>
      </c>
      <c r="D49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73" t="s">
        <v>485</v>
      </c>
      <c r="F4973" t="s">
        <v>2054</v>
      </c>
      <c r="G4973" t="s">
        <v>7609</v>
      </c>
      <c r="H4973">
        <v>10445</v>
      </c>
      <c r="I4973" t="s">
        <v>423</v>
      </c>
      <c r="J4973" t="s">
        <v>4078</v>
      </c>
      <c r="K4973" t="s">
        <v>2057</v>
      </c>
      <c r="L4973" t="s">
        <v>2058</v>
      </c>
      <c r="M4973">
        <v>154</v>
      </c>
      <c r="N4973">
        <v>22.68</v>
      </c>
      <c r="O4973">
        <v>3822.03</v>
      </c>
      <c r="P4973">
        <v>0</v>
      </c>
      <c r="Q4973">
        <v>3822.03</v>
      </c>
      <c r="R4973">
        <v>420.42</v>
      </c>
      <c r="S4973">
        <v>152.88</v>
      </c>
      <c r="T4973">
        <v>4089.57</v>
      </c>
      <c r="U4973" t="s">
        <v>8047</v>
      </c>
      <c r="V4973" t="s">
        <v>9408</v>
      </c>
      <c r="W4973" t="s">
        <v>423</v>
      </c>
    </row>
    <row r="4974" spans="1:23" hidden="1" x14ac:dyDescent="0.2">
      <c r="A4974">
        <v>2012</v>
      </c>
      <c r="B4974" t="s">
        <v>303</v>
      </c>
      <c r="C4974" s="733">
        <v>40922</v>
      </c>
      <c r="D49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74" t="s">
        <v>505</v>
      </c>
      <c r="F4974" t="s">
        <v>1915</v>
      </c>
      <c r="G4974" t="s">
        <v>2294</v>
      </c>
      <c r="H4974">
        <v>21930</v>
      </c>
      <c r="I4974" t="s">
        <v>1979</v>
      </c>
      <c r="J4974" t="s">
        <v>1980</v>
      </c>
      <c r="K4974" t="s">
        <v>1918</v>
      </c>
      <c r="L4974" t="s">
        <v>1919</v>
      </c>
      <c r="M4974">
        <v>732</v>
      </c>
      <c r="N4974">
        <v>49.95</v>
      </c>
      <c r="O4974">
        <v>21908.07</v>
      </c>
      <c r="P4974">
        <v>0</v>
      </c>
      <c r="Q4974">
        <v>21908.07</v>
      </c>
      <c r="R4974">
        <v>3505.29</v>
      </c>
      <c r="S4974">
        <v>876.32</v>
      </c>
      <c r="T4974">
        <v>24537.040000000001</v>
      </c>
      <c r="V4974" t="s">
        <v>9409</v>
      </c>
      <c r="W4974" t="s">
        <v>1979</v>
      </c>
    </row>
    <row r="4975" spans="1:23" hidden="1" x14ac:dyDescent="0.2">
      <c r="A4975">
        <v>2012</v>
      </c>
      <c r="B4975" t="s">
        <v>304</v>
      </c>
      <c r="C4975" s="733">
        <v>40942</v>
      </c>
      <c r="D49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75" t="s">
        <v>505</v>
      </c>
      <c r="F4975" t="s">
        <v>1915</v>
      </c>
      <c r="G4975" t="s">
        <v>4151</v>
      </c>
      <c r="H4975">
        <v>22467</v>
      </c>
      <c r="I4975" t="s">
        <v>1979</v>
      </c>
      <c r="J4975" t="s">
        <v>1980</v>
      </c>
      <c r="K4975" t="s">
        <v>1918</v>
      </c>
      <c r="L4975" t="s">
        <v>1919</v>
      </c>
      <c r="M4975">
        <v>732</v>
      </c>
      <c r="N4975">
        <v>49.72</v>
      </c>
      <c r="O4975">
        <v>21807.19</v>
      </c>
      <c r="P4975">
        <v>0</v>
      </c>
      <c r="Q4975">
        <v>21807.19</v>
      </c>
      <c r="R4975">
        <v>3489.15</v>
      </c>
      <c r="S4975">
        <v>872.29</v>
      </c>
      <c r="T4975">
        <v>24424.05</v>
      </c>
      <c r="U4975" t="s">
        <v>1924</v>
      </c>
      <c r="V4975" t="s">
        <v>9409</v>
      </c>
      <c r="W4975" t="s">
        <v>1979</v>
      </c>
    </row>
    <row r="4976" spans="1:23" hidden="1" x14ac:dyDescent="0.2">
      <c r="A4976">
        <v>2012</v>
      </c>
      <c r="B4976" t="s">
        <v>305</v>
      </c>
      <c r="C4976" s="733">
        <v>40973</v>
      </c>
      <c r="D4976" s="733" t="str">
        <f>CHOOSE(MONTH(Tabla_sqldatos_bonampakdb_Bon_v_ingresos2012[[#This Row],[fecha_guia]]),"Enero","Febrero","Marzo","Abril","Mayo","Junio","Julio","Agosto","Septiembre","Octubre","Noviembre","Diciembre")</f>
        <v>Marzo</v>
      </c>
      <c r="E4976" t="s">
        <v>505</v>
      </c>
      <c r="F4976" t="s">
        <v>1915</v>
      </c>
      <c r="G4976" t="s">
        <v>9740</v>
      </c>
      <c r="H4976">
        <v>23167</v>
      </c>
      <c r="I4976" t="s">
        <v>423</v>
      </c>
      <c r="J4976" t="s">
        <v>1980</v>
      </c>
      <c r="K4976" t="s">
        <v>1918</v>
      </c>
      <c r="L4976" t="s">
        <v>1919</v>
      </c>
      <c r="M4976">
        <v>732</v>
      </c>
      <c r="N4976">
        <v>54.17</v>
      </c>
      <c r="O4976">
        <v>23758.959999999999</v>
      </c>
      <c r="P4976">
        <v>0</v>
      </c>
      <c r="Q4976">
        <v>23758.959999999999</v>
      </c>
      <c r="R4976">
        <v>3801.43</v>
      </c>
      <c r="S4976">
        <v>950.36</v>
      </c>
      <c r="T4976">
        <v>26610.03</v>
      </c>
      <c r="V4976" t="s">
        <v>9409</v>
      </c>
      <c r="W4976" t="s">
        <v>423</v>
      </c>
    </row>
    <row r="4977" spans="1:23" hidden="1" x14ac:dyDescent="0.2">
      <c r="A4977">
        <v>2012</v>
      </c>
      <c r="B4977" t="s">
        <v>303</v>
      </c>
      <c r="C4977" s="733">
        <v>40933.622731481482</v>
      </c>
      <c r="D49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77" t="s">
        <v>485</v>
      </c>
      <c r="F4977" t="s">
        <v>2054</v>
      </c>
      <c r="G4977" t="s">
        <v>4097</v>
      </c>
      <c r="H4977">
        <v>10212</v>
      </c>
      <c r="I4977" t="s">
        <v>423</v>
      </c>
      <c r="J4977" t="s">
        <v>4078</v>
      </c>
      <c r="K4977" t="s">
        <v>2057</v>
      </c>
      <c r="L4977" t="s">
        <v>2058</v>
      </c>
      <c r="M4977">
        <v>154</v>
      </c>
      <c r="N4977">
        <v>45.55</v>
      </c>
      <c r="O4977">
        <v>7676.09</v>
      </c>
      <c r="P4977">
        <v>0</v>
      </c>
      <c r="Q4977">
        <v>7676.09</v>
      </c>
      <c r="R4977">
        <v>1228.17</v>
      </c>
      <c r="S4977">
        <v>307.04000000000002</v>
      </c>
      <c r="T4977">
        <v>8597.2199999999993</v>
      </c>
      <c r="U4977" t="s">
        <v>2073</v>
      </c>
      <c r="V4977" t="s">
        <v>9409</v>
      </c>
      <c r="W4977" t="s">
        <v>423</v>
      </c>
    </row>
    <row r="4978" spans="1:23" hidden="1" x14ac:dyDescent="0.2">
      <c r="A4978">
        <v>2012</v>
      </c>
      <c r="B4978" t="s">
        <v>304</v>
      </c>
      <c r="C4978" s="733">
        <v>40941</v>
      </c>
      <c r="D49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78" t="s">
        <v>478</v>
      </c>
      <c r="F4978" t="s">
        <v>2622</v>
      </c>
      <c r="G4978" t="s">
        <v>3635</v>
      </c>
      <c r="H4978">
        <v>35192</v>
      </c>
      <c r="I4978" t="s">
        <v>423</v>
      </c>
      <c r="J4978" t="s">
        <v>3636</v>
      </c>
      <c r="K4978" t="s">
        <v>425</v>
      </c>
      <c r="L4978" t="s">
        <v>2145</v>
      </c>
      <c r="M4978">
        <v>244</v>
      </c>
      <c r="N4978">
        <v>28.09</v>
      </c>
      <c r="O4978">
        <v>4691.59</v>
      </c>
      <c r="P4978">
        <v>0</v>
      </c>
      <c r="Q4978">
        <v>4691.59</v>
      </c>
      <c r="R4978">
        <v>750.65</v>
      </c>
      <c r="S4978">
        <v>187.66</v>
      </c>
      <c r="T4978">
        <v>5254.58</v>
      </c>
      <c r="U4978" t="s">
        <v>2914</v>
      </c>
      <c r="V4978" t="s">
        <v>9408</v>
      </c>
      <c r="W4978" t="s">
        <v>423</v>
      </c>
    </row>
    <row r="4979" spans="1:23" hidden="1" x14ac:dyDescent="0.2">
      <c r="A4979">
        <v>2012</v>
      </c>
      <c r="B4979" t="s">
        <v>303</v>
      </c>
      <c r="C4979" s="733">
        <v>40922</v>
      </c>
      <c r="D49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79" t="s">
        <v>505</v>
      </c>
      <c r="F4979" t="s">
        <v>1915</v>
      </c>
      <c r="G4979" t="s">
        <v>4263</v>
      </c>
      <c r="H4979">
        <v>21934</v>
      </c>
      <c r="I4979" t="s">
        <v>1979</v>
      </c>
      <c r="J4979" t="s">
        <v>1980</v>
      </c>
      <c r="K4979" t="s">
        <v>1918</v>
      </c>
      <c r="L4979" t="s">
        <v>1919</v>
      </c>
      <c r="M4979">
        <v>732</v>
      </c>
      <c r="N4979">
        <v>49.8</v>
      </c>
      <c r="O4979">
        <v>21842.28</v>
      </c>
      <c r="P4979">
        <v>0</v>
      </c>
      <c r="Q4979">
        <v>21842.28</v>
      </c>
      <c r="R4979">
        <v>3494.76</v>
      </c>
      <c r="S4979">
        <v>873.69</v>
      </c>
      <c r="T4979">
        <v>24463.35</v>
      </c>
      <c r="U4979" t="s">
        <v>1931</v>
      </c>
      <c r="V4979" t="s">
        <v>9409</v>
      </c>
      <c r="W4979" t="s">
        <v>1979</v>
      </c>
    </row>
    <row r="4980" spans="1:23" hidden="1" x14ac:dyDescent="0.2">
      <c r="A4980">
        <v>2012</v>
      </c>
      <c r="B4980" t="s">
        <v>304</v>
      </c>
      <c r="C4980" s="733">
        <v>40946</v>
      </c>
      <c r="D49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80" t="s">
        <v>505</v>
      </c>
      <c r="F4980" t="s">
        <v>1915</v>
      </c>
      <c r="G4980" t="s">
        <v>4150</v>
      </c>
      <c r="H4980">
        <v>22470</v>
      </c>
      <c r="I4980" t="s">
        <v>1979</v>
      </c>
      <c r="J4980" t="s">
        <v>1980</v>
      </c>
      <c r="K4980" t="s">
        <v>1918</v>
      </c>
      <c r="L4980" t="s">
        <v>1919</v>
      </c>
      <c r="M4980">
        <v>732</v>
      </c>
      <c r="N4980">
        <v>50.08</v>
      </c>
      <c r="O4980">
        <v>23677.82</v>
      </c>
      <c r="P4980">
        <v>0</v>
      </c>
      <c r="Q4980">
        <v>23677.82</v>
      </c>
      <c r="R4980">
        <v>3788.45</v>
      </c>
      <c r="S4980">
        <v>947.11</v>
      </c>
      <c r="T4980">
        <v>26519.16</v>
      </c>
      <c r="U4980" t="s">
        <v>1924</v>
      </c>
      <c r="V4980" t="s">
        <v>9409</v>
      </c>
      <c r="W4980" t="s">
        <v>1979</v>
      </c>
    </row>
    <row r="4981" spans="1:23" hidden="1" x14ac:dyDescent="0.2">
      <c r="A4981">
        <v>2012</v>
      </c>
      <c r="B4981" t="s">
        <v>303</v>
      </c>
      <c r="C4981" s="733">
        <v>40939.501134259262</v>
      </c>
      <c r="D49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81" t="s">
        <v>478</v>
      </c>
      <c r="F4981" t="s">
        <v>2622</v>
      </c>
      <c r="G4981" t="s">
        <v>4217</v>
      </c>
      <c r="H4981">
        <v>35130</v>
      </c>
      <c r="I4981" t="s">
        <v>423</v>
      </c>
      <c r="J4981" t="s">
        <v>2668</v>
      </c>
      <c r="K4981" t="s">
        <v>2625</v>
      </c>
      <c r="L4981" t="s">
        <v>2626</v>
      </c>
      <c r="M4981">
        <v>76</v>
      </c>
      <c r="N4981">
        <v>22.75</v>
      </c>
      <c r="O4981">
        <v>2567.34</v>
      </c>
      <c r="P4981">
        <v>0</v>
      </c>
      <c r="Q4981">
        <v>2567.34</v>
      </c>
      <c r="R4981">
        <v>410.77</v>
      </c>
      <c r="S4981">
        <v>102.69</v>
      </c>
      <c r="T4981">
        <v>2875.42</v>
      </c>
      <c r="U4981" t="s">
        <v>8267</v>
      </c>
      <c r="V4981" t="s">
        <v>9408</v>
      </c>
      <c r="W4981" t="s">
        <v>423</v>
      </c>
    </row>
    <row r="4982" spans="1:23" hidden="1" x14ac:dyDescent="0.2">
      <c r="A4982">
        <v>2012</v>
      </c>
      <c r="B4982" t="s">
        <v>304</v>
      </c>
      <c r="C4982" s="733">
        <v>40942</v>
      </c>
      <c r="D49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82" t="s">
        <v>478</v>
      </c>
      <c r="F4982" t="s">
        <v>2622</v>
      </c>
      <c r="G4982" t="s">
        <v>4814</v>
      </c>
      <c r="H4982">
        <v>35253</v>
      </c>
      <c r="I4982" t="s">
        <v>423</v>
      </c>
      <c r="J4982" t="s">
        <v>2668</v>
      </c>
      <c r="K4982" t="s">
        <v>2625</v>
      </c>
      <c r="L4982" t="s">
        <v>2626</v>
      </c>
      <c r="M4982">
        <v>76</v>
      </c>
      <c r="N4982">
        <v>23.72</v>
      </c>
      <c r="O4982">
        <v>2676.8</v>
      </c>
      <c r="P4982">
        <v>0</v>
      </c>
      <c r="Q4982">
        <v>2676.8</v>
      </c>
      <c r="R4982">
        <v>428.29</v>
      </c>
      <c r="S4982">
        <v>107.07</v>
      </c>
      <c r="T4982">
        <v>2998.02</v>
      </c>
      <c r="U4982" t="s">
        <v>2652</v>
      </c>
      <c r="V4982" t="s">
        <v>9408</v>
      </c>
      <c r="W4982" t="s">
        <v>423</v>
      </c>
    </row>
    <row r="4983" spans="1:23" hidden="1" x14ac:dyDescent="0.2">
      <c r="A4983">
        <v>2012</v>
      </c>
      <c r="B4983" t="s">
        <v>304</v>
      </c>
      <c r="C4983" s="733">
        <v>40960</v>
      </c>
      <c r="D49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83" t="s">
        <v>485</v>
      </c>
      <c r="F4983" t="s">
        <v>2048</v>
      </c>
      <c r="G4983" t="s">
        <v>8052</v>
      </c>
      <c r="H4983">
        <v>42337</v>
      </c>
      <c r="I4983" t="s">
        <v>423</v>
      </c>
      <c r="J4983" t="s">
        <v>4093</v>
      </c>
      <c r="K4983" t="s">
        <v>2051</v>
      </c>
      <c r="L4983" t="s">
        <v>2052</v>
      </c>
      <c r="M4983">
        <v>647</v>
      </c>
      <c r="N4983">
        <v>49.7</v>
      </c>
      <c r="O4983">
        <v>18803</v>
      </c>
      <c r="P4983">
        <v>0</v>
      </c>
      <c r="Q4983">
        <v>18803</v>
      </c>
      <c r="R4983">
        <v>3008.48</v>
      </c>
      <c r="S4983">
        <v>752.12</v>
      </c>
      <c r="T4983">
        <v>21059.360000000001</v>
      </c>
      <c r="U4983" t="s">
        <v>8780</v>
      </c>
      <c r="V4983" t="s">
        <v>9409</v>
      </c>
      <c r="W4983" t="s">
        <v>423</v>
      </c>
    </row>
    <row r="4984" spans="1:23" hidden="1" x14ac:dyDescent="0.2">
      <c r="A4984">
        <v>2012</v>
      </c>
      <c r="B4984" t="s">
        <v>304</v>
      </c>
      <c r="C4984" s="733">
        <v>40960.45103009259</v>
      </c>
      <c r="D49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84" t="s">
        <v>478</v>
      </c>
      <c r="F4984" t="s">
        <v>2622</v>
      </c>
      <c r="G4984" t="s">
        <v>8415</v>
      </c>
      <c r="H4984">
        <v>35829</v>
      </c>
      <c r="I4984" t="s">
        <v>423</v>
      </c>
      <c r="J4984" t="s">
        <v>2624</v>
      </c>
      <c r="K4984" t="s">
        <v>2625</v>
      </c>
      <c r="L4984" t="s">
        <v>2626</v>
      </c>
      <c r="M4984">
        <v>10</v>
      </c>
      <c r="N4984">
        <v>19.39</v>
      </c>
      <c r="O4984">
        <v>2188.16</v>
      </c>
      <c r="P4984">
        <v>0</v>
      </c>
      <c r="Q4984">
        <v>2188.16</v>
      </c>
      <c r="R4984">
        <v>350.11</v>
      </c>
      <c r="S4984">
        <v>87.53</v>
      </c>
      <c r="T4984">
        <v>2450.7399999999998</v>
      </c>
      <c r="U4984" t="s">
        <v>8267</v>
      </c>
      <c r="V4984" t="s">
        <v>9408</v>
      </c>
      <c r="W4984" t="s">
        <v>423</v>
      </c>
    </row>
    <row r="4985" spans="1:23" hidden="1" x14ac:dyDescent="0.2">
      <c r="A4985">
        <v>2012</v>
      </c>
      <c r="B4985" t="s">
        <v>303</v>
      </c>
      <c r="C4985" s="733">
        <v>40932.46361111111</v>
      </c>
      <c r="D49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85" t="s">
        <v>478</v>
      </c>
      <c r="F4985" t="s">
        <v>2136</v>
      </c>
      <c r="G4985" t="s">
        <v>4208</v>
      </c>
      <c r="H4985">
        <v>34898</v>
      </c>
      <c r="I4985" t="s">
        <v>423</v>
      </c>
      <c r="J4985" t="s">
        <v>2624</v>
      </c>
      <c r="K4985" t="s">
        <v>2625</v>
      </c>
      <c r="L4985" t="s">
        <v>2626</v>
      </c>
      <c r="M4985">
        <v>10</v>
      </c>
      <c r="N4985">
        <v>22.33</v>
      </c>
      <c r="O4985">
        <v>2519.94</v>
      </c>
      <c r="P4985">
        <v>0</v>
      </c>
      <c r="Q4985">
        <v>2519.94</v>
      </c>
      <c r="R4985">
        <v>403.19</v>
      </c>
      <c r="S4985">
        <v>100.8</v>
      </c>
      <c r="T4985">
        <v>2822.33</v>
      </c>
      <c r="U4985" t="s">
        <v>2633</v>
      </c>
      <c r="V4985" t="s">
        <v>9408</v>
      </c>
      <c r="W4985" t="s">
        <v>423</v>
      </c>
    </row>
    <row r="4986" spans="1:23" hidden="1" x14ac:dyDescent="0.2">
      <c r="A4986">
        <v>2012</v>
      </c>
      <c r="B4986" t="s">
        <v>304</v>
      </c>
      <c r="C4986" s="733">
        <v>40946.614525462966</v>
      </c>
      <c r="D49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86" t="s">
        <v>478</v>
      </c>
      <c r="F4986" t="s">
        <v>2136</v>
      </c>
      <c r="G4986" t="s">
        <v>4205</v>
      </c>
      <c r="H4986">
        <v>35384</v>
      </c>
      <c r="I4986" t="s">
        <v>423</v>
      </c>
      <c r="J4986" t="s">
        <v>2624</v>
      </c>
      <c r="K4986" t="s">
        <v>2625</v>
      </c>
      <c r="L4986" t="s">
        <v>2626</v>
      </c>
      <c r="M4986">
        <v>10</v>
      </c>
      <c r="N4986">
        <v>23.16</v>
      </c>
      <c r="O4986">
        <v>2613.61</v>
      </c>
      <c r="P4986">
        <v>0</v>
      </c>
      <c r="Q4986">
        <v>2613.61</v>
      </c>
      <c r="R4986">
        <v>418.18</v>
      </c>
      <c r="S4986">
        <v>104.54</v>
      </c>
      <c r="T4986">
        <v>2927.25</v>
      </c>
      <c r="U4986" t="s">
        <v>2652</v>
      </c>
      <c r="V4986" t="s">
        <v>9408</v>
      </c>
      <c r="W4986" t="s">
        <v>423</v>
      </c>
    </row>
    <row r="4987" spans="1:23" hidden="1" x14ac:dyDescent="0.2">
      <c r="A4987">
        <v>2012</v>
      </c>
      <c r="B4987" t="s">
        <v>304</v>
      </c>
      <c r="C4987" s="733">
        <v>40946.615555555552</v>
      </c>
      <c r="D49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87" t="s">
        <v>478</v>
      </c>
      <c r="F4987" t="s">
        <v>2136</v>
      </c>
      <c r="G4987" t="s">
        <v>4206</v>
      </c>
      <c r="H4987">
        <v>35387</v>
      </c>
      <c r="I4987" t="s">
        <v>423</v>
      </c>
      <c r="J4987" t="s">
        <v>2624</v>
      </c>
      <c r="K4987" t="s">
        <v>2625</v>
      </c>
      <c r="L4987" t="s">
        <v>2626</v>
      </c>
      <c r="M4987">
        <v>10</v>
      </c>
      <c r="N4987">
        <v>22.04</v>
      </c>
      <c r="O4987">
        <v>2487.21</v>
      </c>
      <c r="P4987">
        <v>0</v>
      </c>
      <c r="Q4987">
        <v>2487.21</v>
      </c>
      <c r="R4987">
        <v>397.95</v>
      </c>
      <c r="S4987">
        <v>99.49</v>
      </c>
      <c r="T4987">
        <v>2785.67</v>
      </c>
      <c r="U4987" t="s">
        <v>2652</v>
      </c>
      <c r="V4987" t="s">
        <v>9408</v>
      </c>
      <c r="W4987" t="s">
        <v>423</v>
      </c>
    </row>
    <row r="4988" spans="1:23" hidden="1" x14ac:dyDescent="0.2">
      <c r="A4988">
        <v>2012</v>
      </c>
      <c r="B4988" t="s">
        <v>304</v>
      </c>
      <c r="C4988" s="733">
        <v>40942</v>
      </c>
      <c r="D49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88" t="s">
        <v>478</v>
      </c>
      <c r="F4988" t="s">
        <v>2622</v>
      </c>
      <c r="G4988" t="s">
        <v>4219</v>
      </c>
      <c r="H4988">
        <v>35247</v>
      </c>
      <c r="I4988" t="s">
        <v>423</v>
      </c>
      <c r="J4988" t="s">
        <v>2624</v>
      </c>
      <c r="K4988" t="s">
        <v>2625</v>
      </c>
      <c r="L4988" t="s">
        <v>2626</v>
      </c>
      <c r="M4988">
        <v>10</v>
      </c>
      <c r="N4988">
        <v>24.24</v>
      </c>
      <c r="O4988">
        <v>2735.48</v>
      </c>
      <c r="P4988">
        <v>0</v>
      </c>
      <c r="Q4988">
        <v>2735.48</v>
      </c>
      <c r="R4988">
        <v>437.68</v>
      </c>
      <c r="S4988">
        <v>109.42</v>
      </c>
      <c r="T4988">
        <v>3063.74</v>
      </c>
      <c r="U4988" t="s">
        <v>2630</v>
      </c>
      <c r="V4988" t="s">
        <v>9408</v>
      </c>
      <c r="W4988" t="s">
        <v>423</v>
      </c>
    </row>
    <row r="4989" spans="1:23" hidden="1" x14ac:dyDescent="0.2">
      <c r="A4989">
        <v>2012</v>
      </c>
      <c r="B4989" t="s">
        <v>304</v>
      </c>
      <c r="C4989" s="733">
        <v>40947.414618055554</v>
      </c>
      <c r="D49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89" t="s">
        <v>478</v>
      </c>
      <c r="F4989" t="s">
        <v>2622</v>
      </c>
      <c r="G4989" t="s">
        <v>4220</v>
      </c>
      <c r="H4989">
        <v>35427</v>
      </c>
      <c r="I4989" t="s">
        <v>423</v>
      </c>
      <c r="J4989" t="s">
        <v>2624</v>
      </c>
      <c r="K4989" t="s">
        <v>2625</v>
      </c>
      <c r="L4989" t="s">
        <v>2626</v>
      </c>
      <c r="M4989">
        <v>10</v>
      </c>
      <c r="N4989">
        <v>23.8</v>
      </c>
      <c r="O4989">
        <v>2685.83</v>
      </c>
      <c r="P4989">
        <v>0</v>
      </c>
      <c r="Q4989">
        <v>2685.83</v>
      </c>
      <c r="R4989">
        <v>429.73</v>
      </c>
      <c r="S4989">
        <v>107.43</v>
      </c>
      <c r="T4989">
        <v>3008.13</v>
      </c>
      <c r="U4989" t="s">
        <v>2652</v>
      </c>
      <c r="V4989" t="s">
        <v>9408</v>
      </c>
      <c r="W4989" t="s">
        <v>423</v>
      </c>
    </row>
    <row r="4990" spans="1:23" hidden="1" x14ac:dyDescent="0.2">
      <c r="A4990">
        <v>2012</v>
      </c>
      <c r="B4990" t="s">
        <v>303</v>
      </c>
      <c r="C4990" s="733">
        <v>40926</v>
      </c>
      <c r="D49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90" t="s">
        <v>478</v>
      </c>
      <c r="F4990" t="s">
        <v>2142</v>
      </c>
      <c r="G4990" t="s">
        <v>4813</v>
      </c>
      <c r="H4990">
        <v>34439</v>
      </c>
      <c r="I4990" t="s">
        <v>423</v>
      </c>
      <c r="J4990" t="s">
        <v>2639</v>
      </c>
      <c r="K4990" t="s">
        <v>2640</v>
      </c>
      <c r="L4990" t="s">
        <v>2641</v>
      </c>
      <c r="M4990">
        <v>274</v>
      </c>
      <c r="N4990">
        <v>53.28</v>
      </c>
      <c r="O4990">
        <v>6848.61</v>
      </c>
      <c r="P4990">
        <v>0</v>
      </c>
      <c r="Q4990">
        <v>6848.61</v>
      </c>
      <c r="R4990">
        <v>1095.78</v>
      </c>
      <c r="S4990">
        <v>273.94</v>
      </c>
      <c r="T4990">
        <v>7670.45</v>
      </c>
      <c r="U4990" t="s">
        <v>2992</v>
      </c>
      <c r="V4990" t="s">
        <v>9409</v>
      </c>
      <c r="W4990" t="s">
        <v>423</v>
      </c>
    </row>
    <row r="4991" spans="1:23" hidden="1" x14ac:dyDescent="0.2">
      <c r="A4991">
        <v>2012</v>
      </c>
      <c r="B4991" t="s">
        <v>303</v>
      </c>
      <c r="C4991" s="733">
        <v>40939</v>
      </c>
      <c r="D49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91" t="s">
        <v>478</v>
      </c>
      <c r="F4991" t="s">
        <v>2142</v>
      </c>
      <c r="G4991" t="s">
        <v>4812</v>
      </c>
      <c r="H4991">
        <v>34956</v>
      </c>
      <c r="I4991" t="s">
        <v>423</v>
      </c>
      <c r="J4991" t="s">
        <v>2639</v>
      </c>
      <c r="K4991" t="s">
        <v>2640</v>
      </c>
      <c r="L4991" t="s">
        <v>2641</v>
      </c>
      <c r="M4991">
        <v>274</v>
      </c>
      <c r="N4991">
        <v>49.02</v>
      </c>
      <c r="O4991">
        <v>6301.03</v>
      </c>
      <c r="P4991">
        <v>0</v>
      </c>
      <c r="Q4991">
        <v>6301.03</v>
      </c>
      <c r="R4991">
        <v>1008.16</v>
      </c>
      <c r="S4991">
        <v>252.04</v>
      </c>
      <c r="T4991">
        <v>7057.15</v>
      </c>
      <c r="U4991" t="s">
        <v>2990</v>
      </c>
      <c r="V4991" t="s">
        <v>9409</v>
      </c>
      <c r="W4991" t="s">
        <v>423</v>
      </c>
    </row>
    <row r="4992" spans="1:23" hidden="1" x14ac:dyDescent="0.2">
      <c r="A4992">
        <v>2012</v>
      </c>
      <c r="B4992" t="s">
        <v>303</v>
      </c>
      <c r="C4992" s="733">
        <v>40918.474490740744</v>
      </c>
      <c r="D49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92" t="s">
        <v>478</v>
      </c>
      <c r="F4992" t="s">
        <v>2622</v>
      </c>
      <c r="G4992" t="s">
        <v>4215</v>
      </c>
      <c r="H4992">
        <v>34387</v>
      </c>
      <c r="I4992" t="s">
        <v>423</v>
      </c>
      <c r="J4992" t="s">
        <v>2668</v>
      </c>
      <c r="K4992" t="s">
        <v>2625</v>
      </c>
      <c r="L4992" t="s">
        <v>2626</v>
      </c>
      <c r="M4992">
        <v>76</v>
      </c>
      <c r="N4992">
        <v>26.47</v>
      </c>
      <c r="O4992">
        <v>2987.14</v>
      </c>
      <c r="P4992">
        <v>0</v>
      </c>
      <c r="Q4992">
        <v>2987.14</v>
      </c>
      <c r="R4992">
        <v>477.94</v>
      </c>
      <c r="S4992">
        <v>119.49</v>
      </c>
      <c r="T4992">
        <v>3345.59</v>
      </c>
      <c r="U4992" t="s">
        <v>2627</v>
      </c>
      <c r="V4992" t="s">
        <v>9408</v>
      </c>
      <c r="W4992" t="s">
        <v>423</v>
      </c>
    </row>
    <row r="4993" spans="1:23" hidden="1" x14ac:dyDescent="0.2">
      <c r="A4993">
        <v>2012</v>
      </c>
      <c r="B4993" t="s">
        <v>304</v>
      </c>
      <c r="C4993" s="733">
        <v>40962</v>
      </c>
      <c r="D49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93" t="s">
        <v>485</v>
      </c>
      <c r="F4993" t="s">
        <v>2084</v>
      </c>
      <c r="G4993" t="s">
        <v>8621</v>
      </c>
      <c r="H4993">
        <v>42509</v>
      </c>
      <c r="I4993" t="s">
        <v>423</v>
      </c>
      <c r="J4993" t="s">
        <v>4093</v>
      </c>
      <c r="K4993" t="s">
        <v>2051</v>
      </c>
      <c r="L4993" t="s">
        <v>2052</v>
      </c>
      <c r="M4993">
        <v>647</v>
      </c>
      <c r="N4993">
        <v>27.95</v>
      </c>
      <c r="O4993">
        <v>10574.32</v>
      </c>
      <c r="P4993">
        <v>0</v>
      </c>
      <c r="Q4993">
        <v>10574.32</v>
      </c>
      <c r="R4993">
        <v>1691.89</v>
      </c>
      <c r="S4993">
        <v>422.97</v>
      </c>
      <c r="T4993">
        <v>11843.24</v>
      </c>
      <c r="V4993" t="s">
        <v>9408</v>
      </c>
      <c r="W4993" t="s">
        <v>423</v>
      </c>
    </row>
    <row r="4994" spans="1:23" hidden="1" x14ac:dyDescent="0.2">
      <c r="A4994">
        <v>2012</v>
      </c>
      <c r="B4994" t="s">
        <v>303</v>
      </c>
      <c r="C4994" s="733">
        <v>40912</v>
      </c>
      <c r="D49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94" t="s">
        <v>485</v>
      </c>
      <c r="F4994" t="s">
        <v>2084</v>
      </c>
      <c r="G4994" t="s">
        <v>4796</v>
      </c>
      <c r="H4994">
        <v>39651</v>
      </c>
      <c r="I4994" t="s">
        <v>423</v>
      </c>
      <c r="J4994" t="s">
        <v>2848</v>
      </c>
      <c r="K4994" t="s">
        <v>2814</v>
      </c>
      <c r="L4994" t="s">
        <v>2815</v>
      </c>
      <c r="M4994">
        <v>708</v>
      </c>
      <c r="N4994">
        <v>23.77</v>
      </c>
      <c r="O4994">
        <v>4106.74</v>
      </c>
      <c r="P4994">
        <v>4623.7374989999998</v>
      </c>
      <c r="Q4994">
        <v>8730.4774990000005</v>
      </c>
      <c r="R4994">
        <v>1396.8764000000001</v>
      </c>
      <c r="S4994">
        <v>349.21910000000003</v>
      </c>
      <c r="T4994">
        <v>9778.1347989999995</v>
      </c>
      <c r="U4994" t="s">
        <v>2846</v>
      </c>
      <c r="V4994" t="s">
        <v>9408</v>
      </c>
      <c r="W4994" t="s">
        <v>423</v>
      </c>
    </row>
    <row r="4995" spans="1:23" hidden="1" x14ac:dyDescent="0.2">
      <c r="A4995">
        <v>2012</v>
      </c>
      <c r="B4995" t="s">
        <v>303</v>
      </c>
      <c r="C4995" s="733">
        <v>40931</v>
      </c>
      <c r="D49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95" t="s">
        <v>505</v>
      </c>
      <c r="F4995" t="s">
        <v>1915</v>
      </c>
      <c r="G4995" t="s">
        <v>5548</v>
      </c>
      <c r="H4995">
        <v>22153</v>
      </c>
      <c r="I4995" t="s">
        <v>423</v>
      </c>
      <c r="J4995" t="s">
        <v>4262</v>
      </c>
      <c r="K4995" t="s">
        <v>1918</v>
      </c>
      <c r="L4995" t="s">
        <v>1919</v>
      </c>
      <c r="M4995">
        <v>845</v>
      </c>
      <c r="N4995">
        <v>26.69</v>
      </c>
      <c r="O4995">
        <v>13531.83</v>
      </c>
      <c r="P4995">
        <v>0</v>
      </c>
      <c r="Q4995">
        <v>13531.83</v>
      </c>
      <c r="R4995">
        <v>2165.09</v>
      </c>
      <c r="S4995">
        <v>541.27</v>
      </c>
      <c r="T4995">
        <v>15155.65</v>
      </c>
      <c r="U4995" t="s">
        <v>1936</v>
      </c>
      <c r="V4995" t="s">
        <v>9408</v>
      </c>
      <c r="W4995" t="s">
        <v>423</v>
      </c>
    </row>
    <row r="4996" spans="1:23" hidden="1" x14ac:dyDescent="0.2">
      <c r="A4996">
        <v>2012</v>
      </c>
      <c r="B4996" t="s">
        <v>305</v>
      </c>
      <c r="C4996" s="733">
        <v>40969</v>
      </c>
      <c r="D4996" s="733" t="str">
        <f>CHOOSE(MONTH(Tabla_sqldatos_bonampakdb_Bon_v_ingresos2012[[#This Row],[fecha_guia]]),"Enero","Febrero","Marzo","Abril","Mayo","Junio","Julio","Agosto","Septiembre","Octubre","Noviembre","Diciembre")</f>
        <v>Marzo</v>
      </c>
      <c r="E4996" t="s">
        <v>478</v>
      </c>
      <c r="F4996" t="s">
        <v>2136</v>
      </c>
      <c r="G4996" t="s">
        <v>9626</v>
      </c>
      <c r="H4996">
        <v>36239</v>
      </c>
      <c r="I4996" t="s">
        <v>423</v>
      </c>
      <c r="J4996" t="s">
        <v>2936</v>
      </c>
      <c r="K4996" t="s">
        <v>425</v>
      </c>
      <c r="L4996" t="s">
        <v>2145</v>
      </c>
      <c r="M4996">
        <v>604</v>
      </c>
      <c r="N4996">
        <v>39.909999999999997</v>
      </c>
      <c r="O4996">
        <v>12495.42</v>
      </c>
      <c r="P4996">
        <v>0</v>
      </c>
      <c r="Q4996">
        <v>12495.42</v>
      </c>
      <c r="R4996">
        <v>1999.27</v>
      </c>
      <c r="S4996">
        <v>499.82</v>
      </c>
      <c r="T4996">
        <v>13994.87</v>
      </c>
      <c r="V4996" t="s">
        <v>9409</v>
      </c>
      <c r="W4996" t="s">
        <v>423</v>
      </c>
    </row>
    <row r="4997" spans="1:23" hidden="1" x14ac:dyDescent="0.2">
      <c r="A4997">
        <v>2012</v>
      </c>
      <c r="B4997" t="s">
        <v>304</v>
      </c>
      <c r="C4997" s="733">
        <v>40942</v>
      </c>
      <c r="D49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97" t="s">
        <v>478</v>
      </c>
      <c r="F4997" t="s">
        <v>2136</v>
      </c>
      <c r="G4997" t="s">
        <v>5074</v>
      </c>
      <c r="H4997">
        <v>35065</v>
      </c>
      <c r="I4997" t="s">
        <v>423</v>
      </c>
      <c r="J4997" t="s">
        <v>2936</v>
      </c>
      <c r="K4997" t="s">
        <v>425</v>
      </c>
      <c r="L4997" t="s">
        <v>2145</v>
      </c>
      <c r="M4997">
        <v>604</v>
      </c>
      <c r="N4997">
        <v>24.51</v>
      </c>
      <c r="O4997">
        <v>7673.84</v>
      </c>
      <c r="P4997">
        <v>0</v>
      </c>
      <c r="Q4997">
        <v>7673.84</v>
      </c>
      <c r="R4997">
        <v>1227.81</v>
      </c>
      <c r="S4997">
        <v>306.95</v>
      </c>
      <c r="T4997">
        <v>8594.7000000000007</v>
      </c>
      <c r="U4997" t="s">
        <v>2938</v>
      </c>
      <c r="V4997" t="s">
        <v>9409</v>
      </c>
      <c r="W4997" t="s">
        <v>423</v>
      </c>
    </row>
    <row r="4998" spans="1:23" hidden="1" x14ac:dyDescent="0.2">
      <c r="A4998">
        <v>2012</v>
      </c>
      <c r="B4998" t="s">
        <v>303</v>
      </c>
      <c r="C4998" s="733">
        <v>40929</v>
      </c>
      <c r="D49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4998" t="s">
        <v>478</v>
      </c>
      <c r="F4998" t="s">
        <v>2136</v>
      </c>
      <c r="G4998" t="s">
        <v>5073</v>
      </c>
      <c r="H4998">
        <v>34725</v>
      </c>
      <c r="I4998" t="s">
        <v>423</v>
      </c>
      <c r="J4998" t="s">
        <v>2936</v>
      </c>
      <c r="K4998" t="s">
        <v>425</v>
      </c>
      <c r="L4998" t="s">
        <v>2145</v>
      </c>
      <c r="M4998">
        <v>604</v>
      </c>
      <c r="N4998">
        <v>24.13</v>
      </c>
      <c r="O4998">
        <v>7554.86</v>
      </c>
      <c r="P4998">
        <v>0</v>
      </c>
      <c r="Q4998">
        <v>7554.86</v>
      </c>
      <c r="R4998">
        <v>1208.78</v>
      </c>
      <c r="S4998">
        <v>302.19</v>
      </c>
      <c r="T4998">
        <v>8461.4500000000007</v>
      </c>
      <c r="U4998" t="s">
        <v>2355</v>
      </c>
      <c r="V4998" t="s">
        <v>9408</v>
      </c>
      <c r="W4998" t="s">
        <v>423</v>
      </c>
    </row>
    <row r="4999" spans="1:23" hidden="1" x14ac:dyDescent="0.2">
      <c r="A4999">
        <v>2012</v>
      </c>
      <c r="B4999" t="s">
        <v>304</v>
      </c>
      <c r="C4999" s="733">
        <v>40966</v>
      </c>
      <c r="D49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4999" t="s">
        <v>478</v>
      </c>
      <c r="F4999" t="s">
        <v>2136</v>
      </c>
      <c r="G4999" t="s">
        <v>9227</v>
      </c>
      <c r="H4999">
        <v>35949</v>
      </c>
      <c r="I4999" t="s">
        <v>423</v>
      </c>
      <c r="J4999" t="s">
        <v>5307</v>
      </c>
      <c r="K4999" t="s">
        <v>425</v>
      </c>
      <c r="L4999" t="s">
        <v>2145</v>
      </c>
      <c r="M4999">
        <v>1365</v>
      </c>
      <c r="N4999">
        <v>40.06</v>
      </c>
      <c r="O4999">
        <v>36326.01</v>
      </c>
      <c r="P4999">
        <v>0</v>
      </c>
      <c r="Q4999">
        <v>36326.01</v>
      </c>
      <c r="R4999">
        <v>5812.16</v>
      </c>
      <c r="S4999">
        <v>1453.04</v>
      </c>
      <c r="T4999">
        <v>40685.129999999997</v>
      </c>
      <c r="U4999" t="s">
        <v>9430</v>
      </c>
      <c r="V4999" t="s">
        <v>9409</v>
      </c>
      <c r="W4999" t="s">
        <v>423</v>
      </c>
    </row>
    <row r="5000" spans="1:23" hidden="1" x14ac:dyDescent="0.2">
      <c r="A5000">
        <v>2012</v>
      </c>
      <c r="B5000" t="s">
        <v>304</v>
      </c>
      <c r="C5000" s="733">
        <v>40956</v>
      </c>
      <c r="D50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00" t="s">
        <v>478</v>
      </c>
      <c r="F5000" t="s">
        <v>2136</v>
      </c>
      <c r="G5000" t="s">
        <v>7652</v>
      </c>
      <c r="H5000">
        <v>35761</v>
      </c>
      <c r="I5000" t="s">
        <v>423</v>
      </c>
      <c r="J5000" t="s">
        <v>2936</v>
      </c>
      <c r="K5000" t="s">
        <v>425</v>
      </c>
      <c r="L5000" t="s">
        <v>2145</v>
      </c>
      <c r="M5000">
        <v>604</v>
      </c>
      <c r="N5000">
        <v>37.369999999999997</v>
      </c>
      <c r="O5000">
        <v>11700.17</v>
      </c>
      <c r="P5000">
        <v>0</v>
      </c>
      <c r="Q5000">
        <v>11700.17</v>
      </c>
      <c r="R5000">
        <v>1872.03</v>
      </c>
      <c r="S5000">
        <v>468.01</v>
      </c>
      <c r="T5000">
        <v>13104.19</v>
      </c>
      <c r="U5000" t="s">
        <v>9455</v>
      </c>
      <c r="V5000" t="s">
        <v>9409</v>
      </c>
      <c r="W5000" t="s">
        <v>423</v>
      </c>
    </row>
    <row r="5001" spans="1:23" hidden="1" x14ac:dyDescent="0.2">
      <c r="A5001">
        <v>2012</v>
      </c>
      <c r="B5001" t="s">
        <v>304</v>
      </c>
      <c r="C5001" s="733">
        <v>40942</v>
      </c>
      <c r="D50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01" t="s">
        <v>478</v>
      </c>
      <c r="F5001" t="s">
        <v>2142</v>
      </c>
      <c r="G5001" t="s">
        <v>5265</v>
      </c>
      <c r="H5001">
        <v>35191</v>
      </c>
      <c r="I5001" t="s">
        <v>423</v>
      </c>
      <c r="J5001" t="s">
        <v>4270</v>
      </c>
      <c r="K5001" t="s">
        <v>425</v>
      </c>
      <c r="L5001" t="s">
        <v>2145</v>
      </c>
      <c r="M5001">
        <v>560</v>
      </c>
      <c r="N5001">
        <v>46.75</v>
      </c>
      <c r="O5001">
        <v>14936.62</v>
      </c>
      <c r="P5001">
        <v>0</v>
      </c>
      <c r="Q5001">
        <v>14936.62</v>
      </c>
      <c r="R5001">
        <v>2389.86</v>
      </c>
      <c r="S5001">
        <v>597.46</v>
      </c>
      <c r="T5001">
        <v>16729.02</v>
      </c>
      <c r="U5001" t="s">
        <v>2938</v>
      </c>
      <c r="V5001" t="s">
        <v>9409</v>
      </c>
      <c r="W5001" t="s">
        <v>423</v>
      </c>
    </row>
    <row r="5002" spans="1:23" hidden="1" x14ac:dyDescent="0.2">
      <c r="A5002">
        <v>2012</v>
      </c>
      <c r="B5002" t="s">
        <v>303</v>
      </c>
      <c r="C5002" s="733">
        <v>40920</v>
      </c>
      <c r="D50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02" t="s">
        <v>478</v>
      </c>
      <c r="F5002" t="s">
        <v>2136</v>
      </c>
      <c r="G5002" t="s">
        <v>5081</v>
      </c>
      <c r="H5002">
        <v>34436</v>
      </c>
      <c r="I5002" t="s">
        <v>423</v>
      </c>
      <c r="J5002" t="s">
        <v>4270</v>
      </c>
      <c r="K5002" t="s">
        <v>425</v>
      </c>
      <c r="L5002" t="s">
        <v>2145</v>
      </c>
      <c r="M5002">
        <v>560</v>
      </c>
      <c r="N5002">
        <v>48.86</v>
      </c>
      <c r="O5002">
        <v>15610.77</v>
      </c>
      <c r="P5002">
        <v>0</v>
      </c>
      <c r="Q5002">
        <v>15610.77</v>
      </c>
      <c r="R5002">
        <v>2497.7199999999998</v>
      </c>
      <c r="S5002">
        <v>624.42999999999995</v>
      </c>
      <c r="T5002">
        <v>17484.060000000001</v>
      </c>
      <c r="U5002" t="s">
        <v>2355</v>
      </c>
      <c r="V5002" t="s">
        <v>9409</v>
      </c>
      <c r="W5002" t="s">
        <v>423</v>
      </c>
    </row>
    <row r="5003" spans="1:23" hidden="1" x14ac:dyDescent="0.2">
      <c r="A5003">
        <v>2012</v>
      </c>
      <c r="B5003" t="s">
        <v>304</v>
      </c>
      <c r="C5003" s="733">
        <v>40942</v>
      </c>
      <c r="D50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03" t="s">
        <v>478</v>
      </c>
      <c r="F5003" t="s">
        <v>2136</v>
      </c>
      <c r="G5003" t="s">
        <v>5080</v>
      </c>
      <c r="H5003">
        <v>35277</v>
      </c>
      <c r="I5003" t="s">
        <v>423</v>
      </c>
      <c r="J5003" t="s">
        <v>4270</v>
      </c>
      <c r="K5003" t="s">
        <v>425</v>
      </c>
      <c r="L5003" t="s">
        <v>2145</v>
      </c>
      <c r="M5003">
        <v>560</v>
      </c>
      <c r="N5003">
        <v>45.4</v>
      </c>
      <c r="O5003">
        <v>14505.3</v>
      </c>
      <c r="P5003">
        <v>0</v>
      </c>
      <c r="Q5003">
        <v>14505.3</v>
      </c>
      <c r="R5003">
        <v>2320.85</v>
      </c>
      <c r="S5003">
        <v>580.21</v>
      </c>
      <c r="T5003">
        <v>16245.94</v>
      </c>
      <c r="U5003" t="s">
        <v>2938</v>
      </c>
      <c r="V5003" t="s">
        <v>9409</v>
      </c>
      <c r="W5003" t="s">
        <v>423</v>
      </c>
    </row>
    <row r="5004" spans="1:23" hidden="1" x14ac:dyDescent="0.2">
      <c r="A5004">
        <v>2012</v>
      </c>
      <c r="B5004" t="s">
        <v>304</v>
      </c>
      <c r="C5004" s="733">
        <v>40959</v>
      </c>
      <c r="D50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04" t="s">
        <v>505</v>
      </c>
      <c r="F5004" t="s">
        <v>1915</v>
      </c>
      <c r="G5004" t="s">
        <v>7916</v>
      </c>
      <c r="H5004">
        <v>22794</v>
      </c>
      <c r="I5004" t="s">
        <v>1979</v>
      </c>
      <c r="J5004" t="s">
        <v>4254</v>
      </c>
      <c r="K5004" t="s">
        <v>1918</v>
      </c>
      <c r="L5004" t="s">
        <v>1919</v>
      </c>
      <c r="M5004">
        <v>2819</v>
      </c>
      <c r="N5004">
        <v>50.74</v>
      </c>
      <c r="O5004">
        <v>59132.9</v>
      </c>
      <c r="P5004">
        <v>0</v>
      </c>
      <c r="Q5004">
        <v>59132.9</v>
      </c>
      <c r="R5004">
        <v>9461.26</v>
      </c>
      <c r="S5004">
        <v>2365.3200000000002</v>
      </c>
      <c r="T5004">
        <v>66228.84</v>
      </c>
      <c r="U5004" t="s">
        <v>8491</v>
      </c>
      <c r="V5004" t="s">
        <v>9409</v>
      </c>
      <c r="W5004" t="s">
        <v>1979</v>
      </c>
    </row>
    <row r="5005" spans="1:23" hidden="1" x14ac:dyDescent="0.2">
      <c r="A5005">
        <v>2012</v>
      </c>
      <c r="B5005" t="s">
        <v>304</v>
      </c>
      <c r="C5005" s="733">
        <v>40960</v>
      </c>
      <c r="D50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05" t="s">
        <v>478</v>
      </c>
      <c r="F5005" t="s">
        <v>2136</v>
      </c>
      <c r="G5005" t="s">
        <v>8354</v>
      </c>
      <c r="H5005">
        <v>35772</v>
      </c>
      <c r="I5005" t="s">
        <v>423</v>
      </c>
      <c r="J5005" t="s">
        <v>2936</v>
      </c>
      <c r="K5005" t="s">
        <v>425</v>
      </c>
      <c r="L5005" t="s">
        <v>2145</v>
      </c>
      <c r="M5005">
        <v>604</v>
      </c>
      <c r="N5005">
        <v>25.14</v>
      </c>
      <c r="O5005">
        <v>7871.08</v>
      </c>
      <c r="P5005">
        <v>0</v>
      </c>
      <c r="Q5005">
        <v>7871.08</v>
      </c>
      <c r="R5005">
        <v>1259.3699999999999</v>
      </c>
      <c r="S5005">
        <v>314.83999999999997</v>
      </c>
      <c r="T5005">
        <v>8815.61</v>
      </c>
      <c r="U5005" t="s">
        <v>8252</v>
      </c>
      <c r="V5005" t="s">
        <v>9408</v>
      </c>
      <c r="W5005" t="s">
        <v>423</v>
      </c>
    </row>
    <row r="5006" spans="1:23" hidden="1" x14ac:dyDescent="0.2">
      <c r="A5006">
        <v>2012</v>
      </c>
      <c r="B5006" t="s">
        <v>303</v>
      </c>
      <c r="C5006" s="733">
        <v>40913</v>
      </c>
      <c r="D50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06" t="s">
        <v>478</v>
      </c>
      <c r="F5006" t="s">
        <v>2136</v>
      </c>
      <c r="G5006" t="s">
        <v>3151</v>
      </c>
      <c r="H5006">
        <v>34210</v>
      </c>
      <c r="I5006" t="s">
        <v>423</v>
      </c>
      <c r="J5006" t="s">
        <v>2936</v>
      </c>
      <c r="K5006" t="s">
        <v>425</v>
      </c>
      <c r="L5006" t="s">
        <v>2145</v>
      </c>
      <c r="M5006">
        <v>604</v>
      </c>
      <c r="N5006">
        <v>25.86</v>
      </c>
      <c r="O5006">
        <v>3408.87</v>
      </c>
      <c r="P5006">
        <v>3838.0126439999999</v>
      </c>
      <c r="Q5006">
        <v>7246.8826440000003</v>
      </c>
      <c r="R5006">
        <v>1159.501223</v>
      </c>
      <c r="S5006">
        <v>289.87530600000002</v>
      </c>
      <c r="T5006">
        <v>8116.5085609999996</v>
      </c>
      <c r="U5006" t="s">
        <v>3118</v>
      </c>
      <c r="V5006" t="s">
        <v>9408</v>
      </c>
      <c r="W5006" t="s">
        <v>423</v>
      </c>
    </row>
    <row r="5007" spans="1:23" hidden="1" x14ac:dyDescent="0.2">
      <c r="A5007">
        <v>2012</v>
      </c>
      <c r="B5007" t="s">
        <v>303</v>
      </c>
      <c r="C5007" s="733">
        <v>40925</v>
      </c>
      <c r="D50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07" t="s">
        <v>505</v>
      </c>
      <c r="F5007" t="s">
        <v>1915</v>
      </c>
      <c r="G5007" t="s">
        <v>5543</v>
      </c>
      <c r="H5007">
        <v>22030</v>
      </c>
      <c r="I5007" t="s">
        <v>423</v>
      </c>
      <c r="J5007" t="s">
        <v>5042</v>
      </c>
      <c r="K5007" t="s">
        <v>1918</v>
      </c>
      <c r="L5007" t="s">
        <v>1919</v>
      </c>
      <c r="M5007">
        <v>29</v>
      </c>
      <c r="N5007">
        <v>25.32</v>
      </c>
      <c r="O5007">
        <v>2445.41</v>
      </c>
      <c r="P5007">
        <v>0</v>
      </c>
      <c r="Q5007">
        <v>2445.41</v>
      </c>
      <c r="R5007">
        <v>391.26</v>
      </c>
      <c r="S5007">
        <v>97.82</v>
      </c>
      <c r="T5007">
        <v>2738.85</v>
      </c>
      <c r="U5007" t="s">
        <v>1936</v>
      </c>
      <c r="V5007" t="s">
        <v>9408</v>
      </c>
      <c r="W5007" t="s">
        <v>423</v>
      </c>
    </row>
    <row r="5008" spans="1:23" hidden="1" x14ac:dyDescent="0.2">
      <c r="A5008">
        <v>2012</v>
      </c>
      <c r="B5008" t="s">
        <v>303</v>
      </c>
      <c r="C5008" s="733">
        <v>40919</v>
      </c>
      <c r="D50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08" t="s">
        <v>505</v>
      </c>
      <c r="F5008" t="s">
        <v>1915</v>
      </c>
      <c r="G5008" t="s">
        <v>5604</v>
      </c>
      <c r="H5008">
        <v>21859</v>
      </c>
      <c r="I5008" t="s">
        <v>423</v>
      </c>
      <c r="J5008" t="s">
        <v>4262</v>
      </c>
      <c r="K5008" t="s">
        <v>1918</v>
      </c>
      <c r="L5008" t="s">
        <v>1919</v>
      </c>
      <c r="M5008">
        <v>845</v>
      </c>
      <c r="N5008">
        <v>26.59</v>
      </c>
      <c r="O5008">
        <v>13481.13</v>
      </c>
      <c r="P5008">
        <v>0</v>
      </c>
      <c r="Q5008">
        <v>13481.13</v>
      </c>
      <c r="R5008">
        <v>2156.98</v>
      </c>
      <c r="S5008">
        <v>539.25</v>
      </c>
      <c r="T5008">
        <v>15098.86</v>
      </c>
      <c r="U5008" t="s">
        <v>1931</v>
      </c>
      <c r="V5008" t="s">
        <v>9408</v>
      </c>
      <c r="W5008" t="s">
        <v>423</v>
      </c>
    </row>
    <row r="5009" spans="1:23" hidden="1" x14ac:dyDescent="0.2">
      <c r="A5009">
        <v>2012</v>
      </c>
      <c r="B5009" t="s">
        <v>303</v>
      </c>
      <c r="C5009" s="733">
        <v>40934</v>
      </c>
      <c r="D50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09" t="s">
        <v>478</v>
      </c>
      <c r="F5009" t="s">
        <v>2136</v>
      </c>
      <c r="G5009" t="s">
        <v>5199</v>
      </c>
      <c r="H5009">
        <v>34953</v>
      </c>
      <c r="I5009" t="s">
        <v>423</v>
      </c>
      <c r="J5009" t="s">
        <v>2936</v>
      </c>
      <c r="K5009" t="s">
        <v>425</v>
      </c>
      <c r="L5009" t="s">
        <v>2145</v>
      </c>
      <c r="M5009">
        <v>604</v>
      </c>
      <c r="N5009">
        <v>25.19</v>
      </c>
      <c r="O5009">
        <v>7886.74</v>
      </c>
      <c r="P5009">
        <v>0</v>
      </c>
      <c r="Q5009">
        <v>7886.74</v>
      </c>
      <c r="R5009">
        <v>1261.8800000000001</v>
      </c>
      <c r="S5009">
        <v>315.47000000000003</v>
      </c>
      <c r="T5009">
        <v>8833.15</v>
      </c>
      <c r="U5009" t="s">
        <v>2355</v>
      </c>
      <c r="V5009" t="s">
        <v>9409</v>
      </c>
      <c r="W5009" t="s">
        <v>423</v>
      </c>
    </row>
    <row r="5010" spans="1:23" hidden="1" x14ac:dyDescent="0.2">
      <c r="A5010">
        <v>2012</v>
      </c>
      <c r="B5010" t="s">
        <v>303</v>
      </c>
      <c r="C5010" s="733">
        <v>40921</v>
      </c>
      <c r="D50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10" t="s">
        <v>478</v>
      </c>
      <c r="F5010" t="s">
        <v>2136</v>
      </c>
      <c r="G5010" t="s">
        <v>5186</v>
      </c>
      <c r="H5010">
        <v>34479</v>
      </c>
      <c r="I5010" t="s">
        <v>423</v>
      </c>
      <c r="J5010" t="s">
        <v>2936</v>
      </c>
      <c r="K5010" t="s">
        <v>425</v>
      </c>
      <c r="L5010" t="s">
        <v>2145</v>
      </c>
      <c r="M5010">
        <v>604</v>
      </c>
      <c r="N5010">
        <v>50.49</v>
      </c>
      <c r="O5010">
        <v>15807.91</v>
      </c>
      <c r="P5010">
        <v>0</v>
      </c>
      <c r="Q5010">
        <v>15807.91</v>
      </c>
      <c r="R5010">
        <v>2529.27</v>
      </c>
      <c r="S5010">
        <v>632.32000000000005</v>
      </c>
      <c r="T5010">
        <v>17704.86</v>
      </c>
      <c r="U5010" t="s">
        <v>2927</v>
      </c>
      <c r="V5010" t="s">
        <v>9409</v>
      </c>
      <c r="W5010" t="s">
        <v>423</v>
      </c>
    </row>
    <row r="5011" spans="1:23" hidden="1" x14ac:dyDescent="0.2">
      <c r="A5011">
        <v>2012</v>
      </c>
      <c r="B5011" t="s">
        <v>303</v>
      </c>
      <c r="C5011" s="733">
        <v>40925</v>
      </c>
      <c r="D50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11" t="s">
        <v>478</v>
      </c>
      <c r="F5011" t="s">
        <v>2136</v>
      </c>
      <c r="G5011" t="s">
        <v>5185</v>
      </c>
      <c r="H5011">
        <v>34634</v>
      </c>
      <c r="I5011" t="s">
        <v>423</v>
      </c>
      <c r="J5011" t="s">
        <v>2936</v>
      </c>
      <c r="K5011" t="s">
        <v>425</v>
      </c>
      <c r="L5011" t="s">
        <v>2145</v>
      </c>
      <c r="M5011">
        <v>604</v>
      </c>
      <c r="N5011">
        <v>24.58</v>
      </c>
      <c r="O5011">
        <v>7695.75</v>
      </c>
      <c r="P5011">
        <v>0</v>
      </c>
      <c r="Q5011">
        <v>7695.75</v>
      </c>
      <c r="R5011">
        <v>1231.32</v>
      </c>
      <c r="S5011">
        <v>307.83</v>
      </c>
      <c r="T5011">
        <v>8619.24</v>
      </c>
      <c r="U5011" t="s">
        <v>2927</v>
      </c>
      <c r="V5011" t="s">
        <v>9408</v>
      </c>
      <c r="W5011" t="s">
        <v>423</v>
      </c>
    </row>
    <row r="5012" spans="1:23" hidden="1" x14ac:dyDescent="0.2">
      <c r="A5012">
        <v>2012</v>
      </c>
      <c r="B5012" t="s">
        <v>304</v>
      </c>
      <c r="C5012" s="733">
        <v>40941</v>
      </c>
      <c r="D50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12" t="s">
        <v>478</v>
      </c>
      <c r="F5012" t="s">
        <v>2136</v>
      </c>
      <c r="G5012" t="s">
        <v>5198</v>
      </c>
      <c r="H5012">
        <v>35203</v>
      </c>
      <c r="I5012" t="s">
        <v>423</v>
      </c>
      <c r="J5012" t="s">
        <v>2936</v>
      </c>
      <c r="K5012" t="s">
        <v>425</v>
      </c>
      <c r="L5012" t="s">
        <v>2145</v>
      </c>
      <c r="M5012">
        <v>604</v>
      </c>
      <c r="N5012">
        <v>52.52</v>
      </c>
      <c r="O5012">
        <v>16443.490000000002</v>
      </c>
      <c r="P5012">
        <v>0</v>
      </c>
      <c r="Q5012">
        <v>16443.490000000002</v>
      </c>
      <c r="R5012">
        <v>2630.96</v>
      </c>
      <c r="S5012">
        <v>657.74</v>
      </c>
      <c r="T5012">
        <v>18416.71</v>
      </c>
      <c r="U5012" t="s">
        <v>2580</v>
      </c>
      <c r="V5012" t="s">
        <v>9409</v>
      </c>
      <c r="W5012" t="s">
        <v>423</v>
      </c>
    </row>
    <row r="5013" spans="1:23" hidden="1" x14ac:dyDescent="0.2">
      <c r="A5013">
        <v>2012</v>
      </c>
      <c r="B5013" t="s">
        <v>304</v>
      </c>
      <c r="C5013" s="733">
        <v>40948</v>
      </c>
      <c r="D50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13" t="s">
        <v>478</v>
      </c>
      <c r="F5013" t="s">
        <v>2136</v>
      </c>
      <c r="G5013" t="s">
        <v>5192</v>
      </c>
      <c r="H5013">
        <v>35467</v>
      </c>
      <c r="I5013" t="s">
        <v>423</v>
      </c>
      <c r="J5013" t="s">
        <v>2936</v>
      </c>
      <c r="K5013" t="s">
        <v>425</v>
      </c>
      <c r="L5013" t="s">
        <v>2145</v>
      </c>
      <c r="M5013">
        <v>604</v>
      </c>
      <c r="N5013">
        <v>21.94</v>
      </c>
      <c r="O5013">
        <v>6869.19</v>
      </c>
      <c r="P5013">
        <v>0</v>
      </c>
      <c r="Q5013">
        <v>6869.19</v>
      </c>
      <c r="R5013">
        <v>1099.07</v>
      </c>
      <c r="S5013">
        <v>274.77</v>
      </c>
      <c r="T5013">
        <v>7693.49</v>
      </c>
      <c r="U5013" t="s">
        <v>2938</v>
      </c>
      <c r="V5013" t="s">
        <v>9408</v>
      </c>
      <c r="W5013" t="s">
        <v>423</v>
      </c>
    </row>
    <row r="5014" spans="1:23" hidden="1" x14ac:dyDescent="0.2">
      <c r="A5014">
        <v>2012</v>
      </c>
      <c r="B5014" t="s">
        <v>304</v>
      </c>
      <c r="C5014" s="733">
        <v>40954</v>
      </c>
      <c r="D50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14" t="s">
        <v>478</v>
      </c>
      <c r="F5014" t="s">
        <v>2136</v>
      </c>
      <c r="G5014" t="s">
        <v>7799</v>
      </c>
      <c r="H5014">
        <v>35629</v>
      </c>
      <c r="I5014" t="s">
        <v>423</v>
      </c>
      <c r="J5014" t="s">
        <v>3329</v>
      </c>
      <c r="K5014" t="s">
        <v>425</v>
      </c>
      <c r="L5014" t="s">
        <v>2145</v>
      </c>
      <c r="M5014">
        <v>596</v>
      </c>
      <c r="N5014">
        <v>24.45</v>
      </c>
      <c r="O5014">
        <v>7934.02</v>
      </c>
      <c r="P5014">
        <v>0</v>
      </c>
      <c r="Q5014">
        <v>7934.02</v>
      </c>
      <c r="R5014">
        <v>1269.44</v>
      </c>
      <c r="S5014">
        <v>317.36</v>
      </c>
      <c r="T5014">
        <v>8886.1</v>
      </c>
      <c r="U5014" t="s">
        <v>7553</v>
      </c>
      <c r="V5014" t="s">
        <v>9408</v>
      </c>
      <c r="W5014" t="s">
        <v>423</v>
      </c>
    </row>
    <row r="5015" spans="1:23" hidden="1" x14ac:dyDescent="0.2">
      <c r="A5015">
        <v>2012</v>
      </c>
      <c r="B5015" t="s">
        <v>304</v>
      </c>
      <c r="C5015" s="733">
        <v>40954</v>
      </c>
      <c r="D50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15" t="s">
        <v>478</v>
      </c>
      <c r="F5015" t="s">
        <v>2136</v>
      </c>
      <c r="G5015" t="s">
        <v>7855</v>
      </c>
      <c r="H5015">
        <v>35582</v>
      </c>
      <c r="I5015" t="s">
        <v>423</v>
      </c>
      <c r="J5015" t="s">
        <v>4270</v>
      </c>
      <c r="K5015" t="s">
        <v>425</v>
      </c>
      <c r="L5015" t="s">
        <v>2145</v>
      </c>
      <c r="M5015">
        <v>560</v>
      </c>
      <c r="N5015">
        <v>25.54</v>
      </c>
      <c r="O5015">
        <v>7996.32</v>
      </c>
      <c r="P5015">
        <v>0</v>
      </c>
      <c r="Q5015">
        <v>7996.32</v>
      </c>
      <c r="R5015">
        <v>1279.4100000000001</v>
      </c>
      <c r="S5015">
        <v>319.85000000000002</v>
      </c>
      <c r="T5015">
        <v>8955.8799999999992</v>
      </c>
      <c r="U5015" t="s">
        <v>7553</v>
      </c>
      <c r="V5015" t="s">
        <v>9408</v>
      </c>
      <c r="W5015" t="s">
        <v>423</v>
      </c>
    </row>
    <row r="5016" spans="1:23" hidden="1" x14ac:dyDescent="0.2">
      <c r="A5016">
        <v>2012</v>
      </c>
      <c r="B5016" t="s">
        <v>304</v>
      </c>
      <c r="C5016" s="733">
        <v>40942</v>
      </c>
      <c r="D50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16" t="s">
        <v>478</v>
      </c>
      <c r="F5016" t="s">
        <v>2136</v>
      </c>
      <c r="G5016" t="s">
        <v>5197</v>
      </c>
      <c r="H5016">
        <v>35237</v>
      </c>
      <c r="I5016" t="s">
        <v>423</v>
      </c>
      <c r="J5016" t="s">
        <v>4270</v>
      </c>
      <c r="K5016" t="s">
        <v>425</v>
      </c>
      <c r="L5016" t="s">
        <v>2145</v>
      </c>
      <c r="M5016">
        <v>560</v>
      </c>
      <c r="N5016">
        <v>53.65</v>
      </c>
      <c r="O5016">
        <v>17141.18</v>
      </c>
      <c r="P5016">
        <v>0</v>
      </c>
      <c r="Q5016">
        <v>17141.18</v>
      </c>
      <c r="R5016">
        <v>2742.59</v>
      </c>
      <c r="S5016">
        <v>685.65</v>
      </c>
      <c r="T5016">
        <v>19198.12</v>
      </c>
      <c r="U5016" t="s">
        <v>2938</v>
      </c>
      <c r="V5016" t="s">
        <v>9409</v>
      </c>
      <c r="W5016" t="s">
        <v>423</v>
      </c>
    </row>
    <row r="5017" spans="1:23" hidden="1" x14ac:dyDescent="0.2">
      <c r="A5017">
        <v>2012</v>
      </c>
      <c r="B5017" t="s">
        <v>303</v>
      </c>
      <c r="C5017" s="733">
        <v>40938</v>
      </c>
      <c r="D50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17" t="s">
        <v>505</v>
      </c>
      <c r="F5017" t="s">
        <v>1915</v>
      </c>
      <c r="G5017" t="s">
        <v>5593</v>
      </c>
      <c r="H5017">
        <v>22217</v>
      </c>
      <c r="I5017" t="s">
        <v>1979</v>
      </c>
      <c r="J5017" t="s">
        <v>4254</v>
      </c>
      <c r="K5017" t="s">
        <v>1918</v>
      </c>
      <c r="L5017" t="s">
        <v>1919</v>
      </c>
      <c r="M5017">
        <v>2819</v>
      </c>
      <c r="N5017">
        <v>50.5</v>
      </c>
      <c r="O5017">
        <v>58853.2</v>
      </c>
      <c r="P5017">
        <v>0</v>
      </c>
      <c r="Q5017">
        <v>58853.2</v>
      </c>
      <c r="R5017">
        <v>9416.51</v>
      </c>
      <c r="S5017">
        <v>2354.13</v>
      </c>
      <c r="T5017">
        <v>65915.58</v>
      </c>
      <c r="U5017" t="s">
        <v>1936</v>
      </c>
      <c r="V5017" t="s">
        <v>9409</v>
      </c>
      <c r="W5017" t="s">
        <v>1979</v>
      </c>
    </row>
    <row r="5018" spans="1:23" hidden="1" x14ac:dyDescent="0.2">
      <c r="A5018">
        <v>2012</v>
      </c>
      <c r="B5018" t="s">
        <v>303</v>
      </c>
      <c r="C5018" s="733">
        <v>40938</v>
      </c>
      <c r="D50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18" t="s">
        <v>478</v>
      </c>
      <c r="F5018" t="s">
        <v>2136</v>
      </c>
      <c r="G5018" t="s">
        <v>5420</v>
      </c>
      <c r="H5018">
        <v>35006</v>
      </c>
      <c r="I5018" t="s">
        <v>423</v>
      </c>
      <c r="J5018" t="s">
        <v>2936</v>
      </c>
      <c r="K5018" t="s">
        <v>425</v>
      </c>
      <c r="L5018" t="s">
        <v>2145</v>
      </c>
      <c r="M5018">
        <v>604</v>
      </c>
      <c r="N5018">
        <v>26.78</v>
      </c>
      <c r="O5018">
        <v>8384.5499999999993</v>
      </c>
      <c r="P5018">
        <v>0</v>
      </c>
      <c r="Q5018">
        <v>8384.5499999999993</v>
      </c>
      <c r="R5018">
        <v>1341.53</v>
      </c>
      <c r="S5018">
        <v>335.38</v>
      </c>
      <c r="T5018">
        <v>9390.7000000000007</v>
      </c>
      <c r="U5018" t="s">
        <v>2580</v>
      </c>
      <c r="V5018" t="s">
        <v>9408</v>
      </c>
      <c r="W5018" t="s">
        <v>423</v>
      </c>
    </row>
    <row r="5019" spans="1:23" hidden="1" x14ac:dyDescent="0.2">
      <c r="A5019">
        <v>2012</v>
      </c>
      <c r="B5019" t="s">
        <v>304</v>
      </c>
      <c r="C5019" s="733">
        <v>40940</v>
      </c>
      <c r="D50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19" t="s">
        <v>485</v>
      </c>
      <c r="F5019" t="s">
        <v>2065</v>
      </c>
      <c r="G5019" t="s">
        <v>4378</v>
      </c>
      <c r="H5019">
        <v>40940</v>
      </c>
      <c r="I5019" t="s">
        <v>423</v>
      </c>
      <c r="J5019" t="s">
        <v>2836</v>
      </c>
      <c r="K5019" t="s">
        <v>2814</v>
      </c>
      <c r="L5019" t="s">
        <v>2815</v>
      </c>
      <c r="M5019">
        <v>70</v>
      </c>
      <c r="N5019">
        <v>24.033000000000001</v>
      </c>
      <c r="O5019">
        <v>2712.6</v>
      </c>
      <c r="P5019">
        <v>0</v>
      </c>
      <c r="Q5019">
        <v>2712.6</v>
      </c>
      <c r="R5019">
        <v>434.02</v>
      </c>
      <c r="S5019">
        <v>108.5</v>
      </c>
      <c r="T5019">
        <v>3038.12</v>
      </c>
      <c r="U5019" t="s">
        <v>2826</v>
      </c>
      <c r="V5019" t="s">
        <v>9408</v>
      </c>
      <c r="W5019" t="s">
        <v>423</v>
      </c>
    </row>
    <row r="5020" spans="1:23" hidden="1" x14ac:dyDescent="0.2">
      <c r="A5020">
        <v>2012</v>
      </c>
      <c r="B5020" t="s">
        <v>304</v>
      </c>
      <c r="C5020" s="733">
        <v>40949</v>
      </c>
      <c r="D50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20" t="s">
        <v>485</v>
      </c>
      <c r="F5020" t="s">
        <v>2065</v>
      </c>
      <c r="G5020" t="s">
        <v>4701</v>
      </c>
      <c r="H5020">
        <v>41422</v>
      </c>
      <c r="I5020" t="s">
        <v>423</v>
      </c>
      <c r="J5020" t="s">
        <v>2836</v>
      </c>
      <c r="K5020" t="s">
        <v>2814</v>
      </c>
      <c r="L5020" t="s">
        <v>2815</v>
      </c>
      <c r="M5020">
        <v>70</v>
      </c>
      <c r="N5020">
        <v>29.853000000000002</v>
      </c>
      <c r="O5020">
        <v>3369.51</v>
      </c>
      <c r="P5020">
        <v>0</v>
      </c>
      <c r="Q5020">
        <v>3369.51</v>
      </c>
      <c r="R5020">
        <v>370.65</v>
      </c>
      <c r="S5020">
        <v>134.78</v>
      </c>
      <c r="T5020">
        <v>3605.38</v>
      </c>
      <c r="U5020" t="s">
        <v>7527</v>
      </c>
      <c r="V5020" t="s">
        <v>9408</v>
      </c>
      <c r="W5020" t="s">
        <v>423</v>
      </c>
    </row>
    <row r="5021" spans="1:23" hidden="1" x14ac:dyDescent="0.2">
      <c r="A5021">
        <v>2012</v>
      </c>
      <c r="B5021" t="s">
        <v>303</v>
      </c>
      <c r="C5021" s="733">
        <v>40933.720555555556</v>
      </c>
      <c r="D50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21" t="s">
        <v>478</v>
      </c>
      <c r="F5021" t="s">
        <v>3358</v>
      </c>
      <c r="G5021" t="s">
        <v>4716</v>
      </c>
      <c r="H5021">
        <v>34946</v>
      </c>
      <c r="I5021" t="s">
        <v>423</v>
      </c>
      <c r="J5021" t="s">
        <v>3360</v>
      </c>
      <c r="K5021" t="s">
        <v>483</v>
      </c>
      <c r="L5021" t="s">
        <v>3361</v>
      </c>
      <c r="M5021">
        <v>49</v>
      </c>
      <c r="N5021">
        <v>32.18</v>
      </c>
      <c r="O5021">
        <v>3632.16</v>
      </c>
      <c r="P5021">
        <v>0</v>
      </c>
      <c r="Q5021">
        <v>3632.16</v>
      </c>
      <c r="R5021">
        <v>581.15</v>
      </c>
      <c r="S5021">
        <v>145.29</v>
      </c>
      <c r="T5021">
        <v>4068.02</v>
      </c>
      <c r="U5021" t="s">
        <v>4717</v>
      </c>
      <c r="V5021" t="s">
        <v>9408</v>
      </c>
      <c r="W5021" t="s">
        <v>423</v>
      </c>
    </row>
    <row r="5022" spans="1:23" hidden="1" x14ac:dyDescent="0.2">
      <c r="A5022">
        <v>2012</v>
      </c>
      <c r="B5022" t="s">
        <v>303</v>
      </c>
      <c r="C5022" s="733">
        <v>40927</v>
      </c>
      <c r="D50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22" t="s">
        <v>478</v>
      </c>
      <c r="F5022" t="s">
        <v>3358</v>
      </c>
      <c r="G5022" t="s">
        <v>4718</v>
      </c>
      <c r="H5022">
        <v>34660</v>
      </c>
      <c r="I5022" t="s">
        <v>423</v>
      </c>
      <c r="J5022" t="s">
        <v>3360</v>
      </c>
      <c r="K5022" t="s">
        <v>483</v>
      </c>
      <c r="L5022" t="s">
        <v>3361</v>
      </c>
      <c r="M5022">
        <v>49</v>
      </c>
      <c r="N5022">
        <v>33.47</v>
      </c>
      <c r="O5022">
        <v>3777.76</v>
      </c>
      <c r="P5022">
        <v>0</v>
      </c>
      <c r="Q5022">
        <v>3777.76</v>
      </c>
      <c r="R5022">
        <v>604.44000000000005</v>
      </c>
      <c r="S5022">
        <v>151.11000000000001</v>
      </c>
      <c r="T5022">
        <v>4231.09</v>
      </c>
      <c r="U5022" t="s">
        <v>3780</v>
      </c>
      <c r="V5022" t="s">
        <v>9408</v>
      </c>
      <c r="W5022" t="s">
        <v>423</v>
      </c>
    </row>
    <row r="5023" spans="1:23" hidden="1" x14ac:dyDescent="0.2">
      <c r="A5023">
        <v>2012</v>
      </c>
      <c r="B5023" t="s">
        <v>305</v>
      </c>
      <c r="C5023" s="733">
        <v>40970</v>
      </c>
      <c r="D5023" s="733" t="str">
        <f>CHOOSE(MONTH(Tabla_sqldatos_bonampakdb_Bon_v_ingresos2012[[#This Row],[fecha_guia]]),"Enero","Febrero","Marzo","Abril","Mayo","Junio","Julio","Agosto","Septiembre","Octubre","Noviembre","Diciembre")</f>
        <v>Marzo</v>
      </c>
      <c r="E5023" t="s">
        <v>485</v>
      </c>
      <c r="F5023" t="s">
        <v>2065</v>
      </c>
      <c r="G5023" t="s">
        <v>9556</v>
      </c>
      <c r="H5023">
        <v>42885</v>
      </c>
      <c r="I5023" t="s">
        <v>423</v>
      </c>
      <c r="J5023" t="s">
        <v>5479</v>
      </c>
      <c r="K5023" t="s">
        <v>2102</v>
      </c>
      <c r="L5023" t="s">
        <v>2115</v>
      </c>
      <c r="M5023">
        <v>979</v>
      </c>
      <c r="N5023">
        <v>25.08</v>
      </c>
      <c r="O5023">
        <v>13446.14</v>
      </c>
      <c r="P5023">
        <v>0</v>
      </c>
      <c r="Q5023">
        <v>13446.14</v>
      </c>
      <c r="R5023">
        <v>2151.38</v>
      </c>
      <c r="S5023">
        <v>537.85</v>
      </c>
      <c r="T5023">
        <v>15059.67</v>
      </c>
      <c r="V5023" t="s">
        <v>9408</v>
      </c>
      <c r="W5023" t="s">
        <v>423</v>
      </c>
    </row>
    <row r="5024" spans="1:23" hidden="1" x14ac:dyDescent="0.2">
      <c r="A5024">
        <v>2012</v>
      </c>
      <c r="B5024" t="s">
        <v>304</v>
      </c>
      <c r="C5024" s="733">
        <v>40949</v>
      </c>
      <c r="D50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24" t="s">
        <v>485</v>
      </c>
      <c r="F5024" t="s">
        <v>2065</v>
      </c>
      <c r="G5024" t="s">
        <v>3247</v>
      </c>
      <c r="H5024">
        <v>41662</v>
      </c>
      <c r="I5024" t="s">
        <v>423</v>
      </c>
      <c r="J5024" t="s">
        <v>2114</v>
      </c>
      <c r="K5024" t="s">
        <v>2102</v>
      </c>
      <c r="L5024" t="s">
        <v>2115</v>
      </c>
      <c r="M5024">
        <v>500</v>
      </c>
      <c r="N5024">
        <v>54.81</v>
      </c>
      <c r="O5024">
        <v>18429.86</v>
      </c>
      <c r="P5024">
        <v>0</v>
      </c>
      <c r="Q5024">
        <v>18429.86</v>
      </c>
      <c r="R5024">
        <v>2948.78</v>
      </c>
      <c r="S5024">
        <v>737.19</v>
      </c>
      <c r="T5024">
        <v>20641.45</v>
      </c>
      <c r="U5024" t="s">
        <v>8051</v>
      </c>
      <c r="V5024" t="s">
        <v>9409</v>
      </c>
      <c r="W5024" t="s">
        <v>423</v>
      </c>
    </row>
    <row r="5025" spans="1:23" hidden="1" x14ac:dyDescent="0.2">
      <c r="A5025">
        <v>2012</v>
      </c>
      <c r="B5025" t="s">
        <v>303</v>
      </c>
      <c r="C5025" s="733">
        <v>40910</v>
      </c>
      <c r="D50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25" t="s">
        <v>485</v>
      </c>
      <c r="F5025" t="s">
        <v>2065</v>
      </c>
      <c r="G5025" t="s">
        <v>3248</v>
      </c>
      <c r="H5025">
        <v>39638</v>
      </c>
      <c r="I5025" t="s">
        <v>423</v>
      </c>
      <c r="J5025" t="s">
        <v>2114</v>
      </c>
      <c r="K5025" t="s">
        <v>2102</v>
      </c>
      <c r="L5025" t="s">
        <v>2115</v>
      </c>
      <c r="M5025">
        <v>500</v>
      </c>
      <c r="N5025">
        <v>54.53</v>
      </c>
      <c r="O5025">
        <v>7719.81</v>
      </c>
      <c r="P5025">
        <v>8691.6568810000008</v>
      </c>
      <c r="Q5025">
        <v>16411.466881</v>
      </c>
      <c r="R5025">
        <v>2625.8347010000002</v>
      </c>
      <c r="S5025">
        <v>656.45867499999997</v>
      </c>
      <c r="T5025">
        <v>18380.842906999998</v>
      </c>
      <c r="U5025" t="s">
        <v>2104</v>
      </c>
      <c r="V5025" t="s">
        <v>9409</v>
      </c>
      <c r="W5025" t="s">
        <v>423</v>
      </c>
    </row>
    <row r="5026" spans="1:23" hidden="1" x14ac:dyDescent="0.2">
      <c r="A5026">
        <v>2012</v>
      </c>
      <c r="B5026" t="s">
        <v>303</v>
      </c>
      <c r="C5026" s="733">
        <v>40934</v>
      </c>
      <c r="D50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26" t="s">
        <v>485</v>
      </c>
      <c r="F5026" t="s">
        <v>2065</v>
      </c>
      <c r="G5026" t="s">
        <v>3262</v>
      </c>
      <c r="H5026">
        <v>40790</v>
      </c>
      <c r="I5026" t="s">
        <v>423</v>
      </c>
      <c r="J5026" t="s">
        <v>2114</v>
      </c>
      <c r="K5026" t="s">
        <v>2102</v>
      </c>
      <c r="L5026" t="s">
        <v>2115</v>
      </c>
      <c r="M5026">
        <v>500</v>
      </c>
      <c r="N5026">
        <v>53.26</v>
      </c>
      <c r="O5026">
        <v>17908.68</v>
      </c>
      <c r="P5026">
        <v>0</v>
      </c>
      <c r="Q5026">
        <v>17908.68</v>
      </c>
      <c r="R5026">
        <v>2865.39</v>
      </c>
      <c r="S5026">
        <v>716.35</v>
      </c>
      <c r="T5026">
        <v>20057.72</v>
      </c>
      <c r="U5026" t="s">
        <v>2110</v>
      </c>
      <c r="V5026" t="s">
        <v>9409</v>
      </c>
      <c r="W5026" t="s">
        <v>423</v>
      </c>
    </row>
    <row r="5027" spans="1:23" hidden="1" x14ac:dyDescent="0.2">
      <c r="A5027">
        <v>2012</v>
      </c>
      <c r="B5027" t="s">
        <v>303</v>
      </c>
      <c r="C5027" s="733">
        <v>40927</v>
      </c>
      <c r="D50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27" t="s">
        <v>478</v>
      </c>
      <c r="F5027" t="s">
        <v>3358</v>
      </c>
      <c r="G5027" t="s">
        <v>4877</v>
      </c>
      <c r="H5027">
        <v>34666</v>
      </c>
      <c r="I5027" t="s">
        <v>423</v>
      </c>
      <c r="J5027" t="s">
        <v>4396</v>
      </c>
      <c r="K5027" t="s">
        <v>4397</v>
      </c>
      <c r="L5027" t="s">
        <v>4398</v>
      </c>
      <c r="M5027">
        <v>112</v>
      </c>
      <c r="N5027">
        <v>29.434999999999999</v>
      </c>
      <c r="O5027">
        <v>3322.33</v>
      </c>
      <c r="P5027">
        <v>0</v>
      </c>
      <c r="Q5027">
        <v>3322.33</v>
      </c>
      <c r="R5027">
        <v>531.57000000000005</v>
      </c>
      <c r="S5027">
        <v>132.88999999999999</v>
      </c>
      <c r="T5027">
        <v>3721.01</v>
      </c>
      <c r="U5027" t="s">
        <v>4404</v>
      </c>
      <c r="V5027" t="s">
        <v>9408</v>
      </c>
      <c r="W5027" t="s">
        <v>423</v>
      </c>
    </row>
    <row r="5028" spans="1:23" hidden="1" x14ac:dyDescent="0.2">
      <c r="A5028">
        <v>2012</v>
      </c>
      <c r="B5028" t="s">
        <v>304</v>
      </c>
      <c r="C5028" s="733">
        <v>40955.411724537036</v>
      </c>
      <c r="D50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28" t="s">
        <v>478</v>
      </c>
      <c r="F5028" t="s">
        <v>3358</v>
      </c>
      <c r="G5028" t="s">
        <v>7575</v>
      </c>
      <c r="H5028">
        <v>35706</v>
      </c>
      <c r="I5028" t="s">
        <v>423</v>
      </c>
      <c r="J5028" t="s">
        <v>4396</v>
      </c>
      <c r="K5028" t="s">
        <v>4397</v>
      </c>
      <c r="L5028" t="s">
        <v>4398</v>
      </c>
      <c r="M5028">
        <v>112</v>
      </c>
      <c r="N5028">
        <v>21.33</v>
      </c>
      <c r="O5028">
        <v>2407.52</v>
      </c>
      <c r="P5028">
        <v>0</v>
      </c>
      <c r="Q5028">
        <v>2407.52</v>
      </c>
      <c r="R5028">
        <v>385.2</v>
      </c>
      <c r="S5028">
        <v>96.3</v>
      </c>
      <c r="T5028">
        <v>2696.42</v>
      </c>
      <c r="U5028" t="s">
        <v>7540</v>
      </c>
      <c r="V5028" t="s">
        <v>9408</v>
      </c>
      <c r="W5028" t="s">
        <v>423</v>
      </c>
    </row>
    <row r="5029" spans="1:23" hidden="1" x14ac:dyDescent="0.2">
      <c r="A5029">
        <v>2012</v>
      </c>
      <c r="B5029" t="s">
        <v>304</v>
      </c>
      <c r="C5029" s="733">
        <v>40967</v>
      </c>
      <c r="D50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29" t="s">
        <v>478</v>
      </c>
      <c r="F5029" t="s">
        <v>3358</v>
      </c>
      <c r="G5029" t="s">
        <v>9236</v>
      </c>
      <c r="H5029">
        <v>36167</v>
      </c>
      <c r="I5029" t="s">
        <v>423</v>
      </c>
      <c r="J5029" t="s">
        <v>4396</v>
      </c>
      <c r="K5029" t="s">
        <v>4397</v>
      </c>
      <c r="L5029" t="s">
        <v>4398</v>
      </c>
      <c r="M5029">
        <v>112</v>
      </c>
      <c r="N5029">
        <v>21.16</v>
      </c>
      <c r="O5029">
        <v>2388.33</v>
      </c>
      <c r="P5029">
        <v>0</v>
      </c>
      <c r="Q5029">
        <v>2388.33</v>
      </c>
      <c r="R5029">
        <v>382.13</v>
      </c>
      <c r="S5029">
        <v>95.53</v>
      </c>
      <c r="T5029">
        <v>2674.93</v>
      </c>
      <c r="U5029" t="s">
        <v>8982</v>
      </c>
      <c r="V5029" t="s">
        <v>9408</v>
      </c>
      <c r="W5029" t="s">
        <v>423</v>
      </c>
    </row>
    <row r="5030" spans="1:23" hidden="1" x14ac:dyDescent="0.2">
      <c r="A5030">
        <v>2012</v>
      </c>
      <c r="B5030" t="s">
        <v>303</v>
      </c>
      <c r="C5030" s="733">
        <v>40933.727187500001</v>
      </c>
      <c r="D50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30" t="s">
        <v>478</v>
      </c>
      <c r="F5030" t="s">
        <v>3358</v>
      </c>
      <c r="G5030" t="s">
        <v>4875</v>
      </c>
      <c r="H5030">
        <v>34949</v>
      </c>
      <c r="I5030" t="s">
        <v>423</v>
      </c>
      <c r="J5030" t="s">
        <v>4396</v>
      </c>
      <c r="K5030" t="s">
        <v>4397</v>
      </c>
      <c r="L5030" t="s">
        <v>4398</v>
      </c>
      <c r="M5030">
        <v>112</v>
      </c>
      <c r="N5030">
        <v>28.01</v>
      </c>
      <c r="O5030">
        <v>3161.49</v>
      </c>
      <c r="P5030">
        <v>0</v>
      </c>
      <c r="Q5030">
        <v>3161.49</v>
      </c>
      <c r="R5030">
        <v>505.84</v>
      </c>
      <c r="S5030">
        <v>126.46</v>
      </c>
      <c r="T5030">
        <v>3540.87</v>
      </c>
      <c r="U5030" t="s">
        <v>4402</v>
      </c>
      <c r="V5030" t="s">
        <v>9408</v>
      </c>
      <c r="W5030" t="s">
        <v>423</v>
      </c>
    </row>
    <row r="5031" spans="1:23" hidden="1" x14ac:dyDescent="0.2">
      <c r="A5031">
        <v>2012</v>
      </c>
      <c r="B5031" t="s">
        <v>304</v>
      </c>
      <c r="C5031" s="733">
        <v>40954</v>
      </c>
      <c r="D50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31" t="s">
        <v>505</v>
      </c>
      <c r="F5031" t="s">
        <v>1915</v>
      </c>
      <c r="G5031" t="s">
        <v>7488</v>
      </c>
      <c r="H5031">
        <v>22690</v>
      </c>
      <c r="I5031" t="s">
        <v>423</v>
      </c>
      <c r="J5031" t="s">
        <v>4153</v>
      </c>
      <c r="K5031" t="s">
        <v>1918</v>
      </c>
      <c r="L5031" t="s">
        <v>1919</v>
      </c>
      <c r="M5031">
        <v>850</v>
      </c>
      <c r="N5031">
        <v>49.66</v>
      </c>
      <c r="O5031">
        <v>31030.55</v>
      </c>
      <c r="P5031">
        <v>0</v>
      </c>
      <c r="Q5031">
        <v>31030.55</v>
      </c>
      <c r="R5031">
        <v>4964.8900000000003</v>
      </c>
      <c r="S5031">
        <v>1241.22</v>
      </c>
      <c r="T5031">
        <v>34754.22</v>
      </c>
      <c r="U5031" t="s">
        <v>7529</v>
      </c>
      <c r="V5031" t="s">
        <v>9409</v>
      </c>
      <c r="W5031" t="s">
        <v>423</v>
      </c>
    </row>
    <row r="5032" spans="1:23" hidden="1" x14ac:dyDescent="0.2">
      <c r="A5032">
        <v>2012</v>
      </c>
      <c r="B5032" t="s">
        <v>304</v>
      </c>
      <c r="C5032" s="733">
        <v>40955</v>
      </c>
      <c r="D50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32" t="s">
        <v>505</v>
      </c>
      <c r="F5032" t="s">
        <v>1915</v>
      </c>
      <c r="G5032" t="s">
        <v>7922</v>
      </c>
      <c r="H5032">
        <v>22739</v>
      </c>
      <c r="I5032" t="s">
        <v>423</v>
      </c>
      <c r="J5032" t="s">
        <v>4153</v>
      </c>
      <c r="K5032" t="s">
        <v>1918</v>
      </c>
      <c r="L5032" t="s">
        <v>1919</v>
      </c>
      <c r="M5032">
        <v>850</v>
      </c>
      <c r="N5032">
        <v>50.14</v>
      </c>
      <c r="O5032">
        <v>31330.48</v>
      </c>
      <c r="P5032">
        <v>0</v>
      </c>
      <c r="Q5032">
        <v>31330.48</v>
      </c>
      <c r="R5032">
        <v>5012.88</v>
      </c>
      <c r="S5032">
        <v>1253.22</v>
      </c>
      <c r="T5032">
        <v>35090.14</v>
      </c>
      <c r="U5032" t="s">
        <v>7529</v>
      </c>
      <c r="V5032" t="s">
        <v>9409</v>
      </c>
      <c r="W5032" t="s">
        <v>423</v>
      </c>
    </row>
    <row r="5033" spans="1:23" hidden="1" x14ac:dyDescent="0.2">
      <c r="A5033">
        <v>2012</v>
      </c>
      <c r="B5033" t="s">
        <v>304</v>
      </c>
      <c r="C5033" s="733">
        <v>40961</v>
      </c>
      <c r="D50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33" t="s">
        <v>505</v>
      </c>
      <c r="F5033" t="s">
        <v>1915</v>
      </c>
      <c r="G5033" t="s">
        <v>8428</v>
      </c>
      <c r="H5033">
        <v>22872</v>
      </c>
      <c r="I5033" t="s">
        <v>423</v>
      </c>
      <c r="J5033" t="s">
        <v>4153</v>
      </c>
      <c r="K5033" t="s">
        <v>1918</v>
      </c>
      <c r="L5033" t="s">
        <v>1919</v>
      </c>
      <c r="M5033">
        <v>850</v>
      </c>
      <c r="N5033">
        <v>50.44</v>
      </c>
      <c r="O5033">
        <v>31517.94</v>
      </c>
      <c r="P5033">
        <v>0</v>
      </c>
      <c r="Q5033">
        <v>31517.94</v>
      </c>
      <c r="R5033">
        <v>5042.87</v>
      </c>
      <c r="S5033">
        <v>1260.72</v>
      </c>
      <c r="T5033">
        <v>35300.089999999997</v>
      </c>
      <c r="U5033" t="s">
        <v>8491</v>
      </c>
      <c r="V5033" t="s">
        <v>9409</v>
      </c>
      <c r="W5033" t="s">
        <v>423</v>
      </c>
    </row>
    <row r="5034" spans="1:23" hidden="1" x14ac:dyDescent="0.2">
      <c r="A5034">
        <v>2012</v>
      </c>
      <c r="B5034" t="s">
        <v>303</v>
      </c>
      <c r="C5034" s="733">
        <v>40918</v>
      </c>
      <c r="D50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34" t="s">
        <v>505</v>
      </c>
      <c r="F5034" t="s">
        <v>1915</v>
      </c>
      <c r="G5034" t="s">
        <v>5438</v>
      </c>
      <c r="H5034">
        <v>21865</v>
      </c>
      <c r="I5034" t="s">
        <v>423</v>
      </c>
      <c r="J5034" t="s">
        <v>4153</v>
      </c>
      <c r="K5034" t="s">
        <v>1918</v>
      </c>
      <c r="L5034" t="s">
        <v>1919</v>
      </c>
      <c r="M5034">
        <v>850</v>
      </c>
      <c r="N5034">
        <v>25.06</v>
      </c>
      <c r="O5034">
        <v>15658.99</v>
      </c>
      <c r="P5034">
        <v>0</v>
      </c>
      <c r="Q5034">
        <v>15658.99</v>
      </c>
      <c r="R5034">
        <v>2505.44</v>
      </c>
      <c r="S5034">
        <v>626.36</v>
      </c>
      <c r="T5034">
        <v>17538.07</v>
      </c>
      <c r="U5034" t="s">
        <v>1931</v>
      </c>
      <c r="V5034" t="s">
        <v>9408</v>
      </c>
      <c r="W5034" t="s">
        <v>423</v>
      </c>
    </row>
    <row r="5035" spans="1:23" hidden="1" x14ac:dyDescent="0.2">
      <c r="A5035">
        <v>2012</v>
      </c>
      <c r="B5035" t="s">
        <v>304</v>
      </c>
      <c r="C5035" s="733">
        <v>40955.41065972222</v>
      </c>
      <c r="D50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35" t="s">
        <v>478</v>
      </c>
      <c r="F5035" t="s">
        <v>3358</v>
      </c>
      <c r="G5035" t="s">
        <v>8003</v>
      </c>
      <c r="H5035">
        <v>35703</v>
      </c>
      <c r="I5035" t="s">
        <v>423</v>
      </c>
      <c r="J5035" t="s">
        <v>4396</v>
      </c>
      <c r="K5035" t="s">
        <v>4397</v>
      </c>
      <c r="L5035" t="s">
        <v>4398</v>
      </c>
      <c r="M5035">
        <v>112</v>
      </c>
      <c r="N5035">
        <v>31.63</v>
      </c>
      <c r="O5035">
        <v>3570.08</v>
      </c>
      <c r="P5035">
        <v>0</v>
      </c>
      <c r="Q5035">
        <v>3570.08</v>
      </c>
      <c r="R5035">
        <v>571.21</v>
      </c>
      <c r="S5035">
        <v>142.80000000000001</v>
      </c>
      <c r="T5035">
        <v>3998.49</v>
      </c>
      <c r="U5035" t="s">
        <v>7540</v>
      </c>
      <c r="V5035" t="s">
        <v>9408</v>
      </c>
      <c r="W5035" t="s">
        <v>423</v>
      </c>
    </row>
    <row r="5036" spans="1:23" hidden="1" x14ac:dyDescent="0.2">
      <c r="A5036">
        <v>2012</v>
      </c>
      <c r="B5036" t="s">
        <v>303</v>
      </c>
      <c r="C5036" s="733">
        <v>40933.728587962964</v>
      </c>
      <c r="D50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36" t="s">
        <v>478</v>
      </c>
      <c r="F5036" t="s">
        <v>3358</v>
      </c>
      <c r="G5036" t="s">
        <v>4876</v>
      </c>
      <c r="H5036">
        <v>34951</v>
      </c>
      <c r="I5036" t="s">
        <v>423</v>
      </c>
      <c r="J5036" t="s">
        <v>4396</v>
      </c>
      <c r="K5036" t="s">
        <v>4397</v>
      </c>
      <c r="L5036" t="s">
        <v>4398</v>
      </c>
      <c r="M5036">
        <v>112</v>
      </c>
      <c r="N5036">
        <v>24.68</v>
      </c>
      <c r="O5036">
        <v>2785.63</v>
      </c>
      <c r="P5036">
        <v>0</v>
      </c>
      <c r="Q5036">
        <v>2785.63</v>
      </c>
      <c r="R5036">
        <v>445.7</v>
      </c>
      <c r="S5036">
        <v>111.43</v>
      </c>
      <c r="T5036">
        <v>3119.9</v>
      </c>
      <c r="U5036" t="s">
        <v>4402</v>
      </c>
      <c r="V5036" t="s">
        <v>9408</v>
      </c>
      <c r="W5036" t="s">
        <v>423</v>
      </c>
    </row>
    <row r="5037" spans="1:23" hidden="1" x14ac:dyDescent="0.2">
      <c r="A5037">
        <v>2012</v>
      </c>
      <c r="B5037" t="s">
        <v>303</v>
      </c>
      <c r="C5037" s="733">
        <v>40927.417511574073</v>
      </c>
      <c r="D50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37" t="s">
        <v>478</v>
      </c>
      <c r="F5037" t="s">
        <v>4128</v>
      </c>
      <c r="G5037" t="s">
        <v>4878</v>
      </c>
      <c r="H5037">
        <v>34717</v>
      </c>
      <c r="I5037" t="s">
        <v>423</v>
      </c>
      <c r="J5037" t="s">
        <v>4396</v>
      </c>
      <c r="K5037" t="s">
        <v>4397</v>
      </c>
      <c r="L5037" t="s">
        <v>4398</v>
      </c>
      <c r="M5037">
        <v>112</v>
      </c>
      <c r="N5037">
        <v>28</v>
      </c>
      <c r="O5037">
        <v>3160.36</v>
      </c>
      <c r="P5037">
        <v>0</v>
      </c>
      <c r="Q5037">
        <v>3160.36</v>
      </c>
      <c r="R5037">
        <v>505.66</v>
      </c>
      <c r="S5037">
        <v>126.41</v>
      </c>
      <c r="T5037">
        <v>3539.61</v>
      </c>
      <c r="U5037" t="s">
        <v>4399</v>
      </c>
      <c r="V5037" t="s">
        <v>9408</v>
      </c>
      <c r="W5037" t="s">
        <v>423</v>
      </c>
    </row>
    <row r="5038" spans="1:23" hidden="1" x14ac:dyDescent="0.2">
      <c r="A5038">
        <v>2012</v>
      </c>
      <c r="B5038" t="s">
        <v>304</v>
      </c>
      <c r="C5038" s="733">
        <v>40962</v>
      </c>
      <c r="D50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38" t="s">
        <v>478</v>
      </c>
      <c r="F5038" t="s">
        <v>4128</v>
      </c>
      <c r="G5038" t="s">
        <v>8606</v>
      </c>
      <c r="H5038">
        <v>35928</v>
      </c>
      <c r="I5038" t="s">
        <v>423</v>
      </c>
      <c r="J5038" t="s">
        <v>4396</v>
      </c>
      <c r="K5038" t="s">
        <v>4397</v>
      </c>
      <c r="L5038" t="s">
        <v>4398</v>
      </c>
      <c r="M5038">
        <v>112</v>
      </c>
      <c r="N5038">
        <v>24.08</v>
      </c>
      <c r="O5038">
        <v>2717.91</v>
      </c>
      <c r="P5038">
        <v>0</v>
      </c>
      <c r="Q5038">
        <v>2717.91</v>
      </c>
      <c r="R5038">
        <v>434.87</v>
      </c>
      <c r="S5038">
        <v>108.72</v>
      </c>
      <c r="T5038">
        <v>3044.06</v>
      </c>
      <c r="U5038" t="s">
        <v>8982</v>
      </c>
      <c r="V5038" t="s">
        <v>9408</v>
      </c>
      <c r="W5038" t="s">
        <v>423</v>
      </c>
    </row>
    <row r="5039" spans="1:23" hidden="1" x14ac:dyDescent="0.2">
      <c r="A5039">
        <v>2012</v>
      </c>
      <c r="B5039" t="s">
        <v>303</v>
      </c>
      <c r="C5039" s="733">
        <v>40924</v>
      </c>
      <c r="D50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39" t="s">
        <v>505</v>
      </c>
      <c r="F5039" t="s">
        <v>1915</v>
      </c>
      <c r="G5039" t="s">
        <v>5440</v>
      </c>
      <c r="H5039">
        <v>21919</v>
      </c>
      <c r="I5039" t="s">
        <v>423</v>
      </c>
      <c r="J5039" t="s">
        <v>4153</v>
      </c>
      <c r="K5039" t="s">
        <v>1918</v>
      </c>
      <c r="L5039" t="s">
        <v>1919</v>
      </c>
      <c r="M5039">
        <v>850</v>
      </c>
      <c r="N5039">
        <v>50.24</v>
      </c>
      <c r="O5039">
        <v>31392.97</v>
      </c>
      <c r="P5039">
        <v>0</v>
      </c>
      <c r="Q5039">
        <v>31392.97</v>
      </c>
      <c r="R5039">
        <v>5022.87</v>
      </c>
      <c r="S5039">
        <v>1255.72</v>
      </c>
      <c r="T5039">
        <v>35160.120000000003</v>
      </c>
      <c r="U5039" t="s">
        <v>1931</v>
      </c>
      <c r="V5039" t="s">
        <v>9409</v>
      </c>
      <c r="W5039" t="s">
        <v>423</v>
      </c>
    </row>
    <row r="5040" spans="1:23" hidden="1" x14ac:dyDescent="0.2">
      <c r="A5040">
        <v>2012</v>
      </c>
      <c r="B5040" t="s">
        <v>304</v>
      </c>
      <c r="C5040" s="733">
        <v>40942</v>
      </c>
      <c r="D50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40" t="s">
        <v>505</v>
      </c>
      <c r="F5040" t="s">
        <v>1915</v>
      </c>
      <c r="G5040" t="s">
        <v>5439</v>
      </c>
      <c r="H5040">
        <v>22400</v>
      </c>
      <c r="I5040" t="s">
        <v>423</v>
      </c>
      <c r="J5040" t="s">
        <v>4153</v>
      </c>
      <c r="K5040" t="s">
        <v>1918</v>
      </c>
      <c r="L5040" t="s">
        <v>1919</v>
      </c>
      <c r="M5040">
        <v>850</v>
      </c>
      <c r="N5040">
        <v>50.07</v>
      </c>
      <c r="O5040">
        <v>31286.74</v>
      </c>
      <c r="P5040">
        <v>0</v>
      </c>
      <c r="Q5040">
        <v>31286.74</v>
      </c>
      <c r="R5040">
        <v>5005.88</v>
      </c>
      <c r="S5040">
        <v>1251.47</v>
      </c>
      <c r="T5040">
        <v>35041.15</v>
      </c>
      <c r="U5040" t="s">
        <v>1924</v>
      </c>
      <c r="V5040" t="s">
        <v>9409</v>
      </c>
      <c r="W5040" t="s">
        <v>423</v>
      </c>
    </row>
    <row r="5041" spans="1:23" hidden="1" x14ac:dyDescent="0.2">
      <c r="A5041">
        <v>2012</v>
      </c>
      <c r="B5041" t="s">
        <v>304</v>
      </c>
      <c r="C5041" s="733">
        <v>40966</v>
      </c>
      <c r="D50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41" t="s">
        <v>478</v>
      </c>
      <c r="F5041" t="s">
        <v>2136</v>
      </c>
      <c r="G5041" t="s">
        <v>9267</v>
      </c>
      <c r="H5041">
        <v>36048</v>
      </c>
      <c r="I5041" t="s">
        <v>423</v>
      </c>
      <c r="J5041" t="s">
        <v>4289</v>
      </c>
      <c r="K5041" t="s">
        <v>425</v>
      </c>
      <c r="L5041" t="s">
        <v>2145</v>
      </c>
      <c r="M5041">
        <v>775</v>
      </c>
      <c r="N5041">
        <v>23.67</v>
      </c>
      <c r="O5041">
        <v>9063.9500000000007</v>
      </c>
      <c r="P5041">
        <v>0</v>
      </c>
      <c r="Q5041">
        <v>9063.9500000000007</v>
      </c>
      <c r="R5041">
        <v>1450.23</v>
      </c>
      <c r="S5041">
        <v>362.56</v>
      </c>
      <c r="T5041">
        <v>10151.620000000001</v>
      </c>
      <c r="U5041" t="s">
        <v>9457</v>
      </c>
      <c r="V5041" t="s">
        <v>9408</v>
      </c>
      <c r="W5041" t="s">
        <v>423</v>
      </c>
    </row>
    <row r="5042" spans="1:23" hidden="1" x14ac:dyDescent="0.2">
      <c r="A5042">
        <v>2012</v>
      </c>
      <c r="B5042" t="s">
        <v>303</v>
      </c>
      <c r="C5042" s="733">
        <v>40938</v>
      </c>
      <c r="D50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42" t="s">
        <v>485</v>
      </c>
      <c r="F5042" t="s">
        <v>2084</v>
      </c>
      <c r="G5042" t="s">
        <v>4713</v>
      </c>
      <c r="H5042">
        <v>39889</v>
      </c>
      <c r="I5042" t="s">
        <v>423</v>
      </c>
      <c r="J5042" t="s">
        <v>3355</v>
      </c>
      <c r="K5042" t="s">
        <v>2814</v>
      </c>
      <c r="L5042" t="s">
        <v>2815</v>
      </c>
      <c r="M5042">
        <v>417</v>
      </c>
      <c r="N5042">
        <v>24.05</v>
      </c>
      <c r="O5042">
        <v>6673.15</v>
      </c>
      <c r="P5042">
        <v>0</v>
      </c>
      <c r="Q5042">
        <v>6673.15</v>
      </c>
      <c r="R5042">
        <v>1067.7</v>
      </c>
      <c r="S5042">
        <v>266.93</v>
      </c>
      <c r="T5042">
        <v>7473.92</v>
      </c>
      <c r="U5042" t="s">
        <v>2826</v>
      </c>
      <c r="V5042" t="s">
        <v>9408</v>
      </c>
      <c r="W5042" t="s">
        <v>423</v>
      </c>
    </row>
    <row r="5043" spans="1:23" hidden="1" x14ac:dyDescent="0.2">
      <c r="A5043">
        <v>2012</v>
      </c>
      <c r="B5043" t="s">
        <v>304</v>
      </c>
      <c r="C5043" s="733">
        <v>40960</v>
      </c>
      <c r="D50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43" t="s">
        <v>485</v>
      </c>
      <c r="F5043" t="s">
        <v>3450</v>
      </c>
      <c r="G5043" t="s">
        <v>8436</v>
      </c>
      <c r="H5043">
        <v>42236</v>
      </c>
      <c r="I5043" t="s">
        <v>423</v>
      </c>
      <c r="J5043" t="s">
        <v>3952</v>
      </c>
      <c r="K5043" t="s">
        <v>3953</v>
      </c>
      <c r="L5043" t="s">
        <v>3454</v>
      </c>
      <c r="M5043">
        <v>54</v>
      </c>
      <c r="N5043">
        <v>25.54</v>
      </c>
      <c r="O5043">
        <v>2882.7</v>
      </c>
      <c r="P5043">
        <v>0</v>
      </c>
      <c r="Q5043">
        <v>2882.7</v>
      </c>
      <c r="R5043">
        <v>461.23</v>
      </c>
      <c r="S5043">
        <v>115.31</v>
      </c>
      <c r="T5043">
        <v>3228.62</v>
      </c>
      <c r="U5043" t="s">
        <v>8991</v>
      </c>
      <c r="V5043" t="s">
        <v>9408</v>
      </c>
      <c r="W5043" t="s">
        <v>423</v>
      </c>
    </row>
    <row r="5044" spans="1:23" hidden="1" x14ac:dyDescent="0.2">
      <c r="A5044">
        <v>2012</v>
      </c>
      <c r="B5044" t="s">
        <v>303</v>
      </c>
      <c r="C5044" s="733">
        <v>40927</v>
      </c>
      <c r="D50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44" t="s">
        <v>485</v>
      </c>
      <c r="F5044" t="s">
        <v>2065</v>
      </c>
      <c r="G5044" t="s">
        <v>4945</v>
      </c>
      <c r="H5044">
        <v>40540</v>
      </c>
      <c r="I5044" t="s">
        <v>423</v>
      </c>
      <c r="J5044" t="s">
        <v>4533</v>
      </c>
      <c r="K5044" t="s">
        <v>2183</v>
      </c>
      <c r="L5044" t="s">
        <v>2184</v>
      </c>
      <c r="M5044">
        <v>253</v>
      </c>
      <c r="N5044">
        <v>24.7</v>
      </c>
      <c r="O5044">
        <v>5188.4799999999996</v>
      </c>
      <c r="P5044">
        <v>0</v>
      </c>
      <c r="Q5044">
        <v>5188.4799999999996</v>
      </c>
      <c r="R5044">
        <v>830.16</v>
      </c>
      <c r="S5044">
        <v>207.54</v>
      </c>
      <c r="T5044">
        <v>5811.1</v>
      </c>
      <c r="U5044" t="s">
        <v>7554</v>
      </c>
      <c r="V5044" t="s">
        <v>9408</v>
      </c>
      <c r="W5044" t="s">
        <v>423</v>
      </c>
    </row>
    <row r="5045" spans="1:23" hidden="1" x14ac:dyDescent="0.2">
      <c r="A5045">
        <v>2012</v>
      </c>
      <c r="B5045" t="s">
        <v>305</v>
      </c>
      <c r="C5045" s="733">
        <v>40970</v>
      </c>
      <c r="D5045" s="733" t="str">
        <f>CHOOSE(MONTH(Tabla_sqldatos_bonampakdb_Bon_v_ingresos2012[[#This Row],[fecha_guia]]),"Enero","Febrero","Marzo","Abril","Mayo","Junio","Julio","Agosto","Septiembre","Octubre","Noviembre","Diciembre")</f>
        <v>Marzo</v>
      </c>
      <c r="E5045" t="s">
        <v>485</v>
      </c>
      <c r="F5045" t="s">
        <v>2065</v>
      </c>
      <c r="G5045" t="s">
        <v>9596</v>
      </c>
      <c r="H5045">
        <v>42897</v>
      </c>
      <c r="I5045" t="s">
        <v>423</v>
      </c>
      <c r="J5045" t="s">
        <v>4533</v>
      </c>
      <c r="K5045" t="s">
        <v>2183</v>
      </c>
      <c r="L5045" t="s">
        <v>2184</v>
      </c>
      <c r="M5045">
        <v>253</v>
      </c>
      <c r="N5045">
        <v>48.72</v>
      </c>
      <c r="O5045">
        <v>10234.120000000001</v>
      </c>
      <c r="P5045">
        <v>0</v>
      </c>
      <c r="Q5045">
        <v>10234.120000000001</v>
      </c>
      <c r="R5045">
        <v>1637.46</v>
      </c>
      <c r="S5045">
        <v>409.36</v>
      </c>
      <c r="T5045">
        <v>11462.22</v>
      </c>
      <c r="V5045" t="s">
        <v>9409</v>
      </c>
      <c r="W5045" t="s">
        <v>423</v>
      </c>
    </row>
    <row r="5046" spans="1:23" hidden="1" x14ac:dyDescent="0.2">
      <c r="A5046">
        <v>2012</v>
      </c>
      <c r="B5046" t="s">
        <v>304</v>
      </c>
      <c r="C5046" s="733">
        <v>40967</v>
      </c>
      <c r="D50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46" t="s">
        <v>478</v>
      </c>
      <c r="F5046" t="s">
        <v>4128</v>
      </c>
      <c r="G5046" t="s">
        <v>9266</v>
      </c>
      <c r="H5046">
        <v>36174</v>
      </c>
      <c r="I5046" t="s">
        <v>423</v>
      </c>
      <c r="J5046" t="s">
        <v>4396</v>
      </c>
      <c r="K5046" t="s">
        <v>4397</v>
      </c>
      <c r="L5046" t="s">
        <v>4398</v>
      </c>
      <c r="M5046">
        <v>112</v>
      </c>
      <c r="N5046">
        <v>25.51</v>
      </c>
      <c r="O5046">
        <v>2879.31</v>
      </c>
      <c r="P5046">
        <v>0</v>
      </c>
      <c r="Q5046">
        <v>2879.31</v>
      </c>
      <c r="R5046">
        <v>460.69</v>
      </c>
      <c r="S5046">
        <v>115.17</v>
      </c>
      <c r="T5046">
        <v>3224.83</v>
      </c>
      <c r="U5046" t="s">
        <v>8982</v>
      </c>
      <c r="V5046" t="s">
        <v>9408</v>
      </c>
      <c r="W5046" t="s">
        <v>423</v>
      </c>
    </row>
    <row r="5047" spans="1:23" hidden="1" x14ac:dyDescent="0.2">
      <c r="A5047">
        <v>2012</v>
      </c>
      <c r="B5047" t="s">
        <v>304</v>
      </c>
      <c r="C5047" s="733">
        <v>40946.462939814817</v>
      </c>
      <c r="D50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47" t="s">
        <v>478</v>
      </c>
      <c r="F5047" t="s">
        <v>2136</v>
      </c>
      <c r="G5047" t="s">
        <v>4879</v>
      </c>
      <c r="H5047">
        <v>35353</v>
      </c>
      <c r="I5047" t="s">
        <v>423</v>
      </c>
      <c r="J5047" t="s">
        <v>4396</v>
      </c>
      <c r="K5047" t="s">
        <v>4397</v>
      </c>
      <c r="L5047" t="s">
        <v>4398</v>
      </c>
      <c r="M5047">
        <v>112</v>
      </c>
      <c r="N5047">
        <v>31.42</v>
      </c>
      <c r="O5047">
        <v>3546.38</v>
      </c>
      <c r="P5047">
        <v>0</v>
      </c>
      <c r="Q5047">
        <v>3546.38</v>
      </c>
      <c r="R5047">
        <v>567.41999999999996</v>
      </c>
      <c r="S5047">
        <v>141.86000000000001</v>
      </c>
      <c r="T5047">
        <v>3971.94</v>
      </c>
      <c r="U5047" t="s">
        <v>4503</v>
      </c>
      <c r="V5047" t="s">
        <v>9408</v>
      </c>
      <c r="W5047" t="s">
        <v>423</v>
      </c>
    </row>
    <row r="5048" spans="1:23" hidden="1" x14ac:dyDescent="0.2">
      <c r="A5048">
        <v>2012</v>
      </c>
      <c r="B5048" t="s">
        <v>304</v>
      </c>
      <c r="C5048" s="733">
        <v>40967</v>
      </c>
      <c r="D50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48" t="s">
        <v>505</v>
      </c>
      <c r="F5048" t="s">
        <v>1915</v>
      </c>
      <c r="G5048" t="s">
        <v>9268</v>
      </c>
      <c r="H5048">
        <v>23040</v>
      </c>
      <c r="I5048" t="s">
        <v>423</v>
      </c>
      <c r="J5048" t="s">
        <v>4153</v>
      </c>
      <c r="K5048" t="s">
        <v>1918</v>
      </c>
      <c r="L5048" t="s">
        <v>1919</v>
      </c>
      <c r="M5048">
        <v>850</v>
      </c>
      <c r="N5048">
        <v>50.04</v>
      </c>
      <c r="O5048">
        <v>31267.99</v>
      </c>
      <c r="P5048">
        <v>0</v>
      </c>
      <c r="Q5048">
        <v>31267.99</v>
      </c>
      <c r="R5048">
        <v>5002.88</v>
      </c>
      <c r="S5048">
        <v>1250.72</v>
      </c>
      <c r="T5048">
        <v>35020.15</v>
      </c>
      <c r="V5048" t="s">
        <v>9409</v>
      </c>
      <c r="W5048" t="s">
        <v>423</v>
      </c>
    </row>
    <row r="5049" spans="1:23" hidden="1" x14ac:dyDescent="0.2">
      <c r="A5049">
        <v>2012</v>
      </c>
      <c r="B5049" t="s">
        <v>303</v>
      </c>
      <c r="C5049" s="733">
        <v>40939</v>
      </c>
      <c r="D50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49" t="s">
        <v>505</v>
      </c>
      <c r="F5049" t="s">
        <v>1915</v>
      </c>
      <c r="G5049" t="s">
        <v>5443</v>
      </c>
      <c r="H5049">
        <v>21679</v>
      </c>
      <c r="I5049" t="s">
        <v>423</v>
      </c>
      <c r="J5049" t="s">
        <v>4153</v>
      </c>
      <c r="K5049" t="s">
        <v>1918</v>
      </c>
      <c r="L5049" t="s">
        <v>1919</v>
      </c>
      <c r="M5049">
        <v>850</v>
      </c>
      <c r="N5049">
        <v>25.07</v>
      </c>
      <c r="O5049">
        <v>6595.4</v>
      </c>
      <c r="P5049">
        <v>7425.6949059999997</v>
      </c>
      <c r="Q5049">
        <v>14021.094906</v>
      </c>
      <c r="R5049">
        <v>2243.3751849999999</v>
      </c>
      <c r="S5049">
        <v>560.843796</v>
      </c>
      <c r="T5049">
        <v>15703.626295</v>
      </c>
      <c r="U5049" t="s">
        <v>1936</v>
      </c>
      <c r="V5049" t="s">
        <v>9408</v>
      </c>
      <c r="W5049" t="s">
        <v>423</v>
      </c>
    </row>
    <row r="5050" spans="1:23" hidden="1" x14ac:dyDescent="0.2">
      <c r="A5050">
        <v>2012</v>
      </c>
      <c r="B5050" t="s">
        <v>304</v>
      </c>
      <c r="C5050" s="733">
        <v>40949</v>
      </c>
      <c r="D50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50" t="s">
        <v>485</v>
      </c>
      <c r="F5050" t="s">
        <v>2065</v>
      </c>
      <c r="G5050" t="s">
        <v>3261</v>
      </c>
      <c r="H5050">
        <v>41591</v>
      </c>
      <c r="I5050" t="s">
        <v>423</v>
      </c>
      <c r="J5050" t="s">
        <v>2139</v>
      </c>
      <c r="K5050" t="s">
        <v>2102</v>
      </c>
      <c r="L5050" t="s">
        <v>2115</v>
      </c>
      <c r="M5050">
        <v>543</v>
      </c>
      <c r="N5050">
        <v>52.04</v>
      </c>
      <c r="O5050">
        <v>17498.45</v>
      </c>
      <c r="P5050">
        <v>0</v>
      </c>
      <c r="Q5050">
        <v>17498.45</v>
      </c>
      <c r="R5050">
        <v>2799.75</v>
      </c>
      <c r="S5050">
        <v>699.94</v>
      </c>
      <c r="T5050">
        <v>19598.259999999998</v>
      </c>
      <c r="U5050" t="s">
        <v>8051</v>
      </c>
      <c r="V5050" t="s">
        <v>9409</v>
      </c>
      <c r="W5050" t="s">
        <v>423</v>
      </c>
    </row>
    <row r="5051" spans="1:23" hidden="1" x14ac:dyDescent="0.2">
      <c r="A5051">
        <v>2012</v>
      </c>
      <c r="B5051" t="s">
        <v>304</v>
      </c>
      <c r="C5051" s="733">
        <v>40942</v>
      </c>
      <c r="D50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51" t="s">
        <v>485</v>
      </c>
      <c r="F5051" t="s">
        <v>2065</v>
      </c>
      <c r="G5051" t="s">
        <v>3945</v>
      </c>
      <c r="H5051">
        <v>40090</v>
      </c>
      <c r="I5051" t="s">
        <v>423</v>
      </c>
      <c r="J5051" t="s">
        <v>2196</v>
      </c>
      <c r="K5051" t="s">
        <v>2183</v>
      </c>
      <c r="L5051" t="s">
        <v>2184</v>
      </c>
      <c r="M5051">
        <v>10</v>
      </c>
      <c r="N5051">
        <v>50.96</v>
      </c>
      <c r="O5051">
        <v>5751.86</v>
      </c>
      <c r="P5051">
        <v>0</v>
      </c>
      <c r="Q5051">
        <v>5751.86</v>
      </c>
      <c r="R5051">
        <v>920.3</v>
      </c>
      <c r="S5051">
        <v>230.07</v>
      </c>
      <c r="T5051">
        <v>6442.09</v>
      </c>
      <c r="U5051" t="s">
        <v>2192</v>
      </c>
      <c r="V5051" t="s">
        <v>9409</v>
      </c>
      <c r="W5051" t="s">
        <v>423</v>
      </c>
    </row>
    <row r="5052" spans="1:23" hidden="1" x14ac:dyDescent="0.2">
      <c r="A5052">
        <v>2012</v>
      </c>
      <c r="B5052" t="s">
        <v>303</v>
      </c>
      <c r="C5052" s="733">
        <v>40926</v>
      </c>
      <c r="D50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52" t="s">
        <v>485</v>
      </c>
      <c r="F5052" t="s">
        <v>2065</v>
      </c>
      <c r="G5052" t="s">
        <v>3257</v>
      </c>
      <c r="H5052">
        <v>39783</v>
      </c>
      <c r="I5052" t="s">
        <v>423</v>
      </c>
      <c r="J5052" t="s">
        <v>2139</v>
      </c>
      <c r="K5052" t="s">
        <v>2102</v>
      </c>
      <c r="L5052" t="s">
        <v>2115</v>
      </c>
      <c r="M5052">
        <v>543</v>
      </c>
      <c r="N5052">
        <v>53.4</v>
      </c>
      <c r="O5052">
        <v>17955.75</v>
      </c>
      <c r="P5052">
        <v>0</v>
      </c>
      <c r="Q5052">
        <v>17955.75</v>
      </c>
      <c r="R5052">
        <v>2872.92</v>
      </c>
      <c r="S5052">
        <v>718.23</v>
      </c>
      <c r="T5052">
        <v>20110.439999999999</v>
      </c>
      <c r="U5052" t="s">
        <v>2106</v>
      </c>
      <c r="V5052" t="s">
        <v>9409</v>
      </c>
      <c r="W5052" t="s">
        <v>423</v>
      </c>
    </row>
    <row r="5053" spans="1:23" hidden="1" x14ac:dyDescent="0.2">
      <c r="A5053">
        <v>2012</v>
      </c>
      <c r="B5053" t="s">
        <v>304</v>
      </c>
      <c r="C5053" s="733">
        <v>40948.503912037035</v>
      </c>
      <c r="D50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53" t="s">
        <v>478</v>
      </c>
      <c r="F5053" t="s">
        <v>2136</v>
      </c>
      <c r="G5053" t="s">
        <v>5419</v>
      </c>
      <c r="H5053">
        <v>35475</v>
      </c>
      <c r="I5053" t="s">
        <v>423</v>
      </c>
      <c r="J5053" t="s">
        <v>4285</v>
      </c>
      <c r="K5053" t="s">
        <v>425</v>
      </c>
      <c r="L5053" t="s">
        <v>2145</v>
      </c>
      <c r="M5053">
        <v>110</v>
      </c>
      <c r="N5053">
        <v>25.77</v>
      </c>
      <c r="O5053">
        <v>4194.07</v>
      </c>
      <c r="P5053">
        <v>0</v>
      </c>
      <c r="Q5053">
        <v>4194.07</v>
      </c>
      <c r="R5053">
        <v>671.05</v>
      </c>
      <c r="S5053">
        <v>167.76</v>
      </c>
      <c r="T5053">
        <v>4697.3599999999997</v>
      </c>
      <c r="U5053" t="s">
        <v>2938</v>
      </c>
      <c r="V5053" t="s">
        <v>9408</v>
      </c>
      <c r="W5053" t="s">
        <v>423</v>
      </c>
    </row>
    <row r="5054" spans="1:23" hidden="1" x14ac:dyDescent="0.2">
      <c r="A5054">
        <v>2012</v>
      </c>
      <c r="B5054" t="s">
        <v>305</v>
      </c>
      <c r="C5054" s="733">
        <v>40969</v>
      </c>
      <c r="D5054" s="733" t="str">
        <f>CHOOSE(MONTH(Tabla_sqldatos_bonampakdb_Bon_v_ingresos2012[[#This Row],[fecha_guia]]),"Enero","Febrero","Marzo","Abril","Mayo","Junio","Julio","Agosto","Septiembre","Octubre","Noviembre","Diciembre")</f>
        <v>Marzo</v>
      </c>
      <c r="E5054" t="s">
        <v>485</v>
      </c>
      <c r="F5054" t="s">
        <v>2065</v>
      </c>
      <c r="G5054" t="s">
        <v>9611</v>
      </c>
      <c r="H5054">
        <v>42827</v>
      </c>
      <c r="I5054" t="s">
        <v>423</v>
      </c>
      <c r="J5054" t="s">
        <v>2196</v>
      </c>
      <c r="K5054" t="s">
        <v>2183</v>
      </c>
      <c r="L5054" t="s">
        <v>2184</v>
      </c>
      <c r="M5054">
        <v>10</v>
      </c>
      <c r="N5054">
        <v>52.23</v>
      </c>
      <c r="O5054">
        <v>5895.2</v>
      </c>
      <c r="P5054">
        <v>0</v>
      </c>
      <c r="Q5054">
        <v>5895.2</v>
      </c>
      <c r="R5054">
        <v>943.23</v>
      </c>
      <c r="S5054">
        <v>235.81</v>
      </c>
      <c r="T5054">
        <v>6602.62</v>
      </c>
      <c r="V5054" t="s">
        <v>9409</v>
      </c>
      <c r="W5054" t="s">
        <v>423</v>
      </c>
    </row>
    <row r="5055" spans="1:23" hidden="1" x14ac:dyDescent="0.2">
      <c r="A5055">
        <v>2012</v>
      </c>
      <c r="B5055" t="s">
        <v>303</v>
      </c>
      <c r="C5055" s="733">
        <v>40938.547476851854</v>
      </c>
      <c r="D50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55" t="s">
        <v>485</v>
      </c>
      <c r="F5055" t="s">
        <v>2065</v>
      </c>
      <c r="G5055" t="s">
        <v>3933</v>
      </c>
      <c r="H5055">
        <v>41099</v>
      </c>
      <c r="I5055" t="s">
        <v>423</v>
      </c>
      <c r="J5055" t="s">
        <v>2196</v>
      </c>
      <c r="K5055" t="s">
        <v>2183</v>
      </c>
      <c r="L5055" t="s">
        <v>2184</v>
      </c>
      <c r="M5055">
        <v>10</v>
      </c>
      <c r="N5055">
        <v>24.93</v>
      </c>
      <c r="O5055">
        <v>2813.85</v>
      </c>
      <c r="P5055">
        <v>0</v>
      </c>
      <c r="Q5055">
        <v>2813.85</v>
      </c>
      <c r="R5055">
        <v>450.22</v>
      </c>
      <c r="S5055">
        <v>112.55</v>
      </c>
      <c r="T5055">
        <v>3151.52</v>
      </c>
      <c r="U5055" t="s">
        <v>2187</v>
      </c>
      <c r="V5055" t="s">
        <v>9408</v>
      </c>
      <c r="W5055" t="s">
        <v>423</v>
      </c>
    </row>
    <row r="5056" spans="1:23" hidden="1" x14ac:dyDescent="0.2">
      <c r="A5056">
        <v>2012</v>
      </c>
      <c r="B5056" t="s">
        <v>304</v>
      </c>
      <c r="C5056" s="733">
        <v>40940</v>
      </c>
      <c r="D50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56" t="s">
        <v>485</v>
      </c>
      <c r="F5056" t="s">
        <v>2065</v>
      </c>
      <c r="G5056" t="s">
        <v>4351</v>
      </c>
      <c r="H5056">
        <v>41159</v>
      </c>
      <c r="I5056" t="s">
        <v>423</v>
      </c>
      <c r="J5056" t="s">
        <v>2196</v>
      </c>
      <c r="K5056" t="s">
        <v>2183</v>
      </c>
      <c r="L5056" t="s">
        <v>2184</v>
      </c>
      <c r="M5056">
        <v>10</v>
      </c>
      <c r="N5056">
        <v>48.66</v>
      </c>
      <c r="O5056">
        <v>5492.25</v>
      </c>
      <c r="P5056">
        <v>0</v>
      </c>
      <c r="Q5056">
        <v>5492.25</v>
      </c>
      <c r="R5056">
        <v>878.76</v>
      </c>
      <c r="S5056">
        <v>219.69</v>
      </c>
      <c r="T5056">
        <v>6151.32</v>
      </c>
      <c r="U5056" t="s">
        <v>9411</v>
      </c>
      <c r="V5056" t="s">
        <v>9409</v>
      </c>
      <c r="W5056" t="s">
        <v>423</v>
      </c>
    </row>
    <row r="5057" spans="1:23" hidden="1" x14ac:dyDescent="0.2">
      <c r="A5057">
        <v>2012</v>
      </c>
      <c r="B5057" t="s">
        <v>303</v>
      </c>
      <c r="C5057" s="733">
        <v>40931</v>
      </c>
      <c r="D50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57" t="s">
        <v>485</v>
      </c>
      <c r="F5057" t="s">
        <v>2065</v>
      </c>
      <c r="G5057" t="s">
        <v>3941</v>
      </c>
      <c r="H5057">
        <v>40688</v>
      </c>
      <c r="I5057" t="s">
        <v>423</v>
      </c>
      <c r="J5057" t="s">
        <v>2196</v>
      </c>
      <c r="K5057" t="s">
        <v>2183</v>
      </c>
      <c r="L5057" t="s">
        <v>2184</v>
      </c>
      <c r="M5057">
        <v>10</v>
      </c>
      <c r="N5057">
        <v>49.74</v>
      </c>
      <c r="O5057">
        <v>5614.15</v>
      </c>
      <c r="P5057">
        <v>0</v>
      </c>
      <c r="Q5057">
        <v>5614.15</v>
      </c>
      <c r="R5057">
        <v>898.26</v>
      </c>
      <c r="S5057">
        <v>224.57</v>
      </c>
      <c r="T5057">
        <v>6287.84</v>
      </c>
      <c r="U5057" t="s">
        <v>2187</v>
      </c>
      <c r="V5057" t="s">
        <v>9409</v>
      </c>
      <c r="W5057" t="s">
        <v>423</v>
      </c>
    </row>
    <row r="5058" spans="1:23" hidden="1" x14ac:dyDescent="0.2">
      <c r="A5058">
        <v>2012</v>
      </c>
      <c r="B5058" t="s">
        <v>304</v>
      </c>
      <c r="C5058" s="733">
        <v>40959</v>
      </c>
      <c r="D50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58" t="s">
        <v>485</v>
      </c>
      <c r="F5058" t="s">
        <v>2065</v>
      </c>
      <c r="G5058" t="s">
        <v>7572</v>
      </c>
      <c r="H5058">
        <v>42133</v>
      </c>
      <c r="I5058" t="s">
        <v>423</v>
      </c>
      <c r="J5058" t="s">
        <v>2196</v>
      </c>
      <c r="K5058" t="s">
        <v>2183</v>
      </c>
      <c r="L5058" t="s">
        <v>2184</v>
      </c>
      <c r="M5058">
        <v>10</v>
      </c>
      <c r="N5058">
        <v>23.25</v>
      </c>
      <c r="O5058">
        <v>2624.23</v>
      </c>
      <c r="P5058">
        <v>0</v>
      </c>
      <c r="Q5058">
        <v>2624.23</v>
      </c>
      <c r="R5058">
        <v>419.88</v>
      </c>
      <c r="S5058">
        <v>104.97</v>
      </c>
      <c r="T5058">
        <v>2939.14</v>
      </c>
      <c r="U5058" t="s">
        <v>9411</v>
      </c>
      <c r="V5058" t="s">
        <v>9408</v>
      </c>
      <c r="W5058" t="s">
        <v>423</v>
      </c>
    </row>
    <row r="5059" spans="1:23" hidden="1" x14ac:dyDescent="0.2">
      <c r="A5059">
        <v>2012</v>
      </c>
      <c r="B5059" t="s">
        <v>303</v>
      </c>
      <c r="C5059" s="733">
        <v>40933</v>
      </c>
      <c r="D50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59" t="s">
        <v>485</v>
      </c>
      <c r="F5059" t="s">
        <v>2065</v>
      </c>
      <c r="G5059" t="s">
        <v>3935</v>
      </c>
      <c r="H5059">
        <v>40846</v>
      </c>
      <c r="I5059" t="s">
        <v>423</v>
      </c>
      <c r="J5059" t="s">
        <v>2196</v>
      </c>
      <c r="K5059" t="s">
        <v>2183</v>
      </c>
      <c r="L5059" t="s">
        <v>2184</v>
      </c>
      <c r="M5059">
        <v>10</v>
      </c>
      <c r="N5059">
        <v>16.46</v>
      </c>
      <c r="O5059">
        <v>1857.84</v>
      </c>
      <c r="P5059">
        <v>0</v>
      </c>
      <c r="Q5059">
        <v>1857.84</v>
      </c>
      <c r="R5059">
        <v>297.25</v>
      </c>
      <c r="S5059">
        <v>74.31</v>
      </c>
      <c r="T5059">
        <v>2080.7800000000002</v>
      </c>
      <c r="U5059" t="s">
        <v>2187</v>
      </c>
      <c r="V5059" t="s">
        <v>9408</v>
      </c>
      <c r="W5059" t="s">
        <v>423</v>
      </c>
    </row>
    <row r="5060" spans="1:23" hidden="1" x14ac:dyDescent="0.2">
      <c r="A5060">
        <v>2012</v>
      </c>
      <c r="B5060" t="s">
        <v>303</v>
      </c>
      <c r="C5060" s="733">
        <v>40921</v>
      </c>
      <c r="D50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60" t="s">
        <v>478</v>
      </c>
      <c r="F5060" t="s">
        <v>2136</v>
      </c>
      <c r="G5060" t="s">
        <v>3260</v>
      </c>
      <c r="H5060">
        <v>34483</v>
      </c>
      <c r="I5060" t="s">
        <v>423</v>
      </c>
      <c r="J5060" t="s">
        <v>2148</v>
      </c>
      <c r="K5060" t="s">
        <v>425</v>
      </c>
      <c r="L5060" t="s">
        <v>2145</v>
      </c>
      <c r="M5060">
        <v>205</v>
      </c>
      <c r="N5060">
        <v>26.15</v>
      </c>
      <c r="O5060">
        <v>5187.38</v>
      </c>
      <c r="P5060">
        <v>0</v>
      </c>
      <c r="Q5060">
        <v>5187.38</v>
      </c>
      <c r="R5060">
        <v>829.98</v>
      </c>
      <c r="S5060">
        <v>207.5</v>
      </c>
      <c r="T5060">
        <v>5809.86</v>
      </c>
      <c r="U5060" t="s">
        <v>2927</v>
      </c>
      <c r="V5060" t="s">
        <v>9408</v>
      </c>
      <c r="W5060" t="s">
        <v>423</v>
      </c>
    </row>
    <row r="5061" spans="1:23" x14ac:dyDescent="0.2">
      <c r="A5061">
        <v>2012</v>
      </c>
      <c r="B5061" t="s">
        <v>304</v>
      </c>
      <c r="C5061" s="733">
        <v>40967</v>
      </c>
      <c r="D50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61" t="s">
        <v>485</v>
      </c>
      <c r="F5061" t="s">
        <v>2065</v>
      </c>
      <c r="G5061" t="s">
        <v>9334</v>
      </c>
      <c r="H5061">
        <v>42661</v>
      </c>
      <c r="I5061" t="s">
        <v>423</v>
      </c>
      <c r="J5061" t="s">
        <v>2139</v>
      </c>
      <c r="K5061" t="s">
        <v>2102</v>
      </c>
      <c r="L5061" t="s">
        <v>2115</v>
      </c>
      <c r="M5061">
        <v>543</v>
      </c>
      <c r="N5061">
        <v>52.71</v>
      </c>
      <c r="O5061">
        <v>17723.740000000002</v>
      </c>
      <c r="P5061">
        <v>0</v>
      </c>
      <c r="Q5061">
        <v>17723.740000000002</v>
      </c>
      <c r="R5061">
        <v>2835.8</v>
      </c>
      <c r="S5061">
        <v>708.95</v>
      </c>
      <c r="T5061">
        <v>19850.59</v>
      </c>
      <c r="V5061" t="s">
        <v>9409</v>
      </c>
      <c r="W5061" t="s">
        <v>423</v>
      </c>
    </row>
    <row r="5062" spans="1:23" x14ac:dyDescent="0.2">
      <c r="A5062">
        <v>2012</v>
      </c>
      <c r="B5062" t="s">
        <v>304</v>
      </c>
      <c r="C5062" s="733">
        <v>40967</v>
      </c>
      <c r="D50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62" t="s">
        <v>485</v>
      </c>
      <c r="F5062" t="s">
        <v>2065</v>
      </c>
      <c r="G5062" t="s">
        <v>8926</v>
      </c>
      <c r="H5062">
        <v>42050</v>
      </c>
      <c r="I5062" t="s">
        <v>423</v>
      </c>
      <c r="J5062" t="s">
        <v>2813</v>
      </c>
      <c r="K5062" t="s">
        <v>2814</v>
      </c>
      <c r="L5062" t="s">
        <v>2815</v>
      </c>
      <c r="M5062">
        <v>365</v>
      </c>
      <c r="N5062">
        <v>26.053999999999998</v>
      </c>
      <c r="O5062">
        <v>7013.22</v>
      </c>
      <c r="P5062">
        <v>0</v>
      </c>
      <c r="Q5062">
        <v>7013.22</v>
      </c>
      <c r="R5062">
        <v>771.45</v>
      </c>
      <c r="S5062">
        <v>280.52999999999997</v>
      </c>
      <c r="T5062">
        <v>7504.14</v>
      </c>
      <c r="U5062" t="s">
        <v>8877</v>
      </c>
      <c r="V5062" t="s">
        <v>9408</v>
      </c>
      <c r="W5062" t="s">
        <v>423</v>
      </c>
    </row>
    <row r="5063" spans="1:23" hidden="1" x14ac:dyDescent="0.2">
      <c r="A5063">
        <v>2012</v>
      </c>
      <c r="B5063" t="s">
        <v>304</v>
      </c>
      <c r="C5063" s="733">
        <v>40946</v>
      </c>
      <c r="D50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63" t="s">
        <v>478</v>
      </c>
      <c r="F5063" t="s">
        <v>2136</v>
      </c>
      <c r="G5063" t="s">
        <v>5518</v>
      </c>
      <c r="H5063">
        <v>35347</v>
      </c>
      <c r="I5063" t="s">
        <v>423</v>
      </c>
      <c r="J5063" t="s">
        <v>5249</v>
      </c>
      <c r="K5063" t="s">
        <v>425</v>
      </c>
      <c r="L5063" t="s">
        <v>2145</v>
      </c>
      <c r="M5063">
        <v>134</v>
      </c>
      <c r="N5063">
        <v>26</v>
      </c>
      <c r="O5063">
        <v>4731.74</v>
      </c>
      <c r="P5063">
        <v>0</v>
      </c>
      <c r="Q5063">
        <v>4731.74</v>
      </c>
      <c r="R5063">
        <v>757.08</v>
      </c>
      <c r="S5063">
        <v>189.27</v>
      </c>
      <c r="T5063">
        <v>5299.55</v>
      </c>
      <c r="U5063" t="s">
        <v>3115</v>
      </c>
      <c r="V5063" t="s">
        <v>9408</v>
      </c>
      <c r="W5063" t="s">
        <v>423</v>
      </c>
    </row>
    <row r="5064" spans="1:23" hidden="1" x14ac:dyDescent="0.2">
      <c r="A5064">
        <v>2012</v>
      </c>
      <c r="B5064" t="s">
        <v>304</v>
      </c>
      <c r="C5064" s="733">
        <v>40947.404074074075</v>
      </c>
      <c r="D50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64" t="s">
        <v>478</v>
      </c>
      <c r="F5064" t="s">
        <v>2136</v>
      </c>
      <c r="G5064" t="s">
        <v>3235</v>
      </c>
      <c r="H5064">
        <v>35435</v>
      </c>
      <c r="I5064" t="s">
        <v>423</v>
      </c>
      <c r="J5064" t="s">
        <v>3029</v>
      </c>
      <c r="K5064" t="s">
        <v>425</v>
      </c>
      <c r="L5064" t="s">
        <v>2145</v>
      </c>
      <c r="M5064">
        <v>35</v>
      </c>
      <c r="N5064">
        <v>33.159999999999997</v>
      </c>
      <c r="O5064">
        <v>4451.7299999999996</v>
      </c>
      <c r="P5064">
        <v>0</v>
      </c>
      <c r="Q5064">
        <v>4451.7299999999996</v>
      </c>
      <c r="R5064">
        <v>712.28</v>
      </c>
      <c r="S5064">
        <v>178.07</v>
      </c>
      <c r="T5064">
        <v>4985.9399999999996</v>
      </c>
      <c r="U5064" t="s">
        <v>3115</v>
      </c>
      <c r="V5064" t="s">
        <v>9408</v>
      </c>
      <c r="W5064" t="s">
        <v>423</v>
      </c>
    </row>
    <row r="5065" spans="1:23" hidden="1" x14ac:dyDescent="0.2">
      <c r="A5065">
        <v>2012</v>
      </c>
      <c r="B5065" t="s">
        <v>304</v>
      </c>
      <c r="C5065" s="733">
        <v>40946</v>
      </c>
      <c r="D50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65" t="s">
        <v>485</v>
      </c>
      <c r="F5065" t="s">
        <v>2065</v>
      </c>
      <c r="G5065" t="s">
        <v>5520</v>
      </c>
      <c r="H5065">
        <v>41439</v>
      </c>
      <c r="I5065" t="s">
        <v>423</v>
      </c>
      <c r="J5065" t="s">
        <v>5260</v>
      </c>
      <c r="K5065" t="s">
        <v>2102</v>
      </c>
      <c r="L5065" t="s">
        <v>2115</v>
      </c>
      <c r="M5065">
        <v>832</v>
      </c>
      <c r="N5065">
        <v>49.61</v>
      </c>
      <c r="O5065">
        <v>24753.9</v>
      </c>
      <c r="P5065">
        <v>0</v>
      </c>
      <c r="Q5065">
        <v>24753.9</v>
      </c>
      <c r="R5065">
        <v>3960.62</v>
      </c>
      <c r="S5065">
        <v>990.16</v>
      </c>
      <c r="T5065">
        <v>27724.36</v>
      </c>
      <c r="U5065" t="s">
        <v>7462</v>
      </c>
      <c r="V5065" t="s">
        <v>9409</v>
      </c>
      <c r="W5065" t="s">
        <v>423</v>
      </c>
    </row>
    <row r="5066" spans="1:23" hidden="1" x14ac:dyDescent="0.2">
      <c r="A5066">
        <v>2012</v>
      </c>
      <c r="B5066" t="s">
        <v>304</v>
      </c>
      <c r="C5066" s="733">
        <v>40942.857488425929</v>
      </c>
      <c r="D50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66" t="s">
        <v>478</v>
      </c>
      <c r="F5066" t="s">
        <v>2136</v>
      </c>
      <c r="G5066" t="s">
        <v>5386</v>
      </c>
      <c r="H5066">
        <v>35291</v>
      </c>
      <c r="I5066" t="s">
        <v>423</v>
      </c>
      <c r="J5066" t="s">
        <v>5249</v>
      </c>
      <c r="K5066" t="s">
        <v>425</v>
      </c>
      <c r="L5066" t="s">
        <v>2145</v>
      </c>
      <c r="M5066">
        <v>134</v>
      </c>
      <c r="N5066">
        <v>42.82</v>
      </c>
      <c r="O5066">
        <v>7792.81</v>
      </c>
      <c r="P5066">
        <v>0</v>
      </c>
      <c r="Q5066">
        <v>7792.81</v>
      </c>
      <c r="R5066">
        <v>1246.8499999999999</v>
      </c>
      <c r="S5066">
        <v>311.70999999999998</v>
      </c>
      <c r="T5066">
        <v>8727.9500000000007</v>
      </c>
      <c r="U5066" t="s">
        <v>3115</v>
      </c>
      <c r="V5066" t="s">
        <v>9409</v>
      </c>
      <c r="W5066" t="s">
        <v>423</v>
      </c>
    </row>
    <row r="5067" spans="1:23" hidden="1" x14ac:dyDescent="0.2">
      <c r="A5067">
        <v>2012</v>
      </c>
      <c r="B5067" t="s">
        <v>304</v>
      </c>
      <c r="C5067" s="733">
        <v>40946</v>
      </c>
      <c r="D50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67" t="s">
        <v>505</v>
      </c>
      <c r="F5067" t="s">
        <v>1915</v>
      </c>
      <c r="G5067" t="s">
        <v>5371</v>
      </c>
      <c r="H5067">
        <v>22498</v>
      </c>
      <c r="I5067" t="s">
        <v>423</v>
      </c>
      <c r="J5067" t="s">
        <v>4259</v>
      </c>
      <c r="K5067" t="s">
        <v>1918</v>
      </c>
      <c r="L5067" t="s">
        <v>1919</v>
      </c>
      <c r="M5067">
        <v>467</v>
      </c>
      <c r="N5067">
        <v>53.02</v>
      </c>
      <c r="O5067">
        <v>16454.23</v>
      </c>
      <c r="P5067">
        <v>0</v>
      </c>
      <c r="Q5067">
        <v>16454.23</v>
      </c>
      <c r="R5067">
        <v>2632.68</v>
      </c>
      <c r="S5067">
        <v>658.17</v>
      </c>
      <c r="T5067">
        <v>18428.740000000002</v>
      </c>
      <c r="U5067" t="s">
        <v>1924</v>
      </c>
      <c r="V5067" t="s">
        <v>9409</v>
      </c>
      <c r="W5067" t="s">
        <v>423</v>
      </c>
    </row>
    <row r="5068" spans="1:23" hidden="1" x14ac:dyDescent="0.2">
      <c r="A5068">
        <v>2012</v>
      </c>
      <c r="B5068" t="s">
        <v>303</v>
      </c>
      <c r="C5068" s="733">
        <v>40935</v>
      </c>
      <c r="D50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68" t="s">
        <v>505</v>
      </c>
      <c r="F5068" t="s">
        <v>1915</v>
      </c>
      <c r="G5068" t="s">
        <v>5368</v>
      </c>
      <c r="H5068">
        <v>22262</v>
      </c>
      <c r="I5068" t="s">
        <v>423</v>
      </c>
      <c r="J5068" t="s">
        <v>4259</v>
      </c>
      <c r="K5068" t="s">
        <v>1918</v>
      </c>
      <c r="L5068" t="s">
        <v>1919</v>
      </c>
      <c r="M5068">
        <v>467</v>
      </c>
      <c r="N5068">
        <v>53.81</v>
      </c>
      <c r="O5068">
        <v>16699.400000000001</v>
      </c>
      <c r="P5068">
        <v>0</v>
      </c>
      <c r="Q5068">
        <v>16699.400000000001</v>
      </c>
      <c r="R5068">
        <v>2671.9</v>
      </c>
      <c r="S5068">
        <v>667.98</v>
      </c>
      <c r="T5068">
        <v>18703.32</v>
      </c>
      <c r="U5068" t="s">
        <v>7529</v>
      </c>
      <c r="V5068" t="s">
        <v>9409</v>
      </c>
      <c r="W5068" t="s">
        <v>423</v>
      </c>
    </row>
    <row r="5069" spans="1:23" hidden="1" x14ac:dyDescent="0.2">
      <c r="A5069">
        <v>2012</v>
      </c>
      <c r="B5069" t="s">
        <v>304</v>
      </c>
      <c r="C5069" s="733">
        <v>40953</v>
      </c>
      <c r="D50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69" t="s">
        <v>485</v>
      </c>
      <c r="F5069" t="s">
        <v>2065</v>
      </c>
      <c r="G5069" t="s">
        <v>3706</v>
      </c>
      <c r="H5069">
        <v>41623</v>
      </c>
      <c r="I5069" t="s">
        <v>423</v>
      </c>
      <c r="J5069" t="s">
        <v>2813</v>
      </c>
      <c r="K5069" t="s">
        <v>2814</v>
      </c>
      <c r="L5069" t="s">
        <v>2815</v>
      </c>
      <c r="M5069">
        <v>365</v>
      </c>
      <c r="N5069">
        <v>24.079000000000001</v>
      </c>
      <c r="O5069">
        <v>6481.59</v>
      </c>
      <c r="P5069">
        <v>0</v>
      </c>
      <c r="Q5069">
        <v>6481.59</v>
      </c>
      <c r="R5069">
        <v>712.97</v>
      </c>
      <c r="S5069">
        <v>259.26</v>
      </c>
      <c r="T5069">
        <v>6935.3</v>
      </c>
      <c r="U5069" t="s">
        <v>7527</v>
      </c>
      <c r="V5069" t="s">
        <v>9408</v>
      </c>
      <c r="W5069" t="s">
        <v>423</v>
      </c>
    </row>
    <row r="5070" spans="1:23" hidden="1" x14ac:dyDescent="0.2">
      <c r="A5070">
        <v>2012</v>
      </c>
      <c r="B5070" t="s">
        <v>303</v>
      </c>
      <c r="C5070" s="733">
        <v>40932</v>
      </c>
      <c r="D50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70" t="s">
        <v>485</v>
      </c>
      <c r="F5070" t="s">
        <v>2065</v>
      </c>
      <c r="G5070" t="s">
        <v>3707</v>
      </c>
      <c r="H5070">
        <v>40429</v>
      </c>
      <c r="I5070" t="s">
        <v>423</v>
      </c>
      <c r="J5070" t="s">
        <v>2813</v>
      </c>
      <c r="K5070" t="s">
        <v>2814</v>
      </c>
      <c r="L5070" t="s">
        <v>2815</v>
      </c>
      <c r="M5070">
        <v>365</v>
      </c>
      <c r="N5070">
        <v>23.885999999999999</v>
      </c>
      <c r="O5070">
        <v>6429.63</v>
      </c>
      <c r="P5070">
        <v>0</v>
      </c>
      <c r="Q5070">
        <v>6429.63</v>
      </c>
      <c r="R5070">
        <v>1028.74</v>
      </c>
      <c r="S5070">
        <v>257.19</v>
      </c>
      <c r="T5070">
        <v>7201.18</v>
      </c>
      <c r="U5070" t="s">
        <v>2826</v>
      </c>
      <c r="V5070" t="s">
        <v>9408</v>
      </c>
      <c r="W5070" t="s">
        <v>423</v>
      </c>
    </row>
    <row r="5071" spans="1:23" hidden="1" x14ac:dyDescent="0.2">
      <c r="A5071">
        <v>2012</v>
      </c>
      <c r="B5071" t="s">
        <v>303</v>
      </c>
      <c r="C5071" s="733">
        <v>40911.68478009259</v>
      </c>
      <c r="D50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71" t="s">
        <v>478</v>
      </c>
      <c r="F5071" t="s">
        <v>2136</v>
      </c>
      <c r="G5071" t="s">
        <v>4034</v>
      </c>
      <c r="H5071">
        <v>34199</v>
      </c>
      <c r="I5071" t="s">
        <v>423</v>
      </c>
      <c r="J5071" t="s">
        <v>2629</v>
      </c>
      <c r="K5071" t="s">
        <v>2625</v>
      </c>
      <c r="L5071" t="s">
        <v>2626</v>
      </c>
      <c r="M5071">
        <v>33</v>
      </c>
      <c r="N5071">
        <v>21.61</v>
      </c>
      <c r="O5071">
        <v>1208.43</v>
      </c>
      <c r="P5071">
        <v>1047.648389</v>
      </c>
      <c r="Q5071">
        <v>2256.0783889999998</v>
      </c>
      <c r="R5071">
        <v>360.97254199999998</v>
      </c>
      <c r="S5071">
        <v>90.243136000000007</v>
      </c>
      <c r="T5071">
        <v>2526.8077950000002</v>
      </c>
      <c r="U5071" t="s">
        <v>2660</v>
      </c>
      <c r="V5071" t="s">
        <v>9408</v>
      </c>
      <c r="W5071" t="s">
        <v>423</v>
      </c>
    </row>
    <row r="5072" spans="1:23" hidden="1" x14ac:dyDescent="0.2">
      <c r="A5072">
        <v>2012</v>
      </c>
      <c r="B5072" t="s">
        <v>305</v>
      </c>
      <c r="C5072" s="733">
        <v>40970.429270833331</v>
      </c>
      <c r="D5072" s="733" t="str">
        <f>CHOOSE(MONTH(Tabla_sqldatos_bonampakdb_Bon_v_ingresos2012[[#This Row],[fecha_guia]]),"Enero","Febrero","Marzo","Abril","Mayo","Junio","Julio","Agosto","Septiembre","Octubre","Noviembre","Diciembre")</f>
        <v>Marzo</v>
      </c>
      <c r="E5072" t="s">
        <v>485</v>
      </c>
      <c r="F5072" t="s">
        <v>2065</v>
      </c>
      <c r="G5072" t="s">
        <v>9567</v>
      </c>
      <c r="H5072">
        <v>42995</v>
      </c>
      <c r="I5072" t="s">
        <v>423</v>
      </c>
      <c r="J5072" t="s">
        <v>2186</v>
      </c>
      <c r="K5072" t="s">
        <v>2183</v>
      </c>
      <c r="L5072" t="s">
        <v>2184</v>
      </c>
      <c r="M5072">
        <v>19</v>
      </c>
      <c r="N5072">
        <v>15.2</v>
      </c>
      <c r="O5072">
        <v>1715.62</v>
      </c>
      <c r="P5072">
        <v>0</v>
      </c>
      <c r="Q5072">
        <v>1715.62</v>
      </c>
      <c r="R5072">
        <v>274.5</v>
      </c>
      <c r="S5072">
        <v>68.62</v>
      </c>
      <c r="T5072">
        <v>1921.5</v>
      </c>
      <c r="V5072" t="s">
        <v>9408</v>
      </c>
      <c r="W5072" t="s">
        <v>423</v>
      </c>
    </row>
    <row r="5073" spans="1:23" hidden="1" x14ac:dyDescent="0.2">
      <c r="A5073">
        <v>2012</v>
      </c>
      <c r="B5073" t="s">
        <v>304</v>
      </c>
      <c r="C5073" s="733">
        <v>40959</v>
      </c>
      <c r="D50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73" t="s">
        <v>485</v>
      </c>
      <c r="F5073" t="s">
        <v>2065</v>
      </c>
      <c r="G5073" t="s">
        <v>7720</v>
      </c>
      <c r="H5073">
        <v>42116</v>
      </c>
      <c r="I5073" t="s">
        <v>423</v>
      </c>
      <c r="J5073" t="s">
        <v>2186</v>
      </c>
      <c r="K5073" t="s">
        <v>2183</v>
      </c>
      <c r="L5073" t="s">
        <v>2184</v>
      </c>
      <c r="M5073">
        <v>19</v>
      </c>
      <c r="N5073">
        <v>14.99</v>
      </c>
      <c r="O5073">
        <v>1691.92</v>
      </c>
      <c r="P5073">
        <v>0</v>
      </c>
      <c r="Q5073">
        <v>1691.92</v>
      </c>
      <c r="R5073">
        <v>270.70999999999998</v>
      </c>
      <c r="S5073">
        <v>67.680000000000007</v>
      </c>
      <c r="T5073">
        <v>1894.95</v>
      </c>
      <c r="U5073" t="s">
        <v>9411</v>
      </c>
      <c r="V5073" t="s">
        <v>9408</v>
      </c>
      <c r="W5073" t="s">
        <v>423</v>
      </c>
    </row>
    <row r="5074" spans="1:23" hidden="1" x14ac:dyDescent="0.2">
      <c r="A5074">
        <v>2012</v>
      </c>
      <c r="B5074" t="s">
        <v>304</v>
      </c>
      <c r="C5074" s="733">
        <v>40963</v>
      </c>
      <c r="D50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74" t="s">
        <v>485</v>
      </c>
      <c r="F5074" t="s">
        <v>2065</v>
      </c>
      <c r="G5074" t="s">
        <v>8597</v>
      </c>
      <c r="H5074">
        <v>42540</v>
      </c>
      <c r="I5074" t="s">
        <v>423</v>
      </c>
      <c r="J5074" t="s">
        <v>2186</v>
      </c>
      <c r="K5074" t="s">
        <v>2183</v>
      </c>
      <c r="L5074" t="s">
        <v>2184</v>
      </c>
      <c r="M5074">
        <v>19</v>
      </c>
      <c r="N5074">
        <v>15.97</v>
      </c>
      <c r="O5074">
        <v>1802.53</v>
      </c>
      <c r="P5074">
        <v>0</v>
      </c>
      <c r="Q5074">
        <v>1802.53</v>
      </c>
      <c r="R5074">
        <v>288.41000000000003</v>
      </c>
      <c r="S5074">
        <v>72.099999999999994</v>
      </c>
      <c r="T5074">
        <v>2018.84</v>
      </c>
      <c r="U5074" t="s">
        <v>9411</v>
      </c>
      <c r="V5074" t="s">
        <v>9408</v>
      </c>
      <c r="W5074" t="s">
        <v>423</v>
      </c>
    </row>
    <row r="5075" spans="1:23" hidden="1" x14ac:dyDescent="0.2">
      <c r="A5075">
        <v>2012</v>
      </c>
      <c r="B5075" t="s">
        <v>304</v>
      </c>
      <c r="C5075" s="733">
        <v>40947</v>
      </c>
      <c r="D50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75" t="s">
        <v>485</v>
      </c>
      <c r="F5075" t="s">
        <v>2065</v>
      </c>
      <c r="G5075" t="s">
        <v>3590</v>
      </c>
      <c r="H5075">
        <v>41532</v>
      </c>
      <c r="I5075" t="s">
        <v>423</v>
      </c>
      <c r="J5075" t="s">
        <v>2186</v>
      </c>
      <c r="K5075" t="s">
        <v>2183</v>
      </c>
      <c r="L5075" t="s">
        <v>2184</v>
      </c>
      <c r="M5075">
        <v>19</v>
      </c>
      <c r="N5075">
        <v>15.7</v>
      </c>
      <c r="O5075">
        <v>1772.06</v>
      </c>
      <c r="P5075">
        <v>0</v>
      </c>
      <c r="Q5075">
        <v>1772.06</v>
      </c>
      <c r="R5075">
        <v>283.52999999999997</v>
      </c>
      <c r="S5075">
        <v>70.88</v>
      </c>
      <c r="T5075">
        <v>1984.71</v>
      </c>
      <c r="U5075" t="s">
        <v>2192</v>
      </c>
      <c r="V5075" t="s">
        <v>9408</v>
      </c>
      <c r="W5075" t="s">
        <v>423</v>
      </c>
    </row>
    <row r="5076" spans="1:23" hidden="1" x14ac:dyDescent="0.2">
      <c r="A5076">
        <v>2012</v>
      </c>
      <c r="B5076" t="s">
        <v>304</v>
      </c>
      <c r="C5076" s="733">
        <v>40966</v>
      </c>
      <c r="D50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76" t="s">
        <v>478</v>
      </c>
      <c r="F5076" t="s">
        <v>2136</v>
      </c>
      <c r="G5076" t="s">
        <v>9108</v>
      </c>
      <c r="H5076">
        <v>36015</v>
      </c>
      <c r="I5076" t="s">
        <v>423</v>
      </c>
      <c r="J5076" t="s">
        <v>2629</v>
      </c>
      <c r="K5076" t="s">
        <v>2625</v>
      </c>
      <c r="L5076" t="s">
        <v>2626</v>
      </c>
      <c r="M5076">
        <v>33</v>
      </c>
      <c r="N5076">
        <v>23.36</v>
      </c>
      <c r="O5076">
        <v>2724.71</v>
      </c>
      <c r="P5076">
        <v>0</v>
      </c>
      <c r="Q5076">
        <v>2724.71</v>
      </c>
      <c r="R5076">
        <v>435.95</v>
      </c>
      <c r="S5076">
        <v>108.99</v>
      </c>
      <c r="T5076">
        <v>3051.67</v>
      </c>
      <c r="V5076" t="s">
        <v>9408</v>
      </c>
      <c r="W5076" t="s">
        <v>423</v>
      </c>
    </row>
    <row r="5077" spans="1:23" hidden="1" x14ac:dyDescent="0.2">
      <c r="A5077">
        <v>2012</v>
      </c>
      <c r="B5077" t="s">
        <v>303</v>
      </c>
      <c r="C5077" s="733">
        <v>40921.589953703704</v>
      </c>
      <c r="D50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77" t="s">
        <v>478</v>
      </c>
      <c r="F5077" t="s">
        <v>2622</v>
      </c>
      <c r="G5077" t="s">
        <v>4037</v>
      </c>
      <c r="H5077">
        <v>34492</v>
      </c>
      <c r="I5077" t="s">
        <v>423</v>
      </c>
      <c r="J5077" t="s">
        <v>2629</v>
      </c>
      <c r="K5077" t="s">
        <v>2625</v>
      </c>
      <c r="L5077" t="s">
        <v>2626</v>
      </c>
      <c r="M5077">
        <v>33</v>
      </c>
      <c r="N5077">
        <v>24.2</v>
      </c>
      <c r="O5077">
        <v>2822.69</v>
      </c>
      <c r="P5077">
        <v>0</v>
      </c>
      <c r="Q5077">
        <v>2822.69</v>
      </c>
      <c r="R5077">
        <v>451.63</v>
      </c>
      <c r="S5077">
        <v>112.91</v>
      </c>
      <c r="T5077">
        <v>3161.41</v>
      </c>
      <c r="U5077" t="s">
        <v>2627</v>
      </c>
      <c r="V5077" t="s">
        <v>9408</v>
      </c>
      <c r="W5077" t="s">
        <v>423</v>
      </c>
    </row>
    <row r="5078" spans="1:23" hidden="1" x14ac:dyDescent="0.2">
      <c r="A5078">
        <v>2012</v>
      </c>
      <c r="B5078" t="s">
        <v>303</v>
      </c>
      <c r="C5078" s="733">
        <v>40939</v>
      </c>
      <c r="D50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78" t="s">
        <v>478</v>
      </c>
      <c r="F5078" t="s">
        <v>2622</v>
      </c>
      <c r="G5078" t="s">
        <v>4026</v>
      </c>
      <c r="H5078">
        <v>35118</v>
      </c>
      <c r="I5078" t="s">
        <v>423</v>
      </c>
      <c r="J5078" t="s">
        <v>2629</v>
      </c>
      <c r="K5078" t="s">
        <v>2625</v>
      </c>
      <c r="L5078" t="s">
        <v>2626</v>
      </c>
      <c r="M5078">
        <v>33</v>
      </c>
      <c r="N5078">
        <v>24.98</v>
      </c>
      <c r="O5078">
        <v>2913.67</v>
      </c>
      <c r="P5078">
        <v>0</v>
      </c>
      <c r="Q5078">
        <v>2913.67</v>
      </c>
      <c r="R5078">
        <v>466.19</v>
      </c>
      <c r="S5078">
        <v>116.55</v>
      </c>
      <c r="T5078">
        <v>3263.31</v>
      </c>
      <c r="U5078" t="s">
        <v>2648</v>
      </c>
      <c r="V5078" t="s">
        <v>9408</v>
      </c>
      <c r="W5078" t="s">
        <v>423</v>
      </c>
    </row>
    <row r="5079" spans="1:23" hidden="1" x14ac:dyDescent="0.2">
      <c r="A5079">
        <v>2012</v>
      </c>
      <c r="B5079" t="s">
        <v>304</v>
      </c>
      <c r="C5079" s="733">
        <v>40960.434710648151</v>
      </c>
      <c r="D50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79" t="s">
        <v>478</v>
      </c>
      <c r="F5079" t="s">
        <v>2622</v>
      </c>
      <c r="G5079" t="s">
        <v>8374</v>
      </c>
      <c r="H5079">
        <v>35858</v>
      </c>
      <c r="I5079" t="s">
        <v>423</v>
      </c>
      <c r="J5079" t="s">
        <v>2629</v>
      </c>
      <c r="K5079" t="s">
        <v>2625</v>
      </c>
      <c r="L5079" t="s">
        <v>2626</v>
      </c>
      <c r="M5079">
        <v>33</v>
      </c>
      <c r="N5079">
        <v>26.16</v>
      </c>
      <c r="O5079">
        <v>3051.3</v>
      </c>
      <c r="P5079">
        <v>0</v>
      </c>
      <c r="Q5079">
        <v>3051.3</v>
      </c>
      <c r="R5079">
        <v>488.21</v>
      </c>
      <c r="S5079">
        <v>122.05</v>
      </c>
      <c r="T5079">
        <v>3417.46</v>
      </c>
      <c r="U5079" t="s">
        <v>8267</v>
      </c>
      <c r="V5079" t="s">
        <v>9408</v>
      </c>
      <c r="W5079" t="s">
        <v>423</v>
      </c>
    </row>
    <row r="5080" spans="1:23" hidden="1" x14ac:dyDescent="0.2">
      <c r="A5080">
        <v>2012</v>
      </c>
      <c r="B5080" t="s">
        <v>305</v>
      </c>
      <c r="C5080" s="733">
        <v>40970</v>
      </c>
      <c r="D5080" s="733" t="str">
        <f>CHOOSE(MONTH(Tabla_sqldatos_bonampakdb_Bon_v_ingresos2012[[#This Row],[fecha_guia]]),"Enero","Febrero","Marzo","Abril","Mayo","Junio","Julio","Agosto","Septiembre","Octubre","Noviembre","Diciembre")</f>
        <v>Marzo</v>
      </c>
      <c r="E5080" t="s">
        <v>478</v>
      </c>
      <c r="F5080" t="s">
        <v>2136</v>
      </c>
      <c r="G5080" t="s">
        <v>9741</v>
      </c>
      <c r="H5080">
        <v>36294</v>
      </c>
      <c r="I5080" t="s">
        <v>423</v>
      </c>
      <c r="J5080" t="s">
        <v>2629</v>
      </c>
      <c r="K5080" t="s">
        <v>2625</v>
      </c>
      <c r="L5080" t="s">
        <v>2626</v>
      </c>
      <c r="M5080">
        <v>33</v>
      </c>
      <c r="N5080">
        <v>21.38</v>
      </c>
      <c r="O5080">
        <v>2493.7600000000002</v>
      </c>
      <c r="P5080">
        <v>0</v>
      </c>
      <c r="Q5080">
        <v>2493.7600000000002</v>
      </c>
      <c r="R5080">
        <v>399</v>
      </c>
      <c r="S5080">
        <v>99.75</v>
      </c>
      <c r="T5080">
        <v>2793.01</v>
      </c>
      <c r="V5080" t="s">
        <v>9408</v>
      </c>
      <c r="W5080" t="s">
        <v>423</v>
      </c>
    </row>
    <row r="5081" spans="1:23" hidden="1" x14ac:dyDescent="0.2">
      <c r="A5081">
        <v>2012</v>
      </c>
      <c r="B5081" t="s">
        <v>303</v>
      </c>
      <c r="C5081" s="733">
        <v>40932.460659722223</v>
      </c>
      <c r="D50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81" t="s">
        <v>478</v>
      </c>
      <c r="F5081" t="s">
        <v>2136</v>
      </c>
      <c r="G5081" t="s">
        <v>4036</v>
      </c>
      <c r="H5081">
        <v>34893</v>
      </c>
      <c r="I5081" t="s">
        <v>423</v>
      </c>
      <c r="J5081" t="s">
        <v>2629</v>
      </c>
      <c r="K5081" t="s">
        <v>2625</v>
      </c>
      <c r="L5081" t="s">
        <v>2626</v>
      </c>
      <c r="M5081">
        <v>33</v>
      </c>
      <c r="N5081">
        <v>23.63</v>
      </c>
      <c r="O5081">
        <v>2756.2</v>
      </c>
      <c r="P5081">
        <v>0</v>
      </c>
      <c r="Q5081">
        <v>2756.2</v>
      </c>
      <c r="R5081">
        <v>440.99</v>
      </c>
      <c r="S5081">
        <v>110.25</v>
      </c>
      <c r="T5081">
        <v>3086.94</v>
      </c>
      <c r="U5081" t="s">
        <v>2633</v>
      </c>
      <c r="V5081" t="s">
        <v>9408</v>
      </c>
      <c r="W5081" t="s">
        <v>423</v>
      </c>
    </row>
    <row r="5082" spans="1:23" hidden="1" x14ac:dyDescent="0.2">
      <c r="A5082">
        <v>2012</v>
      </c>
      <c r="B5082" t="s">
        <v>305</v>
      </c>
      <c r="C5082" s="733">
        <v>40970.946793981479</v>
      </c>
      <c r="D5082" s="733" t="str">
        <f>CHOOSE(MONTH(Tabla_sqldatos_bonampakdb_Bon_v_ingresos2012[[#This Row],[fecha_guia]]),"Enero","Febrero","Marzo","Abril","Mayo","Junio","Julio","Agosto","Septiembre","Octubre","Noviembre","Diciembre")</f>
        <v>Marzo</v>
      </c>
      <c r="E5082" t="s">
        <v>478</v>
      </c>
      <c r="F5082" t="s">
        <v>2622</v>
      </c>
      <c r="G5082" t="s">
        <v>9742</v>
      </c>
      <c r="H5082">
        <v>36281</v>
      </c>
      <c r="I5082" t="s">
        <v>423</v>
      </c>
      <c r="J5082" t="s">
        <v>2629</v>
      </c>
      <c r="K5082" t="s">
        <v>2625</v>
      </c>
      <c r="L5082" t="s">
        <v>2626</v>
      </c>
      <c r="M5082">
        <v>33</v>
      </c>
      <c r="N5082">
        <v>21.82</v>
      </c>
      <c r="O5082">
        <v>2545.08</v>
      </c>
      <c r="P5082">
        <v>0</v>
      </c>
      <c r="Q5082">
        <v>2545.08</v>
      </c>
      <c r="R5082">
        <v>407.21</v>
      </c>
      <c r="S5082">
        <v>101.8</v>
      </c>
      <c r="T5082">
        <v>2850.49</v>
      </c>
      <c r="V5082" t="s">
        <v>9408</v>
      </c>
      <c r="W5082" t="s">
        <v>423</v>
      </c>
    </row>
    <row r="5083" spans="1:23" hidden="1" x14ac:dyDescent="0.2">
      <c r="A5083">
        <v>2012</v>
      </c>
      <c r="B5083" t="s">
        <v>304</v>
      </c>
      <c r="C5083" s="733">
        <v>40960</v>
      </c>
      <c r="D50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83" t="s">
        <v>478</v>
      </c>
      <c r="F5083" t="s">
        <v>2136</v>
      </c>
      <c r="G5083" t="s">
        <v>8375</v>
      </c>
      <c r="H5083">
        <v>35890</v>
      </c>
      <c r="I5083" t="s">
        <v>423</v>
      </c>
      <c r="J5083" t="s">
        <v>2629</v>
      </c>
      <c r="K5083" t="s">
        <v>2625</v>
      </c>
      <c r="L5083" t="s">
        <v>2626</v>
      </c>
      <c r="M5083">
        <v>33</v>
      </c>
      <c r="N5083">
        <v>23.53</v>
      </c>
      <c r="O5083">
        <v>2744.54</v>
      </c>
      <c r="P5083">
        <v>0</v>
      </c>
      <c r="Q5083">
        <v>2744.54</v>
      </c>
      <c r="R5083">
        <v>439.13</v>
      </c>
      <c r="S5083">
        <v>109.78</v>
      </c>
      <c r="T5083">
        <v>3073.89</v>
      </c>
      <c r="U5083" t="s">
        <v>8267</v>
      </c>
      <c r="V5083" t="s">
        <v>9408</v>
      </c>
      <c r="W5083" t="s">
        <v>423</v>
      </c>
    </row>
    <row r="5084" spans="1:23" hidden="1" x14ac:dyDescent="0.2">
      <c r="A5084">
        <v>2012</v>
      </c>
      <c r="B5084" t="s">
        <v>304</v>
      </c>
      <c r="C5084" s="733">
        <v>40967.423703703702</v>
      </c>
      <c r="D50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84" t="s">
        <v>478</v>
      </c>
      <c r="F5084" t="s">
        <v>2136</v>
      </c>
      <c r="G5084" t="s">
        <v>9111</v>
      </c>
      <c r="H5084">
        <v>36142</v>
      </c>
      <c r="I5084" t="s">
        <v>423</v>
      </c>
      <c r="J5084" t="s">
        <v>2629</v>
      </c>
      <c r="K5084" t="s">
        <v>2625</v>
      </c>
      <c r="L5084" t="s">
        <v>2626</v>
      </c>
      <c r="M5084">
        <v>33</v>
      </c>
      <c r="N5084">
        <v>26.06</v>
      </c>
      <c r="O5084">
        <v>3039.64</v>
      </c>
      <c r="P5084">
        <v>0</v>
      </c>
      <c r="Q5084">
        <v>3039.64</v>
      </c>
      <c r="R5084">
        <v>486.34</v>
      </c>
      <c r="S5084">
        <v>121.59</v>
      </c>
      <c r="T5084">
        <v>3404.39</v>
      </c>
      <c r="U5084" t="s">
        <v>9428</v>
      </c>
      <c r="V5084" t="s">
        <v>9408</v>
      </c>
      <c r="W5084" t="s">
        <v>423</v>
      </c>
    </row>
    <row r="5085" spans="1:23" hidden="1" x14ac:dyDescent="0.2">
      <c r="A5085">
        <v>2012</v>
      </c>
      <c r="B5085" t="s">
        <v>304</v>
      </c>
      <c r="C5085" s="733">
        <v>40967.422268518516</v>
      </c>
      <c r="D50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85" t="s">
        <v>478</v>
      </c>
      <c r="F5085" t="s">
        <v>2136</v>
      </c>
      <c r="G5085" t="s">
        <v>9112</v>
      </c>
      <c r="H5085">
        <v>36139</v>
      </c>
      <c r="I5085" t="s">
        <v>423</v>
      </c>
      <c r="J5085" t="s">
        <v>2629</v>
      </c>
      <c r="K5085" t="s">
        <v>2625</v>
      </c>
      <c r="L5085" t="s">
        <v>2626</v>
      </c>
      <c r="M5085">
        <v>33</v>
      </c>
      <c r="N5085">
        <v>24.92</v>
      </c>
      <c r="O5085">
        <v>2906.67</v>
      </c>
      <c r="P5085">
        <v>0</v>
      </c>
      <c r="Q5085">
        <v>2906.67</v>
      </c>
      <c r="R5085">
        <v>465.07</v>
      </c>
      <c r="S5085">
        <v>116.27</v>
      </c>
      <c r="T5085">
        <v>3255.47</v>
      </c>
      <c r="U5085" t="s">
        <v>9428</v>
      </c>
      <c r="V5085" t="s">
        <v>9408</v>
      </c>
      <c r="W5085" t="s">
        <v>423</v>
      </c>
    </row>
    <row r="5086" spans="1:23" hidden="1" x14ac:dyDescent="0.2">
      <c r="A5086">
        <v>2012</v>
      </c>
      <c r="B5086" t="s">
        <v>303</v>
      </c>
      <c r="C5086" s="733">
        <v>40939</v>
      </c>
      <c r="D50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86" t="s">
        <v>485</v>
      </c>
      <c r="F5086" t="s">
        <v>2065</v>
      </c>
      <c r="G5086" t="s">
        <v>3588</v>
      </c>
      <c r="H5086">
        <v>40016</v>
      </c>
      <c r="I5086" t="s">
        <v>423</v>
      </c>
      <c r="J5086" t="s">
        <v>2186</v>
      </c>
      <c r="K5086" t="s">
        <v>2183</v>
      </c>
      <c r="L5086" t="s">
        <v>2184</v>
      </c>
      <c r="M5086">
        <v>19</v>
      </c>
      <c r="N5086">
        <v>15.63</v>
      </c>
      <c r="O5086">
        <v>2315.4299999999998</v>
      </c>
      <c r="P5086">
        <v>0</v>
      </c>
      <c r="Q5086">
        <v>2315.4299999999998</v>
      </c>
      <c r="R5086">
        <v>370.47</v>
      </c>
      <c r="S5086">
        <v>92.62</v>
      </c>
      <c r="T5086">
        <v>2593.2800000000002</v>
      </c>
      <c r="U5086" t="s">
        <v>2187</v>
      </c>
      <c r="V5086" t="s">
        <v>9408</v>
      </c>
      <c r="W5086" t="s">
        <v>423</v>
      </c>
    </row>
    <row r="5087" spans="1:23" hidden="1" x14ac:dyDescent="0.2">
      <c r="A5087">
        <v>2012</v>
      </c>
      <c r="B5087" t="s">
        <v>303</v>
      </c>
      <c r="C5087" s="733">
        <v>40932</v>
      </c>
      <c r="D50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87" t="s">
        <v>485</v>
      </c>
      <c r="F5087" t="s">
        <v>2065</v>
      </c>
      <c r="G5087" t="s">
        <v>3691</v>
      </c>
      <c r="H5087">
        <v>40779</v>
      </c>
      <c r="I5087" t="s">
        <v>423</v>
      </c>
      <c r="J5087" t="s">
        <v>2186</v>
      </c>
      <c r="K5087" t="s">
        <v>2183</v>
      </c>
      <c r="L5087" t="s">
        <v>2184</v>
      </c>
      <c r="M5087">
        <v>19</v>
      </c>
      <c r="N5087">
        <v>16.059999999999999</v>
      </c>
      <c r="O5087">
        <v>1812.69</v>
      </c>
      <c r="P5087">
        <v>0</v>
      </c>
      <c r="Q5087">
        <v>1812.69</v>
      </c>
      <c r="R5087">
        <v>290.02999999999997</v>
      </c>
      <c r="S5087">
        <v>72.510000000000005</v>
      </c>
      <c r="T5087">
        <v>2030.21</v>
      </c>
      <c r="U5087" t="s">
        <v>2187</v>
      </c>
      <c r="V5087" t="s">
        <v>9408</v>
      </c>
      <c r="W5087" t="s">
        <v>423</v>
      </c>
    </row>
    <row r="5088" spans="1:23" hidden="1" x14ac:dyDescent="0.2">
      <c r="A5088">
        <v>2012</v>
      </c>
      <c r="B5088" t="s">
        <v>304</v>
      </c>
      <c r="C5088" s="733">
        <v>40947</v>
      </c>
      <c r="D50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88" t="s">
        <v>485</v>
      </c>
      <c r="F5088" t="s">
        <v>2065</v>
      </c>
      <c r="G5088" t="s">
        <v>3692</v>
      </c>
      <c r="H5088">
        <v>41523</v>
      </c>
      <c r="I5088" t="s">
        <v>423</v>
      </c>
      <c r="J5088" t="s">
        <v>2186</v>
      </c>
      <c r="K5088" t="s">
        <v>2183</v>
      </c>
      <c r="L5088" t="s">
        <v>2184</v>
      </c>
      <c r="M5088">
        <v>19</v>
      </c>
      <c r="N5088">
        <v>14.85</v>
      </c>
      <c r="O5088">
        <v>1676.12</v>
      </c>
      <c r="P5088">
        <v>0</v>
      </c>
      <c r="Q5088">
        <v>1676.12</v>
      </c>
      <c r="R5088">
        <v>268.18</v>
      </c>
      <c r="S5088">
        <v>67.040000000000006</v>
      </c>
      <c r="T5088">
        <v>1877.26</v>
      </c>
      <c r="U5088" t="s">
        <v>2192</v>
      </c>
      <c r="V5088" t="s">
        <v>9408</v>
      </c>
      <c r="W5088" t="s">
        <v>423</v>
      </c>
    </row>
    <row r="5089" spans="1:23" hidden="1" x14ac:dyDescent="0.2">
      <c r="A5089">
        <v>2012</v>
      </c>
      <c r="B5089" t="s">
        <v>303</v>
      </c>
      <c r="C5089" s="733">
        <v>40911.688854166663</v>
      </c>
      <c r="D50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89" t="s">
        <v>478</v>
      </c>
      <c r="F5089" t="s">
        <v>2136</v>
      </c>
      <c r="G5089" t="s">
        <v>4035</v>
      </c>
      <c r="H5089">
        <v>34202</v>
      </c>
      <c r="I5089" t="s">
        <v>423</v>
      </c>
      <c r="J5089" t="s">
        <v>2629</v>
      </c>
      <c r="K5089" t="s">
        <v>2625</v>
      </c>
      <c r="L5089" t="s">
        <v>2626</v>
      </c>
      <c r="M5089">
        <v>33</v>
      </c>
      <c r="N5089">
        <v>22.61</v>
      </c>
      <c r="O5089">
        <v>1264.3499999999999</v>
      </c>
      <c r="P5089">
        <v>1096.128232</v>
      </c>
      <c r="Q5089">
        <v>2360.4782319999999</v>
      </c>
      <c r="R5089">
        <v>377.67651699999999</v>
      </c>
      <c r="S5089">
        <v>94.419128999999998</v>
      </c>
      <c r="T5089">
        <v>2643.7356199999999</v>
      </c>
      <c r="U5089" t="s">
        <v>2660</v>
      </c>
      <c r="V5089" t="s">
        <v>9408</v>
      </c>
      <c r="W5089" t="s">
        <v>423</v>
      </c>
    </row>
    <row r="5090" spans="1:23" hidden="1" x14ac:dyDescent="0.2">
      <c r="A5090">
        <v>2012</v>
      </c>
      <c r="B5090" t="s">
        <v>304</v>
      </c>
      <c r="C5090" s="733">
        <v>40949</v>
      </c>
      <c r="D50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90" t="s">
        <v>485</v>
      </c>
      <c r="F5090" t="s">
        <v>2065</v>
      </c>
      <c r="G5090" t="s">
        <v>3587</v>
      </c>
      <c r="H5090">
        <v>41589</v>
      </c>
      <c r="I5090" t="s">
        <v>423</v>
      </c>
      <c r="J5090" t="s">
        <v>2189</v>
      </c>
      <c r="K5090" t="s">
        <v>2183</v>
      </c>
      <c r="L5090" t="s">
        <v>2184</v>
      </c>
      <c r="M5090">
        <v>720</v>
      </c>
      <c r="N5090">
        <v>25.52</v>
      </c>
      <c r="O5090">
        <v>11328.07</v>
      </c>
      <c r="P5090">
        <v>0</v>
      </c>
      <c r="Q5090">
        <v>11328.07</v>
      </c>
      <c r="R5090">
        <v>1812.49</v>
      </c>
      <c r="S5090">
        <v>453.12</v>
      </c>
      <c r="T5090">
        <v>12687.44</v>
      </c>
      <c r="U5090" t="s">
        <v>8048</v>
      </c>
      <c r="V5090" t="s">
        <v>9408</v>
      </c>
      <c r="W5090" t="s">
        <v>423</v>
      </c>
    </row>
    <row r="5091" spans="1:23" hidden="1" x14ac:dyDescent="0.2">
      <c r="A5091">
        <v>2012</v>
      </c>
      <c r="B5091" t="s">
        <v>304</v>
      </c>
      <c r="C5091" s="733">
        <v>40966</v>
      </c>
      <c r="D50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91" t="s">
        <v>478</v>
      </c>
      <c r="F5091" t="s">
        <v>2136</v>
      </c>
      <c r="G5091" t="s">
        <v>9110</v>
      </c>
      <c r="H5091">
        <v>35932</v>
      </c>
      <c r="I5091" t="s">
        <v>423</v>
      </c>
      <c r="J5091" t="s">
        <v>4282</v>
      </c>
      <c r="K5091" t="s">
        <v>425</v>
      </c>
      <c r="L5091" t="s">
        <v>2145</v>
      </c>
      <c r="M5091">
        <v>1405</v>
      </c>
      <c r="N5091">
        <v>41.83</v>
      </c>
      <c r="O5091">
        <v>42224.04</v>
      </c>
      <c r="P5091">
        <v>0</v>
      </c>
      <c r="Q5091">
        <v>42224.04</v>
      </c>
      <c r="R5091">
        <v>6755.85</v>
      </c>
      <c r="S5091">
        <v>1688.96</v>
      </c>
      <c r="T5091">
        <v>47290.93</v>
      </c>
      <c r="U5091" t="s">
        <v>9430</v>
      </c>
      <c r="V5091" t="s">
        <v>9409</v>
      </c>
      <c r="W5091" t="s">
        <v>423</v>
      </c>
    </row>
    <row r="5092" spans="1:23" hidden="1" x14ac:dyDescent="0.2">
      <c r="A5092">
        <v>2012</v>
      </c>
      <c r="B5092" t="s">
        <v>303</v>
      </c>
      <c r="C5092" s="733">
        <v>40922</v>
      </c>
      <c r="D50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92" t="s">
        <v>478</v>
      </c>
      <c r="F5092" t="s">
        <v>2136</v>
      </c>
      <c r="G5092" t="s">
        <v>4887</v>
      </c>
      <c r="H5092">
        <v>34420</v>
      </c>
      <c r="I5092" t="s">
        <v>423</v>
      </c>
      <c r="J5092" t="s">
        <v>4282</v>
      </c>
      <c r="K5092" t="s">
        <v>425</v>
      </c>
      <c r="L5092" t="s">
        <v>2145</v>
      </c>
      <c r="M5092">
        <v>1405</v>
      </c>
      <c r="N5092">
        <v>49.68</v>
      </c>
      <c r="O5092">
        <v>50147.99</v>
      </c>
      <c r="P5092">
        <v>0</v>
      </c>
      <c r="Q5092">
        <v>50147.99</v>
      </c>
      <c r="R5092">
        <v>8023.68</v>
      </c>
      <c r="S5092">
        <v>2005.92</v>
      </c>
      <c r="T5092">
        <v>56165.75</v>
      </c>
      <c r="U5092" t="s">
        <v>2146</v>
      </c>
      <c r="V5092" t="s">
        <v>9409</v>
      </c>
      <c r="W5092" t="s">
        <v>423</v>
      </c>
    </row>
    <row r="5093" spans="1:23" hidden="1" x14ac:dyDescent="0.2">
      <c r="A5093">
        <v>2012</v>
      </c>
      <c r="B5093" t="s">
        <v>303</v>
      </c>
      <c r="C5093" s="733">
        <v>40929</v>
      </c>
      <c r="D50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93" t="s">
        <v>478</v>
      </c>
      <c r="F5093" t="s">
        <v>2136</v>
      </c>
      <c r="G5093" t="s">
        <v>4886</v>
      </c>
      <c r="H5093">
        <v>34670</v>
      </c>
      <c r="I5093" t="s">
        <v>423</v>
      </c>
      <c r="J5093" t="s">
        <v>4282</v>
      </c>
      <c r="K5093" t="s">
        <v>425</v>
      </c>
      <c r="L5093" t="s">
        <v>2145</v>
      </c>
      <c r="M5093">
        <v>1405</v>
      </c>
      <c r="N5093">
        <v>49.95</v>
      </c>
      <c r="O5093">
        <v>50420.53</v>
      </c>
      <c r="P5093">
        <v>0</v>
      </c>
      <c r="Q5093">
        <v>50420.53</v>
      </c>
      <c r="R5093">
        <v>8067.28</v>
      </c>
      <c r="S5093">
        <v>2016.82</v>
      </c>
      <c r="T5093">
        <v>56470.99</v>
      </c>
      <c r="U5093" t="s">
        <v>3234</v>
      </c>
      <c r="V5093" t="s">
        <v>9409</v>
      </c>
      <c r="W5093" t="s">
        <v>423</v>
      </c>
    </row>
    <row r="5094" spans="1:23" hidden="1" x14ac:dyDescent="0.2">
      <c r="A5094">
        <v>2012</v>
      </c>
      <c r="B5094" t="s">
        <v>305</v>
      </c>
      <c r="C5094" s="733">
        <v>40969</v>
      </c>
      <c r="D5094" s="733" t="str">
        <f>CHOOSE(MONTH(Tabla_sqldatos_bonampakdb_Bon_v_ingresos2012[[#This Row],[fecha_guia]]),"Enero","Febrero","Marzo","Abril","Mayo","Junio","Julio","Agosto","Septiembre","Octubre","Noviembre","Diciembre")</f>
        <v>Marzo</v>
      </c>
      <c r="E5094" t="s">
        <v>485</v>
      </c>
      <c r="F5094" t="s">
        <v>2065</v>
      </c>
      <c r="G5094" t="s">
        <v>9570</v>
      </c>
      <c r="H5094">
        <v>42882</v>
      </c>
      <c r="I5094" t="s">
        <v>423</v>
      </c>
      <c r="J5094" t="s">
        <v>2189</v>
      </c>
      <c r="K5094" t="s">
        <v>2183</v>
      </c>
      <c r="L5094" t="s">
        <v>2184</v>
      </c>
      <c r="M5094">
        <v>720</v>
      </c>
      <c r="N5094">
        <v>26.79</v>
      </c>
      <c r="O5094">
        <v>11891.81</v>
      </c>
      <c r="P5094">
        <v>0</v>
      </c>
      <c r="Q5094">
        <v>11891.81</v>
      </c>
      <c r="R5094">
        <v>1902.69</v>
      </c>
      <c r="S5094">
        <v>475.67</v>
      </c>
      <c r="T5094">
        <v>13318.83</v>
      </c>
      <c r="V5094" t="s">
        <v>9408</v>
      </c>
      <c r="W5094" t="s">
        <v>423</v>
      </c>
    </row>
    <row r="5095" spans="1:23" x14ac:dyDescent="0.2">
      <c r="A5095">
        <v>2012</v>
      </c>
      <c r="B5095" t="s">
        <v>304</v>
      </c>
      <c r="C5095" s="733">
        <v>40968</v>
      </c>
      <c r="D50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95" t="s">
        <v>485</v>
      </c>
      <c r="F5095" t="s">
        <v>2065</v>
      </c>
      <c r="G5095" t="s">
        <v>9113</v>
      </c>
      <c r="H5095">
        <v>42521</v>
      </c>
      <c r="I5095" t="s">
        <v>423</v>
      </c>
      <c r="J5095" t="s">
        <v>2189</v>
      </c>
      <c r="K5095" t="s">
        <v>2183</v>
      </c>
      <c r="L5095" t="s">
        <v>2115</v>
      </c>
      <c r="M5095">
        <v>720</v>
      </c>
      <c r="N5095">
        <v>23.9</v>
      </c>
      <c r="O5095">
        <v>10608.97</v>
      </c>
      <c r="P5095">
        <v>0</v>
      </c>
      <c r="Q5095">
        <v>10608.97</v>
      </c>
      <c r="R5095">
        <v>1697.44</v>
      </c>
      <c r="S5095">
        <v>424.36</v>
      </c>
      <c r="T5095">
        <v>11882.05</v>
      </c>
      <c r="V5095" t="s">
        <v>9409</v>
      </c>
      <c r="W5095" t="s">
        <v>423</v>
      </c>
    </row>
    <row r="5096" spans="1:23" hidden="1" x14ac:dyDescent="0.2">
      <c r="A5096">
        <v>2012</v>
      </c>
      <c r="B5096" t="s">
        <v>304</v>
      </c>
      <c r="C5096" s="733">
        <v>40959</v>
      </c>
      <c r="D50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096" t="s">
        <v>485</v>
      </c>
      <c r="F5096" t="s">
        <v>2065</v>
      </c>
      <c r="G5096" t="s">
        <v>7830</v>
      </c>
      <c r="H5096">
        <v>42169</v>
      </c>
      <c r="I5096" t="s">
        <v>423</v>
      </c>
      <c r="J5096" t="s">
        <v>2189</v>
      </c>
      <c r="K5096" t="s">
        <v>2183</v>
      </c>
      <c r="L5096" t="s">
        <v>2184</v>
      </c>
      <c r="M5096">
        <v>720</v>
      </c>
      <c r="N5096">
        <v>23.83</v>
      </c>
      <c r="O5096">
        <v>10577.9</v>
      </c>
      <c r="P5096">
        <v>0</v>
      </c>
      <c r="Q5096">
        <v>10577.9</v>
      </c>
      <c r="R5096">
        <v>1692.46</v>
      </c>
      <c r="S5096">
        <v>423.12</v>
      </c>
      <c r="T5096">
        <v>11847.24</v>
      </c>
      <c r="U5096" t="s">
        <v>9411</v>
      </c>
      <c r="V5096" t="s">
        <v>9408</v>
      </c>
      <c r="W5096" t="s">
        <v>423</v>
      </c>
    </row>
    <row r="5097" spans="1:23" hidden="1" x14ac:dyDescent="0.2">
      <c r="A5097">
        <v>2012</v>
      </c>
      <c r="B5097" t="s">
        <v>303</v>
      </c>
      <c r="C5097" s="733">
        <v>40910</v>
      </c>
      <c r="D50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97" t="s">
        <v>485</v>
      </c>
      <c r="F5097" t="s">
        <v>2065</v>
      </c>
      <c r="G5097" t="s">
        <v>3589</v>
      </c>
      <c r="H5097">
        <v>39669</v>
      </c>
      <c r="I5097" t="s">
        <v>423</v>
      </c>
      <c r="J5097" t="s">
        <v>2186</v>
      </c>
      <c r="K5097" t="s">
        <v>2183</v>
      </c>
      <c r="L5097" t="s">
        <v>2184</v>
      </c>
      <c r="M5097">
        <v>19</v>
      </c>
      <c r="N5097">
        <v>15.13</v>
      </c>
      <c r="O5097">
        <v>718.98</v>
      </c>
      <c r="P5097">
        <v>809.492392</v>
      </c>
      <c r="Q5097">
        <v>1528.4723919999999</v>
      </c>
      <c r="R5097">
        <v>244.55558300000001</v>
      </c>
      <c r="S5097">
        <v>61.138896000000003</v>
      </c>
      <c r="T5097">
        <v>1711.889079</v>
      </c>
      <c r="U5097" t="s">
        <v>3038</v>
      </c>
      <c r="V5097" t="s">
        <v>9408</v>
      </c>
      <c r="W5097" t="s">
        <v>423</v>
      </c>
    </row>
    <row r="5098" spans="1:23" hidden="1" x14ac:dyDescent="0.2">
      <c r="A5098">
        <v>2012</v>
      </c>
      <c r="B5098" t="s">
        <v>303</v>
      </c>
      <c r="C5098" s="733">
        <v>40936</v>
      </c>
      <c r="D50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98" t="s">
        <v>478</v>
      </c>
      <c r="F5098" t="s">
        <v>3787</v>
      </c>
      <c r="G5098" t="s">
        <v>4018</v>
      </c>
      <c r="H5098">
        <v>34778</v>
      </c>
      <c r="I5098" t="s">
        <v>423</v>
      </c>
      <c r="J5098" t="s">
        <v>3789</v>
      </c>
      <c r="K5098" t="s">
        <v>3481</v>
      </c>
      <c r="L5098" t="s">
        <v>3482</v>
      </c>
      <c r="M5098">
        <v>27</v>
      </c>
      <c r="N5098">
        <v>30.64</v>
      </c>
      <c r="O5098">
        <v>3458.34</v>
      </c>
      <c r="P5098">
        <v>0</v>
      </c>
      <c r="Q5098">
        <v>3458.34</v>
      </c>
      <c r="R5098">
        <v>553.33000000000004</v>
      </c>
      <c r="S5098">
        <v>138.33000000000001</v>
      </c>
      <c r="T5098">
        <v>3873.34</v>
      </c>
      <c r="U5098" t="s">
        <v>3784</v>
      </c>
      <c r="V5098" t="s">
        <v>9408</v>
      </c>
      <c r="W5098" t="s">
        <v>423</v>
      </c>
    </row>
    <row r="5099" spans="1:23" hidden="1" x14ac:dyDescent="0.2">
      <c r="A5099">
        <v>2012</v>
      </c>
      <c r="B5099" t="s">
        <v>303</v>
      </c>
      <c r="C5099" s="733">
        <v>40936</v>
      </c>
      <c r="D50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099" t="s">
        <v>478</v>
      </c>
      <c r="F5099" t="s">
        <v>3787</v>
      </c>
      <c r="G5099" t="s">
        <v>4019</v>
      </c>
      <c r="H5099">
        <v>35018</v>
      </c>
      <c r="I5099" t="s">
        <v>423</v>
      </c>
      <c r="J5099" t="s">
        <v>3789</v>
      </c>
      <c r="K5099" t="s">
        <v>3481</v>
      </c>
      <c r="L5099" t="s">
        <v>3482</v>
      </c>
      <c r="M5099">
        <v>27</v>
      </c>
      <c r="N5099">
        <v>25.594999999999999</v>
      </c>
      <c r="O5099">
        <v>2888.65</v>
      </c>
      <c r="P5099">
        <v>0</v>
      </c>
      <c r="Q5099">
        <v>2888.65</v>
      </c>
      <c r="R5099">
        <v>462.18</v>
      </c>
      <c r="S5099">
        <v>115.55</v>
      </c>
      <c r="T5099">
        <v>3235.28</v>
      </c>
      <c r="U5099" t="s">
        <v>3784</v>
      </c>
      <c r="V5099" t="s">
        <v>9408</v>
      </c>
      <c r="W5099" t="s">
        <v>423</v>
      </c>
    </row>
    <row r="5100" spans="1:23" hidden="1" x14ac:dyDescent="0.2">
      <c r="A5100">
        <v>2012</v>
      </c>
      <c r="B5100" t="s">
        <v>304</v>
      </c>
      <c r="C5100" s="733">
        <v>40954.471400462964</v>
      </c>
      <c r="D51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00" t="s">
        <v>485</v>
      </c>
      <c r="F5100" t="s">
        <v>2054</v>
      </c>
      <c r="G5100" t="s">
        <v>7814</v>
      </c>
      <c r="H5100">
        <v>10438</v>
      </c>
      <c r="I5100" t="s">
        <v>423</v>
      </c>
      <c r="J5100" t="s">
        <v>2072</v>
      </c>
      <c r="K5100" t="s">
        <v>2057</v>
      </c>
      <c r="L5100" t="s">
        <v>2058</v>
      </c>
      <c r="M5100">
        <v>406</v>
      </c>
      <c r="N5100">
        <v>46.4</v>
      </c>
      <c r="O5100">
        <v>12680.19</v>
      </c>
      <c r="P5100">
        <v>0</v>
      </c>
      <c r="Q5100">
        <v>12680.19</v>
      </c>
      <c r="R5100">
        <v>1394.82</v>
      </c>
      <c r="S5100">
        <v>507.21</v>
      </c>
      <c r="T5100">
        <v>13567.8</v>
      </c>
      <c r="U5100" t="s">
        <v>8047</v>
      </c>
      <c r="V5100" t="s">
        <v>9409</v>
      </c>
      <c r="W5100" t="s">
        <v>423</v>
      </c>
    </row>
    <row r="5101" spans="1:23" hidden="1" x14ac:dyDescent="0.2">
      <c r="A5101">
        <v>2012</v>
      </c>
      <c r="B5101" t="s">
        <v>304</v>
      </c>
      <c r="C5101" s="733">
        <v>40959.647835648146</v>
      </c>
      <c r="D51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01" t="s">
        <v>485</v>
      </c>
      <c r="F5101" t="s">
        <v>2054</v>
      </c>
      <c r="G5101" t="s">
        <v>8088</v>
      </c>
      <c r="H5101">
        <v>10492</v>
      </c>
      <c r="I5101" t="s">
        <v>423</v>
      </c>
      <c r="J5101" t="s">
        <v>2072</v>
      </c>
      <c r="K5101" t="s">
        <v>2057</v>
      </c>
      <c r="L5101" t="s">
        <v>2058</v>
      </c>
      <c r="M5101">
        <v>406</v>
      </c>
      <c r="N5101">
        <v>46</v>
      </c>
      <c r="O5101">
        <v>12570.88</v>
      </c>
      <c r="P5101">
        <v>0</v>
      </c>
      <c r="Q5101">
        <v>12570.88</v>
      </c>
      <c r="R5101">
        <v>1382.8</v>
      </c>
      <c r="S5101">
        <v>502.84</v>
      </c>
      <c r="T5101">
        <v>13450.84</v>
      </c>
      <c r="U5101" t="s">
        <v>8864</v>
      </c>
      <c r="V5101" t="s">
        <v>9409</v>
      </c>
      <c r="W5101" t="s">
        <v>423</v>
      </c>
    </row>
    <row r="5102" spans="1:23" hidden="1" x14ac:dyDescent="0.2">
      <c r="A5102">
        <v>2012</v>
      </c>
      <c r="B5102" t="s">
        <v>303</v>
      </c>
      <c r="C5102" s="733">
        <v>40924.736956018518</v>
      </c>
      <c r="D51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02" t="s">
        <v>485</v>
      </c>
      <c r="F5102" t="s">
        <v>2054</v>
      </c>
      <c r="G5102" t="s">
        <v>3554</v>
      </c>
      <c r="H5102">
        <v>10089</v>
      </c>
      <c r="I5102" t="s">
        <v>423</v>
      </c>
      <c r="J5102" t="s">
        <v>2072</v>
      </c>
      <c r="K5102" t="s">
        <v>2057</v>
      </c>
      <c r="L5102" t="s">
        <v>2058</v>
      </c>
      <c r="M5102">
        <v>406</v>
      </c>
      <c r="N5102">
        <v>24.05</v>
      </c>
      <c r="O5102">
        <v>6572.38</v>
      </c>
      <c r="P5102">
        <v>0</v>
      </c>
      <c r="Q5102">
        <v>6572.38</v>
      </c>
      <c r="R5102">
        <v>1051.58</v>
      </c>
      <c r="S5102">
        <v>262.89999999999998</v>
      </c>
      <c r="T5102">
        <v>7361.06</v>
      </c>
      <c r="U5102" t="s">
        <v>2059</v>
      </c>
      <c r="V5102" t="s">
        <v>9408</v>
      </c>
      <c r="W5102" t="s">
        <v>423</v>
      </c>
    </row>
    <row r="5103" spans="1:23" hidden="1" x14ac:dyDescent="0.2">
      <c r="A5103">
        <v>2012</v>
      </c>
      <c r="B5103" t="s">
        <v>304</v>
      </c>
      <c r="C5103" s="733">
        <v>40942.711111111108</v>
      </c>
      <c r="D51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03" t="s">
        <v>485</v>
      </c>
      <c r="F5103" t="s">
        <v>2054</v>
      </c>
      <c r="G5103" t="s">
        <v>3555</v>
      </c>
      <c r="H5103">
        <v>10305</v>
      </c>
      <c r="I5103" t="s">
        <v>423</v>
      </c>
      <c r="J5103" t="s">
        <v>2072</v>
      </c>
      <c r="K5103" t="s">
        <v>2057</v>
      </c>
      <c r="L5103" t="s">
        <v>2058</v>
      </c>
      <c r="M5103">
        <v>406</v>
      </c>
      <c r="N5103">
        <v>45.37</v>
      </c>
      <c r="O5103">
        <v>12398.71</v>
      </c>
      <c r="P5103">
        <v>0</v>
      </c>
      <c r="Q5103">
        <v>12398.71</v>
      </c>
      <c r="R5103">
        <v>1983.79</v>
      </c>
      <c r="S5103">
        <v>495.95</v>
      </c>
      <c r="T5103">
        <v>13886.55</v>
      </c>
      <c r="U5103" t="s">
        <v>2075</v>
      </c>
      <c r="V5103" t="s">
        <v>9409</v>
      </c>
      <c r="W5103" t="s">
        <v>423</v>
      </c>
    </row>
    <row r="5104" spans="1:23" hidden="1" x14ac:dyDescent="0.2">
      <c r="A5104">
        <v>2012</v>
      </c>
      <c r="B5104" t="s">
        <v>303</v>
      </c>
      <c r="C5104" s="733">
        <v>40939</v>
      </c>
      <c r="D51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04" t="s">
        <v>485</v>
      </c>
      <c r="F5104" t="s">
        <v>2054</v>
      </c>
      <c r="G5104" t="s">
        <v>4553</v>
      </c>
      <c r="H5104">
        <v>9994</v>
      </c>
      <c r="I5104" t="s">
        <v>423</v>
      </c>
      <c r="J5104" t="s">
        <v>2072</v>
      </c>
      <c r="K5104" t="s">
        <v>2057</v>
      </c>
      <c r="L5104" t="s">
        <v>2058</v>
      </c>
      <c r="M5104">
        <v>406</v>
      </c>
      <c r="N5104">
        <v>29.73</v>
      </c>
      <c r="O5104">
        <v>8124.61</v>
      </c>
      <c r="P5104">
        <v>0</v>
      </c>
      <c r="Q5104">
        <v>8124.61</v>
      </c>
      <c r="R5104">
        <v>1299.94</v>
      </c>
      <c r="S5104">
        <v>324.98</v>
      </c>
      <c r="T5104">
        <v>9099.57</v>
      </c>
      <c r="U5104" t="s">
        <v>2073</v>
      </c>
      <c r="V5104" t="s">
        <v>9408</v>
      </c>
      <c r="W5104" t="s">
        <v>423</v>
      </c>
    </row>
    <row r="5105" spans="1:23" hidden="1" x14ac:dyDescent="0.2">
      <c r="A5105">
        <v>2012</v>
      </c>
      <c r="B5105" t="s">
        <v>303</v>
      </c>
      <c r="C5105" s="733">
        <v>40919.491574074076</v>
      </c>
      <c r="D51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05" t="s">
        <v>485</v>
      </c>
      <c r="F5105" t="s">
        <v>2054</v>
      </c>
      <c r="G5105" t="s">
        <v>3557</v>
      </c>
      <c r="H5105">
        <v>10021</v>
      </c>
      <c r="I5105" t="s">
        <v>423</v>
      </c>
      <c r="J5105" t="s">
        <v>2072</v>
      </c>
      <c r="K5105" t="s">
        <v>2057</v>
      </c>
      <c r="L5105" t="s">
        <v>2058</v>
      </c>
      <c r="M5105">
        <v>406</v>
      </c>
      <c r="N5105">
        <v>47.35</v>
      </c>
      <c r="O5105">
        <v>12939.81</v>
      </c>
      <c r="P5105">
        <v>0</v>
      </c>
      <c r="Q5105">
        <v>12939.81</v>
      </c>
      <c r="R5105">
        <v>2070.37</v>
      </c>
      <c r="S5105">
        <v>517.59</v>
      </c>
      <c r="T5105">
        <v>14492.59</v>
      </c>
      <c r="U5105" t="s">
        <v>2070</v>
      </c>
      <c r="V5105" t="s">
        <v>9409</v>
      </c>
      <c r="W5105" t="s">
        <v>423</v>
      </c>
    </row>
    <row r="5106" spans="1:23" hidden="1" x14ac:dyDescent="0.2">
      <c r="A5106">
        <v>2012</v>
      </c>
      <c r="B5106" t="s">
        <v>303</v>
      </c>
      <c r="C5106" s="733">
        <v>40939</v>
      </c>
      <c r="D51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06" t="s">
        <v>505</v>
      </c>
      <c r="F5106" t="s">
        <v>1915</v>
      </c>
      <c r="G5106" t="s">
        <v>2873</v>
      </c>
      <c r="H5106">
        <v>21664</v>
      </c>
      <c r="I5106" t="s">
        <v>423</v>
      </c>
      <c r="J5106" t="s">
        <v>1943</v>
      </c>
      <c r="K5106" t="s">
        <v>1918</v>
      </c>
      <c r="L5106" t="s">
        <v>1919</v>
      </c>
      <c r="M5106">
        <v>319</v>
      </c>
      <c r="N5106">
        <v>53.02</v>
      </c>
      <c r="O5106">
        <v>15547.58</v>
      </c>
      <c r="P5106">
        <v>0</v>
      </c>
      <c r="Q5106">
        <v>15547.58</v>
      </c>
      <c r="R5106">
        <v>2487.61</v>
      </c>
      <c r="S5106">
        <v>621.9</v>
      </c>
      <c r="T5106">
        <v>17413.29</v>
      </c>
      <c r="U5106" t="s">
        <v>1936</v>
      </c>
      <c r="V5106" t="s">
        <v>9409</v>
      </c>
      <c r="W5106" t="s">
        <v>423</v>
      </c>
    </row>
    <row r="5107" spans="1:23" hidden="1" x14ac:dyDescent="0.2">
      <c r="A5107">
        <v>2012</v>
      </c>
      <c r="B5107" t="s">
        <v>303</v>
      </c>
      <c r="C5107" s="733">
        <v>40919</v>
      </c>
      <c r="D51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07" t="s">
        <v>485</v>
      </c>
      <c r="F5107" t="s">
        <v>2054</v>
      </c>
      <c r="G5107" t="s">
        <v>3573</v>
      </c>
      <c r="H5107">
        <v>10017</v>
      </c>
      <c r="I5107" t="s">
        <v>423</v>
      </c>
      <c r="J5107" t="s">
        <v>2072</v>
      </c>
      <c r="K5107" t="s">
        <v>2057</v>
      </c>
      <c r="L5107" t="s">
        <v>2058</v>
      </c>
      <c r="M5107">
        <v>406</v>
      </c>
      <c r="N5107">
        <v>23.04</v>
      </c>
      <c r="O5107">
        <v>6296.37</v>
      </c>
      <c r="P5107">
        <v>0</v>
      </c>
      <c r="Q5107">
        <v>6296.37</v>
      </c>
      <c r="R5107">
        <v>1007.42</v>
      </c>
      <c r="S5107">
        <v>251.85</v>
      </c>
      <c r="T5107">
        <v>7051.94</v>
      </c>
      <c r="U5107" t="s">
        <v>2070</v>
      </c>
      <c r="V5107" t="s">
        <v>9408</v>
      </c>
      <c r="W5107" t="s">
        <v>423</v>
      </c>
    </row>
    <row r="5108" spans="1:23" hidden="1" x14ac:dyDescent="0.2">
      <c r="A5108">
        <v>2012</v>
      </c>
      <c r="B5108" t="s">
        <v>305</v>
      </c>
      <c r="C5108" s="733">
        <v>40969.505057870374</v>
      </c>
      <c r="D5108" s="733" t="str">
        <f>CHOOSE(MONTH(Tabla_sqldatos_bonampakdb_Bon_v_ingresos2012[[#This Row],[fecha_guia]]),"Enero","Febrero","Marzo","Abril","Mayo","Junio","Julio","Agosto","Septiembre","Octubre","Noviembre","Diciembre")</f>
        <v>Marzo</v>
      </c>
      <c r="E5108" t="s">
        <v>485</v>
      </c>
      <c r="F5108" t="s">
        <v>2054</v>
      </c>
      <c r="G5108" t="s">
        <v>9538</v>
      </c>
      <c r="H5108">
        <v>10617</v>
      </c>
      <c r="I5108" t="s">
        <v>423</v>
      </c>
      <c r="J5108" t="s">
        <v>2072</v>
      </c>
      <c r="K5108" t="s">
        <v>2057</v>
      </c>
      <c r="L5108" t="s">
        <v>2058</v>
      </c>
      <c r="M5108">
        <v>406</v>
      </c>
      <c r="N5108">
        <v>21.83</v>
      </c>
      <c r="O5108">
        <v>5965.7</v>
      </c>
      <c r="P5108">
        <v>0</v>
      </c>
      <c r="Q5108">
        <v>5965.7</v>
      </c>
      <c r="R5108">
        <v>656.23</v>
      </c>
      <c r="S5108">
        <v>238.63</v>
      </c>
      <c r="T5108">
        <v>6383.3</v>
      </c>
      <c r="V5108" t="s">
        <v>9408</v>
      </c>
      <c r="W5108" t="s">
        <v>423</v>
      </c>
    </row>
    <row r="5109" spans="1:23" hidden="1" x14ac:dyDescent="0.2">
      <c r="A5109">
        <v>2012</v>
      </c>
      <c r="B5109" t="s">
        <v>304</v>
      </c>
      <c r="C5109" s="733">
        <v>40949.550416666665</v>
      </c>
      <c r="D51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09" t="s">
        <v>485</v>
      </c>
      <c r="F5109" t="s">
        <v>2054</v>
      </c>
      <c r="G5109" t="s">
        <v>3574</v>
      </c>
      <c r="H5109">
        <v>10373</v>
      </c>
      <c r="I5109" t="s">
        <v>423</v>
      </c>
      <c r="J5109" t="s">
        <v>2072</v>
      </c>
      <c r="K5109" t="s">
        <v>2057</v>
      </c>
      <c r="L5109" t="s">
        <v>2058</v>
      </c>
      <c r="M5109">
        <v>406</v>
      </c>
      <c r="N5109">
        <v>23.07</v>
      </c>
      <c r="O5109">
        <v>6304.57</v>
      </c>
      <c r="P5109">
        <v>0</v>
      </c>
      <c r="Q5109">
        <v>6304.57</v>
      </c>
      <c r="R5109">
        <v>693.5</v>
      </c>
      <c r="S5109">
        <v>252.18</v>
      </c>
      <c r="T5109">
        <v>6745.89</v>
      </c>
      <c r="U5109" t="s">
        <v>2082</v>
      </c>
      <c r="V5109" t="s">
        <v>9408</v>
      </c>
      <c r="W5109" t="s">
        <v>423</v>
      </c>
    </row>
    <row r="5110" spans="1:23" hidden="1" x14ac:dyDescent="0.2">
      <c r="A5110">
        <v>2012</v>
      </c>
      <c r="B5110" t="s">
        <v>303</v>
      </c>
      <c r="C5110" s="733">
        <v>40939</v>
      </c>
      <c r="D51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10" t="s">
        <v>485</v>
      </c>
      <c r="F5110" t="s">
        <v>2054</v>
      </c>
      <c r="G5110" t="s">
        <v>3552</v>
      </c>
      <c r="H5110">
        <v>9972</v>
      </c>
      <c r="I5110" t="s">
        <v>423</v>
      </c>
      <c r="J5110" t="s">
        <v>2072</v>
      </c>
      <c r="K5110" t="s">
        <v>2057</v>
      </c>
      <c r="L5110" t="s">
        <v>2058</v>
      </c>
      <c r="M5110">
        <v>406</v>
      </c>
      <c r="N5110">
        <v>46.48</v>
      </c>
      <c r="O5110">
        <v>12702.05</v>
      </c>
      <c r="P5110">
        <v>0</v>
      </c>
      <c r="Q5110">
        <v>12702.05</v>
      </c>
      <c r="R5110">
        <v>2032.33</v>
      </c>
      <c r="S5110">
        <v>508.08</v>
      </c>
      <c r="T5110">
        <v>14226.3</v>
      </c>
      <c r="U5110" t="s">
        <v>2073</v>
      </c>
      <c r="V5110" t="s">
        <v>9409</v>
      </c>
      <c r="W5110" t="s">
        <v>423</v>
      </c>
    </row>
    <row r="5111" spans="1:23" hidden="1" x14ac:dyDescent="0.2">
      <c r="A5111">
        <v>2012</v>
      </c>
      <c r="B5111" t="s">
        <v>303</v>
      </c>
      <c r="C5111" s="733">
        <v>40933.489942129629</v>
      </c>
      <c r="D51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11" t="s">
        <v>485</v>
      </c>
      <c r="F5111" t="s">
        <v>2054</v>
      </c>
      <c r="G5111" t="s">
        <v>3550</v>
      </c>
      <c r="H5111">
        <v>10197</v>
      </c>
      <c r="I5111" t="s">
        <v>423</v>
      </c>
      <c r="J5111" t="s">
        <v>2072</v>
      </c>
      <c r="K5111" t="s">
        <v>2057</v>
      </c>
      <c r="L5111" t="s">
        <v>2058</v>
      </c>
      <c r="M5111">
        <v>406</v>
      </c>
      <c r="N5111">
        <v>43.05</v>
      </c>
      <c r="O5111">
        <v>11764.7</v>
      </c>
      <c r="P5111">
        <v>0</v>
      </c>
      <c r="Q5111">
        <v>11764.7</v>
      </c>
      <c r="R5111">
        <v>1882.35</v>
      </c>
      <c r="S5111">
        <v>470.59</v>
      </c>
      <c r="T5111">
        <v>13176.46</v>
      </c>
      <c r="U5111" t="s">
        <v>8166</v>
      </c>
      <c r="V5111" t="s">
        <v>9409</v>
      </c>
      <c r="W5111" t="s">
        <v>423</v>
      </c>
    </row>
    <row r="5112" spans="1:23" hidden="1" x14ac:dyDescent="0.2">
      <c r="A5112">
        <v>2012</v>
      </c>
      <c r="B5112" t="s">
        <v>303</v>
      </c>
      <c r="C5112" s="733">
        <v>40938.752326388887</v>
      </c>
      <c r="D51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12" t="s">
        <v>485</v>
      </c>
      <c r="F5112" t="s">
        <v>2054</v>
      </c>
      <c r="G5112" t="s">
        <v>3549</v>
      </c>
      <c r="H5112">
        <v>10261</v>
      </c>
      <c r="I5112" t="s">
        <v>423</v>
      </c>
      <c r="J5112" t="s">
        <v>2072</v>
      </c>
      <c r="K5112" t="s">
        <v>2057</v>
      </c>
      <c r="L5112" t="s">
        <v>2058</v>
      </c>
      <c r="M5112">
        <v>406</v>
      </c>
      <c r="N5112">
        <v>29.18</v>
      </c>
      <c r="O5112">
        <v>7974.31</v>
      </c>
      <c r="P5112">
        <v>0</v>
      </c>
      <c r="Q5112">
        <v>7974.31</v>
      </c>
      <c r="R5112">
        <v>1275.8900000000001</v>
      </c>
      <c r="S5112">
        <v>318.97000000000003</v>
      </c>
      <c r="T5112">
        <v>8931.23</v>
      </c>
      <c r="U5112" t="s">
        <v>2075</v>
      </c>
      <c r="V5112" t="s">
        <v>9408</v>
      </c>
      <c r="W5112" t="s">
        <v>423</v>
      </c>
    </row>
    <row r="5113" spans="1:23" hidden="1" x14ac:dyDescent="0.2">
      <c r="A5113">
        <v>2012</v>
      </c>
      <c r="B5113" t="s">
        <v>304</v>
      </c>
      <c r="C5113" s="733">
        <v>40949.528900462959</v>
      </c>
      <c r="D51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13" t="s">
        <v>485</v>
      </c>
      <c r="F5113" t="s">
        <v>2054</v>
      </c>
      <c r="G5113" t="s">
        <v>3548</v>
      </c>
      <c r="H5113">
        <v>10378</v>
      </c>
      <c r="I5113" t="s">
        <v>423</v>
      </c>
      <c r="J5113" t="s">
        <v>2072</v>
      </c>
      <c r="K5113" t="s">
        <v>2057</v>
      </c>
      <c r="L5113" t="s">
        <v>2058</v>
      </c>
      <c r="M5113">
        <v>406</v>
      </c>
      <c r="N5113">
        <v>46.13</v>
      </c>
      <c r="O5113">
        <v>12606.41</v>
      </c>
      <c r="P5113">
        <v>0</v>
      </c>
      <c r="Q5113">
        <v>12606.41</v>
      </c>
      <c r="R5113">
        <v>1386.7</v>
      </c>
      <c r="S5113">
        <v>504.26</v>
      </c>
      <c r="T5113">
        <v>13488.85</v>
      </c>
      <c r="U5113" t="s">
        <v>2082</v>
      </c>
      <c r="V5113" t="s">
        <v>9409</v>
      </c>
      <c r="W5113" t="s">
        <v>423</v>
      </c>
    </row>
    <row r="5114" spans="1:23" hidden="1" x14ac:dyDescent="0.2">
      <c r="A5114">
        <v>2012</v>
      </c>
      <c r="B5114" t="s">
        <v>304</v>
      </c>
      <c r="C5114" s="733">
        <v>40960.442615740743</v>
      </c>
      <c r="D51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14" t="s">
        <v>485</v>
      </c>
      <c r="F5114" t="s">
        <v>2054</v>
      </c>
      <c r="G5114" t="s">
        <v>8284</v>
      </c>
      <c r="H5114">
        <v>10500</v>
      </c>
      <c r="I5114" t="s">
        <v>423</v>
      </c>
      <c r="J5114" t="s">
        <v>2072</v>
      </c>
      <c r="K5114" t="s">
        <v>2057</v>
      </c>
      <c r="L5114" t="s">
        <v>2058</v>
      </c>
      <c r="M5114">
        <v>406</v>
      </c>
      <c r="N5114">
        <v>47.24</v>
      </c>
      <c r="O5114">
        <v>12909.75</v>
      </c>
      <c r="P5114">
        <v>0</v>
      </c>
      <c r="Q5114">
        <v>12909.75</v>
      </c>
      <c r="R5114">
        <v>1420.07</v>
      </c>
      <c r="S5114">
        <v>516.39</v>
      </c>
      <c r="T5114">
        <v>13813.43</v>
      </c>
      <c r="U5114" t="s">
        <v>8864</v>
      </c>
      <c r="V5114" t="s">
        <v>9409</v>
      </c>
      <c r="W5114" t="s">
        <v>423</v>
      </c>
    </row>
    <row r="5115" spans="1:23" hidden="1" x14ac:dyDescent="0.2">
      <c r="A5115">
        <v>2012</v>
      </c>
      <c r="B5115" t="s">
        <v>304</v>
      </c>
      <c r="C5115" s="733">
        <v>40964</v>
      </c>
      <c r="D51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15" t="s">
        <v>485</v>
      </c>
      <c r="F5115" t="s">
        <v>2054</v>
      </c>
      <c r="G5115" t="s">
        <v>8751</v>
      </c>
      <c r="H5115">
        <v>10541</v>
      </c>
      <c r="I5115" t="s">
        <v>423</v>
      </c>
      <c r="J5115" t="s">
        <v>2072</v>
      </c>
      <c r="K5115" t="s">
        <v>2057</v>
      </c>
      <c r="L5115" t="s">
        <v>2058</v>
      </c>
      <c r="M5115">
        <v>406</v>
      </c>
      <c r="N5115">
        <v>45.05</v>
      </c>
      <c r="O5115">
        <v>12311.26</v>
      </c>
      <c r="P5115">
        <v>0</v>
      </c>
      <c r="Q5115">
        <v>12311.26</v>
      </c>
      <c r="R5115">
        <v>1354.24</v>
      </c>
      <c r="S5115">
        <v>492.45</v>
      </c>
      <c r="T5115">
        <v>13173.05</v>
      </c>
      <c r="U5115" t="s">
        <v>8864</v>
      </c>
      <c r="V5115" t="s">
        <v>9409</v>
      </c>
      <c r="W5115" t="s">
        <v>423</v>
      </c>
    </row>
    <row r="5116" spans="1:23" hidden="1" x14ac:dyDescent="0.2">
      <c r="A5116">
        <v>2012</v>
      </c>
      <c r="B5116" t="s">
        <v>304</v>
      </c>
      <c r="C5116" s="733">
        <v>40961</v>
      </c>
      <c r="D51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16" t="s">
        <v>505</v>
      </c>
      <c r="F5116" t="s">
        <v>1915</v>
      </c>
      <c r="G5116" t="s">
        <v>8464</v>
      </c>
      <c r="H5116">
        <v>22881</v>
      </c>
      <c r="I5116" t="s">
        <v>1979</v>
      </c>
      <c r="J5116" t="s">
        <v>1980</v>
      </c>
      <c r="K5116" t="s">
        <v>1918</v>
      </c>
      <c r="L5116" t="s">
        <v>1919</v>
      </c>
      <c r="M5116">
        <v>732</v>
      </c>
      <c r="N5116">
        <v>50.33</v>
      </c>
      <c r="O5116">
        <v>23796.02</v>
      </c>
      <c r="P5116">
        <v>0</v>
      </c>
      <c r="Q5116">
        <v>23796.02</v>
      </c>
      <c r="R5116">
        <v>3807.36</v>
      </c>
      <c r="S5116">
        <v>951.84</v>
      </c>
      <c r="T5116">
        <v>26651.54</v>
      </c>
      <c r="U5116" t="s">
        <v>8491</v>
      </c>
      <c r="V5116" t="s">
        <v>9409</v>
      </c>
      <c r="W5116" t="s">
        <v>1979</v>
      </c>
    </row>
    <row r="5117" spans="1:23" hidden="1" x14ac:dyDescent="0.2">
      <c r="A5117">
        <v>2012</v>
      </c>
      <c r="B5117" t="s">
        <v>304</v>
      </c>
      <c r="C5117" s="733">
        <v>40960.452604166669</v>
      </c>
      <c r="D51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17" t="s">
        <v>478</v>
      </c>
      <c r="F5117" t="s">
        <v>2622</v>
      </c>
      <c r="G5117" t="s">
        <v>8468</v>
      </c>
      <c r="H5117">
        <v>35833</v>
      </c>
      <c r="I5117" t="s">
        <v>423</v>
      </c>
      <c r="J5117" t="s">
        <v>2644</v>
      </c>
      <c r="K5117" t="s">
        <v>2625</v>
      </c>
      <c r="L5117" t="s">
        <v>2145</v>
      </c>
      <c r="M5117">
        <v>52</v>
      </c>
      <c r="N5117">
        <v>24.16</v>
      </c>
      <c r="O5117">
        <v>2844.36</v>
      </c>
      <c r="P5117">
        <v>0</v>
      </c>
      <c r="Q5117">
        <v>2844.36</v>
      </c>
      <c r="R5117">
        <v>455.1</v>
      </c>
      <c r="S5117">
        <v>113.77</v>
      </c>
      <c r="T5117">
        <v>3185.69</v>
      </c>
      <c r="U5117" t="s">
        <v>8267</v>
      </c>
      <c r="V5117" t="s">
        <v>9408</v>
      </c>
      <c r="W5117" t="s">
        <v>423</v>
      </c>
    </row>
    <row r="5118" spans="1:23" hidden="1" x14ac:dyDescent="0.2">
      <c r="A5118">
        <v>2012</v>
      </c>
      <c r="B5118" t="s">
        <v>305</v>
      </c>
      <c r="C5118" s="733">
        <v>40970</v>
      </c>
      <c r="D5118" s="733" t="str">
        <f>CHOOSE(MONTH(Tabla_sqldatos_bonampakdb_Bon_v_ingresos2012[[#This Row],[fecha_guia]]),"Enero","Febrero","Marzo","Abril","Mayo","Junio","Julio","Agosto","Septiembre","Octubre","Noviembre","Diciembre")</f>
        <v>Marzo</v>
      </c>
      <c r="E5118" t="s">
        <v>478</v>
      </c>
      <c r="F5118" t="s">
        <v>2622</v>
      </c>
      <c r="G5118" t="s">
        <v>9743</v>
      </c>
      <c r="H5118">
        <v>36300</v>
      </c>
      <c r="I5118" t="s">
        <v>423</v>
      </c>
      <c r="J5118" t="s">
        <v>2644</v>
      </c>
      <c r="K5118" t="s">
        <v>2625</v>
      </c>
      <c r="L5118" t="s">
        <v>2626</v>
      </c>
      <c r="M5118">
        <v>52</v>
      </c>
      <c r="N5118">
        <v>24.58</v>
      </c>
      <c r="O5118">
        <v>2893.8</v>
      </c>
      <c r="P5118">
        <v>0</v>
      </c>
      <c r="Q5118">
        <v>2893.8</v>
      </c>
      <c r="R5118">
        <v>463.01</v>
      </c>
      <c r="S5118">
        <v>115.75</v>
      </c>
      <c r="T5118">
        <v>3241.06</v>
      </c>
      <c r="V5118" t="s">
        <v>9408</v>
      </c>
      <c r="W5118" t="s">
        <v>423</v>
      </c>
    </row>
    <row r="5119" spans="1:23" hidden="1" x14ac:dyDescent="0.2">
      <c r="A5119">
        <v>2012</v>
      </c>
      <c r="B5119" t="s">
        <v>304</v>
      </c>
      <c r="C5119" s="733">
        <v>40963.424560185187</v>
      </c>
      <c r="D51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19" t="s">
        <v>485</v>
      </c>
      <c r="F5119" t="s">
        <v>2065</v>
      </c>
      <c r="G5119" t="s">
        <v>8686</v>
      </c>
      <c r="H5119">
        <v>42426</v>
      </c>
      <c r="I5119" t="s">
        <v>423</v>
      </c>
      <c r="J5119" t="s">
        <v>3972</v>
      </c>
      <c r="K5119" t="s">
        <v>2183</v>
      </c>
      <c r="L5119" t="s">
        <v>2184</v>
      </c>
      <c r="M5119">
        <v>184</v>
      </c>
      <c r="N5119">
        <v>24.42</v>
      </c>
      <c r="O5119">
        <v>4861.53</v>
      </c>
      <c r="P5119">
        <v>0</v>
      </c>
      <c r="Q5119">
        <v>4861.53</v>
      </c>
      <c r="R5119">
        <v>777.85</v>
      </c>
      <c r="S5119">
        <v>194.46</v>
      </c>
      <c r="T5119">
        <v>5444.92</v>
      </c>
      <c r="U5119" t="s">
        <v>9411</v>
      </c>
      <c r="V5119" t="s">
        <v>9408</v>
      </c>
      <c r="W5119" t="s">
        <v>423</v>
      </c>
    </row>
    <row r="5120" spans="1:23" hidden="1" x14ac:dyDescent="0.2">
      <c r="A5120">
        <v>2012</v>
      </c>
      <c r="B5120" t="s">
        <v>304</v>
      </c>
      <c r="C5120" s="733">
        <v>40963</v>
      </c>
      <c r="D51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20" t="s">
        <v>485</v>
      </c>
      <c r="F5120" t="s">
        <v>2048</v>
      </c>
      <c r="G5120" t="s">
        <v>8715</v>
      </c>
      <c r="H5120">
        <v>42613</v>
      </c>
      <c r="I5120" t="s">
        <v>423</v>
      </c>
      <c r="J5120" t="s">
        <v>2274</v>
      </c>
      <c r="K5120" t="s">
        <v>2051</v>
      </c>
      <c r="L5120" t="s">
        <v>2052</v>
      </c>
      <c r="M5120">
        <v>573</v>
      </c>
      <c r="N5120">
        <v>53.5</v>
      </c>
      <c r="O5120">
        <v>17360.75</v>
      </c>
      <c r="P5120">
        <v>0</v>
      </c>
      <c r="Q5120">
        <v>17360.75</v>
      </c>
      <c r="R5120">
        <v>2777.72</v>
      </c>
      <c r="S5120">
        <v>694.43</v>
      </c>
      <c r="T5120">
        <v>19444.04</v>
      </c>
      <c r="V5120" t="s">
        <v>9409</v>
      </c>
      <c r="W5120" t="s">
        <v>423</v>
      </c>
    </row>
    <row r="5121" spans="1:23" hidden="1" x14ac:dyDescent="0.2">
      <c r="A5121">
        <v>2012</v>
      </c>
      <c r="B5121" t="s">
        <v>303</v>
      </c>
      <c r="C5121" s="733">
        <v>40938</v>
      </c>
      <c r="D51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21" t="s">
        <v>485</v>
      </c>
      <c r="F5121" t="s">
        <v>2084</v>
      </c>
      <c r="G5121" t="s">
        <v>3774</v>
      </c>
      <c r="H5121">
        <v>40792</v>
      </c>
      <c r="I5121" t="s">
        <v>423</v>
      </c>
      <c r="J5121" t="s">
        <v>2813</v>
      </c>
      <c r="K5121" t="s">
        <v>2814</v>
      </c>
      <c r="L5121" t="s">
        <v>2815</v>
      </c>
      <c r="M5121">
        <v>365</v>
      </c>
      <c r="N5121">
        <v>23.47</v>
      </c>
      <c r="O5121">
        <v>6317.65</v>
      </c>
      <c r="P5121">
        <v>0</v>
      </c>
      <c r="Q5121">
        <v>6317.65</v>
      </c>
      <c r="R5121">
        <v>1010.82</v>
      </c>
      <c r="S5121">
        <v>252.71</v>
      </c>
      <c r="T5121">
        <v>7075.76</v>
      </c>
      <c r="U5121" t="s">
        <v>2826</v>
      </c>
      <c r="V5121" t="s">
        <v>9408</v>
      </c>
      <c r="W5121" t="s">
        <v>423</v>
      </c>
    </row>
    <row r="5122" spans="1:23" hidden="1" x14ac:dyDescent="0.2">
      <c r="A5122">
        <v>2012</v>
      </c>
      <c r="B5122" t="s">
        <v>304</v>
      </c>
      <c r="C5122" s="733">
        <v>40940</v>
      </c>
      <c r="D51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22" t="s">
        <v>485</v>
      </c>
      <c r="F5122" t="s">
        <v>2084</v>
      </c>
      <c r="G5122" t="s">
        <v>3775</v>
      </c>
      <c r="H5122">
        <v>41133</v>
      </c>
      <c r="I5122" t="s">
        <v>423</v>
      </c>
      <c r="J5122" t="s">
        <v>2813</v>
      </c>
      <c r="K5122" t="s">
        <v>2814</v>
      </c>
      <c r="L5122" t="s">
        <v>2815</v>
      </c>
      <c r="M5122">
        <v>365</v>
      </c>
      <c r="N5122">
        <v>24.516999999999999</v>
      </c>
      <c r="O5122">
        <v>6599.49</v>
      </c>
      <c r="P5122">
        <v>0</v>
      </c>
      <c r="Q5122">
        <v>6599.49</v>
      </c>
      <c r="R5122">
        <v>1055.92</v>
      </c>
      <c r="S5122">
        <v>263.98</v>
      </c>
      <c r="T5122">
        <v>7391.43</v>
      </c>
      <c r="U5122" t="s">
        <v>8522</v>
      </c>
      <c r="V5122" t="s">
        <v>9408</v>
      </c>
      <c r="W5122" t="s">
        <v>423</v>
      </c>
    </row>
    <row r="5123" spans="1:23" hidden="1" x14ac:dyDescent="0.2">
      <c r="A5123">
        <v>2012</v>
      </c>
      <c r="B5123" t="s">
        <v>304</v>
      </c>
      <c r="C5123" s="733">
        <v>40954.623749999999</v>
      </c>
      <c r="D51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23" t="s">
        <v>505</v>
      </c>
      <c r="F5123" t="s">
        <v>1915</v>
      </c>
      <c r="G5123" t="s">
        <v>7687</v>
      </c>
      <c r="H5123">
        <v>22762</v>
      </c>
      <c r="I5123" t="s">
        <v>423</v>
      </c>
      <c r="J5123" t="s">
        <v>4140</v>
      </c>
      <c r="K5123" t="s">
        <v>1918</v>
      </c>
      <c r="L5123" t="s">
        <v>1919</v>
      </c>
      <c r="M5123">
        <v>1</v>
      </c>
      <c r="N5123">
        <v>24.91</v>
      </c>
      <c r="O5123">
        <v>2405.81</v>
      </c>
      <c r="P5123">
        <v>0</v>
      </c>
      <c r="Q5123">
        <v>2405.81</v>
      </c>
      <c r="R5123">
        <v>384.93</v>
      </c>
      <c r="S5123">
        <v>96.23</v>
      </c>
      <c r="T5123">
        <v>2694.51</v>
      </c>
      <c r="U5123" t="s">
        <v>7529</v>
      </c>
      <c r="V5123" t="s">
        <v>9408</v>
      </c>
      <c r="W5123" t="s">
        <v>423</v>
      </c>
    </row>
    <row r="5124" spans="1:23" hidden="1" x14ac:dyDescent="0.2">
      <c r="A5124">
        <v>2012</v>
      </c>
      <c r="B5124" t="s">
        <v>303</v>
      </c>
      <c r="C5124" s="733">
        <v>40938</v>
      </c>
      <c r="D51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24" t="s">
        <v>505</v>
      </c>
      <c r="F5124" t="s">
        <v>1915</v>
      </c>
      <c r="G5124" t="s">
        <v>4143</v>
      </c>
      <c r="H5124">
        <v>22229</v>
      </c>
      <c r="I5124" t="s">
        <v>423</v>
      </c>
      <c r="J5124" t="s">
        <v>4140</v>
      </c>
      <c r="K5124" t="s">
        <v>1918</v>
      </c>
      <c r="L5124" t="s">
        <v>1919</v>
      </c>
      <c r="M5124">
        <v>1</v>
      </c>
      <c r="N5124">
        <v>25.05</v>
      </c>
      <c r="O5124">
        <v>2419.33</v>
      </c>
      <c r="P5124">
        <v>0</v>
      </c>
      <c r="Q5124">
        <v>2419.33</v>
      </c>
      <c r="R5124">
        <v>387.09</v>
      </c>
      <c r="S5124">
        <v>96.77</v>
      </c>
      <c r="T5124">
        <v>2709.65</v>
      </c>
      <c r="U5124" t="s">
        <v>1936</v>
      </c>
      <c r="V5124" t="s">
        <v>9408</v>
      </c>
      <c r="W5124" t="s">
        <v>423</v>
      </c>
    </row>
    <row r="5125" spans="1:23" hidden="1" x14ac:dyDescent="0.2">
      <c r="A5125">
        <v>2012</v>
      </c>
      <c r="B5125" t="s">
        <v>303</v>
      </c>
      <c r="C5125" s="733">
        <v>40920</v>
      </c>
      <c r="D51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25" t="s">
        <v>505</v>
      </c>
      <c r="F5125" t="s">
        <v>1915</v>
      </c>
      <c r="G5125" t="s">
        <v>7050</v>
      </c>
      <c r="H5125">
        <v>21906</v>
      </c>
      <c r="I5125" t="s">
        <v>423</v>
      </c>
      <c r="J5125" t="s">
        <v>1954</v>
      </c>
      <c r="K5125" t="s">
        <v>1918</v>
      </c>
      <c r="L5125" t="s">
        <v>1919</v>
      </c>
      <c r="M5125">
        <v>303</v>
      </c>
      <c r="N5125">
        <v>52.29</v>
      </c>
      <c r="O5125">
        <v>14437.27</v>
      </c>
      <c r="P5125">
        <v>0</v>
      </c>
      <c r="Q5125">
        <v>14437.27</v>
      </c>
      <c r="R5125">
        <v>2309.96</v>
      </c>
      <c r="S5125">
        <v>577.49</v>
      </c>
      <c r="T5125">
        <v>16169.74</v>
      </c>
      <c r="U5125" t="s">
        <v>1931</v>
      </c>
      <c r="V5125" t="s">
        <v>9409</v>
      </c>
      <c r="W5125" t="s">
        <v>423</v>
      </c>
    </row>
    <row r="5126" spans="1:23" hidden="1" x14ac:dyDescent="0.2">
      <c r="A5126">
        <v>2012</v>
      </c>
      <c r="B5126" t="s">
        <v>303</v>
      </c>
      <c r="C5126" s="733">
        <v>40925</v>
      </c>
      <c r="D51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26" t="s">
        <v>505</v>
      </c>
      <c r="F5126" t="s">
        <v>1915</v>
      </c>
      <c r="G5126" t="s">
        <v>7051</v>
      </c>
      <c r="H5126">
        <v>22026</v>
      </c>
      <c r="I5126" t="s">
        <v>423</v>
      </c>
      <c r="J5126" t="s">
        <v>1954</v>
      </c>
      <c r="K5126" t="s">
        <v>1918</v>
      </c>
      <c r="L5126" t="s">
        <v>1919</v>
      </c>
      <c r="M5126">
        <v>303</v>
      </c>
      <c r="N5126">
        <v>53.27</v>
      </c>
      <c r="O5126">
        <v>14707.85</v>
      </c>
      <c r="P5126">
        <v>0</v>
      </c>
      <c r="Q5126">
        <v>14707.85</v>
      </c>
      <c r="R5126">
        <v>2353.2600000000002</v>
      </c>
      <c r="S5126">
        <v>588.30999999999995</v>
      </c>
      <c r="T5126">
        <v>16472.8</v>
      </c>
      <c r="U5126" t="s">
        <v>8778</v>
      </c>
      <c r="V5126" t="s">
        <v>9409</v>
      </c>
      <c r="W5126" t="s">
        <v>423</v>
      </c>
    </row>
    <row r="5127" spans="1:23" hidden="1" x14ac:dyDescent="0.2">
      <c r="A5127">
        <v>2012</v>
      </c>
      <c r="B5127" t="s">
        <v>305</v>
      </c>
      <c r="C5127" s="733">
        <v>40970</v>
      </c>
      <c r="D512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127" t="s">
        <v>505</v>
      </c>
      <c r="F5127" t="s">
        <v>1915</v>
      </c>
      <c r="G5127" t="s">
        <v>9450</v>
      </c>
      <c r="H5127">
        <v>23138</v>
      </c>
      <c r="I5127" t="s">
        <v>424</v>
      </c>
      <c r="J5127" t="s">
        <v>1954</v>
      </c>
      <c r="K5127" t="s">
        <v>1918</v>
      </c>
      <c r="L5127" t="s">
        <v>1919</v>
      </c>
      <c r="M5127">
        <v>303</v>
      </c>
      <c r="N5127">
        <v>30</v>
      </c>
      <c r="O5127">
        <v>5862.3</v>
      </c>
      <c r="P5127">
        <v>0</v>
      </c>
      <c r="Q5127">
        <v>5862.3</v>
      </c>
      <c r="R5127">
        <v>937.97</v>
      </c>
      <c r="S5127">
        <v>234.49</v>
      </c>
      <c r="T5127">
        <v>6565.78</v>
      </c>
      <c r="V5127" t="s">
        <v>9408</v>
      </c>
      <c r="W5127" t="s">
        <v>424</v>
      </c>
    </row>
    <row r="5128" spans="1:23" hidden="1" x14ac:dyDescent="0.2">
      <c r="A5128">
        <v>2012</v>
      </c>
      <c r="B5128" t="s">
        <v>304</v>
      </c>
      <c r="C5128" s="733">
        <v>40948</v>
      </c>
      <c r="D51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28" t="s">
        <v>478</v>
      </c>
      <c r="F5128" t="s">
        <v>2136</v>
      </c>
      <c r="G5128" t="s">
        <v>7241</v>
      </c>
      <c r="H5128">
        <v>35441</v>
      </c>
      <c r="I5128" t="s">
        <v>423</v>
      </c>
      <c r="J5128" t="s">
        <v>4270</v>
      </c>
      <c r="K5128" t="s">
        <v>425</v>
      </c>
      <c r="L5128" t="s">
        <v>2145</v>
      </c>
      <c r="M5128">
        <v>560</v>
      </c>
      <c r="N5128">
        <v>46.11</v>
      </c>
      <c r="O5128">
        <v>14732.14</v>
      </c>
      <c r="P5128">
        <v>0</v>
      </c>
      <c r="Q5128">
        <v>14732.14</v>
      </c>
      <c r="R5128">
        <v>2357.14</v>
      </c>
      <c r="S5128">
        <v>589.29</v>
      </c>
      <c r="T5128">
        <v>16499.990000000002</v>
      </c>
      <c r="U5128" t="s">
        <v>2938</v>
      </c>
      <c r="V5128" t="s">
        <v>9409</v>
      </c>
      <c r="W5128" t="s">
        <v>423</v>
      </c>
    </row>
    <row r="5129" spans="1:23" hidden="1" x14ac:dyDescent="0.2">
      <c r="A5129">
        <v>2012</v>
      </c>
      <c r="B5129" t="s">
        <v>304</v>
      </c>
      <c r="C5129" s="733">
        <v>40953</v>
      </c>
      <c r="D51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29" t="s">
        <v>478</v>
      </c>
      <c r="F5129" t="s">
        <v>2136</v>
      </c>
      <c r="G5129" t="s">
        <v>7240</v>
      </c>
      <c r="H5129">
        <v>35570</v>
      </c>
      <c r="I5129" t="s">
        <v>423</v>
      </c>
      <c r="J5129" t="s">
        <v>4270</v>
      </c>
      <c r="K5129" t="s">
        <v>425</v>
      </c>
      <c r="L5129" t="s">
        <v>2145</v>
      </c>
      <c r="M5129">
        <v>560</v>
      </c>
      <c r="N5129">
        <v>20.350000000000001</v>
      </c>
      <c r="O5129">
        <v>6501.82</v>
      </c>
      <c r="P5129">
        <v>0</v>
      </c>
      <c r="Q5129">
        <v>6501.82</v>
      </c>
      <c r="R5129">
        <v>1040.29</v>
      </c>
      <c r="S5129">
        <v>260.07</v>
      </c>
      <c r="T5129">
        <v>7282.04</v>
      </c>
      <c r="U5129" t="s">
        <v>7553</v>
      </c>
      <c r="V5129" t="s">
        <v>9409</v>
      </c>
      <c r="W5129" t="s">
        <v>423</v>
      </c>
    </row>
    <row r="5130" spans="1:23" hidden="1" x14ac:dyDescent="0.2">
      <c r="A5130">
        <v>2012</v>
      </c>
      <c r="B5130" t="s">
        <v>304</v>
      </c>
      <c r="C5130" s="733">
        <v>40942</v>
      </c>
      <c r="D51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30" t="s">
        <v>485</v>
      </c>
      <c r="F5130" t="s">
        <v>2065</v>
      </c>
      <c r="G5130" t="s">
        <v>6627</v>
      </c>
      <c r="H5130">
        <v>41344</v>
      </c>
      <c r="I5130" t="s">
        <v>423</v>
      </c>
      <c r="J5130" t="s">
        <v>4518</v>
      </c>
      <c r="K5130" t="s">
        <v>2183</v>
      </c>
      <c r="L5130" t="s">
        <v>2184</v>
      </c>
      <c r="M5130">
        <v>337</v>
      </c>
      <c r="N5130">
        <v>23.68</v>
      </c>
      <c r="O5130">
        <v>5252.7</v>
      </c>
      <c r="P5130">
        <v>0</v>
      </c>
      <c r="Q5130">
        <v>5252.7</v>
      </c>
      <c r="R5130">
        <v>840.43</v>
      </c>
      <c r="S5130">
        <v>210.11</v>
      </c>
      <c r="T5130">
        <v>5883.02</v>
      </c>
      <c r="U5130" t="s">
        <v>2192</v>
      </c>
      <c r="V5130" t="s">
        <v>9408</v>
      </c>
      <c r="W5130" t="s">
        <v>423</v>
      </c>
    </row>
    <row r="5131" spans="1:23" hidden="1" x14ac:dyDescent="0.2">
      <c r="A5131">
        <v>2012</v>
      </c>
      <c r="B5131" t="s">
        <v>303</v>
      </c>
      <c r="C5131" s="733">
        <v>40921</v>
      </c>
      <c r="D51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31" t="s">
        <v>505</v>
      </c>
      <c r="F5131" t="s">
        <v>1915</v>
      </c>
      <c r="G5131" t="s">
        <v>6817</v>
      </c>
      <c r="H5131">
        <v>21947</v>
      </c>
      <c r="I5131" t="s">
        <v>423</v>
      </c>
      <c r="J5131" t="s">
        <v>3207</v>
      </c>
      <c r="K5131" t="s">
        <v>1918</v>
      </c>
      <c r="L5131" t="s">
        <v>1919</v>
      </c>
      <c r="M5131">
        <v>334</v>
      </c>
      <c r="N5131">
        <v>26.88</v>
      </c>
      <c r="O5131">
        <v>7421.57</v>
      </c>
      <c r="P5131">
        <v>0</v>
      </c>
      <c r="Q5131">
        <v>7421.57</v>
      </c>
      <c r="R5131">
        <v>1187.45</v>
      </c>
      <c r="S5131">
        <v>296.86</v>
      </c>
      <c r="T5131">
        <v>8312.16</v>
      </c>
      <c r="U5131" t="s">
        <v>1931</v>
      </c>
      <c r="V5131" t="s">
        <v>9409</v>
      </c>
      <c r="W5131" t="s">
        <v>423</v>
      </c>
    </row>
    <row r="5132" spans="1:23" hidden="1" x14ac:dyDescent="0.2">
      <c r="A5132">
        <v>2012</v>
      </c>
      <c r="B5132" t="s">
        <v>303</v>
      </c>
      <c r="C5132" s="733">
        <v>40929</v>
      </c>
      <c r="D51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32" t="s">
        <v>505</v>
      </c>
      <c r="F5132" t="s">
        <v>1915</v>
      </c>
      <c r="G5132" t="s">
        <v>3433</v>
      </c>
      <c r="H5132">
        <v>22161</v>
      </c>
      <c r="I5132" t="s">
        <v>424</v>
      </c>
      <c r="J5132" t="s">
        <v>1954</v>
      </c>
      <c r="K5132" t="s">
        <v>1918</v>
      </c>
      <c r="L5132" t="s">
        <v>1919</v>
      </c>
      <c r="M5132">
        <v>303</v>
      </c>
      <c r="N5132">
        <v>30</v>
      </c>
      <c r="O5132">
        <v>2314.83</v>
      </c>
      <c r="P5132">
        <v>1330.309653</v>
      </c>
      <c r="Q5132">
        <v>3645.1396530000002</v>
      </c>
      <c r="R5132">
        <v>583.22234400000002</v>
      </c>
      <c r="S5132">
        <v>145.80558600000001</v>
      </c>
      <c r="T5132">
        <v>4082.556411</v>
      </c>
      <c r="U5132" t="s">
        <v>8778</v>
      </c>
      <c r="V5132" t="s">
        <v>9408</v>
      </c>
      <c r="W5132" t="s">
        <v>424</v>
      </c>
    </row>
    <row r="5133" spans="1:23" hidden="1" x14ac:dyDescent="0.2">
      <c r="A5133">
        <v>2012</v>
      </c>
      <c r="B5133" t="s">
        <v>304</v>
      </c>
      <c r="C5133" s="733">
        <v>40957</v>
      </c>
      <c r="D51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33" t="s">
        <v>505</v>
      </c>
      <c r="F5133" t="s">
        <v>1915</v>
      </c>
      <c r="G5133" t="s">
        <v>7863</v>
      </c>
      <c r="H5133">
        <v>22847</v>
      </c>
      <c r="I5133" t="s">
        <v>424</v>
      </c>
      <c r="J5133" t="s">
        <v>1917</v>
      </c>
      <c r="K5133" t="s">
        <v>1918</v>
      </c>
      <c r="L5133" t="s">
        <v>1919</v>
      </c>
      <c r="M5133">
        <v>267</v>
      </c>
      <c r="N5133">
        <v>30</v>
      </c>
      <c r="O5133">
        <v>2929.97</v>
      </c>
      <c r="P5133">
        <v>1683.8244589999999</v>
      </c>
      <c r="Q5133">
        <v>4613.7944589999997</v>
      </c>
      <c r="R5133">
        <v>738.20711300000005</v>
      </c>
      <c r="S5133">
        <v>184.55177800000001</v>
      </c>
      <c r="T5133">
        <v>5167.4497940000001</v>
      </c>
      <c r="U5133" t="s">
        <v>7529</v>
      </c>
      <c r="V5133" t="s">
        <v>9408</v>
      </c>
      <c r="W5133" t="s">
        <v>424</v>
      </c>
    </row>
    <row r="5134" spans="1:23" hidden="1" x14ac:dyDescent="0.2">
      <c r="A5134">
        <v>2012</v>
      </c>
      <c r="B5134" t="s">
        <v>303</v>
      </c>
      <c r="C5134" s="733">
        <v>40939</v>
      </c>
      <c r="D51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34" t="s">
        <v>505</v>
      </c>
      <c r="F5134" t="s">
        <v>1915</v>
      </c>
      <c r="G5134" t="s">
        <v>3425</v>
      </c>
      <c r="H5134">
        <v>21670</v>
      </c>
      <c r="I5134" t="s">
        <v>424</v>
      </c>
      <c r="J5134" t="s">
        <v>1917</v>
      </c>
      <c r="K5134" t="s">
        <v>1918</v>
      </c>
      <c r="L5134" t="s">
        <v>1919</v>
      </c>
      <c r="M5134">
        <v>267</v>
      </c>
      <c r="N5134">
        <v>30</v>
      </c>
      <c r="O5134">
        <v>2929.97</v>
      </c>
      <c r="P5134">
        <v>1683.8244589999999</v>
      </c>
      <c r="Q5134">
        <v>4613.7944589999997</v>
      </c>
      <c r="R5134">
        <v>738.20711300000005</v>
      </c>
      <c r="S5134">
        <v>184.55177800000001</v>
      </c>
      <c r="T5134">
        <v>5167.4497940000001</v>
      </c>
      <c r="U5134" t="s">
        <v>1936</v>
      </c>
      <c r="V5134" t="s">
        <v>9408</v>
      </c>
      <c r="W5134" t="s">
        <v>424</v>
      </c>
    </row>
    <row r="5135" spans="1:23" hidden="1" x14ac:dyDescent="0.2">
      <c r="A5135">
        <v>2012</v>
      </c>
      <c r="B5135" t="s">
        <v>303</v>
      </c>
      <c r="C5135" s="733">
        <v>40935</v>
      </c>
      <c r="D51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35" t="s">
        <v>485</v>
      </c>
      <c r="F5135" t="s">
        <v>2048</v>
      </c>
      <c r="G5135" t="s">
        <v>6671</v>
      </c>
      <c r="H5135">
        <v>41000</v>
      </c>
      <c r="I5135" t="s">
        <v>423</v>
      </c>
      <c r="J5135" t="s">
        <v>4073</v>
      </c>
      <c r="K5135" t="s">
        <v>2051</v>
      </c>
      <c r="L5135" t="s">
        <v>2052</v>
      </c>
      <c r="M5135">
        <v>610</v>
      </c>
      <c r="N5135">
        <v>28.6</v>
      </c>
      <c r="O5135">
        <v>10138.41</v>
      </c>
      <c r="P5135">
        <v>0</v>
      </c>
      <c r="Q5135">
        <v>10138.41</v>
      </c>
      <c r="R5135">
        <v>1622.15</v>
      </c>
      <c r="S5135">
        <v>405.54</v>
      </c>
      <c r="T5135">
        <v>11355.02</v>
      </c>
      <c r="U5135" t="s">
        <v>2053</v>
      </c>
      <c r="V5135" t="s">
        <v>9408</v>
      </c>
      <c r="W5135" t="s">
        <v>423</v>
      </c>
    </row>
    <row r="5136" spans="1:23" hidden="1" x14ac:dyDescent="0.2">
      <c r="A5136">
        <v>2012</v>
      </c>
      <c r="B5136" t="s">
        <v>303</v>
      </c>
      <c r="C5136" s="733">
        <v>40926.522118055553</v>
      </c>
      <c r="D51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36" t="s">
        <v>485</v>
      </c>
      <c r="F5136" t="s">
        <v>2054</v>
      </c>
      <c r="G5136" t="s">
        <v>2488</v>
      </c>
      <c r="H5136">
        <v>10114</v>
      </c>
      <c r="I5136" t="s">
        <v>423</v>
      </c>
      <c r="J5136" t="s">
        <v>2072</v>
      </c>
      <c r="K5136" t="s">
        <v>2057</v>
      </c>
      <c r="L5136" t="s">
        <v>2058</v>
      </c>
      <c r="M5136">
        <v>406</v>
      </c>
      <c r="N5136">
        <v>46.36</v>
      </c>
      <c r="O5136">
        <v>12669.26</v>
      </c>
      <c r="P5136">
        <v>0</v>
      </c>
      <c r="Q5136">
        <v>12669.26</v>
      </c>
      <c r="R5136">
        <v>2027.08</v>
      </c>
      <c r="S5136">
        <v>506.77</v>
      </c>
      <c r="T5136">
        <v>14189.57</v>
      </c>
      <c r="U5136" t="s">
        <v>2077</v>
      </c>
      <c r="V5136" t="s">
        <v>9409</v>
      </c>
      <c r="W5136" t="s">
        <v>423</v>
      </c>
    </row>
    <row r="5137" spans="1:23" hidden="1" x14ac:dyDescent="0.2">
      <c r="A5137">
        <v>2012</v>
      </c>
      <c r="B5137" t="s">
        <v>304</v>
      </c>
      <c r="C5137" s="733">
        <v>40959.466782407406</v>
      </c>
      <c r="D51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37" t="s">
        <v>485</v>
      </c>
      <c r="F5137" t="s">
        <v>2054</v>
      </c>
      <c r="G5137" t="s">
        <v>8102</v>
      </c>
      <c r="H5137">
        <v>10484</v>
      </c>
      <c r="I5137" t="s">
        <v>423</v>
      </c>
      <c r="J5137" t="s">
        <v>2072</v>
      </c>
      <c r="K5137" t="s">
        <v>2057</v>
      </c>
      <c r="L5137" t="s">
        <v>2058</v>
      </c>
      <c r="M5137">
        <v>406</v>
      </c>
      <c r="N5137">
        <v>46.74</v>
      </c>
      <c r="O5137">
        <v>12773.11</v>
      </c>
      <c r="P5137">
        <v>0</v>
      </c>
      <c r="Q5137">
        <v>12773.11</v>
      </c>
      <c r="R5137">
        <v>1405.04</v>
      </c>
      <c r="S5137">
        <v>510.92</v>
      </c>
      <c r="T5137">
        <v>13667.23</v>
      </c>
      <c r="U5137" t="s">
        <v>8864</v>
      </c>
      <c r="V5137" t="s">
        <v>9409</v>
      </c>
      <c r="W5137" t="s">
        <v>423</v>
      </c>
    </row>
    <row r="5138" spans="1:23" hidden="1" x14ac:dyDescent="0.2">
      <c r="A5138">
        <v>2012</v>
      </c>
      <c r="B5138" t="s">
        <v>303</v>
      </c>
      <c r="C5138" s="733">
        <v>40926.752442129633</v>
      </c>
      <c r="D51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38" t="s">
        <v>485</v>
      </c>
      <c r="F5138" t="s">
        <v>2054</v>
      </c>
      <c r="G5138" t="s">
        <v>6665</v>
      </c>
      <c r="H5138">
        <v>10119</v>
      </c>
      <c r="I5138" t="s">
        <v>423</v>
      </c>
      <c r="J5138" t="s">
        <v>2072</v>
      </c>
      <c r="K5138" t="s">
        <v>2057</v>
      </c>
      <c r="L5138" t="s">
        <v>2058</v>
      </c>
      <c r="M5138">
        <v>406</v>
      </c>
      <c r="N5138">
        <v>47.25</v>
      </c>
      <c r="O5138">
        <v>12912.48</v>
      </c>
      <c r="P5138">
        <v>0</v>
      </c>
      <c r="Q5138">
        <v>12912.48</v>
      </c>
      <c r="R5138">
        <v>2066</v>
      </c>
      <c r="S5138">
        <v>516.5</v>
      </c>
      <c r="T5138">
        <v>14461.98</v>
      </c>
      <c r="U5138" t="s">
        <v>2077</v>
      </c>
      <c r="V5138" t="s">
        <v>9409</v>
      </c>
      <c r="W5138" t="s">
        <v>423</v>
      </c>
    </row>
    <row r="5139" spans="1:23" hidden="1" x14ac:dyDescent="0.2">
      <c r="A5139">
        <v>2012</v>
      </c>
      <c r="B5139" t="s">
        <v>304</v>
      </c>
      <c r="C5139" s="733">
        <v>40952.557581018518</v>
      </c>
      <c r="D51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39" t="s">
        <v>485</v>
      </c>
      <c r="F5139" t="s">
        <v>2054</v>
      </c>
      <c r="G5139" t="s">
        <v>2487</v>
      </c>
      <c r="H5139">
        <v>10413</v>
      </c>
      <c r="I5139" t="s">
        <v>423</v>
      </c>
      <c r="J5139" t="s">
        <v>2072</v>
      </c>
      <c r="K5139" t="s">
        <v>2057</v>
      </c>
      <c r="L5139" t="s">
        <v>2058</v>
      </c>
      <c r="M5139">
        <v>406</v>
      </c>
      <c r="N5139">
        <v>30.12</v>
      </c>
      <c r="O5139">
        <v>8231.19</v>
      </c>
      <c r="P5139">
        <v>0</v>
      </c>
      <c r="Q5139">
        <v>8231.19</v>
      </c>
      <c r="R5139">
        <v>905.43</v>
      </c>
      <c r="S5139">
        <v>329.25</v>
      </c>
      <c r="T5139">
        <v>8807.3700000000008</v>
      </c>
      <c r="U5139" t="s">
        <v>8047</v>
      </c>
      <c r="V5139" t="s">
        <v>9408</v>
      </c>
      <c r="W5139" t="s">
        <v>423</v>
      </c>
    </row>
    <row r="5140" spans="1:23" x14ac:dyDescent="0.2">
      <c r="A5140">
        <v>2012</v>
      </c>
      <c r="B5140" t="s">
        <v>304</v>
      </c>
      <c r="C5140" s="733">
        <v>40967</v>
      </c>
      <c r="D51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40" t="s">
        <v>485</v>
      </c>
      <c r="F5140" t="s">
        <v>2054</v>
      </c>
      <c r="G5140" t="s">
        <v>9202</v>
      </c>
      <c r="H5140">
        <v>10596</v>
      </c>
      <c r="I5140" t="s">
        <v>423</v>
      </c>
      <c r="J5140" t="s">
        <v>2072</v>
      </c>
      <c r="K5140" t="s">
        <v>2057</v>
      </c>
      <c r="L5140" t="s">
        <v>2058</v>
      </c>
      <c r="M5140">
        <v>406</v>
      </c>
      <c r="N5140">
        <v>23.09</v>
      </c>
      <c r="O5140">
        <v>6310.04</v>
      </c>
      <c r="P5140">
        <v>0</v>
      </c>
      <c r="Q5140">
        <v>6310.04</v>
      </c>
      <c r="R5140">
        <v>694.1</v>
      </c>
      <c r="S5140">
        <v>252.4</v>
      </c>
      <c r="T5140">
        <v>6751.74</v>
      </c>
      <c r="V5140" t="s">
        <v>9408</v>
      </c>
      <c r="W5140" t="s">
        <v>423</v>
      </c>
    </row>
    <row r="5141" spans="1:23" hidden="1" x14ac:dyDescent="0.2">
      <c r="A5141">
        <v>2012</v>
      </c>
      <c r="B5141" t="s">
        <v>303</v>
      </c>
      <c r="C5141" s="733">
        <v>40922</v>
      </c>
      <c r="D51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41" t="s">
        <v>485</v>
      </c>
      <c r="F5141" t="s">
        <v>2054</v>
      </c>
      <c r="G5141" t="s">
        <v>2486</v>
      </c>
      <c r="H5141">
        <v>10057</v>
      </c>
      <c r="I5141" t="s">
        <v>423</v>
      </c>
      <c r="J5141" t="s">
        <v>2072</v>
      </c>
      <c r="K5141" t="s">
        <v>2057</v>
      </c>
      <c r="L5141" t="s">
        <v>2058</v>
      </c>
      <c r="M5141">
        <v>406</v>
      </c>
      <c r="N5141">
        <v>47.01</v>
      </c>
      <c r="O5141">
        <v>12846.89</v>
      </c>
      <c r="P5141">
        <v>0</v>
      </c>
      <c r="Q5141">
        <v>12846.89</v>
      </c>
      <c r="R5141">
        <v>2055.5</v>
      </c>
      <c r="S5141">
        <v>513.88</v>
      </c>
      <c r="T5141">
        <v>14388.51</v>
      </c>
      <c r="U5141" t="s">
        <v>2059</v>
      </c>
      <c r="V5141" t="s">
        <v>9409</v>
      </c>
      <c r="W5141" t="s">
        <v>423</v>
      </c>
    </row>
    <row r="5142" spans="1:23" hidden="1" x14ac:dyDescent="0.2">
      <c r="A5142">
        <v>2012</v>
      </c>
      <c r="B5142" t="s">
        <v>303</v>
      </c>
      <c r="C5142" s="733">
        <v>40922</v>
      </c>
      <c r="D51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42" t="s">
        <v>485</v>
      </c>
      <c r="F5142" t="s">
        <v>2054</v>
      </c>
      <c r="G5142" t="s">
        <v>2501</v>
      </c>
      <c r="H5142">
        <v>10054</v>
      </c>
      <c r="I5142" t="s">
        <v>423</v>
      </c>
      <c r="J5142" t="s">
        <v>2072</v>
      </c>
      <c r="K5142" t="s">
        <v>2057</v>
      </c>
      <c r="L5142" t="s">
        <v>2058</v>
      </c>
      <c r="M5142">
        <v>406</v>
      </c>
      <c r="N5142">
        <v>47.29</v>
      </c>
      <c r="O5142">
        <v>12923.41</v>
      </c>
      <c r="P5142">
        <v>0</v>
      </c>
      <c r="Q5142">
        <v>12923.41</v>
      </c>
      <c r="R5142">
        <v>2067.75</v>
      </c>
      <c r="S5142">
        <v>516.94000000000005</v>
      </c>
      <c r="T5142">
        <v>14474.22</v>
      </c>
      <c r="U5142" t="s">
        <v>2059</v>
      </c>
      <c r="V5142" t="s">
        <v>9409</v>
      </c>
      <c r="W5142" t="s">
        <v>423</v>
      </c>
    </row>
    <row r="5143" spans="1:23" hidden="1" x14ac:dyDescent="0.2">
      <c r="A5143">
        <v>2012</v>
      </c>
      <c r="B5143" t="s">
        <v>303</v>
      </c>
      <c r="C5143" s="733">
        <v>40936</v>
      </c>
      <c r="D51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43" t="s">
        <v>485</v>
      </c>
      <c r="F5143" t="s">
        <v>2054</v>
      </c>
      <c r="G5143" t="s">
        <v>2502</v>
      </c>
      <c r="H5143">
        <v>10235</v>
      </c>
      <c r="I5143" t="s">
        <v>423</v>
      </c>
      <c r="J5143" t="s">
        <v>2072</v>
      </c>
      <c r="K5143" t="s">
        <v>2057</v>
      </c>
      <c r="L5143" t="s">
        <v>2058</v>
      </c>
      <c r="M5143">
        <v>406</v>
      </c>
      <c r="N5143">
        <v>22.92</v>
      </c>
      <c r="O5143">
        <v>6263.58</v>
      </c>
      <c r="P5143">
        <v>0</v>
      </c>
      <c r="Q5143">
        <v>6263.58</v>
      </c>
      <c r="R5143">
        <v>1002.17</v>
      </c>
      <c r="S5143">
        <v>250.54</v>
      </c>
      <c r="T5143">
        <v>7015.21</v>
      </c>
      <c r="U5143" t="s">
        <v>2073</v>
      </c>
      <c r="V5143" t="s">
        <v>9408</v>
      </c>
      <c r="W5143" t="s">
        <v>423</v>
      </c>
    </row>
    <row r="5144" spans="1:23" hidden="1" x14ac:dyDescent="0.2">
      <c r="A5144">
        <v>2012</v>
      </c>
      <c r="B5144" t="s">
        <v>303</v>
      </c>
      <c r="C5144" s="733">
        <v>40932</v>
      </c>
      <c r="D51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44" t="s">
        <v>505</v>
      </c>
      <c r="F5144" t="s">
        <v>1915</v>
      </c>
      <c r="G5144" t="s">
        <v>3438</v>
      </c>
      <c r="H5144">
        <v>22202</v>
      </c>
      <c r="I5144" t="s">
        <v>423</v>
      </c>
      <c r="J5144" t="s">
        <v>1943</v>
      </c>
      <c r="K5144" t="s">
        <v>1918</v>
      </c>
      <c r="L5144" t="s">
        <v>1919</v>
      </c>
      <c r="M5144">
        <v>319</v>
      </c>
      <c r="N5144">
        <v>53.96</v>
      </c>
      <c r="O5144">
        <v>15823.23</v>
      </c>
      <c r="P5144">
        <v>0</v>
      </c>
      <c r="Q5144">
        <v>15823.23</v>
      </c>
      <c r="R5144">
        <v>2531.7199999999998</v>
      </c>
      <c r="S5144">
        <v>632.92999999999995</v>
      </c>
      <c r="T5144">
        <v>17722.02</v>
      </c>
      <c r="U5144" t="s">
        <v>1936</v>
      </c>
      <c r="V5144" t="s">
        <v>9409</v>
      </c>
      <c r="W5144" t="s">
        <v>423</v>
      </c>
    </row>
    <row r="5145" spans="1:23" hidden="1" x14ac:dyDescent="0.2">
      <c r="A5145">
        <v>2012</v>
      </c>
      <c r="B5145" t="s">
        <v>303</v>
      </c>
      <c r="C5145" s="733">
        <v>40914.861701388887</v>
      </c>
      <c r="D51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45" t="s">
        <v>505</v>
      </c>
      <c r="F5145" t="s">
        <v>1915</v>
      </c>
      <c r="G5145" t="s">
        <v>3437</v>
      </c>
      <c r="H5145">
        <v>21792</v>
      </c>
      <c r="I5145" t="s">
        <v>423</v>
      </c>
      <c r="J5145" t="s">
        <v>1943</v>
      </c>
      <c r="K5145" t="s">
        <v>1918</v>
      </c>
      <c r="L5145" t="s">
        <v>1919</v>
      </c>
      <c r="M5145">
        <v>319</v>
      </c>
      <c r="N5145">
        <v>57.88</v>
      </c>
      <c r="O5145">
        <v>16972.73</v>
      </c>
      <c r="P5145">
        <v>0</v>
      </c>
      <c r="Q5145">
        <v>16972.73</v>
      </c>
      <c r="R5145">
        <v>2715.64</v>
      </c>
      <c r="S5145">
        <v>678.91</v>
      </c>
      <c r="T5145">
        <v>19009.46</v>
      </c>
      <c r="U5145" t="s">
        <v>1931</v>
      </c>
      <c r="V5145" t="s">
        <v>9409</v>
      </c>
      <c r="W5145" t="s">
        <v>423</v>
      </c>
    </row>
    <row r="5146" spans="1:23" hidden="1" x14ac:dyDescent="0.2">
      <c r="A5146">
        <v>2012</v>
      </c>
      <c r="B5146" t="s">
        <v>303</v>
      </c>
      <c r="C5146" s="733">
        <v>40932</v>
      </c>
      <c r="D51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46" t="s">
        <v>485</v>
      </c>
      <c r="F5146" t="s">
        <v>2054</v>
      </c>
      <c r="G5146" t="s">
        <v>6680</v>
      </c>
      <c r="H5146">
        <v>10175</v>
      </c>
      <c r="I5146" t="s">
        <v>423</v>
      </c>
      <c r="J5146" t="s">
        <v>2072</v>
      </c>
      <c r="K5146" t="s">
        <v>2057</v>
      </c>
      <c r="L5146" t="s">
        <v>2058</v>
      </c>
      <c r="M5146">
        <v>406</v>
      </c>
      <c r="N5146">
        <v>24</v>
      </c>
      <c r="O5146">
        <v>6558.72</v>
      </c>
      <c r="P5146">
        <v>0</v>
      </c>
      <c r="Q5146">
        <v>6558.72</v>
      </c>
      <c r="R5146">
        <v>1049.4000000000001</v>
      </c>
      <c r="S5146">
        <v>262.35000000000002</v>
      </c>
      <c r="T5146">
        <v>7345.77</v>
      </c>
      <c r="U5146" t="s">
        <v>2073</v>
      </c>
      <c r="V5146" t="s">
        <v>9408</v>
      </c>
      <c r="W5146" t="s">
        <v>423</v>
      </c>
    </row>
    <row r="5147" spans="1:23" hidden="1" x14ac:dyDescent="0.2">
      <c r="A5147">
        <v>2012</v>
      </c>
      <c r="B5147" t="s">
        <v>303</v>
      </c>
      <c r="C5147" s="733">
        <v>40920</v>
      </c>
      <c r="D51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47" t="s">
        <v>485</v>
      </c>
      <c r="F5147" t="s">
        <v>2054</v>
      </c>
      <c r="G5147" t="s">
        <v>2492</v>
      </c>
      <c r="H5147">
        <v>9974</v>
      </c>
      <c r="I5147" t="s">
        <v>423</v>
      </c>
      <c r="J5147" t="s">
        <v>2072</v>
      </c>
      <c r="K5147" t="s">
        <v>2057</v>
      </c>
      <c r="L5147" t="s">
        <v>2058</v>
      </c>
      <c r="M5147">
        <v>406</v>
      </c>
      <c r="N5147">
        <v>45.93</v>
      </c>
      <c r="O5147">
        <v>12551.75</v>
      </c>
      <c r="P5147">
        <v>0</v>
      </c>
      <c r="Q5147">
        <v>12551.75</v>
      </c>
      <c r="R5147">
        <v>2008.28</v>
      </c>
      <c r="S5147">
        <v>502.07</v>
      </c>
      <c r="T5147">
        <v>14057.96</v>
      </c>
      <c r="V5147" t="s">
        <v>9409</v>
      </c>
      <c r="W5147" t="s">
        <v>423</v>
      </c>
    </row>
    <row r="5148" spans="1:23" hidden="1" x14ac:dyDescent="0.2">
      <c r="A5148">
        <v>2012</v>
      </c>
      <c r="B5148" t="s">
        <v>304</v>
      </c>
      <c r="C5148" s="733">
        <v>40964</v>
      </c>
      <c r="D51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48" t="s">
        <v>485</v>
      </c>
      <c r="F5148" t="s">
        <v>2054</v>
      </c>
      <c r="G5148" t="s">
        <v>8811</v>
      </c>
      <c r="H5148">
        <v>10539</v>
      </c>
      <c r="I5148" t="s">
        <v>423</v>
      </c>
      <c r="J5148" t="s">
        <v>2072</v>
      </c>
      <c r="K5148" t="s">
        <v>2057</v>
      </c>
      <c r="L5148" t="s">
        <v>2058</v>
      </c>
      <c r="M5148">
        <v>406</v>
      </c>
      <c r="N5148">
        <v>24.82</v>
      </c>
      <c r="O5148">
        <v>6782.81</v>
      </c>
      <c r="P5148">
        <v>0</v>
      </c>
      <c r="Q5148">
        <v>6782.81</v>
      </c>
      <c r="R5148">
        <v>746.11</v>
      </c>
      <c r="S5148">
        <v>271.31</v>
      </c>
      <c r="T5148">
        <v>7257.61</v>
      </c>
      <c r="V5148" t="s">
        <v>9408</v>
      </c>
      <c r="W5148" t="s">
        <v>423</v>
      </c>
    </row>
    <row r="5149" spans="1:23" hidden="1" x14ac:dyDescent="0.2">
      <c r="A5149">
        <v>2012</v>
      </c>
      <c r="B5149" t="s">
        <v>303</v>
      </c>
      <c r="C5149" s="733">
        <v>40924.502384259256</v>
      </c>
      <c r="D51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49" t="s">
        <v>485</v>
      </c>
      <c r="F5149" t="s">
        <v>2048</v>
      </c>
      <c r="G5149" t="s">
        <v>6686</v>
      </c>
      <c r="H5149">
        <v>40377</v>
      </c>
      <c r="I5149" t="s">
        <v>423</v>
      </c>
      <c r="J5149" t="s">
        <v>4091</v>
      </c>
      <c r="K5149" t="s">
        <v>2051</v>
      </c>
      <c r="L5149" t="s">
        <v>2052</v>
      </c>
      <c r="M5149">
        <v>1092</v>
      </c>
      <c r="N5149">
        <v>57.4</v>
      </c>
      <c r="O5149">
        <v>33492.9</v>
      </c>
      <c r="P5149">
        <v>0</v>
      </c>
      <c r="Q5149">
        <v>33492.9</v>
      </c>
      <c r="R5149">
        <v>5358.86</v>
      </c>
      <c r="S5149">
        <v>1339.72</v>
      </c>
      <c r="T5149">
        <v>37512.04</v>
      </c>
      <c r="U5149" t="s">
        <v>2062</v>
      </c>
      <c r="V5149" t="s">
        <v>9409</v>
      </c>
      <c r="W5149" t="s">
        <v>423</v>
      </c>
    </row>
    <row r="5150" spans="1:23" hidden="1" x14ac:dyDescent="0.2">
      <c r="A5150">
        <v>2012</v>
      </c>
      <c r="B5150" t="s">
        <v>303</v>
      </c>
      <c r="C5150" s="733">
        <v>40932</v>
      </c>
      <c r="D51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50" t="s">
        <v>485</v>
      </c>
      <c r="F5150" t="s">
        <v>2048</v>
      </c>
      <c r="G5150" t="s">
        <v>6681</v>
      </c>
      <c r="H5150">
        <v>40380</v>
      </c>
      <c r="I5150" t="s">
        <v>423</v>
      </c>
      <c r="J5150" t="s">
        <v>4091</v>
      </c>
      <c r="K5150" t="s">
        <v>2051</v>
      </c>
      <c r="L5150" t="s">
        <v>2052</v>
      </c>
      <c r="M5150">
        <v>1092</v>
      </c>
      <c r="N5150">
        <v>24.95</v>
      </c>
      <c r="O5150">
        <v>14558.32</v>
      </c>
      <c r="P5150">
        <v>0</v>
      </c>
      <c r="Q5150">
        <v>14558.32</v>
      </c>
      <c r="R5150">
        <v>2329.33</v>
      </c>
      <c r="S5150">
        <v>582.33000000000004</v>
      </c>
      <c r="T5150">
        <v>16305.32</v>
      </c>
      <c r="U5150" t="s">
        <v>2053</v>
      </c>
      <c r="V5150" t="s">
        <v>9408</v>
      </c>
      <c r="W5150" t="s">
        <v>423</v>
      </c>
    </row>
    <row r="5151" spans="1:23" hidden="1" x14ac:dyDescent="0.2">
      <c r="A5151">
        <v>2012</v>
      </c>
      <c r="B5151" t="s">
        <v>304</v>
      </c>
      <c r="C5151" s="733">
        <v>40947.558425925927</v>
      </c>
      <c r="D51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51" t="s">
        <v>485</v>
      </c>
      <c r="F5151" t="s">
        <v>2054</v>
      </c>
      <c r="G5151" t="s">
        <v>2499</v>
      </c>
      <c r="H5151">
        <v>10352</v>
      </c>
      <c r="I5151" t="s">
        <v>423</v>
      </c>
      <c r="J5151" t="s">
        <v>2072</v>
      </c>
      <c r="K5151" t="s">
        <v>2057</v>
      </c>
      <c r="L5151" t="s">
        <v>2058</v>
      </c>
      <c r="M5151">
        <v>406</v>
      </c>
      <c r="N5151">
        <v>47.19</v>
      </c>
      <c r="O5151">
        <v>12896.08</v>
      </c>
      <c r="P5151">
        <v>0</v>
      </c>
      <c r="Q5151">
        <v>12896.08</v>
      </c>
      <c r="R5151">
        <v>1418.57</v>
      </c>
      <c r="S5151">
        <v>515.84</v>
      </c>
      <c r="T5151">
        <v>13798.81</v>
      </c>
      <c r="U5151" t="s">
        <v>2082</v>
      </c>
      <c r="V5151" t="s">
        <v>9409</v>
      </c>
      <c r="W5151" t="s">
        <v>423</v>
      </c>
    </row>
    <row r="5152" spans="1:23" hidden="1" x14ac:dyDescent="0.2">
      <c r="A5152">
        <v>2012</v>
      </c>
      <c r="B5152" t="s">
        <v>304</v>
      </c>
      <c r="C5152" s="733">
        <v>40956</v>
      </c>
      <c r="D51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52" t="s">
        <v>505</v>
      </c>
      <c r="F5152" t="s">
        <v>1915</v>
      </c>
      <c r="G5152" t="s">
        <v>7783</v>
      </c>
      <c r="H5152">
        <v>22763</v>
      </c>
      <c r="I5152" t="s">
        <v>423</v>
      </c>
      <c r="J5152" t="s">
        <v>4153</v>
      </c>
      <c r="K5152" t="s">
        <v>1918</v>
      </c>
      <c r="L5152" t="s">
        <v>1919</v>
      </c>
      <c r="M5152">
        <v>850</v>
      </c>
      <c r="N5152">
        <v>50.04</v>
      </c>
      <c r="O5152">
        <v>31267.99</v>
      </c>
      <c r="P5152">
        <v>0</v>
      </c>
      <c r="Q5152">
        <v>31267.99</v>
      </c>
      <c r="R5152">
        <v>5002.88</v>
      </c>
      <c r="S5152">
        <v>1250.72</v>
      </c>
      <c r="T5152">
        <v>35020.15</v>
      </c>
      <c r="U5152" t="s">
        <v>7529</v>
      </c>
      <c r="V5152" t="s">
        <v>9409</v>
      </c>
      <c r="W5152" t="s">
        <v>423</v>
      </c>
    </row>
    <row r="5153" spans="1:23" hidden="1" x14ac:dyDescent="0.2">
      <c r="A5153">
        <v>2012</v>
      </c>
      <c r="B5153" t="s">
        <v>304</v>
      </c>
      <c r="C5153" s="733">
        <v>40941</v>
      </c>
      <c r="D51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53" t="s">
        <v>478</v>
      </c>
      <c r="F5153" t="s">
        <v>2136</v>
      </c>
      <c r="G5153" t="s">
        <v>7113</v>
      </c>
      <c r="H5153">
        <v>35205</v>
      </c>
      <c r="I5153" t="s">
        <v>423</v>
      </c>
      <c r="J5153" t="s">
        <v>4289</v>
      </c>
      <c r="K5153" t="s">
        <v>425</v>
      </c>
      <c r="L5153" t="s">
        <v>2145</v>
      </c>
      <c r="M5153">
        <v>775</v>
      </c>
      <c r="N5153">
        <v>37.14</v>
      </c>
      <c r="O5153">
        <v>14222.02</v>
      </c>
      <c r="P5153">
        <v>0</v>
      </c>
      <c r="Q5153">
        <v>14222.02</v>
      </c>
      <c r="R5153">
        <v>2275.52</v>
      </c>
      <c r="S5153">
        <v>568.88</v>
      </c>
      <c r="T5153">
        <v>15928.66</v>
      </c>
      <c r="U5153" t="s">
        <v>2914</v>
      </c>
      <c r="V5153" t="s">
        <v>9408</v>
      </c>
      <c r="W5153" t="s">
        <v>423</v>
      </c>
    </row>
    <row r="5154" spans="1:23" hidden="1" x14ac:dyDescent="0.2">
      <c r="A5154">
        <v>2012</v>
      </c>
      <c r="B5154" t="s">
        <v>304</v>
      </c>
      <c r="C5154" s="733">
        <v>40954</v>
      </c>
      <c r="D51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54" t="s">
        <v>478</v>
      </c>
      <c r="F5154" t="s">
        <v>2136</v>
      </c>
      <c r="G5154" t="s">
        <v>7696</v>
      </c>
      <c r="H5154">
        <v>35578</v>
      </c>
      <c r="I5154" t="s">
        <v>423</v>
      </c>
      <c r="J5154" t="s">
        <v>4294</v>
      </c>
      <c r="K5154" t="s">
        <v>425</v>
      </c>
      <c r="L5154" t="s">
        <v>2145</v>
      </c>
      <c r="M5154">
        <v>1089</v>
      </c>
      <c r="N5154">
        <v>41.56</v>
      </c>
      <c r="O5154">
        <v>20978.240000000002</v>
      </c>
      <c r="P5154">
        <v>0</v>
      </c>
      <c r="Q5154">
        <v>20978.240000000002</v>
      </c>
      <c r="R5154">
        <v>3356.52</v>
      </c>
      <c r="S5154">
        <v>839.13</v>
      </c>
      <c r="T5154">
        <v>23495.63</v>
      </c>
      <c r="U5154" t="s">
        <v>7523</v>
      </c>
      <c r="V5154" t="s">
        <v>9409</v>
      </c>
      <c r="W5154" t="s">
        <v>423</v>
      </c>
    </row>
    <row r="5155" spans="1:23" hidden="1" x14ac:dyDescent="0.2">
      <c r="A5155">
        <v>2012</v>
      </c>
      <c r="B5155" t="s">
        <v>303</v>
      </c>
      <c r="C5155" s="733">
        <v>40914</v>
      </c>
      <c r="D51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55" t="s">
        <v>478</v>
      </c>
      <c r="F5155" t="s">
        <v>2136</v>
      </c>
      <c r="G5155" t="s">
        <v>6904</v>
      </c>
      <c r="H5155">
        <v>34125</v>
      </c>
      <c r="I5155" t="s">
        <v>423</v>
      </c>
      <c r="J5155" t="s">
        <v>4294</v>
      </c>
      <c r="K5155" t="s">
        <v>425</v>
      </c>
      <c r="L5155" t="s">
        <v>2145</v>
      </c>
      <c r="M5155">
        <v>1089</v>
      </c>
      <c r="N5155">
        <v>53.23</v>
      </c>
      <c r="O5155">
        <v>26868.91</v>
      </c>
      <c r="P5155">
        <v>0</v>
      </c>
      <c r="Q5155">
        <v>26868.91</v>
      </c>
      <c r="R5155">
        <v>4299.03</v>
      </c>
      <c r="S5155">
        <v>1074.76</v>
      </c>
      <c r="T5155">
        <v>30093.18</v>
      </c>
      <c r="U5155" t="s">
        <v>2350</v>
      </c>
      <c r="V5155" t="s">
        <v>9409</v>
      </c>
      <c r="W5155" t="s">
        <v>423</v>
      </c>
    </row>
    <row r="5156" spans="1:23" hidden="1" x14ac:dyDescent="0.2">
      <c r="A5156">
        <v>2012</v>
      </c>
      <c r="B5156" t="s">
        <v>304</v>
      </c>
      <c r="C5156" s="733">
        <v>40960</v>
      </c>
      <c r="D51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56" t="s">
        <v>478</v>
      </c>
      <c r="F5156" t="s">
        <v>2136</v>
      </c>
      <c r="G5156" t="s">
        <v>8438</v>
      </c>
      <c r="H5156">
        <v>35802</v>
      </c>
      <c r="I5156" t="s">
        <v>423</v>
      </c>
      <c r="J5156" t="s">
        <v>8439</v>
      </c>
      <c r="K5156" t="s">
        <v>425</v>
      </c>
      <c r="L5156" t="s">
        <v>2145</v>
      </c>
      <c r="M5156">
        <v>629</v>
      </c>
      <c r="N5156">
        <v>23.77</v>
      </c>
      <c r="O5156">
        <v>8153.59</v>
      </c>
      <c r="P5156">
        <v>0</v>
      </c>
      <c r="Q5156">
        <v>8153.59</v>
      </c>
      <c r="R5156">
        <v>1304.57</v>
      </c>
      <c r="S5156">
        <v>326.14</v>
      </c>
      <c r="T5156">
        <v>9132.02</v>
      </c>
      <c r="U5156" t="s">
        <v>8312</v>
      </c>
      <c r="V5156" t="s">
        <v>9408</v>
      </c>
      <c r="W5156" t="s">
        <v>423</v>
      </c>
    </row>
    <row r="5157" spans="1:23" hidden="1" x14ac:dyDescent="0.2">
      <c r="A5157">
        <v>2012</v>
      </c>
      <c r="B5157" t="s">
        <v>303</v>
      </c>
      <c r="C5157" s="733">
        <v>40931</v>
      </c>
      <c r="D51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57" t="s">
        <v>485</v>
      </c>
      <c r="F5157" t="s">
        <v>3450</v>
      </c>
      <c r="G5157" t="s">
        <v>5815</v>
      </c>
      <c r="H5157">
        <v>39849</v>
      </c>
      <c r="I5157" t="s">
        <v>423</v>
      </c>
      <c r="J5157" t="s">
        <v>3952</v>
      </c>
      <c r="K5157" t="s">
        <v>3953</v>
      </c>
      <c r="L5157" t="s">
        <v>3454</v>
      </c>
      <c r="M5157">
        <v>54</v>
      </c>
      <c r="N5157">
        <v>28.76</v>
      </c>
      <c r="O5157">
        <v>3246.14</v>
      </c>
      <c r="P5157">
        <v>0</v>
      </c>
      <c r="Q5157">
        <v>3246.14</v>
      </c>
      <c r="R5157">
        <v>519.38</v>
      </c>
      <c r="S5157">
        <v>129.85</v>
      </c>
      <c r="T5157">
        <v>3635.67</v>
      </c>
      <c r="U5157" t="s">
        <v>3459</v>
      </c>
      <c r="V5157" t="s">
        <v>9408</v>
      </c>
      <c r="W5157" t="s">
        <v>423</v>
      </c>
    </row>
    <row r="5158" spans="1:23" hidden="1" x14ac:dyDescent="0.2">
      <c r="A5158">
        <v>2012</v>
      </c>
      <c r="B5158" t="s">
        <v>303</v>
      </c>
      <c r="C5158" s="733">
        <v>40931</v>
      </c>
      <c r="D51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58" t="s">
        <v>485</v>
      </c>
      <c r="F5158" t="s">
        <v>3450</v>
      </c>
      <c r="G5158" t="s">
        <v>5814</v>
      </c>
      <c r="H5158">
        <v>39846</v>
      </c>
      <c r="I5158" t="s">
        <v>423</v>
      </c>
      <c r="J5158" t="s">
        <v>3952</v>
      </c>
      <c r="K5158" t="s">
        <v>3953</v>
      </c>
      <c r="L5158" t="s">
        <v>3454</v>
      </c>
      <c r="M5158">
        <v>54</v>
      </c>
      <c r="N5158">
        <v>29.11</v>
      </c>
      <c r="O5158">
        <v>3285.65</v>
      </c>
      <c r="P5158">
        <v>0</v>
      </c>
      <c r="Q5158">
        <v>3285.65</v>
      </c>
      <c r="R5158">
        <v>525.70000000000005</v>
      </c>
      <c r="S5158">
        <v>131.43</v>
      </c>
      <c r="T5158">
        <v>3679.92</v>
      </c>
      <c r="U5158" t="s">
        <v>3459</v>
      </c>
      <c r="V5158" t="s">
        <v>9409</v>
      </c>
      <c r="W5158" t="s">
        <v>423</v>
      </c>
    </row>
    <row r="5159" spans="1:23" x14ac:dyDescent="0.2">
      <c r="A5159">
        <v>2012</v>
      </c>
      <c r="B5159" t="s">
        <v>304</v>
      </c>
      <c r="C5159" s="733">
        <v>40968</v>
      </c>
      <c r="D51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59" t="s">
        <v>485</v>
      </c>
      <c r="F5159" t="s">
        <v>3450</v>
      </c>
      <c r="G5159" t="s">
        <v>9503</v>
      </c>
      <c r="H5159">
        <v>42482</v>
      </c>
      <c r="I5159" t="s">
        <v>423</v>
      </c>
      <c r="J5159" t="s">
        <v>3952</v>
      </c>
      <c r="K5159" t="s">
        <v>3953</v>
      </c>
      <c r="L5159" t="s">
        <v>3454</v>
      </c>
      <c r="M5159">
        <v>54</v>
      </c>
      <c r="N5159">
        <v>28.29</v>
      </c>
      <c r="O5159">
        <v>3193.09</v>
      </c>
      <c r="P5159">
        <v>0</v>
      </c>
      <c r="Q5159">
        <v>3193.09</v>
      </c>
      <c r="R5159">
        <v>510.89</v>
      </c>
      <c r="S5159">
        <v>127.72</v>
      </c>
      <c r="T5159">
        <v>3576.26</v>
      </c>
      <c r="V5159" t="s">
        <v>9408</v>
      </c>
      <c r="W5159" t="s">
        <v>423</v>
      </c>
    </row>
    <row r="5160" spans="1:23" hidden="1" x14ac:dyDescent="0.2">
      <c r="A5160">
        <v>2012</v>
      </c>
      <c r="B5160" t="s">
        <v>303</v>
      </c>
      <c r="C5160" s="733">
        <v>40932</v>
      </c>
      <c r="D51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60" t="s">
        <v>478</v>
      </c>
      <c r="F5160" t="s">
        <v>2136</v>
      </c>
      <c r="G5160" t="s">
        <v>7114</v>
      </c>
      <c r="H5160">
        <v>34868</v>
      </c>
      <c r="I5160" t="s">
        <v>423</v>
      </c>
      <c r="J5160" t="s">
        <v>4289</v>
      </c>
      <c r="K5160" t="s">
        <v>425</v>
      </c>
      <c r="L5160" t="s">
        <v>2145</v>
      </c>
      <c r="M5160">
        <v>775</v>
      </c>
      <c r="N5160">
        <v>25.22</v>
      </c>
      <c r="O5160">
        <v>9657.49</v>
      </c>
      <c r="P5160">
        <v>0</v>
      </c>
      <c r="Q5160">
        <v>9657.49</v>
      </c>
      <c r="R5160">
        <v>1545.2</v>
      </c>
      <c r="S5160">
        <v>386.3</v>
      </c>
      <c r="T5160">
        <v>10816.39</v>
      </c>
      <c r="U5160" t="s">
        <v>2355</v>
      </c>
      <c r="V5160" t="s">
        <v>9408</v>
      </c>
      <c r="W5160" t="s">
        <v>423</v>
      </c>
    </row>
    <row r="5161" spans="1:23" hidden="1" x14ac:dyDescent="0.2">
      <c r="A5161">
        <v>2012</v>
      </c>
      <c r="B5161" t="s">
        <v>304</v>
      </c>
      <c r="C5161" s="733">
        <v>40947</v>
      </c>
      <c r="D51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61" t="s">
        <v>478</v>
      </c>
      <c r="F5161" t="s">
        <v>2136</v>
      </c>
      <c r="G5161" t="s">
        <v>6903</v>
      </c>
      <c r="H5161">
        <v>35328</v>
      </c>
      <c r="I5161" t="s">
        <v>423</v>
      </c>
      <c r="J5161" t="s">
        <v>4294</v>
      </c>
      <c r="K5161" t="s">
        <v>425</v>
      </c>
      <c r="L5161" t="s">
        <v>2145</v>
      </c>
      <c r="M5161">
        <v>1089</v>
      </c>
      <c r="N5161">
        <v>49.81</v>
      </c>
      <c r="O5161">
        <v>25142.59</v>
      </c>
      <c r="P5161">
        <v>0</v>
      </c>
      <c r="Q5161">
        <v>25142.59</v>
      </c>
      <c r="R5161">
        <v>4022.81</v>
      </c>
      <c r="S5161">
        <v>1005.7</v>
      </c>
      <c r="T5161">
        <v>28159.7</v>
      </c>
      <c r="U5161" t="s">
        <v>3115</v>
      </c>
      <c r="V5161" t="s">
        <v>9409</v>
      </c>
      <c r="W5161" t="s">
        <v>423</v>
      </c>
    </row>
    <row r="5162" spans="1:23" hidden="1" x14ac:dyDescent="0.2">
      <c r="A5162">
        <v>2012</v>
      </c>
      <c r="B5162" t="s">
        <v>303</v>
      </c>
      <c r="C5162" s="733">
        <v>40938</v>
      </c>
      <c r="D51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62" t="s">
        <v>485</v>
      </c>
      <c r="F5162" t="s">
        <v>2065</v>
      </c>
      <c r="G5162" t="s">
        <v>6038</v>
      </c>
      <c r="H5162">
        <v>41035</v>
      </c>
      <c r="I5162" t="s">
        <v>423</v>
      </c>
      <c r="J5162" t="s">
        <v>4533</v>
      </c>
      <c r="K5162" t="s">
        <v>2183</v>
      </c>
      <c r="L5162" t="s">
        <v>2184</v>
      </c>
      <c r="M5162">
        <v>253</v>
      </c>
      <c r="N5162">
        <v>26.64</v>
      </c>
      <c r="O5162">
        <v>5596</v>
      </c>
      <c r="P5162">
        <v>0</v>
      </c>
      <c r="Q5162">
        <v>5596</v>
      </c>
      <c r="R5162">
        <v>895.36</v>
      </c>
      <c r="S5162">
        <v>223.84</v>
      </c>
      <c r="T5162">
        <v>6267.52</v>
      </c>
      <c r="U5162" t="s">
        <v>2187</v>
      </c>
      <c r="V5162" t="s">
        <v>9408</v>
      </c>
      <c r="W5162" t="s">
        <v>423</v>
      </c>
    </row>
    <row r="5163" spans="1:23" hidden="1" x14ac:dyDescent="0.2">
      <c r="A5163">
        <v>2012</v>
      </c>
      <c r="B5163" t="s">
        <v>304</v>
      </c>
      <c r="C5163" s="733">
        <v>40947.718935185185</v>
      </c>
      <c r="D51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63" t="s">
        <v>478</v>
      </c>
      <c r="F5163" t="s">
        <v>4128</v>
      </c>
      <c r="G5163" t="s">
        <v>5813</v>
      </c>
      <c r="H5163">
        <v>35457</v>
      </c>
      <c r="I5163" t="s">
        <v>423</v>
      </c>
      <c r="J5163" t="s">
        <v>4396</v>
      </c>
      <c r="K5163" t="s">
        <v>4397</v>
      </c>
      <c r="L5163" t="s">
        <v>4398</v>
      </c>
      <c r="M5163">
        <v>112</v>
      </c>
      <c r="N5163">
        <v>24.66</v>
      </c>
      <c r="O5163">
        <v>2783.37</v>
      </c>
      <c r="P5163">
        <v>0</v>
      </c>
      <c r="Q5163">
        <v>2783.37</v>
      </c>
      <c r="R5163">
        <v>445.34</v>
      </c>
      <c r="S5163">
        <v>111.33</v>
      </c>
      <c r="T5163">
        <v>3117.38</v>
      </c>
      <c r="U5163" t="s">
        <v>4503</v>
      </c>
      <c r="V5163" t="s">
        <v>9408</v>
      </c>
      <c r="W5163" t="s">
        <v>423</v>
      </c>
    </row>
    <row r="5164" spans="1:23" hidden="1" x14ac:dyDescent="0.2">
      <c r="A5164">
        <v>2012</v>
      </c>
      <c r="B5164" t="s">
        <v>304</v>
      </c>
      <c r="C5164" s="733">
        <v>40963</v>
      </c>
      <c r="D51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64" t="s">
        <v>478</v>
      </c>
      <c r="F5164" t="s">
        <v>2136</v>
      </c>
      <c r="G5164" t="s">
        <v>9023</v>
      </c>
      <c r="H5164">
        <v>35799</v>
      </c>
      <c r="I5164" t="s">
        <v>423</v>
      </c>
      <c r="J5164" t="s">
        <v>4396</v>
      </c>
      <c r="K5164" t="s">
        <v>4397</v>
      </c>
      <c r="L5164" t="s">
        <v>4398</v>
      </c>
      <c r="M5164">
        <v>112</v>
      </c>
      <c r="N5164">
        <v>26.03</v>
      </c>
      <c r="O5164">
        <v>2938.01</v>
      </c>
      <c r="P5164">
        <v>0</v>
      </c>
      <c r="Q5164">
        <v>2938.01</v>
      </c>
      <c r="R5164">
        <v>470.08</v>
      </c>
      <c r="S5164">
        <v>117.52</v>
      </c>
      <c r="T5164">
        <v>3290.57</v>
      </c>
      <c r="V5164" t="s">
        <v>9408</v>
      </c>
      <c r="W5164" t="s">
        <v>423</v>
      </c>
    </row>
    <row r="5165" spans="1:23" hidden="1" x14ac:dyDescent="0.2">
      <c r="A5165">
        <v>2012</v>
      </c>
      <c r="B5165" t="s">
        <v>303</v>
      </c>
      <c r="C5165" s="733">
        <v>40938.525636574072</v>
      </c>
      <c r="D51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65" t="s">
        <v>485</v>
      </c>
      <c r="F5165" t="s">
        <v>2065</v>
      </c>
      <c r="G5165" t="s">
        <v>6037</v>
      </c>
      <c r="H5165">
        <v>41001</v>
      </c>
      <c r="I5165" t="s">
        <v>423</v>
      </c>
      <c r="J5165" t="s">
        <v>3204</v>
      </c>
      <c r="K5165" t="s">
        <v>2183</v>
      </c>
      <c r="L5165" t="s">
        <v>2184</v>
      </c>
      <c r="M5165">
        <v>80</v>
      </c>
      <c r="N5165">
        <v>25.99</v>
      </c>
      <c r="O5165">
        <v>2933.49</v>
      </c>
      <c r="P5165">
        <v>0</v>
      </c>
      <c r="Q5165">
        <v>2933.49</v>
      </c>
      <c r="R5165">
        <v>469.36</v>
      </c>
      <c r="S5165">
        <v>117.34</v>
      </c>
      <c r="T5165">
        <v>3285.51</v>
      </c>
      <c r="U5165" t="s">
        <v>2187</v>
      </c>
      <c r="V5165" t="s">
        <v>9409</v>
      </c>
      <c r="W5165" t="s">
        <v>423</v>
      </c>
    </row>
    <row r="5166" spans="1:23" hidden="1" x14ac:dyDescent="0.2">
      <c r="A5166">
        <v>2012</v>
      </c>
      <c r="B5166" t="s">
        <v>304</v>
      </c>
      <c r="C5166" s="733">
        <v>40956</v>
      </c>
      <c r="D51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66" t="s">
        <v>485</v>
      </c>
      <c r="F5166" t="s">
        <v>2054</v>
      </c>
      <c r="G5166" t="s">
        <v>7805</v>
      </c>
      <c r="H5166">
        <v>10474</v>
      </c>
      <c r="I5166" t="s">
        <v>423</v>
      </c>
      <c r="J5166" t="s">
        <v>2056</v>
      </c>
      <c r="K5166" t="s">
        <v>2057</v>
      </c>
      <c r="L5166" t="s">
        <v>2058</v>
      </c>
      <c r="M5166">
        <v>19</v>
      </c>
      <c r="N5166">
        <v>23.01</v>
      </c>
      <c r="O5166">
        <v>2597.14</v>
      </c>
      <c r="P5166">
        <v>0</v>
      </c>
      <c r="Q5166">
        <v>2597.14</v>
      </c>
      <c r="R5166">
        <v>285.69</v>
      </c>
      <c r="S5166">
        <v>103.89</v>
      </c>
      <c r="T5166">
        <v>2778.94</v>
      </c>
      <c r="U5166" t="s">
        <v>8864</v>
      </c>
      <c r="V5166" t="s">
        <v>9408</v>
      </c>
      <c r="W5166" t="s">
        <v>423</v>
      </c>
    </row>
    <row r="5167" spans="1:23" hidden="1" x14ac:dyDescent="0.2">
      <c r="A5167">
        <v>2012</v>
      </c>
      <c r="B5167" t="s">
        <v>304</v>
      </c>
      <c r="C5167" s="733">
        <v>40953</v>
      </c>
      <c r="D51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67" t="s">
        <v>478</v>
      </c>
      <c r="F5167" t="s">
        <v>2136</v>
      </c>
      <c r="G5167" t="s">
        <v>6553</v>
      </c>
      <c r="H5167">
        <v>35565</v>
      </c>
      <c r="I5167" t="s">
        <v>423</v>
      </c>
      <c r="J5167" t="s">
        <v>4285</v>
      </c>
      <c r="K5167" t="s">
        <v>425</v>
      </c>
      <c r="L5167" t="s">
        <v>2145</v>
      </c>
      <c r="M5167">
        <v>110</v>
      </c>
      <c r="N5167">
        <v>19.25</v>
      </c>
      <c r="O5167">
        <v>3132.94</v>
      </c>
      <c r="P5167">
        <v>0</v>
      </c>
      <c r="Q5167">
        <v>3132.94</v>
      </c>
      <c r="R5167">
        <v>501.27</v>
      </c>
      <c r="S5167">
        <v>125.32</v>
      </c>
      <c r="T5167">
        <v>3508.89</v>
      </c>
      <c r="U5167" t="s">
        <v>7523</v>
      </c>
      <c r="V5167" t="s">
        <v>9409</v>
      </c>
      <c r="W5167" t="s">
        <v>423</v>
      </c>
    </row>
    <row r="5168" spans="1:23" hidden="1" x14ac:dyDescent="0.2">
      <c r="A5168">
        <v>2012</v>
      </c>
      <c r="B5168" t="s">
        <v>303</v>
      </c>
      <c r="C5168" s="733">
        <v>40924</v>
      </c>
      <c r="D51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68" t="s">
        <v>485</v>
      </c>
      <c r="F5168" t="s">
        <v>2065</v>
      </c>
      <c r="G5168" t="s">
        <v>6896</v>
      </c>
      <c r="H5168">
        <v>40274</v>
      </c>
      <c r="I5168" t="s">
        <v>423</v>
      </c>
      <c r="J5168" t="s">
        <v>2139</v>
      </c>
      <c r="K5168" t="s">
        <v>2102</v>
      </c>
      <c r="L5168" t="s">
        <v>2115</v>
      </c>
      <c r="M5168">
        <v>543</v>
      </c>
      <c r="N5168">
        <v>52.88</v>
      </c>
      <c r="O5168">
        <v>17780.900000000001</v>
      </c>
      <c r="P5168">
        <v>0</v>
      </c>
      <c r="Q5168">
        <v>17780.900000000001</v>
      </c>
      <c r="R5168">
        <v>2844.94</v>
      </c>
      <c r="S5168">
        <v>711.24</v>
      </c>
      <c r="T5168">
        <v>19914.599999999999</v>
      </c>
      <c r="U5168" t="s">
        <v>2106</v>
      </c>
      <c r="V5168" t="s">
        <v>9409</v>
      </c>
      <c r="W5168" t="s">
        <v>423</v>
      </c>
    </row>
    <row r="5169" spans="1:23" hidden="1" x14ac:dyDescent="0.2">
      <c r="A5169">
        <v>2012</v>
      </c>
      <c r="B5169" t="s">
        <v>304</v>
      </c>
      <c r="C5169" s="733">
        <v>40960</v>
      </c>
      <c r="D51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69" t="s">
        <v>485</v>
      </c>
      <c r="F5169" t="s">
        <v>3450</v>
      </c>
      <c r="G5169" t="s">
        <v>8422</v>
      </c>
      <c r="H5169">
        <v>42079</v>
      </c>
      <c r="I5169" t="s">
        <v>423</v>
      </c>
      <c r="J5169" t="s">
        <v>3452</v>
      </c>
      <c r="K5169" t="s">
        <v>3453</v>
      </c>
      <c r="L5169" t="s">
        <v>3454</v>
      </c>
      <c r="M5169">
        <v>19</v>
      </c>
      <c r="N5169">
        <v>25.4</v>
      </c>
      <c r="O5169">
        <v>2866.9</v>
      </c>
      <c r="P5169">
        <v>0</v>
      </c>
      <c r="Q5169">
        <v>2866.9</v>
      </c>
      <c r="R5169">
        <v>458.7</v>
      </c>
      <c r="S5169">
        <v>114.68</v>
      </c>
      <c r="T5169">
        <v>3210.92</v>
      </c>
      <c r="U5169" t="s">
        <v>8991</v>
      </c>
      <c r="V5169" t="s">
        <v>9408</v>
      </c>
      <c r="W5169" t="s">
        <v>423</v>
      </c>
    </row>
    <row r="5170" spans="1:23" hidden="1" x14ac:dyDescent="0.2">
      <c r="A5170">
        <v>2012</v>
      </c>
      <c r="B5170" t="s">
        <v>304</v>
      </c>
      <c r="C5170" s="733">
        <v>40955</v>
      </c>
      <c r="D51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70" t="s">
        <v>485</v>
      </c>
      <c r="F5170" t="s">
        <v>3450</v>
      </c>
      <c r="G5170" t="s">
        <v>7804</v>
      </c>
      <c r="H5170">
        <v>41944</v>
      </c>
      <c r="I5170" t="s">
        <v>423</v>
      </c>
      <c r="J5170" t="s">
        <v>3452</v>
      </c>
      <c r="K5170" t="s">
        <v>3453</v>
      </c>
      <c r="L5170" t="s">
        <v>3454</v>
      </c>
      <c r="M5170">
        <v>19</v>
      </c>
      <c r="N5170">
        <v>25.14</v>
      </c>
      <c r="O5170">
        <v>2837.55</v>
      </c>
      <c r="P5170">
        <v>0</v>
      </c>
      <c r="Q5170">
        <v>2837.55</v>
      </c>
      <c r="R5170">
        <v>454.01</v>
      </c>
      <c r="S5170">
        <v>113.5</v>
      </c>
      <c r="T5170">
        <v>3178.06</v>
      </c>
      <c r="U5170" t="s">
        <v>7533</v>
      </c>
      <c r="V5170" t="s">
        <v>9408</v>
      </c>
      <c r="W5170" t="s">
        <v>423</v>
      </c>
    </row>
    <row r="5171" spans="1:23" hidden="1" x14ac:dyDescent="0.2">
      <c r="A5171">
        <v>2012</v>
      </c>
      <c r="B5171" t="s">
        <v>303</v>
      </c>
      <c r="C5171" s="733">
        <v>40933</v>
      </c>
      <c r="D51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71" t="s">
        <v>485</v>
      </c>
      <c r="F5171" t="s">
        <v>3450</v>
      </c>
      <c r="G5171" t="s">
        <v>4572</v>
      </c>
      <c r="H5171">
        <v>40571</v>
      </c>
      <c r="I5171" t="s">
        <v>423</v>
      </c>
      <c r="J5171" t="s">
        <v>3452</v>
      </c>
      <c r="K5171" t="s">
        <v>3453</v>
      </c>
      <c r="L5171" t="s">
        <v>3454</v>
      </c>
      <c r="M5171">
        <v>19</v>
      </c>
      <c r="N5171">
        <v>25.54</v>
      </c>
      <c r="O5171">
        <v>2882.7</v>
      </c>
      <c r="P5171">
        <v>0</v>
      </c>
      <c r="Q5171">
        <v>2882.7</v>
      </c>
      <c r="R5171">
        <v>461.23</v>
      </c>
      <c r="S5171">
        <v>115.31</v>
      </c>
      <c r="T5171">
        <v>3228.62</v>
      </c>
      <c r="U5171" t="s">
        <v>3459</v>
      </c>
      <c r="V5171" t="s">
        <v>9408</v>
      </c>
      <c r="W5171" t="s">
        <v>423</v>
      </c>
    </row>
    <row r="5172" spans="1:23" hidden="1" x14ac:dyDescent="0.2">
      <c r="A5172">
        <v>2012</v>
      </c>
      <c r="B5172" t="s">
        <v>304</v>
      </c>
      <c r="C5172" s="733">
        <v>40960</v>
      </c>
      <c r="D51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72" t="s">
        <v>485</v>
      </c>
      <c r="F5172" t="s">
        <v>3450</v>
      </c>
      <c r="G5172" t="s">
        <v>8423</v>
      </c>
      <c r="H5172">
        <v>42075</v>
      </c>
      <c r="I5172" t="s">
        <v>423</v>
      </c>
      <c r="J5172" t="s">
        <v>3452</v>
      </c>
      <c r="K5172" t="s">
        <v>3453</v>
      </c>
      <c r="L5172" t="s">
        <v>3454</v>
      </c>
      <c r="M5172">
        <v>19</v>
      </c>
      <c r="N5172">
        <v>27.98</v>
      </c>
      <c r="O5172">
        <v>3158.1</v>
      </c>
      <c r="P5172">
        <v>0</v>
      </c>
      <c r="Q5172">
        <v>3158.1</v>
      </c>
      <c r="R5172">
        <v>505.3</v>
      </c>
      <c r="S5172">
        <v>126.32</v>
      </c>
      <c r="T5172">
        <v>3537.08</v>
      </c>
      <c r="U5172" t="s">
        <v>8991</v>
      </c>
      <c r="V5172" t="s">
        <v>9408</v>
      </c>
      <c r="W5172" t="s">
        <v>423</v>
      </c>
    </row>
    <row r="5173" spans="1:23" hidden="1" x14ac:dyDescent="0.2">
      <c r="A5173">
        <v>2012</v>
      </c>
      <c r="B5173" t="s">
        <v>305</v>
      </c>
      <c r="C5173" s="733">
        <v>40969</v>
      </c>
      <c r="D5173" s="733" t="str">
        <f>CHOOSE(MONTH(Tabla_sqldatos_bonampakdb_Bon_v_ingresos2012[[#This Row],[fecha_guia]]),"Enero","Febrero","Marzo","Abril","Mayo","Junio","Julio","Agosto","Septiembre","Octubre","Noviembre","Diciembre")</f>
        <v>Marzo</v>
      </c>
      <c r="E5173" t="s">
        <v>478</v>
      </c>
      <c r="F5173" t="s">
        <v>2136</v>
      </c>
      <c r="G5173" t="s">
        <v>9493</v>
      </c>
      <c r="H5173">
        <v>36202</v>
      </c>
      <c r="I5173" t="s">
        <v>423</v>
      </c>
      <c r="J5173" t="s">
        <v>7060</v>
      </c>
      <c r="K5173" t="s">
        <v>425</v>
      </c>
      <c r="L5173" t="s">
        <v>2145</v>
      </c>
      <c r="M5173">
        <v>842</v>
      </c>
      <c r="N5173">
        <v>22.39</v>
      </c>
      <c r="O5173">
        <v>8908.76</v>
      </c>
      <c r="P5173">
        <v>0</v>
      </c>
      <c r="Q5173">
        <v>8908.76</v>
      </c>
      <c r="R5173">
        <v>1425.4</v>
      </c>
      <c r="S5173">
        <v>356.35</v>
      </c>
      <c r="T5173">
        <v>9977.81</v>
      </c>
      <c r="V5173" t="s">
        <v>9408</v>
      </c>
      <c r="W5173" t="s">
        <v>423</v>
      </c>
    </row>
    <row r="5174" spans="1:23" hidden="1" x14ac:dyDescent="0.2">
      <c r="A5174">
        <v>2012</v>
      </c>
      <c r="B5174" t="s">
        <v>303</v>
      </c>
      <c r="C5174" s="733">
        <v>40932</v>
      </c>
      <c r="D51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74" t="s">
        <v>478</v>
      </c>
      <c r="F5174" t="s">
        <v>2142</v>
      </c>
      <c r="G5174" t="s">
        <v>6554</v>
      </c>
      <c r="H5174">
        <v>34881</v>
      </c>
      <c r="I5174" t="s">
        <v>423</v>
      </c>
      <c r="J5174" t="s">
        <v>4279</v>
      </c>
      <c r="K5174" t="s">
        <v>425</v>
      </c>
      <c r="L5174" t="s">
        <v>2145</v>
      </c>
      <c r="M5174">
        <v>381</v>
      </c>
      <c r="N5174">
        <v>49.49</v>
      </c>
      <c r="O5174">
        <v>12391.8</v>
      </c>
      <c r="P5174">
        <v>0</v>
      </c>
      <c r="Q5174">
        <v>12391.8</v>
      </c>
      <c r="R5174">
        <v>1982.69</v>
      </c>
      <c r="S5174">
        <v>495.67</v>
      </c>
      <c r="T5174">
        <v>13878.82</v>
      </c>
      <c r="U5174" t="s">
        <v>3234</v>
      </c>
      <c r="V5174" t="s">
        <v>9409</v>
      </c>
      <c r="W5174" t="s">
        <v>423</v>
      </c>
    </row>
    <row r="5175" spans="1:23" hidden="1" x14ac:dyDescent="0.2">
      <c r="A5175">
        <v>2012</v>
      </c>
      <c r="B5175" t="s">
        <v>304</v>
      </c>
      <c r="C5175" s="733">
        <v>40960</v>
      </c>
      <c r="D51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75" t="s">
        <v>485</v>
      </c>
      <c r="F5175" t="s">
        <v>3450</v>
      </c>
      <c r="G5175" t="s">
        <v>8424</v>
      </c>
      <c r="H5175">
        <v>42138</v>
      </c>
      <c r="I5175" t="s">
        <v>423</v>
      </c>
      <c r="J5175" t="s">
        <v>3452</v>
      </c>
      <c r="K5175" t="s">
        <v>3453</v>
      </c>
      <c r="L5175" t="s">
        <v>3454</v>
      </c>
      <c r="M5175">
        <v>19</v>
      </c>
      <c r="N5175">
        <v>28.2</v>
      </c>
      <c r="O5175">
        <v>3182.93</v>
      </c>
      <c r="P5175">
        <v>0</v>
      </c>
      <c r="Q5175">
        <v>3182.93</v>
      </c>
      <c r="R5175">
        <v>509.27</v>
      </c>
      <c r="S5175">
        <v>127.32</v>
      </c>
      <c r="T5175">
        <v>3564.88</v>
      </c>
      <c r="U5175" t="s">
        <v>8991</v>
      </c>
      <c r="V5175" t="s">
        <v>9408</v>
      </c>
      <c r="W5175" t="s">
        <v>423</v>
      </c>
    </row>
    <row r="5176" spans="1:23" hidden="1" x14ac:dyDescent="0.2">
      <c r="A5176">
        <v>2012</v>
      </c>
      <c r="B5176" t="s">
        <v>304</v>
      </c>
      <c r="C5176" s="733">
        <v>40948</v>
      </c>
      <c r="D51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76" t="s">
        <v>485</v>
      </c>
      <c r="F5176" t="s">
        <v>3450</v>
      </c>
      <c r="G5176" t="s">
        <v>4571</v>
      </c>
      <c r="H5176">
        <v>41260</v>
      </c>
      <c r="I5176" t="s">
        <v>423</v>
      </c>
      <c r="J5176" t="s">
        <v>3457</v>
      </c>
      <c r="K5176" t="s">
        <v>3453</v>
      </c>
      <c r="L5176" t="s">
        <v>3454</v>
      </c>
      <c r="M5176">
        <v>29</v>
      </c>
      <c r="N5176">
        <v>27.16</v>
      </c>
      <c r="O5176">
        <v>3065.55</v>
      </c>
      <c r="P5176">
        <v>0</v>
      </c>
      <c r="Q5176">
        <v>3065.55</v>
      </c>
      <c r="R5176">
        <v>490.49</v>
      </c>
      <c r="S5176">
        <v>122.62</v>
      </c>
      <c r="T5176">
        <v>3433.42</v>
      </c>
      <c r="U5176" t="s">
        <v>3455</v>
      </c>
      <c r="V5176" t="s">
        <v>9408</v>
      </c>
      <c r="W5176" t="s">
        <v>423</v>
      </c>
    </row>
    <row r="5177" spans="1:23" hidden="1" x14ac:dyDescent="0.2">
      <c r="A5177">
        <v>2012</v>
      </c>
      <c r="B5177" t="s">
        <v>303</v>
      </c>
      <c r="C5177" s="733">
        <v>40925</v>
      </c>
      <c r="D51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77" t="s">
        <v>478</v>
      </c>
      <c r="F5177" t="s">
        <v>2136</v>
      </c>
      <c r="G5177" t="s">
        <v>6288</v>
      </c>
      <c r="H5177">
        <v>34523</v>
      </c>
      <c r="I5177" t="s">
        <v>423</v>
      </c>
      <c r="J5177" t="s">
        <v>4279</v>
      </c>
      <c r="K5177" t="s">
        <v>425</v>
      </c>
      <c r="L5177" t="s">
        <v>2145</v>
      </c>
      <c r="M5177">
        <v>381</v>
      </c>
      <c r="N5177">
        <v>49.64</v>
      </c>
      <c r="O5177">
        <v>12429.36</v>
      </c>
      <c r="P5177">
        <v>0</v>
      </c>
      <c r="Q5177">
        <v>12429.36</v>
      </c>
      <c r="R5177">
        <v>1988.7</v>
      </c>
      <c r="S5177">
        <v>497.17</v>
      </c>
      <c r="T5177">
        <v>13920.89</v>
      </c>
      <c r="U5177" t="s">
        <v>2146</v>
      </c>
      <c r="V5177" t="s">
        <v>9409</v>
      </c>
      <c r="W5177" t="s">
        <v>423</v>
      </c>
    </row>
    <row r="5178" spans="1:23" hidden="1" x14ac:dyDescent="0.2">
      <c r="A5178">
        <v>2012</v>
      </c>
      <c r="B5178" t="s">
        <v>304</v>
      </c>
      <c r="C5178" s="733">
        <v>40953</v>
      </c>
      <c r="D51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78" t="s">
        <v>478</v>
      </c>
      <c r="F5178" t="s">
        <v>2136</v>
      </c>
      <c r="G5178" t="s">
        <v>6287</v>
      </c>
      <c r="H5178">
        <v>35567</v>
      </c>
      <c r="I5178" t="s">
        <v>423</v>
      </c>
      <c r="J5178" t="s">
        <v>4279</v>
      </c>
      <c r="K5178" t="s">
        <v>425</v>
      </c>
      <c r="L5178" t="s">
        <v>2145</v>
      </c>
      <c r="M5178">
        <v>381</v>
      </c>
      <c r="N5178">
        <v>41.55</v>
      </c>
      <c r="O5178">
        <v>10403.700000000001</v>
      </c>
      <c r="P5178">
        <v>0</v>
      </c>
      <c r="Q5178">
        <v>10403.700000000001</v>
      </c>
      <c r="R5178">
        <v>1664.59</v>
      </c>
      <c r="S5178">
        <v>416.15</v>
      </c>
      <c r="T5178">
        <v>11652.14</v>
      </c>
      <c r="U5178" t="s">
        <v>7523</v>
      </c>
      <c r="V5178" t="s">
        <v>9409</v>
      </c>
      <c r="W5178" t="s">
        <v>423</v>
      </c>
    </row>
    <row r="5179" spans="1:23" hidden="1" x14ac:dyDescent="0.2">
      <c r="A5179">
        <v>2012</v>
      </c>
      <c r="B5179" t="s">
        <v>304</v>
      </c>
      <c r="C5179" s="733">
        <v>40947</v>
      </c>
      <c r="D51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79" t="s">
        <v>485</v>
      </c>
      <c r="F5179" t="s">
        <v>2065</v>
      </c>
      <c r="G5179" t="s">
        <v>3934</v>
      </c>
      <c r="H5179">
        <v>41534</v>
      </c>
      <c r="I5179" t="s">
        <v>423</v>
      </c>
      <c r="J5179" t="s">
        <v>2196</v>
      </c>
      <c r="K5179" t="s">
        <v>2183</v>
      </c>
      <c r="L5179" t="s">
        <v>2184</v>
      </c>
      <c r="M5179">
        <v>10</v>
      </c>
      <c r="N5179">
        <v>14.8</v>
      </c>
      <c r="O5179">
        <v>1670.48</v>
      </c>
      <c r="P5179">
        <v>0</v>
      </c>
      <c r="Q5179">
        <v>1670.48</v>
      </c>
      <c r="R5179">
        <v>267.27999999999997</v>
      </c>
      <c r="S5179">
        <v>66.819999999999993</v>
      </c>
      <c r="T5179">
        <v>1870.94</v>
      </c>
      <c r="U5179" t="s">
        <v>2192</v>
      </c>
      <c r="V5179" t="s">
        <v>9408</v>
      </c>
      <c r="W5179" t="s">
        <v>423</v>
      </c>
    </row>
    <row r="5180" spans="1:23" hidden="1" x14ac:dyDescent="0.2">
      <c r="A5180">
        <v>2012</v>
      </c>
      <c r="B5180" t="s">
        <v>304</v>
      </c>
      <c r="C5180" s="733">
        <v>40942</v>
      </c>
      <c r="D51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80" t="s">
        <v>485</v>
      </c>
      <c r="F5180" t="s">
        <v>2065</v>
      </c>
      <c r="G5180" t="s">
        <v>3944</v>
      </c>
      <c r="H5180">
        <v>41268</v>
      </c>
      <c r="I5180" t="s">
        <v>423</v>
      </c>
      <c r="J5180" t="s">
        <v>2196</v>
      </c>
      <c r="K5180" t="s">
        <v>2183</v>
      </c>
      <c r="L5180" t="s">
        <v>2184</v>
      </c>
      <c r="M5180">
        <v>10</v>
      </c>
      <c r="N5180">
        <v>52.2</v>
      </c>
      <c r="O5180">
        <v>5891.81</v>
      </c>
      <c r="P5180">
        <v>0</v>
      </c>
      <c r="Q5180">
        <v>5891.81</v>
      </c>
      <c r="R5180">
        <v>942.69</v>
      </c>
      <c r="S5180">
        <v>235.67</v>
      </c>
      <c r="T5180">
        <v>6598.83</v>
      </c>
      <c r="U5180" t="s">
        <v>2192</v>
      </c>
      <c r="V5180" t="s">
        <v>9409</v>
      </c>
      <c r="W5180" t="s">
        <v>423</v>
      </c>
    </row>
    <row r="5181" spans="1:23" hidden="1" x14ac:dyDescent="0.2">
      <c r="A5181">
        <v>2012</v>
      </c>
      <c r="B5181" t="s">
        <v>303</v>
      </c>
      <c r="C5181" s="733">
        <v>40921</v>
      </c>
      <c r="D51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81" t="s">
        <v>485</v>
      </c>
      <c r="F5181" t="s">
        <v>2065</v>
      </c>
      <c r="G5181" t="s">
        <v>3943</v>
      </c>
      <c r="H5181">
        <v>40234</v>
      </c>
      <c r="I5181" t="s">
        <v>423</v>
      </c>
      <c r="J5181" t="s">
        <v>2213</v>
      </c>
      <c r="K5181" t="s">
        <v>2183</v>
      </c>
      <c r="L5181" t="s">
        <v>2184</v>
      </c>
      <c r="M5181">
        <v>64</v>
      </c>
      <c r="N5181">
        <v>16.18</v>
      </c>
      <c r="O5181">
        <v>1826.24</v>
      </c>
      <c r="P5181">
        <v>0</v>
      </c>
      <c r="Q5181">
        <v>1826.24</v>
      </c>
      <c r="R5181">
        <v>292.2</v>
      </c>
      <c r="S5181">
        <v>73.05</v>
      </c>
      <c r="T5181">
        <v>2045.39</v>
      </c>
      <c r="U5181" t="s">
        <v>7520</v>
      </c>
      <c r="V5181" t="s">
        <v>9408</v>
      </c>
      <c r="W5181" t="s">
        <v>423</v>
      </c>
    </row>
    <row r="5182" spans="1:23" hidden="1" x14ac:dyDescent="0.2">
      <c r="A5182">
        <v>2012</v>
      </c>
      <c r="B5182" t="s">
        <v>304</v>
      </c>
      <c r="C5182" s="733">
        <v>40947</v>
      </c>
      <c r="D51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82" t="s">
        <v>485</v>
      </c>
      <c r="F5182" t="s">
        <v>2065</v>
      </c>
      <c r="G5182" t="s">
        <v>3942</v>
      </c>
      <c r="H5182">
        <v>41528</v>
      </c>
      <c r="I5182" t="s">
        <v>423</v>
      </c>
      <c r="J5182" t="s">
        <v>2213</v>
      </c>
      <c r="K5182" t="s">
        <v>2183</v>
      </c>
      <c r="L5182" t="s">
        <v>2184</v>
      </c>
      <c r="M5182">
        <v>64</v>
      </c>
      <c r="N5182">
        <v>16.21</v>
      </c>
      <c r="O5182">
        <v>1829.62</v>
      </c>
      <c r="P5182">
        <v>0</v>
      </c>
      <c r="Q5182">
        <v>1829.62</v>
      </c>
      <c r="R5182">
        <v>292.74</v>
      </c>
      <c r="S5182">
        <v>73.180000000000007</v>
      </c>
      <c r="T5182">
        <v>2049.1799999999998</v>
      </c>
      <c r="U5182" t="s">
        <v>2192</v>
      </c>
      <c r="V5182" t="s">
        <v>9408</v>
      </c>
      <c r="W5182" t="s">
        <v>423</v>
      </c>
    </row>
    <row r="5183" spans="1:23" hidden="1" x14ac:dyDescent="0.2">
      <c r="A5183">
        <v>2012</v>
      </c>
      <c r="B5183" t="s">
        <v>303</v>
      </c>
      <c r="C5183" s="733">
        <v>40924</v>
      </c>
      <c r="D51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83" t="s">
        <v>485</v>
      </c>
      <c r="F5183" t="s">
        <v>2054</v>
      </c>
      <c r="G5183" t="s">
        <v>5174</v>
      </c>
      <c r="H5183">
        <v>10071</v>
      </c>
      <c r="I5183" t="s">
        <v>423</v>
      </c>
      <c r="J5183" t="s">
        <v>4545</v>
      </c>
      <c r="K5183" t="s">
        <v>2057</v>
      </c>
      <c r="L5183" t="s">
        <v>2058</v>
      </c>
      <c r="M5183">
        <v>144</v>
      </c>
      <c r="N5183">
        <v>32.950000000000003</v>
      </c>
      <c r="O5183">
        <v>5268.38</v>
      </c>
      <c r="P5183">
        <v>0</v>
      </c>
      <c r="Q5183">
        <v>5268.38</v>
      </c>
      <c r="R5183">
        <v>842.94</v>
      </c>
      <c r="S5183">
        <v>210.74</v>
      </c>
      <c r="T5183">
        <v>5900.58</v>
      </c>
      <c r="U5183" t="s">
        <v>2059</v>
      </c>
      <c r="V5183" t="s">
        <v>9408</v>
      </c>
      <c r="W5183" t="s">
        <v>423</v>
      </c>
    </row>
    <row r="5184" spans="1:23" hidden="1" x14ac:dyDescent="0.2">
      <c r="A5184">
        <v>2012</v>
      </c>
      <c r="B5184" t="s">
        <v>303</v>
      </c>
      <c r="C5184" s="733">
        <v>40925</v>
      </c>
      <c r="D51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84" t="s">
        <v>485</v>
      </c>
      <c r="F5184" t="s">
        <v>2065</v>
      </c>
      <c r="G5184" t="s">
        <v>5614</v>
      </c>
      <c r="H5184">
        <v>40413</v>
      </c>
      <c r="I5184" t="s">
        <v>423</v>
      </c>
      <c r="J5184" t="s">
        <v>2139</v>
      </c>
      <c r="K5184" t="s">
        <v>2102</v>
      </c>
      <c r="L5184" t="s">
        <v>2115</v>
      </c>
      <c r="M5184">
        <v>543</v>
      </c>
      <c r="N5184">
        <v>50.14</v>
      </c>
      <c r="O5184">
        <v>16859.580000000002</v>
      </c>
      <c r="P5184">
        <v>0</v>
      </c>
      <c r="Q5184">
        <v>16859.580000000002</v>
      </c>
      <c r="R5184">
        <v>2697.53</v>
      </c>
      <c r="S5184">
        <v>674.38</v>
      </c>
      <c r="T5184">
        <v>18882.73</v>
      </c>
      <c r="U5184" t="s">
        <v>2106</v>
      </c>
      <c r="V5184" t="s">
        <v>9409</v>
      </c>
      <c r="W5184" t="s">
        <v>423</v>
      </c>
    </row>
    <row r="5185" spans="1:23" hidden="1" x14ac:dyDescent="0.2">
      <c r="A5185">
        <v>2012</v>
      </c>
      <c r="B5185" t="s">
        <v>304</v>
      </c>
      <c r="C5185" s="733">
        <v>40946</v>
      </c>
      <c r="D51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85" t="s">
        <v>505</v>
      </c>
      <c r="F5185" t="s">
        <v>1915</v>
      </c>
      <c r="G5185" t="s">
        <v>5599</v>
      </c>
      <c r="H5185">
        <v>22518</v>
      </c>
      <c r="I5185" t="s">
        <v>424</v>
      </c>
      <c r="J5185" t="s">
        <v>5598</v>
      </c>
      <c r="K5185" t="s">
        <v>1918</v>
      </c>
      <c r="L5185" t="s">
        <v>1919</v>
      </c>
      <c r="M5185">
        <v>653</v>
      </c>
      <c r="N5185">
        <v>30</v>
      </c>
      <c r="O5185">
        <v>6807.99</v>
      </c>
      <c r="P5185">
        <v>3912.4837729999999</v>
      </c>
      <c r="Q5185">
        <v>10720.473773</v>
      </c>
      <c r="R5185">
        <v>1715.2758040000001</v>
      </c>
      <c r="S5185">
        <v>428.81895100000003</v>
      </c>
      <c r="T5185">
        <v>12006.930625999999</v>
      </c>
      <c r="U5185" t="s">
        <v>1924</v>
      </c>
      <c r="V5185" t="s">
        <v>9408</v>
      </c>
      <c r="W5185" t="s">
        <v>424</v>
      </c>
    </row>
    <row r="5186" spans="1:23" hidden="1" x14ac:dyDescent="0.2">
      <c r="A5186">
        <v>2012</v>
      </c>
      <c r="B5186" t="s">
        <v>304</v>
      </c>
      <c r="C5186" s="733">
        <v>40956</v>
      </c>
      <c r="D51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86" t="s">
        <v>505</v>
      </c>
      <c r="F5186" t="s">
        <v>1915</v>
      </c>
      <c r="G5186" t="s">
        <v>8004</v>
      </c>
      <c r="H5186">
        <v>22803</v>
      </c>
      <c r="I5186" t="s">
        <v>424</v>
      </c>
      <c r="J5186" t="s">
        <v>8005</v>
      </c>
      <c r="K5186" t="s">
        <v>1918</v>
      </c>
      <c r="L5186" t="s">
        <v>1919</v>
      </c>
      <c r="M5186">
        <v>442</v>
      </c>
      <c r="N5186">
        <v>30</v>
      </c>
      <c r="O5186">
        <v>6593.4</v>
      </c>
      <c r="P5186">
        <v>0</v>
      </c>
      <c r="Q5186">
        <v>6593.4</v>
      </c>
      <c r="R5186">
        <v>1054.94</v>
      </c>
      <c r="S5186">
        <v>263.74</v>
      </c>
      <c r="T5186">
        <v>7384.6</v>
      </c>
      <c r="V5186" t="s">
        <v>9408</v>
      </c>
      <c r="W5186" t="s">
        <v>424</v>
      </c>
    </row>
    <row r="5187" spans="1:23" hidden="1" x14ac:dyDescent="0.2">
      <c r="A5187">
        <v>2012</v>
      </c>
      <c r="B5187" t="s">
        <v>305</v>
      </c>
      <c r="C5187" s="733">
        <v>40969</v>
      </c>
      <c r="D518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187" t="s">
        <v>505</v>
      </c>
      <c r="F5187" t="s">
        <v>1915</v>
      </c>
      <c r="G5187" t="s">
        <v>9612</v>
      </c>
      <c r="H5187">
        <v>23101</v>
      </c>
      <c r="I5187" t="s">
        <v>424</v>
      </c>
      <c r="J5187" t="s">
        <v>5598</v>
      </c>
      <c r="K5187" t="s">
        <v>1918</v>
      </c>
      <c r="L5187" t="s">
        <v>1919</v>
      </c>
      <c r="M5187">
        <v>653</v>
      </c>
      <c r="N5187">
        <v>30</v>
      </c>
      <c r="O5187">
        <v>10609.5</v>
      </c>
      <c r="P5187">
        <v>0</v>
      </c>
      <c r="Q5187">
        <v>10609.5</v>
      </c>
      <c r="R5187">
        <v>1697.52</v>
      </c>
      <c r="S5187">
        <v>424.38</v>
      </c>
      <c r="T5187">
        <v>11882.64</v>
      </c>
      <c r="V5187" t="s">
        <v>9408</v>
      </c>
      <c r="W5187" t="s">
        <v>424</v>
      </c>
    </row>
    <row r="5188" spans="1:23" hidden="1" x14ac:dyDescent="0.2">
      <c r="A5188">
        <v>2012</v>
      </c>
      <c r="B5188" t="s">
        <v>303</v>
      </c>
      <c r="C5188" s="733">
        <v>40934</v>
      </c>
      <c r="D51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88" t="s">
        <v>505</v>
      </c>
      <c r="F5188" t="s">
        <v>1915</v>
      </c>
      <c r="G5188" t="s">
        <v>5597</v>
      </c>
      <c r="H5188">
        <v>22219</v>
      </c>
      <c r="I5188" t="s">
        <v>423</v>
      </c>
      <c r="J5188" t="s">
        <v>5598</v>
      </c>
      <c r="K5188" t="s">
        <v>1918</v>
      </c>
      <c r="L5188" t="s">
        <v>1919</v>
      </c>
      <c r="M5188">
        <v>653</v>
      </c>
      <c r="N5188">
        <v>24.32</v>
      </c>
      <c r="O5188">
        <v>10950.81</v>
      </c>
      <c r="P5188">
        <v>0</v>
      </c>
      <c r="Q5188">
        <v>10950.81</v>
      </c>
      <c r="R5188">
        <v>1752.13</v>
      </c>
      <c r="S5188">
        <v>438.03</v>
      </c>
      <c r="T5188">
        <v>12264.91</v>
      </c>
      <c r="U5188" t="s">
        <v>1926</v>
      </c>
      <c r="V5188" t="s">
        <v>9408</v>
      </c>
      <c r="W5188" t="s">
        <v>423</v>
      </c>
    </row>
    <row r="5189" spans="1:23" hidden="1" x14ac:dyDescent="0.2">
      <c r="A5189">
        <v>2012</v>
      </c>
      <c r="B5189" t="s">
        <v>303</v>
      </c>
      <c r="C5189" s="733">
        <v>40933</v>
      </c>
      <c r="D51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89" t="s">
        <v>485</v>
      </c>
      <c r="F5189" t="s">
        <v>3450</v>
      </c>
      <c r="G5189" t="s">
        <v>4358</v>
      </c>
      <c r="H5189">
        <v>40613</v>
      </c>
      <c r="I5189" t="s">
        <v>423</v>
      </c>
      <c r="J5189" t="s">
        <v>3452</v>
      </c>
      <c r="K5189" t="s">
        <v>3453</v>
      </c>
      <c r="L5189" t="s">
        <v>3454</v>
      </c>
      <c r="M5189">
        <v>19</v>
      </c>
      <c r="N5189">
        <v>26.43</v>
      </c>
      <c r="O5189">
        <v>2983.15</v>
      </c>
      <c r="P5189">
        <v>0</v>
      </c>
      <c r="Q5189">
        <v>2983.15</v>
      </c>
      <c r="R5189">
        <v>477.3</v>
      </c>
      <c r="S5189">
        <v>119.33</v>
      </c>
      <c r="T5189">
        <v>3341.12</v>
      </c>
      <c r="U5189" t="s">
        <v>3459</v>
      </c>
      <c r="V5189" t="s">
        <v>9408</v>
      </c>
      <c r="W5189" t="s">
        <v>423</v>
      </c>
    </row>
    <row r="5190" spans="1:23" hidden="1" x14ac:dyDescent="0.2">
      <c r="A5190">
        <v>2012</v>
      </c>
      <c r="B5190" t="s">
        <v>303</v>
      </c>
      <c r="C5190" s="733">
        <v>40911</v>
      </c>
      <c r="D51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90" t="s">
        <v>485</v>
      </c>
      <c r="F5190" t="s">
        <v>3450</v>
      </c>
      <c r="G5190" t="s">
        <v>4363</v>
      </c>
      <c r="H5190">
        <v>39658</v>
      </c>
      <c r="I5190" t="s">
        <v>423</v>
      </c>
      <c r="J5190" t="s">
        <v>3452</v>
      </c>
      <c r="K5190" t="s">
        <v>3453</v>
      </c>
      <c r="L5190" t="s">
        <v>3454</v>
      </c>
      <c r="M5190">
        <v>19</v>
      </c>
      <c r="N5190">
        <v>28.28</v>
      </c>
      <c r="O5190">
        <v>1343.87</v>
      </c>
      <c r="P5190">
        <v>1513.049794</v>
      </c>
      <c r="Q5190">
        <v>2856.9197939999999</v>
      </c>
      <c r="R5190">
        <v>457.107167</v>
      </c>
      <c r="S5190">
        <v>114.276792</v>
      </c>
      <c r="T5190">
        <v>3199.7501689999999</v>
      </c>
      <c r="U5190" t="s">
        <v>3697</v>
      </c>
      <c r="V5190" t="s">
        <v>9408</v>
      </c>
      <c r="W5190" t="s">
        <v>423</v>
      </c>
    </row>
    <row r="5191" spans="1:23" hidden="1" x14ac:dyDescent="0.2">
      <c r="A5191">
        <v>2012</v>
      </c>
      <c r="B5191" t="s">
        <v>304</v>
      </c>
      <c r="C5191" s="733">
        <v>40948</v>
      </c>
      <c r="D51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91" t="s">
        <v>485</v>
      </c>
      <c r="F5191" t="s">
        <v>3450</v>
      </c>
      <c r="G5191" t="s">
        <v>4359</v>
      </c>
      <c r="H5191">
        <v>41363</v>
      </c>
      <c r="I5191" t="s">
        <v>423</v>
      </c>
      <c r="J5191" t="s">
        <v>3452</v>
      </c>
      <c r="K5191" t="s">
        <v>3453</v>
      </c>
      <c r="L5191" t="s">
        <v>3454</v>
      </c>
      <c r="M5191">
        <v>19</v>
      </c>
      <c r="N5191">
        <v>25.33</v>
      </c>
      <c r="O5191">
        <v>2859</v>
      </c>
      <c r="P5191">
        <v>0</v>
      </c>
      <c r="Q5191">
        <v>2859</v>
      </c>
      <c r="R5191">
        <v>457.44</v>
      </c>
      <c r="S5191">
        <v>114.36</v>
      </c>
      <c r="T5191">
        <v>3202.08</v>
      </c>
      <c r="U5191" t="s">
        <v>3455</v>
      </c>
      <c r="V5191" t="s">
        <v>9408</v>
      </c>
      <c r="W5191" t="s">
        <v>423</v>
      </c>
    </row>
    <row r="5192" spans="1:23" hidden="1" x14ac:dyDescent="0.2">
      <c r="A5192">
        <v>2012</v>
      </c>
      <c r="B5192" t="s">
        <v>304</v>
      </c>
      <c r="C5192" s="733">
        <v>40953</v>
      </c>
      <c r="D51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92" t="s">
        <v>485</v>
      </c>
      <c r="F5192" t="s">
        <v>3450</v>
      </c>
      <c r="G5192" t="s">
        <v>4357</v>
      </c>
      <c r="H5192">
        <v>41780</v>
      </c>
      <c r="I5192" t="s">
        <v>423</v>
      </c>
      <c r="J5192" t="s">
        <v>3452</v>
      </c>
      <c r="K5192" t="s">
        <v>3453</v>
      </c>
      <c r="L5192" t="s">
        <v>3454</v>
      </c>
      <c r="M5192">
        <v>19</v>
      </c>
      <c r="N5192">
        <v>28.07</v>
      </c>
      <c r="O5192">
        <v>3168.26</v>
      </c>
      <c r="P5192">
        <v>0</v>
      </c>
      <c r="Q5192">
        <v>3168.26</v>
      </c>
      <c r="R5192">
        <v>506.92</v>
      </c>
      <c r="S5192">
        <v>126.73</v>
      </c>
      <c r="T5192">
        <v>3548.45</v>
      </c>
      <c r="U5192" t="s">
        <v>7533</v>
      </c>
      <c r="V5192" t="s">
        <v>9408</v>
      </c>
      <c r="W5192" t="s">
        <v>423</v>
      </c>
    </row>
    <row r="5193" spans="1:23" hidden="1" x14ac:dyDescent="0.2">
      <c r="A5193">
        <v>2012</v>
      </c>
      <c r="B5193" t="s">
        <v>304</v>
      </c>
      <c r="C5193" s="733">
        <v>40960</v>
      </c>
      <c r="D51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93" t="s">
        <v>485</v>
      </c>
      <c r="F5193" t="s">
        <v>3450</v>
      </c>
      <c r="G5193" t="s">
        <v>8405</v>
      </c>
      <c r="H5193">
        <v>42242</v>
      </c>
      <c r="I5193" t="s">
        <v>423</v>
      </c>
      <c r="J5193" t="s">
        <v>3452</v>
      </c>
      <c r="K5193" t="s">
        <v>3453</v>
      </c>
      <c r="L5193" t="s">
        <v>3454</v>
      </c>
      <c r="M5193">
        <v>19</v>
      </c>
      <c r="N5193">
        <v>26.09</v>
      </c>
      <c r="O5193">
        <v>2944.78</v>
      </c>
      <c r="P5193">
        <v>0</v>
      </c>
      <c r="Q5193">
        <v>2944.78</v>
      </c>
      <c r="R5193">
        <v>471.16</v>
      </c>
      <c r="S5193">
        <v>117.79</v>
      </c>
      <c r="T5193">
        <v>3298.15</v>
      </c>
      <c r="V5193" t="s">
        <v>9408</v>
      </c>
      <c r="W5193" t="s">
        <v>423</v>
      </c>
    </row>
    <row r="5194" spans="1:23" hidden="1" x14ac:dyDescent="0.2">
      <c r="A5194">
        <v>2012</v>
      </c>
      <c r="B5194" t="s">
        <v>303</v>
      </c>
      <c r="C5194" s="733">
        <v>40938</v>
      </c>
      <c r="D51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94" t="s">
        <v>478</v>
      </c>
      <c r="F5194" t="s">
        <v>2136</v>
      </c>
      <c r="G5194" t="s">
        <v>5416</v>
      </c>
      <c r="H5194">
        <v>35011</v>
      </c>
      <c r="I5194" t="s">
        <v>423</v>
      </c>
      <c r="J5194" t="s">
        <v>4279</v>
      </c>
      <c r="K5194" t="s">
        <v>425</v>
      </c>
      <c r="L5194" t="s">
        <v>2145</v>
      </c>
      <c r="M5194">
        <v>381</v>
      </c>
      <c r="N5194">
        <v>52.43</v>
      </c>
      <c r="O5194">
        <v>13127.95</v>
      </c>
      <c r="P5194">
        <v>0</v>
      </c>
      <c r="Q5194">
        <v>13127.95</v>
      </c>
      <c r="R5194">
        <v>2100.4699999999998</v>
      </c>
      <c r="S5194">
        <v>525.12</v>
      </c>
      <c r="T5194">
        <v>14703.3</v>
      </c>
      <c r="U5194" t="s">
        <v>2914</v>
      </c>
      <c r="V5194" t="s">
        <v>9409</v>
      </c>
      <c r="W5194" t="s">
        <v>423</v>
      </c>
    </row>
    <row r="5195" spans="1:23" hidden="1" x14ac:dyDescent="0.2">
      <c r="A5195">
        <v>2012</v>
      </c>
      <c r="B5195" t="s">
        <v>304</v>
      </c>
      <c r="C5195" s="733">
        <v>40956</v>
      </c>
      <c r="D51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95" t="s">
        <v>478</v>
      </c>
      <c r="F5195" t="s">
        <v>2136</v>
      </c>
      <c r="G5195" t="s">
        <v>7693</v>
      </c>
      <c r="H5195">
        <v>35755</v>
      </c>
      <c r="I5195" t="s">
        <v>423</v>
      </c>
      <c r="J5195" t="s">
        <v>4279</v>
      </c>
      <c r="K5195" t="s">
        <v>425</v>
      </c>
      <c r="L5195" t="s">
        <v>2145</v>
      </c>
      <c r="M5195">
        <v>381</v>
      </c>
      <c r="N5195">
        <v>21.25</v>
      </c>
      <c r="O5195">
        <v>5320.79</v>
      </c>
      <c r="P5195">
        <v>0</v>
      </c>
      <c r="Q5195">
        <v>5320.79</v>
      </c>
      <c r="R5195">
        <v>851.33</v>
      </c>
      <c r="S5195">
        <v>212.83</v>
      </c>
      <c r="T5195">
        <v>5959.29</v>
      </c>
      <c r="U5195" t="s">
        <v>8252</v>
      </c>
      <c r="V5195" t="s">
        <v>9409</v>
      </c>
      <c r="W5195" t="s">
        <v>423</v>
      </c>
    </row>
    <row r="5196" spans="1:23" hidden="1" x14ac:dyDescent="0.2">
      <c r="A5196">
        <v>2012</v>
      </c>
      <c r="B5196" t="s">
        <v>304</v>
      </c>
      <c r="C5196" s="733">
        <v>40941.467662037037</v>
      </c>
      <c r="D51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96" t="s">
        <v>478</v>
      </c>
      <c r="F5196" t="s">
        <v>2136</v>
      </c>
      <c r="G5196" t="s">
        <v>5421</v>
      </c>
      <c r="H5196">
        <v>35236</v>
      </c>
      <c r="I5196" t="s">
        <v>423</v>
      </c>
      <c r="J5196" t="s">
        <v>4279</v>
      </c>
      <c r="K5196" t="s">
        <v>425</v>
      </c>
      <c r="L5196" t="s">
        <v>2145</v>
      </c>
      <c r="M5196">
        <v>381</v>
      </c>
      <c r="N5196">
        <v>25.34</v>
      </c>
      <c r="O5196">
        <v>6344.88</v>
      </c>
      <c r="P5196">
        <v>0</v>
      </c>
      <c r="Q5196">
        <v>6344.88</v>
      </c>
      <c r="R5196">
        <v>1015.18</v>
      </c>
      <c r="S5196">
        <v>253.8</v>
      </c>
      <c r="T5196">
        <v>7106.26</v>
      </c>
      <c r="U5196" t="s">
        <v>2580</v>
      </c>
      <c r="V5196" t="s">
        <v>9408</v>
      </c>
      <c r="W5196" t="s">
        <v>423</v>
      </c>
    </row>
    <row r="5197" spans="1:23" hidden="1" x14ac:dyDescent="0.2">
      <c r="A5197">
        <v>2012</v>
      </c>
      <c r="B5197" t="s">
        <v>304</v>
      </c>
      <c r="C5197" s="733">
        <v>40962</v>
      </c>
      <c r="D51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197" t="s">
        <v>478</v>
      </c>
      <c r="F5197" t="s">
        <v>2136</v>
      </c>
      <c r="G5197" t="s">
        <v>8620</v>
      </c>
      <c r="H5197">
        <v>34195</v>
      </c>
      <c r="I5197" t="s">
        <v>424</v>
      </c>
      <c r="J5197" t="s">
        <v>5241</v>
      </c>
      <c r="K5197" t="s">
        <v>425</v>
      </c>
      <c r="L5197" t="s">
        <v>2145</v>
      </c>
      <c r="M5197">
        <v>1330</v>
      </c>
      <c r="N5197">
        <v>31.25</v>
      </c>
      <c r="O5197">
        <v>12617.81</v>
      </c>
      <c r="P5197">
        <v>0</v>
      </c>
      <c r="Q5197">
        <v>12617.81</v>
      </c>
      <c r="R5197">
        <v>2018.85</v>
      </c>
      <c r="S5197">
        <v>504.71</v>
      </c>
      <c r="T5197">
        <v>14131.95</v>
      </c>
      <c r="V5197" t="s">
        <v>9408</v>
      </c>
      <c r="W5197" t="s">
        <v>424</v>
      </c>
    </row>
    <row r="5198" spans="1:23" hidden="1" x14ac:dyDescent="0.2">
      <c r="A5198">
        <v>2012</v>
      </c>
      <c r="B5198" t="s">
        <v>303</v>
      </c>
      <c r="C5198" s="733">
        <v>40933</v>
      </c>
      <c r="D51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98" t="s">
        <v>485</v>
      </c>
      <c r="F5198" t="s">
        <v>3450</v>
      </c>
      <c r="G5198" t="s">
        <v>4361</v>
      </c>
      <c r="H5198">
        <v>40848</v>
      </c>
      <c r="I5198" t="s">
        <v>423</v>
      </c>
      <c r="J5198" t="s">
        <v>3452</v>
      </c>
      <c r="K5198" t="s">
        <v>3453</v>
      </c>
      <c r="L5198" t="s">
        <v>3454</v>
      </c>
      <c r="M5198">
        <v>19</v>
      </c>
      <c r="N5198">
        <v>26.94</v>
      </c>
      <c r="O5198">
        <v>3040.72</v>
      </c>
      <c r="P5198">
        <v>0</v>
      </c>
      <c r="Q5198">
        <v>3040.72</v>
      </c>
      <c r="R5198">
        <v>486.51</v>
      </c>
      <c r="S5198">
        <v>121.63</v>
      </c>
      <c r="T5198">
        <v>3405.6</v>
      </c>
      <c r="U5198" t="s">
        <v>3459</v>
      </c>
      <c r="V5198" t="s">
        <v>9408</v>
      </c>
      <c r="W5198" t="s">
        <v>423</v>
      </c>
    </row>
    <row r="5199" spans="1:23" hidden="1" x14ac:dyDescent="0.2">
      <c r="A5199">
        <v>2012</v>
      </c>
      <c r="B5199" t="s">
        <v>303</v>
      </c>
      <c r="C5199" s="733">
        <v>40911</v>
      </c>
      <c r="D51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199" t="s">
        <v>485</v>
      </c>
      <c r="F5199" t="s">
        <v>3450</v>
      </c>
      <c r="G5199" t="s">
        <v>4362</v>
      </c>
      <c r="H5199">
        <v>39601</v>
      </c>
      <c r="I5199" t="s">
        <v>423</v>
      </c>
      <c r="J5199" t="s">
        <v>3452</v>
      </c>
      <c r="K5199" t="s">
        <v>3453</v>
      </c>
      <c r="L5199" t="s">
        <v>3454</v>
      </c>
      <c r="M5199">
        <v>19</v>
      </c>
      <c r="N5199">
        <v>29.38</v>
      </c>
      <c r="O5199">
        <v>1396.14</v>
      </c>
      <c r="P5199">
        <v>1571.900065</v>
      </c>
      <c r="Q5199">
        <v>2968.0400650000001</v>
      </c>
      <c r="R5199">
        <v>474.88641000000001</v>
      </c>
      <c r="S5199">
        <v>118.721603</v>
      </c>
      <c r="T5199">
        <v>3324.2048719999998</v>
      </c>
      <c r="U5199" t="s">
        <v>3697</v>
      </c>
      <c r="V5199" t="s">
        <v>9408</v>
      </c>
      <c r="W5199" t="s">
        <v>423</v>
      </c>
    </row>
    <row r="5200" spans="1:23" hidden="1" x14ac:dyDescent="0.2">
      <c r="A5200">
        <v>2012</v>
      </c>
      <c r="B5200" t="s">
        <v>304</v>
      </c>
      <c r="C5200" s="733">
        <v>40953</v>
      </c>
      <c r="D52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00" t="s">
        <v>485</v>
      </c>
      <c r="F5200" t="s">
        <v>3450</v>
      </c>
      <c r="G5200" t="s">
        <v>4360</v>
      </c>
      <c r="H5200">
        <v>41814</v>
      </c>
      <c r="I5200" t="s">
        <v>423</v>
      </c>
      <c r="J5200" t="s">
        <v>3452</v>
      </c>
      <c r="K5200" t="s">
        <v>3453</v>
      </c>
      <c r="L5200" t="s">
        <v>3454</v>
      </c>
      <c r="M5200">
        <v>19</v>
      </c>
      <c r="N5200">
        <v>26.17</v>
      </c>
      <c r="O5200">
        <v>2953.81</v>
      </c>
      <c r="P5200">
        <v>0</v>
      </c>
      <c r="Q5200">
        <v>2953.81</v>
      </c>
      <c r="R5200">
        <v>472.61</v>
      </c>
      <c r="S5200">
        <v>118.15</v>
      </c>
      <c r="T5200">
        <v>3308.27</v>
      </c>
      <c r="U5200" t="s">
        <v>7533</v>
      </c>
      <c r="V5200" t="s">
        <v>9408</v>
      </c>
      <c r="W5200" t="s">
        <v>423</v>
      </c>
    </row>
    <row r="5201" spans="1:23" hidden="1" x14ac:dyDescent="0.2">
      <c r="A5201">
        <v>2012</v>
      </c>
      <c r="B5201" t="s">
        <v>303</v>
      </c>
      <c r="C5201" s="733">
        <v>40914</v>
      </c>
      <c r="D52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01" t="s">
        <v>478</v>
      </c>
      <c r="F5201" t="s">
        <v>2136</v>
      </c>
      <c r="G5201" t="s">
        <v>5415</v>
      </c>
      <c r="H5201">
        <v>34267</v>
      </c>
      <c r="I5201" t="s">
        <v>423</v>
      </c>
      <c r="J5201" t="s">
        <v>4279</v>
      </c>
      <c r="K5201" t="s">
        <v>425</v>
      </c>
      <c r="L5201" t="s">
        <v>2145</v>
      </c>
      <c r="M5201">
        <v>381</v>
      </c>
      <c r="N5201">
        <v>45.32</v>
      </c>
      <c r="O5201">
        <v>11347.67</v>
      </c>
      <c r="P5201">
        <v>0</v>
      </c>
      <c r="Q5201">
        <v>11347.67</v>
      </c>
      <c r="R5201">
        <v>1815.63</v>
      </c>
      <c r="S5201">
        <v>453.91</v>
      </c>
      <c r="T5201">
        <v>12709.39</v>
      </c>
      <c r="U5201" t="s">
        <v>2350</v>
      </c>
      <c r="V5201" t="s">
        <v>9409</v>
      </c>
      <c r="W5201" t="s">
        <v>423</v>
      </c>
    </row>
    <row r="5202" spans="1:23" hidden="1" x14ac:dyDescent="0.2">
      <c r="A5202">
        <v>2012</v>
      </c>
      <c r="B5202" t="s">
        <v>304</v>
      </c>
      <c r="C5202" s="733">
        <v>40967.413159722222</v>
      </c>
      <c r="D52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02" t="s">
        <v>478</v>
      </c>
      <c r="F5202" t="s">
        <v>2136</v>
      </c>
      <c r="G5202" t="s">
        <v>9306</v>
      </c>
      <c r="H5202">
        <v>36162</v>
      </c>
      <c r="I5202" t="s">
        <v>423</v>
      </c>
      <c r="J5202" t="s">
        <v>4279</v>
      </c>
      <c r="K5202" t="s">
        <v>425</v>
      </c>
      <c r="L5202" t="s">
        <v>2145</v>
      </c>
      <c r="M5202">
        <v>381</v>
      </c>
      <c r="N5202">
        <v>46.09</v>
      </c>
      <c r="O5202">
        <v>11540.48</v>
      </c>
      <c r="P5202">
        <v>0</v>
      </c>
      <c r="Q5202">
        <v>11540.48</v>
      </c>
      <c r="R5202">
        <v>1846.48</v>
      </c>
      <c r="S5202">
        <v>461.62</v>
      </c>
      <c r="T5202">
        <v>12925.34</v>
      </c>
      <c r="U5202" t="s">
        <v>9430</v>
      </c>
      <c r="V5202" t="s">
        <v>9409</v>
      </c>
      <c r="W5202" t="s">
        <v>423</v>
      </c>
    </row>
    <row r="5203" spans="1:23" hidden="1" x14ac:dyDescent="0.2">
      <c r="A5203">
        <v>2012</v>
      </c>
      <c r="B5203" t="s">
        <v>304</v>
      </c>
      <c r="C5203" s="733">
        <v>40960</v>
      </c>
      <c r="D52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03" t="s">
        <v>485</v>
      </c>
      <c r="F5203" t="s">
        <v>3450</v>
      </c>
      <c r="G5203" t="s">
        <v>8406</v>
      </c>
      <c r="H5203">
        <v>42239</v>
      </c>
      <c r="I5203" t="s">
        <v>423</v>
      </c>
      <c r="J5203" t="s">
        <v>3457</v>
      </c>
      <c r="K5203" t="s">
        <v>3453</v>
      </c>
      <c r="L5203" t="s">
        <v>3454</v>
      </c>
      <c r="M5203">
        <v>29</v>
      </c>
      <c r="N5203">
        <v>25.65</v>
      </c>
      <c r="O5203">
        <v>2895.12</v>
      </c>
      <c r="P5203">
        <v>0</v>
      </c>
      <c r="Q5203">
        <v>2895.12</v>
      </c>
      <c r="R5203">
        <v>463.22</v>
      </c>
      <c r="S5203">
        <v>115.8</v>
      </c>
      <c r="T5203">
        <v>3242.54</v>
      </c>
      <c r="U5203" t="s">
        <v>8991</v>
      </c>
      <c r="V5203" t="s">
        <v>9408</v>
      </c>
      <c r="W5203" t="s">
        <v>423</v>
      </c>
    </row>
    <row r="5204" spans="1:23" hidden="1" x14ac:dyDescent="0.2">
      <c r="A5204">
        <v>2012</v>
      </c>
      <c r="B5204" t="s">
        <v>304</v>
      </c>
      <c r="C5204" s="733">
        <v>40953</v>
      </c>
      <c r="D52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04" t="s">
        <v>485</v>
      </c>
      <c r="F5204" t="s">
        <v>2065</v>
      </c>
      <c r="G5204" t="s">
        <v>4943</v>
      </c>
      <c r="H5204">
        <v>41743</v>
      </c>
      <c r="I5204" t="s">
        <v>423</v>
      </c>
      <c r="J5204" t="s">
        <v>4822</v>
      </c>
      <c r="K5204" t="s">
        <v>2183</v>
      </c>
      <c r="L5204" t="s">
        <v>2184</v>
      </c>
      <c r="M5204">
        <v>204</v>
      </c>
      <c r="N5204">
        <v>26.32</v>
      </c>
      <c r="O5204">
        <v>4773.66</v>
      </c>
      <c r="P5204">
        <v>0</v>
      </c>
      <c r="Q5204">
        <v>4773.66</v>
      </c>
      <c r="R5204">
        <v>763.79</v>
      </c>
      <c r="S5204">
        <v>190.95</v>
      </c>
      <c r="T5204">
        <v>5346.5</v>
      </c>
      <c r="V5204" t="s">
        <v>9408</v>
      </c>
      <c r="W5204" t="s">
        <v>423</v>
      </c>
    </row>
    <row r="5205" spans="1:23" hidden="1" x14ac:dyDescent="0.2">
      <c r="A5205">
        <v>2012</v>
      </c>
      <c r="B5205" t="s">
        <v>304</v>
      </c>
      <c r="C5205" s="733">
        <v>40967</v>
      </c>
      <c r="D52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05" t="s">
        <v>478</v>
      </c>
      <c r="F5205" t="s">
        <v>4128</v>
      </c>
      <c r="G5205" t="s">
        <v>9305</v>
      </c>
      <c r="H5205">
        <v>36172</v>
      </c>
      <c r="I5205" t="s">
        <v>423</v>
      </c>
      <c r="J5205" t="s">
        <v>4509</v>
      </c>
      <c r="K5205" t="s">
        <v>4397</v>
      </c>
      <c r="L5205" t="s">
        <v>4398</v>
      </c>
      <c r="M5205">
        <v>183</v>
      </c>
      <c r="N5205">
        <v>23.015000000000001</v>
      </c>
      <c r="O5205">
        <v>3975.15</v>
      </c>
      <c r="P5205">
        <v>0</v>
      </c>
      <c r="Q5205">
        <v>3975.15</v>
      </c>
      <c r="R5205">
        <v>636.02</v>
      </c>
      <c r="S5205">
        <v>159.01</v>
      </c>
      <c r="T5205">
        <v>4452.16</v>
      </c>
      <c r="V5205" t="s">
        <v>9408</v>
      </c>
      <c r="W5205" t="s">
        <v>423</v>
      </c>
    </row>
    <row r="5206" spans="1:23" hidden="1" x14ac:dyDescent="0.2">
      <c r="A5206">
        <v>2012</v>
      </c>
      <c r="B5206" t="s">
        <v>303</v>
      </c>
      <c r="C5206" s="733">
        <v>40927.416724537034</v>
      </c>
      <c r="D52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06" t="s">
        <v>478</v>
      </c>
      <c r="F5206" t="s">
        <v>4128</v>
      </c>
      <c r="G5206" t="s">
        <v>6228</v>
      </c>
      <c r="H5206">
        <v>34716</v>
      </c>
      <c r="I5206" t="s">
        <v>423</v>
      </c>
      <c r="J5206" t="s">
        <v>4396</v>
      </c>
      <c r="K5206" t="s">
        <v>4397</v>
      </c>
      <c r="L5206" t="s">
        <v>4398</v>
      </c>
      <c r="M5206">
        <v>112</v>
      </c>
      <c r="N5206">
        <v>30</v>
      </c>
      <c r="O5206">
        <v>3386.1</v>
      </c>
      <c r="P5206">
        <v>0</v>
      </c>
      <c r="Q5206">
        <v>3386.1</v>
      </c>
      <c r="R5206">
        <v>541.78</v>
      </c>
      <c r="S5206">
        <v>135.44</v>
      </c>
      <c r="T5206">
        <v>3792.44</v>
      </c>
      <c r="U5206" t="s">
        <v>4404</v>
      </c>
      <c r="V5206" t="s">
        <v>9408</v>
      </c>
      <c r="W5206" t="s">
        <v>423</v>
      </c>
    </row>
    <row r="5207" spans="1:23" hidden="1" x14ac:dyDescent="0.2">
      <c r="A5207">
        <v>2012</v>
      </c>
      <c r="B5207" t="s">
        <v>303</v>
      </c>
      <c r="C5207" s="733">
        <v>40935</v>
      </c>
      <c r="D52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07" t="s">
        <v>478</v>
      </c>
      <c r="F5207" t="s">
        <v>2136</v>
      </c>
      <c r="G5207" t="s">
        <v>7197</v>
      </c>
      <c r="H5207">
        <v>34965</v>
      </c>
      <c r="I5207" t="s">
        <v>423</v>
      </c>
      <c r="J5207" t="s">
        <v>4289</v>
      </c>
      <c r="K5207" t="s">
        <v>425</v>
      </c>
      <c r="L5207" t="s">
        <v>2145</v>
      </c>
      <c r="M5207">
        <v>775</v>
      </c>
      <c r="N5207">
        <v>25.1</v>
      </c>
      <c r="O5207">
        <v>9611.5400000000009</v>
      </c>
      <c r="P5207">
        <v>0</v>
      </c>
      <c r="Q5207">
        <v>9611.5400000000009</v>
      </c>
      <c r="R5207">
        <v>1537.85</v>
      </c>
      <c r="S5207">
        <v>384.46</v>
      </c>
      <c r="T5207">
        <v>10764.93</v>
      </c>
      <c r="U5207" t="s">
        <v>2580</v>
      </c>
      <c r="V5207" t="s">
        <v>9408</v>
      </c>
      <c r="W5207" t="s">
        <v>423</v>
      </c>
    </row>
    <row r="5208" spans="1:23" hidden="1" x14ac:dyDescent="0.2">
      <c r="A5208">
        <v>2012</v>
      </c>
      <c r="B5208" t="s">
        <v>304</v>
      </c>
      <c r="C5208" s="733">
        <v>40946</v>
      </c>
      <c r="D52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08" t="s">
        <v>485</v>
      </c>
      <c r="F5208" t="s">
        <v>2054</v>
      </c>
      <c r="G5208" t="s">
        <v>6768</v>
      </c>
      <c r="H5208">
        <v>9997</v>
      </c>
      <c r="I5208" t="s">
        <v>423</v>
      </c>
      <c r="J5208" t="s">
        <v>4545</v>
      </c>
      <c r="K5208" t="s">
        <v>2057</v>
      </c>
      <c r="L5208" t="s">
        <v>2058</v>
      </c>
      <c r="M5208">
        <v>144</v>
      </c>
      <c r="N5208">
        <v>22.51</v>
      </c>
      <c r="O5208">
        <v>3599.12</v>
      </c>
      <c r="P5208">
        <v>0</v>
      </c>
      <c r="Q5208">
        <v>3599.12</v>
      </c>
      <c r="R5208">
        <v>575.86</v>
      </c>
      <c r="S5208">
        <v>143.96</v>
      </c>
      <c r="T5208">
        <v>4031.02</v>
      </c>
      <c r="U5208" t="s">
        <v>2075</v>
      </c>
      <c r="V5208" t="s">
        <v>9408</v>
      </c>
      <c r="W5208" t="s">
        <v>423</v>
      </c>
    </row>
    <row r="5209" spans="1:23" hidden="1" x14ac:dyDescent="0.2">
      <c r="A5209">
        <v>2012</v>
      </c>
      <c r="B5209" t="s">
        <v>303</v>
      </c>
      <c r="C5209" s="733">
        <v>40931</v>
      </c>
      <c r="D52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09" t="s">
        <v>485</v>
      </c>
      <c r="F5209" t="s">
        <v>3450</v>
      </c>
      <c r="G5209" t="s">
        <v>5833</v>
      </c>
      <c r="H5209">
        <v>40122</v>
      </c>
      <c r="I5209" t="s">
        <v>423</v>
      </c>
      <c r="J5209" t="s">
        <v>3452</v>
      </c>
      <c r="K5209" t="s">
        <v>3453</v>
      </c>
      <c r="L5209" t="s">
        <v>3454</v>
      </c>
      <c r="M5209">
        <v>19</v>
      </c>
      <c r="N5209">
        <v>27.8</v>
      </c>
      <c r="O5209">
        <v>3137.79</v>
      </c>
      <c r="P5209">
        <v>0</v>
      </c>
      <c r="Q5209">
        <v>3137.79</v>
      </c>
      <c r="R5209">
        <v>502.05</v>
      </c>
      <c r="S5209">
        <v>125.51</v>
      </c>
      <c r="T5209">
        <v>3514.33</v>
      </c>
      <c r="U5209" t="s">
        <v>3459</v>
      </c>
      <c r="V5209" t="s">
        <v>9408</v>
      </c>
      <c r="W5209" t="s">
        <v>423</v>
      </c>
    </row>
    <row r="5210" spans="1:23" hidden="1" x14ac:dyDescent="0.2">
      <c r="A5210">
        <v>2012</v>
      </c>
      <c r="B5210" t="s">
        <v>303</v>
      </c>
      <c r="C5210" s="733">
        <v>40919</v>
      </c>
      <c r="D52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10" t="s">
        <v>485</v>
      </c>
      <c r="F5210" t="s">
        <v>3450</v>
      </c>
      <c r="G5210" t="s">
        <v>5834</v>
      </c>
      <c r="H5210">
        <v>40125</v>
      </c>
      <c r="I5210" t="s">
        <v>423</v>
      </c>
      <c r="J5210" t="s">
        <v>3452</v>
      </c>
      <c r="K5210" t="s">
        <v>3453</v>
      </c>
      <c r="L5210" t="s">
        <v>3454</v>
      </c>
      <c r="M5210">
        <v>19</v>
      </c>
      <c r="N5210">
        <v>26.99</v>
      </c>
      <c r="O5210">
        <v>3046.36</v>
      </c>
      <c r="P5210">
        <v>0</v>
      </c>
      <c r="Q5210">
        <v>3046.36</v>
      </c>
      <c r="R5210">
        <v>487.42</v>
      </c>
      <c r="S5210">
        <v>121.85</v>
      </c>
      <c r="T5210">
        <v>3411.93</v>
      </c>
      <c r="U5210" t="s">
        <v>3459</v>
      </c>
      <c r="V5210" t="s">
        <v>9408</v>
      </c>
      <c r="W5210" t="s">
        <v>423</v>
      </c>
    </row>
    <row r="5211" spans="1:23" hidden="1" x14ac:dyDescent="0.2">
      <c r="A5211">
        <v>2012</v>
      </c>
      <c r="B5211" t="s">
        <v>304</v>
      </c>
      <c r="C5211" s="733">
        <v>40948</v>
      </c>
      <c r="D52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11" t="s">
        <v>485</v>
      </c>
      <c r="F5211" t="s">
        <v>3450</v>
      </c>
      <c r="G5211" t="s">
        <v>5836</v>
      </c>
      <c r="H5211">
        <v>41466</v>
      </c>
      <c r="I5211" t="s">
        <v>423</v>
      </c>
      <c r="J5211" t="s">
        <v>3452</v>
      </c>
      <c r="K5211" t="s">
        <v>3453</v>
      </c>
      <c r="L5211" t="s">
        <v>3454</v>
      </c>
      <c r="M5211">
        <v>19</v>
      </c>
      <c r="N5211">
        <v>20.29</v>
      </c>
      <c r="O5211">
        <v>2290.13</v>
      </c>
      <c r="P5211">
        <v>0</v>
      </c>
      <c r="Q5211">
        <v>2290.13</v>
      </c>
      <c r="R5211">
        <v>366.42</v>
      </c>
      <c r="S5211">
        <v>91.61</v>
      </c>
      <c r="T5211">
        <v>2564.94</v>
      </c>
      <c r="U5211" t="s">
        <v>3455</v>
      </c>
      <c r="V5211" t="s">
        <v>9408</v>
      </c>
      <c r="W5211" t="s">
        <v>423</v>
      </c>
    </row>
    <row r="5212" spans="1:23" hidden="1" x14ac:dyDescent="0.2">
      <c r="A5212">
        <v>2012</v>
      </c>
      <c r="B5212" t="s">
        <v>303</v>
      </c>
      <c r="C5212" s="733">
        <v>40926</v>
      </c>
      <c r="D52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12" t="s">
        <v>485</v>
      </c>
      <c r="F5212" t="s">
        <v>3450</v>
      </c>
      <c r="G5212" t="s">
        <v>5830</v>
      </c>
      <c r="H5212">
        <v>40355</v>
      </c>
      <c r="I5212" t="s">
        <v>423</v>
      </c>
      <c r="J5212" t="s">
        <v>3452</v>
      </c>
      <c r="K5212" t="s">
        <v>3453</v>
      </c>
      <c r="L5212" t="s">
        <v>3454</v>
      </c>
      <c r="M5212">
        <v>19</v>
      </c>
      <c r="N5212">
        <v>27.48</v>
      </c>
      <c r="O5212">
        <v>3101.67</v>
      </c>
      <c r="P5212">
        <v>0</v>
      </c>
      <c r="Q5212">
        <v>3101.67</v>
      </c>
      <c r="R5212">
        <v>496.27</v>
      </c>
      <c r="S5212">
        <v>124.07</v>
      </c>
      <c r="T5212">
        <v>3473.87</v>
      </c>
      <c r="U5212" t="s">
        <v>3459</v>
      </c>
      <c r="V5212" t="s">
        <v>9408</v>
      </c>
      <c r="W5212" t="s">
        <v>423</v>
      </c>
    </row>
    <row r="5213" spans="1:23" hidden="1" x14ac:dyDescent="0.2">
      <c r="A5213">
        <v>2012</v>
      </c>
      <c r="B5213" t="s">
        <v>304</v>
      </c>
      <c r="C5213" s="733">
        <v>40948</v>
      </c>
      <c r="D52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13" t="s">
        <v>485</v>
      </c>
      <c r="F5213" t="s">
        <v>3450</v>
      </c>
      <c r="G5213" t="s">
        <v>5831</v>
      </c>
      <c r="H5213">
        <v>41465</v>
      </c>
      <c r="I5213" t="s">
        <v>423</v>
      </c>
      <c r="J5213" t="s">
        <v>3452</v>
      </c>
      <c r="K5213" t="s">
        <v>3453</v>
      </c>
      <c r="L5213" t="s">
        <v>3454</v>
      </c>
      <c r="M5213">
        <v>19</v>
      </c>
      <c r="N5213">
        <v>27.32</v>
      </c>
      <c r="O5213">
        <v>3083.61</v>
      </c>
      <c r="P5213">
        <v>0</v>
      </c>
      <c r="Q5213">
        <v>3083.61</v>
      </c>
      <c r="R5213">
        <v>493.38</v>
      </c>
      <c r="S5213">
        <v>123.34</v>
      </c>
      <c r="T5213">
        <v>3453.65</v>
      </c>
      <c r="U5213" t="s">
        <v>3455</v>
      </c>
      <c r="V5213" t="s">
        <v>9408</v>
      </c>
      <c r="W5213" t="s">
        <v>423</v>
      </c>
    </row>
    <row r="5214" spans="1:23" hidden="1" x14ac:dyDescent="0.2">
      <c r="A5214">
        <v>2012</v>
      </c>
      <c r="B5214" t="s">
        <v>304</v>
      </c>
      <c r="C5214" s="733">
        <v>40953</v>
      </c>
      <c r="D52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14" t="s">
        <v>485</v>
      </c>
      <c r="F5214" t="s">
        <v>3450</v>
      </c>
      <c r="G5214" t="s">
        <v>5835</v>
      </c>
      <c r="H5214">
        <v>41677</v>
      </c>
      <c r="I5214" t="s">
        <v>423</v>
      </c>
      <c r="J5214" t="s">
        <v>3452</v>
      </c>
      <c r="K5214" t="s">
        <v>3453</v>
      </c>
      <c r="L5214" t="s">
        <v>3454</v>
      </c>
      <c r="M5214">
        <v>19</v>
      </c>
      <c r="N5214">
        <v>26.92</v>
      </c>
      <c r="O5214">
        <v>3038.46</v>
      </c>
      <c r="P5214">
        <v>0</v>
      </c>
      <c r="Q5214">
        <v>3038.46</v>
      </c>
      <c r="R5214">
        <v>486.15</v>
      </c>
      <c r="S5214">
        <v>121.54</v>
      </c>
      <c r="T5214">
        <v>3403.07</v>
      </c>
      <c r="U5214" t="s">
        <v>7533</v>
      </c>
      <c r="V5214" t="s">
        <v>9408</v>
      </c>
      <c r="W5214" t="s">
        <v>423</v>
      </c>
    </row>
    <row r="5215" spans="1:23" hidden="1" x14ac:dyDescent="0.2">
      <c r="A5215">
        <v>2012</v>
      </c>
      <c r="B5215" t="s">
        <v>304</v>
      </c>
      <c r="C5215" s="733">
        <v>40956</v>
      </c>
      <c r="D52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15" t="s">
        <v>485</v>
      </c>
      <c r="F5215" t="s">
        <v>3450</v>
      </c>
      <c r="G5215" t="s">
        <v>7857</v>
      </c>
      <c r="H5215">
        <v>41173</v>
      </c>
      <c r="I5215" t="s">
        <v>423</v>
      </c>
      <c r="J5215" t="s">
        <v>3452</v>
      </c>
      <c r="K5215" t="s">
        <v>3453</v>
      </c>
      <c r="L5215" t="s">
        <v>3454</v>
      </c>
      <c r="M5215">
        <v>19</v>
      </c>
      <c r="N5215">
        <v>28.49</v>
      </c>
      <c r="O5215">
        <v>3215.67</v>
      </c>
      <c r="P5215">
        <v>0</v>
      </c>
      <c r="Q5215">
        <v>3215.67</v>
      </c>
      <c r="R5215">
        <v>514.51</v>
      </c>
      <c r="S5215">
        <v>128.63</v>
      </c>
      <c r="T5215">
        <v>3601.55</v>
      </c>
      <c r="U5215" t="s">
        <v>8991</v>
      </c>
      <c r="V5215" t="s">
        <v>9408</v>
      </c>
      <c r="W5215" t="s">
        <v>423</v>
      </c>
    </row>
    <row r="5216" spans="1:23" hidden="1" x14ac:dyDescent="0.2">
      <c r="A5216">
        <v>2012</v>
      </c>
      <c r="B5216" t="s">
        <v>304</v>
      </c>
      <c r="C5216" s="733">
        <v>40947</v>
      </c>
      <c r="D52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16" t="s">
        <v>478</v>
      </c>
      <c r="F5216" t="s">
        <v>2136</v>
      </c>
      <c r="G5216" t="s">
        <v>6956</v>
      </c>
      <c r="H5216">
        <v>35403</v>
      </c>
      <c r="I5216" t="s">
        <v>423</v>
      </c>
      <c r="J5216" t="s">
        <v>4279</v>
      </c>
      <c r="K5216" t="s">
        <v>425</v>
      </c>
      <c r="L5216" t="s">
        <v>2145</v>
      </c>
      <c r="M5216">
        <v>381</v>
      </c>
      <c r="N5216">
        <v>24.33</v>
      </c>
      <c r="O5216">
        <v>6091.99</v>
      </c>
      <c r="P5216">
        <v>0</v>
      </c>
      <c r="Q5216">
        <v>6091.99</v>
      </c>
      <c r="R5216">
        <v>974.72</v>
      </c>
      <c r="S5216">
        <v>243.68</v>
      </c>
      <c r="T5216">
        <v>6823.03</v>
      </c>
      <c r="U5216" t="s">
        <v>2938</v>
      </c>
      <c r="V5216" t="s">
        <v>9408</v>
      </c>
      <c r="W5216" t="s">
        <v>423</v>
      </c>
    </row>
    <row r="5217" spans="1:23" hidden="1" x14ac:dyDescent="0.2">
      <c r="A5217">
        <v>2012</v>
      </c>
      <c r="B5217" t="s">
        <v>303</v>
      </c>
      <c r="C5217" s="733">
        <v>40912</v>
      </c>
      <c r="D52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17" t="s">
        <v>478</v>
      </c>
      <c r="F5217" t="s">
        <v>2136</v>
      </c>
      <c r="G5217" t="s">
        <v>6957</v>
      </c>
      <c r="H5217">
        <v>34129</v>
      </c>
      <c r="I5217" t="s">
        <v>423</v>
      </c>
      <c r="J5217" t="s">
        <v>4279</v>
      </c>
      <c r="K5217" t="s">
        <v>425</v>
      </c>
      <c r="L5217" t="s">
        <v>2145</v>
      </c>
      <c r="M5217">
        <v>381</v>
      </c>
      <c r="N5217">
        <v>28.04</v>
      </c>
      <c r="O5217">
        <v>2955.98</v>
      </c>
      <c r="P5217">
        <v>3328.108322</v>
      </c>
      <c r="Q5217">
        <v>6284.0883219999996</v>
      </c>
      <c r="R5217">
        <v>1005.454132</v>
      </c>
      <c r="S5217">
        <v>251.36353299999999</v>
      </c>
      <c r="T5217">
        <v>7038.1789209999997</v>
      </c>
      <c r="U5217" t="s">
        <v>2150</v>
      </c>
      <c r="V5217" t="s">
        <v>9408</v>
      </c>
      <c r="W5217" t="s">
        <v>423</v>
      </c>
    </row>
    <row r="5218" spans="1:23" x14ac:dyDescent="0.2">
      <c r="A5218">
        <v>2012</v>
      </c>
      <c r="B5218" t="s">
        <v>304</v>
      </c>
      <c r="C5218" s="733">
        <v>40968</v>
      </c>
      <c r="D52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18" t="s">
        <v>485</v>
      </c>
      <c r="F5218" t="s">
        <v>3450</v>
      </c>
      <c r="G5218" t="s">
        <v>9490</v>
      </c>
      <c r="H5218">
        <v>42675</v>
      </c>
      <c r="I5218" t="s">
        <v>423</v>
      </c>
      <c r="J5218" t="s">
        <v>3452</v>
      </c>
      <c r="K5218" t="s">
        <v>3453</v>
      </c>
      <c r="L5218" t="s">
        <v>3454</v>
      </c>
      <c r="M5218">
        <v>19</v>
      </c>
      <c r="N5218">
        <v>28.92</v>
      </c>
      <c r="O5218">
        <v>3264.2</v>
      </c>
      <c r="P5218">
        <v>0</v>
      </c>
      <c r="Q5218">
        <v>3264.2</v>
      </c>
      <c r="R5218">
        <v>522.27</v>
      </c>
      <c r="S5218">
        <v>130.57</v>
      </c>
      <c r="T5218">
        <v>3655.9</v>
      </c>
      <c r="V5218" t="s">
        <v>9408</v>
      </c>
      <c r="W5218" t="s">
        <v>423</v>
      </c>
    </row>
    <row r="5219" spans="1:23" hidden="1" x14ac:dyDescent="0.2">
      <c r="A5219">
        <v>2012</v>
      </c>
      <c r="B5219" t="s">
        <v>304</v>
      </c>
      <c r="C5219" s="733">
        <v>40948</v>
      </c>
      <c r="D52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19" t="s">
        <v>485</v>
      </c>
      <c r="F5219" t="s">
        <v>3450</v>
      </c>
      <c r="G5219" t="s">
        <v>5832</v>
      </c>
      <c r="H5219">
        <v>41464</v>
      </c>
      <c r="I5219" t="s">
        <v>423</v>
      </c>
      <c r="J5219" t="s">
        <v>3457</v>
      </c>
      <c r="K5219" t="s">
        <v>3453</v>
      </c>
      <c r="L5219" t="s">
        <v>3454</v>
      </c>
      <c r="M5219">
        <v>29</v>
      </c>
      <c r="N5219">
        <v>24.79</v>
      </c>
      <c r="O5219">
        <v>2798.05</v>
      </c>
      <c r="P5219">
        <v>0</v>
      </c>
      <c r="Q5219">
        <v>2798.05</v>
      </c>
      <c r="R5219">
        <v>447.69</v>
      </c>
      <c r="S5219">
        <v>111.92</v>
      </c>
      <c r="T5219">
        <v>3133.82</v>
      </c>
      <c r="U5219" t="s">
        <v>3455</v>
      </c>
      <c r="V5219" t="s">
        <v>9408</v>
      </c>
      <c r="W5219" t="s">
        <v>423</v>
      </c>
    </row>
    <row r="5220" spans="1:23" hidden="1" x14ac:dyDescent="0.2">
      <c r="A5220">
        <v>2012</v>
      </c>
      <c r="B5220" t="s">
        <v>304</v>
      </c>
      <c r="C5220" s="733">
        <v>40962</v>
      </c>
      <c r="D52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20" t="s">
        <v>478</v>
      </c>
      <c r="F5220" t="s">
        <v>4128</v>
      </c>
      <c r="G5220" t="s">
        <v>8610</v>
      </c>
      <c r="H5220">
        <v>35927</v>
      </c>
      <c r="I5220" t="s">
        <v>423</v>
      </c>
      <c r="J5220" t="s">
        <v>4509</v>
      </c>
      <c r="K5220" t="s">
        <v>4397</v>
      </c>
      <c r="L5220" t="s">
        <v>4398</v>
      </c>
      <c r="M5220">
        <v>183</v>
      </c>
      <c r="N5220">
        <v>25.06</v>
      </c>
      <c r="O5220">
        <v>4328.3599999999997</v>
      </c>
      <c r="P5220">
        <v>0</v>
      </c>
      <c r="Q5220">
        <v>4328.3599999999997</v>
      </c>
      <c r="R5220">
        <v>692.54</v>
      </c>
      <c r="S5220">
        <v>173.13</v>
      </c>
      <c r="T5220">
        <v>4847.7700000000004</v>
      </c>
      <c r="U5220" t="s">
        <v>8982</v>
      </c>
      <c r="V5220" t="s">
        <v>9408</v>
      </c>
      <c r="W5220" t="s">
        <v>423</v>
      </c>
    </row>
    <row r="5221" spans="1:23" hidden="1" x14ac:dyDescent="0.2">
      <c r="A5221">
        <v>2012</v>
      </c>
      <c r="B5221" t="s">
        <v>304</v>
      </c>
      <c r="C5221" s="733">
        <v>40967</v>
      </c>
      <c r="D52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21" t="s">
        <v>478</v>
      </c>
      <c r="F5221" t="s">
        <v>4128</v>
      </c>
      <c r="G5221" t="s">
        <v>9072</v>
      </c>
      <c r="H5221">
        <v>36171</v>
      </c>
      <c r="I5221" t="s">
        <v>423</v>
      </c>
      <c r="J5221" t="s">
        <v>4509</v>
      </c>
      <c r="K5221" t="s">
        <v>4397</v>
      </c>
      <c r="L5221" t="s">
        <v>4398</v>
      </c>
      <c r="M5221">
        <v>183</v>
      </c>
      <c r="N5221">
        <v>24.695</v>
      </c>
      <c r="O5221">
        <v>4265.32</v>
      </c>
      <c r="P5221">
        <v>0</v>
      </c>
      <c r="Q5221">
        <v>4265.32</v>
      </c>
      <c r="R5221">
        <v>682.45</v>
      </c>
      <c r="S5221">
        <v>170.61</v>
      </c>
      <c r="T5221">
        <v>4777.16</v>
      </c>
      <c r="U5221" t="s">
        <v>8982</v>
      </c>
      <c r="V5221" t="s">
        <v>9408</v>
      </c>
      <c r="W5221" t="s">
        <v>423</v>
      </c>
    </row>
    <row r="5222" spans="1:23" hidden="1" x14ac:dyDescent="0.2">
      <c r="A5222">
        <v>2012</v>
      </c>
      <c r="B5222" t="s">
        <v>304</v>
      </c>
      <c r="C5222" s="733">
        <v>40955.412418981483</v>
      </c>
      <c r="D52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22" t="s">
        <v>478</v>
      </c>
      <c r="F5222" t="s">
        <v>3358</v>
      </c>
      <c r="G5222" t="s">
        <v>7911</v>
      </c>
      <c r="H5222">
        <v>35708</v>
      </c>
      <c r="I5222" t="s">
        <v>423</v>
      </c>
      <c r="J5222" t="s">
        <v>4509</v>
      </c>
      <c r="K5222" t="s">
        <v>4397</v>
      </c>
      <c r="L5222" t="s">
        <v>4398</v>
      </c>
      <c r="M5222">
        <v>183</v>
      </c>
      <c r="N5222">
        <v>26.074999999999999</v>
      </c>
      <c r="O5222">
        <v>4503.67</v>
      </c>
      <c r="P5222">
        <v>0</v>
      </c>
      <c r="Q5222">
        <v>4503.67</v>
      </c>
      <c r="R5222">
        <v>720.59</v>
      </c>
      <c r="S5222">
        <v>180.15</v>
      </c>
      <c r="T5222">
        <v>5044.1099999999997</v>
      </c>
      <c r="U5222" t="s">
        <v>7540</v>
      </c>
      <c r="V5222" t="s">
        <v>9408</v>
      </c>
      <c r="W5222" t="s">
        <v>423</v>
      </c>
    </row>
    <row r="5223" spans="1:23" hidden="1" x14ac:dyDescent="0.2">
      <c r="A5223">
        <v>2012</v>
      </c>
      <c r="B5223" t="s">
        <v>304</v>
      </c>
      <c r="C5223" s="733">
        <v>40949</v>
      </c>
      <c r="D52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23" t="s">
        <v>505</v>
      </c>
      <c r="F5223" t="s">
        <v>1915</v>
      </c>
      <c r="G5223" t="s">
        <v>7162</v>
      </c>
      <c r="H5223">
        <v>22601</v>
      </c>
      <c r="I5223" t="s">
        <v>424</v>
      </c>
      <c r="J5223" t="s">
        <v>7163</v>
      </c>
      <c r="K5223" t="s">
        <v>1918</v>
      </c>
      <c r="L5223" t="s">
        <v>1919</v>
      </c>
      <c r="M5223">
        <v>826</v>
      </c>
      <c r="N5223">
        <v>30</v>
      </c>
      <c r="O5223">
        <v>7944.93</v>
      </c>
      <c r="P5223">
        <v>4565.8718220000001</v>
      </c>
      <c r="Q5223">
        <v>12510.801821999999</v>
      </c>
      <c r="R5223">
        <v>2001.7282909999999</v>
      </c>
      <c r="S5223">
        <v>500.432073</v>
      </c>
      <c r="T5223">
        <v>14012.098040000001</v>
      </c>
      <c r="U5223" t="s">
        <v>7522</v>
      </c>
      <c r="V5223" t="s">
        <v>9408</v>
      </c>
      <c r="W5223" t="s">
        <v>424</v>
      </c>
    </row>
    <row r="5224" spans="1:23" hidden="1" x14ac:dyDescent="0.2">
      <c r="A5224">
        <v>2012</v>
      </c>
      <c r="B5224" t="s">
        <v>303</v>
      </c>
      <c r="C5224" s="733">
        <v>40926</v>
      </c>
      <c r="D52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24" t="s">
        <v>485</v>
      </c>
      <c r="F5224" t="s">
        <v>2048</v>
      </c>
      <c r="G5224" t="s">
        <v>6766</v>
      </c>
      <c r="H5224">
        <v>40525</v>
      </c>
      <c r="I5224" t="s">
        <v>423</v>
      </c>
      <c r="J5224" t="s">
        <v>4086</v>
      </c>
      <c r="K5224" t="s">
        <v>2051</v>
      </c>
      <c r="L5224" t="s">
        <v>2052</v>
      </c>
      <c r="M5224">
        <v>341</v>
      </c>
      <c r="N5224">
        <v>54.85</v>
      </c>
      <c r="O5224">
        <v>13413.57</v>
      </c>
      <c r="P5224">
        <v>0</v>
      </c>
      <c r="Q5224">
        <v>13413.57</v>
      </c>
      <c r="R5224">
        <v>2146.17</v>
      </c>
      <c r="S5224">
        <v>536.54</v>
      </c>
      <c r="T5224">
        <v>15023.2</v>
      </c>
      <c r="U5224" t="s">
        <v>2062</v>
      </c>
      <c r="V5224" t="s">
        <v>9409</v>
      </c>
      <c r="W5224" t="s">
        <v>423</v>
      </c>
    </row>
    <row r="5225" spans="1:23" hidden="1" x14ac:dyDescent="0.2">
      <c r="A5225">
        <v>2012</v>
      </c>
      <c r="B5225" t="s">
        <v>303</v>
      </c>
      <c r="C5225" s="733">
        <v>40935.770740740743</v>
      </c>
      <c r="D52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25" t="s">
        <v>505</v>
      </c>
      <c r="F5225" t="s">
        <v>1915</v>
      </c>
      <c r="G5225" t="s">
        <v>7154</v>
      </c>
      <c r="H5225">
        <v>22315</v>
      </c>
      <c r="I5225" t="s">
        <v>423</v>
      </c>
      <c r="J5225" t="s">
        <v>4158</v>
      </c>
      <c r="K5225" t="s">
        <v>1918</v>
      </c>
      <c r="L5225" t="s">
        <v>1919</v>
      </c>
      <c r="M5225">
        <v>274</v>
      </c>
      <c r="N5225">
        <v>27.15</v>
      </c>
      <c r="O5225">
        <v>7496.12</v>
      </c>
      <c r="P5225">
        <v>0</v>
      </c>
      <c r="Q5225">
        <v>7496.12</v>
      </c>
      <c r="R5225">
        <v>1199.3800000000001</v>
      </c>
      <c r="S5225">
        <v>299.83999999999997</v>
      </c>
      <c r="T5225">
        <v>8395.66</v>
      </c>
      <c r="U5225" t="s">
        <v>1926</v>
      </c>
      <c r="V5225" t="s">
        <v>9408</v>
      </c>
      <c r="W5225" t="s">
        <v>423</v>
      </c>
    </row>
    <row r="5226" spans="1:23" hidden="1" x14ac:dyDescent="0.2">
      <c r="A5226">
        <v>2012</v>
      </c>
      <c r="B5226" t="s">
        <v>303</v>
      </c>
      <c r="C5226" s="733">
        <v>40935.66070601852</v>
      </c>
      <c r="D52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26" t="s">
        <v>478</v>
      </c>
      <c r="F5226" t="s">
        <v>2136</v>
      </c>
      <c r="G5226" t="s">
        <v>6789</v>
      </c>
      <c r="H5226">
        <v>35005</v>
      </c>
      <c r="I5226" t="s">
        <v>423</v>
      </c>
      <c r="J5226" t="s">
        <v>4276</v>
      </c>
      <c r="K5226" t="s">
        <v>425</v>
      </c>
      <c r="L5226" t="s">
        <v>2145</v>
      </c>
      <c r="M5226">
        <v>60</v>
      </c>
      <c r="N5226">
        <v>23.53</v>
      </c>
      <c r="O5226">
        <v>3158.9</v>
      </c>
      <c r="P5226">
        <v>0</v>
      </c>
      <c r="Q5226">
        <v>3158.9</v>
      </c>
      <c r="R5226">
        <v>505.42</v>
      </c>
      <c r="S5226">
        <v>126.36</v>
      </c>
      <c r="T5226">
        <v>3537.96</v>
      </c>
      <c r="U5226" t="s">
        <v>2580</v>
      </c>
      <c r="V5226" t="s">
        <v>9408</v>
      </c>
      <c r="W5226" t="s">
        <v>423</v>
      </c>
    </row>
    <row r="5227" spans="1:23" hidden="1" x14ac:dyDescent="0.2">
      <c r="A5227">
        <v>2012</v>
      </c>
      <c r="B5227" t="s">
        <v>304</v>
      </c>
      <c r="C5227" s="733">
        <v>40948</v>
      </c>
      <c r="D52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27" t="s">
        <v>478</v>
      </c>
      <c r="F5227" t="s">
        <v>2136</v>
      </c>
      <c r="G5227" t="s">
        <v>6788</v>
      </c>
      <c r="H5227">
        <v>35469</v>
      </c>
      <c r="I5227" t="s">
        <v>423</v>
      </c>
      <c r="J5227" t="s">
        <v>4276</v>
      </c>
      <c r="K5227" t="s">
        <v>425</v>
      </c>
      <c r="L5227" t="s">
        <v>2145</v>
      </c>
      <c r="M5227">
        <v>60</v>
      </c>
      <c r="N5227">
        <v>25.73</v>
      </c>
      <c r="O5227">
        <v>3454.25</v>
      </c>
      <c r="P5227">
        <v>0</v>
      </c>
      <c r="Q5227">
        <v>3454.25</v>
      </c>
      <c r="R5227">
        <v>552.67999999999995</v>
      </c>
      <c r="S5227">
        <v>138.16999999999999</v>
      </c>
      <c r="T5227">
        <v>3868.76</v>
      </c>
      <c r="U5227" t="s">
        <v>2938</v>
      </c>
      <c r="V5227" t="s">
        <v>9408</v>
      </c>
      <c r="W5227" t="s">
        <v>423</v>
      </c>
    </row>
    <row r="5228" spans="1:23" hidden="1" x14ac:dyDescent="0.2">
      <c r="A5228">
        <v>2012</v>
      </c>
      <c r="B5228" t="s">
        <v>304</v>
      </c>
      <c r="C5228" s="733">
        <v>40953.633043981485</v>
      </c>
      <c r="D52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28" t="s">
        <v>478</v>
      </c>
      <c r="F5228" t="s">
        <v>2142</v>
      </c>
      <c r="G5228" t="s">
        <v>6955</v>
      </c>
      <c r="H5228">
        <v>35583</v>
      </c>
      <c r="I5228" t="s">
        <v>423</v>
      </c>
      <c r="J5228" t="s">
        <v>4276</v>
      </c>
      <c r="K5228" t="s">
        <v>425</v>
      </c>
      <c r="L5228" t="s">
        <v>2145</v>
      </c>
      <c r="M5228">
        <v>60</v>
      </c>
      <c r="N5228">
        <v>21.58</v>
      </c>
      <c r="O5228">
        <v>2897.12</v>
      </c>
      <c r="P5228">
        <v>0</v>
      </c>
      <c r="Q5228">
        <v>2897.12</v>
      </c>
      <c r="R5228">
        <v>463.54</v>
      </c>
      <c r="S5228">
        <v>115.88</v>
      </c>
      <c r="T5228">
        <v>3244.78</v>
      </c>
      <c r="U5228" t="s">
        <v>7553</v>
      </c>
      <c r="V5228" t="s">
        <v>9408</v>
      </c>
      <c r="W5228" t="s">
        <v>423</v>
      </c>
    </row>
    <row r="5229" spans="1:23" hidden="1" x14ac:dyDescent="0.2">
      <c r="A5229">
        <v>2012</v>
      </c>
      <c r="B5229" t="s">
        <v>304</v>
      </c>
      <c r="C5229" s="733">
        <v>40962</v>
      </c>
      <c r="D52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29" t="s">
        <v>485</v>
      </c>
      <c r="F5229" t="s">
        <v>2048</v>
      </c>
      <c r="G5229" t="s">
        <v>8657</v>
      </c>
      <c r="H5229">
        <v>42496</v>
      </c>
      <c r="I5229" t="s">
        <v>423</v>
      </c>
      <c r="J5229" t="s">
        <v>2972</v>
      </c>
      <c r="K5229" t="s">
        <v>2051</v>
      </c>
      <c r="L5229" t="s">
        <v>2052</v>
      </c>
      <c r="M5229">
        <v>398</v>
      </c>
      <c r="N5229">
        <v>51.05</v>
      </c>
      <c r="O5229">
        <v>14118.9</v>
      </c>
      <c r="P5229">
        <v>0</v>
      </c>
      <c r="Q5229">
        <v>14118.9</v>
      </c>
      <c r="R5229">
        <v>2259.02</v>
      </c>
      <c r="S5229">
        <v>564.76</v>
      </c>
      <c r="T5229">
        <v>15813.16</v>
      </c>
      <c r="U5229" t="s">
        <v>8780</v>
      </c>
      <c r="V5229" t="s">
        <v>9409</v>
      </c>
      <c r="W5229" t="s">
        <v>423</v>
      </c>
    </row>
    <row r="5230" spans="1:23" hidden="1" x14ac:dyDescent="0.2">
      <c r="A5230">
        <v>2012</v>
      </c>
      <c r="B5230" t="s">
        <v>304</v>
      </c>
      <c r="C5230" s="733">
        <v>40960</v>
      </c>
      <c r="D52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30" t="s">
        <v>485</v>
      </c>
      <c r="F5230" t="s">
        <v>2065</v>
      </c>
      <c r="G5230" t="s">
        <v>8225</v>
      </c>
      <c r="H5230">
        <v>42218</v>
      </c>
      <c r="I5230" t="s">
        <v>423</v>
      </c>
      <c r="J5230" t="s">
        <v>2189</v>
      </c>
      <c r="K5230" t="s">
        <v>2183</v>
      </c>
      <c r="L5230" t="s">
        <v>2184</v>
      </c>
      <c r="M5230">
        <v>720</v>
      </c>
      <c r="N5230">
        <v>25.86</v>
      </c>
      <c r="O5230">
        <v>10480.799999999999</v>
      </c>
      <c r="P5230">
        <v>0</v>
      </c>
      <c r="Q5230">
        <v>10480.799999999999</v>
      </c>
      <c r="R5230">
        <v>1676.93</v>
      </c>
      <c r="S5230">
        <v>419.23</v>
      </c>
      <c r="T5230">
        <v>11738.5</v>
      </c>
      <c r="U5230" t="s">
        <v>9411</v>
      </c>
      <c r="V5230" t="s">
        <v>9408</v>
      </c>
      <c r="W5230" t="s">
        <v>423</v>
      </c>
    </row>
    <row r="5231" spans="1:23" hidden="1" x14ac:dyDescent="0.2">
      <c r="A5231">
        <v>2012</v>
      </c>
      <c r="B5231" t="s">
        <v>303</v>
      </c>
      <c r="C5231" s="733">
        <v>40926</v>
      </c>
      <c r="D52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31" t="s">
        <v>485</v>
      </c>
      <c r="F5231" t="s">
        <v>2048</v>
      </c>
      <c r="G5231" t="s">
        <v>3747</v>
      </c>
      <c r="H5231">
        <v>40530</v>
      </c>
      <c r="I5231" t="s">
        <v>423</v>
      </c>
      <c r="J5231" t="s">
        <v>2972</v>
      </c>
      <c r="K5231" t="s">
        <v>2051</v>
      </c>
      <c r="L5231" t="s">
        <v>2052</v>
      </c>
      <c r="M5231">
        <v>398</v>
      </c>
      <c r="N5231">
        <v>50</v>
      </c>
      <c r="O5231">
        <v>13828.5</v>
      </c>
      <c r="P5231">
        <v>0</v>
      </c>
      <c r="Q5231">
        <v>13828.5</v>
      </c>
      <c r="R5231">
        <v>2212.56</v>
      </c>
      <c r="S5231">
        <v>553.14</v>
      </c>
      <c r="T5231">
        <v>15487.92</v>
      </c>
      <c r="U5231" t="s">
        <v>2062</v>
      </c>
      <c r="V5231" t="s">
        <v>9409</v>
      </c>
      <c r="W5231" t="s">
        <v>423</v>
      </c>
    </row>
    <row r="5232" spans="1:23" hidden="1" x14ac:dyDescent="0.2">
      <c r="A5232">
        <v>2012</v>
      </c>
      <c r="B5232" t="s">
        <v>304</v>
      </c>
      <c r="C5232" s="733">
        <v>40953</v>
      </c>
      <c r="D52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32" t="s">
        <v>485</v>
      </c>
      <c r="F5232" t="s">
        <v>2065</v>
      </c>
      <c r="G5232" t="s">
        <v>6505</v>
      </c>
      <c r="H5232">
        <v>41866</v>
      </c>
      <c r="I5232" t="s">
        <v>423</v>
      </c>
      <c r="J5232" t="s">
        <v>2972</v>
      </c>
      <c r="K5232" t="s">
        <v>2051</v>
      </c>
      <c r="L5232" t="s">
        <v>2052</v>
      </c>
      <c r="M5232">
        <v>398</v>
      </c>
      <c r="N5232">
        <v>50.85</v>
      </c>
      <c r="O5232">
        <v>14063.58</v>
      </c>
      <c r="P5232">
        <v>0</v>
      </c>
      <c r="Q5232">
        <v>14063.58</v>
      </c>
      <c r="R5232">
        <v>2250.17</v>
      </c>
      <c r="S5232">
        <v>562.54</v>
      </c>
      <c r="T5232">
        <v>15751.21</v>
      </c>
      <c r="V5232" t="s">
        <v>9409</v>
      </c>
      <c r="W5232" t="s">
        <v>423</v>
      </c>
    </row>
    <row r="5233" spans="1:23" hidden="1" x14ac:dyDescent="0.2">
      <c r="A5233">
        <v>2012</v>
      </c>
      <c r="B5233" t="s">
        <v>303</v>
      </c>
      <c r="C5233" s="733">
        <v>40936</v>
      </c>
      <c r="D52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33" t="s">
        <v>478</v>
      </c>
      <c r="F5233" t="s">
        <v>2136</v>
      </c>
      <c r="G5233" t="s">
        <v>6549</v>
      </c>
      <c r="H5233">
        <v>34989</v>
      </c>
      <c r="I5233" t="s">
        <v>423</v>
      </c>
      <c r="J5233" t="s">
        <v>4279</v>
      </c>
      <c r="K5233" t="s">
        <v>425</v>
      </c>
      <c r="L5233" t="s">
        <v>2145</v>
      </c>
      <c r="M5233">
        <v>381</v>
      </c>
      <c r="N5233">
        <v>47.37</v>
      </c>
      <c r="O5233">
        <v>11860.97</v>
      </c>
      <c r="P5233">
        <v>0</v>
      </c>
      <c r="Q5233">
        <v>11860.97</v>
      </c>
      <c r="R5233">
        <v>1897.76</v>
      </c>
      <c r="S5233">
        <v>474.44</v>
      </c>
      <c r="T5233">
        <v>13284.29</v>
      </c>
      <c r="U5233" t="s">
        <v>2914</v>
      </c>
      <c r="V5233" t="s">
        <v>9409</v>
      </c>
      <c r="W5233" t="s">
        <v>423</v>
      </c>
    </row>
    <row r="5234" spans="1:23" x14ac:dyDescent="0.2">
      <c r="A5234">
        <v>2012</v>
      </c>
      <c r="B5234" t="s">
        <v>304</v>
      </c>
      <c r="C5234" s="733">
        <v>40968</v>
      </c>
      <c r="D52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34" t="s">
        <v>485</v>
      </c>
      <c r="F5234" t="s">
        <v>3450</v>
      </c>
      <c r="G5234" t="s">
        <v>9495</v>
      </c>
      <c r="H5234">
        <v>42531</v>
      </c>
      <c r="I5234" t="s">
        <v>423</v>
      </c>
      <c r="J5234" t="s">
        <v>3457</v>
      </c>
      <c r="K5234" t="s">
        <v>3453</v>
      </c>
      <c r="L5234" t="s">
        <v>3454</v>
      </c>
      <c r="M5234">
        <v>29</v>
      </c>
      <c r="N5234">
        <v>25.41</v>
      </c>
      <c r="O5234">
        <v>2868.03</v>
      </c>
      <c r="P5234">
        <v>0</v>
      </c>
      <c r="Q5234">
        <v>2868.03</v>
      </c>
      <c r="R5234">
        <v>458.88</v>
      </c>
      <c r="S5234">
        <v>114.72</v>
      </c>
      <c r="T5234">
        <v>3212.19</v>
      </c>
      <c r="V5234" t="s">
        <v>9408</v>
      </c>
      <c r="W5234" t="s">
        <v>423</v>
      </c>
    </row>
    <row r="5235" spans="1:23" hidden="1" x14ac:dyDescent="0.2">
      <c r="A5235">
        <v>2012</v>
      </c>
      <c r="B5235" t="s">
        <v>303</v>
      </c>
      <c r="C5235" s="733">
        <v>40921</v>
      </c>
      <c r="D52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35" t="s">
        <v>505</v>
      </c>
      <c r="F5235" t="s">
        <v>1915</v>
      </c>
      <c r="G5235" t="s">
        <v>6576</v>
      </c>
      <c r="H5235">
        <v>21942</v>
      </c>
      <c r="I5235" t="s">
        <v>423</v>
      </c>
      <c r="J5235" t="s">
        <v>5253</v>
      </c>
      <c r="K5235" t="s">
        <v>1918</v>
      </c>
      <c r="L5235" t="s">
        <v>1919</v>
      </c>
      <c r="M5235">
        <v>88</v>
      </c>
      <c r="N5235">
        <v>27.11</v>
      </c>
      <c r="O5235">
        <v>3776.97</v>
      </c>
      <c r="P5235">
        <v>0</v>
      </c>
      <c r="Q5235">
        <v>3776.97</v>
      </c>
      <c r="R5235">
        <v>604.30999999999995</v>
      </c>
      <c r="S5235">
        <v>151.08000000000001</v>
      </c>
      <c r="T5235">
        <v>4230.2</v>
      </c>
      <c r="U5235" t="s">
        <v>1931</v>
      </c>
      <c r="V5235" t="s">
        <v>9408</v>
      </c>
      <c r="W5235" t="s">
        <v>423</v>
      </c>
    </row>
    <row r="5236" spans="1:23" hidden="1" x14ac:dyDescent="0.2">
      <c r="A5236">
        <v>2012</v>
      </c>
      <c r="B5236" t="s">
        <v>303</v>
      </c>
      <c r="C5236" s="733">
        <v>40933</v>
      </c>
      <c r="D52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36" t="s">
        <v>485</v>
      </c>
      <c r="F5236" t="s">
        <v>2048</v>
      </c>
      <c r="G5236" t="s">
        <v>6056</v>
      </c>
      <c r="H5236">
        <v>40867</v>
      </c>
      <c r="I5236" t="s">
        <v>423</v>
      </c>
      <c r="J5236" t="s">
        <v>4086</v>
      </c>
      <c r="K5236" t="s">
        <v>2051</v>
      </c>
      <c r="L5236" t="s">
        <v>2052</v>
      </c>
      <c r="M5236">
        <v>341</v>
      </c>
      <c r="N5236">
        <v>56.85</v>
      </c>
      <c r="O5236">
        <v>13902.67</v>
      </c>
      <c r="P5236">
        <v>0</v>
      </c>
      <c r="Q5236">
        <v>13902.67</v>
      </c>
      <c r="R5236">
        <v>2224.4299999999998</v>
      </c>
      <c r="S5236">
        <v>556.11</v>
      </c>
      <c r="T5236">
        <v>15570.99</v>
      </c>
      <c r="U5236" t="s">
        <v>2053</v>
      </c>
      <c r="V5236" t="s">
        <v>9409</v>
      </c>
      <c r="W5236" t="s">
        <v>423</v>
      </c>
    </row>
    <row r="5237" spans="1:23" hidden="1" x14ac:dyDescent="0.2">
      <c r="A5237">
        <v>2012</v>
      </c>
      <c r="B5237" t="s">
        <v>304</v>
      </c>
      <c r="C5237" s="733">
        <v>40941</v>
      </c>
      <c r="D52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37" t="s">
        <v>485</v>
      </c>
      <c r="F5237" t="s">
        <v>2048</v>
      </c>
      <c r="G5237" t="s">
        <v>6053</v>
      </c>
      <c r="H5237">
        <v>41330</v>
      </c>
      <c r="I5237" t="s">
        <v>423</v>
      </c>
      <c r="J5237" t="s">
        <v>4086</v>
      </c>
      <c r="K5237" t="s">
        <v>2051</v>
      </c>
      <c r="L5237" t="s">
        <v>2052</v>
      </c>
      <c r="M5237">
        <v>341</v>
      </c>
      <c r="N5237">
        <v>24.95</v>
      </c>
      <c r="O5237">
        <v>6101.52</v>
      </c>
      <c r="P5237">
        <v>0</v>
      </c>
      <c r="Q5237">
        <v>6101.52</v>
      </c>
      <c r="R5237">
        <v>976.24</v>
      </c>
      <c r="S5237">
        <v>244.06</v>
      </c>
      <c r="T5237">
        <v>6833.7</v>
      </c>
      <c r="U5237" t="s">
        <v>2067</v>
      </c>
      <c r="V5237" t="s">
        <v>9408</v>
      </c>
      <c r="W5237" t="s">
        <v>423</v>
      </c>
    </row>
    <row r="5238" spans="1:23" hidden="1" x14ac:dyDescent="0.2">
      <c r="A5238">
        <v>2012</v>
      </c>
      <c r="B5238" t="s">
        <v>304</v>
      </c>
      <c r="C5238" s="733">
        <v>40948</v>
      </c>
      <c r="D52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38" t="s">
        <v>505</v>
      </c>
      <c r="F5238" t="s">
        <v>1915</v>
      </c>
      <c r="G5238" t="s">
        <v>6568</v>
      </c>
      <c r="H5238">
        <v>22588</v>
      </c>
      <c r="I5238" t="s">
        <v>423</v>
      </c>
      <c r="J5238" t="s">
        <v>4158</v>
      </c>
      <c r="K5238" t="s">
        <v>1918</v>
      </c>
      <c r="L5238" t="s">
        <v>1919</v>
      </c>
      <c r="M5238">
        <v>274</v>
      </c>
      <c r="N5238">
        <v>26.75</v>
      </c>
      <c r="O5238">
        <v>7385.68</v>
      </c>
      <c r="P5238">
        <v>0</v>
      </c>
      <c r="Q5238">
        <v>7385.68</v>
      </c>
      <c r="R5238">
        <v>1181.71</v>
      </c>
      <c r="S5238">
        <v>295.43</v>
      </c>
      <c r="T5238">
        <v>8271.9599999999991</v>
      </c>
      <c r="U5238" t="s">
        <v>1924</v>
      </c>
      <c r="V5238" t="s">
        <v>9408</v>
      </c>
      <c r="W5238" t="s">
        <v>423</v>
      </c>
    </row>
    <row r="5239" spans="1:23" hidden="1" x14ac:dyDescent="0.2">
      <c r="A5239">
        <v>2012</v>
      </c>
      <c r="B5239" t="s">
        <v>303</v>
      </c>
      <c r="C5239" s="733">
        <v>40919</v>
      </c>
      <c r="D52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39" t="s">
        <v>478</v>
      </c>
      <c r="F5239" t="s">
        <v>2136</v>
      </c>
      <c r="G5239" t="s">
        <v>6282</v>
      </c>
      <c r="H5239">
        <v>34453</v>
      </c>
      <c r="I5239" t="s">
        <v>423</v>
      </c>
      <c r="J5239" t="s">
        <v>4276</v>
      </c>
      <c r="K5239" t="s">
        <v>425</v>
      </c>
      <c r="L5239" t="s">
        <v>2145</v>
      </c>
      <c r="M5239">
        <v>60</v>
      </c>
      <c r="N5239">
        <v>24.79</v>
      </c>
      <c r="O5239">
        <v>3328.06</v>
      </c>
      <c r="P5239">
        <v>0</v>
      </c>
      <c r="Q5239">
        <v>3328.06</v>
      </c>
      <c r="R5239">
        <v>532.49</v>
      </c>
      <c r="S5239">
        <v>133.12</v>
      </c>
      <c r="T5239">
        <v>3727.43</v>
      </c>
      <c r="U5239" t="s">
        <v>2350</v>
      </c>
      <c r="V5239" t="s">
        <v>9408</v>
      </c>
      <c r="W5239" t="s">
        <v>423</v>
      </c>
    </row>
    <row r="5240" spans="1:23" hidden="1" x14ac:dyDescent="0.2">
      <c r="A5240">
        <v>2012</v>
      </c>
      <c r="B5240" t="s">
        <v>303</v>
      </c>
      <c r="C5240" s="733">
        <v>40933</v>
      </c>
      <c r="D52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40" t="s">
        <v>485</v>
      </c>
      <c r="F5240" t="s">
        <v>2048</v>
      </c>
      <c r="G5240" t="s">
        <v>6054</v>
      </c>
      <c r="H5240">
        <v>40861</v>
      </c>
      <c r="I5240" t="s">
        <v>423</v>
      </c>
      <c r="J5240" t="s">
        <v>4086</v>
      </c>
      <c r="K5240" t="s">
        <v>2051</v>
      </c>
      <c r="L5240" t="s">
        <v>2052</v>
      </c>
      <c r="M5240">
        <v>341</v>
      </c>
      <c r="N5240">
        <v>50.1</v>
      </c>
      <c r="O5240">
        <v>12251.96</v>
      </c>
      <c r="P5240">
        <v>0</v>
      </c>
      <c r="Q5240">
        <v>12251.96</v>
      </c>
      <c r="R5240">
        <v>1960.31</v>
      </c>
      <c r="S5240">
        <v>490.08</v>
      </c>
      <c r="T5240">
        <v>13722.19</v>
      </c>
      <c r="U5240" t="s">
        <v>2053</v>
      </c>
      <c r="V5240" t="s">
        <v>9409</v>
      </c>
      <c r="W5240" t="s">
        <v>423</v>
      </c>
    </row>
    <row r="5241" spans="1:23" hidden="1" x14ac:dyDescent="0.2">
      <c r="A5241">
        <v>2012</v>
      </c>
      <c r="B5241" t="s">
        <v>304</v>
      </c>
      <c r="C5241" s="733">
        <v>40946</v>
      </c>
      <c r="D52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41" t="s">
        <v>485</v>
      </c>
      <c r="F5241" t="s">
        <v>2065</v>
      </c>
      <c r="G5241" t="s">
        <v>6055</v>
      </c>
      <c r="H5241">
        <v>41495</v>
      </c>
      <c r="I5241" t="s">
        <v>423</v>
      </c>
      <c r="J5241" t="s">
        <v>4086</v>
      </c>
      <c r="K5241" t="s">
        <v>2051</v>
      </c>
      <c r="L5241" t="s">
        <v>2052</v>
      </c>
      <c r="M5241">
        <v>341</v>
      </c>
      <c r="N5241">
        <v>47.7</v>
      </c>
      <c r="O5241">
        <v>11665.04</v>
      </c>
      <c r="P5241">
        <v>0</v>
      </c>
      <c r="Q5241">
        <v>11665.04</v>
      </c>
      <c r="R5241">
        <v>1866.41</v>
      </c>
      <c r="S5241">
        <v>466.6</v>
      </c>
      <c r="T5241">
        <v>13064.85</v>
      </c>
      <c r="U5241" t="s">
        <v>7568</v>
      </c>
      <c r="V5241" t="s">
        <v>9409</v>
      </c>
      <c r="W5241" t="s">
        <v>423</v>
      </c>
    </row>
    <row r="5242" spans="1:23" x14ac:dyDescent="0.2">
      <c r="A5242">
        <v>2012</v>
      </c>
      <c r="B5242" t="s">
        <v>304</v>
      </c>
      <c r="C5242" s="733">
        <v>40967</v>
      </c>
      <c r="D52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42" t="s">
        <v>485</v>
      </c>
      <c r="F5242" t="s">
        <v>2048</v>
      </c>
      <c r="G5242" t="s">
        <v>9021</v>
      </c>
      <c r="H5242">
        <v>42729</v>
      </c>
      <c r="I5242" t="s">
        <v>423</v>
      </c>
      <c r="J5242" t="s">
        <v>3570</v>
      </c>
      <c r="K5242" t="s">
        <v>2051</v>
      </c>
      <c r="L5242" t="s">
        <v>2052</v>
      </c>
      <c r="M5242">
        <v>678</v>
      </c>
      <c r="N5242">
        <v>23.8</v>
      </c>
      <c r="O5242">
        <v>8711.75</v>
      </c>
      <c r="P5242">
        <v>0</v>
      </c>
      <c r="Q5242">
        <v>8711.75</v>
      </c>
      <c r="R5242">
        <v>1393.88</v>
      </c>
      <c r="S5242">
        <v>348.47</v>
      </c>
      <c r="T5242">
        <v>9757.16</v>
      </c>
      <c r="U5242" t="s">
        <v>8780</v>
      </c>
      <c r="V5242" t="s">
        <v>9408</v>
      </c>
      <c r="W5242" t="s">
        <v>423</v>
      </c>
    </row>
    <row r="5243" spans="1:23" hidden="1" x14ac:dyDescent="0.2">
      <c r="A5243">
        <v>2012</v>
      </c>
      <c r="B5243" t="s">
        <v>304</v>
      </c>
      <c r="C5243" s="733">
        <v>40967</v>
      </c>
      <c r="D52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43" t="s">
        <v>505</v>
      </c>
      <c r="F5243" t="s">
        <v>1915</v>
      </c>
      <c r="G5243" t="s">
        <v>9020</v>
      </c>
      <c r="H5243">
        <v>23065</v>
      </c>
      <c r="I5243" t="s">
        <v>423</v>
      </c>
      <c r="J5243" t="s">
        <v>4163</v>
      </c>
      <c r="K5243" t="s">
        <v>1918</v>
      </c>
      <c r="L5243" t="s">
        <v>1919</v>
      </c>
      <c r="M5243">
        <v>250</v>
      </c>
      <c r="N5243">
        <v>26.98</v>
      </c>
      <c r="O5243">
        <v>6066.18</v>
      </c>
      <c r="P5243">
        <v>0</v>
      </c>
      <c r="Q5243">
        <v>6066.18</v>
      </c>
      <c r="R5243">
        <v>970.59</v>
      </c>
      <c r="S5243">
        <v>242.65</v>
      </c>
      <c r="T5243">
        <v>6794.12</v>
      </c>
      <c r="V5243" t="s">
        <v>9408</v>
      </c>
      <c r="W5243" t="s">
        <v>423</v>
      </c>
    </row>
    <row r="5244" spans="1:23" hidden="1" x14ac:dyDescent="0.2">
      <c r="A5244">
        <v>2012</v>
      </c>
      <c r="B5244" t="s">
        <v>303</v>
      </c>
      <c r="C5244" s="733">
        <v>40939</v>
      </c>
      <c r="D52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44" t="s">
        <v>505</v>
      </c>
      <c r="F5244" t="s">
        <v>1915</v>
      </c>
      <c r="G5244" t="s">
        <v>2384</v>
      </c>
      <c r="H5244">
        <v>22299</v>
      </c>
      <c r="I5244" t="s">
        <v>423</v>
      </c>
      <c r="J5244" t="s">
        <v>1947</v>
      </c>
      <c r="K5244" t="s">
        <v>1918</v>
      </c>
      <c r="L5244" t="s">
        <v>1919</v>
      </c>
      <c r="M5244">
        <v>973</v>
      </c>
      <c r="N5244">
        <v>50.01</v>
      </c>
      <c r="O5244">
        <v>29203.84</v>
      </c>
      <c r="P5244">
        <v>0</v>
      </c>
      <c r="Q5244">
        <v>29203.84</v>
      </c>
      <c r="R5244">
        <v>4672.6099999999997</v>
      </c>
      <c r="S5244">
        <v>1168.1500000000001</v>
      </c>
      <c r="T5244">
        <v>32708.3</v>
      </c>
      <c r="U5244" t="s">
        <v>1926</v>
      </c>
      <c r="V5244" t="s">
        <v>9409</v>
      </c>
      <c r="W5244" t="s">
        <v>423</v>
      </c>
    </row>
    <row r="5245" spans="1:23" hidden="1" x14ac:dyDescent="0.2">
      <c r="A5245">
        <v>2012</v>
      </c>
      <c r="B5245" t="s">
        <v>304</v>
      </c>
      <c r="C5245" s="733">
        <v>40952</v>
      </c>
      <c r="D52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45" t="s">
        <v>485</v>
      </c>
      <c r="F5245" t="s">
        <v>2065</v>
      </c>
      <c r="G5245" t="s">
        <v>5818</v>
      </c>
      <c r="H5245">
        <v>41658</v>
      </c>
      <c r="I5245" t="s">
        <v>423</v>
      </c>
      <c r="J5245" t="s">
        <v>3965</v>
      </c>
      <c r="K5245" t="s">
        <v>2183</v>
      </c>
      <c r="L5245" t="s">
        <v>2184</v>
      </c>
      <c r="M5245">
        <v>696</v>
      </c>
      <c r="N5245">
        <v>26.37</v>
      </c>
      <c r="O5245">
        <v>10687.5</v>
      </c>
      <c r="P5245">
        <v>0</v>
      </c>
      <c r="Q5245">
        <v>10687.5</v>
      </c>
      <c r="R5245">
        <v>1710</v>
      </c>
      <c r="S5245">
        <v>427.5</v>
      </c>
      <c r="T5245">
        <v>11970</v>
      </c>
      <c r="U5245" t="s">
        <v>8048</v>
      </c>
      <c r="V5245" t="s">
        <v>9408</v>
      </c>
      <c r="W5245" t="s">
        <v>423</v>
      </c>
    </row>
    <row r="5246" spans="1:23" hidden="1" x14ac:dyDescent="0.2">
      <c r="A5246">
        <v>2012</v>
      </c>
      <c r="B5246" t="s">
        <v>304</v>
      </c>
      <c r="C5246" s="733">
        <v>40941</v>
      </c>
      <c r="D52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46" t="s">
        <v>485</v>
      </c>
      <c r="F5246" t="s">
        <v>2065</v>
      </c>
      <c r="G5246" t="s">
        <v>5819</v>
      </c>
      <c r="H5246">
        <v>41213</v>
      </c>
      <c r="I5246" t="s">
        <v>423</v>
      </c>
      <c r="J5246" t="s">
        <v>3965</v>
      </c>
      <c r="K5246" t="s">
        <v>2183</v>
      </c>
      <c r="L5246" t="s">
        <v>2184</v>
      </c>
      <c r="M5246">
        <v>696</v>
      </c>
      <c r="N5246">
        <v>26.3</v>
      </c>
      <c r="O5246">
        <v>10659.13</v>
      </c>
      <c r="P5246">
        <v>0</v>
      </c>
      <c r="Q5246">
        <v>10659.13</v>
      </c>
      <c r="R5246">
        <v>1705.46</v>
      </c>
      <c r="S5246">
        <v>426.37</v>
      </c>
      <c r="T5246">
        <v>11938.22</v>
      </c>
      <c r="U5246" t="s">
        <v>2192</v>
      </c>
      <c r="V5246" t="s">
        <v>9408</v>
      </c>
      <c r="W5246" t="s">
        <v>423</v>
      </c>
    </row>
    <row r="5247" spans="1:23" hidden="1" x14ac:dyDescent="0.2">
      <c r="A5247">
        <v>2012</v>
      </c>
      <c r="B5247" t="s">
        <v>304</v>
      </c>
      <c r="C5247" s="733">
        <v>40953</v>
      </c>
      <c r="D52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47" t="s">
        <v>485</v>
      </c>
      <c r="F5247" t="s">
        <v>2065</v>
      </c>
      <c r="G5247" t="s">
        <v>5817</v>
      </c>
      <c r="H5247">
        <v>41758</v>
      </c>
      <c r="I5247" t="s">
        <v>423</v>
      </c>
      <c r="J5247" t="s">
        <v>3965</v>
      </c>
      <c r="K5247" t="s">
        <v>2183</v>
      </c>
      <c r="L5247" t="s">
        <v>2184</v>
      </c>
      <c r="M5247">
        <v>696</v>
      </c>
      <c r="N5247">
        <v>25.69</v>
      </c>
      <c r="O5247">
        <v>10411.9</v>
      </c>
      <c r="P5247">
        <v>0</v>
      </c>
      <c r="Q5247">
        <v>10411.9</v>
      </c>
      <c r="R5247">
        <v>1665.9</v>
      </c>
      <c r="S5247">
        <v>416.48</v>
      </c>
      <c r="T5247">
        <v>11661.32</v>
      </c>
      <c r="U5247" t="s">
        <v>8048</v>
      </c>
      <c r="V5247" t="s">
        <v>9408</v>
      </c>
      <c r="W5247" t="s">
        <v>423</v>
      </c>
    </row>
    <row r="5248" spans="1:23" hidden="1" x14ac:dyDescent="0.2">
      <c r="A5248">
        <v>2012</v>
      </c>
      <c r="B5248" t="s">
        <v>303</v>
      </c>
      <c r="C5248" s="733">
        <v>40925</v>
      </c>
      <c r="D52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48" t="s">
        <v>485</v>
      </c>
      <c r="F5248" t="s">
        <v>2065</v>
      </c>
      <c r="G5248" t="s">
        <v>5822</v>
      </c>
      <c r="H5248">
        <v>40330</v>
      </c>
      <c r="I5248" t="s">
        <v>423</v>
      </c>
      <c r="J5248" t="s">
        <v>2189</v>
      </c>
      <c r="K5248" t="s">
        <v>2183</v>
      </c>
      <c r="L5248" t="s">
        <v>2184</v>
      </c>
      <c r="M5248">
        <v>720</v>
      </c>
      <c r="N5248">
        <v>27.5</v>
      </c>
      <c r="O5248">
        <v>11145.72</v>
      </c>
      <c r="P5248">
        <v>0</v>
      </c>
      <c r="Q5248">
        <v>11145.72</v>
      </c>
      <c r="R5248">
        <v>1783.32</v>
      </c>
      <c r="S5248">
        <v>445.83</v>
      </c>
      <c r="T5248">
        <v>12483.21</v>
      </c>
      <c r="U5248" t="s">
        <v>7554</v>
      </c>
      <c r="V5248" t="s">
        <v>9408</v>
      </c>
      <c r="W5248" t="s">
        <v>423</v>
      </c>
    </row>
    <row r="5249" spans="1:23" hidden="1" x14ac:dyDescent="0.2">
      <c r="A5249">
        <v>2012</v>
      </c>
      <c r="B5249" t="s">
        <v>303</v>
      </c>
      <c r="C5249" s="733">
        <v>40934</v>
      </c>
      <c r="D52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49" t="s">
        <v>505</v>
      </c>
      <c r="F5249" t="s">
        <v>1915</v>
      </c>
      <c r="G5249" t="s">
        <v>2385</v>
      </c>
      <c r="H5249">
        <v>22239</v>
      </c>
      <c r="I5249" t="s">
        <v>423</v>
      </c>
      <c r="J5249" t="s">
        <v>1947</v>
      </c>
      <c r="K5249" t="s">
        <v>1918</v>
      </c>
      <c r="L5249" t="s">
        <v>1919</v>
      </c>
      <c r="M5249">
        <v>973</v>
      </c>
      <c r="N5249">
        <v>50.06</v>
      </c>
      <c r="O5249">
        <v>29233.040000000001</v>
      </c>
      <c r="P5249">
        <v>0</v>
      </c>
      <c r="Q5249">
        <v>29233.040000000001</v>
      </c>
      <c r="R5249">
        <v>4677.29</v>
      </c>
      <c r="S5249">
        <v>1169.32</v>
      </c>
      <c r="T5249">
        <v>32741.01</v>
      </c>
      <c r="U5249" t="s">
        <v>1926</v>
      </c>
      <c r="V5249" t="s">
        <v>9409</v>
      </c>
      <c r="W5249" t="s">
        <v>423</v>
      </c>
    </row>
    <row r="5250" spans="1:23" hidden="1" x14ac:dyDescent="0.2">
      <c r="A5250">
        <v>2012</v>
      </c>
      <c r="B5250" t="s">
        <v>304</v>
      </c>
      <c r="C5250" s="733">
        <v>40942</v>
      </c>
      <c r="D52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50" t="s">
        <v>505</v>
      </c>
      <c r="F5250" t="s">
        <v>1915</v>
      </c>
      <c r="G5250" t="s">
        <v>6570</v>
      </c>
      <c r="H5250">
        <v>22432</v>
      </c>
      <c r="I5250" t="s">
        <v>423</v>
      </c>
      <c r="J5250" t="s">
        <v>1947</v>
      </c>
      <c r="K5250" t="s">
        <v>1918</v>
      </c>
      <c r="L5250" t="s">
        <v>1919</v>
      </c>
      <c r="M5250">
        <v>973</v>
      </c>
      <c r="N5250">
        <v>53.55</v>
      </c>
      <c r="O5250">
        <v>31271.06</v>
      </c>
      <c r="P5250">
        <v>0</v>
      </c>
      <c r="Q5250">
        <v>31271.06</v>
      </c>
      <c r="R5250">
        <v>5003.37</v>
      </c>
      <c r="S5250">
        <v>1250.8399999999999</v>
      </c>
      <c r="T5250">
        <v>35023.589999999997</v>
      </c>
      <c r="V5250" t="s">
        <v>9409</v>
      </c>
      <c r="W5250" t="s">
        <v>423</v>
      </c>
    </row>
    <row r="5251" spans="1:23" hidden="1" x14ac:dyDescent="0.2">
      <c r="A5251">
        <v>2012</v>
      </c>
      <c r="B5251" t="s">
        <v>304</v>
      </c>
      <c r="C5251" s="733">
        <v>40942</v>
      </c>
      <c r="D52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51" t="s">
        <v>505</v>
      </c>
      <c r="F5251" t="s">
        <v>1915</v>
      </c>
      <c r="G5251" t="s">
        <v>6569</v>
      </c>
      <c r="H5251">
        <v>22468</v>
      </c>
      <c r="I5251" t="s">
        <v>423</v>
      </c>
      <c r="J5251" t="s">
        <v>1947</v>
      </c>
      <c r="K5251" t="s">
        <v>1918</v>
      </c>
      <c r="L5251" t="s">
        <v>1919</v>
      </c>
      <c r="M5251">
        <v>973</v>
      </c>
      <c r="N5251">
        <v>49.71</v>
      </c>
      <c r="O5251">
        <v>29028.65</v>
      </c>
      <c r="P5251">
        <v>0</v>
      </c>
      <c r="Q5251">
        <v>29028.65</v>
      </c>
      <c r="R5251">
        <v>4644.58</v>
      </c>
      <c r="S5251">
        <v>1161.1500000000001</v>
      </c>
      <c r="T5251">
        <v>32512.080000000002</v>
      </c>
      <c r="U5251" t="s">
        <v>1924</v>
      </c>
      <c r="V5251" t="s">
        <v>9409</v>
      </c>
      <c r="W5251" t="s">
        <v>423</v>
      </c>
    </row>
    <row r="5252" spans="1:23" hidden="1" x14ac:dyDescent="0.2">
      <c r="A5252">
        <v>2012</v>
      </c>
      <c r="B5252" t="s">
        <v>304</v>
      </c>
      <c r="C5252" s="733">
        <v>40948</v>
      </c>
      <c r="D52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52" t="s">
        <v>485</v>
      </c>
      <c r="F5252" t="s">
        <v>2065</v>
      </c>
      <c r="G5252" t="s">
        <v>5823</v>
      </c>
      <c r="H5252">
        <v>41437</v>
      </c>
      <c r="I5252" t="s">
        <v>423</v>
      </c>
      <c r="J5252" t="s">
        <v>2189</v>
      </c>
      <c r="K5252" t="s">
        <v>2183</v>
      </c>
      <c r="L5252" t="s">
        <v>2184</v>
      </c>
      <c r="M5252">
        <v>720</v>
      </c>
      <c r="N5252">
        <v>26.2</v>
      </c>
      <c r="O5252">
        <v>10618.6</v>
      </c>
      <c r="P5252">
        <v>0</v>
      </c>
      <c r="Q5252">
        <v>10618.6</v>
      </c>
      <c r="R5252">
        <v>1698.98</v>
      </c>
      <c r="S5252">
        <v>424.74</v>
      </c>
      <c r="T5252">
        <v>11892.84</v>
      </c>
      <c r="U5252" t="s">
        <v>2192</v>
      </c>
      <c r="V5252" t="s">
        <v>9408</v>
      </c>
      <c r="W5252" t="s">
        <v>423</v>
      </c>
    </row>
    <row r="5253" spans="1:23" hidden="1" x14ac:dyDescent="0.2">
      <c r="A5253">
        <v>2012</v>
      </c>
      <c r="B5253" t="s">
        <v>304</v>
      </c>
      <c r="C5253" s="733">
        <v>40941</v>
      </c>
      <c r="D52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53" t="s">
        <v>485</v>
      </c>
      <c r="F5253" t="s">
        <v>2054</v>
      </c>
      <c r="G5253" t="s">
        <v>6043</v>
      </c>
      <c r="H5253">
        <v>41333</v>
      </c>
      <c r="I5253" t="s">
        <v>423</v>
      </c>
      <c r="J5253" t="s">
        <v>2972</v>
      </c>
      <c r="K5253" t="s">
        <v>2051</v>
      </c>
      <c r="L5253" t="s">
        <v>2052</v>
      </c>
      <c r="M5253">
        <v>398</v>
      </c>
      <c r="N5253">
        <v>49.4</v>
      </c>
      <c r="O5253">
        <v>13662.56</v>
      </c>
      <c r="P5253">
        <v>0</v>
      </c>
      <c r="Q5253">
        <v>13662.56</v>
      </c>
      <c r="R5253">
        <v>2186.0100000000002</v>
      </c>
      <c r="S5253">
        <v>546.5</v>
      </c>
      <c r="T5253">
        <v>15302.07</v>
      </c>
      <c r="U5253" t="s">
        <v>2067</v>
      </c>
      <c r="V5253" t="s">
        <v>9409</v>
      </c>
      <c r="W5253" t="s">
        <v>423</v>
      </c>
    </row>
    <row r="5254" spans="1:23" hidden="1" x14ac:dyDescent="0.2">
      <c r="A5254">
        <v>2012</v>
      </c>
      <c r="B5254" t="s">
        <v>304</v>
      </c>
      <c r="C5254" s="733">
        <v>40942</v>
      </c>
      <c r="D52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54" t="s">
        <v>478</v>
      </c>
      <c r="F5254" t="s">
        <v>2136</v>
      </c>
      <c r="G5254" t="s">
        <v>6283</v>
      </c>
      <c r="H5254">
        <v>35278</v>
      </c>
      <c r="I5254" t="s">
        <v>423</v>
      </c>
      <c r="J5254" t="s">
        <v>4276</v>
      </c>
      <c r="K5254" t="s">
        <v>425</v>
      </c>
      <c r="L5254" t="s">
        <v>2145</v>
      </c>
      <c r="M5254">
        <v>60</v>
      </c>
      <c r="N5254">
        <v>23.45</v>
      </c>
      <c r="O5254">
        <v>3148.16</v>
      </c>
      <c r="P5254">
        <v>0</v>
      </c>
      <c r="Q5254">
        <v>3148.16</v>
      </c>
      <c r="R5254">
        <v>503.71</v>
      </c>
      <c r="S5254">
        <v>125.93</v>
      </c>
      <c r="T5254">
        <v>3525.94</v>
      </c>
      <c r="U5254" t="s">
        <v>9457</v>
      </c>
      <c r="V5254" t="s">
        <v>9408</v>
      </c>
      <c r="W5254" t="s">
        <v>423</v>
      </c>
    </row>
    <row r="5255" spans="1:23" hidden="1" x14ac:dyDescent="0.2">
      <c r="A5255">
        <v>2012</v>
      </c>
      <c r="B5255" t="s">
        <v>304</v>
      </c>
      <c r="C5255" s="733">
        <v>40957</v>
      </c>
      <c r="D52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55" t="s">
        <v>505</v>
      </c>
      <c r="F5255" t="s">
        <v>1915</v>
      </c>
      <c r="G5255" t="s">
        <v>7866</v>
      </c>
      <c r="H5255">
        <v>22821</v>
      </c>
      <c r="I5255" t="s">
        <v>423</v>
      </c>
      <c r="J5255" t="s">
        <v>1947</v>
      </c>
      <c r="K5255" t="s">
        <v>1918</v>
      </c>
      <c r="L5255" t="s">
        <v>1919</v>
      </c>
      <c r="M5255">
        <v>973</v>
      </c>
      <c r="N5255">
        <v>50.38</v>
      </c>
      <c r="O5255">
        <v>29419.9</v>
      </c>
      <c r="P5255">
        <v>0</v>
      </c>
      <c r="Q5255">
        <v>29419.9</v>
      </c>
      <c r="R5255">
        <v>4707.18</v>
      </c>
      <c r="S5255">
        <v>1176.8</v>
      </c>
      <c r="T5255">
        <v>32950.28</v>
      </c>
      <c r="U5255" t="s">
        <v>8491</v>
      </c>
      <c r="V5255" t="s">
        <v>9409</v>
      </c>
      <c r="W5255" t="s">
        <v>423</v>
      </c>
    </row>
    <row r="5256" spans="1:23" hidden="1" x14ac:dyDescent="0.2">
      <c r="A5256">
        <v>2012</v>
      </c>
      <c r="B5256" t="s">
        <v>304</v>
      </c>
      <c r="C5256" s="733">
        <v>40942</v>
      </c>
      <c r="D52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56" t="s">
        <v>505</v>
      </c>
      <c r="F5256" t="s">
        <v>1915</v>
      </c>
      <c r="G5256" t="s">
        <v>2383</v>
      </c>
      <c r="H5256">
        <v>22471</v>
      </c>
      <c r="I5256" t="s">
        <v>423</v>
      </c>
      <c r="J5256" t="s">
        <v>1947</v>
      </c>
      <c r="K5256" t="s">
        <v>1918</v>
      </c>
      <c r="L5256" t="s">
        <v>1919</v>
      </c>
      <c r="M5256">
        <v>973</v>
      </c>
      <c r="N5256">
        <v>25.09</v>
      </c>
      <c r="O5256">
        <v>14651.56</v>
      </c>
      <c r="P5256">
        <v>0</v>
      </c>
      <c r="Q5256">
        <v>14651.56</v>
      </c>
      <c r="R5256">
        <v>2344.25</v>
      </c>
      <c r="S5256">
        <v>586.05999999999995</v>
      </c>
      <c r="T5256">
        <v>16409.75</v>
      </c>
      <c r="U5256" t="s">
        <v>1924</v>
      </c>
      <c r="V5256" t="s">
        <v>9408</v>
      </c>
      <c r="W5256" t="s">
        <v>423</v>
      </c>
    </row>
    <row r="5257" spans="1:23" hidden="1" x14ac:dyDescent="0.2">
      <c r="A5257">
        <v>2012</v>
      </c>
      <c r="B5257" t="s">
        <v>303</v>
      </c>
      <c r="C5257" s="733">
        <v>40933</v>
      </c>
      <c r="D52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57" t="s">
        <v>485</v>
      </c>
      <c r="F5257" t="s">
        <v>2065</v>
      </c>
      <c r="G5257" t="s">
        <v>2255</v>
      </c>
      <c r="H5257">
        <v>40870</v>
      </c>
      <c r="I5257" t="s">
        <v>423</v>
      </c>
      <c r="J5257" t="s">
        <v>2050</v>
      </c>
      <c r="K5257" t="s">
        <v>2051</v>
      </c>
      <c r="L5257" t="s">
        <v>2052</v>
      </c>
      <c r="M5257">
        <v>90</v>
      </c>
      <c r="N5257">
        <v>28.9</v>
      </c>
      <c r="O5257">
        <v>4054.96</v>
      </c>
      <c r="P5257">
        <v>0</v>
      </c>
      <c r="Q5257">
        <v>4054.96</v>
      </c>
      <c r="R5257">
        <v>648.79</v>
      </c>
      <c r="S5257">
        <v>162.19999999999999</v>
      </c>
      <c r="T5257">
        <v>4541.55</v>
      </c>
      <c r="U5257" t="s">
        <v>2064</v>
      </c>
      <c r="V5257" t="s">
        <v>9408</v>
      </c>
      <c r="W5257" t="s">
        <v>423</v>
      </c>
    </row>
    <row r="5258" spans="1:23" hidden="1" x14ac:dyDescent="0.2">
      <c r="A5258">
        <v>2012</v>
      </c>
      <c r="B5258" t="s">
        <v>303</v>
      </c>
      <c r="C5258" s="733">
        <v>40938</v>
      </c>
      <c r="D52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58" t="s">
        <v>485</v>
      </c>
      <c r="F5258" t="s">
        <v>2054</v>
      </c>
      <c r="G5258" t="s">
        <v>2365</v>
      </c>
      <c r="H5258">
        <v>41103</v>
      </c>
      <c r="I5258" t="s">
        <v>423</v>
      </c>
      <c r="J5258" t="s">
        <v>2050</v>
      </c>
      <c r="K5258" t="s">
        <v>2051</v>
      </c>
      <c r="L5258" t="s">
        <v>2052</v>
      </c>
      <c r="M5258">
        <v>90</v>
      </c>
      <c r="N5258">
        <v>24.8</v>
      </c>
      <c r="O5258">
        <v>3479.69</v>
      </c>
      <c r="P5258">
        <v>0</v>
      </c>
      <c r="Q5258">
        <v>3479.69</v>
      </c>
      <c r="R5258">
        <v>556.75</v>
      </c>
      <c r="S5258">
        <v>139.19</v>
      </c>
      <c r="T5258">
        <v>3897.25</v>
      </c>
      <c r="U5258" t="s">
        <v>2064</v>
      </c>
      <c r="V5258" t="s">
        <v>9408</v>
      </c>
      <c r="W5258" t="s">
        <v>423</v>
      </c>
    </row>
    <row r="5259" spans="1:23" hidden="1" x14ac:dyDescent="0.2">
      <c r="A5259">
        <v>2012</v>
      </c>
      <c r="B5259" t="s">
        <v>303</v>
      </c>
      <c r="C5259" s="733">
        <v>40926</v>
      </c>
      <c r="D52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59" t="s">
        <v>485</v>
      </c>
      <c r="F5259" t="s">
        <v>2065</v>
      </c>
      <c r="G5259" t="s">
        <v>2248</v>
      </c>
      <c r="H5259">
        <v>40506</v>
      </c>
      <c r="I5259" t="s">
        <v>423</v>
      </c>
      <c r="J5259" t="s">
        <v>2050</v>
      </c>
      <c r="K5259" t="s">
        <v>2051</v>
      </c>
      <c r="L5259" t="s">
        <v>2052</v>
      </c>
      <c r="M5259">
        <v>90</v>
      </c>
      <c r="N5259">
        <v>54.5</v>
      </c>
      <c r="O5259">
        <v>7646.9</v>
      </c>
      <c r="P5259">
        <v>0</v>
      </c>
      <c r="Q5259">
        <v>7646.9</v>
      </c>
      <c r="R5259">
        <v>1223.5</v>
      </c>
      <c r="S5259">
        <v>305.88</v>
      </c>
      <c r="T5259">
        <v>8564.52</v>
      </c>
      <c r="U5259" t="s">
        <v>2062</v>
      </c>
      <c r="V5259" t="s">
        <v>9409</v>
      </c>
      <c r="W5259" t="s">
        <v>423</v>
      </c>
    </row>
    <row r="5260" spans="1:23" hidden="1" x14ac:dyDescent="0.2">
      <c r="A5260">
        <v>2012</v>
      </c>
      <c r="B5260" t="s">
        <v>304</v>
      </c>
      <c r="C5260" s="733">
        <v>40942.449224537035</v>
      </c>
      <c r="D52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60" t="s">
        <v>485</v>
      </c>
      <c r="F5260" t="s">
        <v>2054</v>
      </c>
      <c r="G5260" t="s">
        <v>2498</v>
      </c>
      <c r="H5260">
        <v>10293</v>
      </c>
      <c r="I5260" t="s">
        <v>423</v>
      </c>
      <c r="J5260" t="s">
        <v>2072</v>
      </c>
      <c r="K5260" t="s">
        <v>2057</v>
      </c>
      <c r="L5260" t="s">
        <v>2058</v>
      </c>
      <c r="M5260">
        <v>406</v>
      </c>
      <c r="N5260">
        <v>46.38</v>
      </c>
      <c r="O5260">
        <v>12674.73</v>
      </c>
      <c r="P5260">
        <v>0</v>
      </c>
      <c r="Q5260">
        <v>12674.73</v>
      </c>
      <c r="R5260">
        <v>2027.96</v>
      </c>
      <c r="S5260">
        <v>506.99</v>
      </c>
      <c r="T5260">
        <v>14195.7</v>
      </c>
      <c r="U5260" t="s">
        <v>2075</v>
      </c>
      <c r="V5260" t="s">
        <v>9409</v>
      </c>
      <c r="W5260" t="s">
        <v>423</v>
      </c>
    </row>
    <row r="5261" spans="1:23" hidden="1" x14ac:dyDescent="0.2">
      <c r="A5261">
        <v>2012</v>
      </c>
      <c r="B5261" t="s">
        <v>303</v>
      </c>
      <c r="C5261" s="733">
        <v>40927</v>
      </c>
      <c r="D52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61" t="s">
        <v>505</v>
      </c>
      <c r="F5261" t="s">
        <v>1915</v>
      </c>
      <c r="G5261" t="s">
        <v>6006</v>
      </c>
      <c r="H5261">
        <v>22085</v>
      </c>
      <c r="I5261" t="s">
        <v>423</v>
      </c>
      <c r="J5261" t="s">
        <v>1943</v>
      </c>
      <c r="K5261" t="s">
        <v>1918</v>
      </c>
      <c r="L5261" t="s">
        <v>1919</v>
      </c>
      <c r="M5261">
        <v>319</v>
      </c>
      <c r="N5261">
        <v>53.79</v>
      </c>
      <c r="O5261">
        <v>15773.38</v>
      </c>
      <c r="P5261">
        <v>0</v>
      </c>
      <c r="Q5261">
        <v>15773.38</v>
      </c>
      <c r="R5261">
        <v>2523.7399999999998</v>
      </c>
      <c r="S5261">
        <v>630.94000000000005</v>
      </c>
      <c r="T5261">
        <v>17666.18</v>
      </c>
      <c r="U5261" t="s">
        <v>1936</v>
      </c>
      <c r="V5261" t="s">
        <v>9409</v>
      </c>
      <c r="W5261" t="s">
        <v>423</v>
      </c>
    </row>
    <row r="5262" spans="1:23" hidden="1" x14ac:dyDescent="0.2">
      <c r="A5262">
        <v>2012</v>
      </c>
      <c r="B5262" t="s">
        <v>304</v>
      </c>
      <c r="C5262" s="733">
        <v>40949</v>
      </c>
      <c r="D52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62" t="s">
        <v>505</v>
      </c>
      <c r="F5262" t="s">
        <v>1915</v>
      </c>
      <c r="G5262" t="s">
        <v>6007</v>
      </c>
      <c r="H5262">
        <v>22613</v>
      </c>
      <c r="I5262" t="s">
        <v>423</v>
      </c>
      <c r="J5262" t="s">
        <v>1943</v>
      </c>
      <c r="K5262" t="s">
        <v>1918</v>
      </c>
      <c r="L5262" t="s">
        <v>1919</v>
      </c>
      <c r="M5262">
        <v>319</v>
      </c>
      <c r="N5262">
        <v>53.84</v>
      </c>
      <c r="O5262">
        <v>15788.04</v>
      </c>
      <c r="P5262">
        <v>0</v>
      </c>
      <c r="Q5262">
        <v>15788.04</v>
      </c>
      <c r="R5262">
        <v>2526.09</v>
      </c>
      <c r="S5262">
        <v>631.52</v>
      </c>
      <c r="T5262">
        <v>17682.61</v>
      </c>
      <c r="U5262" t="s">
        <v>7522</v>
      </c>
      <c r="V5262" t="s">
        <v>9409</v>
      </c>
      <c r="W5262" t="s">
        <v>423</v>
      </c>
    </row>
    <row r="5263" spans="1:23" hidden="1" x14ac:dyDescent="0.2">
      <c r="A5263">
        <v>2012</v>
      </c>
      <c r="B5263" t="s">
        <v>304</v>
      </c>
      <c r="C5263" s="733">
        <v>40946</v>
      </c>
      <c r="D52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63" t="s">
        <v>505</v>
      </c>
      <c r="F5263" t="s">
        <v>1915</v>
      </c>
      <c r="G5263" t="s">
        <v>6008</v>
      </c>
      <c r="H5263">
        <v>22496</v>
      </c>
      <c r="I5263" t="s">
        <v>423</v>
      </c>
      <c r="J5263" t="s">
        <v>1943</v>
      </c>
      <c r="K5263" t="s">
        <v>1918</v>
      </c>
      <c r="L5263" t="s">
        <v>1919</v>
      </c>
      <c r="M5263">
        <v>319</v>
      </c>
      <c r="N5263">
        <v>52.81</v>
      </c>
      <c r="O5263">
        <v>15486</v>
      </c>
      <c r="P5263">
        <v>0</v>
      </c>
      <c r="Q5263">
        <v>15486</v>
      </c>
      <c r="R5263">
        <v>2477.7600000000002</v>
      </c>
      <c r="S5263">
        <v>619.44000000000005</v>
      </c>
      <c r="T5263">
        <v>17344.32</v>
      </c>
      <c r="U5263" t="s">
        <v>1924</v>
      </c>
      <c r="V5263" t="s">
        <v>9409</v>
      </c>
      <c r="W5263" t="s">
        <v>423</v>
      </c>
    </row>
    <row r="5264" spans="1:23" hidden="1" x14ac:dyDescent="0.2">
      <c r="A5264">
        <v>2012</v>
      </c>
      <c r="B5264" t="s">
        <v>304</v>
      </c>
      <c r="C5264" s="733">
        <v>40956</v>
      </c>
      <c r="D52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64" t="s">
        <v>505</v>
      </c>
      <c r="F5264" t="s">
        <v>1915</v>
      </c>
      <c r="G5264" t="s">
        <v>7777</v>
      </c>
      <c r="H5264">
        <v>22796</v>
      </c>
      <c r="I5264" t="s">
        <v>423</v>
      </c>
      <c r="J5264" t="s">
        <v>1943</v>
      </c>
      <c r="K5264" t="s">
        <v>1918</v>
      </c>
      <c r="L5264" t="s">
        <v>1919</v>
      </c>
      <c r="M5264">
        <v>319</v>
      </c>
      <c r="N5264">
        <v>52.49</v>
      </c>
      <c r="O5264">
        <v>15392.17</v>
      </c>
      <c r="P5264">
        <v>0</v>
      </c>
      <c r="Q5264">
        <v>15392.17</v>
      </c>
      <c r="R5264">
        <v>2462.75</v>
      </c>
      <c r="S5264">
        <v>615.69000000000005</v>
      </c>
      <c r="T5264">
        <v>17239.23</v>
      </c>
      <c r="U5264" t="s">
        <v>7529</v>
      </c>
      <c r="V5264" t="s">
        <v>9409</v>
      </c>
      <c r="W5264" t="s">
        <v>423</v>
      </c>
    </row>
    <row r="5265" spans="1:23" hidden="1" x14ac:dyDescent="0.2">
      <c r="A5265">
        <v>2012</v>
      </c>
      <c r="B5265" t="s">
        <v>304</v>
      </c>
      <c r="C5265" s="733">
        <v>40946</v>
      </c>
      <c r="D52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65" t="s">
        <v>505</v>
      </c>
      <c r="F5265" t="s">
        <v>1915</v>
      </c>
      <c r="G5265" t="s">
        <v>3435</v>
      </c>
      <c r="H5265">
        <v>22502</v>
      </c>
      <c r="I5265" t="s">
        <v>423</v>
      </c>
      <c r="J5265" t="s">
        <v>1943</v>
      </c>
      <c r="K5265" t="s">
        <v>1918</v>
      </c>
      <c r="L5265" t="s">
        <v>1919</v>
      </c>
      <c r="M5265">
        <v>319</v>
      </c>
      <c r="N5265">
        <v>54.39</v>
      </c>
      <c r="O5265">
        <v>15949.32</v>
      </c>
      <c r="P5265">
        <v>0</v>
      </c>
      <c r="Q5265">
        <v>15949.32</v>
      </c>
      <c r="R5265">
        <v>2551.89</v>
      </c>
      <c r="S5265">
        <v>637.97</v>
      </c>
      <c r="T5265">
        <v>17863.240000000002</v>
      </c>
      <c r="U5265" t="s">
        <v>1924</v>
      </c>
      <c r="V5265" t="s">
        <v>9409</v>
      </c>
      <c r="W5265" t="s">
        <v>423</v>
      </c>
    </row>
    <row r="5266" spans="1:23" hidden="1" x14ac:dyDescent="0.2">
      <c r="A5266">
        <v>2012</v>
      </c>
      <c r="B5266" t="s">
        <v>304</v>
      </c>
      <c r="C5266" s="733">
        <v>40966</v>
      </c>
      <c r="D52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66" t="s">
        <v>478</v>
      </c>
      <c r="F5266" t="s">
        <v>2136</v>
      </c>
      <c r="G5266" t="s">
        <v>9203</v>
      </c>
      <c r="H5266">
        <v>36061</v>
      </c>
      <c r="I5266" t="s">
        <v>423</v>
      </c>
      <c r="J5266" t="s">
        <v>5735</v>
      </c>
      <c r="K5266" t="s">
        <v>425</v>
      </c>
      <c r="L5266" t="s">
        <v>2145</v>
      </c>
      <c r="M5266">
        <v>193</v>
      </c>
      <c r="N5266">
        <v>22.06</v>
      </c>
      <c r="O5266">
        <v>3920.28</v>
      </c>
      <c r="P5266">
        <v>0</v>
      </c>
      <c r="Q5266">
        <v>3920.28</v>
      </c>
      <c r="R5266">
        <v>627.25</v>
      </c>
      <c r="S5266">
        <v>156.81</v>
      </c>
      <c r="T5266">
        <v>4390.72</v>
      </c>
      <c r="U5266" t="s">
        <v>9457</v>
      </c>
      <c r="V5266" t="s">
        <v>9408</v>
      </c>
      <c r="W5266" t="s">
        <v>423</v>
      </c>
    </row>
    <row r="5267" spans="1:23" hidden="1" x14ac:dyDescent="0.2">
      <c r="A5267">
        <v>2012</v>
      </c>
      <c r="B5267" t="s">
        <v>303</v>
      </c>
      <c r="C5267" s="733">
        <v>40913</v>
      </c>
      <c r="D52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67" t="s">
        <v>505</v>
      </c>
      <c r="F5267" t="s">
        <v>1915</v>
      </c>
      <c r="G5267" t="s">
        <v>6005</v>
      </c>
      <c r="H5267">
        <v>21725</v>
      </c>
      <c r="I5267" t="s">
        <v>423</v>
      </c>
      <c r="J5267" t="s">
        <v>1943</v>
      </c>
      <c r="K5267" t="s">
        <v>1918</v>
      </c>
      <c r="L5267" t="s">
        <v>1919</v>
      </c>
      <c r="M5267">
        <v>319</v>
      </c>
      <c r="N5267">
        <v>53.3</v>
      </c>
      <c r="O5267">
        <v>6580.3</v>
      </c>
      <c r="P5267">
        <v>7408.6939670000002</v>
      </c>
      <c r="Q5267">
        <v>13988.993967</v>
      </c>
      <c r="R5267">
        <v>2238.2390350000001</v>
      </c>
      <c r="S5267">
        <v>559.55975899999999</v>
      </c>
      <c r="T5267">
        <v>15667.673242999999</v>
      </c>
      <c r="U5267" t="s">
        <v>8869</v>
      </c>
      <c r="V5267" t="s">
        <v>9409</v>
      </c>
      <c r="W5267" t="s">
        <v>423</v>
      </c>
    </row>
    <row r="5268" spans="1:23" hidden="1" x14ac:dyDescent="0.2">
      <c r="A5268">
        <v>2012</v>
      </c>
      <c r="B5268" t="s">
        <v>303</v>
      </c>
      <c r="C5268" s="733">
        <v>40922</v>
      </c>
      <c r="D52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68" t="s">
        <v>505</v>
      </c>
      <c r="F5268" t="s">
        <v>1915</v>
      </c>
      <c r="G5268" t="s">
        <v>3436</v>
      </c>
      <c r="H5268">
        <v>21964</v>
      </c>
      <c r="I5268" t="s">
        <v>423</v>
      </c>
      <c r="J5268" t="s">
        <v>1943</v>
      </c>
      <c r="K5268" t="s">
        <v>1918</v>
      </c>
      <c r="L5268" t="s">
        <v>1919</v>
      </c>
      <c r="M5268">
        <v>319</v>
      </c>
      <c r="N5268">
        <v>54.27</v>
      </c>
      <c r="O5268">
        <v>15914.13</v>
      </c>
      <c r="P5268">
        <v>0</v>
      </c>
      <c r="Q5268">
        <v>15914.13</v>
      </c>
      <c r="R5268">
        <v>2546.2600000000002</v>
      </c>
      <c r="S5268">
        <v>636.57000000000005</v>
      </c>
      <c r="T5268">
        <v>17823.82</v>
      </c>
      <c r="U5268" t="s">
        <v>1936</v>
      </c>
      <c r="V5268" t="s">
        <v>9409</v>
      </c>
      <c r="W5268" t="s">
        <v>423</v>
      </c>
    </row>
    <row r="5269" spans="1:23" hidden="1" x14ac:dyDescent="0.2">
      <c r="A5269">
        <v>2012</v>
      </c>
      <c r="B5269" t="s">
        <v>304</v>
      </c>
      <c r="C5269" s="733">
        <v>40962</v>
      </c>
      <c r="D52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69" t="s">
        <v>505</v>
      </c>
      <c r="F5269" t="s">
        <v>1915</v>
      </c>
      <c r="G5269" t="s">
        <v>8560</v>
      </c>
      <c r="H5269">
        <v>22966</v>
      </c>
      <c r="I5269" t="s">
        <v>423</v>
      </c>
      <c r="J5269" t="s">
        <v>1943</v>
      </c>
      <c r="K5269" t="s">
        <v>1918</v>
      </c>
      <c r="L5269" t="s">
        <v>1919</v>
      </c>
      <c r="M5269">
        <v>319</v>
      </c>
      <c r="N5269">
        <v>26.96</v>
      </c>
      <c r="O5269">
        <v>7905.75</v>
      </c>
      <c r="P5269">
        <v>0</v>
      </c>
      <c r="Q5269">
        <v>7905.75</v>
      </c>
      <c r="R5269">
        <v>1264.92</v>
      </c>
      <c r="S5269">
        <v>316.23</v>
      </c>
      <c r="T5269">
        <v>8854.44</v>
      </c>
      <c r="U5269" t="s">
        <v>8778</v>
      </c>
      <c r="V5269" t="s">
        <v>9408</v>
      </c>
      <c r="W5269" t="s">
        <v>423</v>
      </c>
    </row>
    <row r="5270" spans="1:23" hidden="1" x14ac:dyDescent="0.2">
      <c r="A5270">
        <v>2012</v>
      </c>
      <c r="B5270" t="s">
        <v>303</v>
      </c>
      <c r="C5270" s="733">
        <v>40927</v>
      </c>
      <c r="D52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70" t="s">
        <v>485</v>
      </c>
      <c r="F5270" t="s">
        <v>2065</v>
      </c>
      <c r="G5270" t="s">
        <v>2337</v>
      </c>
      <c r="H5270">
        <v>40424</v>
      </c>
      <c r="I5270" t="s">
        <v>423</v>
      </c>
      <c r="J5270" t="s">
        <v>2126</v>
      </c>
      <c r="K5270" t="s">
        <v>2102</v>
      </c>
      <c r="L5270" t="s">
        <v>2115</v>
      </c>
      <c r="M5270">
        <v>930</v>
      </c>
      <c r="N5270">
        <v>25.77</v>
      </c>
      <c r="O5270">
        <v>15129.05</v>
      </c>
      <c r="P5270">
        <v>0</v>
      </c>
      <c r="Q5270">
        <v>15129.05</v>
      </c>
      <c r="R5270">
        <v>2420.65</v>
      </c>
      <c r="S5270">
        <v>605.16</v>
      </c>
      <c r="T5270">
        <v>16944.54</v>
      </c>
      <c r="U5270" t="s">
        <v>2108</v>
      </c>
      <c r="V5270" t="s">
        <v>9408</v>
      </c>
      <c r="W5270" t="s">
        <v>423</v>
      </c>
    </row>
    <row r="5271" spans="1:23" hidden="1" x14ac:dyDescent="0.2">
      <c r="A5271">
        <v>2012</v>
      </c>
      <c r="B5271" t="s">
        <v>303</v>
      </c>
      <c r="C5271" s="733">
        <v>40927</v>
      </c>
      <c r="D52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71" t="s">
        <v>485</v>
      </c>
      <c r="F5271" t="s">
        <v>2065</v>
      </c>
      <c r="G5271" t="s">
        <v>2336</v>
      </c>
      <c r="H5271">
        <v>39738</v>
      </c>
      <c r="I5271" t="s">
        <v>423</v>
      </c>
      <c r="J5271" t="s">
        <v>2126</v>
      </c>
      <c r="K5271" t="s">
        <v>2102</v>
      </c>
      <c r="L5271" t="s">
        <v>2115</v>
      </c>
      <c r="M5271">
        <v>930</v>
      </c>
      <c r="N5271">
        <v>50.06</v>
      </c>
      <c r="O5271">
        <v>29389.22</v>
      </c>
      <c r="P5271">
        <v>0</v>
      </c>
      <c r="Q5271">
        <v>29389.22</v>
      </c>
      <c r="R5271">
        <v>4702.28</v>
      </c>
      <c r="S5271">
        <v>1175.57</v>
      </c>
      <c r="T5271">
        <v>32915.93</v>
      </c>
      <c r="U5271" t="s">
        <v>2108</v>
      </c>
      <c r="V5271" t="s">
        <v>9409</v>
      </c>
      <c r="W5271" t="s">
        <v>423</v>
      </c>
    </row>
    <row r="5272" spans="1:23" hidden="1" x14ac:dyDescent="0.2">
      <c r="A5272">
        <v>2012</v>
      </c>
      <c r="B5272" t="s">
        <v>304</v>
      </c>
      <c r="C5272" s="733">
        <v>40967.371898148151</v>
      </c>
      <c r="D52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72" t="s">
        <v>478</v>
      </c>
      <c r="F5272" t="s">
        <v>2136</v>
      </c>
      <c r="G5272" t="s">
        <v>9125</v>
      </c>
      <c r="H5272">
        <v>36090</v>
      </c>
      <c r="I5272" t="s">
        <v>423</v>
      </c>
      <c r="J5272" t="s">
        <v>3480</v>
      </c>
      <c r="K5272" t="s">
        <v>3481</v>
      </c>
      <c r="L5272" t="s">
        <v>3482</v>
      </c>
      <c r="M5272">
        <v>75</v>
      </c>
      <c r="N5272">
        <v>27.07</v>
      </c>
      <c r="O5272">
        <v>3055.39</v>
      </c>
      <c r="P5272">
        <v>0</v>
      </c>
      <c r="Q5272">
        <v>3055.39</v>
      </c>
      <c r="R5272">
        <v>488.86</v>
      </c>
      <c r="S5272">
        <v>122.22</v>
      </c>
      <c r="T5272">
        <v>3422.03</v>
      </c>
      <c r="U5272" t="s">
        <v>9462</v>
      </c>
      <c r="V5272" t="s">
        <v>9408</v>
      </c>
      <c r="W5272" t="s">
        <v>423</v>
      </c>
    </row>
    <row r="5273" spans="1:23" hidden="1" x14ac:dyDescent="0.2">
      <c r="A5273">
        <v>2012</v>
      </c>
      <c r="B5273" t="s">
        <v>303</v>
      </c>
      <c r="C5273" s="733">
        <v>40912</v>
      </c>
      <c r="D52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73" t="s">
        <v>478</v>
      </c>
      <c r="F5273" t="s">
        <v>2136</v>
      </c>
      <c r="G5273" t="s">
        <v>7228</v>
      </c>
      <c r="H5273">
        <v>34126</v>
      </c>
      <c r="I5273" t="s">
        <v>424</v>
      </c>
      <c r="J5273" t="s">
        <v>5684</v>
      </c>
      <c r="K5273" t="s">
        <v>425</v>
      </c>
      <c r="L5273" t="s">
        <v>2145</v>
      </c>
      <c r="M5273">
        <v>484</v>
      </c>
      <c r="N5273">
        <v>29.25</v>
      </c>
      <c r="O5273">
        <v>3715.34</v>
      </c>
      <c r="P5273">
        <v>2320.9357450000002</v>
      </c>
      <c r="Q5273">
        <v>6036.2757449999999</v>
      </c>
      <c r="R5273">
        <v>965.80411900000001</v>
      </c>
      <c r="S5273">
        <v>241.45103</v>
      </c>
      <c r="T5273">
        <v>6760.6288340000001</v>
      </c>
      <c r="U5273" t="s">
        <v>2352</v>
      </c>
      <c r="V5273" t="s">
        <v>9408</v>
      </c>
      <c r="W5273" t="s">
        <v>424</v>
      </c>
    </row>
    <row r="5274" spans="1:23" hidden="1" x14ac:dyDescent="0.2">
      <c r="A5274">
        <v>2012</v>
      </c>
      <c r="B5274" t="s">
        <v>304</v>
      </c>
      <c r="C5274" s="733">
        <v>40961</v>
      </c>
      <c r="D52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74" t="s">
        <v>478</v>
      </c>
      <c r="F5274" t="s">
        <v>2136</v>
      </c>
      <c r="G5274" t="s">
        <v>8302</v>
      </c>
      <c r="H5274">
        <v>35937</v>
      </c>
      <c r="I5274" t="s">
        <v>423</v>
      </c>
      <c r="J5274" t="s">
        <v>5684</v>
      </c>
      <c r="K5274" t="s">
        <v>425</v>
      </c>
      <c r="L5274" t="s">
        <v>2145</v>
      </c>
      <c r="M5274">
        <v>484</v>
      </c>
      <c r="N5274">
        <v>22.17</v>
      </c>
      <c r="O5274">
        <v>6688.47</v>
      </c>
      <c r="P5274">
        <v>0</v>
      </c>
      <c r="Q5274">
        <v>6688.47</v>
      </c>
      <c r="R5274">
        <v>1070.1500000000001</v>
      </c>
      <c r="S5274">
        <v>267.54000000000002</v>
      </c>
      <c r="T5274">
        <v>7491.08</v>
      </c>
      <c r="U5274" t="s">
        <v>9457</v>
      </c>
      <c r="V5274" t="s">
        <v>9408</v>
      </c>
      <c r="W5274" t="s">
        <v>423</v>
      </c>
    </row>
    <row r="5275" spans="1:23" hidden="1" x14ac:dyDescent="0.2">
      <c r="A5275">
        <v>2012</v>
      </c>
      <c r="B5275" t="s">
        <v>304</v>
      </c>
      <c r="C5275" s="733">
        <v>40948</v>
      </c>
      <c r="D52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75" t="s">
        <v>485</v>
      </c>
      <c r="F5275" t="s">
        <v>3450</v>
      </c>
      <c r="G5275" t="s">
        <v>6015</v>
      </c>
      <c r="H5275">
        <v>41176</v>
      </c>
      <c r="I5275" t="s">
        <v>423</v>
      </c>
      <c r="J5275" t="s">
        <v>3462</v>
      </c>
      <c r="K5275" t="s">
        <v>3453</v>
      </c>
      <c r="L5275" t="s">
        <v>3454</v>
      </c>
      <c r="M5275">
        <v>425</v>
      </c>
      <c r="N5275">
        <v>24.73</v>
      </c>
      <c r="O5275">
        <v>6900.66</v>
      </c>
      <c r="P5275">
        <v>0</v>
      </c>
      <c r="Q5275">
        <v>6900.66</v>
      </c>
      <c r="R5275">
        <v>1104.1099999999999</v>
      </c>
      <c r="S5275">
        <v>276.02999999999997</v>
      </c>
      <c r="T5275">
        <v>7728.74</v>
      </c>
      <c r="U5275" t="s">
        <v>3455</v>
      </c>
      <c r="V5275" t="s">
        <v>9408</v>
      </c>
      <c r="W5275" t="s">
        <v>423</v>
      </c>
    </row>
    <row r="5276" spans="1:23" hidden="1" x14ac:dyDescent="0.2">
      <c r="A5276">
        <v>2012</v>
      </c>
      <c r="B5276" t="s">
        <v>303</v>
      </c>
      <c r="C5276" s="733">
        <v>40934</v>
      </c>
      <c r="D52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76" t="s">
        <v>485</v>
      </c>
      <c r="F5276" t="s">
        <v>2065</v>
      </c>
      <c r="G5276" t="s">
        <v>6392</v>
      </c>
      <c r="H5276">
        <v>40763</v>
      </c>
      <c r="I5276" t="s">
        <v>423</v>
      </c>
      <c r="J5276" t="s">
        <v>2126</v>
      </c>
      <c r="K5276" t="s">
        <v>2102</v>
      </c>
      <c r="L5276" t="s">
        <v>2115</v>
      </c>
      <c r="M5276">
        <v>930</v>
      </c>
      <c r="N5276">
        <v>35.369999999999997</v>
      </c>
      <c r="O5276">
        <v>20765.02</v>
      </c>
      <c r="P5276">
        <v>0</v>
      </c>
      <c r="Q5276">
        <v>20765.02</v>
      </c>
      <c r="R5276">
        <v>3322.4</v>
      </c>
      <c r="S5276">
        <v>830.6</v>
      </c>
      <c r="T5276">
        <v>23256.82</v>
      </c>
      <c r="U5276" t="s">
        <v>2110</v>
      </c>
      <c r="V5276" t="s">
        <v>9409</v>
      </c>
      <c r="W5276" t="s">
        <v>423</v>
      </c>
    </row>
    <row r="5277" spans="1:23" hidden="1" x14ac:dyDescent="0.2">
      <c r="A5277">
        <v>2012</v>
      </c>
      <c r="B5277" t="s">
        <v>304</v>
      </c>
      <c r="C5277" s="733">
        <v>40946.516898148147</v>
      </c>
      <c r="D52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77" t="s">
        <v>485</v>
      </c>
      <c r="F5277" t="s">
        <v>2065</v>
      </c>
      <c r="G5277" t="s">
        <v>6393</v>
      </c>
      <c r="H5277">
        <v>41350</v>
      </c>
      <c r="I5277" t="s">
        <v>423</v>
      </c>
      <c r="J5277" t="s">
        <v>2126</v>
      </c>
      <c r="K5277" t="s">
        <v>2102</v>
      </c>
      <c r="L5277" t="s">
        <v>2115</v>
      </c>
      <c r="M5277">
        <v>930</v>
      </c>
      <c r="N5277">
        <v>26.81</v>
      </c>
      <c r="O5277">
        <v>15739.61</v>
      </c>
      <c r="P5277">
        <v>0</v>
      </c>
      <c r="Q5277">
        <v>15739.61</v>
      </c>
      <c r="R5277">
        <v>2518.34</v>
      </c>
      <c r="S5277">
        <v>629.58000000000004</v>
      </c>
      <c r="T5277">
        <v>17628.37</v>
      </c>
      <c r="U5277" t="s">
        <v>8051</v>
      </c>
      <c r="V5277" t="s">
        <v>9409</v>
      </c>
      <c r="W5277" t="s">
        <v>423</v>
      </c>
    </row>
    <row r="5278" spans="1:23" hidden="1" x14ac:dyDescent="0.2">
      <c r="A5278">
        <v>2012</v>
      </c>
      <c r="B5278" t="s">
        <v>303</v>
      </c>
      <c r="C5278" s="733">
        <v>40924</v>
      </c>
      <c r="D52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78" t="s">
        <v>485</v>
      </c>
      <c r="F5278" t="s">
        <v>2136</v>
      </c>
      <c r="G5278" t="s">
        <v>7227</v>
      </c>
      <c r="H5278">
        <v>40103</v>
      </c>
      <c r="I5278" t="s">
        <v>423</v>
      </c>
      <c r="J5278" t="s">
        <v>2126</v>
      </c>
      <c r="K5278" t="s">
        <v>2102</v>
      </c>
      <c r="L5278" t="s">
        <v>2115</v>
      </c>
      <c r="M5278">
        <v>930</v>
      </c>
      <c r="N5278">
        <v>25.65</v>
      </c>
      <c r="O5278">
        <v>15058.6</v>
      </c>
      <c r="P5278">
        <v>0</v>
      </c>
      <c r="Q5278">
        <v>15058.6</v>
      </c>
      <c r="R5278">
        <v>2409.38</v>
      </c>
      <c r="S5278">
        <v>602.34</v>
      </c>
      <c r="T5278">
        <v>16865.64</v>
      </c>
      <c r="U5278" t="s">
        <v>2106</v>
      </c>
      <c r="V5278" t="s">
        <v>9408</v>
      </c>
      <c r="W5278" t="s">
        <v>423</v>
      </c>
    </row>
    <row r="5279" spans="1:23" hidden="1" x14ac:dyDescent="0.2">
      <c r="A5279">
        <v>2012</v>
      </c>
      <c r="B5279" t="s">
        <v>304</v>
      </c>
      <c r="C5279" s="733">
        <v>40966</v>
      </c>
      <c r="D52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79" t="s">
        <v>478</v>
      </c>
      <c r="F5279" t="s">
        <v>2136</v>
      </c>
      <c r="G5279" t="s">
        <v>9126</v>
      </c>
      <c r="H5279">
        <v>36034</v>
      </c>
      <c r="I5279" t="s">
        <v>423</v>
      </c>
      <c r="J5279" t="s">
        <v>3326</v>
      </c>
      <c r="K5279" t="s">
        <v>425</v>
      </c>
      <c r="L5279" t="s">
        <v>2145</v>
      </c>
      <c r="M5279">
        <v>1218</v>
      </c>
      <c r="N5279">
        <v>22.58</v>
      </c>
      <c r="O5279">
        <v>12363.23</v>
      </c>
      <c r="P5279">
        <v>0</v>
      </c>
      <c r="Q5279">
        <v>12363.23</v>
      </c>
      <c r="R5279">
        <v>1978.12</v>
      </c>
      <c r="S5279">
        <v>494.53</v>
      </c>
      <c r="T5279">
        <v>13846.82</v>
      </c>
      <c r="U5279" t="s">
        <v>9457</v>
      </c>
      <c r="V5279" t="s">
        <v>9408</v>
      </c>
      <c r="W5279" t="s">
        <v>423</v>
      </c>
    </row>
    <row r="5280" spans="1:23" hidden="1" x14ac:dyDescent="0.2">
      <c r="A5280">
        <v>2012</v>
      </c>
      <c r="B5280" t="s">
        <v>304</v>
      </c>
      <c r="C5280" s="733">
        <v>40941</v>
      </c>
      <c r="D52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80" t="s">
        <v>478</v>
      </c>
      <c r="F5280" t="s">
        <v>2136</v>
      </c>
      <c r="G5280" t="s">
        <v>6391</v>
      </c>
      <c r="H5280">
        <v>35231</v>
      </c>
      <c r="I5280" t="s">
        <v>423</v>
      </c>
      <c r="J5280" t="s">
        <v>3326</v>
      </c>
      <c r="K5280" t="s">
        <v>425</v>
      </c>
      <c r="L5280" t="s">
        <v>2145</v>
      </c>
      <c r="M5280">
        <v>1218</v>
      </c>
      <c r="N5280">
        <v>25.56</v>
      </c>
      <c r="O5280">
        <v>13994.87</v>
      </c>
      <c r="P5280">
        <v>0</v>
      </c>
      <c r="Q5280">
        <v>13994.87</v>
      </c>
      <c r="R5280">
        <v>2239.1799999999998</v>
      </c>
      <c r="S5280">
        <v>559.79</v>
      </c>
      <c r="T5280">
        <v>15674.26</v>
      </c>
      <c r="U5280" t="s">
        <v>2580</v>
      </c>
      <c r="V5280" t="s">
        <v>9408</v>
      </c>
      <c r="W5280" t="s">
        <v>423</v>
      </c>
    </row>
    <row r="5281" spans="1:23" hidden="1" x14ac:dyDescent="0.2">
      <c r="A5281">
        <v>2012</v>
      </c>
      <c r="B5281" t="s">
        <v>303</v>
      </c>
      <c r="C5281" s="733">
        <v>40939.58252314815</v>
      </c>
      <c r="D52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81" t="s">
        <v>478</v>
      </c>
      <c r="F5281" t="s">
        <v>2136</v>
      </c>
      <c r="G5281" t="s">
        <v>6350</v>
      </c>
      <c r="H5281">
        <v>35168</v>
      </c>
      <c r="I5281" t="s">
        <v>423</v>
      </c>
      <c r="J5281" t="s">
        <v>3480</v>
      </c>
      <c r="K5281" t="s">
        <v>3481</v>
      </c>
      <c r="L5281" t="s">
        <v>3482</v>
      </c>
      <c r="M5281">
        <v>75</v>
      </c>
      <c r="N5281">
        <v>27.41</v>
      </c>
      <c r="O5281">
        <v>3093.77</v>
      </c>
      <c r="P5281">
        <v>0</v>
      </c>
      <c r="Q5281">
        <v>3093.77</v>
      </c>
      <c r="R5281">
        <v>495</v>
      </c>
      <c r="S5281">
        <v>123.75</v>
      </c>
      <c r="T5281">
        <v>3465.02</v>
      </c>
      <c r="U5281" t="s">
        <v>3794</v>
      </c>
      <c r="V5281" t="s">
        <v>9408</v>
      </c>
      <c r="W5281" t="s">
        <v>423</v>
      </c>
    </row>
    <row r="5282" spans="1:23" hidden="1" x14ac:dyDescent="0.2">
      <c r="A5282">
        <v>2012</v>
      </c>
      <c r="B5282" t="s">
        <v>303</v>
      </c>
      <c r="C5282" s="733">
        <v>40938</v>
      </c>
      <c r="D52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82" t="s">
        <v>485</v>
      </c>
      <c r="F5282" t="s">
        <v>2099</v>
      </c>
      <c r="G5282" t="s">
        <v>2333</v>
      </c>
      <c r="H5282">
        <v>41127</v>
      </c>
      <c r="I5282" t="s">
        <v>423</v>
      </c>
      <c r="J5282" t="s">
        <v>2101</v>
      </c>
      <c r="K5282" t="s">
        <v>2102</v>
      </c>
      <c r="L5282" t="s">
        <v>2103</v>
      </c>
      <c r="M5282">
        <v>119</v>
      </c>
      <c r="N5282">
        <v>25.22</v>
      </c>
      <c r="O5282">
        <v>4230.1499999999996</v>
      </c>
      <c r="P5282">
        <v>0</v>
      </c>
      <c r="Q5282">
        <v>4230.1499999999996</v>
      </c>
      <c r="R5282">
        <v>676.82</v>
      </c>
      <c r="S5282">
        <v>169.21</v>
      </c>
      <c r="T5282">
        <v>4737.76</v>
      </c>
      <c r="U5282" t="s">
        <v>2110</v>
      </c>
      <c r="V5282" t="s">
        <v>9408</v>
      </c>
      <c r="W5282" t="s">
        <v>423</v>
      </c>
    </row>
    <row r="5283" spans="1:23" hidden="1" x14ac:dyDescent="0.2">
      <c r="A5283">
        <v>2012</v>
      </c>
      <c r="B5283" t="s">
        <v>303</v>
      </c>
      <c r="C5283" s="733">
        <v>40938</v>
      </c>
      <c r="D52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83" t="s">
        <v>485</v>
      </c>
      <c r="F5283" t="s">
        <v>2099</v>
      </c>
      <c r="G5283" t="s">
        <v>2334</v>
      </c>
      <c r="H5283">
        <v>41130</v>
      </c>
      <c r="I5283" t="s">
        <v>423</v>
      </c>
      <c r="J5283" t="s">
        <v>2101</v>
      </c>
      <c r="K5283" t="s">
        <v>2102</v>
      </c>
      <c r="L5283" t="s">
        <v>2103</v>
      </c>
      <c r="M5283">
        <v>119</v>
      </c>
      <c r="N5283">
        <v>24.08</v>
      </c>
      <c r="O5283">
        <v>4038.94</v>
      </c>
      <c r="P5283">
        <v>0</v>
      </c>
      <c r="Q5283">
        <v>4038.94</v>
      </c>
      <c r="R5283">
        <v>646.23</v>
      </c>
      <c r="S5283">
        <v>161.56</v>
      </c>
      <c r="T5283">
        <v>4523.6099999999997</v>
      </c>
      <c r="U5283" t="s">
        <v>2110</v>
      </c>
      <c r="V5283" t="s">
        <v>9408</v>
      </c>
      <c r="W5283" t="s">
        <v>423</v>
      </c>
    </row>
    <row r="5284" spans="1:23" hidden="1" x14ac:dyDescent="0.2">
      <c r="A5284">
        <v>2012</v>
      </c>
      <c r="B5284" t="s">
        <v>303</v>
      </c>
      <c r="C5284" s="733">
        <v>40927.553530092591</v>
      </c>
      <c r="D52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84" t="s">
        <v>485</v>
      </c>
      <c r="F5284" t="s">
        <v>2099</v>
      </c>
      <c r="G5284" t="s">
        <v>2477</v>
      </c>
      <c r="H5284">
        <v>40579</v>
      </c>
      <c r="I5284" t="s">
        <v>423</v>
      </c>
      <c r="J5284" t="s">
        <v>2101</v>
      </c>
      <c r="K5284" t="s">
        <v>2102</v>
      </c>
      <c r="L5284" t="s">
        <v>2103</v>
      </c>
      <c r="M5284">
        <v>119</v>
      </c>
      <c r="N5284">
        <v>24.22</v>
      </c>
      <c r="O5284">
        <v>4062.42</v>
      </c>
      <c r="P5284">
        <v>0</v>
      </c>
      <c r="Q5284">
        <v>4062.42</v>
      </c>
      <c r="R5284">
        <v>649.99</v>
      </c>
      <c r="S5284">
        <v>162.5</v>
      </c>
      <c r="T5284">
        <v>4549.91</v>
      </c>
      <c r="U5284" t="s">
        <v>2108</v>
      </c>
      <c r="V5284" t="s">
        <v>9408</v>
      </c>
      <c r="W5284" t="s">
        <v>423</v>
      </c>
    </row>
    <row r="5285" spans="1:23" hidden="1" x14ac:dyDescent="0.2">
      <c r="A5285">
        <v>2012</v>
      </c>
      <c r="B5285" t="s">
        <v>303</v>
      </c>
      <c r="C5285" s="733">
        <v>40925</v>
      </c>
      <c r="D52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85" t="s">
        <v>485</v>
      </c>
      <c r="F5285" t="s">
        <v>2099</v>
      </c>
      <c r="G5285" t="s">
        <v>2478</v>
      </c>
      <c r="H5285">
        <v>40456</v>
      </c>
      <c r="I5285" t="s">
        <v>423</v>
      </c>
      <c r="J5285" t="s">
        <v>2101</v>
      </c>
      <c r="K5285" t="s">
        <v>2102</v>
      </c>
      <c r="L5285" t="s">
        <v>2103</v>
      </c>
      <c r="M5285">
        <v>119</v>
      </c>
      <c r="N5285">
        <v>26.04</v>
      </c>
      <c r="O5285">
        <v>4367.6899999999996</v>
      </c>
      <c r="P5285">
        <v>0</v>
      </c>
      <c r="Q5285">
        <v>4367.6899999999996</v>
      </c>
      <c r="R5285">
        <v>698.83</v>
      </c>
      <c r="S5285">
        <v>174.71</v>
      </c>
      <c r="T5285">
        <v>4891.8100000000004</v>
      </c>
      <c r="U5285" t="s">
        <v>2106</v>
      </c>
      <c r="V5285" t="s">
        <v>9409</v>
      </c>
      <c r="W5285" t="s">
        <v>423</v>
      </c>
    </row>
    <row r="5286" spans="1:23" hidden="1" x14ac:dyDescent="0.2">
      <c r="A5286">
        <v>2012</v>
      </c>
      <c r="B5286" t="s">
        <v>304</v>
      </c>
      <c r="C5286" s="733">
        <v>40963</v>
      </c>
      <c r="D52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86" t="s">
        <v>485</v>
      </c>
      <c r="F5286" t="s">
        <v>2099</v>
      </c>
      <c r="G5286" t="s">
        <v>8766</v>
      </c>
      <c r="H5286">
        <v>42584</v>
      </c>
      <c r="I5286" t="s">
        <v>423</v>
      </c>
      <c r="J5286" t="s">
        <v>2101</v>
      </c>
      <c r="K5286" t="s">
        <v>2102</v>
      </c>
      <c r="L5286" t="s">
        <v>2103</v>
      </c>
      <c r="M5286">
        <v>119</v>
      </c>
      <c r="N5286">
        <v>50.39</v>
      </c>
      <c r="O5286">
        <v>8451.91</v>
      </c>
      <c r="P5286">
        <v>0</v>
      </c>
      <c r="Q5286">
        <v>8451.91</v>
      </c>
      <c r="R5286">
        <v>1352.31</v>
      </c>
      <c r="S5286">
        <v>338.08</v>
      </c>
      <c r="T5286">
        <v>9466.14</v>
      </c>
      <c r="U5286" t="s">
        <v>8883</v>
      </c>
      <c r="V5286" t="s">
        <v>9409</v>
      </c>
      <c r="W5286" t="s">
        <v>423</v>
      </c>
    </row>
    <row r="5287" spans="1:23" hidden="1" x14ac:dyDescent="0.2">
      <c r="A5287">
        <v>2012</v>
      </c>
      <c r="B5287" t="s">
        <v>303</v>
      </c>
      <c r="C5287" s="733">
        <v>40926</v>
      </c>
      <c r="D52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87" t="s">
        <v>505</v>
      </c>
      <c r="F5287" t="s">
        <v>1915</v>
      </c>
      <c r="G5287" t="s">
        <v>7160</v>
      </c>
      <c r="H5287">
        <v>21961</v>
      </c>
      <c r="I5287" t="s">
        <v>423</v>
      </c>
      <c r="J5287" t="s">
        <v>4163</v>
      </c>
      <c r="K5287" t="s">
        <v>1918</v>
      </c>
      <c r="L5287" t="s">
        <v>1919</v>
      </c>
      <c r="M5287">
        <v>250</v>
      </c>
      <c r="N5287">
        <v>26.77</v>
      </c>
      <c r="O5287">
        <v>6018.97</v>
      </c>
      <c r="P5287">
        <v>0</v>
      </c>
      <c r="Q5287">
        <v>6018.97</v>
      </c>
      <c r="R5287">
        <v>963.03</v>
      </c>
      <c r="S5287">
        <v>240.76</v>
      </c>
      <c r="T5287">
        <v>6741.24</v>
      </c>
      <c r="U5287" t="s">
        <v>1936</v>
      </c>
      <c r="V5287" t="s">
        <v>9408</v>
      </c>
      <c r="W5287" t="s">
        <v>423</v>
      </c>
    </row>
    <row r="5288" spans="1:23" hidden="1" x14ac:dyDescent="0.2">
      <c r="A5288">
        <v>2012</v>
      </c>
      <c r="B5288" t="s">
        <v>303</v>
      </c>
      <c r="C5288" s="733">
        <v>40926</v>
      </c>
      <c r="D52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88" t="s">
        <v>505</v>
      </c>
      <c r="F5288" t="s">
        <v>1915</v>
      </c>
      <c r="G5288" t="s">
        <v>7158</v>
      </c>
      <c r="H5288">
        <v>22017</v>
      </c>
      <c r="I5288" t="s">
        <v>423</v>
      </c>
      <c r="J5288" t="s">
        <v>1947</v>
      </c>
      <c r="K5288" t="s">
        <v>1918</v>
      </c>
      <c r="L5288" t="s">
        <v>1919</v>
      </c>
      <c r="M5288">
        <v>973</v>
      </c>
      <c r="N5288">
        <v>49.95</v>
      </c>
      <c r="O5288">
        <v>29168.799999999999</v>
      </c>
      <c r="P5288">
        <v>0</v>
      </c>
      <c r="Q5288">
        <v>29168.799999999999</v>
      </c>
      <c r="R5288">
        <v>4667.01</v>
      </c>
      <c r="S5288">
        <v>1166.75</v>
      </c>
      <c r="T5288">
        <v>32669.06</v>
      </c>
      <c r="U5288" t="s">
        <v>1936</v>
      </c>
      <c r="V5288" t="s">
        <v>9409</v>
      </c>
      <c r="W5288" t="s">
        <v>423</v>
      </c>
    </row>
    <row r="5289" spans="1:23" hidden="1" x14ac:dyDescent="0.2">
      <c r="A5289">
        <v>2012</v>
      </c>
      <c r="B5289" t="s">
        <v>303</v>
      </c>
      <c r="C5289" s="733">
        <v>40919</v>
      </c>
      <c r="D52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89" t="s">
        <v>505</v>
      </c>
      <c r="F5289" t="s">
        <v>1915</v>
      </c>
      <c r="G5289" t="s">
        <v>7159</v>
      </c>
      <c r="H5289">
        <v>21410</v>
      </c>
      <c r="I5289" t="s">
        <v>423</v>
      </c>
      <c r="J5289" t="s">
        <v>1947</v>
      </c>
      <c r="K5289" t="s">
        <v>1918</v>
      </c>
      <c r="L5289" t="s">
        <v>1919</v>
      </c>
      <c r="M5289">
        <v>973</v>
      </c>
      <c r="N5289">
        <v>49.83</v>
      </c>
      <c r="O5289">
        <v>29098.73</v>
      </c>
      <c r="P5289">
        <v>0</v>
      </c>
      <c r="Q5289">
        <v>29098.73</v>
      </c>
      <c r="R5289">
        <v>4655.8</v>
      </c>
      <c r="S5289">
        <v>1163.95</v>
      </c>
      <c r="T5289">
        <v>32590.58</v>
      </c>
      <c r="U5289" t="s">
        <v>1984</v>
      </c>
      <c r="V5289" t="s">
        <v>9409</v>
      </c>
      <c r="W5289" t="s">
        <v>423</v>
      </c>
    </row>
    <row r="5290" spans="1:23" hidden="1" x14ac:dyDescent="0.2">
      <c r="A5290">
        <v>2012</v>
      </c>
      <c r="B5290" t="s">
        <v>304</v>
      </c>
      <c r="C5290" s="733">
        <v>40952</v>
      </c>
      <c r="D52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90" t="s">
        <v>485</v>
      </c>
      <c r="F5290" t="s">
        <v>2065</v>
      </c>
      <c r="G5290" t="s">
        <v>6495</v>
      </c>
      <c r="H5290">
        <v>41772</v>
      </c>
      <c r="I5290" t="s">
        <v>423</v>
      </c>
      <c r="J5290" t="s">
        <v>3965</v>
      </c>
      <c r="K5290" t="s">
        <v>2183</v>
      </c>
      <c r="L5290" t="s">
        <v>2184</v>
      </c>
      <c r="M5290">
        <v>696</v>
      </c>
      <c r="N5290">
        <v>27.23</v>
      </c>
      <c r="O5290">
        <v>11036.05</v>
      </c>
      <c r="P5290">
        <v>0</v>
      </c>
      <c r="Q5290">
        <v>11036.05</v>
      </c>
      <c r="R5290">
        <v>1765.77</v>
      </c>
      <c r="S5290">
        <v>441.44</v>
      </c>
      <c r="T5290">
        <v>12360.38</v>
      </c>
      <c r="U5290" t="s">
        <v>8048</v>
      </c>
      <c r="V5290" t="s">
        <v>9408</v>
      </c>
      <c r="W5290" t="s">
        <v>423</v>
      </c>
    </row>
    <row r="5291" spans="1:23" hidden="1" x14ac:dyDescent="0.2">
      <c r="A5291">
        <v>2012</v>
      </c>
      <c r="B5291" t="s">
        <v>304</v>
      </c>
      <c r="C5291" s="733">
        <v>40947</v>
      </c>
      <c r="D52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91" t="s">
        <v>505</v>
      </c>
      <c r="F5291" t="s">
        <v>1915</v>
      </c>
      <c r="G5291" t="s">
        <v>1981</v>
      </c>
      <c r="H5291">
        <v>22492</v>
      </c>
      <c r="I5291" t="s">
        <v>423</v>
      </c>
      <c r="J5291" t="s">
        <v>1947</v>
      </c>
      <c r="K5291" t="s">
        <v>1918</v>
      </c>
      <c r="L5291" t="s">
        <v>1919</v>
      </c>
      <c r="M5291">
        <v>973</v>
      </c>
      <c r="N5291">
        <v>25.06</v>
      </c>
      <c r="O5291">
        <v>14634.04</v>
      </c>
      <c r="P5291">
        <v>0</v>
      </c>
      <c r="Q5291">
        <v>14634.04</v>
      </c>
      <c r="R5291">
        <v>2341.4499999999998</v>
      </c>
      <c r="S5291">
        <v>585.36</v>
      </c>
      <c r="T5291">
        <v>16390.13</v>
      </c>
      <c r="U5291" t="s">
        <v>1924</v>
      </c>
      <c r="V5291" t="s">
        <v>9408</v>
      </c>
      <c r="W5291" t="s">
        <v>423</v>
      </c>
    </row>
    <row r="5292" spans="1:23" hidden="1" x14ac:dyDescent="0.2">
      <c r="A5292">
        <v>2012</v>
      </c>
      <c r="B5292" t="s">
        <v>303</v>
      </c>
      <c r="C5292" s="733">
        <v>40921</v>
      </c>
      <c r="D52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92" t="s">
        <v>505</v>
      </c>
      <c r="F5292" t="s">
        <v>1915</v>
      </c>
      <c r="G5292" t="s">
        <v>1982</v>
      </c>
      <c r="H5292">
        <v>21894</v>
      </c>
      <c r="I5292" t="s">
        <v>423</v>
      </c>
      <c r="J5292" t="s">
        <v>1947</v>
      </c>
      <c r="K5292" t="s">
        <v>1918</v>
      </c>
      <c r="L5292" t="s">
        <v>1919</v>
      </c>
      <c r="M5292">
        <v>973</v>
      </c>
      <c r="N5292">
        <v>50.1</v>
      </c>
      <c r="O5292">
        <v>29256.400000000001</v>
      </c>
      <c r="P5292">
        <v>0</v>
      </c>
      <c r="Q5292">
        <v>29256.400000000001</v>
      </c>
      <c r="R5292">
        <v>4681.0200000000004</v>
      </c>
      <c r="S5292">
        <v>1170.26</v>
      </c>
      <c r="T5292">
        <v>32767.16</v>
      </c>
      <c r="U5292" t="s">
        <v>1931</v>
      </c>
      <c r="V5292" t="s">
        <v>9409</v>
      </c>
      <c r="W5292" t="s">
        <v>423</v>
      </c>
    </row>
    <row r="5293" spans="1:23" hidden="1" x14ac:dyDescent="0.2">
      <c r="A5293">
        <v>2012</v>
      </c>
      <c r="B5293" t="s">
        <v>304</v>
      </c>
      <c r="C5293" s="733">
        <v>40957</v>
      </c>
      <c r="D52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93" t="s">
        <v>505</v>
      </c>
      <c r="F5293" t="s">
        <v>1915</v>
      </c>
      <c r="G5293" t="s">
        <v>7881</v>
      </c>
      <c r="H5293">
        <v>22833</v>
      </c>
      <c r="I5293" t="s">
        <v>423</v>
      </c>
      <c r="J5293" t="s">
        <v>4163</v>
      </c>
      <c r="K5293" t="s">
        <v>1918</v>
      </c>
      <c r="L5293" t="s">
        <v>1919</v>
      </c>
      <c r="M5293">
        <v>250</v>
      </c>
      <c r="N5293">
        <v>21.36</v>
      </c>
      <c r="O5293">
        <v>4802.58</v>
      </c>
      <c r="P5293">
        <v>0</v>
      </c>
      <c r="Q5293">
        <v>4802.58</v>
      </c>
      <c r="R5293">
        <v>768.41</v>
      </c>
      <c r="S5293">
        <v>192.1</v>
      </c>
      <c r="T5293">
        <v>5378.89</v>
      </c>
      <c r="U5293" t="s">
        <v>8491</v>
      </c>
      <c r="V5293" t="s">
        <v>9408</v>
      </c>
      <c r="W5293" t="s">
        <v>423</v>
      </c>
    </row>
    <row r="5294" spans="1:23" hidden="1" x14ac:dyDescent="0.2">
      <c r="A5294">
        <v>2012</v>
      </c>
      <c r="B5294" t="s">
        <v>303</v>
      </c>
      <c r="C5294" s="733">
        <v>40919</v>
      </c>
      <c r="D52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94" t="s">
        <v>505</v>
      </c>
      <c r="F5294" t="s">
        <v>1915</v>
      </c>
      <c r="G5294" t="s">
        <v>1983</v>
      </c>
      <c r="H5294">
        <v>21352</v>
      </c>
      <c r="I5294" t="s">
        <v>423</v>
      </c>
      <c r="J5294" t="s">
        <v>1947</v>
      </c>
      <c r="K5294" t="s">
        <v>1918</v>
      </c>
      <c r="L5294" t="s">
        <v>1919</v>
      </c>
      <c r="M5294">
        <v>973</v>
      </c>
      <c r="N5294">
        <v>49.63</v>
      </c>
      <c r="O5294">
        <v>28981.93</v>
      </c>
      <c r="P5294">
        <v>0</v>
      </c>
      <c r="Q5294">
        <v>28981.93</v>
      </c>
      <c r="R5294">
        <v>4637.1099999999997</v>
      </c>
      <c r="S5294">
        <v>1159.28</v>
      </c>
      <c r="T5294">
        <v>32459.759999999998</v>
      </c>
      <c r="U5294" t="s">
        <v>1984</v>
      </c>
      <c r="V5294" t="s">
        <v>9409</v>
      </c>
      <c r="W5294" t="s">
        <v>423</v>
      </c>
    </row>
    <row r="5295" spans="1:23" hidden="1" x14ac:dyDescent="0.2">
      <c r="A5295">
        <v>2012</v>
      </c>
      <c r="B5295" t="s">
        <v>304</v>
      </c>
      <c r="C5295" s="733">
        <v>40954</v>
      </c>
      <c r="D52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95" t="s">
        <v>505</v>
      </c>
      <c r="F5295" t="s">
        <v>1915</v>
      </c>
      <c r="G5295" t="s">
        <v>7737</v>
      </c>
      <c r="H5295">
        <v>22610</v>
      </c>
      <c r="I5295" t="s">
        <v>423</v>
      </c>
      <c r="J5295" t="s">
        <v>1947</v>
      </c>
      <c r="K5295" t="s">
        <v>1918</v>
      </c>
      <c r="L5295" t="s">
        <v>1919</v>
      </c>
      <c r="M5295">
        <v>973</v>
      </c>
      <c r="N5295">
        <v>49.49</v>
      </c>
      <c r="O5295">
        <v>28900.18</v>
      </c>
      <c r="P5295">
        <v>0</v>
      </c>
      <c r="Q5295">
        <v>28900.18</v>
      </c>
      <c r="R5295">
        <v>4624.03</v>
      </c>
      <c r="S5295">
        <v>1156.01</v>
      </c>
      <c r="T5295">
        <v>32368.2</v>
      </c>
      <c r="U5295" t="s">
        <v>7529</v>
      </c>
      <c r="V5295" t="s">
        <v>9409</v>
      </c>
      <c r="W5295" t="s">
        <v>423</v>
      </c>
    </row>
    <row r="5296" spans="1:23" hidden="1" x14ac:dyDescent="0.2">
      <c r="A5296">
        <v>2012</v>
      </c>
      <c r="B5296" t="s">
        <v>303</v>
      </c>
      <c r="C5296" s="733">
        <v>40917</v>
      </c>
      <c r="D52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296" t="s">
        <v>478</v>
      </c>
      <c r="F5296" t="s">
        <v>2136</v>
      </c>
      <c r="G5296" t="s">
        <v>6787</v>
      </c>
      <c r="H5296">
        <v>34313</v>
      </c>
      <c r="I5296" t="s">
        <v>423</v>
      </c>
      <c r="J5296" t="s">
        <v>4276</v>
      </c>
      <c r="K5296" t="s">
        <v>425</v>
      </c>
      <c r="L5296" t="s">
        <v>2145</v>
      </c>
      <c r="M5296">
        <v>60</v>
      </c>
      <c r="N5296">
        <v>50.67</v>
      </c>
      <c r="O5296">
        <v>6802.45</v>
      </c>
      <c r="P5296">
        <v>0</v>
      </c>
      <c r="Q5296">
        <v>6802.45</v>
      </c>
      <c r="R5296">
        <v>1088.3900000000001</v>
      </c>
      <c r="S5296">
        <v>272.10000000000002</v>
      </c>
      <c r="T5296">
        <v>7618.74</v>
      </c>
      <c r="U5296" t="s">
        <v>2350</v>
      </c>
      <c r="V5296" t="s">
        <v>9409</v>
      </c>
      <c r="W5296" t="s">
        <v>423</v>
      </c>
    </row>
    <row r="5297" spans="1:23" hidden="1" x14ac:dyDescent="0.2">
      <c r="A5297">
        <v>2012</v>
      </c>
      <c r="B5297" t="s">
        <v>305</v>
      </c>
      <c r="C5297" s="733">
        <v>40970</v>
      </c>
      <c r="D529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297" t="s">
        <v>505</v>
      </c>
      <c r="F5297" t="s">
        <v>1915</v>
      </c>
      <c r="G5297" t="s">
        <v>9744</v>
      </c>
      <c r="H5297">
        <v>23071</v>
      </c>
      <c r="I5297" t="s">
        <v>423</v>
      </c>
      <c r="J5297" t="s">
        <v>1947</v>
      </c>
      <c r="K5297" t="s">
        <v>1918</v>
      </c>
      <c r="L5297" t="s">
        <v>1919</v>
      </c>
      <c r="M5297">
        <v>973</v>
      </c>
      <c r="N5297">
        <v>49.86</v>
      </c>
      <c r="O5297">
        <v>29116.25</v>
      </c>
      <c r="P5297">
        <v>0</v>
      </c>
      <c r="Q5297">
        <v>29116.25</v>
      </c>
      <c r="R5297">
        <v>4658.6000000000004</v>
      </c>
      <c r="S5297">
        <v>1164.6500000000001</v>
      </c>
      <c r="T5297">
        <v>32610.2</v>
      </c>
      <c r="V5297" t="s">
        <v>9409</v>
      </c>
      <c r="W5297" t="s">
        <v>423</v>
      </c>
    </row>
    <row r="5298" spans="1:23" hidden="1" x14ac:dyDescent="0.2">
      <c r="A5298">
        <v>2012</v>
      </c>
      <c r="B5298" t="s">
        <v>304</v>
      </c>
      <c r="C5298" s="733">
        <v>40940</v>
      </c>
      <c r="D52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98" t="s">
        <v>505</v>
      </c>
      <c r="F5298" t="s">
        <v>1915</v>
      </c>
      <c r="G5298" t="s">
        <v>7155</v>
      </c>
      <c r="H5298">
        <v>22371</v>
      </c>
      <c r="I5298" t="s">
        <v>423</v>
      </c>
      <c r="J5298" t="s">
        <v>4158</v>
      </c>
      <c r="K5298" t="s">
        <v>1918</v>
      </c>
      <c r="L5298" t="s">
        <v>1919</v>
      </c>
      <c r="M5298">
        <v>274</v>
      </c>
      <c r="N5298">
        <v>27.19</v>
      </c>
      <c r="O5298">
        <v>7507.16</v>
      </c>
      <c r="P5298">
        <v>0</v>
      </c>
      <c r="Q5298">
        <v>7507.16</v>
      </c>
      <c r="R5298">
        <v>1201.1500000000001</v>
      </c>
      <c r="S5298">
        <v>300.29000000000002</v>
      </c>
      <c r="T5298">
        <v>8408.02</v>
      </c>
      <c r="U5298" t="s">
        <v>1926</v>
      </c>
      <c r="V5298" t="s">
        <v>9408</v>
      </c>
      <c r="W5298" t="s">
        <v>423</v>
      </c>
    </row>
    <row r="5299" spans="1:23" hidden="1" x14ac:dyDescent="0.2">
      <c r="A5299">
        <v>2012</v>
      </c>
      <c r="B5299" t="s">
        <v>304</v>
      </c>
      <c r="C5299" s="733">
        <v>40955</v>
      </c>
      <c r="D52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299" t="s">
        <v>505</v>
      </c>
      <c r="F5299" t="s">
        <v>1915</v>
      </c>
      <c r="G5299" t="s">
        <v>7709</v>
      </c>
      <c r="H5299">
        <v>22775</v>
      </c>
      <c r="I5299" t="s">
        <v>423</v>
      </c>
      <c r="J5299" t="s">
        <v>4158</v>
      </c>
      <c r="K5299" t="s">
        <v>1918</v>
      </c>
      <c r="L5299" t="s">
        <v>1919</v>
      </c>
      <c r="M5299">
        <v>274</v>
      </c>
      <c r="N5299">
        <v>26.97</v>
      </c>
      <c r="O5299">
        <v>7446.42</v>
      </c>
      <c r="P5299">
        <v>0</v>
      </c>
      <c r="Q5299">
        <v>7446.42</v>
      </c>
      <c r="R5299">
        <v>1191.43</v>
      </c>
      <c r="S5299">
        <v>297.86</v>
      </c>
      <c r="T5299">
        <v>8339.99</v>
      </c>
      <c r="U5299" t="s">
        <v>7529</v>
      </c>
      <c r="V5299" t="s">
        <v>9408</v>
      </c>
      <c r="W5299" t="s">
        <v>423</v>
      </c>
    </row>
    <row r="5300" spans="1:23" hidden="1" x14ac:dyDescent="0.2">
      <c r="A5300">
        <v>2012</v>
      </c>
      <c r="B5300" t="s">
        <v>304</v>
      </c>
      <c r="C5300" s="733">
        <v>40962</v>
      </c>
      <c r="D53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00" t="s">
        <v>505</v>
      </c>
      <c r="F5300" t="s">
        <v>1915</v>
      </c>
      <c r="G5300" t="s">
        <v>8658</v>
      </c>
      <c r="H5300">
        <v>22960</v>
      </c>
      <c r="I5300" t="s">
        <v>423</v>
      </c>
      <c r="J5300" t="s">
        <v>4158</v>
      </c>
      <c r="K5300" t="s">
        <v>1918</v>
      </c>
      <c r="L5300" t="s">
        <v>1919</v>
      </c>
      <c r="M5300">
        <v>274</v>
      </c>
      <c r="N5300">
        <v>27.15</v>
      </c>
      <c r="O5300">
        <v>7496.12</v>
      </c>
      <c r="P5300">
        <v>0</v>
      </c>
      <c r="Q5300">
        <v>7496.12</v>
      </c>
      <c r="R5300">
        <v>1199.3800000000001</v>
      </c>
      <c r="S5300">
        <v>299.83999999999997</v>
      </c>
      <c r="T5300">
        <v>8395.66</v>
      </c>
      <c r="U5300" t="s">
        <v>8778</v>
      </c>
      <c r="V5300" t="s">
        <v>9408</v>
      </c>
      <c r="W5300" t="s">
        <v>423</v>
      </c>
    </row>
    <row r="5301" spans="1:23" hidden="1" x14ac:dyDescent="0.2">
      <c r="A5301">
        <v>2012</v>
      </c>
      <c r="B5301" t="s">
        <v>303</v>
      </c>
      <c r="C5301" s="733">
        <v>40938.529687499999</v>
      </c>
      <c r="D53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01" t="s">
        <v>485</v>
      </c>
      <c r="F5301" t="s">
        <v>2048</v>
      </c>
      <c r="G5301" t="s">
        <v>2737</v>
      </c>
      <c r="H5301">
        <v>41118</v>
      </c>
      <c r="I5301" t="s">
        <v>423</v>
      </c>
      <c r="J5301" t="s">
        <v>2050</v>
      </c>
      <c r="K5301" t="s">
        <v>2051</v>
      </c>
      <c r="L5301" t="s">
        <v>2052</v>
      </c>
      <c r="M5301">
        <v>90</v>
      </c>
      <c r="N5301">
        <v>50.15</v>
      </c>
      <c r="O5301">
        <v>7036.55</v>
      </c>
      <c r="P5301">
        <v>0</v>
      </c>
      <c r="Q5301">
        <v>7036.55</v>
      </c>
      <c r="R5301">
        <v>1125.8499999999999</v>
      </c>
      <c r="S5301">
        <v>281.45999999999998</v>
      </c>
      <c r="T5301">
        <v>7880.94</v>
      </c>
      <c r="U5301" t="s">
        <v>2064</v>
      </c>
      <c r="V5301" t="s">
        <v>9409</v>
      </c>
      <c r="W5301" t="s">
        <v>423</v>
      </c>
    </row>
    <row r="5302" spans="1:23" hidden="1" x14ac:dyDescent="0.2">
      <c r="A5302">
        <v>2012</v>
      </c>
      <c r="B5302" t="s">
        <v>303</v>
      </c>
      <c r="C5302" s="733">
        <v>40935</v>
      </c>
      <c r="D53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02" t="s">
        <v>485</v>
      </c>
      <c r="F5302" t="s">
        <v>2048</v>
      </c>
      <c r="G5302" t="s">
        <v>2738</v>
      </c>
      <c r="H5302">
        <v>40991</v>
      </c>
      <c r="I5302" t="s">
        <v>423</v>
      </c>
      <c r="J5302" t="s">
        <v>2050</v>
      </c>
      <c r="K5302" t="s">
        <v>2051</v>
      </c>
      <c r="L5302" t="s">
        <v>2052</v>
      </c>
      <c r="M5302">
        <v>90</v>
      </c>
      <c r="N5302">
        <v>25.05</v>
      </c>
      <c r="O5302">
        <v>3514.77</v>
      </c>
      <c r="P5302">
        <v>0</v>
      </c>
      <c r="Q5302">
        <v>3514.77</v>
      </c>
      <c r="R5302">
        <v>562.36</v>
      </c>
      <c r="S5302">
        <v>140.59</v>
      </c>
      <c r="T5302">
        <v>3936.54</v>
      </c>
      <c r="U5302" t="s">
        <v>2053</v>
      </c>
      <c r="V5302" t="s">
        <v>9408</v>
      </c>
      <c r="W5302" t="s">
        <v>423</v>
      </c>
    </row>
    <row r="5303" spans="1:23" hidden="1" x14ac:dyDescent="0.2">
      <c r="A5303">
        <v>2012</v>
      </c>
      <c r="B5303" t="s">
        <v>304</v>
      </c>
      <c r="C5303" s="733">
        <v>40953.547650462962</v>
      </c>
      <c r="D53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03" t="s">
        <v>485</v>
      </c>
      <c r="F5303" t="s">
        <v>2054</v>
      </c>
      <c r="G5303" t="s">
        <v>6514</v>
      </c>
      <c r="H5303">
        <v>10423</v>
      </c>
      <c r="I5303" t="s">
        <v>423</v>
      </c>
      <c r="J5303" t="s">
        <v>2056</v>
      </c>
      <c r="K5303" t="s">
        <v>2057</v>
      </c>
      <c r="L5303" t="s">
        <v>2058</v>
      </c>
      <c r="M5303">
        <v>19</v>
      </c>
      <c r="N5303">
        <v>23.93</v>
      </c>
      <c r="O5303">
        <v>2700.98</v>
      </c>
      <c r="P5303">
        <v>0</v>
      </c>
      <c r="Q5303">
        <v>2700.98</v>
      </c>
      <c r="R5303">
        <v>297.11</v>
      </c>
      <c r="S5303">
        <v>108.04</v>
      </c>
      <c r="T5303">
        <v>2890.05</v>
      </c>
      <c r="U5303" t="s">
        <v>8047</v>
      </c>
      <c r="V5303" t="s">
        <v>9408</v>
      </c>
      <c r="W5303" t="s">
        <v>423</v>
      </c>
    </row>
    <row r="5304" spans="1:23" hidden="1" x14ac:dyDescent="0.2">
      <c r="A5304">
        <v>2012</v>
      </c>
      <c r="B5304" t="s">
        <v>303</v>
      </c>
      <c r="C5304" s="733">
        <v>40939</v>
      </c>
      <c r="D53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04" t="s">
        <v>505</v>
      </c>
      <c r="F5304" t="s">
        <v>1915</v>
      </c>
      <c r="G5304" t="s">
        <v>7157</v>
      </c>
      <c r="H5304">
        <v>21656</v>
      </c>
      <c r="I5304" t="s">
        <v>423</v>
      </c>
      <c r="J5304" t="s">
        <v>5504</v>
      </c>
      <c r="K5304" t="s">
        <v>1918</v>
      </c>
      <c r="L5304" t="s">
        <v>1919</v>
      </c>
      <c r="M5304">
        <v>1115</v>
      </c>
      <c r="N5304">
        <v>26.44</v>
      </c>
      <c r="O5304">
        <v>19509.28</v>
      </c>
      <c r="P5304">
        <v>0</v>
      </c>
      <c r="Q5304">
        <v>19509.28</v>
      </c>
      <c r="R5304">
        <v>3121.49</v>
      </c>
      <c r="S5304">
        <v>780.37</v>
      </c>
      <c r="T5304">
        <v>21850.400000000001</v>
      </c>
      <c r="U5304" t="s">
        <v>1936</v>
      </c>
      <c r="V5304" t="s">
        <v>9408</v>
      </c>
      <c r="W5304" t="s">
        <v>423</v>
      </c>
    </row>
    <row r="5305" spans="1:23" hidden="1" x14ac:dyDescent="0.2">
      <c r="A5305">
        <v>2012</v>
      </c>
      <c r="B5305" t="s">
        <v>304</v>
      </c>
      <c r="C5305" s="733">
        <v>40967.41134259259</v>
      </c>
      <c r="D53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05" t="s">
        <v>478</v>
      </c>
      <c r="F5305" t="s">
        <v>2136</v>
      </c>
      <c r="G5305" t="s">
        <v>9095</v>
      </c>
      <c r="H5305">
        <v>36132</v>
      </c>
      <c r="I5305" t="s">
        <v>423</v>
      </c>
      <c r="J5305" t="s">
        <v>2662</v>
      </c>
      <c r="K5305" t="s">
        <v>2625</v>
      </c>
      <c r="L5305" t="s">
        <v>2626</v>
      </c>
      <c r="M5305">
        <v>66</v>
      </c>
      <c r="N5305">
        <v>26.3</v>
      </c>
      <c r="O5305">
        <v>3096.3</v>
      </c>
      <c r="P5305">
        <v>0</v>
      </c>
      <c r="Q5305">
        <v>3096.3</v>
      </c>
      <c r="R5305">
        <v>495.41</v>
      </c>
      <c r="S5305">
        <v>123.85</v>
      </c>
      <c r="T5305">
        <v>3467.86</v>
      </c>
      <c r="U5305" t="s">
        <v>9428</v>
      </c>
      <c r="V5305" t="s">
        <v>9408</v>
      </c>
      <c r="W5305" t="s">
        <v>423</v>
      </c>
    </row>
    <row r="5306" spans="1:23" hidden="1" x14ac:dyDescent="0.2">
      <c r="A5306">
        <v>2012</v>
      </c>
      <c r="B5306" t="s">
        <v>303</v>
      </c>
      <c r="C5306" s="733">
        <v>40919</v>
      </c>
      <c r="D53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06" t="s">
        <v>485</v>
      </c>
      <c r="F5306" t="s">
        <v>2054</v>
      </c>
      <c r="G5306" t="s">
        <v>6515</v>
      </c>
      <c r="H5306">
        <v>10003</v>
      </c>
      <c r="I5306" t="s">
        <v>423</v>
      </c>
      <c r="J5306" t="s">
        <v>4078</v>
      </c>
      <c r="K5306" t="s">
        <v>2057</v>
      </c>
      <c r="L5306" t="s">
        <v>2058</v>
      </c>
      <c r="M5306">
        <v>154</v>
      </c>
      <c r="N5306">
        <v>22.17</v>
      </c>
      <c r="O5306">
        <v>3736.09</v>
      </c>
      <c r="P5306">
        <v>0</v>
      </c>
      <c r="Q5306">
        <v>3736.09</v>
      </c>
      <c r="R5306">
        <v>597.77</v>
      </c>
      <c r="S5306">
        <v>149.44</v>
      </c>
      <c r="T5306">
        <v>4184.42</v>
      </c>
      <c r="U5306" t="s">
        <v>2070</v>
      </c>
      <c r="V5306" t="s">
        <v>9409</v>
      </c>
      <c r="W5306" t="s">
        <v>423</v>
      </c>
    </row>
    <row r="5307" spans="1:23" hidden="1" x14ac:dyDescent="0.2">
      <c r="A5307">
        <v>2012</v>
      </c>
      <c r="B5307" t="s">
        <v>304</v>
      </c>
      <c r="C5307" s="733">
        <v>40963</v>
      </c>
      <c r="D53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07" t="s">
        <v>478</v>
      </c>
      <c r="F5307" t="s">
        <v>2622</v>
      </c>
      <c r="G5307" t="s">
        <v>9094</v>
      </c>
      <c r="H5307">
        <v>35899</v>
      </c>
      <c r="I5307" t="s">
        <v>423</v>
      </c>
      <c r="J5307" t="s">
        <v>2662</v>
      </c>
      <c r="K5307" t="s">
        <v>2625</v>
      </c>
      <c r="L5307" t="s">
        <v>2626</v>
      </c>
      <c r="M5307">
        <v>66</v>
      </c>
      <c r="N5307">
        <v>23.25</v>
      </c>
      <c r="O5307">
        <v>2737.22</v>
      </c>
      <c r="P5307">
        <v>0</v>
      </c>
      <c r="Q5307">
        <v>2737.22</v>
      </c>
      <c r="R5307">
        <v>437.96</v>
      </c>
      <c r="S5307">
        <v>109.49</v>
      </c>
      <c r="T5307">
        <v>3065.69</v>
      </c>
      <c r="U5307" t="s">
        <v>9428</v>
      </c>
      <c r="V5307" t="s">
        <v>9408</v>
      </c>
      <c r="W5307" t="s">
        <v>423</v>
      </c>
    </row>
    <row r="5308" spans="1:23" hidden="1" x14ac:dyDescent="0.2">
      <c r="A5308">
        <v>2012</v>
      </c>
      <c r="B5308" t="s">
        <v>304</v>
      </c>
      <c r="C5308" s="733">
        <v>40954</v>
      </c>
      <c r="D53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08" t="s">
        <v>478</v>
      </c>
      <c r="F5308" t="s">
        <v>2622</v>
      </c>
      <c r="G5308" t="s">
        <v>7738</v>
      </c>
      <c r="H5308">
        <v>35633</v>
      </c>
      <c r="I5308" t="s">
        <v>423</v>
      </c>
      <c r="J5308" t="s">
        <v>2662</v>
      </c>
      <c r="K5308" t="s">
        <v>2625</v>
      </c>
      <c r="L5308" t="s">
        <v>2626</v>
      </c>
      <c r="M5308">
        <v>66</v>
      </c>
      <c r="N5308">
        <v>25.09</v>
      </c>
      <c r="O5308">
        <v>2953.85</v>
      </c>
      <c r="P5308">
        <v>0</v>
      </c>
      <c r="Q5308">
        <v>2953.85</v>
      </c>
      <c r="R5308">
        <v>472.62</v>
      </c>
      <c r="S5308">
        <v>118.15</v>
      </c>
      <c r="T5308">
        <v>3308.32</v>
      </c>
      <c r="V5308" t="s">
        <v>9408</v>
      </c>
      <c r="W5308" t="s">
        <v>423</v>
      </c>
    </row>
    <row r="5309" spans="1:23" hidden="1" x14ac:dyDescent="0.2">
      <c r="A5309">
        <v>2012</v>
      </c>
      <c r="B5309" t="s">
        <v>304</v>
      </c>
      <c r="C5309" s="733">
        <v>40940</v>
      </c>
      <c r="D53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09" t="s">
        <v>478</v>
      </c>
      <c r="F5309" t="s">
        <v>2136</v>
      </c>
      <c r="G5309" t="s">
        <v>6779</v>
      </c>
      <c r="H5309">
        <v>35108</v>
      </c>
      <c r="I5309" t="s">
        <v>423</v>
      </c>
      <c r="J5309" t="s">
        <v>3636</v>
      </c>
      <c r="K5309" t="s">
        <v>425</v>
      </c>
      <c r="L5309" t="s">
        <v>2145</v>
      </c>
      <c r="M5309">
        <v>244</v>
      </c>
      <c r="N5309">
        <v>22.58</v>
      </c>
      <c r="O5309">
        <v>3771.31</v>
      </c>
      <c r="P5309">
        <v>0</v>
      </c>
      <c r="Q5309">
        <v>3771.31</v>
      </c>
      <c r="R5309">
        <v>603.41</v>
      </c>
      <c r="S5309">
        <v>150.85</v>
      </c>
      <c r="T5309">
        <v>4223.87</v>
      </c>
      <c r="U5309" t="s">
        <v>2914</v>
      </c>
      <c r="V5309" t="s">
        <v>9408</v>
      </c>
      <c r="W5309" t="s">
        <v>423</v>
      </c>
    </row>
    <row r="5310" spans="1:23" hidden="1" x14ac:dyDescent="0.2">
      <c r="A5310">
        <v>2012</v>
      </c>
      <c r="B5310" t="s">
        <v>304</v>
      </c>
      <c r="C5310" s="733">
        <v>40956.828321759262</v>
      </c>
      <c r="D53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10" t="s">
        <v>478</v>
      </c>
      <c r="F5310" t="s">
        <v>2622</v>
      </c>
      <c r="G5310" t="s">
        <v>7562</v>
      </c>
      <c r="H5310">
        <v>35757</v>
      </c>
      <c r="I5310" t="s">
        <v>423</v>
      </c>
      <c r="J5310" t="s">
        <v>3636</v>
      </c>
      <c r="K5310" t="s">
        <v>425</v>
      </c>
      <c r="L5310" t="s">
        <v>2145</v>
      </c>
      <c r="M5310">
        <v>244</v>
      </c>
      <c r="N5310">
        <v>42.26</v>
      </c>
      <c r="O5310">
        <v>7058.27</v>
      </c>
      <c r="P5310">
        <v>0</v>
      </c>
      <c r="Q5310">
        <v>7058.27</v>
      </c>
      <c r="R5310">
        <v>1129.32</v>
      </c>
      <c r="S5310">
        <v>282.33</v>
      </c>
      <c r="T5310">
        <v>7905.26</v>
      </c>
      <c r="U5310" t="s">
        <v>8252</v>
      </c>
      <c r="V5310" t="s">
        <v>9409</v>
      </c>
      <c r="W5310" t="s">
        <v>423</v>
      </c>
    </row>
    <row r="5311" spans="1:23" hidden="1" x14ac:dyDescent="0.2">
      <c r="A5311">
        <v>2012</v>
      </c>
      <c r="B5311" t="s">
        <v>303</v>
      </c>
      <c r="C5311" s="733">
        <v>40931</v>
      </c>
      <c r="D53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11" t="s">
        <v>478</v>
      </c>
      <c r="F5311" t="s">
        <v>2136</v>
      </c>
      <c r="G5311" t="s">
        <v>6781</v>
      </c>
      <c r="H5311">
        <v>34814</v>
      </c>
      <c r="I5311" t="s">
        <v>423</v>
      </c>
      <c r="J5311" t="s">
        <v>3636</v>
      </c>
      <c r="K5311" t="s">
        <v>425</v>
      </c>
      <c r="L5311" t="s">
        <v>2145</v>
      </c>
      <c r="M5311">
        <v>244</v>
      </c>
      <c r="N5311">
        <v>25.42</v>
      </c>
      <c r="O5311">
        <v>4245.6499999999996</v>
      </c>
      <c r="P5311">
        <v>0</v>
      </c>
      <c r="Q5311">
        <v>4245.6499999999996</v>
      </c>
      <c r="R5311">
        <v>679.3</v>
      </c>
      <c r="S5311">
        <v>169.83</v>
      </c>
      <c r="T5311">
        <v>4755.12</v>
      </c>
      <c r="U5311" t="s">
        <v>3234</v>
      </c>
      <c r="V5311" t="s">
        <v>9409</v>
      </c>
      <c r="W5311" t="s">
        <v>423</v>
      </c>
    </row>
    <row r="5312" spans="1:23" hidden="1" x14ac:dyDescent="0.2">
      <c r="A5312">
        <v>2012</v>
      </c>
      <c r="B5312" t="s">
        <v>304</v>
      </c>
      <c r="C5312" s="733">
        <v>40966</v>
      </c>
      <c r="D53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12" t="s">
        <v>478</v>
      </c>
      <c r="F5312" t="s">
        <v>2136</v>
      </c>
      <c r="G5312" t="s">
        <v>9096</v>
      </c>
      <c r="H5312">
        <v>36043</v>
      </c>
      <c r="I5312" t="s">
        <v>423</v>
      </c>
      <c r="J5312" t="s">
        <v>4778</v>
      </c>
      <c r="K5312" t="s">
        <v>425</v>
      </c>
      <c r="L5312" t="s">
        <v>2145</v>
      </c>
      <c r="M5312">
        <v>652</v>
      </c>
      <c r="N5312">
        <v>24.26</v>
      </c>
      <c r="O5312">
        <v>7595.56</v>
      </c>
      <c r="P5312">
        <v>0</v>
      </c>
      <c r="Q5312">
        <v>7595.56</v>
      </c>
      <c r="R5312">
        <v>1215.29</v>
      </c>
      <c r="S5312">
        <v>303.82</v>
      </c>
      <c r="T5312">
        <v>8507.0300000000007</v>
      </c>
      <c r="U5312" t="s">
        <v>9457</v>
      </c>
      <c r="V5312" t="s">
        <v>9408</v>
      </c>
      <c r="W5312" t="s">
        <v>423</v>
      </c>
    </row>
    <row r="5313" spans="1:23" hidden="1" x14ac:dyDescent="0.2">
      <c r="A5313">
        <v>2012</v>
      </c>
      <c r="B5313" t="s">
        <v>303</v>
      </c>
      <c r="C5313" s="733">
        <v>40918</v>
      </c>
      <c r="D53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13" t="s">
        <v>478</v>
      </c>
      <c r="F5313" t="s">
        <v>2622</v>
      </c>
      <c r="G5313" t="s">
        <v>6215</v>
      </c>
      <c r="H5313">
        <v>34356</v>
      </c>
      <c r="I5313" t="s">
        <v>423</v>
      </c>
      <c r="J5313" t="s">
        <v>2662</v>
      </c>
      <c r="K5313" t="s">
        <v>2625</v>
      </c>
      <c r="L5313" t="s">
        <v>2626</v>
      </c>
      <c r="M5313">
        <v>66</v>
      </c>
      <c r="N5313">
        <v>24.55</v>
      </c>
      <c r="O5313">
        <v>2890.27</v>
      </c>
      <c r="P5313">
        <v>0</v>
      </c>
      <c r="Q5313">
        <v>2890.27</v>
      </c>
      <c r="R5313">
        <v>462.44</v>
      </c>
      <c r="S5313">
        <v>115.61</v>
      </c>
      <c r="T5313">
        <v>3237.1</v>
      </c>
      <c r="U5313" t="s">
        <v>2630</v>
      </c>
      <c r="V5313" t="s">
        <v>9408</v>
      </c>
      <c r="W5313" t="s">
        <v>423</v>
      </c>
    </row>
    <row r="5314" spans="1:23" hidden="1" x14ac:dyDescent="0.2">
      <c r="A5314">
        <v>2012</v>
      </c>
      <c r="B5314" t="s">
        <v>303</v>
      </c>
      <c r="C5314" s="733">
        <v>40938</v>
      </c>
      <c r="D53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14" t="s">
        <v>505</v>
      </c>
      <c r="F5314" t="s">
        <v>1915</v>
      </c>
      <c r="G5314" t="s">
        <v>5288</v>
      </c>
      <c r="H5314">
        <v>22328</v>
      </c>
      <c r="I5314" t="s">
        <v>423</v>
      </c>
      <c r="J5314" t="s">
        <v>1945</v>
      </c>
      <c r="K5314" t="s">
        <v>1918</v>
      </c>
      <c r="L5314" t="s">
        <v>1919</v>
      </c>
      <c r="M5314">
        <v>949</v>
      </c>
      <c r="N5314">
        <v>24.86</v>
      </c>
      <c r="O5314">
        <v>18598.509999999998</v>
      </c>
      <c r="P5314">
        <v>0</v>
      </c>
      <c r="Q5314">
        <v>18598.509999999998</v>
      </c>
      <c r="R5314">
        <v>2975.76</v>
      </c>
      <c r="S5314">
        <v>743.94</v>
      </c>
      <c r="T5314">
        <v>20830.330000000002</v>
      </c>
      <c r="U5314" t="s">
        <v>1936</v>
      </c>
      <c r="V5314" t="s">
        <v>9408</v>
      </c>
      <c r="W5314" t="s">
        <v>423</v>
      </c>
    </row>
    <row r="5315" spans="1:23" hidden="1" x14ac:dyDescent="0.2">
      <c r="A5315">
        <v>2012</v>
      </c>
      <c r="B5315" t="s">
        <v>303</v>
      </c>
      <c r="C5315" s="733">
        <v>40935</v>
      </c>
      <c r="D53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15" t="s">
        <v>505</v>
      </c>
      <c r="F5315" t="s">
        <v>1915</v>
      </c>
      <c r="G5315" t="s">
        <v>5289</v>
      </c>
      <c r="H5315">
        <v>22264</v>
      </c>
      <c r="I5315" t="s">
        <v>423</v>
      </c>
      <c r="J5315" t="s">
        <v>1945</v>
      </c>
      <c r="K5315" t="s">
        <v>1918</v>
      </c>
      <c r="L5315" t="s">
        <v>1919</v>
      </c>
      <c r="M5315">
        <v>949</v>
      </c>
      <c r="N5315">
        <v>24.99</v>
      </c>
      <c r="O5315">
        <v>18695.77</v>
      </c>
      <c r="P5315">
        <v>0</v>
      </c>
      <c r="Q5315">
        <v>18695.77</v>
      </c>
      <c r="R5315">
        <v>2991.32</v>
      </c>
      <c r="S5315">
        <v>747.83</v>
      </c>
      <c r="T5315">
        <v>20939.259999999998</v>
      </c>
      <c r="U5315" t="s">
        <v>1926</v>
      </c>
      <c r="V5315" t="s">
        <v>9408</v>
      </c>
      <c r="W5315" t="s">
        <v>423</v>
      </c>
    </row>
    <row r="5316" spans="1:23" hidden="1" x14ac:dyDescent="0.2">
      <c r="A5316">
        <v>2012</v>
      </c>
      <c r="B5316" t="s">
        <v>303</v>
      </c>
      <c r="C5316" s="733">
        <v>40915</v>
      </c>
      <c r="D53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16" t="s">
        <v>505</v>
      </c>
      <c r="F5316" t="s">
        <v>1915</v>
      </c>
      <c r="G5316" t="s">
        <v>5290</v>
      </c>
      <c r="H5316">
        <v>21790</v>
      </c>
      <c r="I5316" t="s">
        <v>423</v>
      </c>
      <c r="J5316" t="s">
        <v>1945</v>
      </c>
      <c r="K5316" t="s">
        <v>1918</v>
      </c>
      <c r="L5316" t="s">
        <v>1919</v>
      </c>
      <c r="M5316">
        <v>949</v>
      </c>
      <c r="N5316">
        <v>49.57</v>
      </c>
      <c r="O5316">
        <v>28946.9</v>
      </c>
      <c r="P5316">
        <v>0</v>
      </c>
      <c r="Q5316">
        <v>28946.9</v>
      </c>
      <c r="R5316">
        <v>4631.5</v>
      </c>
      <c r="S5316">
        <v>1157.8800000000001</v>
      </c>
      <c r="T5316">
        <v>32420.52</v>
      </c>
      <c r="U5316" t="s">
        <v>1931</v>
      </c>
      <c r="V5316" t="s">
        <v>9409</v>
      </c>
      <c r="W5316" t="s">
        <v>423</v>
      </c>
    </row>
    <row r="5317" spans="1:23" hidden="1" x14ac:dyDescent="0.2">
      <c r="A5317">
        <v>2012</v>
      </c>
      <c r="B5317" t="s">
        <v>303</v>
      </c>
      <c r="C5317" s="733">
        <v>40938</v>
      </c>
      <c r="D53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17" t="s">
        <v>478</v>
      </c>
      <c r="F5317" t="s">
        <v>3787</v>
      </c>
      <c r="G5317" t="s">
        <v>4809</v>
      </c>
      <c r="H5317">
        <v>34552</v>
      </c>
      <c r="I5317" t="s">
        <v>423</v>
      </c>
      <c r="J5317" t="s">
        <v>3797</v>
      </c>
      <c r="K5317" t="s">
        <v>3481</v>
      </c>
      <c r="L5317" t="s">
        <v>3482</v>
      </c>
      <c r="M5317">
        <v>266</v>
      </c>
      <c r="N5317">
        <v>26.94</v>
      </c>
      <c r="O5317">
        <v>6016.24</v>
      </c>
      <c r="P5317">
        <v>0</v>
      </c>
      <c r="Q5317">
        <v>6016.24</v>
      </c>
      <c r="R5317">
        <v>962.6</v>
      </c>
      <c r="S5317">
        <v>240.65</v>
      </c>
      <c r="T5317">
        <v>6738.19</v>
      </c>
      <c r="U5317" t="s">
        <v>3784</v>
      </c>
      <c r="V5317" t="s">
        <v>9408</v>
      </c>
      <c r="W5317" t="s">
        <v>423</v>
      </c>
    </row>
    <row r="5318" spans="1:23" hidden="1" x14ac:dyDescent="0.2">
      <c r="A5318">
        <v>2012</v>
      </c>
      <c r="B5318" t="s">
        <v>303</v>
      </c>
      <c r="C5318" s="733">
        <v>40936</v>
      </c>
      <c r="D53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18" t="s">
        <v>478</v>
      </c>
      <c r="F5318" t="s">
        <v>3787</v>
      </c>
      <c r="G5318" t="s">
        <v>4808</v>
      </c>
      <c r="H5318">
        <v>35017</v>
      </c>
      <c r="I5318" t="s">
        <v>423</v>
      </c>
      <c r="J5318" t="s">
        <v>3797</v>
      </c>
      <c r="K5318" t="s">
        <v>3481</v>
      </c>
      <c r="L5318" t="s">
        <v>3482</v>
      </c>
      <c r="M5318">
        <v>266</v>
      </c>
      <c r="N5318">
        <v>30.635000000000002</v>
      </c>
      <c r="O5318">
        <v>6841.41</v>
      </c>
      <c r="P5318">
        <v>0</v>
      </c>
      <c r="Q5318">
        <v>6841.41</v>
      </c>
      <c r="R5318">
        <v>1094.6300000000001</v>
      </c>
      <c r="S5318">
        <v>273.66000000000003</v>
      </c>
      <c r="T5318">
        <v>7662.38</v>
      </c>
      <c r="U5318" t="s">
        <v>3784</v>
      </c>
      <c r="V5318" t="s">
        <v>9408</v>
      </c>
      <c r="W5318" t="s">
        <v>423</v>
      </c>
    </row>
    <row r="5319" spans="1:23" hidden="1" x14ac:dyDescent="0.2">
      <c r="A5319">
        <v>2012</v>
      </c>
      <c r="B5319" t="s">
        <v>303</v>
      </c>
      <c r="C5319" s="733">
        <v>40920</v>
      </c>
      <c r="D53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19" t="s">
        <v>478</v>
      </c>
      <c r="F5319" t="s">
        <v>3358</v>
      </c>
      <c r="G5319" t="s">
        <v>4799</v>
      </c>
      <c r="H5319">
        <v>34442</v>
      </c>
      <c r="I5319" t="s">
        <v>423</v>
      </c>
      <c r="J5319" t="s">
        <v>3360</v>
      </c>
      <c r="K5319" t="s">
        <v>483</v>
      </c>
      <c r="L5319" t="s">
        <v>3361</v>
      </c>
      <c r="M5319">
        <v>49</v>
      </c>
      <c r="N5319">
        <v>26.75</v>
      </c>
      <c r="O5319">
        <v>3019.27</v>
      </c>
      <c r="P5319">
        <v>0</v>
      </c>
      <c r="Q5319">
        <v>3019.27</v>
      </c>
      <c r="R5319">
        <v>483.08</v>
      </c>
      <c r="S5319">
        <v>120.77</v>
      </c>
      <c r="T5319">
        <v>3381.58</v>
      </c>
      <c r="U5319" t="s">
        <v>3780</v>
      </c>
      <c r="V5319" t="s">
        <v>9408</v>
      </c>
      <c r="W5319" t="s">
        <v>423</v>
      </c>
    </row>
    <row r="5320" spans="1:23" hidden="1" x14ac:dyDescent="0.2">
      <c r="A5320">
        <v>2012</v>
      </c>
      <c r="B5320" t="s">
        <v>303</v>
      </c>
      <c r="C5320" s="733">
        <v>40914</v>
      </c>
      <c r="D53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20" t="s">
        <v>505</v>
      </c>
      <c r="F5320" t="s">
        <v>1915</v>
      </c>
      <c r="G5320" t="s">
        <v>5287</v>
      </c>
      <c r="H5320">
        <v>21728</v>
      </c>
      <c r="I5320" t="s">
        <v>423</v>
      </c>
      <c r="J5320" t="s">
        <v>1945</v>
      </c>
      <c r="K5320" t="s">
        <v>1918</v>
      </c>
      <c r="L5320" t="s">
        <v>1919</v>
      </c>
      <c r="M5320">
        <v>949</v>
      </c>
      <c r="N5320">
        <v>49.7</v>
      </c>
      <c r="O5320">
        <v>29022.81</v>
      </c>
      <c r="P5320">
        <v>0</v>
      </c>
      <c r="Q5320">
        <v>29022.81</v>
      </c>
      <c r="R5320">
        <v>4643.6499999999996</v>
      </c>
      <c r="S5320">
        <v>1160.9100000000001</v>
      </c>
      <c r="T5320">
        <v>32505.55</v>
      </c>
      <c r="U5320" t="s">
        <v>1920</v>
      </c>
      <c r="V5320" t="s">
        <v>9409</v>
      </c>
      <c r="W5320" t="s">
        <v>423</v>
      </c>
    </row>
    <row r="5321" spans="1:23" hidden="1" x14ac:dyDescent="0.2">
      <c r="A5321">
        <v>2012</v>
      </c>
      <c r="B5321" t="s">
        <v>304</v>
      </c>
      <c r="C5321" s="733">
        <v>40967</v>
      </c>
      <c r="D53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21" t="s">
        <v>478</v>
      </c>
      <c r="F5321" t="s">
        <v>3358</v>
      </c>
      <c r="G5321" t="s">
        <v>9162</v>
      </c>
      <c r="H5321">
        <v>36169</v>
      </c>
      <c r="I5321" t="s">
        <v>423</v>
      </c>
      <c r="J5321" t="s">
        <v>4396</v>
      </c>
      <c r="K5321" t="s">
        <v>4397</v>
      </c>
      <c r="L5321" t="s">
        <v>4398</v>
      </c>
      <c r="M5321">
        <v>112</v>
      </c>
      <c r="N5321">
        <v>27.53</v>
      </c>
      <c r="O5321">
        <v>3107.31</v>
      </c>
      <c r="P5321">
        <v>0</v>
      </c>
      <c r="Q5321">
        <v>3107.31</v>
      </c>
      <c r="R5321">
        <v>497.17</v>
      </c>
      <c r="S5321">
        <v>124.29</v>
      </c>
      <c r="T5321">
        <v>3480.19</v>
      </c>
      <c r="V5321" t="s">
        <v>9408</v>
      </c>
      <c r="W5321" t="s">
        <v>423</v>
      </c>
    </row>
    <row r="5322" spans="1:23" hidden="1" x14ac:dyDescent="0.2">
      <c r="A5322">
        <v>2012</v>
      </c>
      <c r="B5322" t="s">
        <v>303</v>
      </c>
      <c r="C5322" s="733">
        <v>40931</v>
      </c>
      <c r="D53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22" t="s">
        <v>505</v>
      </c>
      <c r="F5322" t="s">
        <v>1915</v>
      </c>
      <c r="G5322" t="s">
        <v>5539</v>
      </c>
      <c r="H5322">
        <v>22150</v>
      </c>
      <c r="I5322" t="s">
        <v>423</v>
      </c>
      <c r="J5322" t="s">
        <v>4153</v>
      </c>
      <c r="K5322" t="s">
        <v>1918</v>
      </c>
      <c r="L5322" t="s">
        <v>1919</v>
      </c>
      <c r="M5322">
        <v>850</v>
      </c>
      <c r="N5322">
        <v>49.17</v>
      </c>
      <c r="O5322">
        <v>30724.37</v>
      </c>
      <c r="P5322">
        <v>0</v>
      </c>
      <c r="Q5322">
        <v>30724.37</v>
      </c>
      <c r="R5322">
        <v>4915.8999999999996</v>
      </c>
      <c r="S5322">
        <v>1228.97</v>
      </c>
      <c r="T5322">
        <v>34411.300000000003</v>
      </c>
      <c r="V5322" t="s">
        <v>9409</v>
      </c>
      <c r="W5322" t="s">
        <v>423</v>
      </c>
    </row>
    <row r="5323" spans="1:23" hidden="1" x14ac:dyDescent="0.2">
      <c r="A5323">
        <v>2012</v>
      </c>
      <c r="B5323" t="s">
        <v>303</v>
      </c>
      <c r="C5323" s="733">
        <v>40915</v>
      </c>
      <c r="D53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23" t="s">
        <v>505</v>
      </c>
      <c r="F5323" t="s">
        <v>1915</v>
      </c>
      <c r="G5323" t="s">
        <v>5550</v>
      </c>
      <c r="H5323">
        <v>21787</v>
      </c>
      <c r="I5323" t="s">
        <v>423</v>
      </c>
      <c r="J5323" t="s">
        <v>4153</v>
      </c>
      <c r="K5323" t="s">
        <v>1918</v>
      </c>
      <c r="L5323" t="s">
        <v>1919</v>
      </c>
      <c r="M5323">
        <v>850</v>
      </c>
      <c r="N5323">
        <v>24.83</v>
      </c>
      <c r="O5323">
        <v>6532.26</v>
      </c>
      <c r="P5323">
        <v>7354.6062110000003</v>
      </c>
      <c r="Q5323">
        <v>13886.866211</v>
      </c>
      <c r="R5323">
        <v>2221.8985939999998</v>
      </c>
      <c r="S5323">
        <v>555.474648</v>
      </c>
      <c r="T5323">
        <v>15553.290156999999</v>
      </c>
      <c r="U5323" t="s">
        <v>1931</v>
      </c>
      <c r="V5323" t="s">
        <v>9408</v>
      </c>
      <c r="W5323" t="s">
        <v>423</v>
      </c>
    </row>
    <row r="5324" spans="1:23" hidden="1" x14ac:dyDescent="0.2">
      <c r="A5324">
        <v>2012</v>
      </c>
      <c r="B5324" t="s">
        <v>304</v>
      </c>
      <c r="C5324" s="733">
        <v>40947</v>
      </c>
      <c r="D53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24" t="s">
        <v>505</v>
      </c>
      <c r="F5324" t="s">
        <v>1915</v>
      </c>
      <c r="G5324" t="s">
        <v>5540</v>
      </c>
      <c r="H5324">
        <v>22500</v>
      </c>
      <c r="I5324" t="s">
        <v>423</v>
      </c>
      <c r="J5324" t="s">
        <v>4153</v>
      </c>
      <c r="K5324" t="s">
        <v>1918</v>
      </c>
      <c r="L5324" t="s">
        <v>1919</v>
      </c>
      <c r="M5324">
        <v>850</v>
      </c>
      <c r="N5324">
        <v>49.99</v>
      </c>
      <c r="O5324">
        <v>31236.75</v>
      </c>
      <c r="P5324">
        <v>0</v>
      </c>
      <c r="Q5324">
        <v>31236.75</v>
      </c>
      <c r="R5324">
        <v>4997.88</v>
      </c>
      <c r="S5324">
        <v>1249.47</v>
      </c>
      <c r="T5324">
        <v>34985.160000000003</v>
      </c>
      <c r="U5324" t="s">
        <v>1924</v>
      </c>
      <c r="V5324" t="s">
        <v>9409</v>
      </c>
      <c r="W5324" t="s">
        <v>423</v>
      </c>
    </row>
    <row r="5325" spans="1:23" hidden="1" x14ac:dyDescent="0.2">
      <c r="A5325">
        <v>2012</v>
      </c>
      <c r="B5325" t="s">
        <v>305</v>
      </c>
      <c r="C5325" s="733">
        <v>40969</v>
      </c>
      <c r="D5325" s="733" t="str">
        <f>CHOOSE(MONTH(Tabla_sqldatos_bonampakdb_Bon_v_ingresos2012[[#This Row],[fecha_guia]]),"Enero","Febrero","Marzo","Abril","Mayo","Junio","Julio","Agosto","Septiembre","Octubre","Noviembre","Diciembre")</f>
        <v>Marzo</v>
      </c>
      <c r="E5325" t="s">
        <v>505</v>
      </c>
      <c r="F5325" t="s">
        <v>1915</v>
      </c>
      <c r="G5325" t="s">
        <v>9625</v>
      </c>
      <c r="H5325">
        <v>23083</v>
      </c>
      <c r="I5325" t="s">
        <v>423</v>
      </c>
      <c r="J5325" t="s">
        <v>4153</v>
      </c>
      <c r="K5325" t="s">
        <v>1918</v>
      </c>
      <c r="L5325" t="s">
        <v>1919</v>
      </c>
      <c r="M5325">
        <v>850</v>
      </c>
      <c r="N5325">
        <v>50.14</v>
      </c>
      <c r="O5325">
        <v>31330.48</v>
      </c>
      <c r="P5325">
        <v>0</v>
      </c>
      <c r="Q5325">
        <v>31330.48</v>
      </c>
      <c r="R5325">
        <v>5012.88</v>
      </c>
      <c r="S5325">
        <v>1253.22</v>
      </c>
      <c r="T5325">
        <v>35090.14</v>
      </c>
      <c r="V5325" t="s">
        <v>9409</v>
      </c>
      <c r="W5325" t="s">
        <v>423</v>
      </c>
    </row>
    <row r="5326" spans="1:23" hidden="1" x14ac:dyDescent="0.2">
      <c r="A5326">
        <v>2012</v>
      </c>
      <c r="B5326" t="s">
        <v>303</v>
      </c>
      <c r="C5326" s="733">
        <v>40915</v>
      </c>
      <c r="D53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26" t="s">
        <v>505</v>
      </c>
      <c r="F5326" t="s">
        <v>1915</v>
      </c>
      <c r="G5326" t="s">
        <v>5292</v>
      </c>
      <c r="H5326">
        <v>21731</v>
      </c>
      <c r="I5326" t="s">
        <v>423</v>
      </c>
      <c r="J5326" t="s">
        <v>4153</v>
      </c>
      <c r="K5326" t="s">
        <v>1918</v>
      </c>
      <c r="L5326" t="s">
        <v>1919</v>
      </c>
      <c r="M5326">
        <v>850</v>
      </c>
      <c r="N5326">
        <v>25.05</v>
      </c>
      <c r="O5326">
        <v>15652.74</v>
      </c>
      <c r="P5326">
        <v>0</v>
      </c>
      <c r="Q5326">
        <v>15652.74</v>
      </c>
      <c r="R5326">
        <v>2504.44</v>
      </c>
      <c r="S5326">
        <v>626.11</v>
      </c>
      <c r="T5326">
        <v>17531.07</v>
      </c>
      <c r="U5326" t="s">
        <v>1920</v>
      </c>
      <c r="V5326" t="s">
        <v>9408</v>
      </c>
      <c r="W5326" t="s">
        <v>423</v>
      </c>
    </row>
    <row r="5327" spans="1:23" hidden="1" x14ac:dyDescent="0.2">
      <c r="A5327">
        <v>2012</v>
      </c>
      <c r="B5327" t="s">
        <v>303</v>
      </c>
      <c r="C5327" s="733">
        <v>40926</v>
      </c>
      <c r="D53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27" t="s">
        <v>485</v>
      </c>
      <c r="F5327" t="s">
        <v>3450</v>
      </c>
      <c r="G5327" t="s">
        <v>4816</v>
      </c>
      <c r="H5327">
        <v>40135</v>
      </c>
      <c r="I5327" t="s">
        <v>423</v>
      </c>
      <c r="J5327" t="s">
        <v>3952</v>
      </c>
      <c r="K5327" t="s">
        <v>3953</v>
      </c>
      <c r="L5327" t="s">
        <v>3454</v>
      </c>
      <c r="M5327">
        <v>54</v>
      </c>
      <c r="N5327">
        <v>26.9</v>
      </c>
      <c r="O5327">
        <v>3036.2</v>
      </c>
      <c r="P5327">
        <v>0</v>
      </c>
      <c r="Q5327">
        <v>3036.2</v>
      </c>
      <c r="R5327">
        <v>485.79</v>
      </c>
      <c r="S5327">
        <v>121.45</v>
      </c>
      <c r="T5327">
        <v>3400.54</v>
      </c>
      <c r="U5327" t="s">
        <v>3459</v>
      </c>
      <c r="V5327" t="s">
        <v>9408</v>
      </c>
      <c r="W5327" t="s">
        <v>423</v>
      </c>
    </row>
    <row r="5328" spans="1:23" x14ac:dyDescent="0.2">
      <c r="A5328">
        <v>2012</v>
      </c>
      <c r="B5328" t="s">
        <v>304</v>
      </c>
      <c r="C5328" s="733">
        <v>40968</v>
      </c>
      <c r="D53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28" t="s">
        <v>485</v>
      </c>
      <c r="F5328" t="s">
        <v>3450</v>
      </c>
      <c r="G5328" t="s">
        <v>9164</v>
      </c>
      <c r="H5328">
        <v>42474</v>
      </c>
      <c r="I5328" t="s">
        <v>423</v>
      </c>
      <c r="J5328" t="s">
        <v>3952</v>
      </c>
      <c r="K5328" t="s">
        <v>3953</v>
      </c>
      <c r="L5328" t="s">
        <v>3454</v>
      </c>
      <c r="M5328">
        <v>54</v>
      </c>
      <c r="N5328">
        <v>25.57</v>
      </c>
      <c r="O5328">
        <v>2886.09</v>
      </c>
      <c r="P5328">
        <v>0</v>
      </c>
      <c r="Q5328">
        <v>2886.09</v>
      </c>
      <c r="R5328">
        <v>461.77</v>
      </c>
      <c r="S5328">
        <v>115.44</v>
      </c>
      <c r="T5328">
        <v>3232.42</v>
      </c>
      <c r="V5328" t="s">
        <v>9408</v>
      </c>
      <c r="W5328" t="s">
        <v>423</v>
      </c>
    </row>
    <row r="5329" spans="1:23" hidden="1" x14ac:dyDescent="0.2">
      <c r="A5329">
        <v>2012</v>
      </c>
      <c r="B5329" t="s">
        <v>303</v>
      </c>
      <c r="C5329" s="733">
        <v>40926</v>
      </c>
      <c r="D53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29" t="s">
        <v>485</v>
      </c>
      <c r="F5329" t="s">
        <v>3450</v>
      </c>
      <c r="G5329" t="s">
        <v>4817</v>
      </c>
      <c r="H5329">
        <v>40183</v>
      </c>
      <c r="I5329" t="s">
        <v>423</v>
      </c>
      <c r="J5329" t="s">
        <v>3952</v>
      </c>
      <c r="K5329" t="s">
        <v>3953</v>
      </c>
      <c r="L5329" t="s">
        <v>3454</v>
      </c>
      <c r="M5329">
        <v>54</v>
      </c>
      <c r="N5329">
        <v>26.25</v>
      </c>
      <c r="O5329">
        <v>2962.84</v>
      </c>
      <c r="P5329">
        <v>0</v>
      </c>
      <c r="Q5329">
        <v>2962.84</v>
      </c>
      <c r="R5329">
        <v>474.05</v>
      </c>
      <c r="S5329">
        <v>118.51</v>
      </c>
      <c r="T5329">
        <v>3318.38</v>
      </c>
      <c r="U5329" t="s">
        <v>3459</v>
      </c>
      <c r="V5329" t="s">
        <v>9408</v>
      </c>
      <c r="W5329" t="s">
        <v>423</v>
      </c>
    </row>
    <row r="5330" spans="1:23" hidden="1" x14ac:dyDescent="0.2">
      <c r="A5330">
        <v>2012</v>
      </c>
      <c r="B5330" t="s">
        <v>304</v>
      </c>
      <c r="C5330" s="733">
        <v>40940</v>
      </c>
      <c r="D53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30" t="s">
        <v>485</v>
      </c>
      <c r="F5330" t="s">
        <v>2065</v>
      </c>
      <c r="G5330" t="s">
        <v>4926</v>
      </c>
      <c r="H5330">
        <v>40919</v>
      </c>
      <c r="I5330" t="s">
        <v>423</v>
      </c>
      <c r="J5330" t="s">
        <v>4533</v>
      </c>
      <c r="K5330" t="s">
        <v>2183</v>
      </c>
      <c r="L5330" t="s">
        <v>2184</v>
      </c>
      <c r="M5330">
        <v>253</v>
      </c>
      <c r="N5330">
        <v>26.23</v>
      </c>
      <c r="O5330">
        <v>5509.87</v>
      </c>
      <c r="P5330">
        <v>0</v>
      </c>
      <c r="Q5330">
        <v>5509.87</v>
      </c>
      <c r="R5330">
        <v>881.58</v>
      </c>
      <c r="S5330">
        <v>220.39</v>
      </c>
      <c r="T5330">
        <v>6171.06</v>
      </c>
      <c r="U5330" t="s">
        <v>2187</v>
      </c>
      <c r="V5330" t="s">
        <v>9408</v>
      </c>
      <c r="W5330" t="s">
        <v>423</v>
      </c>
    </row>
    <row r="5331" spans="1:23" hidden="1" x14ac:dyDescent="0.2">
      <c r="A5331">
        <v>2012</v>
      </c>
      <c r="B5331" t="s">
        <v>303</v>
      </c>
      <c r="C5331" s="733">
        <v>40912</v>
      </c>
      <c r="D53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31" t="s">
        <v>485</v>
      </c>
      <c r="F5331" t="s">
        <v>2084</v>
      </c>
      <c r="G5331" t="s">
        <v>4797</v>
      </c>
      <c r="H5331">
        <v>39470</v>
      </c>
      <c r="I5331" t="s">
        <v>423</v>
      </c>
      <c r="J5331" t="s">
        <v>3355</v>
      </c>
      <c r="K5331" t="s">
        <v>2814</v>
      </c>
      <c r="L5331" t="s">
        <v>2815</v>
      </c>
      <c r="M5331">
        <v>417</v>
      </c>
      <c r="N5331">
        <v>23.914999999999999</v>
      </c>
      <c r="O5331">
        <v>2793.75</v>
      </c>
      <c r="P5331">
        <v>3145.4551879999999</v>
      </c>
      <c r="Q5331">
        <v>5939.2051879999999</v>
      </c>
      <c r="R5331">
        <v>950.27283</v>
      </c>
      <c r="S5331">
        <v>237.568208</v>
      </c>
      <c r="T5331">
        <v>6651.9098100000001</v>
      </c>
      <c r="U5331" t="s">
        <v>2846</v>
      </c>
      <c r="V5331" t="s">
        <v>9408</v>
      </c>
      <c r="W5331" t="s">
        <v>423</v>
      </c>
    </row>
    <row r="5332" spans="1:23" hidden="1" x14ac:dyDescent="0.2">
      <c r="A5332">
        <v>2012</v>
      </c>
      <c r="B5332" t="s">
        <v>304</v>
      </c>
      <c r="C5332" s="733">
        <v>40967</v>
      </c>
      <c r="D53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32" t="s">
        <v>478</v>
      </c>
      <c r="F5332" t="s">
        <v>4128</v>
      </c>
      <c r="G5332" t="s">
        <v>9163</v>
      </c>
      <c r="H5332">
        <v>36180</v>
      </c>
      <c r="I5332" t="s">
        <v>423</v>
      </c>
      <c r="J5332" t="s">
        <v>4396</v>
      </c>
      <c r="K5332" t="s">
        <v>4397</v>
      </c>
      <c r="L5332" t="s">
        <v>4398</v>
      </c>
      <c r="M5332">
        <v>112</v>
      </c>
      <c r="N5332">
        <v>24.89</v>
      </c>
      <c r="O5332">
        <v>2809.33</v>
      </c>
      <c r="P5332">
        <v>0</v>
      </c>
      <c r="Q5332">
        <v>2809.33</v>
      </c>
      <c r="R5332">
        <v>449.49</v>
      </c>
      <c r="S5332">
        <v>112.37</v>
      </c>
      <c r="T5332">
        <v>3146.45</v>
      </c>
      <c r="U5332" t="s">
        <v>8982</v>
      </c>
      <c r="V5332" t="s">
        <v>9408</v>
      </c>
      <c r="W5332" t="s">
        <v>423</v>
      </c>
    </row>
    <row r="5333" spans="1:23" hidden="1" x14ac:dyDescent="0.2">
      <c r="A5333">
        <v>2012</v>
      </c>
      <c r="B5333" t="s">
        <v>304</v>
      </c>
      <c r="C5333" s="733">
        <v>40956</v>
      </c>
      <c r="D53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33" t="s">
        <v>478</v>
      </c>
      <c r="F5333" t="s">
        <v>2622</v>
      </c>
      <c r="G5333" t="s">
        <v>7525</v>
      </c>
      <c r="H5333">
        <v>35483</v>
      </c>
      <c r="I5333" t="s">
        <v>423</v>
      </c>
      <c r="J5333" t="s">
        <v>7526</v>
      </c>
      <c r="K5333" t="s">
        <v>425</v>
      </c>
      <c r="L5333" t="s">
        <v>2145</v>
      </c>
      <c r="M5333">
        <v>1516</v>
      </c>
      <c r="N5333">
        <v>22.29</v>
      </c>
      <c r="O5333">
        <v>14269.17</v>
      </c>
      <c r="P5333">
        <v>0</v>
      </c>
      <c r="Q5333">
        <v>14269.17</v>
      </c>
      <c r="R5333">
        <v>2283.0700000000002</v>
      </c>
      <c r="S5333">
        <v>570.77</v>
      </c>
      <c r="T5333">
        <v>15981.47</v>
      </c>
      <c r="U5333" t="s">
        <v>8252</v>
      </c>
      <c r="V5333" t="s">
        <v>9408</v>
      </c>
      <c r="W5333" t="s">
        <v>423</v>
      </c>
    </row>
    <row r="5334" spans="1:23" hidden="1" x14ac:dyDescent="0.2">
      <c r="A5334">
        <v>2012</v>
      </c>
      <c r="B5334" t="s">
        <v>304</v>
      </c>
      <c r="C5334" s="733">
        <v>40966</v>
      </c>
      <c r="D53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34" t="s">
        <v>485</v>
      </c>
      <c r="F5334" t="s">
        <v>2065</v>
      </c>
      <c r="G5334" t="s">
        <v>8807</v>
      </c>
      <c r="H5334">
        <v>42692</v>
      </c>
      <c r="I5334" t="s">
        <v>423</v>
      </c>
      <c r="J5334" t="s">
        <v>2213</v>
      </c>
      <c r="K5334" t="s">
        <v>2183</v>
      </c>
      <c r="L5334" t="s">
        <v>2184</v>
      </c>
      <c r="M5334">
        <v>64</v>
      </c>
      <c r="N5334">
        <v>16.22</v>
      </c>
      <c r="O5334">
        <v>1830.75</v>
      </c>
      <c r="P5334">
        <v>0</v>
      </c>
      <c r="Q5334">
        <v>1830.75</v>
      </c>
      <c r="R5334">
        <v>292.92</v>
      </c>
      <c r="S5334">
        <v>73.23</v>
      </c>
      <c r="T5334">
        <v>2050.44</v>
      </c>
      <c r="V5334" t="s">
        <v>9408</v>
      </c>
      <c r="W5334" t="s">
        <v>423</v>
      </c>
    </row>
    <row r="5335" spans="1:23" hidden="1" x14ac:dyDescent="0.2">
      <c r="A5335">
        <v>2012</v>
      </c>
      <c r="B5335" t="s">
        <v>304</v>
      </c>
      <c r="C5335" s="733">
        <v>40942</v>
      </c>
      <c r="D53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35" t="s">
        <v>485</v>
      </c>
      <c r="F5335" t="s">
        <v>2065</v>
      </c>
      <c r="G5335" t="s">
        <v>3170</v>
      </c>
      <c r="H5335">
        <v>40004</v>
      </c>
      <c r="I5335" t="s">
        <v>423</v>
      </c>
      <c r="J5335" t="s">
        <v>2213</v>
      </c>
      <c r="K5335" t="s">
        <v>2183</v>
      </c>
      <c r="L5335" t="s">
        <v>2184</v>
      </c>
      <c r="M5335">
        <v>64</v>
      </c>
      <c r="N5335">
        <v>16.809999999999999</v>
      </c>
      <c r="O5335">
        <v>1897.34</v>
      </c>
      <c r="P5335">
        <v>0</v>
      </c>
      <c r="Q5335">
        <v>1897.34</v>
      </c>
      <c r="R5335">
        <v>303.58</v>
      </c>
      <c r="S5335">
        <v>75.89</v>
      </c>
      <c r="T5335">
        <v>2125.0300000000002</v>
      </c>
      <c r="U5335" t="s">
        <v>2192</v>
      </c>
      <c r="V5335" t="s">
        <v>9408</v>
      </c>
      <c r="W5335" t="s">
        <v>423</v>
      </c>
    </row>
    <row r="5336" spans="1:23" hidden="1" x14ac:dyDescent="0.2">
      <c r="A5336">
        <v>2012</v>
      </c>
      <c r="B5336" t="s">
        <v>304</v>
      </c>
      <c r="C5336" s="733">
        <v>40966.531875000001</v>
      </c>
      <c r="D53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36" t="s">
        <v>485</v>
      </c>
      <c r="F5336" t="s">
        <v>2054</v>
      </c>
      <c r="G5336" t="s">
        <v>8996</v>
      </c>
      <c r="H5336">
        <v>10570</v>
      </c>
      <c r="I5336" t="s">
        <v>423</v>
      </c>
      <c r="J5336" t="s">
        <v>4545</v>
      </c>
      <c r="K5336" t="s">
        <v>2057</v>
      </c>
      <c r="L5336" t="s">
        <v>2058</v>
      </c>
      <c r="M5336">
        <v>144</v>
      </c>
      <c r="N5336">
        <v>23.21</v>
      </c>
      <c r="O5336">
        <v>3711.05</v>
      </c>
      <c r="P5336">
        <v>0</v>
      </c>
      <c r="Q5336">
        <v>3711.05</v>
      </c>
      <c r="R5336">
        <v>408.22</v>
      </c>
      <c r="S5336">
        <v>148.44</v>
      </c>
      <c r="T5336">
        <v>3970.83</v>
      </c>
      <c r="U5336" t="s">
        <v>8864</v>
      </c>
      <c r="V5336" t="s">
        <v>9408</v>
      </c>
      <c r="W5336" t="s">
        <v>423</v>
      </c>
    </row>
    <row r="5337" spans="1:23" hidden="1" x14ac:dyDescent="0.2">
      <c r="A5337">
        <v>2012</v>
      </c>
      <c r="B5337" t="s">
        <v>304</v>
      </c>
      <c r="C5337" s="733">
        <v>40954.531944444447</v>
      </c>
      <c r="D53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37" t="s">
        <v>485</v>
      </c>
      <c r="F5337" t="s">
        <v>2054</v>
      </c>
      <c r="G5337" t="s">
        <v>7849</v>
      </c>
      <c r="H5337">
        <v>10441</v>
      </c>
      <c r="I5337" t="s">
        <v>423</v>
      </c>
      <c r="J5337" t="s">
        <v>2056</v>
      </c>
      <c r="K5337" t="s">
        <v>2057</v>
      </c>
      <c r="L5337" t="s">
        <v>2058</v>
      </c>
      <c r="M5337">
        <v>19</v>
      </c>
      <c r="N5337">
        <v>22.06</v>
      </c>
      <c r="O5337">
        <v>2489.91</v>
      </c>
      <c r="P5337">
        <v>0</v>
      </c>
      <c r="Q5337">
        <v>2489.91</v>
      </c>
      <c r="R5337">
        <v>273.89</v>
      </c>
      <c r="S5337">
        <v>99.6</v>
      </c>
      <c r="T5337">
        <v>2664.2</v>
      </c>
      <c r="U5337" t="s">
        <v>8047</v>
      </c>
      <c r="V5337" t="s">
        <v>9408</v>
      </c>
      <c r="W5337" t="s">
        <v>423</v>
      </c>
    </row>
    <row r="5338" spans="1:23" hidden="1" x14ac:dyDescent="0.2">
      <c r="A5338">
        <v>2012</v>
      </c>
      <c r="B5338" t="s">
        <v>303</v>
      </c>
      <c r="C5338" s="733">
        <v>40939.460115740738</v>
      </c>
      <c r="D53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38" t="s">
        <v>485</v>
      </c>
      <c r="F5338" t="s">
        <v>2054</v>
      </c>
      <c r="G5338" t="s">
        <v>5066</v>
      </c>
      <c r="H5338">
        <v>10265</v>
      </c>
      <c r="I5338" t="s">
        <v>423</v>
      </c>
      <c r="J5338" t="s">
        <v>2056</v>
      </c>
      <c r="K5338" t="s">
        <v>2057</v>
      </c>
      <c r="L5338" t="s">
        <v>2058</v>
      </c>
      <c r="M5338">
        <v>19</v>
      </c>
      <c r="N5338">
        <v>22.75</v>
      </c>
      <c r="O5338">
        <v>2567.79</v>
      </c>
      <c r="P5338">
        <v>0</v>
      </c>
      <c r="Q5338">
        <v>2567.79</v>
      </c>
      <c r="R5338">
        <v>410.85</v>
      </c>
      <c r="S5338">
        <v>102.71</v>
      </c>
      <c r="T5338">
        <v>2875.93</v>
      </c>
      <c r="U5338" t="s">
        <v>2073</v>
      </c>
      <c r="V5338" t="s">
        <v>9408</v>
      </c>
      <c r="W5338" t="s">
        <v>423</v>
      </c>
    </row>
    <row r="5339" spans="1:23" hidden="1" x14ac:dyDescent="0.2">
      <c r="A5339">
        <v>2012</v>
      </c>
      <c r="B5339" t="s">
        <v>303</v>
      </c>
      <c r="C5339" s="733">
        <v>40939.506331018521</v>
      </c>
      <c r="D53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39" t="s">
        <v>485</v>
      </c>
      <c r="F5339" t="s">
        <v>2054</v>
      </c>
      <c r="G5339" t="s">
        <v>5067</v>
      </c>
      <c r="H5339">
        <v>10268</v>
      </c>
      <c r="I5339" t="s">
        <v>423</v>
      </c>
      <c r="J5339" t="s">
        <v>4545</v>
      </c>
      <c r="K5339" t="s">
        <v>2057</v>
      </c>
      <c r="L5339" t="s">
        <v>2058</v>
      </c>
      <c r="M5339">
        <v>154</v>
      </c>
      <c r="N5339">
        <v>24.56</v>
      </c>
      <c r="O5339">
        <v>3926.9</v>
      </c>
      <c r="P5339">
        <v>0</v>
      </c>
      <c r="Q5339">
        <v>3926.9</v>
      </c>
      <c r="R5339">
        <v>628.29999999999995</v>
      </c>
      <c r="S5339">
        <v>157.08000000000001</v>
      </c>
      <c r="T5339">
        <v>4398.12</v>
      </c>
      <c r="U5339" t="s">
        <v>2073</v>
      </c>
      <c r="V5339" t="s">
        <v>9408</v>
      </c>
      <c r="W5339" t="s">
        <v>423</v>
      </c>
    </row>
    <row r="5340" spans="1:23" hidden="1" x14ac:dyDescent="0.2">
      <c r="A5340">
        <v>2012</v>
      </c>
      <c r="B5340" t="s">
        <v>303</v>
      </c>
      <c r="C5340" s="733">
        <v>40911</v>
      </c>
      <c r="D53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40" t="s">
        <v>485</v>
      </c>
      <c r="F5340" t="s">
        <v>3450</v>
      </c>
      <c r="G5340" t="s">
        <v>4601</v>
      </c>
      <c r="H5340">
        <v>39602</v>
      </c>
      <c r="I5340" t="s">
        <v>423</v>
      </c>
      <c r="J5340" t="s">
        <v>3452</v>
      </c>
      <c r="K5340" t="s">
        <v>3453</v>
      </c>
      <c r="L5340" t="s">
        <v>3454</v>
      </c>
      <c r="M5340">
        <v>19</v>
      </c>
      <c r="N5340">
        <v>25.68</v>
      </c>
      <c r="O5340">
        <v>1220.31</v>
      </c>
      <c r="P5340">
        <v>1373.9348259999999</v>
      </c>
      <c r="Q5340">
        <v>2594.2448260000001</v>
      </c>
      <c r="R5340">
        <v>415.07917200000003</v>
      </c>
      <c r="S5340">
        <v>103.76979300000001</v>
      </c>
      <c r="T5340">
        <v>2905.5542049999999</v>
      </c>
      <c r="U5340" t="s">
        <v>3697</v>
      </c>
      <c r="V5340" t="s">
        <v>9408</v>
      </c>
      <c r="W5340" t="s">
        <v>423</v>
      </c>
    </row>
    <row r="5341" spans="1:23" x14ac:dyDescent="0.2">
      <c r="A5341">
        <v>2012</v>
      </c>
      <c r="B5341" t="s">
        <v>304</v>
      </c>
      <c r="C5341" s="733">
        <v>40967</v>
      </c>
      <c r="D53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41" t="s">
        <v>485</v>
      </c>
      <c r="F5341" t="s">
        <v>2084</v>
      </c>
      <c r="G5341" t="s">
        <v>9187</v>
      </c>
      <c r="H5341">
        <v>42297</v>
      </c>
      <c r="I5341" t="s">
        <v>423</v>
      </c>
      <c r="J5341" t="s">
        <v>4091</v>
      </c>
      <c r="K5341" t="s">
        <v>2051</v>
      </c>
      <c r="L5341" t="s">
        <v>2052</v>
      </c>
      <c r="M5341">
        <v>1092</v>
      </c>
      <c r="N5341">
        <v>29.1</v>
      </c>
      <c r="O5341">
        <v>16979.849999999999</v>
      </c>
      <c r="P5341">
        <v>0</v>
      </c>
      <c r="Q5341">
        <v>16979.849999999999</v>
      </c>
      <c r="R5341">
        <v>2716.78</v>
      </c>
      <c r="S5341">
        <v>679.19</v>
      </c>
      <c r="T5341">
        <v>19017.439999999999</v>
      </c>
      <c r="U5341" t="s">
        <v>8780</v>
      </c>
      <c r="V5341" t="s">
        <v>9408</v>
      </c>
      <c r="W5341" t="s">
        <v>423</v>
      </c>
    </row>
    <row r="5342" spans="1:23" hidden="1" x14ac:dyDescent="0.2">
      <c r="A5342">
        <v>2012</v>
      </c>
      <c r="B5342" t="s">
        <v>303</v>
      </c>
      <c r="C5342" s="733">
        <v>40938.445590277777</v>
      </c>
      <c r="D53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42" t="s">
        <v>485</v>
      </c>
      <c r="F5342" t="s">
        <v>2054</v>
      </c>
      <c r="G5342" t="s">
        <v>3551</v>
      </c>
      <c r="H5342">
        <v>10255</v>
      </c>
      <c r="I5342" t="s">
        <v>423</v>
      </c>
      <c r="J5342" t="s">
        <v>2072</v>
      </c>
      <c r="K5342" t="s">
        <v>2057</v>
      </c>
      <c r="L5342" t="s">
        <v>2058</v>
      </c>
      <c r="M5342">
        <v>406</v>
      </c>
      <c r="N5342">
        <v>47.39</v>
      </c>
      <c r="O5342">
        <v>12950.74</v>
      </c>
      <c r="P5342">
        <v>0</v>
      </c>
      <c r="Q5342">
        <v>12950.74</v>
      </c>
      <c r="R5342">
        <v>2072.12</v>
      </c>
      <c r="S5342">
        <v>518.03</v>
      </c>
      <c r="T5342">
        <v>14504.83</v>
      </c>
      <c r="U5342" t="s">
        <v>2073</v>
      </c>
      <c r="V5342" t="s">
        <v>9409</v>
      </c>
      <c r="W5342" t="s">
        <v>423</v>
      </c>
    </row>
    <row r="5343" spans="1:23" hidden="1" x14ac:dyDescent="0.2">
      <c r="A5343">
        <v>2012</v>
      </c>
      <c r="B5343" t="s">
        <v>304</v>
      </c>
      <c r="C5343" s="733">
        <v>40964</v>
      </c>
      <c r="D53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43" t="s">
        <v>505</v>
      </c>
      <c r="F5343" t="s">
        <v>1915</v>
      </c>
      <c r="G5343" t="s">
        <v>8752</v>
      </c>
      <c r="H5343">
        <v>22967</v>
      </c>
      <c r="I5343" t="s">
        <v>423</v>
      </c>
      <c r="J5343" t="s">
        <v>1943</v>
      </c>
      <c r="K5343" t="s">
        <v>1918</v>
      </c>
      <c r="L5343" t="s">
        <v>1919</v>
      </c>
      <c r="M5343">
        <v>319</v>
      </c>
      <c r="N5343">
        <v>54.15</v>
      </c>
      <c r="O5343">
        <v>15878.95</v>
      </c>
      <c r="P5343">
        <v>0</v>
      </c>
      <c r="Q5343">
        <v>15878.95</v>
      </c>
      <c r="R5343">
        <v>2540.63</v>
      </c>
      <c r="S5343">
        <v>635.16</v>
      </c>
      <c r="T5343">
        <v>17784.419999999998</v>
      </c>
      <c r="U5343" t="s">
        <v>9415</v>
      </c>
      <c r="V5343" t="s">
        <v>9409</v>
      </c>
      <c r="W5343" t="s">
        <v>423</v>
      </c>
    </row>
    <row r="5344" spans="1:23" hidden="1" x14ac:dyDescent="0.2">
      <c r="A5344">
        <v>2012</v>
      </c>
      <c r="B5344" t="s">
        <v>304</v>
      </c>
      <c r="C5344" s="733">
        <v>40964</v>
      </c>
      <c r="D53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44" t="s">
        <v>485</v>
      </c>
      <c r="F5344" t="s">
        <v>2054</v>
      </c>
      <c r="G5344" t="s">
        <v>8810</v>
      </c>
      <c r="H5344">
        <v>10544</v>
      </c>
      <c r="I5344" t="s">
        <v>423</v>
      </c>
      <c r="J5344" t="s">
        <v>2072</v>
      </c>
      <c r="K5344" t="s">
        <v>2057</v>
      </c>
      <c r="L5344" t="s">
        <v>2058</v>
      </c>
      <c r="M5344">
        <v>406</v>
      </c>
      <c r="N5344">
        <v>46.92</v>
      </c>
      <c r="O5344">
        <v>12822.3</v>
      </c>
      <c r="P5344">
        <v>0</v>
      </c>
      <c r="Q5344">
        <v>12822.3</v>
      </c>
      <c r="R5344">
        <v>1410.45</v>
      </c>
      <c r="S5344">
        <v>512.89</v>
      </c>
      <c r="T5344">
        <v>13719.86</v>
      </c>
      <c r="U5344" t="s">
        <v>8864</v>
      </c>
      <c r="V5344" t="s">
        <v>9409</v>
      </c>
      <c r="W5344" t="s">
        <v>423</v>
      </c>
    </row>
    <row r="5345" spans="1:23" hidden="1" x14ac:dyDescent="0.2">
      <c r="A5345">
        <v>2012</v>
      </c>
      <c r="B5345" t="s">
        <v>303</v>
      </c>
      <c r="C5345" s="733">
        <v>40928.468425925923</v>
      </c>
      <c r="D53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45" t="s">
        <v>485</v>
      </c>
      <c r="F5345" t="s">
        <v>2054</v>
      </c>
      <c r="G5345" t="s">
        <v>3556</v>
      </c>
      <c r="H5345">
        <v>10143</v>
      </c>
      <c r="I5345" t="s">
        <v>423</v>
      </c>
      <c r="J5345" t="s">
        <v>2072</v>
      </c>
      <c r="K5345" t="s">
        <v>2057</v>
      </c>
      <c r="L5345" t="s">
        <v>2058</v>
      </c>
      <c r="M5345">
        <v>406</v>
      </c>
      <c r="N5345">
        <v>48.73</v>
      </c>
      <c r="O5345">
        <v>13316.93</v>
      </c>
      <c r="P5345">
        <v>0</v>
      </c>
      <c r="Q5345">
        <v>13316.93</v>
      </c>
      <c r="R5345">
        <v>2130.71</v>
      </c>
      <c r="S5345">
        <v>532.67999999999995</v>
      </c>
      <c r="T5345">
        <v>14914.96</v>
      </c>
      <c r="U5345" t="s">
        <v>2077</v>
      </c>
      <c r="V5345" t="s">
        <v>9409</v>
      </c>
      <c r="W5345" t="s">
        <v>423</v>
      </c>
    </row>
    <row r="5346" spans="1:23" x14ac:dyDescent="0.2">
      <c r="A5346">
        <v>2012</v>
      </c>
      <c r="B5346" t="s">
        <v>304</v>
      </c>
      <c r="C5346" s="733">
        <v>40967</v>
      </c>
      <c r="D53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46" t="s">
        <v>485</v>
      </c>
      <c r="F5346" t="s">
        <v>2054</v>
      </c>
      <c r="G5346" t="s">
        <v>9188</v>
      </c>
      <c r="H5346">
        <v>10555</v>
      </c>
      <c r="I5346" t="s">
        <v>423</v>
      </c>
      <c r="J5346" t="s">
        <v>2072</v>
      </c>
      <c r="K5346" t="s">
        <v>2057</v>
      </c>
      <c r="L5346" t="s">
        <v>2058</v>
      </c>
      <c r="M5346">
        <v>406</v>
      </c>
      <c r="N5346">
        <v>23.54</v>
      </c>
      <c r="O5346">
        <v>6433.01</v>
      </c>
      <c r="P5346">
        <v>0</v>
      </c>
      <c r="Q5346">
        <v>6433.01</v>
      </c>
      <c r="R5346">
        <v>707.63</v>
      </c>
      <c r="S5346">
        <v>257.32</v>
      </c>
      <c r="T5346">
        <v>6883.32</v>
      </c>
      <c r="V5346" t="s">
        <v>9408</v>
      </c>
      <c r="W5346" t="s">
        <v>423</v>
      </c>
    </row>
    <row r="5347" spans="1:23" hidden="1" x14ac:dyDescent="0.2">
      <c r="A5347">
        <v>2012</v>
      </c>
      <c r="B5347" t="s">
        <v>303</v>
      </c>
      <c r="C5347" s="733">
        <v>40932</v>
      </c>
      <c r="D53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47" t="s">
        <v>485</v>
      </c>
      <c r="F5347" t="s">
        <v>2048</v>
      </c>
      <c r="G5347" t="s">
        <v>4563</v>
      </c>
      <c r="H5347">
        <v>40075</v>
      </c>
      <c r="I5347" t="s">
        <v>423</v>
      </c>
      <c r="J5347" t="s">
        <v>4091</v>
      </c>
      <c r="K5347" t="s">
        <v>2051</v>
      </c>
      <c r="L5347" t="s">
        <v>2052</v>
      </c>
      <c r="M5347">
        <v>1092</v>
      </c>
      <c r="N5347">
        <v>27.3</v>
      </c>
      <c r="O5347">
        <v>15929.55</v>
      </c>
      <c r="P5347">
        <v>0</v>
      </c>
      <c r="Q5347">
        <v>15929.55</v>
      </c>
      <c r="R5347">
        <v>2548.73</v>
      </c>
      <c r="S5347">
        <v>637.17999999999995</v>
      </c>
      <c r="T5347">
        <v>17841.099999999999</v>
      </c>
      <c r="U5347" t="s">
        <v>2053</v>
      </c>
      <c r="V5347" t="s">
        <v>9408</v>
      </c>
      <c r="W5347" t="s">
        <v>423</v>
      </c>
    </row>
    <row r="5348" spans="1:23" hidden="1" x14ac:dyDescent="0.2">
      <c r="A5348">
        <v>2012</v>
      </c>
      <c r="B5348" t="s">
        <v>303</v>
      </c>
      <c r="C5348" s="733">
        <v>40932</v>
      </c>
      <c r="D53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48" t="s">
        <v>485</v>
      </c>
      <c r="F5348" t="s">
        <v>2065</v>
      </c>
      <c r="G5348" t="s">
        <v>4761</v>
      </c>
      <c r="H5348">
        <v>39828</v>
      </c>
      <c r="I5348" t="s">
        <v>423</v>
      </c>
      <c r="J5348" t="s">
        <v>4091</v>
      </c>
      <c r="K5348" t="s">
        <v>2051</v>
      </c>
      <c r="L5348" t="s">
        <v>2052</v>
      </c>
      <c r="M5348">
        <v>1092</v>
      </c>
      <c r="N5348">
        <v>56.45</v>
      </c>
      <c r="O5348">
        <v>32938.58</v>
      </c>
      <c r="P5348">
        <v>0</v>
      </c>
      <c r="Q5348">
        <v>32938.58</v>
      </c>
      <c r="R5348">
        <v>5270.17</v>
      </c>
      <c r="S5348">
        <v>1317.54</v>
      </c>
      <c r="T5348">
        <v>36891.21</v>
      </c>
      <c r="U5348" t="s">
        <v>2053</v>
      </c>
      <c r="V5348" t="s">
        <v>9409</v>
      </c>
      <c r="W5348" t="s">
        <v>423</v>
      </c>
    </row>
    <row r="5349" spans="1:23" hidden="1" x14ac:dyDescent="0.2">
      <c r="A5349">
        <v>2012</v>
      </c>
      <c r="B5349" t="s">
        <v>303</v>
      </c>
      <c r="C5349" s="733">
        <v>40927</v>
      </c>
      <c r="D53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49" t="s">
        <v>485</v>
      </c>
      <c r="F5349" t="s">
        <v>2065</v>
      </c>
      <c r="G5349" t="s">
        <v>4411</v>
      </c>
      <c r="H5349">
        <v>40538</v>
      </c>
      <c r="I5349" t="s">
        <v>423</v>
      </c>
      <c r="J5349" t="s">
        <v>3972</v>
      </c>
      <c r="K5349" t="s">
        <v>2183</v>
      </c>
      <c r="L5349" t="s">
        <v>2184</v>
      </c>
      <c r="M5349">
        <v>184</v>
      </c>
      <c r="N5349">
        <v>28.75</v>
      </c>
      <c r="O5349">
        <v>5115.2</v>
      </c>
      <c r="P5349">
        <v>0</v>
      </c>
      <c r="Q5349">
        <v>5115.2</v>
      </c>
      <c r="R5349">
        <v>818.43</v>
      </c>
      <c r="S5349">
        <v>204.61</v>
      </c>
      <c r="T5349">
        <v>5729.02</v>
      </c>
      <c r="U5349" t="s">
        <v>7554</v>
      </c>
      <c r="V5349" t="s">
        <v>9408</v>
      </c>
      <c r="W5349" t="s">
        <v>423</v>
      </c>
    </row>
    <row r="5350" spans="1:23" hidden="1" x14ac:dyDescent="0.2">
      <c r="A5350">
        <v>2012</v>
      </c>
      <c r="B5350" t="s">
        <v>303</v>
      </c>
      <c r="C5350" s="733">
        <v>40910</v>
      </c>
      <c r="D53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50" t="s">
        <v>485</v>
      </c>
      <c r="F5350" t="s">
        <v>2065</v>
      </c>
      <c r="G5350" t="s">
        <v>4412</v>
      </c>
      <c r="H5350">
        <v>39494</v>
      </c>
      <c r="I5350" t="s">
        <v>423</v>
      </c>
      <c r="J5350" t="s">
        <v>4413</v>
      </c>
      <c r="K5350" t="s">
        <v>2183</v>
      </c>
      <c r="L5350" t="s">
        <v>2184</v>
      </c>
      <c r="M5350">
        <v>438</v>
      </c>
      <c r="N5350">
        <v>26.77</v>
      </c>
      <c r="O5350">
        <v>5003.05</v>
      </c>
      <c r="P5350">
        <v>5632.883965</v>
      </c>
      <c r="Q5350">
        <v>10635.933965</v>
      </c>
      <c r="R5350">
        <v>1701.7494340000001</v>
      </c>
      <c r="S5350">
        <v>425.43735900000001</v>
      </c>
      <c r="T5350">
        <v>11912.24604</v>
      </c>
      <c r="U5350" t="s">
        <v>3038</v>
      </c>
      <c r="V5350" t="s">
        <v>9408</v>
      </c>
      <c r="W5350" t="s">
        <v>423</v>
      </c>
    </row>
    <row r="5351" spans="1:23" hidden="1" x14ac:dyDescent="0.2">
      <c r="A5351">
        <v>2012</v>
      </c>
      <c r="B5351" t="s">
        <v>303</v>
      </c>
      <c r="C5351" s="733">
        <v>40922</v>
      </c>
      <c r="D53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51" t="s">
        <v>505</v>
      </c>
      <c r="F5351" t="s">
        <v>1915</v>
      </c>
      <c r="G5351" t="s">
        <v>2859</v>
      </c>
      <c r="H5351">
        <v>21969</v>
      </c>
      <c r="I5351" t="s">
        <v>423</v>
      </c>
      <c r="J5351" t="s">
        <v>1943</v>
      </c>
      <c r="K5351" t="s">
        <v>1918</v>
      </c>
      <c r="L5351" t="s">
        <v>1919</v>
      </c>
      <c r="M5351">
        <v>319</v>
      </c>
      <c r="N5351">
        <v>54.08</v>
      </c>
      <c r="O5351">
        <v>15858.42</v>
      </c>
      <c r="P5351">
        <v>0</v>
      </c>
      <c r="Q5351">
        <v>15858.42</v>
      </c>
      <c r="R5351">
        <v>2537.35</v>
      </c>
      <c r="S5351">
        <v>634.34</v>
      </c>
      <c r="T5351">
        <v>17761.43</v>
      </c>
      <c r="U5351" t="s">
        <v>1936</v>
      </c>
      <c r="V5351" t="s">
        <v>9409</v>
      </c>
      <c r="W5351" t="s">
        <v>423</v>
      </c>
    </row>
    <row r="5352" spans="1:23" hidden="1" x14ac:dyDescent="0.2">
      <c r="A5352">
        <v>2012</v>
      </c>
      <c r="B5352" t="s">
        <v>303</v>
      </c>
      <c r="C5352" s="733">
        <v>40935</v>
      </c>
      <c r="D53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52" t="s">
        <v>505</v>
      </c>
      <c r="F5352" t="s">
        <v>1915</v>
      </c>
      <c r="G5352" t="s">
        <v>2872</v>
      </c>
      <c r="H5352">
        <v>22317</v>
      </c>
      <c r="I5352" t="s">
        <v>423</v>
      </c>
      <c r="J5352" t="s">
        <v>1943</v>
      </c>
      <c r="K5352" t="s">
        <v>1918</v>
      </c>
      <c r="L5352" t="s">
        <v>1919</v>
      </c>
      <c r="M5352">
        <v>319</v>
      </c>
      <c r="N5352">
        <v>27.15</v>
      </c>
      <c r="O5352">
        <v>7961.47</v>
      </c>
      <c r="P5352">
        <v>0</v>
      </c>
      <c r="Q5352">
        <v>7961.47</v>
      </c>
      <c r="R5352">
        <v>1273.83</v>
      </c>
      <c r="S5352">
        <v>318.45999999999998</v>
      </c>
      <c r="T5352">
        <v>8916.84</v>
      </c>
      <c r="U5352" t="s">
        <v>1926</v>
      </c>
      <c r="V5352" t="s">
        <v>9408</v>
      </c>
      <c r="W5352" t="s">
        <v>423</v>
      </c>
    </row>
    <row r="5353" spans="1:23" hidden="1" x14ac:dyDescent="0.2">
      <c r="A5353">
        <v>2012</v>
      </c>
      <c r="B5353" t="s">
        <v>303</v>
      </c>
      <c r="C5353" s="733">
        <v>40938</v>
      </c>
      <c r="D53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53" t="s">
        <v>485</v>
      </c>
      <c r="F5353" t="s">
        <v>2065</v>
      </c>
      <c r="G5353" t="s">
        <v>3215</v>
      </c>
      <c r="H5353">
        <v>41032</v>
      </c>
      <c r="I5353" t="s">
        <v>423</v>
      </c>
      <c r="J5353" t="s">
        <v>2126</v>
      </c>
      <c r="K5353" t="s">
        <v>2102</v>
      </c>
      <c r="L5353" t="s">
        <v>2115</v>
      </c>
      <c r="M5353">
        <v>930</v>
      </c>
      <c r="N5353">
        <v>51.6</v>
      </c>
      <c r="O5353">
        <v>30293.33</v>
      </c>
      <c r="P5353">
        <v>0</v>
      </c>
      <c r="Q5353">
        <v>30293.33</v>
      </c>
      <c r="R5353">
        <v>4846.93</v>
      </c>
      <c r="S5353">
        <v>1211.73</v>
      </c>
      <c r="T5353">
        <v>33928.53</v>
      </c>
      <c r="U5353" t="s">
        <v>2110</v>
      </c>
      <c r="V5353" t="s">
        <v>9409</v>
      </c>
      <c r="W5353" t="s">
        <v>423</v>
      </c>
    </row>
    <row r="5354" spans="1:23" hidden="1" x14ac:dyDescent="0.2">
      <c r="A5354">
        <v>2012</v>
      </c>
      <c r="B5354" t="s">
        <v>303</v>
      </c>
      <c r="C5354" s="733">
        <v>40936</v>
      </c>
      <c r="D53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54" t="s">
        <v>478</v>
      </c>
      <c r="F5354" t="s">
        <v>3787</v>
      </c>
      <c r="G5354" t="s">
        <v>4020</v>
      </c>
      <c r="H5354">
        <v>34782</v>
      </c>
      <c r="I5354" t="s">
        <v>423</v>
      </c>
      <c r="J5354" t="s">
        <v>3480</v>
      </c>
      <c r="K5354" t="s">
        <v>3481</v>
      </c>
      <c r="L5354" t="s">
        <v>3482</v>
      </c>
      <c r="M5354">
        <v>75</v>
      </c>
      <c r="N5354">
        <v>25.05</v>
      </c>
      <c r="O5354">
        <v>2827.39</v>
      </c>
      <c r="P5354">
        <v>0</v>
      </c>
      <c r="Q5354">
        <v>2827.39</v>
      </c>
      <c r="R5354">
        <v>452.38</v>
      </c>
      <c r="S5354">
        <v>113.1</v>
      </c>
      <c r="T5354">
        <v>3166.67</v>
      </c>
      <c r="U5354" t="s">
        <v>3784</v>
      </c>
      <c r="V5354" t="s">
        <v>9408</v>
      </c>
      <c r="W5354" t="s">
        <v>423</v>
      </c>
    </row>
    <row r="5355" spans="1:23" hidden="1" x14ac:dyDescent="0.2">
      <c r="A5355">
        <v>2012</v>
      </c>
      <c r="B5355" t="s">
        <v>304</v>
      </c>
      <c r="C5355" s="733">
        <v>40959.386990740742</v>
      </c>
      <c r="D53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55" t="s">
        <v>485</v>
      </c>
      <c r="F5355" t="s">
        <v>2065</v>
      </c>
      <c r="G5355" t="s">
        <v>7594</v>
      </c>
      <c r="H5355">
        <v>42095</v>
      </c>
      <c r="I5355" t="s">
        <v>423</v>
      </c>
      <c r="J5355" t="s">
        <v>5277</v>
      </c>
      <c r="K5355" t="s">
        <v>2102</v>
      </c>
      <c r="L5355" t="s">
        <v>2115</v>
      </c>
      <c r="M5355">
        <v>1156</v>
      </c>
      <c r="N5355">
        <v>27.52</v>
      </c>
      <c r="O5355">
        <v>16156.44</v>
      </c>
      <c r="P5355">
        <v>0</v>
      </c>
      <c r="Q5355">
        <v>16156.44</v>
      </c>
      <c r="R5355">
        <v>2585.0300000000002</v>
      </c>
      <c r="S5355">
        <v>646.26</v>
      </c>
      <c r="T5355">
        <v>18095.21</v>
      </c>
      <c r="U5355" t="s">
        <v>8883</v>
      </c>
      <c r="V5355" t="s">
        <v>9409</v>
      </c>
      <c r="W5355" t="s">
        <v>423</v>
      </c>
    </row>
    <row r="5356" spans="1:23" hidden="1" x14ac:dyDescent="0.2">
      <c r="A5356">
        <v>2012</v>
      </c>
      <c r="B5356" t="s">
        <v>303</v>
      </c>
      <c r="C5356" s="733">
        <v>40935</v>
      </c>
      <c r="D53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56" t="s">
        <v>485</v>
      </c>
      <c r="F5356" t="s">
        <v>3450</v>
      </c>
      <c r="G5356" t="s">
        <v>3698</v>
      </c>
      <c r="H5356">
        <v>40616</v>
      </c>
      <c r="I5356" t="s">
        <v>423</v>
      </c>
      <c r="J5356" t="s">
        <v>3462</v>
      </c>
      <c r="K5356" t="s">
        <v>3453</v>
      </c>
      <c r="L5356" t="s">
        <v>3454</v>
      </c>
      <c r="M5356">
        <v>425</v>
      </c>
      <c r="N5356">
        <v>52.57</v>
      </c>
      <c r="O5356">
        <v>14669.13</v>
      </c>
      <c r="P5356">
        <v>0</v>
      </c>
      <c r="Q5356">
        <v>14669.13</v>
      </c>
      <c r="R5356">
        <v>2347.06</v>
      </c>
      <c r="S5356">
        <v>586.77</v>
      </c>
      <c r="T5356">
        <v>16429.419999999998</v>
      </c>
      <c r="U5356" t="s">
        <v>3640</v>
      </c>
      <c r="V5356" t="s">
        <v>9409</v>
      </c>
      <c r="W5356" t="s">
        <v>423</v>
      </c>
    </row>
    <row r="5357" spans="1:23" hidden="1" x14ac:dyDescent="0.2">
      <c r="A5357">
        <v>2012</v>
      </c>
      <c r="B5357" t="s">
        <v>304</v>
      </c>
      <c r="C5357" s="733">
        <v>40960</v>
      </c>
      <c r="D53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57" t="s">
        <v>485</v>
      </c>
      <c r="F5357" t="s">
        <v>3450</v>
      </c>
      <c r="G5357" t="s">
        <v>8283</v>
      </c>
      <c r="H5357">
        <v>42241</v>
      </c>
      <c r="I5357" t="s">
        <v>423</v>
      </c>
      <c r="J5357" t="s">
        <v>3462</v>
      </c>
      <c r="K5357" t="s">
        <v>3453</v>
      </c>
      <c r="L5357" t="s">
        <v>3454</v>
      </c>
      <c r="M5357">
        <v>425</v>
      </c>
      <c r="N5357">
        <v>55.82</v>
      </c>
      <c r="O5357">
        <v>15576.01</v>
      </c>
      <c r="P5357">
        <v>0</v>
      </c>
      <c r="Q5357">
        <v>15576.01</v>
      </c>
      <c r="R5357">
        <v>2492.16</v>
      </c>
      <c r="S5357">
        <v>623.04</v>
      </c>
      <c r="T5357">
        <v>17445.13</v>
      </c>
      <c r="U5357" t="s">
        <v>8991</v>
      </c>
      <c r="V5357" t="s">
        <v>9409</v>
      </c>
      <c r="W5357" t="s">
        <v>423</v>
      </c>
    </row>
    <row r="5358" spans="1:23" hidden="1" x14ac:dyDescent="0.2">
      <c r="A5358">
        <v>2012</v>
      </c>
      <c r="B5358" t="s">
        <v>303</v>
      </c>
      <c r="C5358" s="733">
        <v>40927</v>
      </c>
      <c r="D53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58" t="s">
        <v>485</v>
      </c>
      <c r="F5358" t="s">
        <v>2065</v>
      </c>
      <c r="G5358" t="s">
        <v>4771</v>
      </c>
      <c r="H5358">
        <v>39688</v>
      </c>
      <c r="I5358" t="s">
        <v>423</v>
      </c>
      <c r="J5358" t="s">
        <v>2126</v>
      </c>
      <c r="K5358" t="s">
        <v>2102</v>
      </c>
      <c r="L5358" t="s">
        <v>2115</v>
      </c>
      <c r="M5358">
        <v>930</v>
      </c>
      <c r="N5358">
        <v>27.7</v>
      </c>
      <c r="O5358">
        <v>16262.12</v>
      </c>
      <c r="P5358">
        <v>0</v>
      </c>
      <c r="Q5358">
        <v>16262.12</v>
      </c>
      <c r="R5358">
        <v>2601.94</v>
      </c>
      <c r="S5358">
        <v>650.48</v>
      </c>
      <c r="T5358">
        <v>18213.580000000002</v>
      </c>
      <c r="U5358" t="s">
        <v>2108</v>
      </c>
      <c r="V5358" t="s">
        <v>9409</v>
      </c>
      <c r="W5358" t="s">
        <v>423</v>
      </c>
    </row>
    <row r="5359" spans="1:23" hidden="1" x14ac:dyDescent="0.2">
      <c r="A5359">
        <v>2012</v>
      </c>
      <c r="B5359" t="s">
        <v>303</v>
      </c>
      <c r="C5359" s="733">
        <v>40934</v>
      </c>
      <c r="D53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59" t="s">
        <v>485</v>
      </c>
      <c r="F5359" t="s">
        <v>2065</v>
      </c>
      <c r="G5359" t="s">
        <v>3542</v>
      </c>
      <c r="H5359">
        <v>40789</v>
      </c>
      <c r="I5359" t="s">
        <v>423</v>
      </c>
      <c r="J5359" t="s">
        <v>2126</v>
      </c>
      <c r="K5359" t="s">
        <v>2102</v>
      </c>
      <c r="L5359" t="s">
        <v>2115</v>
      </c>
      <c r="M5359">
        <v>930</v>
      </c>
      <c r="N5359">
        <v>51.25</v>
      </c>
      <c r="O5359">
        <v>30087.85</v>
      </c>
      <c r="P5359">
        <v>0</v>
      </c>
      <c r="Q5359">
        <v>30087.85</v>
      </c>
      <c r="R5359">
        <v>4814.0600000000004</v>
      </c>
      <c r="S5359">
        <v>1203.51</v>
      </c>
      <c r="T5359">
        <v>33698.400000000001</v>
      </c>
      <c r="U5359" t="s">
        <v>2110</v>
      </c>
      <c r="V5359" t="s">
        <v>9409</v>
      </c>
      <c r="W5359" t="s">
        <v>423</v>
      </c>
    </row>
    <row r="5360" spans="1:23" hidden="1" x14ac:dyDescent="0.2">
      <c r="A5360">
        <v>2012</v>
      </c>
      <c r="B5360" t="s">
        <v>304</v>
      </c>
      <c r="C5360" s="733">
        <v>40952.444374999999</v>
      </c>
      <c r="D53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60" t="s">
        <v>485</v>
      </c>
      <c r="F5360" t="s">
        <v>2065</v>
      </c>
      <c r="G5360" t="s">
        <v>3541</v>
      </c>
      <c r="H5360">
        <v>41661</v>
      </c>
      <c r="I5360" t="s">
        <v>423</v>
      </c>
      <c r="J5360" t="s">
        <v>2126</v>
      </c>
      <c r="K5360" t="s">
        <v>2102</v>
      </c>
      <c r="L5360" t="s">
        <v>2115</v>
      </c>
      <c r="M5360">
        <v>930</v>
      </c>
      <c r="N5360">
        <v>25.19</v>
      </c>
      <c r="O5360">
        <v>14788.55</v>
      </c>
      <c r="P5360">
        <v>0</v>
      </c>
      <c r="Q5360">
        <v>14788.55</v>
      </c>
      <c r="R5360">
        <v>2366.17</v>
      </c>
      <c r="S5360">
        <v>591.54</v>
      </c>
      <c r="T5360">
        <v>16563.18</v>
      </c>
      <c r="U5360" t="s">
        <v>8051</v>
      </c>
      <c r="V5360" t="s">
        <v>9409</v>
      </c>
      <c r="W5360" t="s">
        <v>423</v>
      </c>
    </row>
    <row r="5361" spans="1:23" hidden="1" x14ac:dyDescent="0.2">
      <c r="A5361">
        <v>2012</v>
      </c>
      <c r="B5361" t="s">
        <v>304</v>
      </c>
      <c r="C5361" s="733">
        <v>40959</v>
      </c>
      <c r="D53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61" t="s">
        <v>485</v>
      </c>
      <c r="F5361" t="s">
        <v>2065</v>
      </c>
      <c r="G5361" t="s">
        <v>7832</v>
      </c>
      <c r="H5361">
        <v>42187</v>
      </c>
      <c r="I5361" t="s">
        <v>423</v>
      </c>
      <c r="J5361" t="s">
        <v>2126</v>
      </c>
      <c r="K5361" t="s">
        <v>2102</v>
      </c>
      <c r="L5361" t="s">
        <v>2115</v>
      </c>
      <c r="M5361">
        <v>930</v>
      </c>
      <c r="N5361">
        <v>50.49</v>
      </c>
      <c r="O5361">
        <v>29641.67</v>
      </c>
      <c r="P5361">
        <v>0</v>
      </c>
      <c r="Q5361">
        <v>29641.67</v>
      </c>
      <c r="R5361">
        <v>4742.67</v>
      </c>
      <c r="S5361">
        <v>1185.67</v>
      </c>
      <c r="T5361">
        <v>33198.67</v>
      </c>
      <c r="U5361" t="s">
        <v>8883</v>
      </c>
      <c r="V5361" t="s">
        <v>9409</v>
      </c>
      <c r="W5361" t="s">
        <v>423</v>
      </c>
    </row>
    <row r="5362" spans="1:23" x14ac:dyDescent="0.2">
      <c r="A5362">
        <v>2012</v>
      </c>
      <c r="B5362" t="s">
        <v>304</v>
      </c>
      <c r="C5362" s="733">
        <v>40967</v>
      </c>
      <c r="D53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62" t="s">
        <v>485</v>
      </c>
      <c r="F5362" t="s">
        <v>2065</v>
      </c>
      <c r="G5362" t="s">
        <v>9044</v>
      </c>
      <c r="H5362">
        <v>42657</v>
      </c>
      <c r="I5362" t="s">
        <v>423</v>
      </c>
      <c r="J5362" t="s">
        <v>8281</v>
      </c>
      <c r="K5362" t="s">
        <v>2102</v>
      </c>
      <c r="L5362" t="s">
        <v>2115</v>
      </c>
      <c r="M5362">
        <v>1234</v>
      </c>
      <c r="N5362">
        <v>26.65</v>
      </c>
      <c r="O5362">
        <v>17838.71</v>
      </c>
      <c r="P5362">
        <v>0</v>
      </c>
      <c r="Q5362">
        <v>17838.71</v>
      </c>
      <c r="R5362">
        <v>2854.19</v>
      </c>
      <c r="S5362">
        <v>713.55</v>
      </c>
      <c r="T5362">
        <v>19979.349999999999</v>
      </c>
      <c r="V5362" t="s">
        <v>9409</v>
      </c>
      <c r="W5362" t="s">
        <v>423</v>
      </c>
    </row>
    <row r="5363" spans="1:23" hidden="1" x14ac:dyDescent="0.2">
      <c r="A5363">
        <v>2012</v>
      </c>
      <c r="B5363" t="s">
        <v>303</v>
      </c>
      <c r="C5363" s="733">
        <v>40921</v>
      </c>
      <c r="D53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63" t="s">
        <v>485</v>
      </c>
      <c r="F5363" t="s">
        <v>2065</v>
      </c>
      <c r="G5363" t="s">
        <v>3216</v>
      </c>
      <c r="H5363">
        <v>40211</v>
      </c>
      <c r="I5363" t="s">
        <v>423</v>
      </c>
      <c r="J5363" t="s">
        <v>2126</v>
      </c>
      <c r="K5363" t="s">
        <v>2102</v>
      </c>
      <c r="L5363" t="s">
        <v>2115</v>
      </c>
      <c r="M5363">
        <v>930</v>
      </c>
      <c r="N5363">
        <v>52.24</v>
      </c>
      <c r="O5363">
        <v>30669.06</v>
      </c>
      <c r="P5363">
        <v>0</v>
      </c>
      <c r="Q5363">
        <v>30669.06</v>
      </c>
      <c r="R5363">
        <v>4907.05</v>
      </c>
      <c r="S5363">
        <v>1226.76</v>
      </c>
      <c r="T5363">
        <v>34349.35</v>
      </c>
      <c r="U5363" t="s">
        <v>2106</v>
      </c>
      <c r="V5363" t="s">
        <v>9409</v>
      </c>
      <c r="W5363" t="s">
        <v>423</v>
      </c>
    </row>
    <row r="5364" spans="1:23" hidden="1" x14ac:dyDescent="0.2">
      <c r="A5364">
        <v>2012</v>
      </c>
      <c r="B5364" t="s">
        <v>303</v>
      </c>
      <c r="C5364" s="733">
        <v>40927</v>
      </c>
      <c r="D53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64" t="s">
        <v>485</v>
      </c>
      <c r="F5364" t="s">
        <v>2065</v>
      </c>
      <c r="G5364" t="s">
        <v>3543</v>
      </c>
      <c r="H5364">
        <v>40558</v>
      </c>
      <c r="I5364" t="s">
        <v>423</v>
      </c>
      <c r="J5364" t="s">
        <v>3544</v>
      </c>
      <c r="K5364" t="s">
        <v>2102</v>
      </c>
      <c r="L5364" t="s">
        <v>2184</v>
      </c>
      <c r="M5364">
        <v>430</v>
      </c>
      <c r="N5364">
        <v>26.25</v>
      </c>
      <c r="O5364">
        <v>15410.85</v>
      </c>
      <c r="P5364">
        <v>0</v>
      </c>
      <c r="Q5364">
        <v>15410.85</v>
      </c>
      <c r="R5364">
        <v>2465.7399999999998</v>
      </c>
      <c r="S5364">
        <v>616.42999999999995</v>
      </c>
      <c r="T5364">
        <v>17260.16</v>
      </c>
      <c r="U5364" t="s">
        <v>7462</v>
      </c>
      <c r="V5364" t="s">
        <v>9409</v>
      </c>
      <c r="W5364" t="s">
        <v>423</v>
      </c>
    </row>
    <row r="5365" spans="1:23" hidden="1" x14ac:dyDescent="0.2">
      <c r="A5365">
        <v>2012</v>
      </c>
      <c r="B5365" t="s">
        <v>303</v>
      </c>
      <c r="C5365" s="733">
        <v>40936</v>
      </c>
      <c r="D53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65" t="s">
        <v>478</v>
      </c>
      <c r="F5365" t="s">
        <v>2136</v>
      </c>
      <c r="G5365" t="s">
        <v>4017</v>
      </c>
      <c r="H5365">
        <v>34726</v>
      </c>
      <c r="I5365" t="s">
        <v>423</v>
      </c>
      <c r="J5365" t="s">
        <v>3480</v>
      </c>
      <c r="K5365" t="s">
        <v>3481</v>
      </c>
      <c r="L5365" t="s">
        <v>3482</v>
      </c>
      <c r="M5365">
        <v>75</v>
      </c>
      <c r="N5365">
        <v>25.7</v>
      </c>
      <c r="O5365">
        <v>2900.76</v>
      </c>
      <c r="P5365">
        <v>0</v>
      </c>
      <c r="Q5365">
        <v>2900.76</v>
      </c>
      <c r="R5365">
        <v>464.12</v>
      </c>
      <c r="S5365">
        <v>116.03</v>
      </c>
      <c r="T5365">
        <v>3248.85</v>
      </c>
      <c r="U5365" t="s">
        <v>3483</v>
      </c>
      <c r="V5365" t="s">
        <v>9408</v>
      </c>
      <c r="W5365" t="s">
        <v>423</v>
      </c>
    </row>
    <row r="5366" spans="1:23" hidden="1" x14ac:dyDescent="0.2">
      <c r="A5366">
        <v>2012</v>
      </c>
      <c r="B5366" t="s">
        <v>303</v>
      </c>
      <c r="C5366" s="733">
        <v>40935</v>
      </c>
      <c r="D53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66" t="s">
        <v>485</v>
      </c>
      <c r="F5366" t="s">
        <v>2099</v>
      </c>
      <c r="G5366" t="s">
        <v>3208</v>
      </c>
      <c r="H5366">
        <v>41008</v>
      </c>
      <c r="I5366" t="s">
        <v>423</v>
      </c>
      <c r="J5366" t="s">
        <v>2101</v>
      </c>
      <c r="K5366" t="s">
        <v>2102</v>
      </c>
      <c r="L5366" t="s">
        <v>2103</v>
      </c>
      <c r="M5366">
        <v>119</v>
      </c>
      <c r="N5366">
        <v>26.59</v>
      </c>
      <c r="O5366">
        <v>4459.9399999999996</v>
      </c>
      <c r="P5366">
        <v>0</v>
      </c>
      <c r="Q5366">
        <v>4459.9399999999996</v>
      </c>
      <c r="R5366">
        <v>713.59</v>
      </c>
      <c r="S5366">
        <v>178.4</v>
      </c>
      <c r="T5366">
        <v>4995.13</v>
      </c>
      <c r="U5366" t="s">
        <v>2108</v>
      </c>
      <c r="V5366" t="s">
        <v>9408</v>
      </c>
      <c r="W5366" t="s">
        <v>423</v>
      </c>
    </row>
    <row r="5367" spans="1:23" hidden="1" x14ac:dyDescent="0.2">
      <c r="A5367">
        <v>2012</v>
      </c>
      <c r="B5367" t="s">
        <v>304</v>
      </c>
      <c r="C5367" s="733">
        <v>40949</v>
      </c>
      <c r="D53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67" t="s">
        <v>485</v>
      </c>
      <c r="F5367" t="s">
        <v>2099</v>
      </c>
      <c r="G5367" t="s">
        <v>3209</v>
      </c>
      <c r="H5367">
        <v>41693</v>
      </c>
      <c r="I5367" t="s">
        <v>423</v>
      </c>
      <c r="J5367" t="s">
        <v>2101</v>
      </c>
      <c r="K5367" t="s">
        <v>2102</v>
      </c>
      <c r="L5367" t="s">
        <v>2103</v>
      </c>
      <c r="M5367">
        <v>119</v>
      </c>
      <c r="N5367">
        <v>24.4</v>
      </c>
      <c r="O5367">
        <v>4092.61</v>
      </c>
      <c r="P5367">
        <v>0</v>
      </c>
      <c r="Q5367">
        <v>4092.61</v>
      </c>
      <c r="R5367">
        <v>654.82000000000005</v>
      </c>
      <c r="S5367">
        <v>163.69999999999999</v>
      </c>
      <c r="T5367">
        <v>4583.7299999999996</v>
      </c>
      <c r="U5367" t="s">
        <v>7462</v>
      </c>
      <c r="V5367" t="s">
        <v>9408</v>
      </c>
      <c r="W5367" t="s">
        <v>423</v>
      </c>
    </row>
    <row r="5368" spans="1:23" hidden="1" x14ac:dyDescent="0.2">
      <c r="A5368">
        <v>2012</v>
      </c>
      <c r="B5368" t="s">
        <v>304</v>
      </c>
      <c r="C5368" s="733">
        <v>40942.736574074072</v>
      </c>
      <c r="D53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68" t="s">
        <v>485</v>
      </c>
      <c r="F5368" t="s">
        <v>2054</v>
      </c>
      <c r="G5368" t="s">
        <v>3575</v>
      </c>
      <c r="H5368">
        <v>10299</v>
      </c>
      <c r="I5368" t="s">
        <v>423</v>
      </c>
      <c r="J5368" t="s">
        <v>2098</v>
      </c>
      <c r="K5368" t="s">
        <v>2057</v>
      </c>
      <c r="L5368" t="s">
        <v>2058</v>
      </c>
      <c r="M5368">
        <v>565</v>
      </c>
      <c r="N5368">
        <v>44.82</v>
      </c>
      <c r="O5368">
        <v>15150.06</v>
      </c>
      <c r="P5368">
        <v>0</v>
      </c>
      <c r="Q5368">
        <v>15150.06</v>
      </c>
      <c r="R5368">
        <v>2424.0100000000002</v>
      </c>
      <c r="S5368">
        <v>606</v>
      </c>
      <c r="T5368">
        <v>16968.07</v>
      </c>
      <c r="U5368" t="s">
        <v>2075</v>
      </c>
      <c r="V5368" t="s">
        <v>9409</v>
      </c>
      <c r="W5368" t="s">
        <v>423</v>
      </c>
    </row>
    <row r="5369" spans="1:23" hidden="1" x14ac:dyDescent="0.2">
      <c r="A5369">
        <v>2012</v>
      </c>
      <c r="B5369" t="s">
        <v>304</v>
      </c>
      <c r="C5369" s="733">
        <v>40961</v>
      </c>
      <c r="D53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69" t="s">
        <v>485</v>
      </c>
      <c r="F5369" t="s">
        <v>2099</v>
      </c>
      <c r="G5369" t="s">
        <v>8366</v>
      </c>
      <c r="H5369">
        <v>42407</v>
      </c>
      <c r="I5369" t="s">
        <v>423</v>
      </c>
      <c r="J5369" t="s">
        <v>2101</v>
      </c>
      <c r="K5369" t="s">
        <v>2102</v>
      </c>
      <c r="L5369" t="s">
        <v>2103</v>
      </c>
      <c r="M5369">
        <v>119</v>
      </c>
      <c r="N5369">
        <v>25.07</v>
      </c>
      <c r="O5369">
        <v>4204.99</v>
      </c>
      <c r="P5369">
        <v>0</v>
      </c>
      <c r="Q5369">
        <v>4204.99</v>
      </c>
      <c r="R5369">
        <v>672.8</v>
      </c>
      <c r="S5369">
        <v>168.2</v>
      </c>
      <c r="T5369">
        <v>4709.59</v>
      </c>
      <c r="U5369" t="s">
        <v>8883</v>
      </c>
      <c r="V5369" t="s">
        <v>9408</v>
      </c>
      <c r="W5369" t="s">
        <v>423</v>
      </c>
    </row>
    <row r="5370" spans="1:23" hidden="1" x14ac:dyDescent="0.2">
      <c r="A5370">
        <v>2012</v>
      </c>
      <c r="B5370" t="s">
        <v>303</v>
      </c>
      <c r="C5370" s="733">
        <v>40912</v>
      </c>
      <c r="D53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70" t="s">
        <v>485</v>
      </c>
      <c r="F5370" t="s">
        <v>2099</v>
      </c>
      <c r="G5370" t="s">
        <v>3232</v>
      </c>
      <c r="H5370">
        <v>39770</v>
      </c>
      <c r="I5370" t="s">
        <v>423</v>
      </c>
      <c r="J5370" t="s">
        <v>2101</v>
      </c>
      <c r="K5370" t="s">
        <v>2102</v>
      </c>
      <c r="L5370" t="s">
        <v>2103</v>
      </c>
      <c r="M5370">
        <v>119</v>
      </c>
      <c r="N5370">
        <v>51.58</v>
      </c>
      <c r="O5370">
        <v>3642.58</v>
      </c>
      <c r="P5370">
        <v>4101.1443959999997</v>
      </c>
      <c r="Q5370">
        <v>7743.7243959999996</v>
      </c>
      <c r="R5370">
        <v>1238.995903</v>
      </c>
      <c r="S5370">
        <v>309.74897600000003</v>
      </c>
      <c r="T5370">
        <v>8672.9713229999998</v>
      </c>
      <c r="U5370" t="s">
        <v>2104</v>
      </c>
      <c r="V5370" t="s">
        <v>9409</v>
      </c>
      <c r="W5370" t="s">
        <v>423</v>
      </c>
    </row>
    <row r="5371" spans="1:23" hidden="1" x14ac:dyDescent="0.2">
      <c r="A5371">
        <v>2012</v>
      </c>
      <c r="B5371" t="s">
        <v>303</v>
      </c>
      <c r="C5371" s="733">
        <v>40935</v>
      </c>
      <c r="D53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71" t="s">
        <v>485</v>
      </c>
      <c r="F5371" t="s">
        <v>2099</v>
      </c>
      <c r="G5371" t="s">
        <v>3231</v>
      </c>
      <c r="H5371">
        <v>41009</v>
      </c>
      <c r="I5371" t="s">
        <v>423</v>
      </c>
      <c r="J5371" t="s">
        <v>2101</v>
      </c>
      <c r="K5371" t="s">
        <v>2102</v>
      </c>
      <c r="L5371" t="s">
        <v>2103</v>
      </c>
      <c r="M5371">
        <v>119</v>
      </c>
      <c r="N5371">
        <v>23.35</v>
      </c>
      <c r="O5371">
        <v>3916.5</v>
      </c>
      <c r="P5371">
        <v>0</v>
      </c>
      <c r="Q5371">
        <v>3916.5</v>
      </c>
      <c r="R5371">
        <v>626.64</v>
      </c>
      <c r="S5371">
        <v>156.66</v>
      </c>
      <c r="T5371">
        <v>4386.4799999999996</v>
      </c>
      <c r="U5371" t="s">
        <v>2110</v>
      </c>
      <c r="V5371" t="s">
        <v>9408</v>
      </c>
      <c r="W5371" t="s">
        <v>423</v>
      </c>
    </row>
    <row r="5372" spans="1:23" x14ac:dyDescent="0.2">
      <c r="A5372">
        <v>2012</v>
      </c>
      <c r="B5372" t="s">
        <v>304</v>
      </c>
      <c r="C5372" s="733">
        <v>40967</v>
      </c>
      <c r="D53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72" t="s">
        <v>485</v>
      </c>
      <c r="F5372" t="s">
        <v>2084</v>
      </c>
      <c r="G5372" t="s">
        <v>9106</v>
      </c>
      <c r="H5372">
        <v>42053</v>
      </c>
      <c r="I5372" t="s">
        <v>423</v>
      </c>
      <c r="J5372" t="s">
        <v>2836</v>
      </c>
      <c r="K5372" t="s">
        <v>2814</v>
      </c>
      <c r="L5372" t="s">
        <v>2815</v>
      </c>
      <c r="M5372">
        <v>70</v>
      </c>
      <c r="N5372">
        <v>24.294</v>
      </c>
      <c r="O5372">
        <v>2742.06</v>
      </c>
      <c r="P5372">
        <v>0</v>
      </c>
      <c r="Q5372">
        <v>2742.06</v>
      </c>
      <c r="R5372">
        <v>301.63</v>
      </c>
      <c r="S5372">
        <v>109.68</v>
      </c>
      <c r="T5372">
        <v>2934.01</v>
      </c>
      <c r="U5372" t="s">
        <v>8877</v>
      </c>
      <c r="V5372" t="s">
        <v>9408</v>
      </c>
      <c r="W5372" t="s">
        <v>423</v>
      </c>
    </row>
    <row r="5373" spans="1:23" hidden="1" x14ac:dyDescent="0.2">
      <c r="A5373">
        <v>2012</v>
      </c>
      <c r="B5373" t="s">
        <v>303</v>
      </c>
      <c r="C5373" s="733">
        <v>40912</v>
      </c>
      <c r="D53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73" t="s">
        <v>485</v>
      </c>
      <c r="F5373" t="s">
        <v>2084</v>
      </c>
      <c r="G5373" t="s">
        <v>4011</v>
      </c>
      <c r="H5373">
        <v>39469</v>
      </c>
      <c r="I5373" t="s">
        <v>423</v>
      </c>
      <c r="J5373" t="s">
        <v>2836</v>
      </c>
      <c r="K5373" t="s">
        <v>2814</v>
      </c>
      <c r="L5373" t="s">
        <v>2815</v>
      </c>
      <c r="M5373">
        <v>70</v>
      </c>
      <c r="N5373">
        <v>23.19</v>
      </c>
      <c r="O5373">
        <v>1101.99</v>
      </c>
      <c r="P5373">
        <v>1240.719521</v>
      </c>
      <c r="Q5373">
        <v>2342.7095210000002</v>
      </c>
      <c r="R5373">
        <v>374.83352300000001</v>
      </c>
      <c r="S5373">
        <v>93.708381000000003</v>
      </c>
      <c r="T5373">
        <v>2623.8346630000001</v>
      </c>
      <c r="U5373" t="s">
        <v>2846</v>
      </c>
      <c r="V5373" t="s">
        <v>9408</v>
      </c>
      <c r="W5373" t="s">
        <v>423</v>
      </c>
    </row>
    <row r="5374" spans="1:23" hidden="1" x14ac:dyDescent="0.2">
      <c r="A5374">
        <v>2012</v>
      </c>
      <c r="B5374" t="s">
        <v>303</v>
      </c>
      <c r="C5374" s="733">
        <v>40938.772337962961</v>
      </c>
      <c r="D53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74" t="s">
        <v>485</v>
      </c>
      <c r="F5374" t="s">
        <v>2054</v>
      </c>
      <c r="G5374" t="s">
        <v>3558</v>
      </c>
      <c r="H5374">
        <v>10259</v>
      </c>
      <c r="I5374" t="s">
        <v>423</v>
      </c>
      <c r="J5374" t="s">
        <v>2098</v>
      </c>
      <c r="K5374" t="s">
        <v>2057</v>
      </c>
      <c r="L5374" t="s">
        <v>2058</v>
      </c>
      <c r="M5374">
        <v>565</v>
      </c>
      <c r="N5374">
        <v>47.98</v>
      </c>
      <c r="O5374">
        <v>16218.2</v>
      </c>
      <c r="P5374">
        <v>0</v>
      </c>
      <c r="Q5374">
        <v>16218.2</v>
      </c>
      <c r="R5374">
        <v>2594.91</v>
      </c>
      <c r="S5374">
        <v>648.73</v>
      </c>
      <c r="T5374">
        <v>18164.38</v>
      </c>
      <c r="U5374" t="s">
        <v>2075</v>
      </c>
      <c r="V5374" t="s">
        <v>9409</v>
      </c>
      <c r="W5374" t="s">
        <v>423</v>
      </c>
    </row>
    <row r="5375" spans="1:23" hidden="1" x14ac:dyDescent="0.2">
      <c r="A5375">
        <v>2012</v>
      </c>
      <c r="B5375" t="s">
        <v>304</v>
      </c>
      <c r="C5375" s="733">
        <v>40950.44021990741</v>
      </c>
      <c r="D53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75" t="s">
        <v>485</v>
      </c>
      <c r="F5375" t="s">
        <v>2054</v>
      </c>
      <c r="G5375" t="s">
        <v>3576</v>
      </c>
      <c r="H5375">
        <v>10388</v>
      </c>
      <c r="I5375" t="s">
        <v>423</v>
      </c>
      <c r="J5375" t="s">
        <v>2098</v>
      </c>
      <c r="K5375" t="s">
        <v>2057</v>
      </c>
      <c r="L5375" t="s">
        <v>2058</v>
      </c>
      <c r="M5375">
        <v>565</v>
      </c>
      <c r="N5375">
        <v>47.91</v>
      </c>
      <c r="O5375">
        <v>16194.54</v>
      </c>
      <c r="P5375">
        <v>0</v>
      </c>
      <c r="Q5375">
        <v>16194.54</v>
      </c>
      <c r="R5375">
        <v>1781.4</v>
      </c>
      <c r="S5375">
        <v>647.78</v>
      </c>
      <c r="T5375">
        <v>17328.16</v>
      </c>
      <c r="U5375" t="s">
        <v>2082</v>
      </c>
      <c r="V5375" t="s">
        <v>9409</v>
      </c>
      <c r="W5375" t="s">
        <v>423</v>
      </c>
    </row>
    <row r="5376" spans="1:23" hidden="1" x14ac:dyDescent="0.2">
      <c r="A5376">
        <v>2012</v>
      </c>
      <c r="B5376" t="s">
        <v>303</v>
      </c>
      <c r="C5376" s="733">
        <v>40928</v>
      </c>
      <c r="D53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76" t="s">
        <v>485</v>
      </c>
      <c r="F5376" t="s">
        <v>2054</v>
      </c>
      <c r="G5376" t="s">
        <v>4562</v>
      </c>
      <c r="H5376">
        <v>10140</v>
      </c>
      <c r="I5376" t="s">
        <v>423</v>
      </c>
      <c r="J5376" t="s">
        <v>4560</v>
      </c>
      <c r="K5376" t="s">
        <v>2057</v>
      </c>
      <c r="L5376" t="s">
        <v>2058</v>
      </c>
      <c r="M5376">
        <v>403</v>
      </c>
      <c r="N5376">
        <v>30.04</v>
      </c>
      <c r="O5376">
        <v>8209.33</v>
      </c>
      <c r="P5376">
        <v>0</v>
      </c>
      <c r="Q5376">
        <v>8209.33</v>
      </c>
      <c r="R5376">
        <v>1313.49</v>
      </c>
      <c r="S5376">
        <v>328.37</v>
      </c>
      <c r="T5376">
        <v>9194.4500000000007</v>
      </c>
      <c r="U5376" t="s">
        <v>2077</v>
      </c>
      <c r="V5376" t="s">
        <v>9408</v>
      </c>
      <c r="W5376" t="s">
        <v>423</v>
      </c>
    </row>
    <row r="5377" spans="1:23" hidden="1" x14ac:dyDescent="0.2">
      <c r="A5377">
        <v>2012</v>
      </c>
      <c r="B5377" t="s">
        <v>303</v>
      </c>
      <c r="C5377" s="733">
        <v>40933.509004629632</v>
      </c>
      <c r="D53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77" t="s">
        <v>485</v>
      </c>
      <c r="F5377" t="s">
        <v>2054</v>
      </c>
      <c r="G5377" t="s">
        <v>4561</v>
      </c>
      <c r="H5377">
        <v>10200</v>
      </c>
      <c r="I5377" t="s">
        <v>423</v>
      </c>
      <c r="J5377" t="s">
        <v>4560</v>
      </c>
      <c r="K5377" t="s">
        <v>2057</v>
      </c>
      <c r="L5377" t="s">
        <v>2058</v>
      </c>
      <c r="M5377">
        <v>403</v>
      </c>
      <c r="N5377">
        <v>30.4</v>
      </c>
      <c r="O5377">
        <v>8307.7099999999991</v>
      </c>
      <c r="P5377">
        <v>0</v>
      </c>
      <c r="Q5377">
        <v>8307.7099999999991</v>
      </c>
      <c r="R5377">
        <v>1329.23</v>
      </c>
      <c r="S5377">
        <v>332.31</v>
      </c>
      <c r="T5377">
        <v>9304.6299999999992</v>
      </c>
      <c r="U5377" t="s">
        <v>2073</v>
      </c>
      <c r="V5377" t="s">
        <v>9408</v>
      </c>
      <c r="W5377" t="s">
        <v>423</v>
      </c>
    </row>
    <row r="5378" spans="1:23" hidden="1" x14ac:dyDescent="0.2">
      <c r="A5378">
        <v>2012</v>
      </c>
      <c r="B5378" t="s">
        <v>303</v>
      </c>
      <c r="C5378" s="733">
        <v>40929</v>
      </c>
      <c r="D53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78" t="s">
        <v>485</v>
      </c>
      <c r="F5378" t="s">
        <v>2054</v>
      </c>
      <c r="G5378" t="s">
        <v>4559</v>
      </c>
      <c r="H5378">
        <v>10162</v>
      </c>
      <c r="I5378" t="s">
        <v>423</v>
      </c>
      <c r="J5378" t="s">
        <v>4560</v>
      </c>
      <c r="K5378" t="s">
        <v>2057</v>
      </c>
      <c r="L5378" t="s">
        <v>2058</v>
      </c>
      <c r="M5378">
        <v>403</v>
      </c>
      <c r="N5378">
        <v>30.19</v>
      </c>
      <c r="O5378">
        <v>8250.4</v>
      </c>
      <c r="P5378">
        <v>0</v>
      </c>
      <c r="Q5378">
        <v>8250.4</v>
      </c>
      <c r="R5378">
        <v>1320.06</v>
      </c>
      <c r="S5378">
        <v>330.02</v>
      </c>
      <c r="T5378">
        <v>9240.44</v>
      </c>
      <c r="U5378" t="s">
        <v>2077</v>
      </c>
      <c r="V5378" t="s">
        <v>9408</v>
      </c>
      <c r="W5378" t="s">
        <v>423</v>
      </c>
    </row>
    <row r="5379" spans="1:23" hidden="1" x14ac:dyDescent="0.2">
      <c r="A5379">
        <v>2012</v>
      </c>
      <c r="B5379" t="s">
        <v>304</v>
      </c>
      <c r="C5379" s="733">
        <v>40961</v>
      </c>
      <c r="D53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79" t="s">
        <v>485</v>
      </c>
      <c r="F5379" t="s">
        <v>2099</v>
      </c>
      <c r="G5379" t="s">
        <v>8367</v>
      </c>
      <c r="H5379">
        <v>42409</v>
      </c>
      <c r="I5379" t="s">
        <v>423</v>
      </c>
      <c r="J5379" t="s">
        <v>2101</v>
      </c>
      <c r="K5379" t="s">
        <v>2102</v>
      </c>
      <c r="L5379" t="s">
        <v>2103</v>
      </c>
      <c r="M5379">
        <v>119</v>
      </c>
      <c r="N5379">
        <v>26.17</v>
      </c>
      <c r="O5379">
        <v>4389.49</v>
      </c>
      <c r="P5379">
        <v>0</v>
      </c>
      <c r="Q5379">
        <v>4389.49</v>
      </c>
      <c r="R5379">
        <v>702.32</v>
      </c>
      <c r="S5379">
        <v>175.58</v>
      </c>
      <c r="T5379">
        <v>4916.2299999999996</v>
      </c>
      <c r="U5379" t="s">
        <v>8883</v>
      </c>
      <c r="V5379" t="s">
        <v>9408</v>
      </c>
      <c r="W5379" t="s">
        <v>423</v>
      </c>
    </row>
    <row r="5380" spans="1:23" hidden="1" x14ac:dyDescent="0.2">
      <c r="A5380">
        <v>2012</v>
      </c>
      <c r="B5380" t="s">
        <v>304</v>
      </c>
      <c r="C5380" s="733">
        <v>40949</v>
      </c>
      <c r="D53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80" t="s">
        <v>485</v>
      </c>
      <c r="F5380" t="s">
        <v>2065</v>
      </c>
      <c r="G5380" t="s">
        <v>5385</v>
      </c>
      <c r="H5380">
        <v>41696</v>
      </c>
      <c r="I5380" t="s">
        <v>423</v>
      </c>
      <c r="J5380" t="s">
        <v>2101</v>
      </c>
      <c r="K5380" t="s">
        <v>2102</v>
      </c>
      <c r="L5380" t="s">
        <v>2103</v>
      </c>
      <c r="M5380">
        <v>119</v>
      </c>
      <c r="N5380">
        <v>31.12</v>
      </c>
      <c r="O5380">
        <v>5219.76</v>
      </c>
      <c r="P5380">
        <v>0</v>
      </c>
      <c r="Q5380">
        <v>5219.76</v>
      </c>
      <c r="R5380">
        <v>835.16</v>
      </c>
      <c r="S5380">
        <v>208.79</v>
      </c>
      <c r="T5380">
        <v>5846.13</v>
      </c>
      <c r="U5380" t="s">
        <v>7462</v>
      </c>
      <c r="V5380" t="s">
        <v>9408</v>
      </c>
      <c r="W5380" t="s">
        <v>423</v>
      </c>
    </row>
    <row r="5381" spans="1:23" hidden="1" x14ac:dyDescent="0.2">
      <c r="A5381">
        <v>2012</v>
      </c>
      <c r="B5381" t="s">
        <v>304</v>
      </c>
      <c r="C5381" s="733">
        <v>40968</v>
      </c>
      <c r="D53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81" t="s">
        <v>478</v>
      </c>
      <c r="F5381" t="s">
        <v>2136</v>
      </c>
      <c r="G5381" t="s">
        <v>9527</v>
      </c>
      <c r="H5381">
        <v>35936</v>
      </c>
      <c r="I5381" t="s">
        <v>423</v>
      </c>
      <c r="J5381" t="s">
        <v>5384</v>
      </c>
      <c r="K5381" t="s">
        <v>425</v>
      </c>
      <c r="L5381" t="s">
        <v>2145</v>
      </c>
      <c r="M5381">
        <v>1472</v>
      </c>
      <c r="N5381">
        <v>22.37</v>
      </c>
      <c r="O5381">
        <v>15978.67</v>
      </c>
      <c r="P5381">
        <v>0</v>
      </c>
      <c r="Q5381">
        <v>15978.67</v>
      </c>
      <c r="R5381">
        <v>2556.59</v>
      </c>
      <c r="S5381">
        <v>639.15</v>
      </c>
      <c r="T5381">
        <v>17896.11</v>
      </c>
      <c r="U5381" t="s">
        <v>9430</v>
      </c>
      <c r="V5381" t="s">
        <v>9408</v>
      </c>
      <c r="W5381" t="s">
        <v>423</v>
      </c>
    </row>
    <row r="5382" spans="1:23" hidden="1" x14ac:dyDescent="0.2">
      <c r="A5382">
        <v>2012</v>
      </c>
      <c r="B5382" t="s">
        <v>304</v>
      </c>
      <c r="C5382" s="733">
        <v>40963</v>
      </c>
      <c r="D53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82" t="s">
        <v>478</v>
      </c>
      <c r="F5382" t="s">
        <v>2136</v>
      </c>
      <c r="G5382" t="s">
        <v>9107</v>
      </c>
      <c r="H5382">
        <v>35769</v>
      </c>
      <c r="I5382" t="s">
        <v>423</v>
      </c>
      <c r="J5382" t="s">
        <v>5384</v>
      </c>
      <c r="K5382" t="s">
        <v>425</v>
      </c>
      <c r="L5382" t="s">
        <v>2145</v>
      </c>
      <c r="M5382">
        <v>1472</v>
      </c>
      <c r="N5382">
        <v>21.81</v>
      </c>
      <c r="O5382">
        <v>15578.66</v>
      </c>
      <c r="P5382">
        <v>0</v>
      </c>
      <c r="Q5382">
        <v>15578.66</v>
      </c>
      <c r="R5382">
        <v>2492.59</v>
      </c>
      <c r="S5382">
        <v>623.15</v>
      </c>
      <c r="T5382">
        <v>17448.099999999999</v>
      </c>
      <c r="U5382" t="s">
        <v>9430</v>
      </c>
      <c r="V5382" t="s">
        <v>9408</v>
      </c>
      <c r="W5382" t="s">
        <v>423</v>
      </c>
    </row>
    <row r="5383" spans="1:23" hidden="1" x14ac:dyDescent="0.2">
      <c r="A5383">
        <v>2012</v>
      </c>
      <c r="B5383" t="s">
        <v>303</v>
      </c>
      <c r="C5383" s="733">
        <v>40918</v>
      </c>
      <c r="D53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83" t="s">
        <v>478</v>
      </c>
      <c r="F5383" t="s">
        <v>2136</v>
      </c>
      <c r="G5383" t="s">
        <v>5383</v>
      </c>
      <c r="H5383">
        <v>34268</v>
      </c>
      <c r="I5383" t="s">
        <v>423</v>
      </c>
      <c r="J5383" t="s">
        <v>5384</v>
      </c>
      <c r="K5383" t="s">
        <v>425</v>
      </c>
      <c r="L5383" t="s">
        <v>2145</v>
      </c>
      <c r="M5383">
        <v>1472</v>
      </c>
      <c r="N5383">
        <v>53.61</v>
      </c>
      <c r="O5383">
        <v>38293.089999999997</v>
      </c>
      <c r="P5383">
        <v>0</v>
      </c>
      <c r="Q5383">
        <v>38293.089999999997</v>
      </c>
      <c r="R5383">
        <v>6126.89</v>
      </c>
      <c r="S5383">
        <v>1531.72</v>
      </c>
      <c r="T5383">
        <v>42888.26</v>
      </c>
      <c r="U5383" t="s">
        <v>9455</v>
      </c>
      <c r="V5383" t="s">
        <v>9409</v>
      </c>
      <c r="W5383" t="s">
        <v>423</v>
      </c>
    </row>
    <row r="5384" spans="1:23" hidden="1" x14ac:dyDescent="0.2">
      <c r="A5384">
        <v>2012</v>
      </c>
      <c r="B5384" t="s">
        <v>304</v>
      </c>
      <c r="C5384" s="733">
        <v>40949.542083333334</v>
      </c>
      <c r="D53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84" t="s">
        <v>485</v>
      </c>
      <c r="F5384" t="s">
        <v>2054</v>
      </c>
      <c r="G5384" t="s">
        <v>3559</v>
      </c>
      <c r="H5384">
        <v>10375</v>
      </c>
      <c r="I5384" t="s">
        <v>423</v>
      </c>
      <c r="J5384" t="s">
        <v>2098</v>
      </c>
      <c r="K5384" t="s">
        <v>2057</v>
      </c>
      <c r="L5384" t="s">
        <v>2058</v>
      </c>
      <c r="M5384">
        <v>565</v>
      </c>
      <c r="N5384">
        <v>47.26</v>
      </c>
      <c r="O5384">
        <v>15974.83</v>
      </c>
      <c r="P5384">
        <v>0</v>
      </c>
      <c r="Q5384">
        <v>15974.83</v>
      </c>
      <c r="R5384">
        <v>1757.23</v>
      </c>
      <c r="S5384">
        <v>638.99</v>
      </c>
      <c r="T5384">
        <v>17093.07</v>
      </c>
      <c r="U5384" t="s">
        <v>2082</v>
      </c>
      <c r="V5384" t="s">
        <v>9409</v>
      </c>
      <c r="W5384" t="s">
        <v>423</v>
      </c>
    </row>
    <row r="5385" spans="1:23" hidden="1" x14ac:dyDescent="0.2">
      <c r="A5385">
        <v>2012</v>
      </c>
      <c r="B5385" t="s">
        <v>303</v>
      </c>
      <c r="C5385" s="733">
        <v>40926.342523148145</v>
      </c>
      <c r="D53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85" t="s">
        <v>485</v>
      </c>
      <c r="F5385" t="s">
        <v>2099</v>
      </c>
      <c r="G5385" t="s">
        <v>4540</v>
      </c>
      <c r="H5385">
        <v>40486</v>
      </c>
      <c r="I5385" t="s">
        <v>2821</v>
      </c>
      <c r="J5385" t="s">
        <v>4541</v>
      </c>
      <c r="K5385" t="s">
        <v>4524</v>
      </c>
      <c r="L5385" t="s">
        <v>2184</v>
      </c>
      <c r="M5385">
        <v>640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V5385" t="s">
        <v>9408</v>
      </c>
      <c r="W5385" t="s">
        <v>2821</v>
      </c>
    </row>
    <row r="5386" spans="1:23" hidden="1" x14ac:dyDescent="0.2">
      <c r="A5386">
        <v>2012</v>
      </c>
      <c r="B5386" t="s">
        <v>303</v>
      </c>
      <c r="C5386" s="733">
        <v>40924</v>
      </c>
      <c r="D53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86" t="s">
        <v>505</v>
      </c>
      <c r="F5386" t="s">
        <v>1915</v>
      </c>
      <c r="G5386" t="s">
        <v>5362</v>
      </c>
      <c r="H5386">
        <v>21902</v>
      </c>
      <c r="I5386" t="s">
        <v>1979</v>
      </c>
      <c r="J5386" t="s">
        <v>5363</v>
      </c>
      <c r="K5386" t="s">
        <v>1918</v>
      </c>
      <c r="L5386" t="s">
        <v>1919</v>
      </c>
      <c r="M5386">
        <v>856</v>
      </c>
      <c r="N5386">
        <v>49.9</v>
      </c>
      <c r="O5386">
        <v>25299.3</v>
      </c>
      <c r="P5386">
        <v>0</v>
      </c>
      <c r="Q5386">
        <v>25299.3</v>
      </c>
      <c r="R5386">
        <v>4047.89</v>
      </c>
      <c r="S5386">
        <v>1011.97</v>
      </c>
      <c r="T5386">
        <v>28335.22</v>
      </c>
      <c r="U5386" t="s">
        <v>1931</v>
      </c>
      <c r="V5386" t="s">
        <v>9409</v>
      </c>
      <c r="W5386" t="s">
        <v>1979</v>
      </c>
    </row>
    <row r="5387" spans="1:23" hidden="1" x14ac:dyDescent="0.2">
      <c r="A5387">
        <v>2012</v>
      </c>
      <c r="B5387" t="s">
        <v>304</v>
      </c>
      <c r="C5387" s="733">
        <v>40953</v>
      </c>
      <c r="D53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87" t="s">
        <v>485</v>
      </c>
      <c r="F5387" t="s">
        <v>2065</v>
      </c>
      <c r="G5387" t="s">
        <v>4010</v>
      </c>
      <c r="H5387">
        <v>41632</v>
      </c>
      <c r="I5387" t="s">
        <v>423</v>
      </c>
      <c r="J5387" t="s">
        <v>2813</v>
      </c>
      <c r="K5387" t="s">
        <v>2814</v>
      </c>
      <c r="L5387" t="s">
        <v>2815</v>
      </c>
      <c r="M5387">
        <v>365</v>
      </c>
      <c r="N5387">
        <v>24</v>
      </c>
      <c r="O5387">
        <v>6460.32</v>
      </c>
      <c r="P5387">
        <v>0</v>
      </c>
      <c r="Q5387">
        <v>6460.32</v>
      </c>
      <c r="R5387">
        <v>710.64</v>
      </c>
      <c r="S5387">
        <v>258.41000000000003</v>
      </c>
      <c r="T5387">
        <v>6912.55</v>
      </c>
      <c r="U5387" t="s">
        <v>7527</v>
      </c>
      <c r="V5387" t="s">
        <v>9408</v>
      </c>
      <c r="W5387" t="s">
        <v>423</v>
      </c>
    </row>
    <row r="5388" spans="1:23" hidden="1" x14ac:dyDescent="0.2">
      <c r="A5388">
        <v>2012</v>
      </c>
      <c r="B5388" t="s">
        <v>304</v>
      </c>
      <c r="C5388" s="733">
        <v>40946</v>
      </c>
      <c r="D53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88" t="s">
        <v>485</v>
      </c>
      <c r="F5388" t="s">
        <v>2136</v>
      </c>
      <c r="G5388" t="s">
        <v>5519</v>
      </c>
      <c r="H5388">
        <v>41418</v>
      </c>
      <c r="I5388" t="s">
        <v>423</v>
      </c>
      <c r="J5388" t="s">
        <v>2124</v>
      </c>
      <c r="K5388" t="s">
        <v>2102</v>
      </c>
      <c r="L5388" t="s">
        <v>2115</v>
      </c>
      <c r="M5388">
        <v>981</v>
      </c>
      <c r="N5388">
        <v>25.53</v>
      </c>
      <c r="O5388">
        <v>16648.62</v>
      </c>
      <c r="P5388">
        <v>0</v>
      </c>
      <c r="Q5388">
        <v>16648.62</v>
      </c>
      <c r="R5388">
        <v>2663.78</v>
      </c>
      <c r="S5388">
        <v>665.94</v>
      </c>
      <c r="T5388">
        <v>18646.46</v>
      </c>
      <c r="U5388" t="s">
        <v>7462</v>
      </c>
      <c r="V5388" t="s">
        <v>9408</v>
      </c>
      <c r="W5388" t="s">
        <v>423</v>
      </c>
    </row>
    <row r="5389" spans="1:23" hidden="1" x14ac:dyDescent="0.2">
      <c r="A5389">
        <v>2012</v>
      </c>
      <c r="B5389" t="s">
        <v>304</v>
      </c>
      <c r="C5389" s="733">
        <v>40941</v>
      </c>
      <c r="D53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89" t="s">
        <v>505</v>
      </c>
      <c r="F5389" t="s">
        <v>1915</v>
      </c>
      <c r="G5389" t="s">
        <v>5372</v>
      </c>
      <c r="H5389">
        <v>22434</v>
      </c>
      <c r="I5389" t="s">
        <v>423</v>
      </c>
      <c r="J5389" t="s">
        <v>4259</v>
      </c>
      <c r="K5389" t="s">
        <v>1918</v>
      </c>
      <c r="L5389" t="s">
        <v>1919</v>
      </c>
      <c r="M5389">
        <v>467</v>
      </c>
      <c r="N5389">
        <v>52.77</v>
      </c>
      <c r="O5389">
        <v>16376.64</v>
      </c>
      <c r="P5389">
        <v>0</v>
      </c>
      <c r="Q5389">
        <v>16376.64</v>
      </c>
      <c r="R5389">
        <v>2620.2600000000002</v>
      </c>
      <c r="S5389">
        <v>655.07000000000005</v>
      </c>
      <c r="T5389">
        <v>18341.830000000002</v>
      </c>
      <c r="U5389" t="s">
        <v>1926</v>
      </c>
      <c r="V5389" t="s">
        <v>9409</v>
      </c>
      <c r="W5389" t="s">
        <v>423</v>
      </c>
    </row>
    <row r="5390" spans="1:23" hidden="1" x14ac:dyDescent="0.2">
      <c r="A5390">
        <v>2012</v>
      </c>
      <c r="B5390" t="s">
        <v>303</v>
      </c>
      <c r="C5390" s="733">
        <v>40932</v>
      </c>
      <c r="D53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90" t="s">
        <v>505</v>
      </c>
      <c r="F5390" t="s">
        <v>1915</v>
      </c>
      <c r="G5390" t="s">
        <v>5369</v>
      </c>
      <c r="H5390">
        <v>22201</v>
      </c>
      <c r="I5390" t="s">
        <v>423</v>
      </c>
      <c r="J5390" t="s">
        <v>4259</v>
      </c>
      <c r="K5390" t="s">
        <v>1918</v>
      </c>
      <c r="L5390" t="s">
        <v>1919</v>
      </c>
      <c r="M5390">
        <v>467</v>
      </c>
      <c r="N5390">
        <v>54.12</v>
      </c>
      <c r="O5390">
        <v>16795.599999999999</v>
      </c>
      <c r="P5390">
        <v>0</v>
      </c>
      <c r="Q5390">
        <v>16795.599999999999</v>
      </c>
      <c r="R5390">
        <v>2687.3</v>
      </c>
      <c r="S5390">
        <v>671.82</v>
      </c>
      <c r="T5390">
        <v>18811.080000000002</v>
      </c>
      <c r="U5390" t="s">
        <v>8778</v>
      </c>
      <c r="V5390" t="s">
        <v>9409</v>
      </c>
      <c r="W5390" t="s">
        <v>423</v>
      </c>
    </row>
    <row r="5391" spans="1:23" hidden="1" x14ac:dyDescent="0.2">
      <c r="A5391">
        <v>2012</v>
      </c>
      <c r="B5391" t="s">
        <v>303</v>
      </c>
      <c r="C5391" s="733">
        <v>40939</v>
      </c>
      <c r="D53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91" t="s">
        <v>505</v>
      </c>
      <c r="F5391" t="s">
        <v>1915</v>
      </c>
      <c r="G5391" t="s">
        <v>5370</v>
      </c>
      <c r="H5391">
        <v>22373</v>
      </c>
      <c r="I5391" t="s">
        <v>423</v>
      </c>
      <c r="J5391" t="s">
        <v>4259</v>
      </c>
      <c r="K5391" t="s">
        <v>1918</v>
      </c>
      <c r="L5391" t="s">
        <v>1919</v>
      </c>
      <c r="M5391">
        <v>467</v>
      </c>
      <c r="N5391">
        <v>25.24</v>
      </c>
      <c r="O5391">
        <v>7832.98</v>
      </c>
      <c r="P5391">
        <v>0</v>
      </c>
      <c r="Q5391">
        <v>7832.98</v>
      </c>
      <c r="R5391">
        <v>1253.28</v>
      </c>
      <c r="S5391">
        <v>313.32</v>
      </c>
      <c r="T5391">
        <v>8772.94</v>
      </c>
      <c r="U5391" t="s">
        <v>1926</v>
      </c>
      <c r="V5391" t="s">
        <v>9408</v>
      </c>
      <c r="W5391" t="s">
        <v>423</v>
      </c>
    </row>
    <row r="5392" spans="1:23" hidden="1" x14ac:dyDescent="0.2">
      <c r="A5392">
        <v>2012</v>
      </c>
      <c r="B5392" t="s">
        <v>304</v>
      </c>
      <c r="C5392" s="733">
        <v>40968</v>
      </c>
      <c r="D53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92" t="s">
        <v>505</v>
      </c>
      <c r="F5392" t="s">
        <v>1915</v>
      </c>
      <c r="G5392" t="s">
        <v>8851</v>
      </c>
      <c r="H5392">
        <v>23081</v>
      </c>
      <c r="I5392" t="s">
        <v>424</v>
      </c>
      <c r="J5392" t="s">
        <v>1917</v>
      </c>
      <c r="K5392" t="s">
        <v>1918</v>
      </c>
      <c r="L5392" t="s">
        <v>1919</v>
      </c>
      <c r="M5392">
        <v>267</v>
      </c>
      <c r="N5392">
        <v>54</v>
      </c>
      <c r="O5392">
        <v>8304.66</v>
      </c>
      <c r="P5392">
        <v>0</v>
      </c>
      <c r="Q5392">
        <v>8304.66</v>
      </c>
      <c r="R5392">
        <v>1328.75</v>
      </c>
      <c r="S5392">
        <v>332.19</v>
      </c>
      <c r="T5392">
        <v>9301.2199999999993</v>
      </c>
      <c r="V5392" t="s">
        <v>9409</v>
      </c>
      <c r="W5392" t="s">
        <v>424</v>
      </c>
    </row>
    <row r="5393" spans="1:23" hidden="1" x14ac:dyDescent="0.2">
      <c r="A5393">
        <v>2012</v>
      </c>
      <c r="B5393" t="s">
        <v>303</v>
      </c>
      <c r="C5393" s="733">
        <v>40939</v>
      </c>
      <c r="D53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93" t="s">
        <v>485</v>
      </c>
      <c r="F5393" t="s">
        <v>2065</v>
      </c>
      <c r="G5393" t="s">
        <v>4539</v>
      </c>
      <c r="H5393">
        <v>41167</v>
      </c>
      <c r="I5393" t="s">
        <v>423</v>
      </c>
      <c r="J5393" t="s">
        <v>3054</v>
      </c>
      <c r="K5393" t="s">
        <v>2183</v>
      </c>
      <c r="L5393" t="s">
        <v>2184</v>
      </c>
      <c r="M5393">
        <v>43</v>
      </c>
      <c r="N5393">
        <v>16.12</v>
      </c>
      <c r="O5393">
        <v>1819.46</v>
      </c>
      <c r="P5393">
        <v>0</v>
      </c>
      <c r="Q5393">
        <v>1819.46</v>
      </c>
      <c r="R5393">
        <v>291.11</v>
      </c>
      <c r="S5393">
        <v>72.78</v>
      </c>
      <c r="T5393">
        <v>2037.79</v>
      </c>
      <c r="U5393" t="s">
        <v>2192</v>
      </c>
      <c r="V5393" t="s">
        <v>9408</v>
      </c>
      <c r="W5393" t="s">
        <v>423</v>
      </c>
    </row>
    <row r="5394" spans="1:23" hidden="1" x14ac:dyDescent="0.2">
      <c r="A5394">
        <v>2012</v>
      </c>
      <c r="B5394" t="s">
        <v>303</v>
      </c>
      <c r="C5394" s="733">
        <v>40914.728182870371</v>
      </c>
      <c r="D53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94" t="s">
        <v>505</v>
      </c>
      <c r="F5394" t="s">
        <v>1915</v>
      </c>
      <c r="G5394" t="s">
        <v>2870</v>
      </c>
      <c r="H5394">
        <v>21782</v>
      </c>
      <c r="I5394" t="s">
        <v>423</v>
      </c>
      <c r="J5394" t="s">
        <v>1917</v>
      </c>
      <c r="K5394" t="s">
        <v>1918</v>
      </c>
      <c r="L5394" t="s">
        <v>1919</v>
      </c>
      <c r="M5394">
        <v>267</v>
      </c>
      <c r="N5394">
        <v>49.92</v>
      </c>
      <c r="O5394">
        <v>11224.01</v>
      </c>
      <c r="P5394">
        <v>0</v>
      </c>
      <c r="Q5394">
        <v>11224.01</v>
      </c>
      <c r="R5394">
        <v>1795.84</v>
      </c>
      <c r="S5394">
        <v>448.96</v>
      </c>
      <c r="T5394">
        <v>12570.89</v>
      </c>
      <c r="U5394" t="s">
        <v>1931</v>
      </c>
      <c r="V5394" t="s">
        <v>9409</v>
      </c>
      <c r="W5394" t="s">
        <v>423</v>
      </c>
    </row>
    <row r="5395" spans="1:23" hidden="1" x14ac:dyDescent="0.2">
      <c r="A5395">
        <v>2012</v>
      </c>
      <c r="B5395" t="s">
        <v>304</v>
      </c>
      <c r="C5395" s="733">
        <v>40941</v>
      </c>
      <c r="D53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95" t="s">
        <v>485</v>
      </c>
      <c r="F5395" t="s">
        <v>2065</v>
      </c>
      <c r="G5395" t="s">
        <v>2308</v>
      </c>
      <c r="H5395">
        <v>41337</v>
      </c>
      <c r="I5395" t="s">
        <v>423</v>
      </c>
      <c r="J5395" t="s">
        <v>2050</v>
      </c>
      <c r="K5395" t="s">
        <v>2051</v>
      </c>
      <c r="L5395" t="s">
        <v>2052</v>
      </c>
      <c r="M5395">
        <v>90</v>
      </c>
      <c r="N5395">
        <v>57.4</v>
      </c>
      <c r="O5395">
        <v>8053.79</v>
      </c>
      <c r="P5395">
        <v>0</v>
      </c>
      <c r="Q5395">
        <v>8053.79</v>
      </c>
      <c r="R5395">
        <v>1288.6099999999999</v>
      </c>
      <c r="S5395">
        <v>322.14999999999998</v>
      </c>
      <c r="T5395">
        <v>9020.25</v>
      </c>
      <c r="U5395" t="s">
        <v>8257</v>
      </c>
      <c r="V5395" t="s">
        <v>9409</v>
      </c>
      <c r="W5395" t="s">
        <v>423</v>
      </c>
    </row>
    <row r="5396" spans="1:23" hidden="1" x14ac:dyDescent="0.2">
      <c r="A5396">
        <v>2012</v>
      </c>
      <c r="B5396" t="s">
        <v>303</v>
      </c>
      <c r="C5396" s="733">
        <v>40938</v>
      </c>
      <c r="D53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96" t="s">
        <v>485</v>
      </c>
      <c r="F5396" t="s">
        <v>2065</v>
      </c>
      <c r="G5396" t="s">
        <v>2316</v>
      </c>
      <c r="H5396">
        <v>41109</v>
      </c>
      <c r="I5396" t="s">
        <v>423</v>
      </c>
      <c r="J5396" t="s">
        <v>2050</v>
      </c>
      <c r="K5396" t="s">
        <v>2051</v>
      </c>
      <c r="L5396" t="s">
        <v>2052</v>
      </c>
      <c r="M5396">
        <v>90</v>
      </c>
      <c r="N5396">
        <v>26.6</v>
      </c>
      <c r="O5396">
        <v>3732.25</v>
      </c>
      <c r="P5396">
        <v>0</v>
      </c>
      <c r="Q5396">
        <v>3732.25</v>
      </c>
      <c r="R5396">
        <v>597.16</v>
      </c>
      <c r="S5396">
        <v>149.29</v>
      </c>
      <c r="T5396">
        <v>4180.12</v>
      </c>
      <c r="U5396" t="s">
        <v>2064</v>
      </c>
      <c r="V5396" t="s">
        <v>9408</v>
      </c>
      <c r="W5396" t="s">
        <v>423</v>
      </c>
    </row>
    <row r="5397" spans="1:23" x14ac:dyDescent="0.2">
      <c r="A5397">
        <v>2012</v>
      </c>
      <c r="B5397" t="s">
        <v>304</v>
      </c>
      <c r="C5397" s="733">
        <v>40967</v>
      </c>
      <c r="D53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97" t="s">
        <v>485</v>
      </c>
      <c r="F5397" t="s">
        <v>2054</v>
      </c>
      <c r="G5397" t="s">
        <v>8910</v>
      </c>
      <c r="H5397">
        <v>10560</v>
      </c>
      <c r="I5397" t="s">
        <v>423</v>
      </c>
      <c r="J5397" t="s">
        <v>2056</v>
      </c>
      <c r="K5397" t="s">
        <v>2057</v>
      </c>
      <c r="L5397" t="s">
        <v>2058</v>
      </c>
      <c r="M5397">
        <v>19</v>
      </c>
      <c r="N5397">
        <v>47.39</v>
      </c>
      <c r="O5397">
        <v>5348.91</v>
      </c>
      <c r="P5397">
        <v>0</v>
      </c>
      <c r="Q5397">
        <v>5348.91</v>
      </c>
      <c r="R5397">
        <v>588.38</v>
      </c>
      <c r="S5397">
        <v>213.96</v>
      </c>
      <c r="T5397">
        <v>5723.33</v>
      </c>
      <c r="V5397" t="s">
        <v>9409</v>
      </c>
      <c r="W5397" t="s">
        <v>423</v>
      </c>
    </row>
    <row r="5398" spans="1:23" hidden="1" x14ac:dyDescent="0.2">
      <c r="A5398">
        <v>2012</v>
      </c>
      <c r="B5398" t="s">
        <v>303</v>
      </c>
      <c r="C5398" s="733">
        <v>40924</v>
      </c>
      <c r="D53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398" t="s">
        <v>485</v>
      </c>
      <c r="F5398" t="s">
        <v>2048</v>
      </c>
      <c r="G5398" t="s">
        <v>2328</v>
      </c>
      <c r="H5398">
        <v>40406</v>
      </c>
      <c r="I5398" t="s">
        <v>423</v>
      </c>
      <c r="J5398" t="s">
        <v>2171</v>
      </c>
      <c r="K5398" t="s">
        <v>2051</v>
      </c>
      <c r="L5398" t="s">
        <v>2052</v>
      </c>
      <c r="M5398">
        <v>57</v>
      </c>
      <c r="N5398">
        <v>24.45</v>
      </c>
      <c r="O5398">
        <v>3430.58</v>
      </c>
      <c r="P5398">
        <v>0</v>
      </c>
      <c r="Q5398">
        <v>3430.58</v>
      </c>
      <c r="R5398">
        <v>548.89</v>
      </c>
      <c r="S5398">
        <v>137.22</v>
      </c>
      <c r="T5398">
        <v>3842.25</v>
      </c>
      <c r="U5398" t="s">
        <v>2062</v>
      </c>
      <c r="V5398" t="s">
        <v>9408</v>
      </c>
      <c r="W5398" t="s">
        <v>423</v>
      </c>
    </row>
    <row r="5399" spans="1:23" hidden="1" x14ac:dyDescent="0.2">
      <c r="A5399">
        <v>2012</v>
      </c>
      <c r="B5399" t="s">
        <v>304</v>
      </c>
      <c r="C5399" s="733">
        <v>40962</v>
      </c>
      <c r="D53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399" t="s">
        <v>485</v>
      </c>
      <c r="F5399" t="s">
        <v>2065</v>
      </c>
      <c r="G5399" t="s">
        <v>8559</v>
      </c>
      <c r="H5399">
        <v>42493</v>
      </c>
      <c r="I5399" t="s">
        <v>423</v>
      </c>
      <c r="J5399" t="s">
        <v>2050</v>
      </c>
      <c r="K5399" t="s">
        <v>2051</v>
      </c>
      <c r="L5399" t="s">
        <v>2052</v>
      </c>
      <c r="M5399">
        <v>90</v>
      </c>
      <c r="N5399">
        <v>25.6</v>
      </c>
      <c r="O5399">
        <v>3591.94</v>
      </c>
      <c r="P5399">
        <v>0</v>
      </c>
      <c r="Q5399">
        <v>3591.94</v>
      </c>
      <c r="R5399">
        <v>574.71</v>
      </c>
      <c r="S5399">
        <v>143.68</v>
      </c>
      <c r="T5399">
        <v>4022.97</v>
      </c>
      <c r="V5399" t="s">
        <v>9408</v>
      </c>
      <c r="W5399" t="s">
        <v>423</v>
      </c>
    </row>
    <row r="5400" spans="1:23" hidden="1" x14ac:dyDescent="0.2">
      <c r="A5400">
        <v>2012</v>
      </c>
      <c r="B5400" t="s">
        <v>303</v>
      </c>
      <c r="C5400" s="733">
        <v>40938</v>
      </c>
      <c r="D54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00" t="s">
        <v>485</v>
      </c>
      <c r="F5400" t="s">
        <v>2048</v>
      </c>
      <c r="G5400" t="s">
        <v>2306</v>
      </c>
      <c r="H5400">
        <v>41107</v>
      </c>
      <c r="I5400" t="s">
        <v>423</v>
      </c>
      <c r="J5400" t="s">
        <v>2050</v>
      </c>
      <c r="K5400" t="s">
        <v>2051</v>
      </c>
      <c r="L5400" t="s">
        <v>2052</v>
      </c>
      <c r="M5400">
        <v>90</v>
      </c>
      <c r="N5400">
        <v>52.35</v>
      </c>
      <c r="O5400">
        <v>7345.23</v>
      </c>
      <c r="P5400">
        <v>0</v>
      </c>
      <c r="Q5400">
        <v>7345.23</v>
      </c>
      <c r="R5400">
        <v>1175.24</v>
      </c>
      <c r="S5400">
        <v>293.81</v>
      </c>
      <c r="T5400">
        <v>8226.66</v>
      </c>
      <c r="U5400" t="s">
        <v>2064</v>
      </c>
      <c r="V5400" t="s">
        <v>9409</v>
      </c>
      <c r="W5400" t="s">
        <v>423</v>
      </c>
    </row>
    <row r="5401" spans="1:23" hidden="1" x14ac:dyDescent="0.2">
      <c r="A5401">
        <v>2012</v>
      </c>
      <c r="B5401" t="s">
        <v>303</v>
      </c>
      <c r="C5401" s="733">
        <v>40924.739155092589</v>
      </c>
      <c r="D54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01" t="s">
        <v>485</v>
      </c>
      <c r="F5401" t="s">
        <v>2054</v>
      </c>
      <c r="G5401" t="s">
        <v>2420</v>
      </c>
      <c r="H5401">
        <v>10088</v>
      </c>
      <c r="I5401" t="s">
        <v>423</v>
      </c>
      <c r="J5401" t="s">
        <v>2056</v>
      </c>
      <c r="K5401" t="s">
        <v>2057</v>
      </c>
      <c r="L5401" t="s">
        <v>2058</v>
      </c>
      <c r="M5401">
        <v>19</v>
      </c>
      <c r="N5401">
        <v>24.89</v>
      </c>
      <c r="O5401">
        <v>2809.33</v>
      </c>
      <c r="P5401">
        <v>0</v>
      </c>
      <c r="Q5401">
        <v>2809.33</v>
      </c>
      <c r="R5401">
        <v>449.49</v>
      </c>
      <c r="S5401">
        <v>112.37</v>
      </c>
      <c r="T5401">
        <v>3146.45</v>
      </c>
      <c r="U5401" t="s">
        <v>2059</v>
      </c>
      <c r="V5401" t="s">
        <v>9408</v>
      </c>
      <c r="W5401" t="s">
        <v>423</v>
      </c>
    </row>
    <row r="5402" spans="1:23" hidden="1" x14ac:dyDescent="0.2">
      <c r="A5402">
        <v>2012</v>
      </c>
      <c r="B5402" t="s">
        <v>304</v>
      </c>
      <c r="C5402" s="733">
        <v>40940</v>
      </c>
      <c r="D54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02" t="s">
        <v>485</v>
      </c>
      <c r="F5402" t="s">
        <v>2084</v>
      </c>
      <c r="G5402" t="s">
        <v>5940</v>
      </c>
      <c r="H5402">
        <v>40797</v>
      </c>
      <c r="I5402" t="s">
        <v>423</v>
      </c>
      <c r="J5402" t="s">
        <v>2813</v>
      </c>
      <c r="K5402" t="s">
        <v>2814</v>
      </c>
      <c r="L5402" t="s">
        <v>2815</v>
      </c>
      <c r="M5402">
        <v>365</v>
      </c>
      <c r="N5402">
        <v>27.875</v>
      </c>
      <c r="O5402">
        <v>7503.39</v>
      </c>
      <c r="P5402">
        <v>0</v>
      </c>
      <c r="Q5402">
        <v>7503.39</v>
      </c>
      <c r="R5402">
        <v>1200.54</v>
      </c>
      <c r="S5402">
        <v>300.14</v>
      </c>
      <c r="T5402">
        <v>8403.7900000000009</v>
      </c>
      <c r="U5402" t="s">
        <v>2826</v>
      </c>
      <c r="V5402" t="s">
        <v>9408</v>
      </c>
      <c r="W5402" t="s">
        <v>423</v>
      </c>
    </row>
    <row r="5403" spans="1:23" hidden="1" x14ac:dyDescent="0.2">
      <c r="A5403">
        <v>2012</v>
      </c>
      <c r="B5403" t="s">
        <v>303</v>
      </c>
      <c r="C5403" s="733">
        <v>40932</v>
      </c>
      <c r="D54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03" t="s">
        <v>485</v>
      </c>
      <c r="F5403" t="s">
        <v>2084</v>
      </c>
      <c r="G5403" t="s">
        <v>5943</v>
      </c>
      <c r="H5403">
        <v>40442</v>
      </c>
      <c r="I5403" t="s">
        <v>423</v>
      </c>
      <c r="J5403" t="s">
        <v>2813</v>
      </c>
      <c r="K5403" t="s">
        <v>2814</v>
      </c>
      <c r="L5403" t="s">
        <v>2815</v>
      </c>
      <c r="M5403">
        <v>365</v>
      </c>
      <c r="N5403">
        <v>24.195</v>
      </c>
      <c r="O5403">
        <v>6512.81</v>
      </c>
      <c r="P5403">
        <v>0</v>
      </c>
      <c r="Q5403">
        <v>6512.81</v>
      </c>
      <c r="R5403">
        <v>1042.05</v>
      </c>
      <c r="S5403">
        <v>260.51</v>
      </c>
      <c r="T5403">
        <v>7294.35</v>
      </c>
      <c r="U5403" t="s">
        <v>2826</v>
      </c>
      <c r="V5403" t="s">
        <v>9408</v>
      </c>
      <c r="W5403" t="s">
        <v>423</v>
      </c>
    </row>
    <row r="5404" spans="1:23" hidden="1" x14ac:dyDescent="0.2">
      <c r="A5404">
        <v>2012</v>
      </c>
      <c r="B5404" t="s">
        <v>303</v>
      </c>
      <c r="C5404" s="733">
        <v>40932</v>
      </c>
      <c r="D54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04" t="s">
        <v>485</v>
      </c>
      <c r="F5404" t="s">
        <v>2084</v>
      </c>
      <c r="G5404" t="s">
        <v>5944</v>
      </c>
      <c r="H5404">
        <v>40625</v>
      </c>
      <c r="I5404" t="s">
        <v>423</v>
      </c>
      <c r="J5404" t="s">
        <v>2813</v>
      </c>
      <c r="K5404" t="s">
        <v>2814</v>
      </c>
      <c r="L5404" t="s">
        <v>2815</v>
      </c>
      <c r="M5404">
        <v>365</v>
      </c>
      <c r="N5404">
        <v>23.507999999999999</v>
      </c>
      <c r="O5404">
        <v>6327.88</v>
      </c>
      <c r="P5404">
        <v>0</v>
      </c>
      <c r="Q5404">
        <v>6327.88</v>
      </c>
      <c r="R5404">
        <v>1012.46</v>
      </c>
      <c r="S5404">
        <v>253.12</v>
      </c>
      <c r="T5404">
        <v>7087.22</v>
      </c>
      <c r="U5404" t="s">
        <v>8522</v>
      </c>
      <c r="V5404" t="s">
        <v>9408</v>
      </c>
      <c r="W5404" t="s">
        <v>423</v>
      </c>
    </row>
    <row r="5405" spans="1:23" hidden="1" x14ac:dyDescent="0.2">
      <c r="A5405">
        <v>2012</v>
      </c>
      <c r="B5405" t="s">
        <v>303</v>
      </c>
      <c r="C5405" s="733">
        <v>40939</v>
      </c>
      <c r="D54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05" t="s">
        <v>485</v>
      </c>
      <c r="F5405" t="s">
        <v>2084</v>
      </c>
      <c r="G5405" t="s">
        <v>5937</v>
      </c>
      <c r="H5405">
        <v>40799</v>
      </c>
      <c r="I5405" t="s">
        <v>423</v>
      </c>
      <c r="J5405" t="s">
        <v>2813</v>
      </c>
      <c r="K5405" t="s">
        <v>2814</v>
      </c>
      <c r="L5405" t="s">
        <v>2815</v>
      </c>
      <c r="M5405">
        <v>365</v>
      </c>
      <c r="N5405">
        <v>23.824000000000002</v>
      </c>
      <c r="O5405">
        <v>6412.94</v>
      </c>
      <c r="P5405">
        <v>0</v>
      </c>
      <c r="Q5405">
        <v>6412.94</v>
      </c>
      <c r="R5405">
        <v>1026.07</v>
      </c>
      <c r="S5405">
        <v>256.52</v>
      </c>
      <c r="T5405">
        <v>7182.49</v>
      </c>
      <c r="U5405" t="s">
        <v>8522</v>
      </c>
      <c r="V5405" t="s">
        <v>9408</v>
      </c>
      <c r="W5405" t="s">
        <v>423</v>
      </c>
    </row>
    <row r="5406" spans="1:23" hidden="1" x14ac:dyDescent="0.2">
      <c r="A5406">
        <v>2012</v>
      </c>
      <c r="B5406" t="s">
        <v>304</v>
      </c>
      <c r="C5406" s="733">
        <v>40940</v>
      </c>
      <c r="D54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06" t="s">
        <v>485</v>
      </c>
      <c r="F5406" t="s">
        <v>2084</v>
      </c>
      <c r="G5406" t="s">
        <v>5938</v>
      </c>
      <c r="H5406">
        <v>40918</v>
      </c>
      <c r="I5406" t="s">
        <v>423</v>
      </c>
      <c r="J5406" t="s">
        <v>2813</v>
      </c>
      <c r="K5406" t="s">
        <v>2814</v>
      </c>
      <c r="L5406" t="s">
        <v>2815</v>
      </c>
      <c r="M5406">
        <v>365</v>
      </c>
      <c r="N5406">
        <v>24.114999999999998</v>
      </c>
      <c r="O5406">
        <v>6491.28</v>
      </c>
      <c r="P5406">
        <v>0</v>
      </c>
      <c r="Q5406">
        <v>6491.28</v>
      </c>
      <c r="R5406">
        <v>1038.5999999999999</v>
      </c>
      <c r="S5406">
        <v>259.64999999999998</v>
      </c>
      <c r="T5406">
        <v>7270.23</v>
      </c>
      <c r="U5406" t="s">
        <v>8522</v>
      </c>
      <c r="V5406" t="s">
        <v>9408</v>
      </c>
      <c r="W5406" t="s">
        <v>423</v>
      </c>
    </row>
    <row r="5407" spans="1:23" hidden="1" x14ac:dyDescent="0.2">
      <c r="A5407">
        <v>2012</v>
      </c>
      <c r="B5407" t="s">
        <v>303</v>
      </c>
      <c r="C5407" s="733">
        <v>40938</v>
      </c>
      <c r="D54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07" t="s">
        <v>485</v>
      </c>
      <c r="F5407" t="s">
        <v>2084</v>
      </c>
      <c r="G5407" t="s">
        <v>5939</v>
      </c>
      <c r="H5407">
        <v>39976</v>
      </c>
      <c r="I5407" t="s">
        <v>423</v>
      </c>
      <c r="J5407" t="s">
        <v>2813</v>
      </c>
      <c r="K5407" t="s">
        <v>2814</v>
      </c>
      <c r="L5407" t="s">
        <v>2815</v>
      </c>
      <c r="M5407">
        <v>365</v>
      </c>
      <c r="N5407">
        <v>24.582000000000001</v>
      </c>
      <c r="O5407">
        <v>6616.98</v>
      </c>
      <c r="P5407">
        <v>0</v>
      </c>
      <c r="Q5407">
        <v>6616.98</v>
      </c>
      <c r="R5407">
        <v>1058.72</v>
      </c>
      <c r="S5407">
        <v>264.68</v>
      </c>
      <c r="T5407">
        <v>7411.02</v>
      </c>
      <c r="U5407" t="s">
        <v>2826</v>
      </c>
      <c r="V5407" t="s">
        <v>9408</v>
      </c>
      <c r="W5407" t="s">
        <v>423</v>
      </c>
    </row>
    <row r="5408" spans="1:23" hidden="1" x14ac:dyDescent="0.2">
      <c r="A5408">
        <v>2012</v>
      </c>
      <c r="B5408" t="s">
        <v>304</v>
      </c>
      <c r="C5408" s="733">
        <v>40949</v>
      </c>
      <c r="D54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08" t="s">
        <v>485</v>
      </c>
      <c r="F5408" t="s">
        <v>2084</v>
      </c>
      <c r="G5408" t="s">
        <v>5935</v>
      </c>
      <c r="H5408">
        <v>41273</v>
      </c>
      <c r="I5408" t="s">
        <v>423</v>
      </c>
      <c r="J5408" t="s">
        <v>2813</v>
      </c>
      <c r="K5408" t="s">
        <v>2814</v>
      </c>
      <c r="L5408" t="s">
        <v>2815</v>
      </c>
      <c r="M5408">
        <v>365</v>
      </c>
      <c r="N5408">
        <v>23.977</v>
      </c>
      <c r="O5408">
        <v>6454.13</v>
      </c>
      <c r="P5408">
        <v>0</v>
      </c>
      <c r="Q5408">
        <v>6454.13</v>
      </c>
      <c r="R5408">
        <v>709.95</v>
      </c>
      <c r="S5408">
        <v>258.17</v>
      </c>
      <c r="T5408">
        <v>6905.91</v>
      </c>
      <c r="U5408" t="s">
        <v>7527</v>
      </c>
      <c r="V5408" t="s">
        <v>9408</v>
      </c>
      <c r="W5408" t="s">
        <v>423</v>
      </c>
    </row>
    <row r="5409" spans="1:23" hidden="1" x14ac:dyDescent="0.2">
      <c r="A5409">
        <v>2012</v>
      </c>
      <c r="B5409" t="s">
        <v>304</v>
      </c>
      <c r="C5409" s="733">
        <v>40949</v>
      </c>
      <c r="D54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09" t="s">
        <v>485</v>
      </c>
      <c r="F5409" t="s">
        <v>2084</v>
      </c>
      <c r="G5409" t="s">
        <v>5945</v>
      </c>
      <c r="H5409">
        <v>41141</v>
      </c>
      <c r="I5409" t="s">
        <v>423</v>
      </c>
      <c r="J5409" t="s">
        <v>2813</v>
      </c>
      <c r="K5409" t="s">
        <v>2814</v>
      </c>
      <c r="L5409" t="s">
        <v>2815</v>
      </c>
      <c r="M5409">
        <v>365</v>
      </c>
      <c r="N5409">
        <v>23.805</v>
      </c>
      <c r="O5409">
        <v>6407.83</v>
      </c>
      <c r="P5409">
        <v>0</v>
      </c>
      <c r="Q5409">
        <v>6407.83</v>
      </c>
      <c r="R5409">
        <v>704.86</v>
      </c>
      <c r="S5409">
        <v>256.31</v>
      </c>
      <c r="T5409">
        <v>6856.38</v>
      </c>
      <c r="U5409" t="s">
        <v>7527</v>
      </c>
      <c r="V5409" t="s">
        <v>9408</v>
      </c>
      <c r="W5409" t="s">
        <v>423</v>
      </c>
    </row>
    <row r="5410" spans="1:23" hidden="1" x14ac:dyDescent="0.2">
      <c r="A5410">
        <v>2012</v>
      </c>
      <c r="B5410" t="s">
        <v>304</v>
      </c>
      <c r="C5410" s="733">
        <v>40953</v>
      </c>
      <c r="D54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10" t="s">
        <v>485</v>
      </c>
      <c r="F5410" t="s">
        <v>2084</v>
      </c>
      <c r="G5410" t="s">
        <v>5941</v>
      </c>
      <c r="H5410">
        <v>41654</v>
      </c>
      <c r="I5410" t="s">
        <v>423</v>
      </c>
      <c r="J5410" t="s">
        <v>2813</v>
      </c>
      <c r="K5410" t="s">
        <v>2814</v>
      </c>
      <c r="L5410" t="s">
        <v>2815</v>
      </c>
      <c r="M5410">
        <v>365</v>
      </c>
      <c r="N5410">
        <v>26.274999999999999</v>
      </c>
      <c r="O5410">
        <v>7072.7</v>
      </c>
      <c r="P5410">
        <v>0</v>
      </c>
      <c r="Q5410">
        <v>7072.7</v>
      </c>
      <c r="R5410">
        <v>778</v>
      </c>
      <c r="S5410">
        <v>282.91000000000003</v>
      </c>
      <c r="T5410">
        <v>7567.79</v>
      </c>
      <c r="U5410" t="s">
        <v>7527</v>
      </c>
      <c r="V5410" t="s">
        <v>9408</v>
      </c>
      <c r="W5410" t="s">
        <v>423</v>
      </c>
    </row>
    <row r="5411" spans="1:23" hidden="1" x14ac:dyDescent="0.2">
      <c r="A5411">
        <v>2012</v>
      </c>
      <c r="B5411" t="s">
        <v>303</v>
      </c>
      <c r="C5411" s="733">
        <v>40932</v>
      </c>
      <c r="D54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11" t="s">
        <v>485</v>
      </c>
      <c r="F5411" t="s">
        <v>2084</v>
      </c>
      <c r="G5411" t="s">
        <v>5933</v>
      </c>
      <c r="H5411">
        <v>40320</v>
      </c>
      <c r="I5411" t="s">
        <v>423</v>
      </c>
      <c r="J5411" t="s">
        <v>2813</v>
      </c>
      <c r="K5411" t="s">
        <v>2814</v>
      </c>
      <c r="L5411" t="s">
        <v>2815</v>
      </c>
      <c r="M5411">
        <v>365</v>
      </c>
      <c r="N5411">
        <v>24.018999999999998</v>
      </c>
      <c r="O5411">
        <v>6465.43</v>
      </c>
      <c r="P5411">
        <v>0</v>
      </c>
      <c r="Q5411">
        <v>6465.43</v>
      </c>
      <c r="R5411">
        <v>1034.47</v>
      </c>
      <c r="S5411">
        <v>258.62</v>
      </c>
      <c r="T5411">
        <v>7241.28</v>
      </c>
      <c r="U5411" t="s">
        <v>2826</v>
      </c>
      <c r="V5411" t="s">
        <v>9408</v>
      </c>
      <c r="W5411" t="s">
        <v>423</v>
      </c>
    </row>
    <row r="5412" spans="1:23" hidden="1" x14ac:dyDescent="0.2">
      <c r="A5412">
        <v>2012</v>
      </c>
      <c r="B5412" t="s">
        <v>303</v>
      </c>
      <c r="C5412" s="733">
        <v>40932</v>
      </c>
      <c r="D54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12" t="s">
        <v>485</v>
      </c>
      <c r="F5412" t="s">
        <v>2084</v>
      </c>
      <c r="G5412" t="s">
        <v>5936</v>
      </c>
      <c r="H5412">
        <v>40358</v>
      </c>
      <c r="I5412" t="s">
        <v>423</v>
      </c>
      <c r="J5412" t="s">
        <v>2813</v>
      </c>
      <c r="K5412" t="s">
        <v>2814</v>
      </c>
      <c r="L5412" t="s">
        <v>2815</v>
      </c>
      <c r="M5412">
        <v>365</v>
      </c>
      <c r="N5412">
        <v>23.738</v>
      </c>
      <c r="O5412">
        <v>6389.79</v>
      </c>
      <c r="P5412">
        <v>0</v>
      </c>
      <c r="Q5412">
        <v>6389.79</v>
      </c>
      <c r="R5412">
        <v>1022.37</v>
      </c>
      <c r="S5412">
        <v>255.59</v>
      </c>
      <c r="T5412">
        <v>7156.57</v>
      </c>
      <c r="U5412" t="s">
        <v>2826</v>
      </c>
      <c r="V5412" t="s">
        <v>9408</v>
      </c>
      <c r="W5412" t="s">
        <v>423</v>
      </c>
    </row>
    <row r="5413" spans="1:23" hidden="1" x14ac:dyDescent="0.2">
      <c r="A5413">
        <v>2012</v>
      </c>
      <c r="B5413" t="s">
        <v>304</v>
      </c>
      <c r="C5413" s="733">
        <v>40955</v>
      </c>
      <c r="D54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13" t="s">
        <v>485</v>
      </c>
      <c r="F5413" t="s">
        <v>2084</v>
      </c>
      <c r="G5413" t="s">
        <v>7847</v>
      </c>
      <c r="H5413">
        <v>41450</v>
      </c>
      <c r="I5413" t="s">
        <v>423</v>
      </c>
      <c r="J5413" t="s">
        <v>2813</v>
      </c>
      <c r="K5413" t="s">
        <v>2814</v>
      </c>
      <c r="L5413" t="s">
        <v>2815</v>
      </c>
      <c r="M5413">
        <v>365</v>
      </c>
      <c r="N5413">
        <v>24.222000000000001</v>
      </c>
      <c r="O5413">
        <v>6520.08</v>
      </c>
      <c r="P5413">
        <v>0</v>
      </c>
      <c r="Q5413">
        <v>6520.08</v>
      </c>
      <c r="R5413">
        <v>717.21</v>
      </c>
      <c r="S5413">
        <v>260.8</v>
      </c>
      <c r="T5413">
        <v>6976.49</v>
      </c>
      <c r="U5413" t="s">
        <v>8877</v>
      </c>
      <c r="V5413" t="s">
        <v>9408</v>
      </c>
      <c r="W5413" t="s">
        <v>423</v>
      </c>
    </row>
    <row r="5414" spans="1:23" hidden="1" x14ac:dyDescent="0.2">
      <c r="A5414">
        <v>2012</v>
      </c>
      <c r="B5414" t="s">
        <v>304</v>
      </c>
      <c r="C5414" s="733">
        <v>40940</v>
      </c>
      <c r="D54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14" t="s">
        <v>485</v>
      </c>
      <c r="F5414" t="s">
        <v>2084</v>
      </c>
      <c r="G5414" t="s">
        <v>5949</v>
      </c>
      <c r="H5414">
        <v>41018</v>
      </c>
      <c r="I5414" t="s">
        <v>423</v>
      </c>
      <c r="J5414" t="s">
        <v>2813</v>
      </c>
      <c r="K5414" t="s">
        <v>2814</v>
      </c>
      <c r="L5414" t="s">
        <v>2815</v>
      </c>
      <c r="M5414">
        <v>365</v>
      </c>
      <c r="N5414">
        <v>23.922000000000001</v>
      </c>
      <c r="O5414">
        <v>6439.32</v>
      </c>
      <c r="P5414">
        <v>0</v>
      </c>
      <c r="Q5414">
        <v>6439.32</v>
      </c>
      <c r="R5414">
        <v>1030.29</v>
      </c>
      <c r="S5414">
        <v>257.57</v>
      </c>
      <c r="T5414">
        <v>7212.04</v>
      </c>
      <c r="U5414" t="s">
        <v>8522</v>
      </c>
      <c r="V5414" t="s">
        <v>9408</v>
      </c>
      <c r="W5414" t="s">
        <v>423</v>
      </c>
    </row>
    <row r="5415" spans="1:23" hidden="1" x14ac:dyDescent="0.2">
      <c r="A5415">
        <v>2012</v>
      </c>
      <c r="B5415" t="s">
        <v>303</v>
      </c>
      <c r="C5415" s="733">
        <v>40939</v>
      </c>
      <c r="D54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15" t="s">
        <v>485</v>
      </c>
      <c r="F5415" t="s">
        <v>2084</v>
      </c>
      <c r="G5415" t="s">
        <v>5934</v>
      </c>
      <c r="H5415">
        <v>39736</v>
      </c>
      <c r="I5415" t="s">
        <v>423</v>
      </c>
      <c r="J5415" t="s">
        <v>2813</v>
      </c>
      <c r="K5415" t="s">
        <v>2814</v>
      </c>
      <c r="L5415" t="s">
        <v>2815</v>
      </c>
      <c r="M5415">
        <v>365</v>
      </c>
      <c r="N5415">
        <v>24.448</v>
      </c>
      <c r="O5415">
        <v>6580.91</v>
      </c>
      <c r="P5415">
        <v>0</v>
      </c>
      <c r="Q5415">
        <v>6580.91</v>
      </c>
      <c r="R5415">
        <v>1052.95</v>
      </c>
      <c r="S5415">
        <v>263.24</v>
      </c>
      <c r="T5415">
        <v>7370.62</v>
      </c>
      <c r="U5415" t="s">
        <v>2826</v>
      </c>
      <c r="V5415" t="s">
        <v>9408</v>
      </c>
      <c r="W5415" t="s">
        <v>423</v>
      </c>
    </row>
    <row r="5416" spans="1:23" hidden="1" x14ac:dyDescent="0.2">
      <c r="A5416">
        <v>2012</v>
      </c>
      <c r="B5416" t="s">
        <v>304</v>
      </c>
      <c r="C5416" s="733">
        <v>40959</v>
      </c>
      <c r="D54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16" t="s">
        <v>485</v>
      </c>
      <c r="F5416" t="s">
        <v>2065</v>
      </c>
      <c r="G5416" t="s">
        <v>7754</v>
      </c>
      <c r="H5416">
        <v>42222</v>
      </c>
      <c r="I5416" t="s">
        <v>423</v>
      </c>
      <c r="J5416" t="s">
        <v>5260</v>
      </c>
      <c r="K5416" t="s">
        <v>2102</v>
      </c>
      <c r="L5416" t="s">
        <v>2115</v>
      </c>
      <c r="M5416">
        <v>832</v>
      </c>
      <c r="N5416">
        <v>52.2</v>
      </c>
      <c r="O5416">
        <v>26046.23</v>
      </c>
      <c r="P5416">
        <v>0</v>
      </c>
      <c r="Q5416">
        <v>26046.23</v>
      </c>
      <c r="R5416">
        <v>4167.3999999999996</v>
      </c>
      <c r="S5416">
        <v>1041.8499999999999</v>
      </c>
      <c r="T5416">
        <v>29171.78</v>
      </c>
      <c r="U5416" t="s">
        <v>8883</v>
      </c>
      <c r="V5416" t="s">
        <v>9409</v>
      </c>
      <c r="W5416" t="s">
        <v>423</v>
      </c>
    </row>
    <row r="5417" spans="1:23" hidden="1" x14ac:dyDescent="0.2">
      <c r="A5417">
        <v>2012</v>
      </c>
      <c r="B5417" t="s">
        <v>304</v>
      </c>
      <c r="C5417" s="733">
        <v>40949</v>
      </c>
      <c r="D54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17" t="s">
        <v>485</v>
      </c>
      <c r="F5417" t="s">
        <v>2084</v>
      </c>
      <c r="G5417" t="s">
        <v>5932</v>
      </c>
      <c r="H5417">
        <v>41269</v>
      </c>
      <c r="I5417" t="s">
        <v>423</v>
      </c>
      <c r="J5417" t="s">
        <v>2813</v>
      </c>
      <c r="K5417" t="s">
        <v>2814</v>
      </c>
      <c r="L5417" t="s">
        <v>2815</v>
      </c>
      <c r="M5417">
        <v>365</v>
      </c>
      <c r="N5417">
        <v>24.256</v>
      </c>
      <c r="O5417">
        <v>6529.23</v>
      </c>
      <c r="P5417">
        <v>0</v>
      </c>
      <c r="Q5417">
        <v>6529.23</v>
      </c>
      <c r="R5417">
        <v>718.22</v>
      </c>
      <c r="S5417">
        <v>261.17</v>
      </c>
      <c r="T5417">
        <v>6986.28</v>
      </c>
      <c r="U5417" t="s">
        <v>7527</v>
      </c>
      <c r="V5417" t="s">
        <v>9408</v>
      </c>
      <c r="W5417" t="s">
        <v>423</v>
      </c>
    </row>
    <row r="5418" spans="1:23" x14ac:dyDescent="0.2">
      <c r="A5418">
        <v>2012</v>
      </c>
      <c r="B5418" t="s">
        <v>304</v>
      </c>
      <c r="C5418" s="733">
        <v>40967</v>
      </c>
      <c r="D54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18" t="s">
        <v>485</v>
      </c>
      <c r="F5418" t="s">
        <v>2084</v>
      </c>
      <c r="G5418" t="s">
        <v>8984</v>
      </c>
      <c r="H5418">
        <v>42202</v>
      </c>
      <c r="I5418" t="s">
        <v>423</v>
      </c>
      <c r="J5418" t="s">
        <v>2813</v>
      </c>
      <c r="K5418" t="s">
        <v>2814</v>
      </c>
      <c r="L5418" t="s">
        <v>2815</v>
      </c>
      <c r="M5418">
        <v>365</v>
      </c>
      <c r="N5418">
        <v>23.853999999999999</v>
      </c>
      <c r="O5418">
        <v>6421.02</v>
      </c>
      <c r="P5418">
        <v>0</v>
      </c>
      <c r="Q5418">
        <v>6421.02</v>
      </c>
      <c r="R5418">
        <v>706.31</v>
      </c>
      <c r="S5418">
        <v>256.83999999999997</v>
      </c>
      <c r="T5418">
        <v>6870.49</v>
      </c>
      <c r="U5418" t="s">
        <v>8877</v>
      </c>
      <c r="V5418" t="s">
        <v>9408</v>
      </c>
      <c r="W5418" t="s">
        <v>423</v>
      </c>
    </row>
    <row r="5419" spans="1:23" hidden="1" x14ac:dyDescent="0.2">
      <c r="A5419">
        <v>2012</v>
      </c>
      <c r="B5419" t="s">
        <v>303</v>
      </c>
      <c r="C5419" s="733">
        <v>40932</v>
      </c>
      <c r="D54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19" t="s">
        <v>485</v>
      </c>
      <c r="F5419" t="s">
        <v>2084</v>
      </c>
      <c r="G5419" t="s">
        <v>5942</v>
      </c>
      <c r="H5419">
        <v>40685</v>
      </c>
      <c r="I5419" t="s">
        <v>423</v>
      </c>
      <c r="J5419" t="s">
        <v>2813</v>
      </c>
      <c r="K5419" t="s">
        <v>2814</v>
      </c>
      <c r="L5419" t="s">
        <v>2815</v>
      </c>
      <c r="M5419">
        <v>365</v>
      </c>
      <c r="N5419">
        <v>24.265000000000001</v>
      </c>
      <c r="O5419">
        <v>6531.65</v>
      </c>
      <c r="P5419">
        <v>0</v>
      </c>
      <c r="Q5419">
        <v>6531.65</v>
      </c>
      <c r="R5419">
        <v>1045.06</v>
      </c>
      <c r="S5419">
        <v>261.27</v>
      </c>
      <c r="T5419">
        <v>7315.44</v>
      </c>
      <c r="U5419" t="s">
        <v>2826</v>
      </c>
      <c r="V5419" t="s">
        <v>9408</v>
      </c>
      <c r="W5419" t="s">
        <v>423</v>
      </c>
    </row>
    <row r="5420" spans="1:23" x14ac:dyDescent="0.2">
      <c r="A5420">
        <v>2012</v>
      </c>
      <c r="B5420" t="s">
        <v>304</v>
      </c>
      <c r="C5420" s="733">
        <v>40967</v>
      </c>
      <c r="D54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20" t="s">
        <v>485</v>
      </c>
      <c r="F5420" t="s">
        <v>2065</v>
      </c>
      <c r="G5420" t="s">
        <v>8973</v>
      </c>
      <c r="H5420">
        <v>42269</v>
      </c>
      <c r="I5420" t="s">
        <v>423</v>
      </c>
      <c r="J5420" t="s">
        <v>2813</v>
      </c>
      <c r="K5420" t="s">
        <v>2814</v>
      </c>
      <c r="L5420" t="s">
        <v>2815</v>
      </c>
      <c r="M5420">
        <v>365</v>
      </c>
      <c r="N5420">
        <v>24.218</v>
      </c>
      <c r="O5420">
        <v>6519</v>
      </c>
      <c r="P5420">
        <v>0</v>
      </c>
      <c r="Q5420">
        <v>6519</v>
      </c>
      <c r="R5420">
        <v>717.09</v>
      </c>
      <c r="S5420">
        <v>260.76</v>
      </c>
      <c r="T5420">
        <v>6975.33</v>
      </c>
      <c r="U5420" t="s">
        <v>8877</v>
      </c>
      <c r="V5420" t="s">
        <v>9408</v>
      </c>
      <c r="W5420" t="s">
        <v>423</v>
      </c>
    </row>
    <row r="5421" spans="1:23" x14ac:dyDescent="0.2">
      <c r="A5421">
        <v>2012</v>
      </c>
      <c r="B5421" t="s">
        <v>304</v>
      </c>
      <c r="C5421" s="733">
        <v>40967</v>
      </c>
      <c r="D54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21" t="s">
        <v>485</v>
      </c>
      <c r="F5421" t="s">
        <v>2065</v>
      </c>
      <c r="G5421" t="s">
        <v>8930</v>
      </c>
      <c r="H5421">
        <v>42723</v>
      </c>
      <c r="I5421" t="s">
        <v>423</v>
      </c>
      <c r="J5421" t="s">
        <v>2050</v>
      </c>
      <c r="K5421" t="s">
        <v>2051</v>
      </c>
      <c r="L5421" t="s">
        <v>2052</v>
      </c>
      <c r="M5421">
        <v>90</v>
      </c>
      <c r="N5421">
        <v>26</v>
      </c>
      <c r="O5421">
        <v>3648.06</v>
      </c>
      <c r="P5421">
        <v>0</v>
      </c>
      <c r="Q5421">
        <v>3648.06</v>
      </c>
      <c r="R5421">
        <v>583.69000000000005</v>
      </c>
      <c r="S5421">
        <v>145.91999999999999</v>
      </c>
      <c r="T5421">
        <v>4085.83</v>
      </c>
      <c r="V5421" t="s">
        <v>9408</v>
      </c>
      <c r="W5421" t="s">
        <v>423</v>
      </c>
    </row>
    <row r="5422" spans="1:23" hidden="1" x14ac:dyDescent="0.2">
      <c r="A5422">
        <v>2012</v>
      </c>
      <c r="B5422" t="s">
        <v>304</v>
      </c>
      <c r="C5422" s="733">
        <v>40952</v>
      </c>
      <c r="D54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22" t="s">
        <v>485</v>
      </c>
      <c r="F5422" t="s">
        <v>2065</v>
      </c>
      <c r="G5422" t="s">
        <v>6333</v>
      </c>
      <c r="H5422">
        <v>41732</v>
      </c>
      <c r="I5422" t="s">
        <v>423</v>
      </c>
      <c r="J5422" t="s">
        <v>2050</v>
      </c>
      <c r="K5422" t="s">
        <v>2051</v>
      </c>
      <c r="L5422" t="s">
        <v>2052</v>
      </c>
      <c r="M5422">
        <v>90</v>
      </c>
      <c r="N5422">
        <v>48.8</v>
      </c>
      <c r="O5422">
        <v>6847.13</v>
      </c>
      <c r="P5422">
        <v>0</v>
      </c>
      <c r="Q5422">
        <v>6847.13</v>
      </c>
      <c r="R5422">
        <v>1095.54</v>
      </c>
      <c r="S5422">
        <v>273.89</v>
      </c>
      <c r="T5422">
        <v>7668.78</v>
      </c>
      <c r="U5422" t="s">
        <v>8780</v>
      </c>
      <c r="V5422" t="s">
        <v>9409</v>
      </c>
      <c r="W5422" t="s">
        <v>423</v>
      </c>
    </row>
    <row r="5423" spans="1:23" hidden="1" x14ac:dyDescent="0.2">
      <c r="A5423">
        <v>2012</v>
      </c>
      <c r="B5423" t="s">
        <v>303</v>
      </c>
      <c r="C5423" s="733">
        <v>40932</v>
      </c>
      <c r="D54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23" t="s">
        <v>485</v>
      </c>
      <c r="F5423" t="s">
        <v>2048</v>
      </c>
      <c r="G5423" t="s">
        <v>5889</v>
      </c>
      <c r="H5423">
        <v>40210</v>
      </c>
      <c r="I5423" t="s">
        <v>423</v>
      </c>
      <c r="J5423" t="s">
        <v>2050</v>
      </c>
      <c r="K5423" t="s">
        <v>2051</v>
      </c>
      <c r="L5423" t="s">
        <v>2052</v>
      </c>
      <c r="M5423">
        <v>90</v>
      </c>
      <c r="N5423">
        <v>50.55</v>
      </c>
      <c r="O5423">
        <v>7092.67</v>
      </c>
      <c r="P5423">
        <v>0</v>
      </c>
      <c r="Q5423">
        <v>7092.67</v>
      </c>
      <c r="R5423">
        <v>1134.83</v>
      </c>
      <c r="S5423">
        <v>283.70999999999998</v>
      </c>
      <c r="T5423">
        <v>7943.79</v>
      </c>
      <c r="U5423" t="s">
        <v>2053</v>
      </c>
      <c r="V5423" t="s">
        <v>9409</v>
      </c>
      <c r="W5423" t="s">
        <v>423</v>
      </c>
    </row>
    <row r="5424" spans="1:23" hidden="1" x14ac:dyDescent="0.2">
      <c r="A5424">
        <v>2012</v>
      </c>
      <c r="B5424" t="s">
        <v>304</v>
      </c>
      <c r="C5424" s="733">
        <v>40954</v>
      </c>
      <c r="D54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24" t="s">
        <v>485</v>
      </c>
      <c r="F5424" t="s">
        <v>2048</v>
      </c>
      <c r="G5424" t="s">
        <v>8027</v>
      </c>
      <c r="H5424">
        <v>42018</v>
      </c>
      <c r="I5424" t="s">
        <v>423</v>
      </c>
      <c r="J5424" t="s">
        <v>2050</v>
      </c>
      <c r="K5424" t="s">
        <v>2051</v>
      </c>
      <c r="L5424" t="s">
        <v>2052</v>
      </c>
      <c r="M5424">
        <v>90</v>
      </c>
      <c r="N5424">
        <v>24.65</v>
      </c>
      <c r="O5424">
        <v>3458.64</v>
      </c>
      <c r="P5424">
        <v>0</v>
      </c>
      <c r="Q5424">
        <v>3458.64</v>
      </c>
      <c r="R5424">
        <v>553.38</v>
      </c>
      <c r="S5424">
        <v>138.35</v>
      </c>
      <c r="T5424">
        <v>3873.67</v>
      </c>
      <c r="U5424" t="s">
        <v>8780</v>
      </c>
      <c r="V5424" t="s">
        <v>9408</v>
      </c>
      <c r="W5424" t="s">
        <v>423</v>
      </c>
    </row>
    <row r="5425" spans="1:23" hidden="1" x14ac:dyDescent="0.2">
      <c r="A5425">
        <v>2012</v>
      </c>
      <c r="B5425" t="s">
        <v>304</v>
      </c>
      <c r="C5425" s="733">
        <v>40954</v>
      </c>
      <c r="D54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25" t="s">
        <v>485</v>
      </c>
      <c r="F5425" t="s">
        <v>2048</v>
      </c>
      <c r="G5425" t="s">
        <v>8025</v>
      </c>
      <c r="H5425">
        <v>42009</v>
      </c>
      <c r="I5425" t="s">
        <v>423</v>
      </c>
      <c r="J5425" t="s">
        <v>2050</v>
      </c>
      <c r="K5425" t="s">
        <v>2051</v>
      </c>
      <c r="L5425" t="s">
        <v>2052</v>
      </c>
      <c r="M5425">
        <v>90</v>
      </c>
      <c r="N5425">
        <v>49.5</v>
      </c>
      <c r="O5425">
        <v>6945.34</v>
      </c>
      <c r="P5425">
        <v>0</v>
      </c>
      <c r="Q5425">
        <v>6945.34</v>
      </c>
      <c r="R5425">
        <v>1111.26</v>
      </c>
      <c r="S5425">
        <v>277.81</v>
      </c>
      <c r="T5425">
        <v>7778.79</v>
      </c>
      <c r="V5425" t="s">
        <v>9409</v>
      </c>
      <c r="W5425" t="s">
        <v>423</v>
      </c>
    </row>
    <row r="5426" spans="1:23" hidden="1" x14ac:dyDescent="0.2">
      <c r="A5426">
        <v>2012</v>
      </c>
      <c r="B5426" t="s">
        <v>305</v>
      </c>
      <c r="C5426" s="733">
        <v>40970</v>
      </c>
      <c r="D5426" s="733" t="str">
        <f>CHOOSE(MONTH(Tabla_sqldatos_bonampakdb_Bon_v_ingresos2012[[#This Row],[fecha_guia]]),"Enero","Febrero","Marzo","Abril","Mayo","Junio","Julio","Agosto","Septiembre","Octubre","Noviembre","Diciembre")</f>
        <v>Marzo</v>
      </c>
      <c r="E5426" t="s">
        <v>485</v>
      </c>
      <c r="F5426" t="s">
        <v>2054</v>
      </c>
      <c r="G5426" t="s">
        <v>9745</v>
      </c>
      <c r="H5426">
        <v>43014</v>
      </c>
      <c r="I5426" t="s">
        <v>423</v>
      </c>
      <c r="J5426" t="s">
        <v>2050</v>
      </c>
      <c r="K5426" t="s">
        <v>2051</v>
      </c>
      <c r="L5426" t="s">
        <v>2052</v>
      </c>
      <c r="M5426">
        <v>90</v>
      </c>
      <c r="N5426">
        <v>25.05</v>
      </c>
      <c r="O5426">
        <v>3514.77</v>
      </c>
      <c r="P5426">
        <v>0</v>
      </c>
      <c r="Q5426">
        <v>3514.77</v>
      </c>
      <c r="R5426">
        <v>562.36</v>
      </c>
      <c r="S5426">
        <v>140.59</v>
      </c>
      <c r="T5426">
        <v>3936.54</v>
      </c>
      <c r="V5426" t="s">
        <v>9408</v>
      </c>
      <c r="W5426" t="s">
        <v>423</v>
      </c>
    </row>
    <row r="5427" spans="1:23" hidden="1" x14ac:dyDescent="0.2">
      <c r="A5427">
        <v>2012</v>
      </c>
      <c r="B5427" t="s">
        <v>303</v>
      </c>
      <c r="C5427" s="733">
        <v>40931</v>
      </c>
      <c r="D54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27" t="s">
        <v>485</v>
      </c>
      <c r="F5427" t="s">
        <v>2084</v>
      </c>
      <c r="G5427" t="s">
        <v>5907</v>
      </c>
      <c r="H5427">
        <v>40735</v>
      </c>
      <c r="I5427" t="s">
        <v>423</v>
      </c>
      <c r="J5427" t="s">
        <v>2171</v>
      </c>
      <c r="K5427" t="s">
        <v>2051</v>
      </c>
      <c r="L5427" t="s">
        <v>2052</v>
      </c>
      <c r="M5427">
        <v>57</v>
      </c>
      <c r="N5427">
        <v>25.55</v>
      </c>
      <c r="O5427">
        <v>3584.92</v>
      </c>
      <c r="P5427">
        <v>0</v>
      </c>
      <c r="Q5427">
        <v>3584.92</v>
      </c>
      <c r="R5427">
        <v>573.59</v>
      </c>
      <c r="S5427">
        <v>143.4</v>
      </c>
      <c r="T5427">
        <v>4015.11</v>
      </c>
      <c r="U5427" t="s">
        <v>2053</v>
      </c>
      <c r="V5427" t="s">
        <v>9408</v>
      </c>
      <c r="W5427" t="s">
        <v>423</v>
      </c>
    </row>
    <row r="5428" spans="1:23" hidden="1" x14ac:dyDescent="0.2">
      <c r="A5428">
        <v>2012</v>
      </c>
      <c r="B5428" t="s">
        <v>303</v>
      </c>
      <c r="C5428" s="733">
        <v>40918</v>
      </c>
      <c r="D54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28" t="s">
        <v>485</v>
      </c>
      <c r="F5428" t="s">
        <v>2065</v>
      </c>
      <c r="G5428" t="s">
        <v>2585</v>
      </c>
      <c r="H5428">
        <v>40017</v>
      </c>
      <c r="I5428" t="s">
        <v>423</v>
      </c>
      <c r="J5428" t="s">
        <v>2139</v>
      </c>
      <c r="K5428" t="s">
        <v>2102</v>
      </c>
      <c r="L5428" t="s">
        <v>2115</v>
      </c>
      <c r="M5428">
        <v>543</v>
      </c>
      <c r="N5428">
        <v>51.45</v>
      </c>
      <c r="O5428">
        <v>17300.060000000001</v>
      </c>
      <c r="P5428">
        <v>0</v>
      </c>
      <c r="Q5428">
        <v>17300.060000000001</v>
      </c>
      <c r="R5428">
        <v>2768.01</v>
      </c>
      <c r="S5428">
        <v>692</v>
      </c>
      <c r="T5428">
        <v>19376.07</v>
      </c>
      <c r="U5428" t="s">
        <v>2106</v>
      </c>
      <c r="V5428" t="s">
        <v>9409</v>
      </c>
      <c r="W5428" t="s">
        <v>423</v>
      </c>
    </row>
    <row r="5429" spans="1:23" hidden="1" x14ac:dyDescent="0.2">
      <c r="A5429">
        <v>2012</v>
      </c>
      <c r="B5429" t="s">
        <v>303</v>
      </c>
      <c r="C5429" s="733">
        <v>40934.411817129629</v>
      </c>
      <c r="D54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29" t="s">
        <v>485</v>
      </c>
      <c r="F5429" t="s">
        <v>2065</v>
      </c>
      <c r="G5429" t="s">
        <v>4980</v>
      </c>
      <c r="H5429">
        <v>40911</v>
      </c>
      <c r="I5429" t="s">
        <v>423</v>
      </c>
      <c r="J5429" t="s">
        <v>2196</v>
      </c>
      <c r="K5429" t="s">
        <v>2183</v>
      </c>
      <c r="L5429" t="s">
        <v>2184</v>
      </c>
      <c r="M5429">
        <v>10</v>
      </c>
      <c r="N5429">
        <v>27.62</v>
      </c>
      <c r="O5429">
        <v>3117.47</v>
      </c>
      <c r="P5429">
        <v>0</v>
      </c>
      <c r="Q5429">
        <v>3117.47</v>
      </c>
      <c r="R5429">
        <v>498.8</v>
      </c>
      <c r="S5429">
        <v>124.7</v>
      </c>
      <c r="T5429">
        <v>3491.57</v>
      </c>
      <c r="U5429" t="s">
        <v>2187</v>
      </c>
      <c r="V5429" t="s">
        <v>9408</v>
      </c>
      <c r="W5429" t="s">
        <v>423</v>
      </c>
    </row>
    <row r="5430" spans="1:23" hidden="1" x14ac:dyDescent="0.2">
      <c r="A5430">
        <v>2012</v>
      </c>
      <c r="B5430" t="s">
        <v>303</v>
      </c>
      <c r="C5430" s="733">
        <v>40939</v>
      </c>
      <c r="D54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30" t="s">
        <v>485</v>
      </c>
      <c r="F5430" t="s">
        <v>2065</v>
      </c>
      <c r="G5430" t="s">
        <v>2577</v>
      </c>
      <c r="H5430">
        <v>41096</v>
      </c>
      <c r="I5430" t="s">
        <v>423</v>
      </c>
      <c r="J5430" t="s">
        <v>2139</v>
      </c>
      <c r="K5430" t="s">
        <v>2102</v>
      </c>
      <c r="L5430" t="s">
        <v>2115</v>
      </c>
      <c r="M5430">
        <v>543</v>
      </c>
      <c r="N5430">
        <v>48.63</v>
      </c>
      <c r="O5430">
        <v>16351.84</v>
      </c>
      <c r="P5430">
        <v>0</v>
      </c>
      <c r="Q5430">
        <v>16351.84</v>
      </c>
      <c r="R5430">
        <v>2616.29</v>
      </c>
      <c r="S5430">
        <v>654.07000000000005</v>
      </c>
      <c r="T5430">
        <v>18314.060000000001</v>
      </c>
      <c r="U5430" t="s">
        <v>2110</v>
      </c>
      <c r="V5430" t="s">
        <v>9409</v>
      </c>
      <c r="W5430" t="s">
        <v>423</v>
      </c>
    </row>
    <row r="5431" spans="1:23" hidden="1" x14ac:dyDescent="0.2">
      <c r="A5431">
        <v>2012</v>
      </c>
      <c r="B5431" t="s">
        <v>303</v>
      </c>
      <c r="C5431" s="733">
        <v>40936</v>
      </c>
      <c r="D54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31" t="s">
        <v>478</v>
      </c>
      <c r="F5431" t="s">
        <v>2136</v>
      </c>
      <c r="G5431" t="s">
        <v>2579</v>
      </c>
      <c r="H5431">
        <v>35033</v>
      </c>
      <c r="I5431" t="s">
        <v>423</v>
      </c>
      <c r="J5431" t="s">
        <v>2148</v>
      </c>
      <c r="K5431" t="s">
        <v>425</v>
      </c>
      <c r="L5431" t="s">
        <v>2145</v>
      </c>
      <c r="M5431">
        <v>205</v>
      </c>
      <c r="N5431">
        <v>24.74</v>
      </c>
      <c r="O5431">
        <v>4907.67</v>
      </c>
      <c r="P5431">
        <v>0</v>
      </c>
      <c r="Q5431">
        <v>4907.67</v>
      </c>
      <c r="R5431">
        <v>785.23</v>
      </c>
      <c r="S5431">
        <v>196.31</v>
      </c>
      <c r="T5431">
        <v>5496.59</v>
      </c>
      <c r="U5431" t="s">
        <v>2580</v>
      </c>
      <c r="V5431" t="s">
        <v>9408</v>
      </c>
      <c r="W5431" t="s">
        <v>423</v>
      </c>
    </row>
    <row r="5432" spans="1:23" hidden="1" x14ac:dyDescent="0.2">
      <c r="A5432">
        <v>2012</v>
      </c>
      <c r="B5432" t="s">
        <v>303</v>
      </c>
      <c r="C5432" s="733">
        <v>40914.705081018517</v>
      </c>
      <c r="D54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32" t="s">
        <v>478</v>
      </c>
      <c r="F5432" t="s">
        <v>2136</v>
      </c>
      <c r="G5432" t="s">
        <v>6851</v>
      </c>
      <c r="H5432">
        <v>34275</v>
      </c>
      <c r="I5432" t="s">
        <v>423</v>
      </c>
      <c r="J5432" t="s">
        <v>4791</v>
      </c>
      <c r="K5432" t="s">
        <v>425</v>
      </c>
      <c r="L5432" t="s">
        <v>2145</v>
      </c>
      <c r="M5432">
        <v>139</v>
      </c>
      <c r="N5432">
        <v>25.21</v>
      </c>
      <c r="O5432">
        <v>4102.93</v>
      </c>
      <c r="P5432">
        <v>0</v>
      </c>
      <c r="Q5432">
        <v>4102.93</v>
      </c>
      <c r="R5432">
        <v>656.47</v>
      </c>
      <c r="S5432">
        <v>164.12</v>
      </c>
      <c r="T5432">
        <v>4595.28</v>
      </c>
      <c r="U5432" t="s">
        <v>2352</v>
      </c>
      <c r="V5432" t="s">
        <v>9409</v>
      </c>
      <c r="W5432" t="s">
        <v>423</v>
      </c>
    </row>
    <row r="5433" spans="1:23" hidden="1" x14ac:dyDescent="0.2">
      <c r="A5433">
        <v>2012</v>
      </c>
      <c r="B5433" t="s">
        <v>303</v>
      </c>
      <c r="C5433" s="733">
        <v>40927</v>
      </c>
      <c r="D54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33" t="s">
        <v>485</v>
      </c>
      <c r="F5433" t="s">
        <v>2065</v>
      </c>
      <c r="G5433" t="s">
        <v>2584</v>
      </c>
      <c r="H5433">
        <v>40469</v>
      </c>
      <c r="I5433" t="s">
        <v>423</v>
      </c>
      <c r="J5433" t="s">
        <v>2139</v>
      </c>
      <c r="K5433" t="s">
        <v>2102</v>
      </c>
      <c r="L5433" t="s">
        <v>2115</v>
      </c>
      <c r="M5433">
        <v>543</v>
      </c>
      <c r="N5433">
        <v>25.74</v>
      </c>
      <c r="O5433">
        <v>8655.08</v>
      </c>
      <c r="P5433">
        <v>0</v>
      </c>
      <c r="Q5433">
        <v>8655.08</v>
      </c>
      <c r="R5433">
        <v>1384.81</v>
      </c>
      <c r="S5433">
        <v>346.2</v>
      </c>
      <c r="T5433">
        <v>9693.69</v>
      </c>
      <c r="U5433" t="s">
        <v>2108</v>
      </c>
      <c r="V5433" t="s">
        <v>9408</v>
      </c>
      <c r="W5433" t="s">
        <v>423</v>
      </c>
    </row>
    <row r="5434" spans="1:23" hidden="1" x14ac:dyDescent="0.2">
      <c r="A5434">
        <v>2012</v>
      </c>
      <c r="B5434" t="s">
        <v>303</v>
      </c>
      <c r="C5434" s="733">
        <v>40922</v>
      </c>
      <c r="D54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34" t="s">
        <v>478</v>
      </c>
      <c r="F5434" t="s">
        <v>2622</v>
      </c>
      <c r="G5434" t="s">
        <v>6856</v>
      </c>
      <c r="H5434">
        <v>34502</v>
      </c>
      <c r="I5434" t="s">
        <v>423</v>
      </c>
      <c r="J5434" t="s">
        <v>4285</v>
      </c>
      <c r="K5434" t="s">
        <v>425</v>
      </c>
      <c r="L5434" t="s">
        <v>2145</v>
      </c>
      <c r="M5434">
        <v>110</v>
      </c>
      <c r="N5434">
        <v>24.09</v>
      </c>
      <c r="O5434">
        <v>3920.65</v>
      </c>
      <c r="P5434">
        <v>0</v>
      </c>
      <c r="Q5434">
        <v>3920.65</v>
      </c>
      <c r="R5434">
        <v>627.29999999999995</v>
      </c>
      <c r="S5434">
        <v>156.83000000000001</v>
      </c>
      <c r="T5434">
        <v>4391.12</v>
      </c>
      <c r="U5434" t="s">
        <v>2927</v>
      </c>
      <c r="V5434" t="s">
        <v>9408</v>
      </c>
      <c r="W5434" t="s">
        <v>423</v>
      </c>
    </row>
    <row r="5435" spans="1:23" hidden="1" x14ac:dyDescent="0.2">
      <c r="A5435">
        <v>2012</v>
      </c>
      <c r="B5435" t="s">
        <v>304</v>
      </c>
      <c r="C5435" s="733">
        <v>40956</v>
      </c>
      <c r="D54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35" t="s">
        <v>478</v>
      </c>
      <c r="F5435" t="s">
        <v>2136</v>
      </c>
      <c r="G5435" t="s">
        <v>8014</v>
      </c>
      <c r="H5435">
        <v>35666</v>
      </c>
      <c r="I5435" t="s">
        <v>423</v>
      </c>
      <c r="J5435" t="s">
        <v>4285</v>
      </c>
      <c r="K5435" t="s">
        <v>425</v>
      </c>
      <c r="L5435" t="s">
        <v>2145</v>
      </c>
      <c r="M5435">
        <v>110</v>
      </c>
      <c r="N5435">
        <v>22.47</v>
      </c>
      <c r="O5435">
        <v>3656.99</v>
      </c>
      <c r="P5435">
        <v>0</v>
      </c>
      <c r="Q5435">
        <v>3656.99</v>
      </c>
      <c r="R5435">
        <v>585.12</v>
      </c>
      <c r="S5435">
        <v>146.28</v>
      </c>
      <c r="T5435">
        <v>4095.83</v>
      </c>
      <c r="U5435" t="s">
        <v>9455</v>
      </c>
      <c r="V5435" t="s">
        <v>9408</v>
      </c>
      <c r="W5435" t="s">
        <v>423</v>
      </c>
    </row>
    <row r="5436" spans="1:23" hidden="1" x14ac:dyDescent="0.2">
      <c r="A5436">
        <v>2012</v>
      </c>
      <c r="B5436" t="s">
        <v>304</v>
      </c>
      <c r="C5436" s="733">
        <v>40961</v>
      </c>
      <c r="D54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36" t="s">
        <v>485</v>
      </c>
      <c r="F5436" t="s">
        <v>2065</v>
      </c>
      <c r="G5436" t="s">
        <v>8484</v>
      </c>
      <c r="H5436">
        <v>42322</v>
      </c>
      <c r="I5436" t="s">
        <v>423</v>
      </c>
      <c r="J5436" t="s">
        <v>2196</v>
      </c>
      <c r="K5436" t="s">
        <v>2183</v>
      </c>
      <c r="L5436" t="s">
        <v>2184</v>
      </c>
      <c r="M5436">
        <v>10</v>
      </c>
      <c r="N5436">
        <v>54.72</v>
      </c>
      <c r="O5436">
        <v>6176.25</v>
      </c>
      <c r="P5436">
        <v>0</v>
      </c>
      <c r="Q5436">
        <v>6176.25</v>
      </c>
      <c r="R5436">
        <v>988.2</v>
      </c>
      <c r="S5436">
        <v>247.05</v>
      </c>
      <c r="T5436">
        <v>6917.4</v>
      </c>
      <c r="U5436" t="s">
        <v>9411</v>
      </c>
      <c r="V5436" t="s">
        <v>9409</v>
      </c>
      <c r="W5436" t="s">
        <v>423</v>
      </c>
    </row>
    <row r="5437" spans="1:23" hidden="1" x14ac:dyDescent="0.2">
      <c r="A5437">
        <v>2012</v>
      </c>
      <c r="B5437" t="s">
        <v>305</v>
      </c>
      <c r="C5437" s="733">
        <v>40969</v>
      </c>
      <c r="D543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437" t="s">
        <v>485</v>
      </c>
      <c r="F5437" t="s">
        <v>2065</v>
      </c>
      <c r="G5437" t="s">
        <v>9647</v>
      </c>
      <c r="H5437">
        <v>42896</v>
      </c>
      <c r="I5437" t="s">
        <v>423</v>
      </c>
      <c r="J5437" t="s">
        <v>2196</v>
      </c>
      <c r="K5437" t="s">
        <v>2183</v>
      </c>
      <c r="L5437" t="s">
        <v>2184</v>
      </c>
      <c r="M5437">
        <v>10</v>
      </c>
      <c r="N5437">
        <v>48.22</v>
      </c>
      <c r="O5437">
        <v>5442.59</v>
      </c>
      <c r="P5437">
        <v>0</v>
      </c>
      <c r="Q5437">
        <v>5442.59</v>
      </c>
      <c r="R5437">
        <v>870.81</v>
      </c>
      <c r="S5437">
        <v>217.7</v>
      </c>
      <c r="T5437">
        <v>6095.7</v>
      </c>
      <c r="V5437" t="s">
        <v>9409</v>
      </c>
      <c r="W5437" t="s">
        <v>423</v>
      </c>
    </row>
    <row r="5438" spans="1:23" hidden="1" x14ac:dyDescent="0.2">
      <c r="A5438">
        <v>2012</v>
      </c>
      <c r="B5438" t="s">
        <v>303</v>
      </c>
      <c r="C5438" s="733">
        <v>40921</v>
      </c>
      <c r="D54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38" t="s">
        <v>485</v>
      </c>
      <c r="F5438" t="s">
        <v>2065</v>
      </c>
      <c r="G5438" t="s">
        <v>6314</v>
      </c>
      <c r="H5438">
        <v>40272</v>
      </c>
      <c r="I5438" t="s">
        <v>423</v>
      </c>
      <c r="J5438" t="s">
        <v>2196</v>
      </c>
      <c r="K5438" t="s">
        <v>2183</v>
      </c>
      <c r="L5438" t="s">
        <v>2184</v>
      </c>
      <c r="M5438">
        <v>10</v>
      </c>
      <c r="N5438">
        <v>25.19</v>
      </c>
      <c r="O5438">
        <v>2843.2</v>
      </c>
      <c r="P5438">
        <v>0</v>
      </c>
      <c r="Q5438">
        <v>2843.2</v>
      </c>
      <c r="R5438">
        <v>454.91</v>
      </c>
      <c r="S5438">
        <v>113.73</v>
      </c>
      <c r="T5438">
        <v>3184.38</v>
      </c>
      <c r="U5438" t="s">
        <v>7520</v>
      </c>
      <c r="V5438" t="s">
        <v>9408</v>
      </c>
      <c r="W5438" t="s">
        <v>423</v>
      </c>
    </row>
    <row r="5439" spans="1:23" hidden="1" x14ac:dyDescent="0.2">
      <c r="A5439">
        <v>2012</v>
      </c>
      <c r="B5439" t="s">
        <v>304</v>
      </c>
      <c r="C5439" s="733">
        <v>40948</v>
      </c>
      <c r="D54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39" t="s">
        <v>485</v>
      </c>
      <c r="F5439" t="s">
        <v>2065</v>
      </c>
      <c r="G5439" t="s">
        <v>4993</v>
      </c>
      <c r="H5439">
        <v>41550</v>
      </c>
      <c r="I5439" t="s">
        <v>423</v>
      </c>
      <c r="J5439" t="s">
        <v>2196</v>
      </c>
      <c r="K5439" t="s">
        <v>2183</v>
      </c>
      <c r="L5439" t="s">
        <v>2184</v>
      </c>
      <c r="M5439">
        <v>10</v>
      </c>
      <c r="N5439">
        <v>52.54</v>
      </c>
      <c r="O5439">
        <v>5930.19</v>
      </c>
      <c r="P5439">
        <v>0</v>
      </c>
      <c r="Q5439">
        <v>5930.19</v>
      </c>
      <c r="R5439">
        <v>948.83</v>
      </c>
      <c r="S5439">
        <v>237.21</v>
      </c>
      <c r="T5439">
        <v>6641.81</v>
      </c>
      <c r="U5439" t="s">
        <v>2192</v>
      </c>
      <c r="V5439" t="s">
        <v>9409</v>
      </c>
      <c r="W5439" t="s">
        <v>423</v>
      </c>
    </row>
    <row r="5440" spans="1:23" hidden="1" x14ac:dyDescent="0.2">
      <c r="A5440">
        <v>2012</v>
      </c>
      <c r="B5440" t="s">
        <v>303</v>
      </c>
      <c r="C5440" s="733">
        <v>40931</v>
      </c>
      <c r="D54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40" t="s">
        <v>485</v>
      </c>
      <c r="F5440" t="s">
        <v>2065</v>
      </c>
      <c r="G5440" t="s">
        <v>4991</v>
      </c>
      <c r="H5440">
        <v>40692</v>
      </c>
      <c r="I5440" t="s">
        <v>423</v>
      </c>
      <c r="J5440" t="s">
        <v>2196</v>
      </c>
      <c r="K5440" t="s">
        <v>2183</v>
      </c>
      <c r="L5440" t="s">
        <v>2184</v>
      </c>
      <c r="M5440">
        <v>10</v>
      </c>
      <c r="N5440">
        <v>48.42</v>
      </c>
      <c r="O5440">
        <v>5465.17</v>
      </c>
      <c r="P5440">
        <v>0</v>
      </c>
      <c r="Q5440">
        <v>5465.17</v>
      </c>
      <c r="R5440">
        <v>874.43</v>
      </c>
      <c r="S5440">
        <v>218.61</v>
      </c>
      <c r="T5440">
        <v>6120.99</v>
      </c>
      <c r="U5440" t="s">
        <v>2187</v>
      </c>
      <c r="V5440" t="s">
        <v>9409</v>
      </c>
      <c r="W5440" t="s">
        <v>423</v>
      </c>
    </row>
    <row r="5441" spans="1:23" hidden="1" x14ac:dyDescent="0.2">
      <c r="A5441">
        <v>2012</v>
      </c>
      <c r="B5441" t="s">
        <v>304</v>
      </c>
      <c r="C5441" s="733">
        <v>40940</v>
      </c>
      <c r="D54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41" t="s">
        <v>485</v>
      </c>
      <c r="F5441" t="s">
        <v>2065</v>
      </c>
      <c r="G5441" t="s">
        <v>4992</v>
      </c>
      <c r="H5441">
        <v>41160</v>
      </c>
      <c r="I5441" t="s">
        <v>423</v>
      </c>
      <c r="J5441" t="s">
        <v>2196</v>
      </c>
      <c r="K5441" t="s">
        <v>2183</v>
      </c>
      <c r="L5441" t="s">
        <v>2184</v>
      </c>
      <c r="M5441">
        <v>10</v>
      </c>
      <c r="N5441">
        <v>49.62</v>
      </c>
      <c r="O5441">
        <v>5600.61</v>
      </c>
      <c r="P5441">
        <v>0</v>
      </c>
      <c r="Q5441">
        <v>5600.61</v>
      </c>
      <c r="R5441">
        <v>896.1</v>
      </c>
      <c r="S5441">
        <v>224.02</v>
      </c>
      <c r="T5441">
        <v>6272.69</v>
      </c>
      <c r="U5441" t="s">
        <v>9411</v>
      </c>
      <c r="V5441" t="s">
        <v>9409</v>
      </c>
      <c r="W5441" t="s">
        <v>423</v>
      </c>
    </row>
    <row r="5442" spans="1:23" hidden="1" x14ac:dyDescent="0.2">
      <c r="A5442">
        <v>2012</v>
      </c>
      <c r="B5442" t="s">
        <v>304</v>
      </c>
      <c r="C5442" s="733">
        <v>40962</v>
      </c>
      <c r="D54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42" t="s">
        <v>485</v>
      </c>
      <c r="F5442" t="s">
        <v>2065</v>
      </c>
      <c r="G5442" t="s">
        <v>8693</v>
      </c>
      <c r="H5442">
        <v>42384</v>
      </c>
      <c r="I5442" t="s">
        <v>423</v>
      </c>
      <c r="J5442" t="s">
        <v>2196</v>
      </c>
      <c r="K5442" t="s">
        <v>2183</v>
      </c>
      <c r="L5442" t="s">
        <v>2184</v>
      </c>
      <c r="M5442">
        <v>10</v>
      </c>
      <c r="N5442">
        <v>52.66</v>
      </c>
      <c r="O5442">
        <v>5943.73</v>
      </c>
      <c r="P5442">
        <v>0</v>
      </c>
      <c r="Q5442">
        <v>5943.73</v>
      </c>
      <c r="R5442">
        <v>951</v>
      </c>
      <c r="S5442">
        <v>237.75</v>
      </c>
      <c r="T5442">
        <v>6656.98</v>
      </c>
      <c r="U5442" t="s">
        <v>9411</v>
      </c>
      <c r="V5442" t="s">
        <v>9409</v>
      </c>
      <c r="W5442" t="s">
        <v>423</v>
      </c>
    </row>
    <row r="5443" spans="1:23" hidden="1" x14ac:dyDescent="0.2">
      <c r="A5443">
        <v>2012</v>
      </c>
      <c r="B5443" t="s">
        <v>304</v>
      </c>
      <c r="C5443" s="733">
        <v>40940</v>
      </c>
      <c r="D54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43" t="s">
        <v>485</v>
      </c>
      <c r="F5443" t="s">
        <v>2065</v>
      </c>
      <c r="G5443" t="s">
        <v>4982</v>
      </c>
      <c r="H5443">
        <v>40332</v>
      </c>
      <c r="I5443" t="s">
        <v>423</v>
      </c>
      <c r="J5443" t="s">
        <v>2196</v>
      </c>
      <c r="K5443" t="s">
        <v>2183</v>
      </c>
      <c r="L5443" t="s">
        <v>2184</v>
      </c>
      <c r="M5443">
        <v>10</v>
      </c>
      <c r="N5443">
        <v>23.21</v>
      </c>
      <c r="O5443">
        <v>2619.71</v>
      </c>
      <c r="P5443">
        <v>0</v>
      </c>
      <c r="Q5443">
        <v>2619.71</v>
      </c>
      <c r="R5443">
        <v>419.15</v>
      </c>
      <c r="S5443">
        <v>104.79</v>
      </c>
      <c r="T5443">
        <v>2934.07</v>
      </c>
      <c r="U5443" t="s">
        <v>2187</v>
      </c>
      <c r="V5443" t="s">
        <v>9408</v>
      </c>
      <c r="W5443" t="s">
        <v>423</v>
      </c>
    </row>
    <row r="5444" spans="1:23" hidden="1" x14ac:dyDescent="0.2">
      <c r="A5444">
        <v>2012</v>
      </c>
      <c r="B5444" t="s">
        <v>303</v>
      </c>
      <c r="C5444" s="733">
        <v>40939</v>
      </c>
      <c r="D54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44" t="s">
        <v>478</v>
      </c>
      <c r="F5444" t="s">
        <v>2136</v>
      </c>
      <c r="G5444" t="s">
        <v>2583</v>
      </c>
      <c r="H5444">
        <v>35068</v>
      </c>
      <c r="I5444" t="s">
        <v>423</v>
      </c>
      <c r="J5444" t="s">
        <v>2148</v>
      </c>
      <c r="K5444" t="s">
        <v>425</v>
      </c>
      <c r="L5444" t="s">
        <v>2145</v>
      </c>
      <c r="M5444">
        <v>205</v>
      </c>
      <c r="N5444">
        <v>28.52</v>
      </c>
      <c r="O5444">
        <v>5657.51</v>
      </c>
      <c r="P5444">
        <v>0</v>
      </c>
      <c r="Q5444">
        <v>5657.51</v>
      </c>
      <c r="R5444">
        <v>905.2</v>
      </c>
      <c r="S5444">
        <v>226.3</v>
      </c>
      <c r="T5444">
        <v>6336.41</v>
      </c>
      <c r="U5444" t="s">
        <v>2580</v>
      </c>
      <c r="V5444" t="s">
        <v>9408</v>
      </c>
      <c r="W5444" t="s">
        <v>423</v>
      </c>
    </row>
    <row r="5445" spans="1:23" hidden="1" x14ac:dyDescent="0.2">
      <c r="A5445">
        <v>2012</v>
      </c>
      <c r="B5445" t="s">
        <v>304</v>
      </c>
      <c r="C5445" s="733">
        <v>40941</v>
      </c>
      <c r="D54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45" t="s">
        <v>485</v>
      </c>
      <c r="F5445" t="s">
        <v>2065</v>
      </c>
      <c r="G5445" t="s">
        <v>4981</v>
      </c>
      <c r="H5445">
        <v>41223</v>
      </c>
      <c r="I5445" t="s">
        <v>423</v>
      </c>
      <c r="J5445" t="s">
        <v>2196</v>
      </c>
      <c r="K5445" t="s">
        <v>2183</v>
      </c>
      <c r="L5445" t="s">
        <v>2184</v>
      </c>
      <c r="M5445">
        <v>10</v>
      </c>
      <c r="N5445">
        <v>26.2</v>
      </c>
      <c r="O5445">
        <v>2957.19</v>
      </c>
      <c r="P5445">
        <v>0</v>
      </c>
      <c r="Q5445">
        <v>2957.19</v>
      </c>
      <c r="R5445">
        <v>473.15</v>
      </c>
      <c r="S5445">
        <v>118.29</v>
      </c>
      <c r="T5445">
        <v>3312.05</v>
      </c>
      <c r="U5445" t="s">
        <v>2192</v>
      </c>
      <c r="V5445" t="s">
        <v>9408</v>
      </c>
      <c r="W5445" t="s">
        <v>423</v>
      </c>
    </row>
    <row r="5446" spans="1:23" hidden="1" x14ac:dyDescent="0.2">
      <c r="A5446">
        <v>2012</v>
      </c>
      <c r="B5446" t="s">
        <v>304</v>
      </c>
      <c r="C5446" s="733">
        <v>40955.451747685183</v>
      </c>
      <c r="D54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46" t="s">
        <v>485</v>
      </c>
      <c r="F5446" t="s">
        <v>2065</v>
      </c>
      <c r="G5446" t="s">
        <v>8039</v>
      </c>
      <c r="H5446">
        <v>42065</v>
      </c>
      <c r="I5446" t="s">
        <v>423</v>
      </c>
      <c r="J5446" t="s">
        <v>2196</v>
      </c>
      <c r="K5446" t="s">
        <v>2183</v>
      </c>
      <c r="L5446" t="s">
        <v>2184</v>
      </c>
      <c r="M5446">
        <v>10</v>
      </c>
      <c r="N5446">
        <v>16.13</v>
      </c>
      <c r="O5446">
        <v>1820.59</v>
      </c>
      <c r="P5446">
        <v>0</v>
      </c>
      <c r="Q5446">
        <v>1820.59</v>
      </c>
      <c r="R5446">
        <v>291.29000000000002</v>
      </c>
      <c r="S5446">
        <v>72.819999999999993</v>
      </c>
      <c r="T5446">
        <v>2039.06</v>
      </c>
      <c r="U5446" t="s">
        <v>8048</v>
      </c>
      <c r="V5446" t="s">
        <v>9408</v>
      </c>
      <c r="W5446" t="s">
        <v>423</v>
      </c>
    </row>
    <row r="5447" spans="1:23" hidden="1" x14ac:dyDescent="0.2">
      <c r="A5447">
        <v>2012</v>
      </c>
      <c r="B5447" t="s">
        <v>305</v>
      </c>
      <c r="C5447" s="733">
        <v>40969.691759259258</v>
      </c>
      <c r="D544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447" t="s">
        <v>478</v>
      </c>
      <c r="F5447" t="s">
        <v>2622</v>
      </c>
      <c r="G5447" t="s">
        <v>9505</v>
      </c>
      <c r="H5447">
        <v>36217</v>
      </c>
      <c r="I5447" t="s">
        <v>423</v>
      </c>
      <c r="J5447" t="s">
        <v>2662</v>
      </c>
      <c r="K5447" t="s">
        <v>2625</v>
      </c>
      <c r="L5447" t="s">
        <v>2626</v>
      </c>
      <c r="M5447">
        <v>66</v>
      </c>
      <c r="N5447">
        <v>22.83</v>
      </c>
      <c r="O5447">
        <v>2687.78</v>
      </c>
      <c r="P5447">
        <v>0</v>
      </c>
      <c r="Q5447">
        <v>2687.78</v>
      </c>
      <c r="R5447">
        <v>430.04</v>
      </c>
      <c r="S5447">
        <v>107.51</v>
      </c>
      <c r="T5447">
        <v>3010.31</v>
      </c>
      <c r="V5447" t="s">
        <v>9408</v>
      </c>
      <c r="W5447" t="s">
        <v>423</v>
      </c>
    </row>
    <row r="5448" spans="1:23" hidden="1" x14ac:dyDescent="0.2">
      <c r="A5448">
        <v>2012</v>
      </c>
      <c r="B5448" t="s">
        <v>304</v>
      </c>
      <c r="C5448" s="733">
        <v>40960.423981481479</v>
      </c>
      <c r="D54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48" t="s">
        <v>478</v>
      </c>
      <c r="F5448" t="s">
        <v>2622</v>
      </c>
      <c r="G5448" t="s">
        <v>8411</v>
      </c>
      <c r="H5448">
        <v>35856</v>
      </c>
      <c r="I5448" t="s">
        <v>423</v>
      </c>
      <c r="J5448" t="s">
        <v>2662</v>
      </c>
      <c r="K5448" t="s">
        <v>2625</v>
      </c>
      <c r="L5448" t="s">
        <v>2626</v>
      </c>
      <c r="M5448">
        <v>66</v>
      </c>
      <c r="N5448">
        <v>24.89</v>
      </c>
      <c r="O5448">
        <v>2930.3</v>
      </c>
      <c r="P5448">
        <v>0</v>
      </c>
      <c r="Q5448">
        <v>2930.3</v>
      </c>
      <c r="R5448">
        <v>468.85</v>
      </c>
      <c r="S5448">
        <v>117.21</v>
      </c>
      <c r="T5448">
        <v>3281.94</v>
      </c>
      <c r="U5448" t="s">
        <v>8267</v>
      </c>
      <c r="V5448" t="s">
        <v>9408</v>
      </c>
      <c r="W5448" t="s">
        <v>423</v>
      </c>
    </row>
    <row r="5449" spans="1:23" hidden="1" x14ac:dyDescent="0.2">
      <c r="A5449">
        <v>2012</v>
      </c>
      <c r="B5449" t="s">
        <v>304</v>
      </c>
      <c r="C5449" s="733">
        <v>40941</v>
      </c>
      <c r="D54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49" t="s">
        <v>505</v>
      </c>
      <c r="F5449" t="s">
        <v>1915</v>
      </c>
      <c r="G5449" t="s">
        <v>1978</v>
      </c>
      <c r="H5449">
        <v>22427</v>
      </c>
      <c r="I5449" t="s">
        <v>1979</v>
      </c>
      <c r="J5449" t="s">
        <v>1980</v>
      </c>
      <c r="K5449" t="s">
        <v>1918</v>
      </c>
      <c r="L5449" t="s">
        <v>1919</v>
      </c>
      <c r="M5449">
        <v>732</v>
      </c>
      <c r="N5449">
        <v>49.7</v>
      </c>
      <c r="O5449">
        <v>21798.42</v>
      </c>
      <c r="P5449">
        <v>0</v>
      </c>
      <c r="Q5449">
        <v>21798.42</v>
      </c>
      <c r="R5449">
        <v>3487.75</v>
      </c>
      <c r="S5449">
        <v>871.94</v>
      </c>
      <c r="T5449">
        <v>24414.23</v>
      </c>
      <c r="U5449" t="s">
        <v>1926</v>
      </c>
      <c r="V5449" t="s">
        <v>9409</v>
      </c>
      <c r="W5449" t="s">
        <v>1979</v>
      </c>
    </row>
    <row r="5450" spans="1:23" hidden="1" x14ac:dyDescent="0.2">
      <c r="A5450">
        <v>2012</v>
      </c>
      <c r="B5450" t="s">
        <v>304</v>
      </c>
      <c r="C5450" s="733">
        <v>40966</v>
      </c>
      <c r="D54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50" t="s">
        <v>505</v>
      </c>
      <c r="F5450" t="s">
        <v>1915</v>
      </c>
      <c r="G5450" t="s">
        <v>8828</v>
      </c>
      <c r="H5450">
        <v>23013</v>
      </c>
      <c r="I5450" t="s">
        <v>1979</v>
      </c>
      <c r="J5450" t="s">
        <v>1980</v>
      </c>
      <c r="K5450" t="s">
        <v>1918</v>
      </c>
      <c r="L5450" t="s">
        <v>1919</v>
      </c>
      <c r="M5450">
        <v>732</v>
      </c>
      <c r="N5450">
        <v>49.72</v>
      </c>
      <c r="O5450">
        <v>21807.19</v>
      </c>
      <c r="P5450">
        <v>0</v>
      </c>
      <c r="Q5450">
        <v>21807.19</v>
      </c>
      <c r="R5450">
        <v>3489.15</v>
      </c>
      <c r="S5450">
        <v>872.29</v>
      </c>
      <c r="T5450">
        <v>24424.05</v>
      </c>
      <c r="U5450" t="s">
        <v>9415</v>
      </c>
      <c r="V5450" t="s">
        <v>9409</v>
      </c>
      <c r="W5450" t="s">
        <v>1979</v>
      </c>
    </row>
    <row r="5451" spans="1:23" hidden="1" x14ac:dyDescent="0.2">
      <c r="A5451">
        <v>2012</v>
      </c>
      <c r="B5451" t="s">
        <v>304</v>
      </c>
      <c r="C5451" s="733">
        <v>40954</v>
      </c>
      <c r="D54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51" t="s">
        <v>505</v>
      </c>
      <c r="F5451" t="s">
        <v>1915</v>
      </c>
      <c r="G5451" t="s">
        <v>8000</v>
      </c>
      <c r="H5451">
        <v>22720</v>
      </c>
      <c r="I5451" t="s">
        <v>1979</v>
      </c>
      <c r="J5451" t="s">
        <v>1980</v>
      </c>
      <c r="K5451" t="s">
        <v>1918</v>
      </c>
      <c r="L5451" t="s">
        <v>1919</v>
      </c>
      <c r="M5451">
        <v>732</v>
      </c>
      <c r="N5451">
        <v>49.72</v>
      </c>
      <c r="O5451">
        <v>21807.19</v>
      </c>
      <c r="P5451">
        <v>0</v>
      </c>
      <c r="Q5451">
        <v>21807.19</v>
      </c>
      <c r="R5451">
        <v>3489.15</v>
      </c>
      <c r="S5451">
        <v>872.29</v>
      </c>
      <c r="T5451">
        <v>24424.05</v>
      </c>
      <c r="U5451" t="s">
        <v>7529</v>
      </c>
      <c r="V5451" t="s">
        <v>9409</v>
      </c>
      <c r="W5451" t="s">
        <v>1979</v>
      </c>
    </row>
    <row r="5452" spans="1:23" hidden="1" x14ac:dyDescent="0.2">
      <c r="A5452">
        <v>2012</v>
      </c>
      <c r="B5452" t="s">
        <v>303</v>
      </c>
      <c r="C5452" s="733">
        <v>40931.919398148151</v>
      </c>
      <c r="D54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52" t="s">
        <v>478</v>
      </c>
      <c r="F5452" t="s">
        <v>2622</v>
      </c>
      <c r="G5452" t="s">
        <v>6218</v>
      </c>
      <c r="H5452">
        <v>34877</v>
      </c>
      <c r="I5452" t="s">
        <v>423</v>
      </c>
      <c r="J5452" t="s">
        <v>2662</v>
      </c>
      <c r="K5452" t="s">
        <v>2625</v>
      </c>
      <c r="L5452" t="s">
        <v>2626</v>
      </c>
      <c r="M5452">
        <v>66</v>
      </c>
      <c r="N5452">
        <v>23.92</v>
      </c>
      <c r="O5452">
        <v>2816.1</v>
      </c>
      <c r="P5452">
        <v>0</v>
      </c>
      <c r="Q5452">
        <v>2816.1</v>
      </c>
      <c r="R5452">
        <v>450.58</v>
      </c>
      <c r="S5452">
        <v>112.64</v>
      </c>
      <c r="T5452">
        <v>3154.04</v>
      </c>
      <c r="U5452" t="s">
        <v>2633</v>
      </c>
      <c r="V5452" t="s">
        <v>9408</v>
      </c>
      <c r="W5452" t="s">
        <v>423</v>
      </c>
    </row>
    <row r="5453" spans="1:23" hidden="1" x14ac:dyDescent="0.2">
      <c r="A5453">
        <v>2012</v>
      </c>
      <c r="B5453" t="s">
        <v>303</v>
      </c>
      <c r="C5453" s="733">
        <v>40912</v>
      </c>
      <c r="D54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53" t="s">
        <v>478</v>
      </c>
      <c r="F5453" t="s">
        <v>2136</v>
      </c>
      <c r="G5453" t="s">
        <v>6780</v>
      </c>
      <c r="H5453">
        <v>34130</v>
      </c>
      <c r="I5453" t="s">
        <v>423</v>
      </c>
      <c r="J5453" t="s">
        <v>3636</v>
      </c>
      <c r="K5453" t="s">
        <v>425</v>
      </c>
      <c r="L5453" t="s">
        <v>2145</v>
      </c>
      <c r="M5453">
        <v>244</v>
      </c>
      <c r="N5453">
        <v>53.44</v>
      </c>
      <c r="O5453">
        <v>3757.9</v>
      </c>
      <c r="P5453">
        <v>4230.9820309999996</v>
      </c>
      <c r="Q5453">
        <v>7988.8820310000001</v>
      </c>
      <c r="R5453">
        <v>1278.221125</v>
      </c>
      <c r="S5453">
        <v>319.55528099999998</v>
      </c>
      <c r="T5453">
        <v>8947.5478750000002</v>
      </c>
      <c r="U5453" t="s">
        <v>3118</v>
      </c>
      <c r="V5453" t="s">
        <v>9409</v>
      </c>
      <c r="W5453" t="s">
        <v>423</v>
      </c>
    </row>
    <row r="5454" spans="1:23" hidden="1" x14ac:dyDescent="0.2">
      <c r="A5454">
        <v>2012</v>
      </c>
      <c r="B5454" t="s">
        <v>304</v>
      </c>
      <c r="C5454" s="733">
        <v>40949</v>
      </c>
      <c r="D54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54" t="s">
        <v>505</v>
      </c>
      <c r="F5454" t="s">
        <v>1915</v>
      </c>
      <c r="G5454" t="s">
        <v>6975</v>
      </c>
      <c r="H5454">
        <v>22549</v>
      </c>
      <c r="I5454" t="s">
        <v>1979</v>
      </c>
      <c r="J5454" t="s">
        <v>1980</v>
      </c>
      <c r="K5454" t="s">
        <v>1918</v>
      </c>
      <c r="L5454" t="s">
        <v>1919</v>
      </c>
      <c r="M5454">
        <v>732</v>
      </c>
      <c r="N5454">
        <v>50.07</v>
      </c>
      <c r="O5454">
        <v>21960.7</v>
      </c>
      <c r="P5454">
        <v>0</v>
      </c>
      <c r="Q5454">
        <v>21960.7</v>
      </c>
      <c r="R5454">
        <v>3513.71</v>
      </c>
      <c r="S5454">
        <v>878.43</v>
      </c>
      <c r="T5454">
        <v>24595.98</v>
      </c>
      <c r="U5454" t="s">
        <v>7522</v>
      </c>
      <c r="V5454" t="s">
        <v>9409</v>
      </c>
      <c r="W5454" t="s">
        <v>1979</v>
      </c>
    </row>
    <row r="5455" spans="1:23" hidden="1" x14ac:dyDescent="0.2">
      <c r="A5455">
        <v>2012</v>
      </c>
      <c r="B5455" t="s">
        <v>304</v>
      </c>
      <c r="C5455" s="733">
        <v>40967.421423611115</v>
      </c>
      <c r="D54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55" t="s">
        <v>478</v>
      </c>
      <c r="F5455" t="s">
        <v>2136</v>
      </c>
      <c r="G5455" t="s">
        <v>9109</v>
      </c>
      <c r="H5455">
        <v>36137</v>
      </c>
      <c r="I5455" t="s">
        <v>423</v>
      </c>
      <c r="J5455" t="s">
        <v>2644</v>
      </c>
      <c r="K5455" t="s">
        <v>2625</v>
      </c>
      <c r="L5455" t="s">
        <v>2145</v>
      </c>
      <c r="M5455">
        <v>52</v>
      </c>
      <c r="N5455">
        <v>23.06</v>
      </c>
      <c r="O5455">
        <v>2714.85</v>
      </c>
      <c r="P5455">
        <v>0</v>
      </c>
      <c r="Q5455">
        <v>2714.85</v>
      </c>
      <c r="R5455">
        <v>434.38</v>
      </c>
      <c r="S5455">
        <v>108.59</v>
      </c>
      <c r="T5455">
        <v>3040.64</v>
      </c>
      <c r="U5455" t="s">
        <v>9428</v>
      </c>
      <c r="V5455" t="s">
        <v>9408</v>
      </c>
      <c r="W5455" t="s">
        <v>423</v>
      </c>
    </row>
    <row r="5456" spans="1:23" hidden="1" x14ac:dyDescent="0.2">
      <c r="A5456">
        <v>2012</v>
      </c>
      <c r="B5456" t="s">
        <v>303</v>
      </c>
      <c r="C5456" s="733">
        <v>40911.685972222222</v>
      </c>
      <c r="D54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56" t="s">
        <v>478</v>
      </c>
      <c r="F5456" t="s">
        <v>2136</v>
      </c>
      <c r="G5456" t="s">
        <v>6219</v>
      </c>
      <c r="H5456">
        <v>34200</v>
      </c>
      <c r="I5456" t="s">
        <v>423</v>
      </c>
      <c r="J5456" t="s">
        <v>2644</v>
      </c>
      <c r="K5456" t="s">
        <v>2625</v>
      </c>
      <c r="L5456" t="s">
        <v>2145</v>
      </c>
      <c r="M5456">
        <v>52</v>
      </c>
      <c r="N5456">
        <v>24.07</v>
      </c>
      <c r="O5456">
        <v>1403.76</v>
      </c>
      <c r="P5456">
        <v>1132.42723</v>
      </c>
      <c r="Q5456">
        <v>2536.18723</v>
      </c>
      <c r="R5456">
        <v>405.78995700000002</v>
      </c>
      <c r="S5456">
        <v>101.447489</v>
      </c>
      <c r="T5456">
        <v>2840.5296979999998</v>
      </c>
      <c r="U5456" t="s">
        <v>2660</v>
      </c>
      <c r="V5456" t="s">
        <v>9408</v>
      </c>
      <c r="W5456" t="s">
        <v>423</v>
      </c>
    </row>
    <row r="5457" spans="1:23" hidden="1" x14ac:dyDescent="0.2">
      <c r="A5457">
        <v>2012</v>
      </c>
      <c r="B5457" t="s">
        <v>303</v>
      </c>
      <c r="C5457" s="733">
        <v>40920.927303240744</v>
      </c>
      <c r="D54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57" t="s">
        <v>478</v>
      </c>
      <c r="F5457" t="s">
        <v>2622</v>
      </c>
      <c r="G5457" t="s">
        <v>6222</v>
      </c>
      <c r="H5457">
        <v>34476</v>
      </c>
      <c r="I5457" t="s">
        <v>423</v>
      </c>
      <c r="J5457" t="s">
        <v>2644</v>
      </c>
      <c r="K5457" t="s">
        <v>2625</v>
      </c>
      <c r="L5457" t="s">
        <v>2626</v>
      </c>
      <c r="M5457">
        <v>52</v>
      </c>
      <c r="N5457">
        <v>22.42</v>
      </c>
      <c r="O5457">
        <v>2639.51</v>
      </c>
      <c r="P5457">
        <v>0</v>
      </c>
      <c r="Q5457">
        <v>2639.51</v>
      </c>
      <c r="R5457">
        <v>422.32</v>
      </c>
      <c r="S5457">
        <v>105.58</v>
      </c>
      <c r="T5457">
        <v>2956.25</v>
      </c>
      <c r="U5457" t="s">
        <v>2627</v>
      </c>
      <c r="V5457" t="s">
        <v>9408</v>
      </c>
      <c r="W5457" t="s">
        <v>423</v>
      </c>
    </row>
    <row r="5458" spans="1:23" hidden="1" x14ac:dyDescent="0.2">
      <c r="A5458">
        <v>2012</v>
      </c>
      <c r="B5458" t="s">
        <v>303</v>
      </c>
      <c r="C5458" s="733">
        <v>40935</v>
      </c>
      <c r="D54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58" t="s">
        <v>478</v>
      </c>
      <c r="F5458" t="s">
        <v>2136</v>
      </c>
      <c r="G5458" t="s">
        <v>6783</v>
      </c>
      <c r="H5458">
        <v>34651</v>
      </c>
      <c r="I5458" t="s">
        <v>423</v>
      </c>
      <c r="J5458" t="s">
        <v>3638</v>
      </c>
      <c r="K5458" t="s">
        <v>425</v>
      </c>
      <c r="L5458" t="s">
        <v>2145</v>
      </c>
      <c r="M5458">
        <v>1416</v>
      </c>
      <c r="N5458">
        <v>50.8</v>
      </c>
      <c r="O5458">
        <v>46064.93</v>
      </c>
      <c r="P5458">
        <v>0</v>
      </c>
      <c r="Q5458">
        <v>46064.93</v>
      </c>
      <c r="R5458">
        <v>7370.39</v>
      </c>
      <c r="S5458">
        <v>1842.6</v>
      </c>
      <c r="T5458">
        <v>51592.72</v>
      </c>
      <c r="U5458" t="s">
        <v>3234</v>
      </c>
      <c r="V5458" t="s">
        <v>9409</v>
      </c>
      <c r="W5458" t="s">
        <v>423</v>
      </c>
    </row>
    <row r="5459" spans="1:23" hidden="1" x14ac:dyDescent="0.2">
      <c r="A5459">
        <v>2012</v>
      </c>
      <c r="B5459" t="s">
        <v>304</v>
      </c>
      <c r="C5459" s="733">
        <v>40952</v>
      </c>
      <c r="D54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59" t="s">
        <v>478</v>
      </c>
      <c r="F5459" t="s">
        <v>2136</v>
      </c>
      <c r="G5459" t="s">
        <v>6959</v>
      </c>
      <c r="H5459">
        <v>35557</v>
      </c>
      <c r="I5459" t="s">
        <v>423</v>
      </c>
      <c r="J5459" t="s">
        <v>4291</v>
      </c>
      <c r="K5459" t="s">
        <v>425</v>
      </c>
      <c r="L5459" t="s">
        <v>2145</v>
      </c>
      <c r="M5459">
        <v>163</v>
      </c>
      <c r="N5459">
        <v>25.88</v>
      </c>
      <c r="O5459">
        <v>4599.13</v>
      </c>
      <c r="P5459">
        <v>0</v>
      </c>
      <c r="Q5459">
        <v>4599.13</v>
      </c>
      <c r="R5459">
        <v>735.86</v>
      </c>
      <c r="S5459">
        <v>183.97</v>
      </c>
      <c r="T5459">
        <v>5151.0200000000004</v>
      </c>
      <c r="U5459" t="s">
        <v>7553</v>
      </c>
      <c r="V5459" t="s">
        <v>9408</v>
      </c>
      <c r="W5459" t="s">
        <v>423</v>
      </c>
    </row>
    <row r="5460" spans="1:23" hidden="1" x14ac:dyDescent="0.2">
      <c r="A5460">
        <v>2012</v>
      </c>
      <c r="B5460" t="s">
        <v>304</v>
      </c>
      <c r="C5460" s="733">
        <v>40963.457349537035</v>
      </c>
      <c r="D54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60" t="s">
        <v>478</v>
      </c>
      <c r="F5460" t="s">
        <v>2622</v>
      </c>
      <c r="G5460" t="s">
        <v>9098</v>
      </c>
      <c r="H5460">
        <v>35997</v>
      </c>
      <c r="I5460" t="s">
        <v>423</v>
      </c>
      <c r="J5460" t="s">
        <v>2644</v>
      </c>
      <c r="K5460" t="s">
        <v>2625</v>
      </c>
      <c r="L5460" t="s">
        <v>2145</v>
      </c>
      <c r="M5460">
        <v>52</v>
      </c>
      <c r="N5460">
        <v>22.95</v>
      </c>
      <c r="O5460">
        <v>2701.9</v>
      </c>
      <c r="P5460">
        <v>0</v>
      </c>
      <c r="Q5460">
        <v>2701.9</v>
      </c>
      <c r="R5460">
        <v>432.3</v>
      </c>
      <c r="S5460">
        <v>108.08</v>
      </c>
      <c r="T5460">
        <v>3026.12</v>
      </c>
      <c r="U5460" t="s">
        <v>9428</v>
      </c>
      <c r="V5460" t="s">
        <v>9408</v>
      </c>
      <c r="W5460" t="s">
        <v>423</v>
      </c>
    </row>
    <row r="5461" spans="1:23" hidden="1" x14ac:dyDescent="0.2">
      <c r="A5461">
        <v>2012</v>
      </c>
      <c r="B5461" t="s">
        <v>304</v>
      </c>
      <c r="C5461" s="733">
        <v>40954</v>
      </c>
      <c r="D54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61" t="s">
        <v>478</v>
      </c>
      <c r="F5461" t="s">
        <v>2622</v>
      </c>
      <c r="G5461" t="s">
        <v>7710</v>
      </c>
      <c r="H5461">
        <v>35642</v>
      </c>
      <c r="I5461" t="s">
        <v>423</v>
      </c>
      <c r="J5461" t="s">
        <v>2644</v>
      </c>
      <c r="K5461" t="s">
        <v>2625</v>
      </c>
      <c r="L5461" t="s">
        <v>2626</v>
      </c>
      <c r="M5461">
        <v>52</v>
      </c>
      <c r="N5461">
        <v>24.31</v>
      </c>
      <c r="O5461">
        <v>2862.02</v>
      </c>
      <c r="P5461">
        <v>0</v>
      </c>
      <c r="Q5461">
        <v>2862.02</v>
      </c>
      <c r="R5461">
        <v>457.92</v>
      </c>
      <c r="S5461">
        <v>114.48</v>
      </c>
      <c r="T5461">
        <v>3205.46</v>
      </c>
      <c r="U5461" t="s">
        <v>7548</v>
      </c>
      <c r="V5461" t="s">
        <v>9408</v>
      </c>
      <c r="W5461" t="s">
        <v>423</v>
      </c>
    </row>
    <row r="5462" spans="1:23" hidden="1" x14ac:dyDescent="0.2">
      <c r="A5462">
        <v>2012</v>
      </c>
      <c r="B5462" t="s">
        <v>304</v>
      </c>
      <c r="C5462" s="733">
        <v>40963.460115740738</v>
      </c>
      <c r="D54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62" t="s">
        <v>478</v>
      </c>
      <c r="F5462" t="s">
        <v>2622</v>
      </c>
      <c r="G5462" t="s">
        <v>9097</v>
      </c>
      <c r="H5462">
        <v>36003</v>
      </c>
      <c r="I5462" t="s">
        <v>423</v>
      </c>
      <c r="J5462" t="s">
        <v>2644</v>
      </c>
      <c r="K5462" t="s">
        <v>2625</v>
      </c>
      <c r="L5462" t="s">
        <v>2626</v>
      </c>
      <c r="M5462">
        <v>52</v>
      </c>
      <c r="N5462">
        <v>23.48</v>
      </c>
      <c r="O5462">
        <v>2764.3</v>
      </c>
      <c r="P5462">
        <v>0</v>
      </c>
      <c r="Q5462">
        <v>2764.3</v>
      </c>
      <c r="R5462">
        <v>442.29</v>
      </c>
      <c r="S5462">
        <v>110.57</v>
      </c>
      <c r="T5462">
        <v>3096.02</v>
      </c>
      <c r="U5462" t="s">
        <v>9428</v>
      </c>
      <c r="V5462" t="s">
        <v>9408</v>
      </c>
      <c r="W5462" t="s">
        <v>423</v>
      </c>
    </row>
    <row r="5463" spans="1:23" hidden="1" x14ac:dyDescent="0.2">
      <c r="A5463">
        <v>2012</v>
      </c>
      <c r="B5463" t="s">
        <v>303</v>
      </c>
      <c r="C5463" s="733">
        <v>40926</v>
      </c>
      <c r="D54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63" t="s">
        <v>478</v>
      </c>
      <c r="F5463" t="s">
        <v>2622</v>
      </c>
      <c r="G5463" t="s">
        <v>6220</v>
      </c>
      <c r="H5463">
        <v>34591</v>
      </c>
      <c r="I5463" t="s">
        <v>423</v>
      </c>
      <c r="J5463" t="s">
        <v>2644</v>
      </c>
      <c r="K5463" t="s">
        <v>2625</v>
      </c>
      <c r="L5463" t="s">
        <v>2626</v>
      </c>
      <c r="M5463">
        <v>52</v>
      </c>
      <c r="N5463">
        <v>23.91</v>
      </c>
      <c r="O5463">
        <v>2814.92</v>
      </c>
      <c r="P5463">
        <v>0</v>
      </c>
      <c r="Q5463">
        <v>2814.92</v>
      </c>
      <c r="R5463">
        <v>450.39</v>
      </c>
      <c r="S5463">
        <v>112.6</v>
      </c>
      <c r="T5463">
        <v>3152.71</v>
      </c>
      <c r="U5463" t="s">
        <v>2633</v>
      </c>
      <c r="V5463" t="s">
        <v>9408</v>
      </c>
      <c r="W5463" t="s">
        <v>423</v>
      </c>
    </row>
    <row r="5464" spans="1:23" hidden="1" x14ac:dyDescent="0.2">
      <c r="A5464">
        <v>2012</v>
      </c>
      <c r="B5464" t="s">
        <v>303</v>
      </c>
      <c r="C5464" s="733">
        <v>40932.448159722226</v>
      </c>
      <c r="D54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64" t="s">
        <v>478</v>
      </c>
      <c r="F5464" t="s">
        <v>2622</v>
      </c>
      <c r="G5464" t="s">
        <v>6221</v>
      </c>
      <c r="H5464">
        <v>34888</v>
      </c>
      <c r="I5464" t="s">
        <v>423</v>
      </c>
      <c r="J5464" t="s">
        <v>2644</v>
      </c>
      <c r="K5464" t="s">
        <v>2625</v>
      </c>
      <c r="L5464" t="s">
        <v>2626</v>
      </c>
      <c r="M5464">
        <v>52</v>
      </c>
      <c r="N5464">
        <v>26.37</v>
      </c>
      <c r="O5464">
        <v>3104.54</v>
      </c>
      <c r="P5464">
        <v>0</v>
      </c>
      <c r="Q5464">
        <v>3104.54</v>
      </c>
      <c r="R5464">
        <v>496.73</v>
      </c>
      <c r="S5464">
        <v>124.18</v>
      </c>
      <c r="T5464">
        <v>3477.09</v>
      </c>
      <c r="U5464" t="s">
        <v>2633</v>
      </c>
      <c r="V5464" t="s">
        <v>9408</v>
      </c>
      <c r="W5464" t="s">
        <v>423</v>
      </c>
    </row>
    <row r="5465" spans="1:23" hidden="1" x14ac:dyDescent="0.2">
      <c r="A5465">
        <v>2012</v>
      </c>
      <c r="B5465" t="s">
        <v>303</v>
      </c>
      <c r="C5465" s="733">
        <v>40934</v>
      </c>
      <c r="D54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65" t="s">
        <v>478</v>
      </c>
      <c r="F5465" t="s">
        <v>2136</v>
      </c>
      <c r="G5465" t="s">
        <v>6958</v>
      </c>
      <c r="H5465">
        <v>34766</v>
      </c>
      <c r="I5465" t="s">
        <v>423</v>
      </c>
      <c r="J5465" t="s">
        <v>4291</v>
      </c>
      <c r="K5465" t="s">
        <v>425</v>
      </c>
      <c r="L5465" t="s">
        <v>2145</v>
      </c>
      <c r="M5465">
        <v>163</v>
      </c>
      <c r="N5465">
        <v>25.26</v>
      </c>
      <c r="O5465">
        <v>4488.95</v>
      </c>
      <c r="P5465">
        <v>0</v>
      </c>
      <c r="Q5465">
        <v>4488.95</v>
      </c>
      <c r="R5465">
        <v>718.23</v>
      </c>
      <c r="S5465">
        <v>179.56</v>
      </c>
      <c r="T5465">
        <v>5027.62</v>
      </c>
      <c r="U5465" t="s">
        <v>2355</v>
      </c>
      <c r="V5465" t="s">
        <v>9408</v>
      </c>
      <c r="W5465" t="s">
        <v>423</v>
      </c>
    </row>
    <row r="5466" spans="1:23" hidden="1" x14ac:dyDescent="0.2">
      <c r="A5466">
        <v>2012</v>
      </c>
      <c r="B5466" t="s">
        <v>303</v>
      </c>
      <c r="C5466" s="733">
        <v>40938</v>
      </c>
      <c r="D54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66" t="s">
        <v>478</v>
      </c>
      <c r="F5466" t="s">
        <v>2136</v>
      </c>
      <c r="G5466" t="s">
        <v>6962</v>
      </c>
      <c r="H5466">
        <v>35000</v>
      </c>
      <c r="I5466" t="s">
        <v>423</v>
      </c>
      <c r="J5466" t="s">
        <v>3638</v>
      </c>
      <c r="K5466" t="s">
        <v>425</v>
      </c>
      <c r="L5466" t="s">
        <v>2145</v>
      </c>
      <c r="M5466">
        <v>1416</v>
      </c>
      <c r="N5466">
        <v>44.82</v>
      </c>
      <c r="O5466">
        <v>40642.33</v>
      </c>
      <c r="P5466">
        <v>0</v>
      </c>
      <c r="Q5466">
        <v>40642.33</v>
      </c>
      <c r="R5466">
        <v>6502.77</v>
      </c>
      <c r="S5466">
        <v>1625.69</v>
      </c>
      <c r="T5466">
        <v>45519.41</v>
      </c>
      <c r="U5466" t="s">
        <v>2914</v>
      </c>
      <c r="V5466" t="s">
        <v>9409</v>
      </c>
      <c r="W5466" t="s">
        <v>423</v>
      </c>
    </row>
    <row r="5467" spans="1:23" hidden="1" x14ac:dyDescent="0.2">
      <c r="A5467">
        <v>2012</v>
      </c>
      <c r="B5467" t="s">
        <v>303</v>
      </c>
      <c r="C5467" s="733">
        <v>40917</v>
      </c>
      <c r="D54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67" t="s">
        <v>478</v>
      </c>
      <c r="F5467" t="s">
        <v>2136</v>
      </c>
      <c r="G5467" t="s">
        <v>6782</v>
      </c>
      <c r="H5467">
        <v>34257</v>
      </c>
      <c r="I5467" t="s">
        <v>423</v>
      </c>
      <c r="J5467" t="s">
        <v>3638</v>
      </c>
      <c r="K5467" t="s">
        <v>425</v>
      </c>
      <c r="L5467" t="s">
        <v>2145</v>
      </c>
      <c r="M5467">
        <v>1416</v>
      </c>
      <c r="N5467">
        <v>50.69</v>
      </c>
      <c r="O5467">
        <v>45965.19</v>
      </c>
      <c r="P5467">
        <v>0</v>
      </c>
      <c r="Q5467">
        <v>45965.19</v>
      </c>
      <c r="R5467">
        <v>7354.43</v>
      </c>
      <c r="S5467">
        <v>1838.61</v>
      </c>
      <c r="T5467">
        <v>51481.01</v>
      </c>
      <c r="U5467" t="s">
        <v>2350</v>
      </c>
      <c r="V5467" t="s">
        <v>9409</v>
      </c>
      <c r="W5467" t="s">
        <v>423</v>
      </c>
    </row>
    <row r="5468" spans="1:23" hidden="1" x14ac:dyDescent="0.2">
      <c r="A5468">
        <v>2012</v>
      </c>
      <c r="B5468" t="s">
        <v>304</v>
      </c>
      <c r="C5468" s="733">
        <v>40946</v>
      </c>
      <c r="D54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68" t="s">
        <v>485</v>
      </c>
      <c r="F5468" t="s">
        <v>2048</v>
      </c>
      <c r="G5468" t="s">
        <v>2752</v>
      </c>
      <c r="H5468">
        <v>41514</v>
      </c>
      <c r="I5468" t="s">
        <v>423</v>
      </c>
      <c r="J5468" t="s">
        <v>2274</v>
      </c>
      <c r="K5468" t="s">
        <v>2051</v>
      </c>
      <c r="L5468" t="s">
        <v>2052</v>
      </c>
      <c r="M5468">
        <v>573</v>
      </c>
      <c r="N5468">
        <v>29.65</v>
      </c>
      <c r="O5468">
        <v>9621.42</v>
      </c>
      <c r="P5468">
        <v>0</v>
      </c>
      <c r="Q5468">
        <v>9621.42</v>
      </c>
      <c r="R5468">
        <v>1539.43</v>
      </c>
      <c r="S5468">
        <v>384.86</v>
      </c>
      <c r="T5468">
        <v>10775.99</v>
      </c>
      <c r="U5468" t="s">
        <v>7568</v>
      </c>
      <c r="V5468" t="s">
        <v>9408</v>
      </c>
      <c r="W5468" t="s">
        <v>423</v>
      </c>
    </row>
    <row r="5469" spans="1:23" hidden="1" x14ac:dyDescent="0.2">
      <c r="A5469">
        <v>2012</v>
      </c>
      <c r="B5469" t="s">
        <v>303</v>
      </c>
      <c r="C5469" s="733">
        <v>40928</v>
      </c>
      <c r="D54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69" t="s">
        <v>485</v>
      </c>
      <c r="F5469" t="s">
        <v>2048</v>
      </c>
      <c r="G5469" t="s">
        <v>6769</v>
      </c>
      <c r="H5469">
        <v>40648</v>
      </c>
      <c r="I5469" t="s">
        <v>423</v>
      </c>
      <c r="J5469" t="s">
        <v>2274</v>
      </c>
      <c r="K5469" t="s">
        <v>2051</v>
      </c>
      <c r="L5469" t="s">
        <v>2052</v>
      </c>
      <c r="M5469">
        <v>573</v>
      </c>
      <c r="N5469">
        <v>26.65</v>
      </c>
      <c r="O5469">
        <v>8647.92</v>
      </c>
      <c r="P5469">
        <v>0</v>
      </c>
      <c r="Q5469">
        <v>8647.92</v>
      </c>
      <c r="R5469">
        <v>1383.67</v>
      </c>
      <c r="S5469">
        <v>345.92</v>
      </c>
      <c r="T5469">
        <v>9685.67</v>
      </c>
      <c r="U5469" t="s">
        <v>2062</v>
      </c>
      <c r="V5469" t="s">
        <v>9409</v>
      </c>
      <c r="W5469" t="s">
        <v>423</v>
      </c>
    </row>
    <row r="5470" spans="1:23" hidden="1" x14ac:dyDescent="0.2">
      <c r="A5470">
        <v>2012</v>
      </c>
      <c r="B5470" t="s">
        <v>303</v>
      </c>
      <c r="C5470" s="733">
        <v>40914</v>
      </c>
      <c r="D54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70" t="s">
        <v>478</v>
      </c>
      <c r="F5470" t="s">
        <v>2136</v>
      </c>
      <c r="G5470" t="s">
        <v>7192</v>
      </c>
      <c r="H5470">
        <v>34263</v>
      </c>
      <c r="I5470" t="s">
        <v>423</v>
      </c>
      <c r="J5470" t="s">
        <v>3638</v>
      </c>
      <c r="K5470" t="s">
        <v>425</v>
      </c>
      <c r="L5470" t="s">
        <v>2145</v>
      </c>
      <c r="M5470">
        <v>1416</v>
      </c>
      <c r="N5470">
        <v>50.5</v>
      </c>
      <c r="O5470">
        <v>45792.9</v>
      </c>
      <c r="P5470">
        <v>0</v>
      </c>
      <c r="Q5470">
        <v>45792.9</v>
      </c>
      <c r="R5470">
        <v>7326.86</v>
      </c>
      <c r="S5470">
        <v>1831.72</v>
      </c>
      <c r="T5470">
        <v>51288.04</v>
      </c>
      <c r="U5470" t="s">
        <v>2350</v>
      </c>
      <c r="V5470" t="s">
        <v>9409</v>
      </c>
      <c r="W5470" t="s">
        <v>423</v>
      </c>
    </row>
    <row r="5471" spans="1:23" hidden="1" x14ac:dyDescent="0.2">
      <c r="A5471">
        <v>2012</v>
      </c>
      <c r="B5471" t="s">
        <v>303</v>
      </c>
      <c r="C5471" s="733">
        <v>40917</v>
      </c>
      <c r="D54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71" t="s">
        <v>478</v>
      </c>
      <c r="F5471" t="s">
        <v>2136</v>
      </c>
      <c r="G5471" t="s">
        <v>6960</v>
      </c>
      <c r="H5471">
        <v>34316</v>
      </c>
      <c r="I5471" t="s">
        <v>423</v>
      </c>
      <c r="J5471" t="s">
        <v>4291</v>
      </c>
      <c r="K5471" t="s">
        <v>425</v>
      </c>
      <c r="L5471" t="s">
        <v>2145</v>
      </c>
      <c r="M5471">
        <v>163</v>
      </c>
      <c r="N5471">
        <v>24.38</v>
      </c>
      <c r="O5471">
        <v>4332.57</v>
      </c>
      <c r="P5471">
        <v>0</v>
      </c>
      <c r="Q5471">
        <v>4332.57</v>
      </c>
      <c r="R5471">
        <v>693.21</v>
      </c>
      <c r="S5471">
        <v>173.3</v>
      </c>
      <c r="T5471">
        <v>4852.4799999999996</v>
      </c>
      <c r="U5471" t="s">
        <v>2350</v>
      </c>
      <c r="V5471" t="s">
        <v>9408</v>
      </c>
      <c r="W5471" t="s">
        <v>423</v>
      </c>
    </row>
    <row r="5472" spans="1:23" hidden="1" x14ac:dyDescent="0.2">
      <c r="A5472">
        <v>2012</v>
      </c>
      <c r="B5472" t="s">
        <v>304</v>
      </c>
      <c r="C5472" s="733">
        <v>40962</v>
      </c>
      <c r="D54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72" t="s">
        <v>505</v>
      </c>
      <c r="F5472" t="s">
        <v>1915</v>
      </c>
      <c r="G5472" t="s">
        <v>8662</v>
      </c>
      <c r="H5472">
        <v>22955</v>
      </c>
      <c r="I5472" t="s">
        <v>423</v>
      </c>
      <c r="J5472" t="s">
        <v>4140</v>
      </c>
      <c r="K5472" t="s">
        <v>1918</v>
      </c>
      <c r="L5472" t="s">
        <v>1919</v>
      </c>
      <c r="M5472">
        <v>1</v>
      </c>
      <c r="N5472">
        <v>24.94</v>
      </c>
      <c r="O5472">
        <v>2408.71</v>
      </c>
      <c r="P5472">
        <v>0</v>
      </c>
      <c r="Q5472">
        <v>2408.71</v>
      </c>
      <c r="R5472">
        <v>385.39</v>
      </c>
      <c r="S5472">
        <v>96.35</v>
      </c>
      <c r="T5472">
        <v>2697.75</v>
      </c>
      <c r="U5472" t="s">
        <v>8778</v>
      </c>
      <c r="V5472" t="s">
        <v>9408</v>
      </c>
      <c r="W5472" t="s">
        <v>423</v>
      </c>
    </row>
    <row r="5473" spans="1:23" hidden="1" x14ac:dyDescent="0.2">
      <c r="A5473">
        <v>2012</v>
      </c>
      <c r="B5473" t="s">
        <v>303</v>
      </c>
      <c r="C5473" s="733">
        <v>40939</v>
      </c>
      <c r="D54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73" t="s">
        <v>505</v>
      </c>
      <c r="F5473" t="s">
        <v>1915</v>
      </c>
      <c r="G5473" t="s">
        <v>7167</v>
      </c>
      <c r="H5473">
        <v>21722</v>
      </c>
      <c r="I5473" t="s">
        <v>423</v>
      </c>
      <c r="J5473" t="s">
        <v>5285</v>
      </c>
      <c r="K5473" t="s">
        <v>1918</v>
      </c>
      <c r="L5473" t="s">
        <v>1919</v>
      </c>
      <c r="M5473">
        <v>433</v>
      </c>
      <c r="N5473">
        <v>26.3</v>
      </c>
      <c r="O5473">
        <v>8310.27</v>
      </c>
      <c r="P5473">
        <v>0</v>
      </c>
      <c r="Q5473">
        <v>8310.27</v>
      </c>
      <c r="R5473">
        <v>1329.64</v>
      </c>
      <c r="S5473">
        <v>332.41</v>
      </c>
      <c r="T5473">
        <v>9307.5</v>
      </c>
      <c r="U5473" t="s">
        <v>1926</v>
      </c>
      <c r="V5473" t="s">
        <v>9408</v>
      </c>
      <c r="W5473" t="s">
        <v>423</v>
      </c>
    </row>
    <row r="5474" spans="1:23" hidden="1" x14ac:dyDescent="0.2">
      <c r="A5474">
        <v>2012</v>
      </c>
      <c r="B5474" t="s">
        <v>304</v>
      </c>
      <c r="C5474" s="733">
        <v>40956</v>
      </c>
      <c r="D54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74" t="s">
        <v>485</v>
      </c>
      <c r="F5474" t="s">
        <v>2054</v>
      </c>
      <c r="G5474" t="s">
        <v>7838</v>
      </c>
      <c r="H5474">
        <v>10477</v>
      </c>
      <c r="I5474" t="s">
        <v>423</v>
      </c>
      <c r="J5474" t="s">
        <v>2056</v>
      </c>
      <c r="K5474" t="s">
        <v>2057</v>
      </c>
      <c r="L5474" t="s">
        <v>2058</v>
      </c>
      <c r="M5474">
        <v>19</v>
      </c>
      <c r="N5474">
        <v>46.48</v>
      </c>
      <c r="O5474">
        <v>5246.2</v>
      </c>
      <c r="P5474">
        <v>0</v>
      </c>
      <c r="Q5474">
        <v>5246.2</v>
      </c>
      <c r="R5474">
        <v>577.08000000000004</v>
      </c>
      <c r="S5474">
        <v>209.85</v>
      </c>
      <c r="T5474">
        <v>5613.43</v>
      </c>
      <c r="U5474" t="s">
        <v>8047</v>
      </c>
      <c r="V5474" t="s">
        <v>9409</v>
      </c>
      <c r="W5474" t="s">
        <v>423</v>
      </c>
    </row>
    <row r="5475" spans="1:23" hidden="1" x14ac:dyDescent="0.2">
      <c r="A5475">
        <v>2012</v>
      </c>
      <c r="B5475" t="s">
        <v>304</v>
      </c>
      <c r="C5475" s="733">
        <v>40962.488437499997</v>
      </c>
      <c r="D54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75" t="s">
        <v>485</v>
      </c>
      <c r="F5475" t="s">
        <v>2054</v>
      </c>
      <c r="G5475" t="s">
        <v>8589</v>
      </c>
      <c r="H5475">
        <v>10526</v>
      </c>
      <c r="I5475" t="s">
        <v>423</v>
      </c>
      <c r="J5475" t="s">
        <v>2056</v>
      </c>
      <c r="K5475" t="s">
        <v>2057</v>
      </c>
      <c r="L5475" t="s">
        <v>2058</v>
      </c>
      <c r="M5475">
        <v>19</v>
      </c>
      <c r="N5475">
        <v>46.27</v>
      </c>
      <c r="O5475">
        <v>5222.49</v>
      </c>
      <c r="P5475">
        <v>0</v>
      </c>
      <c r="Q5475">
        <v>5222.49</v>
      </c>
      <c r="R5475">
        <v>574.47</v>
      </c>
      <c r="S5475">
        <v>208.9</v>
      </c>
      <c r="T5475">
        <v>5588.06</v>
      </c>
      <c r="U5475" t="s">
        <v>8864</v>
      </c>
      <c r="V5475" t="s">
        <v>9409</v>
      </c>
      <c r="W5475" t="s">
        <v>423</v>
      </c>
    </row>
    <row r="5476" spans="1:23" hidden="1" x14ac:dyDescent="0.2">
      <c r="A5476">
        <v>2012</v>
      </c>
      <c r="B5476" t="s">
        <v>303</v>
      </c>
      <c r="C5476" s="733">
        <v>40920</v>
      </c>
      <c r="D54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76" t="s">
        <v>485</v>
      </c>
      <c r="F5476" t="s">
        <v>2048</v>
      </c>
      <c r="G5476" t="s">
        <v>2246</v>
      </c>
      <c r="H5476">
        <v>40218</v>
      </c>
      <c r="I5476" t="s">
        <v>423</v>
      </c>
      <c r="J5476" t="s">
        <v>2050</v>
      </c>
      <c r="K5476" t="s">
        <v>2051</v>
      </c>
      <c r="L5476" t="s">
        <v>2052</v>
      </c>
      <c r="M5476">
        <v>90</v>
      </c>
      <c r="N5476">
        <v>24.55</v>
      </c>
      <c r="O5476">
        <v>3444.61</v>
      </c>
      <c r="P5476">
        <v>0</v>
      </c>
      <c r="Q5476">
        <v>3444.61</v>
      </c>
      <c r="R5476">
        <v>551.14</v>
      </c>
      <c r="S5476">
        <v>137.78</v>
      </c>
      <c r="T5476">
        <v>3857.97</v>
      </c>
      <c r="U5476" t="s">
        <v>2067</v>
      </c>
      <c r="V5476" t="s">
        <v>9408</v>
      </c>
      <c r="W5476" t="s">
        <v>423</v>
      </c>
    </row>
    <row r="5477" spans="1:23" hidden="1" x14ac:dyDescent="0.2">
      <c r="A5477">
        <v>2012</v>
      </c>
      <c r="B5477" t="s">
        <v>303</v>
      </c>
      <c r="C5477" s="733">
        <v>40919</v>
      </c>
      <c r="D54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77" t="s">
        <v>485</v>
      </c>
      <c r="F5477" t="s">
        <v>2054</v>
      </c>
      <c r="G5477" t="s">
        <v>2249</v>
      </c>
      <c r="H5477">
        <v>9975</v>
      </c>
      <c r="I5477" t="s">
        <v>423</v>
      </c>
      <c r="J5477" t="s">
        <v>2056</v>
      </c>
      <c r="K5477" t="s">
        <v>2057</v>
      </c>
      <c r="L5477" t="s">
        <v>2058</v>
      </c>
      <c r="M5477">
        <v>19</v>
      </c>
      <c r="N5477">
        <v>46.2</v>
      </c>
      <c r="O5477">
        <v>5214.59</v>
      </c>
      <c r="P5477">
        <v>0</v>
      </c>
      <c r="Q5477">
        <v>5214.59</v>
      </c>
      <c r="R5477">
        <v>834.34</v>
      </c>
      <c r="S5477">
        <v>208.58</v>
      </c>
      <c r="T5477">
        <v>5840.35</v>
      </c>
      <c r="U5477" t="s">
        <v>2070</v>
      </c>
      <c r="V5477" t="s">
        <v>9409</v>
      </c>
      <c r="W5477" t="s">
        <v>423</v>
      </c>
    </row>
    <row r="5478" spans="1:23" hidden="1" x14ac:dyDescent="0.2">
      <c r="A5478">
        <v>2012</v>
      </c>
      <c r="B5478" t="s">
        <v>304</v>
      </c>
      <c r="C5478" s="733">
        <v>40952.556481481479</v>
      </c>
      <c r="D54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78" t="s">
        <v>485</v>
      </c>
      <c r="F5478" t="s">
        <v>2054</v>
      </c>
      <c r="G5478" t="s">
        <v>2251</v>
      </c>
      <c r="H5478">
        <v>10414</v>
      </c>
      <c r="I5478" t="s">
        <v>423</v>
      </c>
      <c r="J5478" t="s">
        <v>2056</v>
      </c>
      <c r="K5478" t="s">
        <v>2057</v>
      </c>
      <c r="L5478" t="s">
        <v>2058</v>
      </c>
      <c r="M5478">
        <v>19</v>
      </c>
      <c r="N5478">
        <v>31.39</v>
      </c>
      <c r="O5478">
        <v>3542.99</v>
      </c>
      <c r="P5478">
        <v>0</v>
      </c>
      <c r="Q5478">
        <v>3542.99</v>
      </c>
      <c r="R5478">
        <v>389.73</v>
      </c>
      <c r="S5478">
        <v>141.72</v>
      </c>
      <c r="T5478">
        <v>3791</v>
      </c>
      <c r="U5478" t="s">
        <v>8047</v>
      </c>
      <c r="V5478" t="s">
        <v>9408</v>
      </c>
      <c r="W5478" t="s">
        <v>423</v>
      </c>
    </row>
    <row r="5479" spans="1:23" hidden="1" x14ac:dyDescent="0.2">
      <c r="A5479">
        <v>2012</v>
      </c>
      <c r="B5479" t="s">
        <v>304</v>
      </c>
      <c r="C5479" s="733">
        <v>40956</v>
      </c>
      <c r="D54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79" t="s">
        <v>485</v>
      </c>
      <c r="F5479" t="s">
        <v>2048</v>
      </c>
      <c r="G5479" t="s">
        <v>7840</v>
      </c>
      <c r="H5479">
        <v>42141</v>
      </c>
      <c r="I5479" t="s">
        <v>423</v>
      </c>
      <c r="J5479" t="s">
        <v>2050</v>
      </c>
      <c r="K5479" t="s">
        <v>2051</v>
      </c>
      <c r="L5479" t="s">
        <v>2052</v>
      </c>
      <c r="M5479">
        <v>90</v>
      </c>
      <c r="N5479">
        <v>50.15</v>
      </c>
      <c r="O5479">
        <v>7036.55</v>
      </c>
      <c r="P5479">
        <v>0</v>
      </c>
      <c r="Q5479">
        <v>7036.55</v>
      </c>
      <c r="R5479">
        <v>1125.8499999999999</v>
      </c>
      <c r="S5479">
        <v>281.45999999999998</v>
      </c>
      <c r="T5479">
        <v>7880.94</v>
      </c>
      <c r="V5479" t="s">
        <v>9409</v>
      </c>
      <c r="W5479" t="s">
        <v>423</v>
      </c>
    </row>
    <row r="5480" spans="1:23" x14ac:dyDescent="0.2">
      <c r="A5480">
        <v>2012</v>
      </c>
      <c r="B5480" t="s">
        <v>304</v>
      </c>
      <c r="C5480" s="733">
        <v>40967</v>
      </c>
      <c r="D54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80" t="s">
        <v>485</v>
      </c>
      <c r="F5480" t="s">
        <v>2048</v>
      </c>
      <c r="G5480" t="s">
        <v>9073</v>
      </c>
      <c r="H5480">
        <v>42747</v>
      </c>
      <c r="I5480" t="s">
        <v>423</v>
      </c>
      <c r="J5480" t="s">
        <v>2171</v>
      </c>
      <c r="K5480" t="s">
        <v>2051</v>
      </c>
      <c r="L5480" t="s">
        <v>2052</v>
      </c>
      <c r="M5480">
        <v>57</v>
      </c>
      <c r="N5480">
        <v>28.55</v>
      </c>
      <c r="O5480">
        <v>4005.85</v>
      </c>
      <c r="P5480">
        <v>0</v>
      </c>
      <c r="Q5480">
        <v>4005.85</v>
      </c>
      <c r="R5480">
        <v>640.94000000000005</v>
      </c>
      <c r="S5480">
        <v>160.22999999999999</v>
      </c>
      <c r="T5480">
        <v>4486.5600000000004</v>
      </c>
      <c r="U5480" t="s">
        <v>8780</v>
      </c>
      <c r="V5480" t="s">
        <v>9408</v>
      </c>
      <c r="W5480" t="s">
        <v>423</v>
      </c>
    </row>
    <row r="5481" spans="1:23" hidden="1" x14ac:dyDescent="0.2">
      <c r="A5481">
        <v>2012</v>
      </c>
      <c r="B5481" t="s">
        <v>303</v>
      </c>
      <c r="C5481" s="733">
        <v>40931</v>
      </c>
      <c r="D54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81" t="s">
        <v>485</v>
      </c>
      <c r="F5481" t="s">
        <v>2048</v>
      </c>
      <c r="G5481" t="s">
        <v>2247</v>
      </c>
      <c r="H5481">
        <v>40734</v>
      </c>
      <c r="I5481" t="s">
        <v>423</v>
      </c>
      <c r="J5481" t="s">
        <v>2050</v>
      </c>
      <c r="K5481" t="s">
        <v>2051</v>
      </c>
      <c r="L5481" t="s">
        <v>2052</v>
      </c>
      <c r="M5481">
        <v>90</v>
      </c>
      <c r="N5481">
        <v>50.9</v>
      </c>
      <c r="O5481">
        <v>7141.78</v>
      </c>
      <c r="P5481">
        <v>0</v>
      </c>
      <c r="Q5481">
        <v>7141.78</v>
      </c>
      <c r="R5481">
        <v>1142.68</v>
      </c>
      <c r="S5481">
        <v>285.67</v>
      </c>
      <c r="T5481">
        <v>7998.79</v>
      </c>
      <c r="U5481" t="s">
        <v>2067</v>
      </c>
      <c r="V5481" t="s">
        <v>9409</v>
      </c>
      <c r="W5481" t="s">
        <v>423</v>
      </c>
    </row>
    <row r="5482" spans="1:23" hidden="1" x14ac:dyDescent="0.2">
      <c r="A5482">
        <v>2012</v>
      </c>
      <c r="B5482" t="s">
        <v>304</v>
      </c>
      <c r="C5482" s="733">
        <v>40947</v>
      </c>
      <c r="D54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82" t="s">
        <v>485</v>
      </c>
      <c r="F5482" t="s">
        <v>2054</v>
      </c>
      <c r="G5482" t="s">
        <v>2259</v>
      </c>
      <c r="H5482">
        <v>10338</v>
      </c>
      <c r="I5482" t="s">
        <v>423</v>
      </c>
      <c r="J5482" t="s">
        <v>2056</v>
      </c>
      <c r="K5482" t="s">
        <v>2057</v>
      </c>
      <c r="L5482" t="s">
        <v>2058</v>
      </c>
      <c r="M5482">
        <v>19</v>
      </c>
      <c r="N5482">
        <v>47.4</v>
      </c>
      <c r="O5482">
        <v>5350.04</v>
      </c>
      <c r="P5482">
        <v>0</v>
      </c>
      <c r="Q5482">
        <v>5350.04</v>
      </c>
      <c r="R5482">
        <v>588.5</v>
      </c>
      <c r="S5482">
        <v>214</v>
      </c>
      <c r="T5482">
        <v>5724.54</v>
      </c>
      <c r="U5482" t="s">
        <v>2082</v>
      </c>
      <c r="V5482" t="s">
        <v>9409</v>
      </c>
      <c r="W5482" t="s">
        <v>423</v>
      </c>
    </row>
    <row r="5483" spans="1:23" hidden="1" x14ac:dyDescent="0.2">
      <c r="A5483">
        <v>2012</v>
      </c>
      <c r="B5483" t="s">
        <v>304</v>
      </c>
      <c r="C5483" s="733">
        <v>40949</v>
      </c>
      <c r="D54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83" t="s">
        <v>485</v>
      </c>
      <c r="F5483" t="s">
        <v>2054</v>
      </c>
      <c r="G5483" t="s">
        <v>2258</v>
      </c>
      <c r="H5483">
        <v>10372</v>
      </c>
      <c r="I5483" t="s">
        <v>423</v>
      </c>
      <c r="J5483" t="s">
        <v>2056</v>
      </c>
      <c r="K5483" t="s">
        <v>2057</v>
      </c>
      <c r="L5483" t="s">
        <v>2058</v>
      </c>
      <c r="M5483">
        <v>19</v>
      </c>
      <c r="N5483">
        <v>46.45</v>
      </c>
      <c r="O5483">
        <v>5242.8100000000004</v>
      </c>
      <c r="P5483">
        <v>0</v>
      </c>
      <c r="Q5483">
        <v>5242.8100000000004</v>
      </c>
      <c r="R5483">
        <v>576.71</v>
      </c>
      <c r="S5483">
        <v>209.71</v>
      </c>
      <c r="T5483">
        <v>5609.81</v>
      </c>
      <c r="U5483" t="s">
        <v>2082</v>
      </c>
      <c r="V5483" t="s">
        <v>9409</v>
      </c>
      <c r="W5483" t="s">
        <v>423</v>
      </c>
    </row>
    <row r="5484" spans="1:23" hidden="1" x14ac:dyDescent="0.2">
      <c r="A5484">
        <v>2012</v>
      </c>
      <c r="B5484" t="s">
        <v>303</v>
      </c>
      <c r="C5484" s="733">
        <v>40926</v>
      </c>
      <c r="D54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84" t="s">
        <v>485</v>
      </c>
      <c r="F5484" t="s">
        <v>2048</v>
      </c>
      <c r="G5484" t="s">
        <v>2260</v>
      </c>
      <c r="H5484">
        <v>40512</v>
      </c>
      <c r="I5484" t="s">
        <v>423</v>
      </c>
      <c r="J5484" t="s">
        <v>2050</v>
      </c>
      <c r="K5484" t="s">
        <v>2051</v>
      </c>
      <c r="L5484" t="s">
        <v>2052</v>
      </c>
      <c r="M5484">
        <v>90</v>
      </c>
      <c r="N5484">
        <v>28.85</v>
      </c>
      <c r="O5484">
        <v>4047.94</v>
      </c>
      <c r="P5484">
        <v>0</v>
      </c>
      <c r="Q5484">
        <v>4047.94</v>
      </c>
      <c r="R5484">
        <v>647.66999999999996</v>
      </c>
      <c r="S5484">
        <v>161.91999999999999</v>
      </c>
      <c r="T5484">
        <v>4533.6899999999996</v>
      </c>
      <c r="U5484" t="s">
        <v>2062</v>
      </c>
      <c r="V5484" t="s">
        <v>9408</v>
      </c>
      <c r="W5484" t="s">
        <v>423</v>
      </c>
    </row>
    <row r="5485" spans="1:23" hidden="1" x14ac:dyDescent="0.2">
      <c r="A5485">
        <v>2012</v>
      </c>
      <c r="B5485" t="s">
        <v>304</v>
      </c>
      <c r="C5485" s="733">
        <v>40952</v>
      </c>
      <c r="D54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85" t="s">
        <v>485</v>
      </c>
      <c r="F5485" t="s">
        <v>2065</v>
      </c>
      <c r="G5485" t="s">
        <v>2265</v>
      </c>
      <c r="H5485">
        <v>41828</v>
      </c>
      <c r="I5485" t="s">
        <v>423</v>
      </c>
      <c r="J5485" t="s">
        <v>2050</v>
      </c>
      <c r="K5485" t="s">
        <v>2051</v>
      </c>
      <c r="L5485" t="s">
        <v>2052</v>
      </c>
      <c r="M5485">
        <v>90</v>
      </c>
      <c r="N5485">
        <v>48.75</v>
      </c>
      <c r="O5485">
        <v>6840.11</v>
      </c>
      <c r="P5485">
        <v>0</v>
      </c>
      <c r="Q5485">
        <v>6840.11</v>
      </c>
      <c r="R5485">
        <v>1094.42</v>
      </c>
      <c r="S5485">
        <v>273.60000000000002</v>
      </c>
      <c r="T5485">
        <v>7660.93</v>
      </c>
      <c r="U5485" t="s">
        <v>7568</v>
      </c>
      <c r="V5485" t="s">
        <v>9409</v>
      </c>
      <c r="W5485" t="s">
        <v>423</v>
      </c>
    </row>
    <row r="5486" spans="1:23" hidden="1" x14ac:dyDescent="0.2">
      <c r="A5486">
        <v>2012</v>
      </c>
      <c r="B5486" t="s">
        <v>303</v>
      </c>
      <c r="C5486" s="733">
        <v>40931</v>
      </c>
      <c r="D54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86" t="s">
        <v>485</v>
      </c>
      <c r="F5486" t="s">
        <v>2048</v>
      </c>
      <c r="G5486" t="s">
        <v>6042</v>
      </c>
      <c r="H5486">
        <v>40741</v>
      </c>
      <c r="I5486" t="s">
        <v>423</v>
      </c>
      <c r="J5486" t="s">
        <v>2050</v>
      </c>
      <c r="K5486" t="s">
        <v>2051</v>
      </c>
      <c r="L5486" t="s">
        <v>2052</v>
      </c>
      <c r="M5486">
        <v>90</v>
      </c>
      <c r="N5486">
        <v>24.4</v>
      </c>
      <c r="O5486">
        <v>3423.56</v>
      </c>
      <c r="P5486">
        <v>0</v>
      </c>
      <c r="Q5486">
        <v>3423.56</v>
      </c>
      <c r="R5486">
        <v>547.77</v>
      </c>
      <c r="S5486">
        <v>136.94</v>
      </c>
      <c r="T5486">
        <v>3834.39</v>
      </c>
      <c r="U5486" t="s">
        <v>2053</v>
      </c>
      <c r="V5486" t="s">
        <v>9409</v>
      </c>
      <c r="W5486" t="s">
        <v>423</v>
      </c>
    </row>
    <row r="5487" spans="1:23" hidden="1" x14ac:dyDescent="0.2">
      <c r="A5487">
        <v>2012</v>
      </c>
      <c r="B5487" t="s">
        <v>304</v>
      </c>
      <c r="C5487" s="733">
        <v>40946</v>
      </c>
      <c r="D54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87" t="s">
        <v>485</v>
      </c>
      <c r="F5487" t="s">
        <v>2065</v>
      </c>
      <c r="G5487" t="s">
        <v>2252</v>
      </c>
      <c r="H5487">
        <v>41499</v>
      </c>
      <c r="I5487" t="s">
        <v>423</v>
      </c>
      <c r="J5487" t="s">
        <v>2050</v>
      </c>
      <c r="K5487" t="s">
        <v>2051</v>
      </c>
      <c r="L5487" t="s">
        <v>2052</v>
      </c>
      <c r="M5487">
        <v>90</v>
      </c>
      <c r="N5487">
        <v>27.7</v>
      </c>
      <c r="O5487">
        <v>3886.59</v>
      </c>
      <c r="P5487">
        <v>0</v>
      </c>
      <c r="Q5487">
        <v>3886.59</v>
      </c>
      <c r="R5487">
        <v>621.85</v>
      </c>
      <c r="S5487">
        <v>155.46</v>
      </c>
      <c r="T5487">
        <v>4352.9799999999996</v>
      </c>
      <c r="V5487" t="s">
        <v>9408</v>
      </c>
      <c r="W5487" t="s">
        <v>423</v>
      </c>
    </row>
    <row r="5488" spans="1:23" hidden="1" x14ac:dyDescent="0.2">
      <c r="A5488">
        <v>2012</v>
      </c>
      <c r="B5488" t="s">
        <v>304</v>
      </c>
      <c r="C5488" s="733">
        <v>40946</v>
      </c>
      <c r="D54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88" t="s">
        <v>485</v>
      </c>
      <c r="F5488" t="s">
        <v>2084</v>
      </c>
      <c r="G5488" t="s">
        <v>2272</v>
      </c>
      <c r="H5488">
        <v>41490</v>
      </c>
      <c r="I5488" t="s">
        <v>423</v>
      </c>
      <c r="J5488" t="s">
        <v>2171</v>
      </c>
      <c r="K5488" t="s">
        <v>2051</v>
      </c>
      <c r="L5488" t="s">
        <v>2052</v>
      </c>
      <c r="M5488">
        <v>57</v>
      </c>
      <c r="N5488">
        <v>50.15</v>
      </c>
      <c r="O5488">
        <v>7036.55</v>
      </c>
      <c r="P5488">
        <v>0</v>
      </c>
      <c r="Q5488">
        <v>7036.55</v>
      </c>
      <c r="R5488">
        <v>1125.8499999999999</v>
      </c>
      <c r="S5488">
        <v>281.45999999999998</v>
      </c>
      <c r="T5488">
        <v>7880.94</v>
      </c>
      <c r="U5488" t="s">
        <v>7568</v>
      </c>
      <c r="V5488" t="s">
        <v>9409</v>
      </c>
      <c r="W5488" t="s">
        <v>423</v>
      </c>
    </row>
    <row r="5489" spans="1:23" hidden="1" x14ac:dyDescent="0.2">
      <c r="A5489">
        <v>2012</v>
      </c>
      <c r="B5489" t="s">
        <v>303</v>
      </c>
      <c r="C5489" s="733">
        <v>40920.493807870371</v>
      </c>
      <c r="D54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89" t="s">
        <v>485</v>
      </c>
      <c r="F5489" t="s">
        <v>2048</v>
      </c>
      <c r="G5489" t="s">
        <v>2256</v>
      </c>
      <c r="H5489">
        <v>40209</v>
      </c>
      <c r="I5489" t="s">
        <v>423</v>
      </c>
      <c r="J5489" t="s">
        <v>2050</v>
      </c>
      <c r="K5489" t="s">
        <v>2051</v>
      </c>
      <c r="L5489" t="s">
        <v>2052</v>
      </c>
      <c r="M5489">
        <v>90</v>
      </c>
      <c r="N5489">
        <v>49.4</v>
      </c>
      <c r="O5489">
        <v>6931.31</v>
      </c>
      <c r="P5489">
        <v>0</v>
      </c>
      <c r="Q5489">
        <v>6931.31</v>
      </c>
      <c r="R5489">
        <v>1109.01</v>
      </c>
      <c r="S5489">
        <v>277.25</v>
      </c>
      <c r="T5489">
        <v>7763.07</v>
      </c>
      <c r="U5489" t="s">
        <v>2062</v>
      </c>
      <c r="V5489" t="s">
        <v>9409</v>
      </c>
      <c r="W5489" t="s">
        <v>423</v>
      </c>
    </row>
    <row r="5490" spans="1:23" hidden="1" x14ac:dyDescent="0.2">
      <c r="A5490">
        <v>2012</v>
      </c>
      <c r="B5490" t="s">
        <v>304</v>
      </c>
      <c r="C5490" s="733">
        <v>40956</v>
      </c>
      <c r="D54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90" t="s">
        <v>485</v>
      </c>
      <c r="F5490" t="s">
        <v>2054</v>
      </c>
      <c r="G5490" t="s">
        <v>7837</v>
      </c>
      <c r="H5490">
        <v>10480</v>
      </c>
      <c r="I5490" t="s">
        <v>423</v>
      </c>
      <c r="J5490" t="s">
        <v>2056</v>
      </c>
      <c r="K5490" t="s">
        <v>2057</v>
      </c>
      <c r="L5490" t="s">
        <v>2058</v>
      </c>
      <c r="M5490">
        <v>19</v>
      </c>
      <c r="N5490">
        <v>47.08</v>
      </c>
      <c r="O5490">
        <v>5313.92</v>
      </c>
      <c r="P5490">
        <v>0</v>
      </c>
      <c r="Q5490">
        <v>5313.92</v>
      </c>
      <c r="R5490">
        <v>584.53</v>
      </c>
      <c r="S5490">
        <v>212.56</v>
      </c>
      <c r="T5490">
        <v>5685.89</v>
      </c>
      <c r="U5490" t="s">
        <v>8864</v>
      </c>
      <c r="V5490" t="s">
        <v>9409</v>
      </c>
      <c r="W5490" t="s">
        <v>423</v>
      </c>
    </row>
    <row r="5491" spans="1:23" hidden="1" x14ac:dyDescent="0.2">
      <c r="A5491">
        <v>2012</v>
      </c>
      <c r="B5491" t="s">
        <v>304</v>
      </c>
      <c r="C5491" s="733">
        <v>40948</v>
      </c>
      <c r="D54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91" t="s">
        <v>485</v>
      </c>
      <c r="F5491" t="s">
        <v>2054</v>
      </c>
      <c r="G5491" t="s">
        <v>2257</v>
      </c>
      <c r="H5491">
        <v>10360</v>
      </c>
      <c r="I5491" t="s">
        <v>423</v>
      </c>
      <c r="J5491" t="s">
        <v>2056</v>
      </c>
      <c r="K5491" t="s">
        <v>2057</v>
      </c>
      <c r="L5491" t="s">
        <v>2058</v>
      </c>
      <c r="M5491">
        <v>19</v>
      </c>
      <c r="N5491">
        <v>23.96</v>
      </c>
      <c r="O5491">
        <v>2704.37</v>
      </c>
      <c r="P5491">
        <v>0</v>
      </c>
      <c r="Q5491">
        <v>2704.37</v>
      </c>
      <c r="R5491">
        <v>297.48</v>
      </c>
      <c r="S5491">
        <v>108.17</v>
      </c>
      <c r="T5491">
        <v>2893.68</v>
      </c>
      <c r="U5491" t="s">
        <v>2082</v>
      </c>
      <c r="V5491" t="s">
        <v>9408</v>
      </c>
      <c r="W5491" t="s">
        <v>423</v>
      </c>
    </row>
    <row r="5492" spans="1:23" hidden="1" x14ac:dyDescent="0.2">
      <c r="A5492">
        <v>2012</v>
      </c>
      <c r="B5492" t="s">
        <v>304</v>
      </c>
      <c r="C5492" s="733">
        <v>40942.45890046296</v>
      </c>
      <c r="D54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92" t="s">
        <v>485</v>
      </c>
      <c r="F5492" t="s">
        <v>2054</v>
      </c>
      <c r="G5492" t="s">
        <v>6047</v>
      </c>
      <c r="H5492">
        <v>10295</v>
      </c>
      <c r="I5492" t="s">
        <v>423</v>
      </c>
      <c r="J5492" t="s">
        <v>2056</v>
      </c>
      <c r="K5492" t="s">
        <v>2057</v>
      </c>
      <c r="L5492" t="s">
        <v>2058</v>
      </c>
      <c r="M5492">
        <v>19</v>
      </c>
      <c r="N5492">
        <v>48.57</v>
      </c>
      <c r="O5492">
        <v>5482.1</v>
      </c>
      <c r="P5492">
        <v>0</v>
      </c>
      <c r="Q5492">
        <v>5482.1</v>
      </c>
      <c r="R5492">
        <v>877.14</v>
      </c>
      <c r="S5492">
        <v>219.28</v>
      </c>
      <c r="T5492">
        <v>6139.96</v>
      </c>
      <c r="U5492" t="s">
        <v>2075</v>
      </c>
      <c r="V5492" t="s">
        <v>9409</v>
      </c>
      <c r="W5492" t="s">
        <v>423</v>
      </c>
    </row>
    <row r="5493" spans="1:23" hidden="1" x14ac:dyDescent="0.2">
      <c r="A5493">
        <v>2012</v>
      </c>
      <c r="B5493" t="s">
        <v>304</v>
      </c>
      <c r="C5493" s="733">
        <v>40963.437430555554</v>
      </c>
      <c r="D54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93" t="s">
        <v>485</v>
      </c>
      <c r="F5493" t="s">
        <v>2054</v>
      </c>
      <c r="G5493" t="s">
        <v>8760</v>
      </c>
      <c r="H5493">
        <v>10534</v>
      </c>
      <c r="I5493" t="s">
        <v>423</v>
      </c>
      <c r="J5493" t="s">
        <v>2056</v>
      </c>
      <c r="K5493" t="s">
        <v>2057</v>
      </c>
      <c r="L5493" t="s">
        <v>2058</v>
      </c>
      <c r="M5493">
        <v>19</v>
      </c>
      <c r="N5493">
        <v>46.92</v>
      </c>
      <c r="O5493">
        <v>5295.86</v>
      </c>
      <c r="P5493">
        <v>0</v>
      </c>
      <c r="Q5493">
        <v>5295.86</v>
      </c>
      <c r="R5493">
        <v>582.54</v>
      </c>
      <c r="S5493">
        <v>211.83</v>
      </c>
      <c r="T5493">
        <v>5666.57</v>
      </c>
      <c r="U5493" t="s">
        <v>8864</v>
      </c>
      <c r="V5493" t="s">
        <v>9409</v>
      </c>
      <c r="W5493" t="s">
        <v>423</v>
      </c>
    </row>
    <row r="5494" spans="1:23" hidden="1" x14ac:dyDescent="0.2">
      <c r="A5494">
        <v>2012</v>
      </c>
      <c r="B5494" t="s">
        <v>304</v>
      </c>
      <c r="C5494" s="733">
        <v>40961</v>
      </c>
      <c r="D54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94" t="s">
        <v>505</v>
      </c>
      <c r="F5494" t="s">
        <v>1915</v>
      </c>
      <c r="G5494" t="s">
        <v>8437</v>
      </c>
      <c r="H5494">
        <v>22879</v>
      </c>
      <c r="I5494" t="s">
        <v>423</v>
      </c>
      <c r="J5494" t="s">
        <v>5504</v>
      </c>
      <c r="K5494" t="s">
        <v>1918</v>
      </c>
      <c r="L5494" t="s">
        <v>1919</v>
      </c>
      <c r="M5494">
        <v>1115</v>
      </c>
      <c r="N5494">
        <v>26.81</v>
      </c>
      <c r="O5494">
        <v>19782.29</v>
      </c>
      <c r="P5494">
        <v>0</v>
      </c>
      <c r="Q5494">
        <v>19782.29</v>
      </c>
      <c r="R5494">
        <v>3165.17</v>
      </c>
      <c r="S5494">
        <v>791.29</v>
      </c>
      <c r="T5494">
        <v>22156.17</v>
      </c>
      <c r="U5494" t="s">
        <v>8491</v>
      </c>
      <c r="V5494" t="s">
        <v>9408</v>
      </c>
      <c r="W5494" t="s">
        <v>423</v>
      </c>
    </row>
    <row r="5495" spans="1:23" hidden="1" x14ac:dyDescent="0.2">
      <c r="A5495">
        <v>2012</v>
      </c>
      <c r="B5495" t="s">
        <v>304</v>
      </c>
      <c r="C5495" s="733">
        <v>40963</v>
      </c>
      <c r="D54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495" t="s">
        <v>478</v>
      </c>
      <c r="F5495" t="s">
        <v>2622</v>
      </c>
      <c r="G5495" t="s">
        <v>9061</v>
      </c>
      <c r="H5495">
        <v>35874</v>
      </c>
      <c r="I5495" t="s">
        <v>423</v>
      </c>
      <c r="J5495" t="s">
        <v>2662</v>
      </c>
      <c r="K5495" t="s">
        <v>2625</v>
      </c>
      <c r="L5495" t="s">
        <v>2626</v>
      </c>
      <c r="M5495">
        <v>66</v>
      </c>
      <c r="N5495">
        <v>23.37</v>
      </c>
      <c r="O5495">
        <v>2751.35</v>
      </c>
      <c r="P5495">
        <v>0</v>
      </c>
      <c r="Q5495">
        <v>2751.35</v>
      </c>
      <c r="R5495">
        <v>440.22</v>
      </c>
      <c r="S5495">
        <v>110.05</v>
      </c>
      <c r="T5495">
        <v>3081.52</v>
      </c>
      <c r="U5495" t="s">
        <v>9428</v>
      </c>
      <c r="V5495" t="s">
        <v>9408</v>
      </c>
      <c r="W5495" t="s">
        <v>423</v>
      </c>
    </row>
    <row r="5496" spans="1:23" hidden="1" x14ac:dyDescent="0.2">
      <c r="A5496">
        <v>2012</v>
      </c>
      <c r="B5496" t="s">
        <v>303</v>
      </c>
      <c r="C5496" s="733">
        <v>40933</v>
      </c>
      <c r="D54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96" t="s">
        <v>478</v>
      </c>
      <c r="F5496" t="s">
        <v>2622</v>
      </c>
      <c r="G5496" t="s">
        <v>5808</v>
      </c>
      <c r="H5496">
        <v>34854</v>
      </c>
      <c r="I5496" t="s">
        <v>423</v>
      </c>
      <c r="J5496" t="s">
        <v>2662</v>
      </c>
      <c r="K5496" t="s">
        <v>2625</v>
      </c>
      <c r="L5496" t="s">
        <v>2626</v>
      </c>
      <c r="M5496">
        <v>66</v>
      </c>
      <c r="N5496">
        <v>25.66</v>
      </c>
      <c r="O5496">
        <v>3020.95</v>
      </c>
      <c r="P5496">
        <v>0</v>
      </c>
      <c r="Q5496">
        <v>3020.95</v>
      </c>
      <c r="R5496">
        <v>483.35</v>
      </c>
      <c r="S5496">
        <v>120.84</v>
      </c>
      <c r="T5496">
        <v>3383.46</v>
      </c>
      <c r="U5496" t="s">
        <v>2633</v>
      </c>
      <c r="V5496" t="s">
        <v>9408</v>
      </c>
      <c r="W5496" t="s">
        <v>423</v>
      </c>
    </row>
    <row r="5497" spans="1:23" hidden="1" x14ac:dyDescent="0.2">
      <c r="A5497">
        <v>2012</v>
      </c>
      <c r="B5497" t="s">
        <v>305</v>
      </c>
      <c r="C5497" s="733">
        <v>40970.92633101852</v>
      </c>
      <c r="D549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497" t="s">
        <v>478</v>
      </c>
      <c r="F5497" t="s">
        <v>2136</v>
      </c>
      <c r="G5497" t="s">
        <v>9746</v>
      </c>
      <c r="H5497">
        <v>36290</v>
      </c>
      <c r="I5497" t="s">
        <v>423</v>
      </c>
      <c r="J5497" t="s">
        <v>2662</v>
      </c>
      <c r="K5497" t="s">
        <v>2625</v>
      </c>
      <c r="L5497" t="s">
        <v>2626</v>
      </c>
      <c r="M5497">
        <v>66</v>
      </c>
      <c r="N5497">
        <v>35.53</v>
      </c>
      <c r="O5497">
        <v>4182.95</v>
      </c>
      <c r="P5497">
        <v>0</v>
      </c>
      <c r="Q5497">
        <v>4182.95</v>
      </c>
      <c r="R5497">
        <v>669.27</v>
      </c>
      <c r="S5497">
        <v>167.32</v>
      </c>
      <c r="T5497">
        <v>4684.8999999999996</v>
      </c>
      <c r="V5497" t="s">
        <v>9408</v>
      </c>
      <c r="W5497" t="s">
        <v>423</v>
      </c>
    </row>
    <row r="5498" spans="1:23" hidden="1" x14ac:dyDescent="0.2">
      <c r="A5498">
        <v>2012</v>
      </c>
      <c r="B5498" t="s">
        <v>303</v>
      </c>
      <c r="C5498" s="733">
        <v>40931</v>
      </c>
      <c r="D54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98" t="s">
        <v>485</v>
      </c>
      <c r="F5498" t="s">
        <v>2054</v>
      </c>
      <c r="G5498" t="s">
        <v>6262</v>
      </c>
      <c r="H5498">
        <v>10171</v>
      </c>
      <c r="I5498" t="s">
        <v>423</v>
      </c>
      <c r="J5498" t="s">
        <v>2056</v>
      </c>
      <c r="K5498" t="s">
        <v>2057</v>
      </c>
      <c r="L5498" t="s">
        <v>2058</v>
      </c>
      <c r="M5498">
        <v>19</v>
      </c>
      <c r="N5498">
        <v>24.37</v>
      </c>
      <c r="O5498">
        <v>2750.64</v>
      </c>
      <c r="P5498">
        <v>0</v>
      </c>
      <c r="Q5498">
        <v>2750.64</v>
      </c>
      <c r="R5498">
        <v>440.1</v>
      </c>
      <c r="S5498">
        <v>110.03</v>
      </c>
      <c r="T5498">
        <v>3080.71</v>
      </c>
      <c r="U5498" t="s">
        <v>2077</v>
      </c>
      <c r="V5498" t="s">
        <v>9408</v>
      </c>
      <c r="W5498" t="s">
        <v>423</v>
      </c>
    </row>
    <row r="5499" spans="1:23" hidden="1" x14ac:dyDescent="0.2">
      <c r="A5499">
        <v>2012</v>
      </c>
      <c r="B5499" t="s">
        <v>303</v>
      </c>
      <c r="C5499" s="733">
        <v>40939.55400462963</v>
      </c>
      <c r="D54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499" t="s">
        <v>478</v>
      </c>
      <c r="F5499" t="s">
        <v>2622</v>
      </c>
      <c r="G5499" t="s">
        <v>5812</v>
      </c>
      <c r="H5499">
        <v>35158</v>
      </c>
      <c r="I5499" t="s">
        <v>423</v>
      </c>
      <c r="J5499" t="s">
        <v>2662</v>
      </c>
      <c r="K5499" t="s">
        <v>2625</v>
      </c>
      <c r="L5499" t="s">
        <v>2626</v>
      </c>
      <c r="M5499">
        <v>66</v>
      </c>
      <c r="N5499">
        <v>24.77</v>
      </c>
      <c r="O5499">
        <v>2916.17</v>
      </c>
      <c r="P5499">
        <v>0</v>
      </c>
      <c r="Q5499">
        <v>2916.17</v>
      </c>
      <c r="R5499">
        <v>466.59</v>
      </c>
      <c r="S5499">
        <v>116.65</v>
      </c>
      <c r="T5499">
        <v>3266.11</v>
      </c>
      <c r="U5499" t="s">
        <v>2648</v>
      </c>
      <c r="V5499" t="s">
        <v>9408</v>
      </c>
      <c r="W5499" t="s">
        <v>423</v>
      </c>
    </row>
    <row r="5500" spans="1:23" hidden="1" x14ac:dyDescent="0.2">
      <c r="A5500">
        <v>2012</v>
      </c>
      <c r="B5500" t="s">
        <v>304</v>
      </c>
      <c r="C5500" s="733">
        <v>40954</v>
      </c>
      <c r="D55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00" t="s">
        <v>478</v>
      </c>
      <c r="F5500" t="s">
        <v>2136</v>
      </c>
      <c r="G5500" t="s">
        <v>7785</v>
      </c>
      <c r="H5500">
        <v>35622</v>
      </c>
      <c r="I5500" t="s">
        <v>423</v>
      </c>
      <c r="J5500" t="s">
        <v>4778</v>
      </c>
      <c r="K5500" t="s">
        <v>425</v>
      </c>
      <c r="L5500" t="s">
        <v>2145</v>
      </c>
      <c r="M5500">
        <v>652</v>
      </c>
      <c r="N5500">
        <v>38.18</v>
      </c>
      <c r="O5500">
        <v>11953.78</v>
      </c>
      <c r="P5500">
        <v>0</v>
      </c>
      <c r="Q5500">
        <v>11953.78</v>
      </c>
      <c r="R5500">
        <v>1912.6</v>
      </c>
      <c r="S5500">
        <v>478.15</v>
      </c>
      <c r="T5500">
        <v>13388.23</v>
      </c>
      <c r="U5500" t="s">
        <v>7553</v>
      </c>
      <c r="V5500" t="s">
        <v>9409</v>
      </c>
      <c r="W5500" t="s">
        <v>423</v>
      </c>
    </row>
    <row r="5501" spans="1:23" hidden="1" x14ac:dyDescent="0.2">
      <c r="A5501">
        <v>2012</v>
      </c>
      <c r="B5501" t="s">
        <v>304</v>
      </c>
      <c r="C5501" s="733">
        <v>40953</v>
      </c>
      <c r="D55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01" t="s">
        <v>478</v>
      </c>
      <c r="F5501" t="s">
        <v>2142</v>
      </c>
      <c r="G5501" t="s">
        <v>5113</v>
      </c>
      <c r="H5501">
        <v>35518</v>
      </c>
      <c r="I5501" t="s">
        <v>423</v>
      </c>
      <c r="J5501" t="s">
        <v>2639</v>
      </c>
      <c r="K5501" t="s">
        <v>2640</v>
      </c>
      <c r="L5501" t="s">
        <v>2641</v>
      </c>
      <c r="M5501">
        <v>274</v>
      </c>
      <c r="N5501">
        <v>53.78</v>
      </c>
      <c r="O5501">
        <v>6912.88</v>
      </c>
      <c r="P5501">
        <v>0</v>
      </c>
      <c r="Q5501">
        <v>6912.88</v>
      </c>
      <c r="R5501">
        <v>1106.06</v>
      </c>
      <c r="S5501">
        <v>276.52</v>
      </c>
      <c r="T5501">
        <v>7742.42</v>
      </c>
      <c r="U5501" t="s">
        <v>7598</v>
      </c>
      <c r="V5501" t="s">
        <v>9409</v>
      </c>
      <c r="W5501" t="s">
        <v>423</v>
      </c>
    </row>
    <row r="5502" spans="1:23" hidden="1" x14ac:dyDescent="0.2">
      <c r="A5502">
        <v>2012</v>
      </c>
      <c r="B5502" t="s">
        <v>303</v>
      </c>
      <c r="C5502" s="733">
        <v>40939</v>
      </c>
      <c r="D55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02" t="s">
        <v>478</v>
      </c>
      <c r="F5502" t="s">
        <v>2142</v>
      </c>
      <c r="G5502" t="s">
        <v>5459</v>
      </c>
      <c r="H5502">
        <v>34770</v>
      </c>
      <c r="I5502" t="s">
        <v>423</v>
      </c>
      <c r="J5502" t="s">
        <v>2639</v>
      </c>
      <c r="K5502" t="s">
        <v>2640</v>
      </c>
      <c r="L5502" t="s">
        <v>2641</v>
      </c>
      <c r="M5502">
        <v>274</v>
      </c>
      <c r="N5502">
        <v>48.87</v>
      </c>
      <c r="O5502">
        <v>6281.75</v>
      </c>
      <c r="P5502">
        <v>0</v>
      </c>
      <c r="Q5502">
        <v>6281.75</v>
      </c>
      <c r="R5502">
        <v>1005.08</v>
      </c>
      <c r="S5502">
        <v>251.27</v>
      </c>
      <c r="T5502">
        <v>7035.56</v>
      </c>
      <c r="U5502" t="s">
        <v>2990</v>
      </c>
      <c r="V5502" t="s">
        <v>9409</v>
      </c>
      <c r="W5502" t="s">
        <v>423</v>
      </c>
    </row>
    <row r="5503" spans="1:23" hidden="1" x14ac:dyDescent="0.2">
      <c r="A5503">
        <v>2012</v>
      </c>
      <c r="B5503" t="s">
        <v>304</v>
      </c>
      <c r="C5503" s="733">
        <v>40953</v>
      </c>
      <c r="D55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03" t="s">
        <v>478</v>
      </c>
      <c r="F5503" t="s">
        <v>2142</v>
      </c>
      <c r="G5503" t="s">
        <v>5460</v>
      </c>
      <c r="H5503">
        <v>35465</v>
      </c>
      <c r="I5503" t="s">
        <v>423</v>
      </c>
      <c r="J5503" t="s">
        <v>2639</v>
      </c>
      <c r="K5503" t="s">
        <v>2640</v>
      </c>
      <c r="L5503" t="s">
        <v>2641</v>
      </c>
      <c r="M5503">
        <v>274</v>
      </c>
      <c r="N5503">
        <v>53.44</v>
      </c>
      <c r="O5503">
        <v>6869.18</v>
      </c>
      <c r="P5503">
        <v>0</v>
      </c>
      <c r="Q5503">
        <v>6869.18</v>
      </c>
      <c r="R5503">
        <v>1099.07</v>
      </c>
      <c r="S5503">
        <v>274.77</v>
      </c>
      <c r="T5503">
        <v>7693.48</v>
      </c>
      <c r="U5503" t="s">
        <v>7598</v>
      </c>
      <c r="V5503" t="s">
        <v>9409</v>
      </c>
      <c r="W5503" t="s">
        <v>423</v>
      </c>
    </row>
    <row r="5504" spans="1:23" hidden="1" x14ac:dyDescent="0.2">
      <c r="A5504">
        <v>2012</v>
      </c>
      <c r="B5504" t="s">
        <v>304</v>
      </c>
      <c r="C5504" s="733">
        <v>40962</v>
      </c>
      <c r="D55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04" t="s">
        <v>478</v>
      </c>
      <c r="F5504" t="s">
        <v>2622</v>
      </c>
      <c r="G5504" t="s">
        <v>8666</v>
      </c>
      <c r="H5504">
        <v>35753</v>
      </c>
      <c r="I5504" t="s">
        <v>423</v>
      </c>
      <c r="J5504" t="s">
        <v>4285</v>
      </c>
      <c r="K5504" t="s">
        <v>2625</v>
      </c>
      <c r="L5504" t="s">
        <v>2145</v>
      </c>
      <c r="M5504">
        <v>110</v>
      </c>
      <c r="N5504">
        <v>22.35</v>
      </c>
      <c r="O5504">
        <v>2522.1999999999998</v>
      </c>
      <c r="P5504">
        <v>0</v>
      </c>
      <c r="Q5504">
        <v>2522.1999999999998</v>
      </c>
      <c r="R5504">
        <v>403.55</v>
      </c>
      <c r="S5504">
        <v>100.89</v>
      </c>
      <c r="T5504">
        <v>2824.86</v>
      </c>
      <c r="U5504" t="s">
        <v>9428</v>
      </c>
      <c r="V5504" t="s">
        <v>9408</v>
      </c>
      <c r="W5504" t="s">
        <v>423</v>
      </c>
    </row>
    <row r="5505" spans="1:23" hidden="1" x14ac:dyDescent="0.2">
      <c r="A5505">
        <v>2012</v>
      </c>
      <c r="B5505" t="s">
        <v>303</v>
      </c>
      <c r="C5505" s="733">
        <v>40920</v>
      </c>
      <c r="D55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05" t="s">
        <v>478</v>
      </c>
      <c r="F5505" t="s">
        <v>2136</v>
      </c>
      <c r="G5505" t="s">
        <v>5453</v>
      </c>
      <c r="H5505">
        <v>34429</v>
      </c>
      <c r="I5505" t="s">
        <v>423</v>
      </c>
      <c r="J5505" t="s">
        <v>2668</v>
      </c>
      <c r="K5505" t="s">
        <v>2625</v>
      </c>
      <c r="L5505" t="s">
        <v>2626</v>
      </c>
      <c r="M5505">
        <v>76</v>
      </c>
      <c r="N5505">
        <v>24.3</v>
      </c>
      <c r="O5505">
        <v>2742.26</v>
      </c>
      <c r="P5505">
        <v>0</v>
      </c>
      <c r="Q5505">
        <v>2742.26</v>
      </c>
      <c r="R5505">
        <v>438.76</v>
      </c>
      <c r="S5505">
        <v>109.69</v>
      </c>
      <c r="T5505">
        <v>3071.33</v>
      </c>
      <c r="U5505" t="s">
        <v>2627</v>
      </c>
      <c r="V5505" t="s">
        <v>9408</v>
      </c>
      <c r="W5505" t="s">
        <v>423</v>
      </c>
    </row>
    <row r="5506" spans="1:23" hidden="1" x14ac:dyDescent="0.2">
      <c r="A5506">
        <v>2012</v>
      </c>
      <c r="B5506" t="s">
        <v>303</v>
      </c>
      <c r="C5506" s="733">
        <v>40934.41070601852</v>
      </c>
      <c r="D55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06" t="s">
        <v>505</v>
      </c>
      <c r="F5506" t="s">
        <v>1915</v>
      </c>
      <c r="G5506" t="s">
        <v>5098</v>
      </c>
      <c r="H5506">
        <v>22268</v>
      </c>
      <c r="I5506" t="s">
        <v>4233</v>
      </c>
      <c r="J5506" t="s">
        <v>5099</v>
      </c>
      <c r="K5506" t="s">
        <v>5100</v>
      </c>
      <c r="L5506" t="s">
        <v>1919</v>
      </c>
      <c r="M5506">
        <v>270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V5506" t="s">
        <v>9408</v>
      </c>
      <c r="W5506" t="s">
        <v>4233</v>
      </c>
    </row>
    <row r="5507" spans="1:23" hidden="1" x14ac:dyDescent="0.2">
      <c r="A5507">
        <v>2012</v>
      </c>
      <c r="B5507" t="s">
        <v>304</v>
      </c>
      <c r="C5507" s="733">
        <v>40949</v>
      </c>
      <c r="D55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07" t="s">
        <v>478</v>
      </c>
      <c r="F5507" t="s">
        <v>2622</v>
      </c>
      <c r="G5507" t="s">
        <v>5445</v>
      </c>
      <c r="H5507">
        <v>35537</v>
      </c>
      <c r="I5507" t="s">
        <v>423</v>
      </c>
      <c r="J5507" t="s">
        <v>2668</v>
      </c>
      <c r="K5507" t="s">
        <v>2625</v>
      </c>
      <c r="L5507" t="s">
        <v>2626</v>
      </c>
      <c r="M5507">
        <v>76</v>
      </c>
      <c r="N5507">
        <v>24.52</v>
      </c>
      <c r="O5507">
        <v>2767.08</v>
      </c>
      <c r="P5507">
        <v>0</v>
      </c>
      <c r="Q5507">
        <v>2767.08</v>
      </c>
      <c r="R5507">
        <v>442.73</v>
      </c>
      <c r="S5507">
        <v>110.68</v>
      </c>
      <c r="T5507">
        <v>3099.13</v>
      </c>
      <c r="U5507" t="s">
        <v>7548</v>
      </c>
      <c r="V5507" t="s">
        <v>9408</v>
      </c>
      <c r="W5507" t="s">
        <v>423</v>
      </c>
    </row>
    <row r="5508" spans="1:23" hidden="1" x14ac:dyDescent="0.2">
      <c r="A5508">
        <v>2012</v>
      </c>
      <c r="B5508" t="s">
        <v>305</v>
      </c>
      <c r="C5508" s="733">
        <v>40970</v>
      </c>
      <c r="D5508" s="733" t="str">
        <f>CHOOSE(MONTH(Tabla_sqldatos_bonampakdb_Bon_v_ingresos2012[[#This Row],[fecha_guia]]),"Enero","Febrero","Marzo","Abril","Mayo","Junio","Julio","Agosto","Septiembre","Octubre","Noviembre","Diciembre")</f>
        <v>Marzo</v>
      </c>
      <c r="E5508" t="s">
        <v>485</v>
      </c>
      <c r="F5508" t="s">
        <v>2065</v>
      </c>
      <c r="G5508" t="s">
        <v>9747</v>
      </c>
      <c r="H5508">
        <v>43016</v>
      </c>
      <c r="I5508" t="s">
        <v>423</v>
      </c>
      <c r="J5508" t="s">
        <v>4093</v>
      </c>
      <c r="K5508" t="s">
        <v>2051</v>
      </c>
      <c r="L5508" t="s">
        <v>2052</v>
      </c>
      <c r="M5508">
        <v>647</v>
      </c>
      <c r="N5508">
        <v>48.25</v>
      </c>
      <c r="O5508">
        <v>18254.419999999998</v>
      </c>
      <c r="P5508">
        <v>0</v>
      </c>
      <c r="Q5508">
        <v>18254.419999999998</v>
      </c>
      <c r="R5508">
        <v>2920.71</v>
      </c>
      <c r="S5508">
        <v>730.18</v>
      </c>
      <c r="T5508">
        <v>20444.95</v>
      </c>
      <c r="V5508" t="s">
        <v>9409</v>
      </c>
      <c r="W5508" t="s">
        <v>423</v>
      </c>
    </row>
    <row r="5509" spans="1:23" hidden="1" x14ac:dyDescent="0.2">
      <c r="A5509">
        <v>2012</v>
      </c>
      <c r="B5509" t="s">
        <v>304</v>
      </c>
      <c r="C5509" s="733">
        <v>40952.96670138889</v>
      </c>
      <c r="D55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09" t="s">
        <v>478</v>
      </c>
      <c r="F5509" t="s">
        <v>2622</v>
      </c>
      <c r="G5509" t="s">
        <v>5456</v>
      </c>
      <c r="H5509">
        <v>35575</v>
      </c>
      <c r="I5509" t="s">
        <v>423</v>
      </c>
      <c r="J5509" t="s">
        <v>2629</v>
      </c>
      <c r="K5509" t="s">
        <v>2625</v>
      </c>
      <c r="L5509" t="s">
        <v>2626</v>
      </c>
      <c r="M5509">
        <v>33</v>
      </c>
      <c r="N5509">
        <v>24.52</v>
      </c>
      <c r="O5509">
        <v>2860.01</v>
      </c>
      <c r="P5509">
        <v>0</v>
      </c>
      <c r="Q5509">
        <v>2860.01</v>
      </c>
      <c r="R5509">
        <v>457.6</v>
      </c>
      <c r="S5509">
        <v>114.4</v>
      </c>
      <c r="T5509">
        <v>3203.21</v>
      </c>
      <c r="U5509" t="s">
        <v>7548</v>
      </c>
      <c r="V5509" t="s">
        <v>9408</v>
      </c>
      <c r="W5509" t="s">
        <v>423</v>
      </c>
    </row>
    <row r="5510" spans="1:23" hidden="1" x14ac:dyDescent="0.2">
      <c r="A5510">
        <v>2012</v>
      </c>
      <c r="B5510" t="s">
        <v>304</v>
      </c>
      <c r="C5510" s="733">
        <v>40955.451261574075</v>
      </c>
      <c r="D55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10" t="s">
        <v>485</v>
      </c>
      <c r="F5510" t="s">
        <v>2065</v>
      </c>
      <c r="G5510" t="s">
        <v>7789</v>
      </c>
      <c r="H5510">
        <v>42066</v>
      </c>
      <c r="I5510" t="s">
        <v>423</v>
      </c>
      <c r="J5510" t="s">
        <v>2186</v>
      </c>
      <c r="K5510" t="s">
        <v>2183</v>
      </c>
      <c r="L5510" t="s">
        <v>2184</v>
      </c>
      <c r="M5510">
        <v>19</v>
      </c>
      <c r="N5510">
        <v>15.6</v>
      </c>
      <c r="O5510">
        <v>1760.77</v>
      </c>
      <c r="P5510">
        <v>0</v>
      </c>
      <c r="Q5510">
        <v>1760.77</v>
      </c>
      <c r="R5510">
        <v>281.72000000000003</v>
      </c>
      <c r="S5510">
        <v>70.430000000000007</v>
      </c>
      <c r="T5510">
        <v>1972.06</v>
      </c>
      <c r="U5510" t="s">
        <v>8048</v>
      </c>
      <c r="V5510" t="s">
        <v>9408</v>
      </c>
      <c r="W5510" t="s">
        <v>423</v>
      </c>
    </row>
    <row r="5511" spans="1:23" hidden="1" x14ac:dyDescent="0.2">
      <c r="A5511">
        <v>2012</v>
      </c>
      <c r="B5511" t="s">
        <v>304</v>
      </c>
      <c r="C5511" s="733">
        <v>40954</v>
      </c>
      <c r="D55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11" t="s">
        <v>478</v>
      </c>
      <c r="F5511" t="s">
        <v>2622</v>
      </c>
      <c r="G5511" t="s">
        <v>7975</v>
      </c>
      <c r="H5511">
        <v>35641</v>
      </c>
      <c r="I5511" t="s">
        <v>423</v>
      </c>
      <c r="J5511" t="s">
        <v>2629</v>
      </c>
      <c r="K5511" t="s">
        <v>2625</v>
      </c>
      <c r="L5511" t="s">
        <v>2626</v>
      </c>
      <c r="M5511">
        <v>33</v>
      </c>
      <c r="N5511">
        <v>25.11</v>
      </c>
      <c r="O5511">
        <v>2928.83</v>
      </c>
      <c r="P5511">
        <v>0</v>
      </c>
      <c r="Q5511">
        <v>2928.83</v>
      </c>
      <c r="R5511">
        <v>468.61</v>
      </c>
      <c r="S5511">
        <v>117.15</v>
      </c>
      <c r="T5511">
        <v>3280.29</v>
      </c>
      <c r="U5511" t="s">
        <v>8267</v>
      </c>
      <c r="V5511" t="s">
        <v>9408</v>
      </c>
      <c r="W5511" t="s">
        <v>423</v>
      </c>
    </row>
    <row r="5512" spans="1:23" hidden="1" x14ac:dyDescent="0.2">
      <c r="A5512">
        <v>2012</v>
      </c>
      <c r="B5512" t="s">
        <v>303</v>
      </c>
      <c r="C5512" s="733">
        <v>40933.47351851852</v>
      </c>
      <c r="D55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12" t="s">
        <v>478</v>
      </c>
      <c r="F5512" t="s">
        <v>2136</v>
      </c>
      <c r="G5512" t="s">
        <v>5447</v>
      </c>
      <c r="H5512">
        <v>34941</v>
      </c>
      <c r="I5512" t="s">
        <v>423</v>
      </c>
      <c r="J5512" t="s">
        <v>2629</v>
      </c>
      <c r="K5512" t="s">
        <v>2625</v>
      </c>
      <c r="L5512" t="s">
        <v>2626</v>
      </c>
      <c r="M5512">
        <v>33</v>
      </c>
      <c r="N5512">
        <v>23.37</v>
      </c>
      <c r="O5512">
        <v>2725.88</v>
      </c>
      <c r="P5512">
        <v>0</v>
      </c>
      <c r="Q5512">
        <v>2725.88</v>
      </c>
      <c r="R5512">
        <v>436.14</v>
      </c>
      <c r="S5512">
        <v>109.04</v>
      </c>
      <c r="T5512">
        <v>3052.98</v>
      </c>
      <c r="U5512" t="s">
        <v>2633</v>
      </c>
      <c r="V5512" t="s">
        <v>9408</v>
      </c>
      <c r="W5512" t="s">
        <v>423</v>
      </c>
    </row>
    <row r="5513" spans="1:23" hidden="1" x14ac:dyDescent="0.2">
      <c r="A5513">
        <v>2012</v>
      </c>
      <c r="B5513" t="s">
        <v>304</v>
      </c>
      <c r="C5513" s="733">
        <v>40960</v>
      </c>
      <c r="D55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13" t="s">
        <v>485</v>
      </c>
      <c r="F5513" t="s">
        <v>2099</v>
      </c>
      <c r="G5513" t="s">
        <v>8077</v>
      </c>
      <c r="H5513">
        <v>39843</v>
      </c>
      <c r="I5513" t="s">
        <v>423</v>
      </c>
      <c r="J5513" t="s">
        <v>2141</v>
      </c>
      <c r="K5513" t="s">
        <v>2102</v>
      </c>
      <c r="L5513" t="s">
        <v>2103</v>
      </c>
      <c r="M5513">
        <v>114</v>
      </c>
      <c r="N5513">
        <v>25.86</v>
      </c>
      <c r="O5513">
        <v>4155.18</v>
      </c>
      <c r="P5513">
        <v>0</v>
      </c>
      <c r="Q5513">
        <v>4155.18</v>
      </c>
      <c r="R5513">
        <v>664.83</v>
      </c>
      <c r="S5513">
        <v>166.21</v>
      </c>
      <c r="T5513">
        <v>4653.8</v>
      </c>
      <c r="U5513" t="s">
        <v>8883</v>
      </c>
      <c r="V5513" t="s">
        <v>9408</v>
      </c>
      <c r="W5513" t="s">
        <v>423</v>
      </c>
    </row>
    <row r="5514" spans="1:23" hidden="1" x14ac:dyDescent="0.2">
      <c r="A5514">
        <v>2012</v>
      </c>
      <c r="B5514" t="s">
        <v>303</v>
      </c>
      <c r="C5514" s="733">
        <v>40931</v>
      </c>
      <c r="D55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14" t="s">
        <v>485</v>
      </c>
      <c r="F5514" t="s">
        <v>2099</v>
      </c>
      <c r="G5514" t="s">
        <v>2925</v>
      </c>
      <c r="H5514">
        <v>40728</v>
      </c>
      <c r="I5514" t="s">
        <v>423</v>
      </c>
      <c r="J5514" t="s">
        <v>2141</v>
      </c>
      <c r="K5514" t="s">
        <v>2102</v>
      </c>
      <c r="L5514" t="s">
        <v>2103</v>
      </c>
      <c r="M5514">
        <v>114</v>
      </c>
      <c r="N5514">
        <v>25.14</v>
      </c>
      <c r="O5514">
        <v>4039.5</v>
      </c>
      <c r="P5514">
        <v>0</v>
      </c>
      <c r="Q5514">
        <v>4039.5</v>
      </c>
      <c r="R5514">
        <v>646.32000000000005</v>
      </c>
      <c r="S5514">
        <v>161.58000000000001</v>
      </c>
      <c r="T5514">
        <v>4524.24</v>
      </c>
      <c r="U5514" t="s">
        <v>2106</v>
      </c>
      <c r="V5514" t="s">
        <v>9408</v>
      </c>
      <c r="W5514" t="s">
        <v>423</v>
      </c>
    </row>
    <row r="5515" spans="1:23" hidden="1" x14ac:dyDescent="0.2">
      <c r="A5515">
        <v>2012</v>
      </c>
      <c r="B5515" t="s">
        <v>303</v>
      </c>
      <c r="C5515" s="733">
        <v>40928</v>
      </c>
      <c r="D55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15" t="s">
        <v>485</v>
      </c>
      <c r="F5515" t="s">
        <v>2099</v>
      </c>
      <c r="G5515" t="s">
        <v>2924</v>
      </c>
      <c r="H5515">
        <v>40642</v>
      </c>
      <c r="I5515" t="s">
        <v>423</v>
      </c>
      <c r="J5515" t="s">
        <v>2141</v>
      </c>
      <c r="K5515" t="s">
        <v>2102</v>
      </c>
      <c r="L5515" t="s">
        <v>2103</v>
      </c>
      <c r="M5515">
        <v>114</v>
      </c>
      <c r="N5515">
        <v>25.63</v>
      </c>
      <c r="O5515">
        <v>4118.2299999999996</v>
      </c>
      <c r="P5515">
        <v>0</v>
      </c>
      <c r="Q5515">
        <v>4118.2299999999996</v>
      </c>
      <c r="R5515">
        <v>658.92</v>
      </c>
      <c r="S5515">
        <v>164.73</v>
      </c>
      <c r="T5515">
        <v>4612.42</v>
      </c>
      <c r="U5515" t="s">
        <v>2106</v>
      </c>
      <c r="V5515" t="s">
        <v>9408</v>
      </c>
      <c r="W5515" t="s">
        <v>423</v>
      </c>
    </row>
    <row r="5516" spans="1:23" hidden="1" x14ac:dyDescent="0.2">
      <c r="A5516">
        <v>2012</v>
      </c>
      <c r="B5516" t="s">
        <v>304</v>
      </c>
      <c r="C5516" s="733">
        <v>40967</v>
      </c>
      <c r="D55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16" t="s">
        <v>478</v>
      </c>
      <c r="F5516" t="s">
        <v>2136</v>
      </c>
      <c r="G5516" t="s">
        <v>8976</v>
      </c>
      <c r="H5516">
        <v>34913</v>
      </c>
      <c r="I5516" t="s">
        <v>423</v>
      </c>
      <c r="J5516" t="s">
        <v>4791</v>
      </c>
      <c r="K5516" t="s">
        <v>425</v>
      </c>
      <c r="L5516" t="s">
        <v>2145</v>
      </c>
      <c r="M5516">
        <v>139</v>
      </c>
      <c r="N5516">
        <v>46.89</v>
      </c>
      <c r="O5516">
        <v>7831.57</v>
      </c>
      <c r="P5516">
        <v>0</v>
      </c>
      <c r="Q5516">
        <v>7831.57</v>
      </c>
      <c r="R5516">
        <v>1253.05</v>
      </c>
      <c r="S5516">
        <v>313.26</v>
      </c>
      <c r="T5516">
        <v>8771.36</v>
      </c>
      <c r="U5516" t="s">
        <v>8889</v>
      </c>
      <c r="V5516" t="s">
        <v>9409</v>
      </c>
      <c r="W5516" t="s">
        <v>423</v>
      </c>
    </row>
    <row r="5517" spans="1:23" hidden="1" x14ac:dyDescent="0.2">
      <c r="A5517">
        <v>2012</v>
      </c>
      <c r="B5517" t="s">
        <v>303</v>
      </c>
      <c r="C5517" s="733">
        <v>40938</v>
      </c>
      <c r="D55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17" t="s">
        <v>478</v>
      </c>
      <c r="F5517" t="s">
        <v>2136</v>
      </c>
      <c r="G5517" t="s">
        <v>5870</v>
      </c>
      <c r="H5517">
        <v>34997</v>
      </c>
      <c r="I5517" t="s">
        <v>423</v>
      </c>
      <c r="J5517" t="s">
        <v>2144</v>
      </c>
      <c r="K5517" t="s">
        <v>425</v>
      </c>
      <c r="L5517" t="s">
        <v>2145</v>
      </c>
      <c r="M5517">
        <v>1354</v>
      </c>
      <c r="N5517">
        <v>52.39</v>
      </c>
      <c r="O5517">
        <v>47506.73</v>
      </c>
      <c r="P5517">
        <v>0</v>
      </c>
      <c r="Q5517">
        <v>47506.73</v>
      </c>
      <c r="R5517">
        <v>7601.08</v>
      </c>
      <c r="S5517">
        <v>1900.27</v>
      </c>
      <c r="T5517">
        <v>53207.54</v>
      </c>
      <c r="U5517" t="s">
        <v>2914</v>
      </c>
      <c r="V5517" t="s">
        <v>9409</v>
      </c>
      <c r="W5517" t="s">
        <v>423</v>
      </c>
    </row>
    <row r="5518" spans="1:23" hidden="1" x14ac:dyDescent="0.2">
      <c r="A5518">
        <v>2012</v>
      </c>
      <c r="B5518" t="s">
        <v>304</v>
      </c>
      <c r="C5518" s="733">
        <v>40967</v>
      </c>
      <c r="D55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18" t="s">
        <v>478</v>
      </c>
      <c r="F5518" t="s">
        <v>2136</v>
      </c>
      <c r="G5518" t="s">
        <v>8978</v>
      </c>
      <c r="H5518">
        <v>36164</v>
      </c>
      <c r="I5518" t="s">
        <v>423</v>
      </c>
      <c r="J5518" t="s">
        <v>2144</v>
      </c>
      <c r="K5518" t="s">
        <v>425</v>
      </c>
      <c r="L5518" t="s">
        <v>2145</v>
      </c>
      <c r="M5518">
        <v>1354</v>
      </c>
      <c r="N5518">
        <v>41.12</v>
      </c>
      <c r="O5518">
        <v>37287.199999999997</v>
      </c>
      <c r="P5518">
        <v>0</v>
      </c>
      <c r="Q5518">
        <v>37287.199999999997</v>
      </c>
      <c r="R5518">
        <v>5965.95</v>
      </c>
      <c r="S5518">
        <v>1491.49</v>
      </c>
      <c r="T5518">
        <v>41761.660000000003</v>
      </c>
      <c r="U5518" t="s">
        <v>9430</v>
      </c>
      <c r="V5518" t="s">
        <v>9409</v>
      </c>
      <c r="W5518" t="s">
        <v>423</v>
      </c>
    </row>
    <row r="5519" spans="1:23" hidden="1" x14ac:dyDescent="0.2">
      <c r="A5519">
        <v>2012</v>
      </c>
      <c r="B5519" t="s">
        <v>304</v>
      </c>
      <c r="C5519" s="733">
        <v>40967.405624999999</v>
      </c>
      <c r="D55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19" t="s">
        <v>478</v>
      </c>
      <c r="F5519" t="s">
        <v>2136</v>
      </c>
      <c r="G5519" t="s">
        <v>8977</v>
      </c>
      <c r="H5519">
        <v>36131</v>
      </c>
      <c r="I5519" t="s">
        <v>423</v>
      </c>
      <c r="J5519" t="s">
        <v>2629</v>
      </c>
      <c r="K5519" t="s">
        <v>2625</v>
      </c>
      <c r="L5519" t="s">
        <v>2626</v>
      </c>
      <c r="M5519">
        <v>33</v>
      </c>
      <c r="N5519">
        <v>26.38</v>
      </c>
      <c r="O5519">
        <v>3076.96</v>
      </c>
      <c r="P5519">
        <v>0</v>
      </c>
      <c r="Q5519">
        <v>3076.96</v>
      </c>
      <c r="R5519">
        <v>492.31</v>
      </c>
      <c r="S5519">
        <v>123.08</v>
      </c>
      <c r="T5519">
        <v>3446.19</v>
      </c>
      <c r="U5519" t="s">
        <v>9428</v>
      </c>
      <c r="V5519" t="s">
        <v>9408</v>
      </c>
      <c r="W5519" t="s">
        <v>423</v>
      </c>
    </row>
    <row r="5520" spans="1:23" hidden="1" x14ac:dyDescent="0.2">
      <c r="A5520">
        <v>2012</v>
      </c>
      <c r="B5520" t="s">
        <v>303</v>
      </c>
      <c r="C5520" s="733">
        <v>40910</v>
      </c>
      <c r="D55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20" t="s">
        <v>485</v>
      </c>
      <c r="F5520" t="s">
        <v>2065</v>
      </c>
      <c r="G5520" t="s">
        <v>4309</v>
      </c>
      <c r="H5520">
        <v>39478</v>
      </c>
      <c r="I5520" t="s">
        <v>423</v>
      </c>
      <c r="J5520" t="s">
        <v>2186</v>
      </c>
      <c r="K5520" t="s">
        <v>2183</v>
      </c>
      <c r="L5520" t="s">
        <v>2184</v>
      </c>
      <c r="M5520">
        <v>19</v>
      </c>
      <c r="N5520">
        <v>16.579999999999998</v>
      </c>
      <c r="O5520">
        <v>1034.0899999999999</v>
      </c>
      <c r="P5520">
        <v>1164.2715900000001</v>
      </c>
      <c r="Q5520">
        <v>2198.36159</v>
      </c>
      <c r="R5520">
        <v>351.73785400000003</v>
      </c>
      <c r="S5520">
        <v>87.934464000000006</v>
      </c>
      <c r="T5520">
        <v>2462.16498</v>
      </c>
      <c r="U5520" t="s">
        <v>3038</v>
      </c>
      <c r="V5520" t="s">
        <v>9408</v>
      </c>
      <c r="W5520" t="s">
        <v>423</v>
      </c>
    </row>
    <row r="5521" spans="1:23" hidden="1" x14ac:dyDescent="0.2">
      <c r="A5521">
        <v>2012</v>
      </c>
      <c r="B5521" t="s">
        <v>303</v>
      </c>
      <c r="C5521" s="733">
        <v>40927</v>
      </c>
      <c r="D55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21" t="s">
        <v>485</v>
      </c>
      <c r="F5521" t="s">
        <v>2065</v>
      </c>
      <c r="G5521" t="s">
        <v>4446</v>
      </c>
      <c r="H5521">
        <v>40562</v>
      </c>
      <c r="I5521" t="s">
        <v>423</v>
      </c>
      <c r="J5521" t="s">
        <v>2186</v>
      </c>
      <c r="K5521" t="s">
        <v>2183</v>
      </c>
      <c r="L5521" t="s">
        <v>2184</v>
      </c>
      <c r="M5521">
        <v>19</v>
      </c>
      <c r="N5521">
        <v>15.63</v>
      </c>
      <c r="O5521">
        <v>1764.16</v>
      </c>
      <c r="P5521">
        <v>0</v>
      </c>
      <c r="Q5521">
        <v>1764.16</v>
      </c>
      <c r="R5521">
        <v>282.27</v>
      </c>
      <c r="S5521">
        <v>70.569999999999993</v>
      </c>
      <c r="T5521">
        <v>1975.86</v>
      </c>
      <c r="U5521" t="s">
        <v>7554</v>
      </c>
      <c r="V5521" t="s">
        <v>9408</v>
      </c>
      <c r="W5521" t="s">
        <v>423</v>
      </c>
    </row>
    <row r="5522" spans="1:23" hidden="1" x14ac:dyDescent="0.2">
      <c r="A5522">
        <v>2012</v>
      </c>
      <c r="B5522" t="s">
        <v>303</v>
      </c>
      <c r="C5522" s="733">
        <v>40925.992013888892</v>
      </c>
      <c r="D55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22" t="s">
        <v>478</v>
      </c>
      <c r="F5522" t="s">
        <v>2622</v>
      </c>
      <c r="G5522" t="s">
        <v>5446</v>
      </c>
      <c r="H5522">
        <v>34658</v>
      </c>
      <c r="I5522" t="s">
        <v>423</v>
      </c>
      <c r="J5522" t="s">
        <v>2629</v>
      </c>
      <c r="K5522" t="s">
        <v>2625</v>
      </c>
      <c r="L5522" t="s">
        <v>2626</v>
      </c>
      <c r="M5522">
        <v>33</v>
      </c>
      <c r="N5522">
        <v>24.71</v>
      </c>
      <c r="O5522">
        <v>2882.17</v>
      </c>
      <c r="P5522">
        <v>0</v>
      </c>
      <c r="Q5522">
        <v>2882.17</v>
      </c>
      <c r="R5522">
        <v>461.15</v>
      </c>
      <c r="S5522">
        <v>115.29</v>
      </c>
      <c r="T5522">
        <v>3228.03</v>
      </c>
      <c r="U5522" t="s">
        <v>2627</v>
      </c>
      <c r="V5522" t="s">
        <v>9408</v>
      </c>
      <c r="W5522" t="s">
        <v>423</v>
      </c>
    </row>
    <row r="5523" spans="1:23" hidden="1" x14ac:dyDescent="0.2">
      <c r="A5523">
        <v>2012</v>
      </c>
      <c r="B5523" t="s">
        <v>304</v>
      </c>
      <c r="C5523" s="733">
        <v>40946</v>
      </c>
      <c r="D55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23" t="s">
        <v>478</v>
      </c>
      <c r="F5523" t="s">
        <v>2622</v>
      </c>
      <c r="G5523" t="s">
        <v>5448</v>
      </c>
      <c r="H5523">
        <v>35340</v>
      </c>
      <c r="I5523" t="s">
        <v>423</v>
      </c>
      <c r="J5523" t="s">
        <v>2629</v>
      </c>
      <c r="K5523" t="s">
        <v>2625</v>
      </c>
      <c r="L5523" t="s">
        <v>2626</v>
      </c>
      <c r="M5523">
        <v>33</v>
      </c>
      <c r="N5523">
        <v>35.83</v>
      </c>
      <c r="O5523">
        <v>4179.21</v>
      </c>
      <c r="P5523">
        <v>0</v>
      </c>
      <c r="Q5523">
        <v>4179.21</v>
      </c>
      <c r="R5523">
        <v>668.67</v>
      </c>
      <c r="S5523">
        <v>167.17</v>
      </c>
      <c r="T5523">
        <v>4680.71</v>
      </c>
      <c r="U5523" t="s">
        <v>2652</v>
      </c>
      <c r="V5523" t="s">
        <v>9408</v>
      </c>
      <c r="W5523" t="s">
        <v>423</v>
      </c>
    </row>
    <row r="5524" spans="1:23" hidden="1" x14ac:dyDescent="0.2">
      <c r="A5524">
        <v>2012</v>
      </c>
      <c r="B5524" t="s">
        <v>304</v>
      </c>
      <c r="C5524" s="733">
        <v>40948</v>
      </c>
      <c r="D55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24" t="s">
        <v>485</v>
      </c>
      <c r="F5524" t="s">
        <v>2065</v>
      </c>
      <c r="G5524" t="s">
        <v>5468</v>
      </c>
      <c r="H5524">
        <v>41582</v>
      </c>
      <c r="I5524" t="s">
        <v>423</v>
      </c>
      <c r="J5524" t="s">
        <v>2189</v>
      </c>
      <c r="K5524" t="s">
        <v>2183</v>
      </c>
      <c r="L5524" t="s">
        <v>2184</v>
      </c>
      <c r="M5524">
        <v>720</v>
      </c>
      <c r="N5524">
        <v>22.93</v>
      </c>
      <c r="O5524">
        <v>10178.4</v>
      </c>
      <c r="P5524">
        <v>0</v>
      </c>
      <c r="Q5524">
        <v>10178.4</v>
      </c>
      <c r="R5524">
        <v>1628.54</v>
      </c>
      <c r="S5524">
        <v>407.14</v>
      </c>
      <c r="T5524">
        <v>11399.8</v>
      </c>
      <c r="U5524" t="s">
        <v>2192</v>
      </c>
      <c r="V5524" t="s">
        <v>9408</v>
      </c>
      <c r="W5524" t="s">
        <v>423</v>
      </c>
    </row>
    <row r="5525" spans="1:23" hidden="1" x14ac:dyDescent="0.2">
      <c r="A5525">
        <v>2012</v>
      </c>
      <c r="B5525" t="s">
        <v>303</v>
      </c>
      <c r="C5525" s="733">
        <v>40918</v>
      </c>
      <c r="D55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25" t="s">
        <v>478</v>
      </c>
      <c r="F5525" t="s">
        <v>2136</v>
      </c>
      <c r="G5525" t="s">
        <v>6176</v>
      </c>
      <c r="H5525">
        <v>34071</v>
      </c>
      <c r="I5525" t="s">
        <v>423</v>
      </c>
      <c r="J5525" t="s">
        <v>4282</v>
      </c>
      <c r="K5525" t="s">
        <v>425</v>
      </c>
      <c r="L5525" t="s">
        <v>2145</v>
      </c>
      <c r="M5525">
        <v>1405</v>
      </c>
      <c r="N5525">
        <v>53.15</v>
      </c>
      <c r="O5525">
        <v>13526.68</v>
      </c>
      <c r="P5525">
        <v>29610.984654</v>
      </c>
      <c r="Q5525">
        <v>43137.664654</v>
      </c>
      <c r="R5525">
        <v>6902.0263450000002</v>
      </c>
      <c r="S5525">
        <v>1725.506586</v>
      </c>
      <c r="T5525">
        <v>48314.184413000003</v>
      </c>
      <c r="U5525" t="s">
        <v>4628</v>
      </c>
      <c r="V5525" t="s">
        <v>9409</v>
      </c>
      <c r="W5525" t="s">
        <v>423</v>
      </c>
    </row>
    <row r="5526" spans="1:23" hidden="1" x14ac:dyDescent="0.2">
      <c r="A5526">
        <v>2012</v>
      </c>
      <c r="B5526" t="s">
        <v>303</v>
      </c>
      <c r="C5526" s="733">
        <v>40926</v>
      </c>
      <c r="D55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26" t="s">
        <v>478</v>
      </c>
      <c r="F5526" t="s">
        <v>2136</v>
      </c>
      <c r="G5526" t="s">
        <v>6183</v>
      </c>
      <c r="H5526">
        <v>34590</v>
      </c>
      <c r="I5526" t="s">
        <v>423</v>
      </c>
      <c r="J5526" t="s">
        <v>4791</v>
      </c>
      <c r="K5526" t="s">
        <v>425</v>
      </c>
      <c r="L5526" t="s">
        <v>2145</v>
      </c>
      <c r="M5526">
        <v>139</v>
      </c>
      <c r="N5526">
        <v>22.82</v>
      </c>
      <c r="O5526">
        <v>3811.4</v>
      </c>
      <c r="P5526">
        <v>0</v>
      </c>
      <c r="Q5526">
        <v>3811.4</v>
      </c>
      <c r="R5526">
        <v>609.82000000000005</v>
      </c>
      <c r="S5526">
        <v>152.46</v>
      </c>
      <c r="T5526">
        <v>4268.76</v>
      </c>
      <c r="U5526" t="s">
        <v>2146</v>
      </c>
      <c r="V5526" t="s">
        <v>9408</v>
      </c>
      <c r="W5526" t="s">
        <v>423</v>
      </c>
    </row>
    <row r="5527" spans="1:23" hidden="1" x14ac:dyDescent="0.2">
      <c r="A5527">
        <v>2012</v>
      </c>
      <c r="B5527" t="s">
        <v>303</v>
      </c>
      <c r="C5527" s="733">
        <v>40931</v>
      </c>
      <c r="D55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27" t="s">
        <v>478</v>
      </c>
      <c r="F5527" t="s">
        <v>2136</v>
      </c>
      <c r="G5527" t="s">
        <v>6478</v>
      </c>
      <c r="H5527">
        <v>34415</v>
      </c>
      <c r="I5527" t="s">
        <v>423</v>
      </c>
      <c r="J5527" t="s">
        <v>4791</v>
      </c>
      <c r="K5527" t="s">
        <v>425</v>
      </c>
      <c r="L5527" t="s">
        <v>2145</v>
      </c>
      <c r="M5527">
        <v>139</v>
      </c>
      <c r="N5527">
        <v>25.46</v>
      </c>
      <c r="O5527">
        <v>4252.33</v>
      </c>
      <c r="P5527">
        <v>0</v>
      </c>
      <c r="Q5527">
        <v>4252.33</v>
      </c>
      <c r="R5527">
        <v>680.37</v>
      </c>
      <c r="S5527">
        <v>170.09</v>
      </c>
      <c r="T5527">
        <v>4762.6099999999997</v>
      </c>
      <c r="U5527" t="s">
        <v>2355</v>
      </c>
      <c r="V5527" t="s">
        <v>9409</v>
      </c>
      <c r="W5527" t="s">
        <v>423</v>
      </c>
    </row>
    <row r="5528" spans="1:23" hidden="1" x14ac:dyDescent="0.2">
      <c r="A5528">
        <v>2012</v>
      </c>
      <c r="B5528" t="s">
        <v>304</v>
      </c>
      <c r="C5528" s="733">
        <v>40955.412743055553</v>
      </c>
      <c r="D55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28" t="s">
        <v>478</v>
      </c>
      <c r="F5528" t="s">
        <v>3358</v>
      </c>
      <c r="G5528" t="s">
        <v>7539</v>
      </c>
      <c r="H5528">
        <v>35709</v>
      </c>
      <c r="I5528" t="s">
        <v>423</v>
      </c>
      <c r="J5528" t="s">
        <v>4509</v>
      </c>
      <c r="K5528" t="s">
        <v>4397</v>
      </c>
      <c r="L5528" t="s">
        <v>4398</v>
      </c>
      <c r="M5528">
        <v>183</v>
      </c>
      <c r="N5528">
        <v>26.63</v>
      </c>
      <c r="O5528">
        <v>4599.53</v>
      </c>
      <c r="P5528">
        <v>0</v>
      </c>
      <c r="Q5528">
        <v>4599.53</v>
      </c>
      <c r="R5528">
        <v>735.93</v>
      </c>
      <c r="S5528">
        <v>183.98</v>
      </c>
      <c r="T5528">
        <v>5151.4799999999996</v>
      </c>
      <c r="U5528" t="s">
        <v>7540</v>
      </c>
      <c r="V5528" t="s">
        <v>9408</v>
      </c>
      <c r="W5528" t="s">
        <v>423</v>
      </c>
    </row>
    <row r="5529" spans="1:23" hidden="1" x14ac:dyDescent="0.2">
      <c r="A5529">
        <v>2012</v>
      </c>
      <c r="B5529" t="s">
        <v>303</v>
      </c>
      <c r="C5529" s="733">
        <v>40931</v>
      </c>
      <c r="D55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29" t="s">
        <v>505</v>
      </c>
      <c r="F5529" t="s">
        <v>1915</v>
      </c>
      <c r="G5529" t="s">
        <v>5594</v>
      </c>
      <c r="H5529">
        <v>22156</v>
      </c>
      <c r="I5529" t="s">
        <v>423</v>
      </c>
      <c r="J5529" t="s">
        <v>5253</v>
      </c>
      <c r="K5529" t="s">
        <v>1918</v>
      </c>
      <c r="L5529" t="s">
        <v>1919</v>
      </c>
      <c r="M5529">
        <v>88</v>
      </c>
      <c r="N5529">
        <v>27.09</v>
      </c>
      <c r="O5529">
        <v>3774.18</v>
      </c>
      <c r="P5529">
        <v>0</v>
      </c>
      <c r="Q5529">
        <v>3774.18</v>
      </c>
      <c r="R5529">
        <v>603.87</v>
      </c>
      <c r="S5529">
        <v>150.97</v>
      </c>
      <c r="T5529">
        <v>4227.08</v>
      </c>
      <c r="U5529" t="s">
        <v>1936</v>
      </c>
      <c r="V5529" t="s">
        <v>9408</v>
      </c>
      <c r="W5529" t="s">
        <v>423</v>
      </c>
    </row>
    <row r="5530" spans="1:23" hidden="1" x14ac:dyDescent="0.2">
      <c r="A5530">
        <v>2012</v>
      </c>
      <c r="B5530" t="s">
        <v>303</v>
      </c>
      <c r="C5530" s="733">
        <v>40919</v>
      </c>
      <c r="D55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30" t="s">
        <v>485</v>
      </c>
      <c r="F5530" t="s">
        <v>2048</v>
      </c>
      <c r="G5530" t="s">
        <v>4964</v>
      </c>
      <c r="H5530">
        <v>40143</v>
      </c>
      <c r="I5530" t="s">
        <v>423</v>
      </c>
      <c r="J5530" t="s">
        <v>4086</v>
      </c>
      <c r="K5530" t="s">
        <v>2051</v>
      </c>
      <c r="L5530" t="s">
        <v>2052</v>
      </c>
      <c r="M5530">
        <v>341</v>
      </c>
      <c r="N5530">
        <v>24.65</v>
      </c>
      <c r="O5530">
        <v>6028.16</v>
      </c>
      <c r="P5530">
        <v>0</v>
      </c>
      <c r="Q5530">
        <v>6028.16</v>
      </c>
      <c r="R5530">
        <v>964.51</v>
      </c>
      <c r="S5530">
        <v>241.13</v>
      </c>
      <c r="T5530">
        <v>6751.54</v>
      </c>
      <c r="U5530" t="s">
        <v>2062</v>
      </c>
      <c r="V5530" t="s">
        <v>9408</v>
      </c>
      <c r="W5530" t="s">
        <v>423</v>
      </c>
    </row>
    <row r="5531" spans="1:23" hidden="1" x14ac:dyDescent="0.2">
      <c r="A5531">
        <v>2012</v>
      </c>
      <c r="B5531" t="s">
        <v>304</v>
      </c>
      <c r="C5531" s="733">
        <v>40963</v>
      </c>
      <c r="D55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31" t="s">
        <v>505</v>
      </c>
      <c r="F5531" t="s">
        <v>1915</v>
      </c>
      <c r="G5531" t="s">
        <v>8674</v>
      </c>
      <c r="H5531">
        <v>22986</v>
      </c>
      <c r="I5531" t="s">
        <v>423</v>
      </c>
      <c r="J5531" t="s">
        <v>4158</v>
      </c>
      <c r="K5531" t="s">
        <v>1918</v>
      </c>
      <c r="L5531" t="s">
        <v>1919</v>
      </c>
      <c r="M5531">
        <v>274</v>
      </c>
      <c r="N5531">
        <v>28.2</v>
      </c>
      <c r="O5531">
        <v>7786.02</v>
      </c>
      <c r="P5531">
        <v>0</v>
      </c>
      <c r="Q5531">
        <v>7786.02</v>
      </c>
      <c r="R5531">
        <v>1245.76</v>
      </c>
      <c r="S5531">
        <v>311.44</v>
      </c>
      <c r="T5531">
        <v>8720.34</v>
      </c>
      <c r="U5531" t="s">
        <v>8778</v>
      </c>
      <c r="V5531" t="s">
        <v>9408</v>
      </c>
      <c r="W5531" t="s">
        <v>423</v>
      </c>
    </row>
    <row r="5532" spans="1:23" hidden="1" x14ac:dyDescent="0.2">
      <c r="A5532">
        <v>2012</v>
      </c>
      <c r="B5532" t="s">
        <v>303</v>
      </c>
      <c r="C5532" s="733">
        <v>40938</v>
      </c>
      <c r="D55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32" t="s">
        <v>505</v>
      </c>
      <c r="F5532" t="s">
        <v>1915</v>
      </c>
      <c r="G5532" t="s">
        <v>5591</v>
      </c>
      <c r="H5532">
        <v>22340</v>
      </c>
      <c r="I5532" t="s">
        <v>423</v>
      </c>
      <c r="J5532" t="s">
        <v>4158</v>
      </c>
      <c r="K5532" t="s">
        <v>1918</v>
      </c>
      <c r="L5532" t="s">
        <v>1919</v>
      </c>
      <c r="M5532">
        <v>274</v>
      </c>
      <c r="N5532">
        <v>27.14</v>
      </c>
      <c r="O5532">
        <v>7493.35</v>
      </c>
      <c r="P5532">
        <v>0</v>
      </c>
      <c r="Q5532">
        <v>7493.35</v>
      </c>
      <c r="R5532">
        <v>1198.94</v>
      </c>
      <c r="S5532">
        <v>299.73</v>
      </c>
      <c r="T5532">
        <v>8392.56</v>
      </c>
      <c r="U5532" t="s">
        <v>1936</v>
      </c>
      <c r="V5532" t="s">
        <v>9408</v>
      </c>
      <c r="W5532" t="s">
        <v>423</v>
      </c>
    </row>
    <row r="5533" spans="1:23" hidden="1" x14ac:dyDescent="0.2">
      <c r="A5533">
        <v>2012</v>
      </c>
      <c r="B5533" t="s">
        <v>303</v>
      </c>
      <c r="C5533" s="733">
        <v>40924</v>
      </c>
      <c r="D55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33" t="s">
        <v>505</v>
      </c>
      <c r="F5533" t="s">
        <v>1915</v>
      </c>
      <c r="G5533" t="s">
        <v>5592</v>
      </c>
      <c r="H5533">
        <v>21981</v>
      </c>
      <c r="I5533" t="s">
        <v>423</v>
      </c>
      <c r="J5533" t="s">
        <v>4163</v>
      </c>
      <c r="K5533" t="s">
        <v>1918</v>
      </c>
      <c r="L5533" t="s">
        <v>1919</v>
      </c>
      <c r="M5533">
        <v>250</v>
      </c>
      <c r="N5533">
        <v>26.74</v>
      </c>
      <c r="O5533">
        <v>6012.22</v>
      </c>
      <c r="P5533">
        <v>0</v>
      </c>
      <c r="Q5533">
        <v>6012.22</v>
      </c>
      <c r="R5533">
        <v>961.96</v>
      </c>
      <c r="S5533">
        <v>240.49</v>
      </c>
      <c r="T5533">
        <v>6733.69</v>
      </c>
      <c r="U5533" t="s">
        <v>1931</v>
      </c>
      <c r="V5533" t="s">
        <v>9408</v>
      </c>
      <c r="W5533" t="s">
        <v>423</v>
      </c>
    </row>
    <row r="5534" spans="1:23" hidden="1" x14ac:dyDescent="0.2">
      <c r="A5534">
        <v>2012</v>
      </c>
      <c r="B5534" t="s">
        <v>304</v>
      </c>
      <c r="C5534" s="733">
        <v>40947</v>
      </c>
      <c r="D55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34" t="s">
        <v>478</v>
      </c>
      <c r="F5534" t="s">
        <v>2622</v>
      </c>
      <c r="G5534" t="s">
        <v>5195</v>
      </c>
      <c r="H5534">
        <v>35342</v>
      </c>
      <c r="I5534" t="s">
        <v>423</v>
      </c>
      <c r="J5534" t="s">
        <v>4276</v>
      </c>
      <c r="K5534" t="s">
        <v>425</v>
      </c>
      <c r="L5534" t="s">
        <v>2145</v>
      </c>
      <c r="M5534">
        <v>60</v>
      </c>
      <c r="N5534">
        <v>30.24</v>
      </c>
      <c r="O5534">
        <v>4059.72</v>
      </c>
      <c r="P5534">
        <v>0</v>
      </c>
      <c r="Q5534">
        <v>4059.72</v>
      </c>
      <c r="R5534">
        <v>649.55999999999995</v>
      </c>
      <c r="S5534">
        <v>162.38999999999999</v>
      </c>
      <c r="T5534">
        <v>4546.8900000000003</v>
      </c>
      <c r="U5534" t="s">
        <v>3115</v>
      </c>
      <c r="V5534" t="s">
        <v>9408</v>
      </c>
      <c r="W5534" t="s">
        <v>423</v>
      </c>
    </row>
    <row r="5535" spans="1:23" hidden="1" x14ac:dyDescent="0.2">
      <c r="A5535">
        <v>2012</v>
      </c>
      <c r="B5535" t="s">
        <v>303</v>
      </c>
      <c r="C5535" s="733">
        <v>40915</v>
      </c>
      <c r="D55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35" t="s">
        <v>478</v>
      </c>
      <c r="F5535" t="s">
        <v>2136</v>
      </c>
      <c r="G5535" t="s">
        <v>5196</v>
      </c>
      <c r="H5535">
        <v>34258</v>
      </c>
      <c r="I5535" t="s">
        <v>423</v>
      </c>
      <c r="J5535" t="s">
        <v>4276</v>
      </c>
      <c r="K5535" t="s">
        <v>425</v>
      </c>
      <c r="L5535" t="s">
        <v>2145</v>
      </c>
      <c r="M5535">
        <v>60</v>
      </c>
      <c r="N5535">
        <v>49.03</v>
      </c>
      <c r="O5535">
        <v>6582.28</v>
      </c>
      <c r="P5535">
        <v>0</v>
      </c>
      <c r="Q5535">
        <v>6582.28</v>
      </c>
      <c r="R5535">
        <v>1053.1600000000001</v>
      </c>
      <c r="S5535">
        <v>263.29000000000002</v>
      </c>
      <c r="T5535">
        <v>7372.15</v>
      </c>
      <c r="U5535" t="s">
        <v>2350</v>
      </c>
      <c r="V5535" t="s">
        <v>9409</v>
      </c>
      <c r="W5535" t="s">
        <v>423</v>
      </c>
    </row>
    <row r="5536" spans="1:23" hidden="1" x14ac:dyDescent="0.2">
      <c r="A5536">
        <v>2012</v>
      </c>
      <c r="B5536" t="s">
        <v>304</v>
      </c>
      <c r="C5536" s="733">
        <v>40947.403784722221</v>
      </c>
      <c r="D55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36" t="s">
        <v>478</v>
      </c>
      <c r="F5536" t="s">
        <v>2136</v>
      </c>
      <c r="G5536" t="s">
        <v>5194</v>
      </c>
      <c r="H5536">
        <v>35413</v>
      </c>
      <c r="I5536" t="s">
        <v>423</v>
      </c>
      <c r="J5536" t="s">
        <v>4276</v>
      </c>
      <c r="K5536" t="s">
        <v>425</v>
      </c>
      <c r="L5536" t="s">
        <v>2145</v>
      </c>
      <c r="M5536">
        <v>60</v>
      </c>
      <c r="N5536">
        <v>32.96</v>
      </c>
      <c r="O5536">
        <v>4424.88</v>
      </c>
      <c r="P5536">
        <v>0</v>
      </c>
      <c r="Q5536">
        <v>4424.88</v>
      </c>
      <c r="R5536">
        <v>707.98</v>
      </c>
      <c r="S5536">
        <v>177</v>
      </c>
      <c r="T5536">
        <v>4955.8599999999997</v>
      </c>
      <c r="U5536" t="s">
        <v>2938</v>
      </c>
      <c r="V5536" t="s">
        <v>9408</v>
      </c>
      <c r="W5536" t="s">
        <v>423</v>
      </c>
    </row>
    <row r="5537" spans="1:23" hidden="1" x14ac:dyDescent="0.2">
      <c r="A5537">
        <v>2012</v>
      </c>
      <c r="B5537" t="s">
        <v>304</v>
      </c>
      <c r="C5537" s="733">
        <v>40948</v>
      </c>
      <c r="D55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37" t="s">
        <v>485</v>
      </c>
      <c r="F5537" t="s">
        <v>2065</v>
      </c>
      <c r="G5537" t="s">
        <v>4941</v>
      </c>
      <c r="H5537">
        <v>41596</v>
      </c>
      <c r="I5537" t="s">
        <v>423</v>
      </c>
      <c r="J5537" t="s">
        <v>3965</v>
      </c>
      <c r="K5537" t="s">
        <v>2183</v>
      </c>
      <c r="L5537" t="s">
        <v>2184</v>
      </c>
      <c r="M5537">
        <v>696</v>
      </c>
      <c r="N5537">
        <v>25.89</v>
      </c>
      <c r="O5537">
        <v>10492.96</v>
      </c>
      <c r="P5537">
        <v>0</v>
      </c>
      <c r="Q5537">
        <v>10492.96</v>
      </c>
      <c r="R5537">
        <v>1678.87</v>
      </c>
      <c r="S5537">
        <v>419.72</v>
      </c>
      <c r="T5537">
        <v>11752.11</v>
      </c>
      <c r="U5537" t="s">
        <v>2192</v>
      </c>
      <c r="V5537" t="s">
        <v>9408</v>
      </c>
      <c r="W5537" t="s">
        <v>423</v>
      </c>
    </row>
    <row r="5538" spans="1:23" x14ac:dyDescent="0.2">
      <c r="A5538">
        <v>2012</v>
      </c>
      <c r="B5538" t="s">
        <v>304</v>
      </c>
      <c r="C5538" s="733">
        <v>40967</v>
      </c>
      <c r="D55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38" t="s">
        <v>485</v>
      </c>
      <c r="F5538" t="s">
        <v>2065</v>
      </c>
      <c r="G5538" t="s">
        <v>9235</v>
      </c>
      <c r="H5538">
        <v>42654</v>
      </c>
      <c r="I5538" t="s">
        <v>423</v>
      </c>
      <c r="J5538" t="s">
        <v>3965</v>
      </c>
      <c r="K5538" t="s">
        <v>2183</v>
      </c>
      <c r="L5538" t="s">
        <v>2184</v>
      </c>
      <c r="M5538">
        <v>696</v>
      </c>
      <c r="N5538">
        <v>26.14</v>
      </c>
      <c r="O5538">
        <v>10594.28</v>
      </c>
      <c r="P5538">
        <v>0</v>
      </c>
      <c r="Q5538">
        <v>10594.28</v>
      </c>
      <c r="R5538">
        <v>1695.08</v>
      </c>
      <c r="S5538">
        <v>423.77</v>
      </c>
      <c r="T5538">
        <v>11865.59</v>
      </c>
      <c r="V5538" t="s">
        <v>9408</v>
      </c>
      <c r="W5538" t="s">
        <v>423</v>
      </c>
    </row>
    <row r="5539" spans="1:23" hidden="1" x14ac:dyDescent="0.2">
      <c r="A5539">
        <v>2012</v>
      </c>
      <c r="B5539" t="s">
        <v>303</v>
      </c>
      <c r="C5539" s="733">
        <v>40924</v>
      </c>
      <c r="D55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39" t="s">
        <v>485</v>
      </c>
      <c r="F5539" t="s">
        <v>2065</v>
      </c>
      <c r="G5539" t="s">
        <v>4962</v>
      </c>
      <c r="H5539">
        <v>40393</v>
      </c>
      <c r="I5539" t="s">
        <v>423</v>
      </c>
      <c r="J5539" t="s">
        <v>4086</v>
      </c>
      <c r="K5539" t="s">
        <v>2051</v>
      </c>
      <c r="L5539" t="s">
        <v>2052</v>
      </c>
      <c r="M5539">
        <v>341</v>
      </c>
      <c r="N5539">
        <v>50.45</v>
      </c>
      <c r="O5539">
        <v>12337.55</v>
      </c>
      <c r="P5539">
        <v>0</v>
      </c>
      <c r="Q5539">
        <v>12337.55</v>
      </c>
      <c r="R5539">
        <v>1974.01</v>
      </c>
      <c r="S5539">
        <v>493.5</v>
      </c>
      <c r="T5539">
        <v>13818.06</v>
      </c>
      <c r="U5539" t="s">
        <v>2062</v>
      </c>
      <c r="V5539" t="s">
        <v>9409</v>
      </c>
      <c r="W5539" t="s">
        <v>423</v>
      </c>
    </row>
    <row r="5540" spans="1:23" hidden="1" x14ac:dyDescent="0.2">
      <c r="A5540">
        <v>2012</v>
      </c>
      <c r="B5540" t="s">
        <v>305</v>
      </c>
      <c r="C5540" s="733">
        <v>40970</v>
      </c>
      <c r="D5540" s="733" t="str">
        <f>CHOOSE(MONTH(Tabla_sqldatos_bonampakdb_Bon_v_ingresos2012[[#This Row],[fecha_guia]]),"Enero","Febrero","Marzo","Abril","Mayo","Junio","Julio","Agosto","Septiembre","Octubre","Noviembre","Diciembre")</f>
        <v>Marzo</v>
      </c>
      <c r="E5540" t="s">
        <v>505</v>
      </c>
      <c r="F5540" t="s">
        <v>1915</v>
      </c>
      <c r="G5540" t="s">
        <v>9604</v>
      </c>
      <c r="H5540">
        <v>23153</v>
      </c>
      <c r="I5540" t="s">
        <v>423</v>
      </c>
      <c r="J5540" t="s">
        <v>4163</v>
      </c>
      <c r="K5540" t="s">
        <v>1918</v>
      </c>
      <c r="L5540" t="s">
        <v>1919</v>
      </c>
      <c r="M5540">
        <v>250</v>
      </c>
      <c r="N5540">
        <v>24.93</v>
      </c>
      <c r="O5540">
        <v>5605.26</v>
      </c>
      <c r="P5540">
        <v>0</v>
      </c>
      <c r="Q5540">
        <v>5605.26</v>
      </c>
      <c r="R5540">
        <v>896.84</v>
      </c>
      <c r="S5540">
        <v>224.21</v>
      </c>
      <c r="T5540">
        <v>6277.89</v>
      </c>
      <c r="V5540" t="s">
        <v>9408</v>
      </c>
      <c r="W5540" t="s">
        <v>423</v>
      </c>
    </row>
    <row r="5541" spans="1:23" hidden="1" x14ac:dyDescent="0.2">
      <c r="A5541">
        <v>2012</v>
      </c>
      <c r="B5541" t="s">
        <v>305</v>
      </c>
      <c r="C5541" s="733">
        <v>40970</v>
      </c>
      <c r="D5541" s="733" t="str">
        <f>CHOOSE(MONTH(Tabla_sqldatos_bonampakdb_Bon_v_ingresos2012[[#This Row],[fecha_guia]]),"Enero","Febrero","Marzo","Abril","Mayo","Junio","Julio","Agosto","Septiembre","Octubre","Noviembre","Diciembre")</f>
        <v>Marzo</v>
      </c>
      <c r="E5541" t="s">
        <v>485</v>
      </c>
      <c r="F5541" t="s">
        <v>2065</v>
      </c>
      <c r="G5541" t="s">
        <v>9606</v>
      </c>
      <c r="H5541">
        <v>42898</v>
      </c>
      <c r="I5541" t="s">
        <v>423</v>
      </c>
      <c r="J5541" t="s">
        <v>3965</v>
      </c>
      <c r="K5541" t="s">
        <v>2183</v>
      </c>
      <c r="L5541" t="s">
        <v>2184</v>
      </c>
      <c r="M5541">
        <v>696</v>
      </c>
      <c r="N5541">
        <v>26.1</v>
      </c>
      <c r="O5541">
        <v>10578.07</v>
      </c>
      <c r="P5541">
        <v>0</v>
      </c>
      <c r="Q5541">
        <v>10578.07</v>
      </c>
      <c r="R5541">
        <v>1692.49</v>
      </c>
      <c r="S5541">
        <v>423.12</v>
      </c>
      <c r="T5541">
        <v>11847.44</v>
      </c>
      <c r="V5541" t="s">
        <v>9408</v>
      </c>
      <c r="W5541" t="s">
        <v>423</v>
      </c>
    </row>
    <row r="5542" spans="1:23" hidden="1" x14ac:dyDescent="0.2">
      <c r="A5542">
        <v>2012</v>
      </c>
      <c r="B5542" t="s">
        <v>305</v>
      </c>
      <c r="C5542" s="733">
        <v>40969</v>
      </c>
      <c r="D5542" s="733" t="str">
        <f>CHOOSE(MONTH(Tabla_sqldatos_bonampakdb_Bon_v_ingresos2012[[#This Row],[fecha_guia]]),"Enero","Febrero","Marzo","Abril","Mayo","Junio","Julio","Agosto","Septiembre","Octubre","Noviembre","Diciembre")</f>
        <v>Marzo</v>
      </c>
      <c r="E5542" t="s">
        <v>485</v>
      </c>
      <c r="F5542" t="s">
        <v>2065</v>
      </c>
      <c r="G5542" t="s">
        <v>9605</v>
      </c>
      <c r="H5542">
        <v>42816</v>
      </c>
      <c r="I5542" t="s">
        <v>423</v>
      </c>
      <c r="J5542" t="s">
        <v>3965</v>
      </c>
      <c r="K5542" t="s">
        <v>2183</v>
      </c>
      <c r="L5542" t="s">
        <v>2184</v>
      </c>
      <c r="M5542">
        <v>696</v>
      </c>
      <c r="N5542">
        <v>26.05</v>
      </c>
      <c r="O5542">
        <v>10557.8</v>
      </c>
      <c r="P5542">
        <v>0</v>
      </c>
      <c r="Q5542">
        <v>10557.8</v>
      </c>
      <c r="R5542">
        <v>1689.25</v>
      </c>
      <c r="S5542">
        <v>422.31</v>
      </c>
      <c r="T5542">
        <v>11824.74</v>
      </c>
      <c r="V5542" t="s">
        <v>9408</v>
      </c>
      <c r="W5542" t="s">
        <v>423</v>
      </c>
    </row>
    <row r="5543" spans="1:23" hidden="1" x14ac:dyDescent="0.2">
      <c r="A5543">
        <v>2012</v>
      </c>
      <c r="B5543" t="s">
        <v>304</v>
      </c>
      <c r="C5543" s="733">
        <v>40955</v>
      </c>
      <c r="D55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43" t="s">
        <v>485</v>
      </c>
      <c r="F5543" t="s">
        <v>2065</v>
      </c>
      <c r="G5543" t="s">
        <v>7538</v>
      </c>
      <c r="H5543">
        <v>41953</v>
      </c>
      <c r="I5543" t="s">
        <v>423</v>
      </c>
      <c r="J5543" t="s">
        <v>3965</v>
      </c>
      <c r="K5543" t="s">
        <v>2183</v>
      </c>
      <c r="L5543" t="s">
        <v>2184</v>
      </c>
      <c r="M5543">
        <v>696</v>
      </c>
      <c r="N5543">
        <v>25.92</v>
      </c>
      <c r="O5543">
        <v>10505.12</v>
      </c>
      <c r="P5543">
        <v>0</v>
      </c>
      <c r="Q5543">
        <v>10505.12</v>
      </c>
      <c r="R5543">
        <v>1680.82</v>
      </c>
      <c r="S5543">
        <v>420.2</v>
      </c>
      <c r="T5543">
        <v>11765.74</v>
      </c>
      <c r="U5543" t="s">
        <v>8048</v>
      </c>
      <c r="V5543" t="s">
        <v>9408</v>
      </c>
      <c r="W5543" t="s">
        <v>423</v>
      </c>
    </row>
    <row r="5544" spans="1:23" hidden="1" x14ac:dyDescent="0.2">
      <c r="A5544">
        <v>2012</v>
      </c>
      <c r="B5544" t="s">
        <v>305</v>
      </c>
      <c r="C5544" s="733">
        <v>40970</v>
      </c>
      <c r="D5544" s="733" t="str">
        <f>CHOOSE(MONTH(Tabla_sqldatos_bonampakdb_Bon_v_ingresos2012[[#This Row],[fecha_guia]]),"Enero","Febrero","Marzo","Abril","Mayo","Junio","Julio","Agosto","Septiembre","Octubre","Noviembre","Diciembre")</f>
        <v>Marzo</v>
      </c>
      <c r="E5544" t="s">
        <v>485</v>
      </c>
      <c r="F5544" t="s">
        <v>2065</v>
      </c>
      <c r="G5544" t="s">
        <v>9607</v>
      </c>
      <c r="H5544">
        <v>42879</v>
      </c>
      <c r="I5544" t="s">
        <v>423</v>
      </c>
      <c r="J5544" t="s">
        <v>3965</v>
      </c>
      <c r="K5544" t="s">
        <v>2183</v>
      </c>
      <c r="L5544" t="s">
        <v>2184</v>
      </c>
      <c r="M5544">
        <v>696</v>
      </c>
      <c r="N5544">
        <v>25.58</v>
      </c>
      <c r="O5544">
        <v>10367.32</v>
      </c>
      <c r="P5544">
        <v>0</v>
      </c>
      <c r="Q5544">
        <v>10367.32</v>
      </c>
      <c r="R5544">
        <v>1658.77</v>
      </c>
      <c r="S5544">
        <v>414.69</v>
      </c>
      <c r="T5544">
        <v>11611.4</v>
      </c>
      <c r="V5544" t="s">
        <v>9408</v>
      </c>
      <c r="W5544" t="s">
        <v>423</v>
      </c>
    </row>
    <row r="5545" spans="1:23" hidden="1" x14ac:dyDescent="0.2">
      <c r="A5545">
        <v>2012</v>
      </c>
      <c r="B5545" t="s">
        <v>304</v>
      </c>
      <c r="C5545" s="733">
        <v>40955</v>
      </c>
      <c r="D55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45" t="s">
        <v>485</v>
      </c>
      <c r="F5545" t="s">
        <v>2065</v>
      </c>
      <c r="G5545" t="s">
        <v>7573</v>
      </c>
      <c r="H5545">
        <v>41952</v>
      </c>
      <c r="I5545" t="s">
        <v>423</v>
      </c>
      <c r="J5545" t="s">
        <v>3965</v>
      </c>
      <c r="K5545" t="s">
        <v>2183</v>
      </c>
      <c r="L5545" t="s">
        <v>2184</v>
      </c>
      <c r="M5545">
        <v>696</v>
      </c>
      <c r="N5545">
        <v>25.98</v>
      </c>
      <c r="O5545">
        <v>10529.43</v>
      </c>
      <c r="P5545">
        <v>0</v>
      </c>
      <c r="Q5545">
        <v>10529.43</v>
      </c>
      <c r="R5545">
        <v>1684.71</v>
      </c>
      <c r="S5545">
        <v>421.18</v>
      </c>
      <c r="T5545">
        <v>11792.96</v>
      </c>
      <c r="U5545" t="s">
        <v>8048</v>
      </c>
      <c r="V5545" t="s">
        <v>9408</v>
      </c>
      <c r="W5545" t="s">
        <v>423</v>
      </c>
    </row>
    <row r="5546" spans="1:23" hidden="1" x14ac:dyDescent="0.2">
      <c r="A5546">
        <v>2012</v>
      </c>
      <c r="B5546" t="s">
        <v>303</v>
      </c>
      <c r="C5546" s="733">
        <v>40939</v>
      </c>
      <c r="D55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46" t="s">
        <v>505</v>
      </c>
      <c r="F5546" t="s">
        <v>1915</v>
      </c>
      <c r="G5546" t="s">
        <v>2606</v>
      </c>
      <c r="H5546">
        <v>21976</v>
      </c>
      <c r="I5546" t="s">
        <v>423</v>
      </c>
      <c r="J5546" t="s">
        <v>1947</v>
      </c>
      <c r="K5546" t="s">
        <v>1918</v>
      </c>
      <c r="L5546" t="s">
        <v>1919</v>
      </c>
      <c r="M5546">
        <v>973</v>
      </c>
      <c r="N5546">
        <v>26.99</v>
      </c>
      <c r="O5546">
        <v>15761.08</v>
      </c>
      <c r="P5546">
        <v>0</v>
      </c>
      <c r="Q5546">
        <v>15761.08</v>
      </c>
      <c r="R5546">
        <v>2521.77</v>
      </c>
      <c r="S5546">
        <v>630.44000000000005</v>
      </c>
      <c r="T5546">
        <v>17652.41</v>
      </c>
      <c r="U5546" t="s">
        <v>1936</v>
      </c>
      <c r="V5546" t="s">
        <v>9408</v>
      </c>
      <c r="W5546" t="s">
        <v>423</v>
      </c>
    </row>
    <row r="5547" spans="1:23" hidden="1" x14ac:dyDescent="0.2">
      <c r="A5547">
        <v>2012</v>
      </c>
      <c r="B5547" t="s">
        <v>303</v>
      </c>
      <c r="C5547" s="733">
        <v>40924</v>
      </c>
      <c r="D55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47" t="s">
        <v>485</v>
      </c>
      <c r="F5547" t="s">
        <v>2048</v>
      </c>
      <c r="G5547" t="s">
        <v>3925</v>
      </c>
      <c r="H5547">
        <v>40387</v>
      </c>
      <c r="I5547" t="s">
        <v>423</v>
      </c>
      <c r="J5547" t="s">
        <v>2972</v>
      </c>
      <c r="K5547" t="s">
        <v>2051</v>
      </c>
      <c r="L5547" t="s">
        <v>2052</v>
      </c>
      <c r="M5547">
        <v>398</v>
      </c>
      <c r="N5547">
        <v>53.15</v>
      </c>
      <c r="O5547">
        <v>14699.7</v>
      </c>
      <c r="P5547">
        <v>0</v>
      </c>
      <c r="Q5547">
        <v>14699.7</v>
      </c>
      <c r="R5547">
        <v>2351.9499999999998</v>
      </c>
      <c r="S5547">
        <v>587.99</v>
      </c>
      <c r="T5547">
        <v>16463.66</v>
      </c>
      <c r="U5547" t="s">
        <v>2062</v>
      </c>
      <c r="V5547" t="s">
        <v>9409</v>
      </c>
      <c r="W5547" t="s">
        <v>423</v>
      </c>
    </row>
    <row r="5548" spans="1:23" hidden="1" x14ac:dyDescent="0.2">
      <c r="A5548">
        <v>2012</v>
      </c>
      <c r="B5548" t="s">
        <v>304</v>
      </c>
      <c r="C5548" s="733">
        <v>40946</v>
      </c>
      <c r="D55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48" t="s">
        <v>505</v>
      </c>
      <c r="F5548" t="s">
        <v>1915</v>
      </c>
      <c r="G5548" t="s">
        <v>2607</v>
      </c>
      <c r="H5548">
        <v>22512</v>
      </c>
      <c r="I5548" t="s">
        <v>423</v>
      </c>
      <c r="J5548" t="s">
        <v>1947</v>
      </c>
      <c r="K5548" t="s">
        <v>1918</v>
      </c>
      <c r="L5548" t="s">
        <v>1919</v>
      </c>
      <c r="M5548">
        <v>973</v>
      </c>
      <c r="N5548">
        <v>25.15</v>
      </c>
      <c r="O5548">
        <v>14686.59</v>
      </c>
      <c r="P5548">
        <v>0</v>
      </c>
      <c r="Q5548">
        <v>14686.59</v>
      </c>
      <c r="R5548">
        <v>2349.86</v>
      </c>
      <c r="S5548">
        <v>587.46</v>
      </c>
      <c r="T5548">
        <v>16448.990000000002</v>
      </c>
      <c r="U5548" t="s">
        <v>1924</v>
      </c>
      <c r="V5548" t="s">
        <v>9408</v>
      </c>
      <c r="W5548" t="s">
        <v>423</v>
      </c>
    </row>
    <row r="5549" spans="1:23" hidden="1" x14ac:dyDescent="0.2">
      <c r="A5549">
        <v>2012</v>
      </c>
      <c r="B5549" t="s">
        <v>303</v>
      </c>
      <c r="C5549" s="733">
        <v>40918.324016203704</v>
      </c>
      <c r="D55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49" t="s">
        <v>505</v>
      </c>
      <c r="F5549" t="s">
        <v>1915</v>
      </c>
      <c r="G5549" t="s">
        <v>2608</v>
      </c>
      <c r="H5549">
        <v>21868</v>
      </c>
      <c r="I5549" t="s">
        <v>423</v>
      </c>
      <c r="J5549" t="s">
        <v>1947</v>
      </c>
      <c r="K5549" t="s">
        <v>1918</v>
      </c>
      <c r="L5549" t="s">
        <v>1919</v>
      </c>
      <c r="M5549">
        <v>973</v>
      </c>
      <c r="N5549">
        <v>50.06</v>
      </c>
      <c r="O5549">
        <v>29233.040000000001</v>
      </c>
      <c r="P5549">
        <v>0</v>
      </c>
      <c r="Q5549">
        <v>29233.040000000001</v>
      </c>
      <c r="R5549">
        <v>4677.29</v>
      </c>
      <c r="S5549">
        <v>1169.32</v>
      </c>
      <c r="T5549">
        <v>32741.01</v>
      </c>
      <c r="U5549" t="s">
        <v>1931</v>
      </c>
      <c r="V5549" t="s">
        <v>9409</v>
      </c>
      <c r="W5549" t="s">
        <v>423</v>
      </c>
    </row>
    <row r="5550" spans="1:23" hidden="1" x14ac:dyDescent="0.2">
      <c r="A5550">
        <v>2012</v>
      </c>
      <c r="B5550" t="s">
        <v>304</v>
      </c>
      <c r="C5550" s="733">
        <v>40952</v>
      </c>
      <c r="D55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50" t="s">
        <v>485</v>
      </c>
      <c r="F5550" t="s">
        <v>2065</v>
      </c>
      <c r="G5550" t="s">
        <v>3619</v>
      </c>
      <c r="H5550">
        <v>41851</v>
      </c>
      <c r="I5550" t="s">
        <v>423</v>
      </c>
      <c r="J5550" t="s">
        <v>2050</v>
      </c>
      <c r="K5550" t="s">
        <v>2051</v>
      </c>
      <c r="L5550" t="s">
        <v>2115</v>
      </c>
      <c r="M5550">
        <v>90</v>
      </c>
      <c r="N5550">
        <v>51.65</v>
      </c>
      <c r="O5550">
        <v>7247.01</v>
      </c>
      <c r="P5550">
        <v>0</v>
      </c>
      <c r="Q5550">
        <v>7247.01</v>
      </c>
      <c r="R5550">
        <v>1159.52</v>
      </c>
      <c r="S5550">
        <v>289.88</v>
      </c>
      <c r="T5550">
        <v>8116.65</v>
      </c>
      <c r="U5550" t="s">
        <v>8257</v>
      </c>
      <c r="V5550" t="s">
        <v>9408</v>
      </c>
      <c r="W5550" t="s">
        <v>423</v>
      </c>
    </row>
    <row r="5551" spans="1:23" hidden="1" x14ac:dyDescent="0.2">
      <c r="A5551">
        <v>2012</v>
      </c>
      <c r="B5551" t="s">
        <v>304</v>
      </c>
      <c r="C5551" s="733">
        <v>40960</v>
      </c>
      <c r="D55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51" t="s">
        <v>485</v>
      </c>
      <c r="F5551" t="s">
        <v>2048</v>
      </c>
      <c r="G5551" t="s">
        <v>8180</v>
      </c>
      <c r="H5551">
        <v>42328</v>
      </c>
      <c r="I5551" t="s">
        <v>423</v>
      </c>
      <c r="J5551" t="s">
        <v>2050</v>
      </c>
      <c r="K5551" t="s">
        <v>2051</v>
      </c>
      <c r="L5551" t="s">
        <v>2052</v>
      </c>
      <c r="M5551">
        <v>90</v>
      </c>
      <c r="N5551">
        <v>49.6</v>
      </c>
      <c r="O5551">
        <v>6959.38</v>
      </c>
      <c r="P5551">
        <v>0</v>
      </c>
      <c r="Q5551">
        <v>6959.38</v>
      </c>
      <c r="R5551">
        <v>1113.5</v>
      </c>
      <c r="S5551">
        <v>278.38</v>
      </c>
      <c r="T5551">
        <v>7794.5</v>
      </c>
      <c r="U5551" t="s">
        <v>8780</v>
      </c>
      <c r="V5551" t="s">
        <v>9409</v>
      </c>
      <c r="W5551" t="s">
        <v>423</v>
      </c>
    </row>
    <row r="5552" spans="1:23" hidden="1" x14ac:dyDescent="0.2">
      <c r="A5552">
        <v>2012</v>
      </c>
      <c r="B5552" t="s">
        <v>303</v>
      </c>
      <c r="C5552" s="733">
        <v>40932</v>
      </c>
      <c r="D55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52" t="s">
        <v>485</v>
      </c>
      <c r="F5552" t="s">
        <v>2065</v>
      </c>
      <c r="G5552" t="s">
        <v>3612</v>
      </c>
      <c r="H5552">
        <v>40073</v>
      </c>
      <c r="I5552" t="s">
        <v>423</v>
      </c>
      <c r="J5552" t="s">
        <v>2050</v>
      </c>
      <c r="K5552" t="s">
        <v>2051</v>
      </c>
      <c r="L5552" t="s">
        <v>2052</v>
      </c>
      <c r="M5552">
        <v>90</v>
      </c>
      <c r="N5552">
        <v>51.6</v>
      </c>
      <c r="O5552">
        <v>7240</v>
      </c>
      <c r="P5552">
        <v>0</v>
      </c>
      <c r="Q5552">
        <v>7240</v>
      </c>
      <c r="R5552">
        <v>1158.4000000000001</v>
      </c>
      <c r="S5552">
        <v>289.60000000000002</v>
      </c>
      <c r="T5552">
        <v>8108.8</v>
      </c>
      <c r="U5552" t="s">
        <v>2053</v>
      </c>
      <c r="V5552" t="s">
        <v>9409</v>
      </c>
      <c r="W5552" t="s">
        <v>423</v>
      </c>
    </row>
    <row r="5553" spans="1:23" hidden="1" x14ac:dyDescent="0.2">
      <c r="A5553">
        <v>2012</v>
      </c>
      <c r="B5553" t="s">
        <v>304</v>
      </c>
      <c r="C5553" s="733">
        <v>40952</v>
      </c>
      <c r="D55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53" t="s">
        <v>485</v>
      </c>
      <c r="F5553" t="s">
        <v>2065</v>
      </c>
      <c r="G5553" t="s">
        <v>3604</v>
      </c>
      <c r="H5553">
        <v>41729</v>
      </c>
      <c r="I5553" t="s">
        <v>423</v>
      </c>
      <c r="J5553" t="s">
        <v>2050</v>
      </c>
      <c r="K5553" t="s">
        <v>2051</v>
      </c>
      <c r="L5553" t="s">
        <v>2052</v>
      </c>
      <c r="M5553">
        <v>90</v>
      </c>
      <c r="N5553">
        <v>28.15</v>
      </c>
      <c r="O5553">
        <v>3949.73</v>
      </c>
      <c r="P5553">
        <v>0</v>
      </c>
      <c r="Q5553">
        <v>3949.73</v>
      </c>
      <c r="R5553">
        <v>631.96</v>
      </c>
      <c r="S5553">
        <v>157.99</v>
      </c>
      <c r="T5553">
        <v>4423.7</v>
      </c>
      <c r="U5553" t="s">
        <v>8257</v>
      </c>
      <c r="V5553" t="s">
        <v>9408</v>
      </c>
      <c r="W5553" t="s">
        <v>423</v>
      </c>
    </row>
    <row r="5554" spans="1:23" hidden="1" x14ac:dyDescent="0.2">
      <c r="A5554">
        <v>2012</v>
      </c>
      <c r="B5554" t="s">
        <v>303</v>
      </c>
      <c r="C5554" s="733">
        <v>40924</v>
      </c>
      <c r="D55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54" t="s">
        <v>485</v>
      </c>
      <c r="F5554" t="s">
        <v>2048</v>
      </c>
      <c r="G5554" t="s">
        <v>3613</v>
      </c>
      <c r="H5554">
        <v>40390</v>
      </c>
      <c r="I5554" t="s">
        <v>423</v>
      </c>
      <c r="J5554" t="s">
        <v>2050</v>
      </c>
      <c r="K5554" t="s">
        <v>2051</v>
      </c>
      <c r="L5554" t="s">
        <v>2052</v>
      </c>
      <c r="M5554">
        <v>90</v>
      </c>
      <c r="N5554">
        <v>52.75</v>
      </c>
      <c r="O5554">
        <v>7401.35</v>
      </c>
      <c r="P5554">
        <v>0</v>
      </c>
      <c r="Q5554">
        <v>7401.35</v>
      </c>
      <c r="R5554">
        <v>1184.22</v>
      </c>
      <c r="S5554">
        <v>296.05</v>
      </c>
      <c r="T5554">
        <v>8289.52</v>
      </c>
      <c r="U5554" t="s">
        <v>2062</v>
      </c>
      <c r="V5554" t="s">
        <v>9409</v>
      </c>
      <c r="W5554" t="s">
        <v>423</v>
      </c>
    </row>
    <row r="5555" spans="1:23" hidden="1" x14ac:dyDescent="0.2">
      <c r="A5555">
        <v>2012</v>
      </c>
      <c r="B5555" t="s">
        <v>304</v>
      </c>
      <c r="C5555" s="733">
        <v>40955</v>
      </c>
      <c r="D55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55" t="s">
        <v>485</v>
      </c>
      <c r="F5555" t="s">
        <v>2065</v>
      </c>
      <c r="G5555" t="s">
        <v>7973</v>
      </c>
      <c r="H5555">
        <v>41940</v>
      </c>
      <c r="I5555" t="s">
        <v>423</v>
      </c>
      <c r="J5555" t="s">
        <v>2189</v>
      </c>
      <c r="K5555" t="s">
        <v>2183</v>
      </c>
      <c r="L5555" t="s">
        <v>2184</v>
      </c>
      <c r="M5555">
        <v>720</v>
      </c>
      <c r="N5555">
        <v>24.16</v>
      </c>
      <c r="O5555">
        <v>10724.38</v>
      </c>
      <c r="P5555">
        <v>0</v>
      </c>
      <c r="Q5555">
        <v>10724.38</v>
      </c>
      <c r="R5555">
        <v>1715.9</v>
      </c>
      <c r="S5555">
        <v>428.98</v>
      </c>
      <c r="T5555">
        <v>12011.3</v>
      </c>
      <c r="U5555" t="s">
        <v>8048</v>
      </c>
      <c r="V5555" t="s">
        <v>9408</v>
      </c>
      <c r="W5555" t="s">
        <v>423</v>
      </c>
    </row>
    <row r="5556" spans="1:23" hidden="1" x14ac:dyDescent="0.2">
      <c r="A5556">
        <v>2012</v>
      </c>
      <c r="B5556" t="s">
        <v>303</v>
      </c>
      <c r="C5556" s="733">
        <v>40939</v>
      </c>
      <c r="D55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56" t="s">
        <v>485</v>
      </c>
      <c r="F5556" t="s">
        <v>2065</v>
      </c>
      <c r="G5556" t="s">
        <v>5469</v>
      </c>
      <c r="H5556">
        <v>40678</v>
      </c>
      <c r="I5556" t="s">
        <v>423</v>
      </c>
      <c r="J5556" t="s">
        <v>2189</v>
      </c>
      <c r="K5556" t="s">
        <v>2183</v>
      </c>
      <c r="L5556" t="s">
        <v>2184</v>
      </c>
      <c r="M5556">
        <v>720</v>
      </c>
      <c r="N5556">
        <v>24.53</v>
      </c>
      <c r="O5556">
        <v>10888.62</v>
      </c>
      <c r="P5556">
        <v>0</v>
      </c>
      <c r="Q5556">
        <v>10888.62</v>
      </c>
      <c r="R5556">
        <v>1742.18</v>
      </c>
      <c r="S5556">
        <v>435.54</v>
      </c>
      <c r="T5556">
        <v>12195.26</v>
      </c>
      <c r="U5556" t="s">
        <v>2187</v>
      </c>
      <c r="V5556" t="s">
        <v>9408</v>
      </c>
      <c r="W5556" t="s">
        <v>423</v>
      </c>
    </row>
    <row r="5557" spans="1:23" hidden="1" x14ac:dyDescent="0.2">
      <c r="A5557">
        <v>2012</v>
      </c>
      <c r="B5557" t="s">
        <v>304</v>
      </c>
      <c r="C5557" s="733">
        <v>40953</v>
      </c>
      <c r="D55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57" t="s">
        <v>485</v>
      </c>
      <c r="F5557" t="s">
        <v>2065</v>
      </c>
      <c r="G5557" t="s">
        <v>4447</v>
      </c>
      <c r="H5557">
        <v>41820</v>
      </c>
      <c r="I5557" t="s">
        <v>423</v>
      </c>
      <c r="J5557" t="s">
        <v>2186</v>
      </c>
      <c r="K5557" t="s">
        <v>2183</v>
      </c>
      <c r="L5557" t="s">
        <v>2184</v>
      </c>
      <c r="M5557">
        <v>19</v>
      </c>
      <c r="N5557">
        <v>15.9</v>
      </c>
      <c r="O5557">
        <v>1794.63</v>
      </c>
      <c r="P5557">
        <v>0</v>
      </c>
      <c r="Q5557">
        <v>1794.63</v>
      </c>
      <c r="R5557">
        <v>287.14</v>
      </c>
      <c r="S5557">
        <v>71.790000000000006</v>
      </c>
      <c r="T5557">
        <v>2009.98</v>
      </c>
      <c r="U5557" t="s">
        <v>8048</v>
      </c>
      <c r="V5557" t="s">
        <v>9408</v>
      </c>
      <c r="W5557" t="s">
        <v>423</v>
      </c>
    </row>
    <row r="5558" spans="1:23" hidden="1" x14ac:dyDescent="0.2">
      <c r="A5558">
        <v>2012</v>
      </c>
      <c r="B5558" t="s">
        <v>304</v>
      </c>
      <c r="C5558" s="733">
        <v>40940</v>
      </c>
      <c r="D55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58" t="s">
        <v>485</v>
      </c>
      <c r="F5558" t="s">
        <v>2065</v>
      </c>
      <c r="G5558" t="s">
        <v>4444</v>
      </c>
      <c r="H5558">
        <v>39963</v>
      </c>
      <c r="I5558" t="s">
        <v>423</v>
      </c>
      <c r="J5558" t="s">
        <v>2186</v>
      </c>
      <c r="K5558" t="s">
        <v>2183</v>
      </c>
      <c r="L5558" t="s">
        <v>2184</v>
      </c>
      <c r="M5558">
        <v>19</v>
      </c>
      <c r="N5558">
        <v>16.13</v>
      </c>
      <c r="O5558">
        <v>1820.59</v>
      </c>
      <c r="P5558">
        <v>0</v>
      </c>
      <c r="Q5558">
        <v>1820.59</v>
      </c>
      <c r="R5558">
        <v>291.29000000000002</v>
      </c>
      <c r="S5558">
        <v>72.819999999999993</v>
      </c>
      <c r="T5558">
        <v>2039.06</v>
      </c>
      <c r="U5558" t="s">
        <v>2187</v>
      </c>
      <c r="V5558" t="s">
        <v>9408</v>
      </c>
      <c r="W5558" t="s">
        <v>423</v>
      </c>
    </row>
    <row r="5559" spans="1:23" hidden="1" x14ac:dyDescent="0.2">
      <c r="A5559">
        <v>2012</v>
      </c>
      <c r="B5559" t="s">
        <v>303</v>
      </c>
      <c r="C5559" s="733">
        <v>40932</v>
      </c>
      <c r="D55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59" t="s">
        <v>485</v>
      </c>
      <c r="F5559" t="s">
        <v>2065</v>
      </c>
      <c r="G5559" t="s">
        <v>4445</v>
      </c>
      <c r="H5559">
        <v>40783</v>
      </c>
      <c r="I5559" t="s">
        <v>423</v>
      </c>
      <c r="J5559" t="s">
        <v>2186</v>
      </c>
      <c r="K5559" t="s">
        <v>2183</v>
      </c>
      <c r="L5559" t="s">
        <v>2184</v>
      </c>
      <c r="M5559">
        <v>19</v>
      </c>
      <c r="N5559">
        <v>15.47</v>
      </c>
      <c r="O5559">
        <v>1746.1</v>
      </c>
      <c r="P5559">
        <v>0</v>
      </c>
      <c r="Q5559">
        <v>1746.1</v>
      </c>
      <c r="R5559">
        <v>279.38</v>
      </c>
      <c r="S5559">
        <v>69.84</v>
      </c>
      <c r="T5559">
        <v>1955.64</v>
      </c>
      <c r="U5559" t="s">
        <v>2187</v>
      </c>
      <c r="V5559" t="s">
        <v>9408</v>
      </c>
      <c r="W5559" t="s">
        <v>423</v>
      </c>
    </row>
    <row r="5560" spans="1:23" hidden="1" x14ac:dyDescent="0.2">
      <c r="A5560">
        <v>2012</v>
      </c>
      <c r="B5560" t="s">
        <v>304</v>
      </c>
      <c r="C5560" s="733">
        <v>40953</v>
      </c>
      <c r="D55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60" t="s">
        <v>485</v>
      </c>
      <c r="F5560" t="s">
        <v>2065</v>
      </c>
      <c r="G5560" t="s">
        <v>4308</v>
      </c>
      <c r="H5560">
        <v>41823</v>
      </c>
      <c r="I5560" t="s">
        <v>423</v>
      </c>
      <c r="J5560" t="s">
        <v>2186</v>
      </c>
      <c r="K5560" t="s">
        <v>2183</v>
      </c>
      <c r="L5560" t="s">
        <v>2184</v>
      </c>
      <c r="M5560">
        <v>19</v>
      </c>
      <c r="N5560">
        <v>16.670000000000002</v>
      </c>
      <c r="O5560">
        <v>1881.54</v>
      </c>
      <c r="P5560">
        <v>0</v>
      </c>
      <c r="Q5560">
        <v>1881.54</v>
      </c>
      <c r="R5560">
        <v>301.05</v>
      </c>
      <c r="S5560">
        <v>75.260000000000005</v>
      </c>
      <c r="T5560">
        <v>2107.33</v>
      </c>
      <c r="U5560" t="s">
        <v>8048</v>
      </c>
      <c r="V5560" t="s">
        <v>9408</v>
      </c>
      <c r="W5560" t="s">
        <v>423</v>
      </c>
    </row>
    <row r="5561" spans="1:23" hidden="1" x14ac:dyDescent="0.2">
      <c r="A5561">
        <v>2012</v>
      </c>
      <c r="B5561" t="s">
        <v>303</v>
      </c>
      <c r="C5561" s="733">
        <v>40938</v>
      </c>
      <c r="D55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61" t="s">
        <v>485</v>
      </c>
      <c r="F5561" t="s">
        <v>2065</v>
      </c>
      <c r="G5561" t="s">
        <v>4310</v>
      </c>
      <c r="H5561">
        <v>41091</v>
      </c>
      <c r="I5561" t="s">
        <v>423</v>
      </c>
      <c r="J5561" t="s">
        <v>2186</v>
      </c>
      <c r="K5561" t="s">
        <v>2183</v>
      </c>
      <c r="L5561" t="s">
        <v>2184</v>
      </c>
      <c r="M5561">
        <v>19</v>
      </c>
      <c r="N5561">
        <v>15.65</v>
      </c>
      <c r="O5561">
        <v>1766.42</v>
      </c>
      <c r="P5561">
        <v>0</v>
      </c>
      <c r="Q5561">
        <v>1766.42</v>
      </c>
      <c r="R5561">
        <v>282.63</v>
      </c>
      <c r="S5561">
        <v>70.66</v>
      </c>
      <c r="T5561">
        <v>1978.39</v>
      </c>
      <c r="U5561" t="s">
        <v>2187</v>
      </c>
      <c r="V5561" t="s">
        <v>9408</v>
      </c>
      <c r="W5561" t="s">
        <v>423</v>
      </c>
    </row>
    <row r="5562" spans="1:23" hidden="1" x14ac:dyDescent="0.2">
      <c r="A5562">
        <v>2012</v>
      </c>
      <c r="B5562" t="s">
        <v>303</v>
      </c>
      <c r="C5562" s="733">
        <v>40936</v>
      </c>
      <c r="D55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62" t="s">
        <v>478</v>
      </c>
      <c r="F5562" t="s">
        <v>3787</v>
      </c>
      <c r="G5562" t="s">
        <v>5097</v>
      </c>
      <c r="H5562">
        <v>34775</v>
      </c>
      <c r="I5562" t="s">
        <v>423</v>
      </c>
      <c r="J5562" t="s">
        <v>3789</v>
      </c>
      <c r="K5562" t="s">
        <v>3481</v>
      </c>
      <c r="L5562" t="s">
        <v>3482</v>
      </c>
      <c r="M5562">
        <v>27</v>
      </c>
      <c r="N5562">
        <v>29.2</v>
      </c>
      <c r="O5562">
        <v>3295.8</v>
      </c>
      <c r="P5562">
        <v>0</v>
      </c>
      <c r="Q5562">
        <v>3295.8</v>
      </c>
      <c r="R5562">
        <v>527.33000000000004</v>
      </c>
      <c r="S5562">
        <v>131.83000000000001</v>
      </c>
      <c r="T5562">
        <v>3691.3</v>
      </c>
      <c r="U5562" t="s">
        <v>3784</v>
      </c>
      <c r="V5562" t="s">
        <v>9408</v>
      </c>
      <c r="W5562" t="s">
        <v>423</v>
      </c>
    </row>
    <row r="5563" spans="1:23" hidden="1" x14ac:dyDescent="0.2">
      <c r="A5563">
        <v>2012</v>
      </c>
      <c r="B5563" t="s">
        <v>303</v>
      </c>
      <c r="C5563" s="733">
        <v>40918</v>
      </c>
      <c r="D55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63" t="s">
        <v>478</v>
      </c>
      <c r="F5563" t="s">
        <v>2622</v>
      </c>
      <c r="G5563" t="s">
        <v>5105</v>
      </c>
      <c r="H5563">
        <v>34355</v>
      </c>
      <c r="I5563" t="s">
        <v>423</v>
      </c>
      <c r="J5563" t="s">
        <v>2629</v>
      </c>
      <c r="K5563" t="s">
        <v>2625</v>
      </c>
      <c r="L5563" t="s">
        <v>2626</v>
      </c>
      <c r="M5563">
        <v>33</v>
      </c>
      <c r="N5563">
        <v>26.13</v>
      </c>
      <c r="O5563">
        <v>3047.8</v>
      </c>
      <c r="P5563">
        <v>0</v>
      </c>
      <c r="Q5563">
        <v>3047.8</v>
      </c>
      <c r="R5563">
        <v>487.65</v>
      </c>
      <c r="S5563">
        <v>121.91</v>
      </c>
      <c r="T5563">
        <v>3413.54</v>
      </c>
      <c r="U5563" t="s">
        <v>2627</v>
      </c>
      <c r="V5563" t="s">
        <v>9408</v>
      </c>
      <c r="W5563" t="s">
        <v>423</v>
      </c>
    </row>
    <row r="5564" spans="1:23" hidden="1" x14ac:dyDescent="0.2">
      <c r="A5564">
        <v>2012</v>
      </c>
      <c r="B5564" t="s">
        <v>303</v>
      </c>
      <c r="C5564" s="733">
        <v>40926</v>
      </c>
      <c r="D55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64" t="s">
        <v>485</v>
      </c>
      <c r="F5564" t="s">
        <v>2065</v>
      </c>
      <c r="G5564" t="s">
        <v>6479</v>
      </c>
      <c r="H5564">
        <v>40470</v>
      </c>
      <c r="I5564" t="s">
        <v>423</v>
      </c>
      <c r="J5564" t="s">
        <v>2139</v>
      </c>
      <c r="K5564" t="s">
        <v>2102</v>
      </c>
      <c r="L5564" t="s">
        <v>2115</v>
      </c>
      <c r="M5564">
        <v>543</v>
      </c>
      <c r="N5564">
        <v>49.44</v>
      </c>
      <c r="O5564">
        <v>16624.2</v>
      </c>
      <c r="P5564">
        <v>0</v>
      </c>
      <c r="Q5564">
        <v>16624.2</v>
      </c>
      <c r="R5564">
        <v>2659.87</v>
      </c>
      <c r="S5564">
        <v>664.97</v>
      </c>
      <c r="T5564">
        <v>18619.099999999999</v>
      </c>
      <c r="U5564" t="s">
        <v>2106</v>
      </c>
      <c r="V5564" t="s">
        <v>9409</v>
      </c>
      <c r="W5564" t="s">
        <v>423</v>
      </c>
    </row>
    <row r="5565" spans="1:23" hidden="1" x14ac:dyDescent="0.2">
      <c r="A5565">
        <v>2012</v>
      </c>
      <c r="B5565" t="s">
        <v>303</v>
      </c>
      <c r="C5565" s="733">
        <v>40919</v>
      </c>
      <c r="D55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65" t="s">
        <v>485</v>
      </c>
      <c r="F5565" t="s">
        <v>2065</v>
      </c>
      <c r="G5565" t="s">
        <v>2920</v>
      </c>
      <c r="H5565">
        <v>39925</v>
      </c>
      <c r="I5565" t="s">
        <v>423</v>
      </c>
      <c r="J5565" t="s">
        <v>2139</v>
      </c>
      <c r="K5565" t="s">
        <v>2102</v>
      </c>
      <c r="L5565" t="s">
        <v>2115</v>
      </c>
      <c r="M5565">
        <v>543</v>
      </c>
      <c r="N5565">
        <v>52.45</v>
      </c>
      <c r="O5565">
        <v>17636.310000000001</v>
      </c>
      <c r="P5565">
        <v>0</v>
      </c>
      <c r="Q5565">
        <v>17636.310000000001</v>
      </c>
      <c r="R5565">
        <v>2821.81</v>
      </c>
      <c r="S5565">
        <v>705.45</v>
      </c>
      <c r="T5565">
        <v>19752.669999999998</v>
      </c>
      <c r="U5565" t="s">
        <v>2106</v>
      </c>
      <c r="V5565" t="s">
        <v>9409</v>
      </c>
      <c r="W5565" t="s">
        <v>423</v>
      </c>
    </row>
    <row r="5566" spans="1:23" hidden="1" x14ac:dyDescent="0.2">
      <c r="A5566">
        <v>2012</v>
      </c>
      <c r="B5566" t="s">
        <v>304</v>
      </c>
      <c r="C5566" s="733">
        <v>40942</v>
      </c>
      <c r="D55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66" t="s">
        <v>485</v>
      </c>
      <c r="F5566" t="s">
        <v>2065</v>
      </c>
      <c r="G5566" t="s">
        <v>2923</v>
      </c>
      <c r="H5566">
        <v>41259</v>
      </c>
      <c r="I5566" t="s">
        <v>423</v>
      </c>
      <c r="J5566" t="s">
        <v>2139</v>
      </c>
      <c r="K5566" t="s">
        <v>2102</v>
      </c>
      <c r="L5566" t="s">
        <v>2115</v>
      </c>
      <c r="M5566">
        <v>543</v>
      </c>
      <c r="N5566">
        <v>47.3</v>
      </c>
      <c r="O5566">
        <v>15904.62</v>
      </c>
      <c r="P5566">
        <v>0</v>
      </c>
      <c r="Q5566">
        <v>15904.62</v>
      </c>
      <c r="R5566">
        <v>2544.7399999999998</v>
      </c>
      <c r="S5566">
        <v>636.17999999999995</v>
      </c>
      <c r="T5566">
        <v>17813.18</v>
      </c>
      <c r="U5566" t="s">
        <v>7462</v>
      </c>
      <c r="V5566" t="s">
        <v>9409</v>
      </c>
      <c r="W5566" t="s">
        <v>423</v>
      </c>
    </row>
    <row r="5567" spans="1:23" hidden="1" x14ac:dyDescent="0.2">
      <c r="A5567">
        <v>2012</v>
      </c>
      <c r="B5567" t="s">
        <v>304</v>
      </c>
      <c r="C5567" s="733">
        <v>40942</v>
      </c>
      <c r="D55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67" t="s">
        <v>485</v>
      </c>
      <c r="F5567" t="s">
        <v>2065</v>
      </c>
      <c r="G5567" t="s">
        <v>2929</v>
      </c>
      <c r="H5567">
        <v>41226</v>
      </c>
      <c r="I5567" t="s">
        <v>423</v>
      </c>
      <c r="J5567" t="s">
        <v>2139</v>
      </c>
      <c r="K5567" t="s">
        <v>2102</v>
      </c>
      <c r="L5567" t="s">
        <v>2115</v>
      </c>
      <c r="M5567">
        <v>543</v>
      </c>
      <c r="N5567">
        <v>49.2</v>
      </c>
      <c r="O5567">
        <v>16543.5</v>
      </c>
      <c r="P5567">
        <v>0</v>
      </c>
      <c r="Q5567">
        <v>16543.5</v>
      </c>
      <c r="R5567">
        <v>2646.96</v>
      </c>
      <c r="S5567">
        <v>661.74</v>
      </c>
      <c r="T5567">
        <v>18528.72</v>
      </c>
      <c r="U5567" t="s">
        <v>7462</v>
      </c>
      <c r="V5567" t="s">
        <v>9409</v>
      </c>
      <c r="W5567" t="s">
        <v>423</v>
      </c>
    </row>
    <row r="5568" spans="1:23" hidden="1" x14ac:dyDescent="0.2">
      <c r="A5568">
        <v>2012</v>
      </c>
      <c r="B5568" t="s">
        <v>304</v>
      </c>
      <c r="C5568" s="733">
        <v>40940</v>
      </c>
      <c r="D55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68" t="s">
        <v>485</v>
      </c>
      <c r="F5568" t="s">
        <v>2065</v>
      </c>
      <c r="G5568" t="s">
        <v>4317</v>
      </c>
      <c r="H5568">
        <v>41161</v>
      </c>
      <c r="I5568" t="s">
        <v>423</v>
      </c>
      <c r="J5568" t="s">
        <v>2196</v>
      </c>
      <c r="K5568" t="s">
        <v>2183</v>
      </c>
      <c r="L5568" t="s">
        <v>2184</v>
      </c>
      <c r="M5568">
        <v>10</v>
      </c>
      <c r="N5568">
        <v>26.38</v>
      </c>
      <c r="O5568">
        <v>2977.51</v>
      </c>
      <c r="P5568">
        <v>0</v>
      </c>
      <c r="Q5568">
        <v>2977.51</v>
      </c>
      <c r="R5568">
        <v>476.4</v>
      </c>
      <c r="S5568">
        <v>119.1</v>
      </c>
      <c r="T5568">
        <v>3334.81</v>
      </c>
      <c r="U5568" t="s">
        <v>9411</v>
      </c>
      <c r="V5568" t="s">
        <v>9408</v>
      </c>
      <c r="W5568" t="s">
        <v>423</v>
      </c>
    </row>
    <row r="5569" spans="1:23" hidden="1" x14ac:dyDescent="0.2">
      <c r="A5569">
        <v>2012</v>
      </c>
      <c r="B5569" t="s">
        <v>303</v>
      </c>
      <c r="C5569" s="733">
        <v>40934</v>
      </c>
      <c r="D55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69" t="s">
        <v>485</v>
      </c>
      <c r="F5569" t="s">
        <v>2065</v>
      </c>
      <c r="G5569" t="s">
        <v>4304</v>
      </c>
      <c r="H5569">
        <v>40909</v>
      </c>
      <c r="I5569" t="s">
        <v>423</v>
      </c>
      <c r="J5569" t="s">
        <v>2196</v>
      </c>
      <c r="K5569" t="s">
        <v>2183</v>
      </c>
      <c r="L5569" t="s">
        <v>2184</v>
      </c>
      <c r="M5569">
        <v>10</v>
      </c>
      <c r="N5569">
        <v>27.42</v>
      </c>
      <c r="O5569">
        <v>3094.9</v>
      </c>
      <c r="P5569">
        <v>0</v>
      </c>
      <c r="Q5569">
        <v>3094.9</v>
      </c>
      <c r="R5569">
        <v>495.18</v>
      </c>
      <c r="S5569">
        <v>123.8</v>
      </c>
      <c r="T5569">
        <v>3466.28</v>
      </c>
      <c r="U5569" t="s">
        <v>2187</v>
      </c>
      <c r="V5569" t="s">
        <v>9408</v>
      </c>
      <c r="W5569" t="s">
        <v>423</v>
      </c>
    </row>
    <row r="5570" spans="1:23" hidden="1" x14ac:dyDescent="0.2">
      <c r="A5570">
        <v>2012</v>
      </c>
      <c r="B5570" t="s">
        <v>304</v>
      </c>
      <c r="C5570" s="733">
        <v>40961</v>
      </c>
      <c r="D55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70" t="s">
        <v>485</v>
      </c>
      <c r="F5570" t="s">
        <v>2065</v>
      </c>
      <c r="G5570" t="s">
        <v>8316</v>
      </c>
      <c r="H5570">
        <v>42369</v>
      </c>
      <c r="I5570" t="s">
        <v>423</v>
      </c>
      <c r="J5570" t="s">
        <v>2196</v>
      </c>
      <c r="K5570" t="s">
        <v>2183</v>
      </c>
      <c r="L5570" t="s">
        <v>2184</v>
      </c>
      <c r="M5570">
        <v>10</v>
      </c>
      <c r="N5570">
        <v>49.61</v>
      </c>
      <c r="O5570">
        <v>5599.48</v>
      </c>
      <c r="P5570">
        <v>0</v>
      </c>
      <c r="Q5570">
        <v>5599.48</v>
      </c>
      <c r="R5570">
        <v>895.92</v>
      </c>
      <c r="S5570">
        <v>223.98</v>
      </c>
      <c r="T5570">
        <v>6271.42</v>
      </c>
      <c r="U5570" t="s">
        <v>9411</v>
      </c>
      <c r="V5570" t="s">
        <v>9409</v>
      </c>
      <c r="W5570" t="s">
        <v>423</v>
      </c>
    </row>
    <row r="5571" spans="1:23" hidden="1" x14ac:dyDescent="0.2">
      <c r="A5571">
        <v>2012</v>
      </c>
      <c r="B5571" t="s">
        <v>304</v>
      </c>
      <c r="C5571" s="733">
        <v>40940</v>
      </c>
      <c r="D55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71" t="s">
        <v>485</v>
      </c>
      <c r="F5571" t="s">
        <v>2065</v>
      </c>
      <c r="G5571" t="s">
        <v>4303</v>
      </c>
      <c r="H5571">
        <v>40334</v>
      </c>
      <c r="I5571" t="s">
        <v>423</v>
      </c>
      <c r="J5571" t="s">
        <v>2196</v>
      </c>
      <c r="K5571" t="s">
        <v>2183</v>
      </c>
      <c r="L5571" t="s">
        <v>2184</v>
      </c>
      <c r="M5571">
        <v>10</v>
      </c>
      <c r="N5571">
        <v>23.28</v>
      </c>
      <c r="O5571">
        <v>2627.61</v>
      </c>
      <c r="P5571">
        <v>0</v>
      </c>
      <c r="Q5571">
        <v>2627.61</v>
      </c>
      <c r="R5571">
        <v>420.42</v>
      </c>
      <c r="S5571">
        <v>105.1</v>
      </c>
      <c r="T5571">
        <v>2942.93</v>
      </c>
      <c r="U5571" t="s">
        <v>2187</v>
      </c>
      <c r="V5571" t="s">
        <v>9408</v>
      </c>
      <c r="W5571" t="s">
        <v>423</v>
      </c>
    </row>
    <row r="5572" spans="1:23" hidden="1" x14ac:dyDescent="0.2">
      <c r="A5572">
        <v>2012</v>
      </c>
      <c r="B5572" t="s">
        <v>304</v>
      </c>
      <c r="C5572" s="733">
        <v>40954</v>
      </c>
      <c r="D55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72" t="s">
        <v>485</v>
      </c>
      <c r="F5572" t="s">
        <v>2065</v>
      </c>
      <c r="G5572" t="s">
        <v>7496</v>
      </c>
      <c r="H5572">
        <v>41957</v>
      </c>
      <c r="I5572" t="s">
        <v>423</v>
      </c>
      <c r="J5572" t="s">
        <v>2196</v>
      </c>
      <c r="K5572" t="s">
        <v>2183</v>
      </c>
      <c r="L5572" t="s">
        <v>2184</v>
      </c>
      <c r="M5572">
        <v>10</v>
      </c>
      <c r="N5572">
        <v>25.26</v>
      </c>
      <c r="O5572">
        <v>2851.1</v>
      </c>
      <c r="P5572">
        <v>0</v>
      </c>
      <c r="Q5572">
        <v>2851.1</v>
      </c>
      <c r="R5572">
        <v>456.18</v>
      </c>
      <c r="S5572">
        <v>114.04</v>
      </c>
      <c r="T5572">
        <v>3193.24</v>
      </c>
      <c r="U5572" t="s">
        <v>8048</v>
      </c>
      <c r="V5572" t="s">
        <v>9408</v>
      </c>
      <c r="W5572" t="s">
        <v>423</v>
      </c>
    </row>
    <row r="5573" spans="1:23" hidden="1" x14ac:dyDescent="0.2">
      <c r="A5573">
        <v>2012</v>
      </c>
      <c r="B5573" t="s">
        <v>304</v>
      </c>
      <c r="C5573" s="733">
        <v>40954</v>
      </c>
      <c r="D55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73" t="s">
        <v>485</v>
      </c>
      <c r="F5573" t="s">
        <v>2065</v>
      </c>
      <c r="G5573" t="s">
        <v>7497</v>
      </c>
      <c r="H5573">
        <v>41907</v>
      </c>
      <c r="I5573" t="s">
        <v>423</v>
      </c>
      <c r="J5573" t="s">
        <v>2196</v>
      </c>
      <c r="K5573" t="s">
        <v>2183</v>
      </c>
      <c r="L5573" t="s">
        <v>2184</v>
      </c>
      <c r="M5573">
        <v>10</v>
      </c>
      <c r="N5573">
        <v>54.5</v>
      </c>
      <c r="O5573">
        <v>6151.42</v>
      </c>
      <c r="P5573">
        <v>0</v>
      </c>
      <c r="Q5573">
        <v>6151.42</v>
      </c>
      <c r="R5573">
        <v>984.23</v>
      </c>
      <c r="S5573">
        <v>246.06</v>
      </c>
      <c r="T5573">
        <v>6889.59</v>
      </c>
      <c r="U5573" t="s">
        <v>8048</v>
      </c>
      <c r="V5573" t="s">
        <v>9409</v>
      </c>
      <c r="W5573" t="s">
        <v>423</v>
      </c>
    </row>
    <row r="5574" spans="1:23" hidden="1" x14ac:dyDescent="0.2">
      <c r="A5574">
        <v>2012</v>
      </c>
      <c r="B5574" t="s">
        <v>303</v>
      </c>
      <c r="C5574" s="733">
        <v>40919</v>
      </c>
      <c r="D55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74" t="s">
        <v>485</v>
      </c>
      <c r="F5574" t="s">
        <v>2065</v>
      </c>
      <c r="G5574" t="s">
        <v>2928</v>
      </c>
      <c r="H5574">
        <v>40030</v>
      </c>
      <c r="I5574" t="s">
        <v>423</v>
      </c>
      <c r="J5574" t="s">
        <v>2139</v>
      </c>
      <c r="K5574" t="s">
        <v>2102</v>
      </c>
      <c r="L5574" t="s">
        <v>2115</v>
      </c>
      <c r="M5574">
        <v>543</v>
      </c>
      <c r="N5574">
        <v>53.33</v>
      </c>
      <c r="O5574">
        <v>17932.21</v>
      </c>
      <c r="P5574">
        <v>0</v>
      </c>
      <c r="Q5574">
        <v>17932.21</v>
      </c>
      <c r="R5574">
        <v>2869.15</v>
      </c>
      <c r="S5574">
        <v>717.29</v>
      </c>
      <c r="T5574">
        <v>20084.07</v>
      </c>
      <c r="U5574" t="s">
        <v>2106</v>
      </c>
      <c r="V5574" t="s">
        <v>9409</v>
      </c>
      <c r="W5574" t="s">
        <v>423</v>
      </c>
    </row>
    <row r="5575" spans="1:23" hidden="1" x14ac:dyDescent="0.2">
      <c r="A5575">
        <v>2012</v>
      </c>
      <c r="B5575" t="s">
        <v>303</v>
      </c>
      <c r="C5575" s="733">
        <v>40919</v>
      </c>
      <c r="D55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75" t="s">
        <v>485</v>
      </c>
      <c r="F5575" t="s">
        <v>2065</v>
      </c>
      <c r="G5575" t="s">
        <v>5867</v>
      </c>
      <c r="H5575">
        <v>40028</v>
      </c>
      <c r="I5575" t="s">
        <v>423</v>
      </c>
      <c r="J5575" t="s">
        <v>5868</v>
      </c>
      <c r="K5575" t="s">
        <v>2102</v>
      </c>
      <c r="L5575" t="s">
        <v>2115</v>
      </c>
      <c r="M5575">
        <v>500</v>
      </c>
      <c r="N5575">
        <v>25.68</v>
      </c>
      <c r="O5575">
        <v>8634.9</v>
      </c>
      <c r="P5575">
        <v>0</v>
      </c>
      <c r="Q5575">
        <v>8634.9</v>
      </c>
      <c r="R5575">
        <v>1381.58</v>
      </c>
      <c r="S5575">
        <v>345.4</v>
      </c>
      <c r="T5575">
        <v>9671.08</v>
      </c>
      <c r="U5575" t="s">
        <v>2106</v>
      </c>
      <c r="V5575" t="s">
        <v>9408</v>
      </c>
      <c r="W5575" t="s">
        <v>423</v>
      </c>
    </row>
    <row r="5576" spans="1:23" hidden="1" x14ac:dyDescent="0.2">
      <c r="A5576">
        <v>2012</v>
      </c>
      <c r="B5576" t="s">
        <v>303</v>
      </c>
      <c r="C5576" s="733">
        <v>40920</v>
      </c>
      <c r="D55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76" t="s">
        <v>485</v>
      </c>
      <c r="F5576" t="s">
        <v>2065</v>
      </c>
      <c r="G5576" t="s">
        <v>2921</v>
      </c>
      <c r="H5576">
        <v>40024</v>
      </c>
      <c r="I5576" t="s">
        <v>423</v>
      </c>
      <c r="J5576" t="s">
        <v>2139</v>
      </c>
      <c r="K5576" t="s">
        <v>2102</v>
      </c>
      <c r="L5576" t="s">
        <v>2115</v>
      </c>
      <c r="M5576">
        <v>543</v>
      </c>
      <c r="N5576">
        <v>54.39</v>
      </c>
      <c r="O5576">
        <v>18288.64</v>
      </c>
      <c r="P5576">
        <v>0</v>
      </c>
      <c r="Q5576">
        <v>18288.64</v>
      </c>
      <c r="R5576">
        <v>2926.18</v>
      </c>
      <c r="S5576">
        <v>731.55</v>
      </c>
      <c r="T5576">
        <v>20483.27</v>
      </c>
      <c r="U5576" t="s">
        <v>2106</v>
      </c>
      <c r="V5576" t="s">
        <v>9409</v>
      </c>
      <c r="W5576" t="s">
        <v>423</v>
      </c>
    </row>
    <row r="5577" spans="1:23" hidden="1" x14ac:dyDescent="0.2">
      <c r="A5577">
        <v>2012</v>
      </c>
      <c r="B5577" t="s">
        <v>303</v>
      </c>
      <c r="C5577" s="733">
        <v>40927</v>
      </c>
      <c r="D55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77" t="s">
        <v>478</v>
      </c>
      <c r="F5577" t="s">
        <v>2136</v>
      </c>
      <c r="G5577" t="s">
        <v>6177</v>
      </c>
      <c r="H5577">
        <v>34709</v>
      </c>
      <c r="I5577" t="s">
        <v>423</v>
      </c>
      <c r="J5577" t="s">
        <v>6178</v>
      </c>
      <c r="K5577" t="s">
        <v>425</v>
      </c>
      <c r="L5577" t="s">
        <v>2145</v>
      </c>
      <c r="M5577">
        <v>374</v>
      </c>
      <c r="N5577">
        <v>22.06</v>
      </c>
      <c r="O5577">
        <v>2325.5700000000002</v>
      </c>
      <c r="P5577">
        <v>0</v>
      </c>
      <c r="Q5577">
        <v>2325.5700000000002</v>
      </c>
      <c r="R5577">
        <v>372.09</v>
      </c>
      <c r="S5577">
        <v>93.02</v>
      </c>
      <c r="T5577">
        <v>2604.64</v>
      </c>
      <c r="U5577" t="s">
        <v>2150</v>
      </c>
      <c r="V5577" t="s">
        <v>9408</v>
      </c>
      <c r="W5577" t="s">
        <v>423</v>
      </c>
    </row>
    <row r="5578" spans="1:23" hidden="1" x14ac:dyDescent="0.2">
      <c r="A5578">
        <v>2012</v>
      </c>
      <c r="B5578" t="s">
        <v>304</v>
      </c>
      <c r="C5578" s="733">
        <v>40959</v>
      </c>
      <c r="D55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78" t="s">
        <v>485</v>
      </c>
      <c r="F5578" t="s">
        <v>2065</v>
      </c>
      <c r="G5578" t="s">
        <v>7936</v>
      </c>
      <c r="H5578">
        <v>42132</v>
      </c>
      <c r="I5578" t="s">
        <v>423</v>
      </c>
      <c r="J5578" t="s">
        <v>2196</v>
      </c>
      <c r="K5578" t="s">
        <v>2183</v>
      </c>
      <c r="L5578" t="s">
        <v>2184</v>
      </c>
      <c r="M5578">
        <v>10</v>
      </c>
      <c r="N5578">
        <v>26.5</v>
      </c>
      <c r="O5578">
        <v>2991.06</v>
      </c>
      <c r="P5578">
        <v>0</v>
      </c>
      <c r="Q5578">
        <v>2991.06</v>
      </c>
      <c r="R5578">
        <v>478.57</v>
      </c>
      <c r="S5578">
        <v>119.64</v>
      </c>
      <c r="T5578">
        <v>3349.99</v>
      </c>
      <c r="U5578" t="s">
        <v>9411</v>
      </c>
      <c r="V5578" t="s">
        <v>9408</v>
      </c>
      <c r="W5578" t="s">
        <v>423</v>
      </c>
    </row>
    <row r="5579" spans="1:23" hidden="1" x14ac:dyDescent="0.2">
      <c r="A5579">
        <v>2012</v>
      </c>
      <c r="B5579" t="s">
        <v>303</v>
      </c>
      <c r="C5579" s="733">
        <v>40918</v>
      </c>
      <c r="D55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79" t="s">
        <v>485</v>
      </c>
      <c r="F5579" t="s">
        <v>2065</v>
      </c>
      <c r="G5579" t="s">
        <v>2922</v>
      </c>
      <c r="H5579">
        <v>39923</v>
      </c>
      <c r="I5579" t="s">
        <v>423</v>
      </c>
      <c r="J5579" t="s">
        <v>2139</v>
      </c>
      <c r="K5579" t="s">
        <v>2102</v>
      </c>
      <c r="L5579" t="s">
        <v>2115</v>
      </c>
      <c r="M5579">
        <v>543</v>
      </c>
      <c r="N5579">
        <v>51.84</v>
      </c>
      <c r="O5579">
        <v>17431.2</v>
      </c>
      <c r="P5579">
        <v>0</v>
      </c>
      <c r="Q5579">
        <v>17431.2</v>
      </c>
      <c r="R5579">
        <v>2788.99</v>
      </c>
      <c r="S5579">
        <v>697.25</v>
      </c>
      <c r="T5579">
        <v>19522.939999999999</v>
      </c>
      <c r="U5579" t="s">
        <v>2106</v>
      </c>
      <c r="V5579" t="s">
        <v>9409</v>
      </c>
      <c r="W5579" t="s">
        <v>423</v>
      </c>
    </row>
    <row r="5580" spans="1:23" hidden="1" x14ac:dyDescent="0.2">
      <c r="A5580">
        <v>2012</v>
      </c>
      <c r="B5580" t="s">
        <v>303</v>
      </c>
      <c r="C5580" s="733">
        <v>40938</v>
      </c>
      <c r="D55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80" t="s">
        <v>485</v>
      </c>
      <c r="F5580" t="s">
        <v>2065</v>
      </c>
      <c r="G5580" t="s">
        <v>5865</v>
      </c>
      <c r="H5580">
        <v>41033</v>
      </c>
      <c r="I5580" t="s">
        <v>423</v>
      </c>
      <c r="J5580" t="s">
        <v>2139</v>
      </c>
      <c r="K5580" t="s">
        <v>2102</v>
      </c>
      <c r="L5580" t="s">
        <v>2115</v>
      </c>
      <c r="M5580">
        <v>543</v>
      </c>
      <c r="N5580">
        <v>52.07</v>
      </c>
      <c r="O5580">
        <v>17508.54</v>
      </c>
      <c r="P5580">
        <v>0</v>
      </c>
      <c r="Q5580">
        <v>17508.54</v>
      </c>
      <c r="R5580">
        <v>2801.37</v>
      </c>
      <c r="S5580">
        <v>700.34</v>
      </c>
      <c r="T5580">
        <v>19609.57</v>
      </c>
      <c r="U5580" t="s">
        <v>2110</v>
      </c>
      <c r="V5580" t="s">
        <v>9409</v>
      </c>
      <c r="W5580" t="s">
        <v>423</v>
      </c>
    </row>
    <row r="5581" spans="1:23" hidden="1" x14ac:dyDescent="0.2">
      <c r="A5581">
        <v>2012</v>
      </c>
      <c r="B5581" t="s">
        <v>303</v>
      </c>
      <c r="C5581" s="733">
        <v>40927</v>
      </c>
      <c r="D55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81" t="s">
        <v>478</v>
      </c>
      <c r="F5581" t="s">
        <v>2136</v>
      </c>
      <c r="G5581" t="s">
        <v>6264</v>
      </c>
      <c r="H5581">
        <v>34705</v>
      </c>
      <c r="I5581" t="s">
        <v>423</v>
      </c>
      <c r="J5581" t="s">
        <v>4778</v>
      </c>
      <c r="K5581" t="s">
        <v>425</v>
      </c>
      <c r="L5581" t="s">
        <v>2145</v>
      </c>
      <c r="M5581">
        <v>652</v>
      </c>
      <c r="N5581">
        <v>48.09</v>
      </c>
      <c r="O5581">
        <v>15056.5</v>
      </c>
      <c r="P5581">
        <v>0</v>
      </c>
      <c r="Q5581">
        <v>15056.5</v>
      </c>
      <c r="R5581">
        <v>2409.04</v>
      </c>
      <c r="S5581">
        <v>602.26</v>
      </c>
      <c r="T5581">
        <v>16863.28</v>
      </c>
      <c r="U5581" t="s">
        <v>2927</v>
      </c>
      <c r="V5581" t="s">
        <v>9409</v>
      </c>
      <c r="W5581" t="s">
        <v>423</v>
      </c>
    </row>
    <row r="5582" spans="1:23" hidden="1" x14ac:dyDescent="0.2">
      <c r="A5582">
        <v>2012</v>
      </c>
      <c r="B5582" t="s">
        <v>304</v>
      </c>
      <c r="C5582" s="733">
        <v>40967.373391203706</v>
      </c>
      <c r="D55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82" t="s">
        <v>478</v>
      </c>
      <c r="F5582" t="s">
        <v>2136</v>
      </c>
      <c r="G5582" t="s">
        <v>9060</v>
      </c>
      <c r="H5582">
        <v>36148</v>
      </c>
      <c r="I5582" t="s">
        <v>423</v>
      </c>
      <c r="J5582" t="s">
        <v>2662</v>
      </c>
      <c r="K5582" t="s">
        <v>2625</v>
      </c>
      <c r="L5582" t="s">
        <v>2626</v>
      </c>
      <c r="M5582">
        <v>66</v>
      </c>
      <c r="N5582">
        <v>20.53</v>
      </c>
      <c r="O5582">
        <v>2417</v>
      </c>
      <c r="P5582">
        <v>0</v>
      </c>
      <c r="Q5582">
        <v>2417</v>
      </c>
      <c r="R5582">
        <v>386.72</v>
      </c>
      <c r="S5582">
        <v>96.68</v>
      </c>
      <c r="T5582">
        <v>2707.04</v>
      </c>
      <c r="V5582" t="s">
        <v>9408</v>
      </c>
      <c r="W5582" t="s">
        <v>423</v>
      </c>
    </row>
    <row r="5583" spans="1:23" hidden="1" x14ac:dyDescent="0.2">
      <c r="A5583">
        <v>2012</v>
      </c>
      <c r="B5583" t="s">
        <v>303</v>
      </c>
      <c r="C5583" s="733">
        <v>40939.448530092595</v>
      </c>
      <c r="D55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83" t="s">
        <v>478</v>
      </c>
      <c r="F5583" t="s">
        <v>2622</v>
      </c>
      <c r="G5583" t="s">
        <v>5804</v>
      </c>
      <c r="H5583">
        <v>35093</v>
      </c>
      <c r="I5583" t="s">
        <v>423</v>
      </c>
      <c r="J5583" t="s">
        <v>2662</v>
      </c>
      <c r="K5583" t="s">
        <v>2625</v>
      </c>
      <c r="L5583" t="s">
        <v>2626</v>
      </c>
      <c r="M5583">
        <v>66</v>
      </c>
      <c r="N5583">
        <v>24.97</v>
      </c>
      <c r="O5583">
        <v>2939.72</v>
      </c>
      <c r="P5583">
        <v>0</v>
      </c>
      <c r="Q5583">
        <v>2939.72</v>
      </c>
      <c r="R5583">
        <v>470.35</v>
      </c>
      <c r="S5583">
        <v>117.59</v>
      </c>
      <c r="T5583">
        <v>3292.48</v>
      </c>
      <c r="U5583" t="s">
        <v>2648</v>
      </c>
      <c r="V5583" t="s">
        <v>9408</v>
      </c>
      <c r="W5583" t="s">
        <v>423</v>
      </c>
    </row>
    <row r="5584" spans="1:23" hidden="1" x14ac:dyDescent="0.2">
      <c r="A5584">
        <v>2012</v>
      </c>
      <c r="B5584" t="s">
        <v>303</v>
      </c>
      <c r="C5584" s="733">
        <v>40931.497743055559</v>
      </c>
      <c r="D55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84" t="s">
        <v>485</v>
      </c>
      <c r="F5584" t="s">
        <v>2054</v>
      </c>
      <c r="G5584" t="s">
        <v>6048</v>
      </c>
      <c r="H5584">
        <v>10188</v>
      </c>
      <c r="I5584" t="s">
        <v>423</v>
      </c>
      <c r="J5584" t="s">
        <v>4078</v>
      </c>
      <c r="K5584" t="s">
        <v>2057</v>
      </c>
      <c r="L5584" t="s">
        <v>2058</v>
      </c>
      <c r="M5584">
        <v>154</v>
      </c>
      <c r="N5584">
        <v>22.67</v>
      </c>
      <c r="O5584">
        <v>3820.35</v>
      </c>
      <c r="P5584">
        <v>0</v>
      </c>
      <c r="Q5584">
        <v>3820.35</v>
      </c>
      <c r="R5584">
        <v>611.26</v>
      </c>
      <c r="S5584">
        <v>152.81</v>
      </c>
      <c r="T5584">
        <v>4278.8</v>
      </c>
      <c r="U5584" t="s">
        <v>2077</v>
      </c>
      <c r="V5584" t="s">
        <v>9408</v>
      </c>
      <c r="W5584" t="s">
        <v>423</v>
      </c>
    </row>
    <row r="5585" spans="1:23" hidden="1" x14ac:dyDescent="0.2">
      <c r="A5585">
        <v>2012</v>
      </c>
      <c r="B5585" t="s">
        <v>303</v>
      </c>
      <c r="C5585" s="733">
        <v>40936</v>
      </c>
      <c r="D55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85" t="s">
        <v>485</v>
      </c>
      <c r="F5585" t="s">
        <v>2054</v>
      </c>
      <c r="G5585" t="s">
        <v>6261</v>
      </c>
      <c r="H5585">
        <v>10236</v>
      </c>
      <c r="I5585" t="s">
        <v>423</v>
      </c>
      <c r="J5585" t="s">
        <v>4078</v>
      </c>
      <c r="K5585" t="s">
        <v>2057</v>
      </c>
      <c r="L5585" t="s">
        <v>2058</v>
      </c>
      <c r="M5585">
        <v>154</v>
      </c>
      <c r="N5585">
        <v>23.05</v>
      </c>
      <c r="O5585">
        <v>3884.39</v>
      </c>
      <c r="P5585">
        <v>0</v>
      </c>
      <c r="Q5585">
        <v>3884.39</v>
      </c>
      <c r="R5585">
        <v>621.5</v>
      </c>
      <c r="S5585">
        <v>155.38</v>
      </c>
      <c r="T5585">
        <v>4350.51</v>
      </c>
      <c r="U5585" t="s">
        <v>2073</v>
      </c>
      <c r="V5585" t="s">
        <v>9408</v>
      </c>
      <c r="W5585" t="s">
        <v>423</v>
      </c>
    </row>
    <row r="5586" spans="1:23" hidden="1" x14ac:dyDescent="0.2">
      <c r="A5586">
        <v>2012</v>
      </c>
      <c r="B5586" t="s">
        <v>304</v>
      </c>
      <c r="C5586" s="733">
        <v>40966</v>
      </c>
      <c r="D55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86" t="s">
        <v>505</v>
      </c>
      <c r="F5586" t="s">
        <v>1915</v>
      </c>
      <c r="G5586" t="s">
        <v>8819</v>
      </c>
      <c r="H5586">
        <v>23006</v>
      </c>
      <c r="I5586" t="s">
        <v>1979</v>
      </c>
      <c r="J5586" t="s">
        <v>1980</v>
      </c>
      <c r="K5586" t="s">
        <v>1918</v>
      </c>
      <c r="L5586" t="s">
        <v>1919</v>
      </c>
      <c r="M5586">
        <v>732</v>
      </c>
      <c r="N5586">
        <v>49.74</v>
      </c>
      <c r="O5586">
        <v>23517.07</v>
      </c>
      <c r="P5586">
        <v>0</v>
      </c>
      <c r="Q5586">
        <v>23517.07</v>
      </c>
      <c r="R5586">
        <v>3762.73</v>
      </c>
      <c r="S5586">
        <v>940.68</v>
      </c>
      <c r="T5586">
        <v>26339.119999999999</v>
      </c>
      <c r="U5586" t="s">
        <v>9415</v>
      </c>
      <c r="V5586" t="s">
        <v>9409</v>
      </c>
      <c r="W5586" t="s">
        <v>1979</v>
      </c>
    </row>
    <row r="5587" spans="1:23" hidden="1" x14ac:dyDescent="0.2">
      <c r="A5587">
        <v>2012</v>
      </c>
      <c r="B5587" t="s">
        <v>304</v>
      </c>
      <c r="C5587" s="733">
        <v>40961</v>
      </c>
      <c r="D55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87" t="s">
        <v>505</v>
      </c>
      <c r="F5587" t="s">
        <v>1915</v>
      </c>
      <c r="G5587" t="s">
        <v>8444</v>
      </c>
      <c r="H5587">
        <v>22882</v>
      </c>
      <c r="I5587" t="s">
        <v>1979</v>
      </c>
      <c r="J5587" t="s">
        <v>1980</v>
      </c>
      <c r="K5587" t="s">
        <v>1918</v>
      </c>
      <c r="L5587" t="s">
        <v>1919</v>
      </c>
      <c r="M5587">
        <v>732</v>
      </c>
      <c r="N5587">
        <v>49.64</v>
      </c>
      <c r="O5587">
        <v>23469.79</v>
      </c>
      <c r="P5587">
        <v>0</v>
      </c>
      <c r="Q5587">
        <v>23469.79</v>
      </c>
      <c r="R5587">
        <v>3755.17</v>
      </c>
      <c r="S5587">
        <v>938.79</v>
      </c>
      <c r="T5587">
        <v>26286.17</v>
      </c>
      <c r="U5587" t="s">
        <v>8491</v>
      </c>
      <c r="V5587" t="s">
        <v>9409</v>
      </c>
      <c r="W5587" t="s">
        <v>1979</v>
      </c>
    </row>
    <row r="5588" spans="1:23" hidden="1" x14ac:dyDescent="0.2">
      <c r="A5588">
        <v>2012</v>
      </c>
      <c r="B5588" t="s">
        <v>304</v>
      </c>
      <c r="C5588" s="733">
        <v>40948</v>
      </c>
      <c r="D55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88" t="s">
        <v>505</v>
      </c>
      <c r="F5588" t="s">
        <v>1915</v>
      </c>
      <c r="G5588" t="s">
        <v>2382</v>
      </c>
      <c r="H5588">
        <v>22534</v>
      </c>
      <c r="I5588" t="s">
        <v>423</v>
      </c>
      <c r="J5588" t="s">
        <v>1945</v>
      </c>
      <c r="K5588" t="s">
        <v>1918</v>
      </c>
      <c r="L5588" t="s">
        <v>1919</v>
      </c>
      <c r="M5588">
        <v>949</v>
      </c>
      <c r="N5588">
        <v>53.26</v>
      </c>
      <c r="O5588">
        <v>30646.34</v>
      </c>
      <c r="P5588">
        <v>0</v>
      </c>
      <c r="Q5588">
        <v>30646.34</v>
      </c>
      <c r="R5588">
        <v>4903.41</v>
      </c>
      <c r="S5588">
        <v>1225.8499999999999</v>
      </c>
      <c r="T5588">
        <v>34323.9</v>
      </c>
      <c r="U5588" t="s">
        <v>1924</v>
      </c>
      <c r="V5588" t="s">
        <v>9409</v>
      </c>
      <c r="W5588" t="s">
        <v>423</v>
      </c>
    </row>
    <row r="5589" spans="1:23" hidden="1" x14ac:dyDescent="0.2">
      <c r="A5589">
        <v>2012</v>
      </c>
      <c r="B5589" t="s">
        <v>304</v>
      </c>
      <c r="C5589" s="733">
        <v>40949</v>
      </c>
      <c r="D55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89" t="s">
        <v>505</v>
      </c>
      <c r="F5589" t="s">
        <v>1915</v>
      </c>
      <c r="G5589" t="s">
        <v>6566</v>
      </c>
      <c r="H5589">
        <v>22644</v>
      </c>
      <c r="I5589" t="s">
        <v>423</v>
      </c>
      <c r="J5589" t="s">
        <v>1945</v>
      </c>
      <c r="K5589" t="s">
        <v>1918</v>
      </c>
      <c r="L5589" t="s">
        <v>1919</v>
      </c>
      <c r="M5589">
        <v>949</v>
      </c>
      <c r="N5589">
        <v>26.8</v>
      </c>
      <c r="O5589">
        <v>15420.99</v>
      </c>
      <c r="P5589">
        <v>0</v>
      </c>
      <c r="Q5589">
        <v>15420.99</v>
      </c>
      <c r="R5589">
        <v>2467.36</v>
      </c>
      <c r="S5589">
        <v>616.84</v>
      </c>
      <c r="T5589">
        <v>17271.509999999998</v>
      </c>
      <c r="U5589" t="s">
        <v>7522</v>
      </c>
      <c r="V5589" t="s">
        <v>9408</v>
      </c>
      <c r="W5589" t="s">
        <v>423</v>
      </c>
    </row>
    <row r="5590" spans="1:23" hidden="1" x14ac:dyDescent="0.2">
      <c r="A5590">
        <v>2012</v>
      </c>
      <c r="B5590" t="s">
        <v>304</v>
      </c>
      <c r="C5590" s="733">
        <v>40954</v>
      </c>
      <c r="D55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90" t="s">
        <v>505</v>
      </c>
      <c r="F5590" t="s">
        <v>1915</v>
      </c>
      <c r="G5590" t="s">
        <v>7683</v>
      </c>
      <c r="H5590">
        <v>22713</v>
      </c>
      <c r="I5590" t="s">
        <v>423</v>
      </c>
      <c r="J5590" t="s">
        <v>1945</v>
      </c>
      <c r="K5590" t="s">
        <v>1918</v>
      </c>
      <c r="L5590" t="s">
        <v>1919</v>
      </c>
      <c r="M5590">
        <v>949</v>
      </c>
      <c r="N5590">
        <v>52.99</v>
      </c>
      <c r="O5590">
        <v>30490.98</v>
      </c>
      <c r="P5590">
        <v>0</v>
      </c>
      <c r="Q5590">
        <v>30490.98</v>
      </c>
      <c r="R5590">
        <v>4878.5600000000004</v>
      </c>
      <c r="S5590">
        <v>1219.6400000000001</v>
      </c>
      <c r="T5590">
        <v>34149.9</v>
      </c>
      <c r="U5590" t="s">
        <v>7529</v>
      </c>
      <c r="V5590" t="s">
        <v>9409</v>
      </c>
      <c r="W5590" t="s">
        <v>423</v>
      </c>
    </row>
    <row r="5591" spans="1:23" hidden="1" x14ac:dyDescent="0.2">
      <c r="A5591">
        <v>2012</v>
      </c>
      <c r="B5591" t="s">
        <v>303</v>
      </c>
      <c r="C5591" s="733">
        <v>40939</v>
      </c>
      <c r="D55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91" t="s">
        <v>505</v>
      </c>
      <c r="F5591" t="s">
        <v>1915</v>
      </c>
      <c r="G5591" t="s">
        <v>2381</v>
      </c>
      <c r="H5591">
        <v>21704</v>
      </c>
      <c r="I5591" t="s">
        <v>423</v>
      </c>
      <c r="J5591" t="s">
        <v>1945</v>
      </c>
      <c r="K5591" t="s">
        <v>1918</v>
      </c>
      <c r="L5591" t="s">
        <v>1919</v>
      </c>
      <c r="M5591">
        <v>949</v>
      </c>
      <c r="N5591">
        <v>53.71</v>
      </c>
      <c r="O5591">
        <v>30905.27</v>
      </c>
      <c r="P5591">
        <v>0</v>
      </c>
      <c r="Q5591">
        <v>30905.27</v>
      </c>
      <c r="R5591">
        <v>4944.84</v>
      </c>
      <c r="S5591">
        <v>1236.21</v>
      </c>
      <c r="T5591">
        <v>34613.9</v>
      </c>
      <c r="U5591" t="s">
        <v>1936</v>
      </c>
      <c r="V5591" t="s">
        <v>9409</v>
      </c>
      <c r="W5591" t="s">
        <v>423</v>
      </c>
    </row>
    <row r="5592" spans="1:23" hidden="1" x14ac:dyDescent="0.2">
      <c r="A5592">
        <v>2012</v>
      </c>
      <c r="B5592" t="s">
        <v>304</v>
      </c>
      <c r="C5592" s="733">
        <v>40946</v>
      </c>
      <c r="D55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92" t="s">
        <v>505</v>
      </c>
      <c r="F5592" t="s">
        <v>1915</v>
      </c>
      <c r="G5592" t="s">
        <v>6564</v>
      </c>
      <c r="H5592">
        <v>22412</v>
      </c>
      <c r="I5592" t="s">
        <v>423</v>
      </c>
      <c r="J5592" t="s">
        <v>6565</v>
      </c>
      <c r="K5592" t="s">
        <v>1918</v>
      </c>
      <c r="L5592" t="s">
        <v>1919</v>
      </c>
      <c r="M5592">
        <v>496</v>
      </c>
      <c r="N5592">
        <v>25.05</v>
      </c>
      <c r="O5592">
        <v>11279.51</v>
      </c>
      <c r="P5592">
        <v>0</v>
      </c>
      <c r="Q5592">
        <v>11279.51</v>
      </c>
      <c r="R5592">
        <v>1804.72</v>
      </c>
      <c r="S5592">
        <v>451.18</v>
      </c>
      <c r="T5592">
        <v>12633.05</v>
      </c>
      <c r="U5592" t="s">
        <v>1924</v>
      </c>
      <c r="V5592" t="s">
        <v>9408</v>
      </c>
      <c r="W5592" t="s">
        <v>423</v>
      </c>
    </row>
    <row r="5593" spans="1:23" hidden="1" x14ac:dyDescent="0.2">
      <c r="A5593">
        <v>2012</v>
      </c>
      <c r="B5593" t="s">
        <v>304</v>
      </c>
      <c r="C5593" s="733">
        <v>40941</v>
      </c>
      <c r="D55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593" t="s">
        <v>478</v>
      </c>
      <c r="F5593" t="s">
        <v>2136</v>
      </c>
      <c r="G5593" t="s">
        <v>6266</v>
      </c>
      <c r="H5593">
        <v>35219</v>
      </c>
      <c r="I5593" t="s">
        <v>423</v>
      </c>
      <c r="J5593" t="s">
        <v>3636</v>
      </c>
      <c r="K5593" t="s">
        <v>425</v>
      </c>
      <c r="L5593" t="s">
        <v>2145</v>
      </c>
      <c r="M5593">
        <v>244</v>
      </c>
      <c r="N5593">
        <v>42.65</v>
      </c>
      <c r="O5593">
        <v>7123.4</v>
      </c>
      <c r="P5593">
        <v>0</v>
      </c>
      <c r="Q5593">
        <v>7123.4</v>
      </c>
      <c r="R5593">
        <v>1139.74</v>
      </c>
      <c r="S5593">
        <v>284.94</v>
      </c>
      <c r="T5593">
        <v>7978.2</v>
      </c>
      <c r="U5593" t="s">
        <v>2914</v>
      </c>
      <c r="V5593" t="s">
        <v>9409</v>
      </c>
      <c r="W5593" t="s">
        <v>423</v>
      </c>
    </row>
    <row r="5594" spans="1:23" hidden="1" x14ac:dyDescent="0.2">
      <c r="A5594">
        <v>2012</v>
      </c>
      <c r="B5594" t="s">
        <v>303</v>
      </c>
      <c r="C5594" s="733">
        <v>40931</v>
      </c>
      <c r="D55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94" t="s">
        <v>478</v>
      </c>
      <c r="F5594" t="s">
        <v>2136</v>
      </c>
      <c r="G5594" t="s">
        <v>6265</v>
      </c>
      <c r="H5594">
        <v>34765</v>
      </c>
      <c r="I5594" t="s">
        <v>423</v>
      </c>
      <c r="J5594" t="s">
        <v>3636</v>
      </c>
      <c r="K5594" t="s">
        <v>425</v>
      </c>
      <c r="L5594" t="s">
        <v>2145</v>
      </c>
      <c r="M5594">
        <v>244</v>
      </c>
      <c r="N5594">
        <v>22.78</v>
      </c>
      <c r="O5594">
        <v>3804.72</v>
      </c>
      <c r="P5594">
        <v>0</v>
      </c>
      <c r="Q5594">
        <v>3804.72</v>
      </c>
      <c r="R5594">
        <v>608.75</v>
      </c>
      <c r="S5594">
        <v>152.19</v>
      </c>
      <c r="T5594">
        <v>4261.28</v>
      </c>
      <c r="U5594" t="s">
        <v>3234</v>
      </c>
      <c r="V5594" t="s">
        <v>9409</v>
      </c>
      <c r="W5594" t="s">
        <v>423</v>
      </c>
    </row>
    <row r="5595" spans="1:23" hidden="1" x14ac:dyDescent="0.2">
      <c r="A5595">
        <v>2012</v>
      </c>
      <c r="B5595" t="s">
        <v>303</v>
      </c>
      <c r="C5595" s="733">
        <v>40925</v>
      </c>
      <c r="D55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95" t="s">
        <v>478</v>
      </c>
      <c r="F5595" t="s">
        <v>2136</v>
      </c>
      <c r="G5595" t="s">
        <v>6268</v>
      </c>
      <c r="H5595">
        <v>34633</v>
      </c>
      <c r="I5595" t="s">
        <v>423</v>
      </c>
      <c r="J5595" t="s">
        <v>3636</v>
      </c>
      <c r="K5595" t="s">
        <v>425</v>
      </c>
      <c r="L5595" t="s">
        <v>2145</v>
      </c>
      <c r="M5595">
        <v>244</v>
      </c>
      <c r="N5595">
        <v>24.05</v>
      </c>
      <c r="O5595">
        <v>4016.83</v>
      </c>
      <c r="P5595">
        <v>0</v>
      </c>
      <c r="Q5595">
        <v>4016.83</v>
      </c>
      <c r="R5595">
        <v>642.69000000000005</v>
      </c>
      <c r="S5595">
        <v>160.66999999999999</v>
      </c>
      <c r="T5595">
        <v>4498.8500000000004</v>
      </c>
      <c r="U5595" t="s">
        <v>2146</v>
      </c>
      <c r="V5595" t="s">
        <v>9408</v>
      </c>
      <c r="W5595" t="s">
        <v>423</v>
      </c>
    </row>
    <row r="5596" spans="1:23" hidden="1" x14ac:dyDescent="0.2">
      <c r="A5596">
        <v>2012</v>
      </c>
      <c r="B5596" t="s">
        <v>303</v>
      </c>
      <c r="C5596" s="733">
        <v>40913</v>
      </c>
      <c r="D55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96" t="s">
        <v>478</v>
      </c>
      <c r="F5596" t="s">
        <v>2136</v>
      </c>
      <c r="G5596" t="s">
        <v>6267</v>
      </c>
      <c r="H5596">
        <v>34243</v>
      </c>
      <c r="I5596" t="s">
        <v>423</v>
      </c>
      <c r="J5596" t="s">
        <v>3636</v>
      </c>
      <c r="K5596" t="s">
        <v>425</v>
      </c>
      <c r="L5596" t="s">
        <v>2145</v>
      </c>
      <c r="M5596">
        <v>244</v>
      </c>
      <c r="N5596">
        <v>53.24</v>
      </c>
      <c r="O5596">
        <v>3743.84</v>
      </c>
      <c r="P5596">
        <v>4215.1520179999998</v>
      </c>
      <c r="Q5596">
        <v>7958.9920179999999</v>
      </c>
      <c r="R5596">
        <v>1273.438723</v>
      </c>
      <c r="S5596">
        <v>318.35968100000002</v>
      </c>
      <c r="T5596">
        <v>8914.0710600000002</v>
      </c>
      <c r="U5596" t="s">
        <v>3323</v>
      </c>
      <c r="V5596" t="s">
        <v>9409</v>
      </c>
      <c r="W5596" t="s">
        <v>423</v>
      </c>
    </row>
    <row r="5597" spans="1:23" hidden="1" x14ac:dyDescent="0.2">
      <c r="A5597">
        <v>2012</v>
      </c>
      <c r="B5597" t="s">
        <v>305</v>
      </c>
      <c r="C5597" s="733">
        <v>40969</v>
      </c>
      <c r="D559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597" t="s">
        <v>478</v>
      </c>
      <c r="F5597" t="s">
        <v>2136</v>
      </c>
      <c r="G5597" t="s">
        <v>9502</v>
      </c>
      <c r="H5597">
        <v>36154</v>
      </c>
      <c r="I5597" t="s">
        <v>423</v>
      </c>
      <c r="J5597" t="s">
        <v>4778</v>
      </c>
      <c r="K5597" t="s">
        <v>425</v>
      </c>
      <c r="L5597" t="s">
        <v>2145</v>
      </c>
      <c r="M5597">
        <v>652</v>
      </c>
      <c r="N5597">
        <v>42.38</v>
      </c>
      <c r="O5597">
        <v>13268.75</v>
      </c>
      <c r="P5597">
        <v>0</v>
      </c>
      <c r="Q5597">
        <v>13268.75</v>
      </c>
      <c r="R5597">
        <v>2123</v>
      </c>
      <c r="S5597">
        <v>530.75</v>
      </c>
      <c r="T5597">
        <v>14861</v>
      </c>
      <c r="V5597" t="s">
        <v>9409</v>
      </c>
      <c r="W5597" t="s">
        <v>423</v>
      </c>
    </row>
    <row r="5598" spans="1:23" hidden="1" x14ac:dyDescent="0.2">
      <c r="A5598">
        <v>2012</v>
      </c>
      <c r="B5598" t="s">
        <v>303</v>
      </c>
      <c r="C5598" s="733">
        <v>40914</v>
      </c>
      <c r="D55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98" t="s">
        <v>505</v>
      </c>
      <c r="F5598" t="s">
        <v>1915</v>
      </c>
      <c r="G5598" t="s">
        <v>6562</v>
      </c>
      <c r="H5598">
        <v>21821</v>
      </c>
      <c r="I5598" t="s">
        <v>1979</v>
      </c>
      <c r="J5598" t="s">
        <v>1980</v>
      </c>
      <c r="K5598" t="s">
        <v>1918</v>
      </c>
      <c r="L5598" t="s">
        <v>1919</v>
      </c>
      <c r="M5598">
        <v>732</v>
      </c>
      <c r="N5598">
        <v>49.71</v>
      </c>
      <c r="O5598">
        <v>21802.81</v>
      </c>
      <c r="P5598">
        <v>0</v>
      </c>
      <c r="Q5598">
        <v>21802.81</v>
      </c>
      <c r="R5598">
        <v>3488.45</v>
      </c>
      <c r="S5598">
        <v>872.11</v>
      </c>
      <c r="T5598">
        <v>24419.15</v>
      </c>
      <c r="V5598" t="s">
        <v>9409</v>
      </c>
      <c r="W5598" t="s">
        <v>1979</v>
      </c>
    </row>
    <row r="5599" spans="1:23" hidden="1" x14ac:dyDescent="0.2">
      <c r="A5599">
        <v>2012</v>
      </c>
      <c r="B5599" t="s">
        <v>303</v>
      </c>
      <c r="C5599" s="733">
        <v>40919</v>
      </c>
      <c r="D55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599" t="s">
        <v>505</v>
      </c>
      <c r="F5599" t="s">
        <v>1915</v>
      </c>
      <c r="G5599" t="s">
        <v>6563</v>
      </c>
      <c r="H5599">
        <v>21884</v>
      </c>
      <c r="I5599" t="s">
        <v>1979</v>
      </c>
      <c r="J5599" t="s">
        <v>1980</v>
      </c>
      <c r="K5599" t="s">
        <v>1918</v>
      </c>
      <c r="L5599" t="s">
        <v>1919</v>
      </c>
      <c r="M5599">
        <v>732</v>
      </c>
      <c r="N5599">
        <v>49.99</v>
      </c>
      <c r="O5599">
        <v>21925.61</v>
      </c>
      <c r="P5599">
        <v>0</v>
      </c>
      <c r="Q5599">
        <v>21925.61</v>
      </c>
      <c r="R5599">
        <v>3508.1</v>
      </c>
      <c r="S5599">
        <v>877.02</v>
      </c>
      <c r="T5599">
        <v>24556.69</v>
      </c>
      <c r="U5599" t="s">
        <v>1931</v>
      </c>
      <c r="V5599" t="s">
        <v>9409</v>
      </c>
      <c r="W5599" t="s">
        <v>1979</v>
      </c>
    </row>
    <row r="5600" spans="1:23" hidden="1" x14ac:dyDescent="0.2">
      <c r="A5600">
        <v>2012</v>
      </c>
      <c r="B5600" t="s">
        <v>303</v>
      </c>
      <c r="C5600" s="733">
        <v>40926.832835648151</v>
      </c>
      <c r="D56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00" t="s">
        <v>478</v>
      </c>
      <c r="F5600" t="s">
        <v>2622</v>
      </c>
      <c r="G5600" t="s">
        <v>5797</v>
      </c>
      <c r="H5600">
        <v>34699</v>
      </c>
      <c r="I5600" t="s">
        <v>423</v>
      </c>
      <c r="J5600" t="s">
        <v>2644</v>
      </c>
      <c r="K5600" t="s">
        <v>2625</v>
      </c>
      <c r="L5600" t="s">
        <v>2626</v>
      </c>
      <c r="M5600">
        <v>52</v>
      </c>
      <c r="N5600">
        <v>24.03</v>
      </c>
      <c r="O5600">
        <v>2829.05</v>
      </c>
      <c r="P5600">
        <v>0</v>
      </c>
      <c r="Q5600">
        <v>2829.05</v>
      </c>
      <c r="R5600">
        <v>452.65</v>
      </c>
      <c r="S5600">
        <v>113.16</v>
      </c>
      <c r="T5600">
        <v>3168.54</v>
      </c>
      <c r="U5600" t="s">
        <v>2635</v>
      </c>
      <c r="V5600" t="s">
        <v>9408</v>
      </c>
      <c r="W5600" t="s">
        <v>423</v>
      </c>
    </row>
    <row r="5601" spans="1:23" hidden="1" x14ac:dyDescent="0.2">
      <c r="A5601">
        <v>2012</v>
      </c>
      <c r="B5601" t="s">
        <v>304</v>
      </c>
      <c r="C5601" s="733">
        <v>40963.403773148151</v>
      </c>
      <c r="D56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01" t="s">
        <v>478</v>
      </c>
      <c r="F5601" t="s">
        <v>2622</v>
      </c>
      <c r="G5601" t="s">
        <v>9077</v>
      </c>
      <c r="H5601">
        <v>35980</v>
      </c>
      <c r="I5601" t="s">
        <v>423</v>
      </c>
      <c r="J5601" t="s">
        <v>2644</v>
      </c>
      <c r="K5601" t="s">
        <v>2625</v>
      </c>
      <c r="L5601" t="s">
        <v>2626</v>
      </c>
      <c r="M5601">
        <v>52</v>
      </c>
      <c r="N5601">
        <v>25.15</v>
      </c>
      <c r="O5601">
        <v>2960.91</v>
      </c>
      <c r="P5601">
        <v>0</v>
      </c>
      <c r="Q5601">
        <v>2960.91</v>
      </c>
      <c r="R5601">
        <v>473.75</v>
      </c>
      <c r="S5601">
        <v>118.44</v>
      </c>
      <c r="T5601">
        <v>3316.22</v>
      </c>
      <c r="U5601" t="s">
        <v>9428</v>
      </c>
      <c r="V5601" t="s">
        <v>9408</v>
      </c>
      <c r="W5601" t="s">
        <v>423</v>
      </c>
    </row>
    <row r="5602" spans="1:23" hidden="1" x14ac:dyDescent="0.2">
      <c r="A5602">
        <v>2012</v>
      </c>
      <c r="B5602" t="s">
        <v>304</v>
      </c>
      <c r="C5602" s="733">
        <v>40946.73101851852</v>
      </c>
      <c r="D56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02" t="s">
        <v>478</v>
      </c>
      <c r="F5602" t="s">
        <v>2622</v>
      </c>
      <c r="G5602" t="s">
        <v>5225</v>
      </c>
      <c r="H5602">
        <v>35374</v>
      </c>
      <c r="I5602" t="s">
        <v>423</v>
      </c>
      <c r="J5602" t="s">
        <v>2644</v>
      </c>
      <c r="K5602" t="s">
        <v>2625</v>
      </c>
      <c r="L5602" t="s">
        <v>2626</v>
      </c>
      <c r="M5602">
        <v>52</v>
      </c>
      <c r="N5602">
        <v>24.77</v>
      </c>
      <c r="O5602">
        <v>2916.17</v>
      </c>
      <c r="P5602">
        <v>0</v>
      </c>
      <c r="Q5602">
        <v>2916.17</v>
      </c>
      <c r="R5602">
        <v>466.59</v>
      </c>
      <c r="S5602">
        <v>116.65</v>
      </c>
      <c r="T5602">
        <v>3266.11</v>
      </c>
      <c r="U5602" t="s">
        <v>2630</v>
      </c>
      <c r="V5602" t="s">
        <v>9408</v>
      </c>
      <c r="W5602" t="s">
        <v>423</v>
      </c>
    </row>
    <row r="5603" spans="1:23" hidden="1" x14ac:dyDescent="0.2">
      <c r="A5603">
        <v>2012</v>
      </c>
      <c r="B5603" t="s">
        <v>304</v>
      </c>
      <c r="C5603" s="733">
        <v>40946.737685185188</v>
      </c>
      <c r="D56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03" t="s">
        <v>478</v>
      </c>
      <c r="F5603" t="s">
        <v>2622</v>
      </c>
      <c r="G5603" t="s">
        <v>5227</v>
      </c>
      <c r="H5603">
        <v>35380</v>
      </c>
      <c r="I5603" t="s">
        <v>423</v>
      </c>
      <c r="J5603" t="s">
        <v>2644</v>
      </c>
      <c r="K5603" t="s">
        <v>2625</v>
      </c>
      <c r="L5603" t="s">
        <v>2626</v>
      </c>
      <c r="M5603">
        <v>52</v>
      </c>
      <c r="N5603">
        <v>24.96</v>
      </c>
      <c r="O5603">
        <v>2938.54</v>
      </c>
      <c r="P5603">
        <v>0</v>
      </c>
      <c r="Q5603">
        <v>2938.54</v>
      </c>
      <c r="R5603">
        <v>470.17</v>
      </c>
      <c r="S5603">
        <v>117.54</v>
      </c>
      <c r="T5603">
        <v>3291.17</v>
      </c>
      <c r="U5603" t="s">
        <v>2652</v>
      </c>
      <c r="V5603" t="s">
        <v>9408</v>
      </c>
      <c r="W5603" t="s">
        <v>423</v>
      </c>
    </row>
    <row r="5604" spans="1:23" hidden="1" x14ac:dyDescent="0.2">
      <c r="A5604">
        <v>2012</v>
      </c>
      <c r="B5604" t="s">
        <v>303</v>
      </c>
      <c r="C5604" s="733">
        <v>40939.453993055555</v>
      </c>
      <c r="D56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04" t="s">
        <v>478</v>
      </c>
      <c r="F5604" t="s">
        <v>2622</v>
      </c>
      <c r="G5604" t="s">
        <v>5228</v>
      </c>
      <c r="H5604">
        <v>35096</v>
      </c>
      <c r="I5604" t="s">
        <v>423</v>
      </c>
      <c r="J5604" t="s">
        <v>2644</v>
      </c>
      <c r="K5604" t="s">
        <v>2625</v>
      </c>
      <c r="L5604" t="s">
        <v>2626</v>
      </c>
      <c r="M5604">
        <v>52</v>
      </c>
      <c r="N5604">
        <v>24.53</v>
      </c>
      <c r="O5604">
        <v>2887.92</v>
      </c>
      <c r="P5604">
        <v>0</v>
      </c>
      <c r="Q5604">
        <v>2887.92</v>
      </c>
      <c r="R5604">
        <v>462.07</v>
      </c>
      <c r="S5604">
        <v>115.52</v>
      </c>
      <c r="T5604">
        <v>3234.47</v>
      </c>
      <c r="U5604" t="s">
        <v>2648</v>
      </c>
      <c r="V5604" t="s">
        <v>9408</v>
      </c>
      <c r="W5604" t="s">
        <v>423</v>
      </c>
    </row>
    <row r="5605" spans="1:23" hidden="1" x14ac:dyDescent="0.2">
      <c r="A5605">
        <v>2012</v>
      </c>
      <c r="B5605" t="s">
        <v>303</v>
      </c>
      <c r="C5605" s="733">
        <v>40918</v>
      </c>
      <c r="D56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05" t="s">
        <v>478</v>
      </c>
      <c r="F5605" t="s">
        <v>2136</v>
      </c>
      <c r="G5605" t="s">
        <v>5798</v>
      </c>
      <c r="H5605">
        <v>34372</v>
      </c>
      <c r="I5605" t="s">
        <v>423</v>
      </c>
      <c r="J5605" t="s">
        <v>2644</v>
      </c>
      <c r="K5605" t="s">
        <v>2625</v>
      </c>
      <c r="L5605" t="s">
        <v>2626</v>
      </c>
      <c r="M5605">
        <v>52</v>
      </c>
      <c r="N5605">
        <v>22.75</v>
      </c>
      <c r="O5605">
        <v>2678.36</v>
      </c>
      <c r="P5605">
        <v>0</v>
      </c>
      <c r="Q5605">
        <v>2678.36</v>
      </c>
      <c r="R5605">
        <v>428.54</v>
      </c>
      <c r="S5605">
        <v>107.13</v>
      </c>
      <c r="T5605">
        <v>2999.77</v>
      </c>
      <c r="U5605" t="s">
        <v>2635</v>
      </c>
      <c r="V5605" t="s">
        <v>9408</v>
      </c>
      <c r="W5605" t="s">
        <v>423</v>
      </c>
    </row>
    <row r="5606" spans="1:23" hidden="1" x14ac:dyDescent="0.2">
      <c r="A5606">
        <v>2012</v>
      </c>
      <c r="B5606" t="s">
        <v>304</v>
      </c>
      <c r="C5606" s="733">
        <v>40968.750243055554</v>
      </c>
      <c r="D56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06" t="s">
        <v>478</v>
      </c>
      <c r="F5606" t="s">
        <v>2136</v>
      </c>
      <c r="G5606" t="s">
        <v>9483</v>
      </c>
      <c r="H5606">
        <v>36201</v>
      </c>
      <c r="I5606" t="s">
        <v>423</v>
      </c>
      <c r="J5606" t="s">
        <v>2644</v>
      </c>
      <c r="K5606" t="s">
        <v>2625</v>
      </c>
      <c r="L5606" t="s">
        <v>2626</v>
      </c>
      <c r="M5606">
        <v>52</v>
      </c>
      <c r="N5606">
        <v>20.65</v>
      </c>
      <c r="O5606">
        <v>2431.12</v>
      </c>
      <c r="P5606">
        <v>0</v>
      </c>
      <c r="Q5606">
        <v>2431.12</v>
      </c>
      <c r="R5606">
        <v>388.98</v>
      </c>
      <c r="S5606">
        <v>97.24</v>
      </c>
      <c r="T5606">
        <v>2722.86</v>
      </c>
      <c r="V5606" t="s">
        <v>9408</v>
      </c>
      <c r="W5606" t="s">
        <v>423</v>
      </c>
    </row>
    <row r="5607" spans="1:23" hidden="1" x14ac:dyDescent="0.2">
      <c r="A5607">
        <v>2012</v>
      </c>
      <c r="B5607" t="s">
        <v>303</v>
      </c>
      <c r="C5607" s="733">
        <v>40935.473460648151</v>
      </c>
      <c r="D56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07" t="s">
        <v>485</v>
      </c>
      <c r="F5607" t="s">
        <v>2054</v>
      </c>
      <c r="G5607" t="s">
        <v>6058</v>
      </c>
      <c r="H5607">
        <v>10231</v>
      </c>
      <c r="I5607" t="s">
        <v>423</v>
      </c>
      <c r="J5607" t="s">
        <v>3564</v>
      </c>
      <c r="K5607" t="s">
        <v>2057</v>
      </c>
      <c r="L5607" t="s">
        <v>2058</v>
      </c>
      <c r="M5607">
        <v>388</v>
      </c>
      <c r="N5607">
        <v>22.55</v>
      </c>
      <c r="O5607">
        <v>5991.76</v>
      </c>
      <c r="P5607">
        <v>0</v>
      </c>
      <c r="Q5607">
        <v>5991.76</v>
      </c>
      <c r="R5607">
        <v>958.68</v>
      </c>
      <c r="S5607">
        <v>239.67</v>
      </c>
      <c r="T5607">
        <v>6710.77</v>
      </c>
      <c r="U5607" t="s">
        <v>2073</v>
      </c>
      <c r="V5607" t="s">
        <v>9408</v>
      </c>
      <c r="W5607" t="s">
        <v>423</v>
      </c>
    </row>
    <row r="5608" spans="1:23" hidden="1" x14ac:dyDescent="0.2">
      <c r="A5608">
        <v>2012</v>
      </c>
      <c r="B5608" t="s">
        <v>303</v>
      </c>
      <c r="C5608" s="733">
        <v>40932</v>
      </c>
      <c r="D56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08" t="s">
        <v>505</v>
      </c>
      <c r="F5608" t="s">
        <v>1915</v>
      </c>
      <c r="G5608" t="s">
        <v>6972</v>
      </c>
      <c r="H5608">
        <v>22191</v>
      </c>
      <c r="I5608" t="s">
        <v>423</v>
      </c>
      <c r="J5608" t="s">
        <v>5285</v>
      </c>
      <c r="K5608" t="s">
        <v>1918</v>
      </c>
      <c r="L5608" t="s">
        <v>1919</v>
      </c>
      <c r="M5608">
        <v>433</v>
      </c>
      <c r="N5608">
        <v>25.07</v>
      </c>
      <c r="O5608">
        <v>7921.62</v>
      </c>
      <c r="P5608">
        <v>0</v>
      </c>
      <c r="Q5608">
        <v>7921.62</v>
      </c>
      <c r="R5608">
        <v>1267.46</v>
      </c>
      <c r="S5608">
        <v>316.86</v>
      </c>
      <c r="T5608">
        <v>8872.2199999999993</v>
      </c>
      <c r="U5608" t="s">
        <v>1936</v>
      </c>
      <c r="V5608" t="s">
        <v>9408</v>
      </c>
      <c r="W5608" t="s">
        <v>423</v>
      </c>
    </row>
    <row r="5609" spans="1:23" hidden="1" x14ac:dyDescent="0.2">
      <c r="A5609">
        <v>2012</v>
      </c>
      <c r="B5609" t="s">
        <v>304</v>
      </c>
      <c r="C5609" s="733">
        <v>40942</v>
      </c>
      <c r="D56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09" t="s">
        <v>505</v>
      </c>
      <c r="F5609" t="s">
        <v>1915</v>
      </c>
      <c r="G5609" t="s">
        <v>7166</v>
      </c>
      <c r="H5609">
        <v>22486</v>
      </c>
      <c r="I5609" t="s">
        <v>423</v>
      </c>
      <c r="J5609" t="s">
        <v>5285</v>
      </c>
      <c r="K5609" t="s">
        <v>1918</v>
      </c>
      <c r="L5609" t="s">
        <v>1919</v>
      </c>
      <c r="M5609">
        <v>433</v>
      </c>
      <c r="N5609">
        <v>24.71</v>
      </c>
      <c r="O5609">
        <v>7807.87</v>
      </c>
      <c r="P5609">
        <v>0</v>
      </c>
      <c r="Q5609">
        <v>7807.87</v>
      </c>
      <c r="R5609">
        <v>1249.26</v>
      </c>
      <c r="S5609">
        <v>312.31</v>
      </c>
      <c r="T5609">
        <v>8744.82</v>
      </c>
      <c r="U5609" t="s">
        <v>1924</v>
      </c>
      <c r="V5609" t="s">
        <v>9408</v>
      </c>
      <c r="W5609" t="s">
        <v>423</v>
      </c>
    </row>
    <row r="5610" spans="1:23" hidden="1" x14ac:dyDescent="0.2">
      <c r="A5610">
        <v>2012</v>
      </c>
      <c r="B5610" t="s">
        <v>303</v>
      </c>
      <c r="C5610" s="733">
        <v>40919</v>
      </c>
      <c r="D56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10" t="s">
        <v>485</v>
      </c>
      <c r="F5610" t="s">
        <v>2054</v>
      </c>
      <c r="G5610" t="s">
        <v>6770</v>
      </c>
      <c r="H5610">
        <v>10001</v>
      </c>
      <c r="I5610" t="s">
        <v>423</v>
      </c>
      <c r="J5610" t="s">
        <v>3564</v>
      </c>
      <c r="K5610" t="s">
        <v>2057</v>
      </c>
      <c r="L5610" t="s">
        <v>2058</v>
      </c>
      <c r="M5610">
        <v>388</v>
      </c>
      <c r="N5610">
        <v>22.98</v>
      </c>
      <c r="O5610">
        <v>6106.02</v>
      </c>
      <c r="P5610">
        <v>0</v>
      </c>
      <c r="Q5610">
        <v>6106.02</v>
      </c>
      <c r="R5610">
        <v>976.96</v>
      </c>
      <c r="S5610">
        <v>244.24</v>
      </c>
      <c r="T5610">
        <v>6838.74</v>
      </c>
      <c r="U5610" t="s">
        <v>2070</v>
      </c>
      <c r="V5610" t="s">
        <v>9408</v>
      </c>
      <c r="W5610" t="s">
        <v>423</v>
      </c>
    </row>
    <row r="5611" spans="1:23" hidden="1" x14ac:dyDescent="0.2">
      <c r="A5611">
        <v>2012</v>
      </c>
      <c r="B5611" t="s">
        <v>303</v>
      </c>
      <c r="C5611" s="733">
        <v>40938</v>
      </c>
      <c r="D56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11" t="s">
        <v>485</v>
      </c>
      <c r="F5611" t="s">
        <v>2084</v>
      </c>
      <c r="G5611" t="s">
        <v>6155</v>
      </c>
      <c r="H5611">
        <v>40061</v>
      </c>
      <c r="I5611" t="s">
        <v>423</v>
      </c>
      <c r="J5611" t="s">
        <v>2813</v>
      </c>
      <c r="K5611" t="s">
        <v>2814</v>
      </c>
      <c r="L5611" t="s">
        <v>2815</v>
      </c>
      <c r="M5611">
        <v>365</v>
      </c>
      <c r="N5611">
        <v>24.24</v>
      </c>
      <c r="O5611">
        <v>6524.92</v>
      </c>
      <c r="P5611">
        <v>0</v>
      </c>
      <c r="Q5611">
        <v>6524.92</v>
      </c>
      <c r="R5611">
        <v>1043.99</v>
      </c>
      <c r="S5611">
        <v>261</v>
      </c>
      <c r="T5611">
        <v>7307.91</v>
      </c>
      <c r="U5611" t="s">
        <v>2826</v>
      </c>
      <c r="V5611" t="s">
        <v>9408</v>
      </c>
      <c r="W5611" t="s">
        <v>423</v>
      </c>
    </row>
    <row r="5612" spans="1:23" hidden="1" x14ac:dyDescent="0.2">
      <c r="A5612">
        <v>2012</v>
      </c>
      <c r="B5612" t="s">
        <v>304</v>
      </c>
      <c r="C5612" s="733">
        <v>40942</v>
      </c>
      <c r="D56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12" t="s">
        <v>478</v>
      </c>
      <c r="F5612" t="s">
        <v>2136</v>
      </c>
      <c r="G5612" t="s">
        <v>6961</v>
      </c>
      <c r="H5612">
        <v>35061</v>
      </c>
      <c r="I5612" t="s">
        <v>423</v>
      </c>
      <c r="J5612" t="s">
        <v>4291</v>
      </c>
      <c r="K5612" t="s">
        <v>425</v>
      </c>
      <c r="L5612" t="s">
        <v>2145</v>
      </c>
      <c r="M5612">
        <v>163</v>
      </c>
      <c r="N5612">
        <v>25.07</v>
      </c>
      <c r="O5612">
        <v>4455.1899999999996</v>
      </c>
      <c r="P5612">
        <v>0</v>
      </c>
      <c r="Q5612">
        <v>4455.1899999999996</v>
      </c>
      <c r="R5612">
        <v>712.83</v>
      </c>
      <c r="S5612">
        <v>178.21</v>
      </c>
      <c r="T5612">
        <v>4989.8100000000004</v>
      </c>
      <c r="U5612" t="s">
        <v>2938</v>
      </c>
      <c r="V5612" t="s">
        <v>9408</v>
      </c>
      <c r="W5612" t="s">
        <v>423</v>
      </c>
    </row>
    <row r="5613" spans="1:23" hidden="1" x14ac:dyDescent="0.2">
      <c r="A5613">
        <v>2012</v>
      </c>
      <c r="B5613" t="s">
        <v>304</v>
      </c>
      <c r="C5613" s="733">
        <v>40953</v>
      </c>
      <c r="D56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13" t="s">
        <v>505</v>
      </c>
      <c r="F5613" t="s">
        <v>1915</v>
      </c>
      <c r="G5613" t="s">
        <v>6971</v>
      </c>
      <c r="H5613">
        <v>22669</v>
      </c>
      <c r="I5613" t="s">
        <v>423</v>
      </c>
      <c r="J5613" t="s">
        <v>4140</v>
      </c>
      <c r="K5613" t="s">
        <v>1918</v>
      </c>
      <c r="L5613" t="s">
        <v>1919</v>
      </c>
      <c r="M5613">
        <v>1</v>
      </c>
      <c r="N5613">
        <v>24.65</v>
      </c>
      <c r="O5613">
        <v>2380.6999999999998</v>
      </c>
      <c r="P5613">
        <v>0</v>
      </c>
      <c r="Q5613">
        <v>2380.6999999999998</v>
      </c>
      <c r="R5613">
        <v>380.91</v>
      </c>
      <c r="S5613">
        <v>95.23</v>
      </c>
      <c r="T5613">
        <v>2666.38</v>
      </c>
      <c r="U5613" t="s">
        <v>7529</v>
      </c>
      <c r="V5613" t="s">
        <v>9408</v>
      </c>
      <c r="W5613" t="s">
        <v>423</v>
      </c>
    </row>
    <row r="5614" spans="1:23" hidden="1" x14ac:dyDescent="0.2">
      <c r="A5614">
        <v>2012</v>
      </c>
      <c r="B5614" t="s">
        <v>305</v>
      </c>
      <c r="C5614" s="733">
        <v>40969</v>
      </c>
      <c r="D5614" s="733" t="str">
        <f>CHOOSE(MONTH(Tabla_sqldatos_bonampakdb_Bon_v_ingresos2012[[#This Row],[fecha_guia]]),"Enero","Febrero","Marzo","Abril","Mayo","Junio","Julio","Agosto","Septiembre","Octubre","Noviembre","Diciembre")</f>
        <v>Marzo</v>
      </c>
      <c r="E5614" t="s">
        <v>505</v>
      </c>
      <c r="F5614" t="s">
        <v>1915</v>
      </c>
      <c r="G5614" t="s">
        <v>9504</v>
      </c>
      <c r="H5614">
        <v>23068</v>
      </c>
      <c r="I5614" t="s">
        <v>423</v>
      </c>
      <c r="J5614" t="s">
        <v>4140</v>
      </c>
      <c r="K5614" t="s">
        <v>1918</v>
      </c>
      <c r="L5614" t="s">
        <v>1919</v>
      </c>
      <c r="M5614">
        <v>1</v>
      </c>
      <c r="N5614">
        <v>26.19</v>
      </c>
      <c r="O5614">
        <v>2529.4299999999998</v>
      </c>
      <c r="P5614">
        <v>0</v>
      </c>
      <c r="Q5614">
        <v>2529.4299999999998</v>
      </c>
      <c r="R5614">
        <v>404.71</v>
      </c>
      <c r="S5614">
        <v>101.18</v>
      </c>
      <c r="T5614">
        <v>2832.96</v>
      </c>
      <c r="V5614" t="s">
        <v>9408</v>
      </c>
      <c r="W5614" t="s">
        <v>423</v>
      </c>
    </row>
    <row r="5615" spans="1:23" hidden="1" x14ac:dyDescent="0.2">
      <c r="A5615">
        <v>2012</v>
      </c>
      <c r="B5615" t="s">
        <v>303</v>
      </c>
      <c r="C5615" s="733">
        <v>40912.334849537037</v>
      </c>
      <c r="D56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15" t="s">
        <v>485</v>
      </c>
      <c r="F5615" t="s">
        <v>2099</v>
      </c>
      <c r="G5615" t="s">
        <v>2332</v>
      </c>
      <c r="H5615">
        <v>39768</v>
      </c>
      <c r="I5615" t="s">
        <v>423</v>
      </c>
      <c r="J5615" t="s">
        <v>2101</v>
      </c>
      <c r="K5615" t="s">
        <v>2102</v>
      </c>
      <c r="L5615" t="s">
        <v>2103</v>
      </c>
      <c r="M5615">
        <v>119</v>
      </c>
      <c r="N5615">
        <v>51.68</v>
      </c>
      <c r="O5615">
        <v>3649.64</v>
      </c>
      <c r="P5615">
        <v>4109.0931799999998</v>
      </c>
      <c r="Q5615">
        <v>7758.7331800000002</v>
      </c>
      <c r="R5615">
        <v>1241.397309</v>
      </c>
      <c r="S5615">
        <v>310.34932700000002</v>
      </c>
      <c r="T5615">
        <v>8689.7811619999993</v>
      </c>
      <c r="U5615" t="s">
        <v>2104</v>
      </c>
      <c r="V5615" t="s">
        <v>9409</v>
      </c>
      <c r="W5615" t="s">
        <v>423</v>
      </c>
    </row>
    <row r="5616" spans="1:23" hidden="1" x14ac:dyDescent="0.2">
      <c r="A5616">
        <v>2012</v>
      </c>
      <c r="B5616" t="s">
        <v>304</v>
      </c>
      <c r="C5616" s="733">
        <v>40966</v>
      </c>
      <c r="D56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16" t="s">
        <v>485</v>
      </c>
      <c r="F5616" t="s">
        <v>2099</v>
      </c>
      <c r="G5616" t="s">
        <v>9183</v>
      </c>
      <c r="H5616">
        <v>42701</v>
      </c>
      <c r="I5616" t="s">
        <v>423</v>
      </c>
      <c r="J5616" t="s">
        <v>2101</v>
      </c>
      <c r="K5616" t="s">
        <v>2102</v>
      </c>
      <c r="L5616" t="s">
        <v>2103</v>
      </c>
      <c r="M5616">
        <v>119</v>
      </c>
      <c r="N5616">
        <v>25.66</v>
      </c>
      <c r="O5616">
        <v>4303.95</v>
      </c>
      <c r="P5616">
        <v>0</v>
      </c>
      <c r="Q5616">
        <v>4303.95</v>
      </c>
      <c r="R5616">
        <v>688.63</v>
      </c>
      <c r="S5616">
        <v>172.16</v>
      </c>
      <c r="T5616">
        <v>4820.42</v>
      </c>
      <c r="U5616" t="s">
        <v>8883</v>
      </c>
      <c r="V5616" t="s">
        <v>9408</v>
      </c>
      <c r="W5616" t="s">
        <v>423</v>
      </c>
    </row>
    <row r="5617" spans="1:23" hidden="1" x14ac:dyDescent="0.2">
      <c r="A5617">
        <v>2012</v>
      </c>
      <c r="B5617" t="s">
        <v>304</v>
      </c>
      <c r="C5617" s="733">
        <v>40956</v>
      </c>
      <c r="D56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17" t="s">
        <v>485</v>
      </c>
      <c r="F5617" t="s">
        <v>2054</v>
      </c>
      <c r="G5617" t="s">
        <v>7619</v>
      </c>
      <c r="H5617">
        <v>10475</v>
      </c>
      <c r="I5617" t="s">
        <v>423</v>
      </c>
      <c r="J5617" t="s">
        <v>2098</v>
      </c>
      <c r="K5617" t="s">
        <v>2057</v>
      </c>
      <c r="L5617" t="s">
        <v>2058</v>
      </c>
      <c r="M5617">
        <v>565</v>
      </c>
      <c r="N5617">
        <v>43.52</v>
      </c>
      <c r="O5617">
        <v>14710.63</v>
      </c>
      <c r="P5617">
        <v>0</v>
      </c>
      <c r="Q5617">
        <v>14710.63</v>
      </c>
      <c r="R5617">
        <v>1618.17</v>
      </c>
      <c r="S5617">
        <v>588.42999999999995</v>
      </c>
      <c r="T5617">
        <v>15740.37</v>
      </c>
      <c r="U5617" t="s">
        <v>8047</v>
      </c>
      <c r="V5617" t="s">
        <v>9409</v>
      </c>
      <c r="W5617" t="s">
        <v>423</v>
      </c>
    </row>
    <row r="5618" spans="1:23" hidden="1" x14ac:dyDescent="0.2">
      <c r="A5618">
        <v>2012</v>
      </c>
      <c r="B5618" t="s">
        <v>303</v>
      </c>
      <c r="C5618" s="733">
        <v>40931.504004629627</v>
      </c>
      <c r="D56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18" t="s">
        <v>485</v>
      </c>
      <c r="F5618" t="s">
        <v>2054</v>
      </c>
      <c r="G5618" t="s">
        <v>6667</v>
      </c>
      <c r="H5618">
        <v>10181</v>
      </c>
      <c r="I5618" t="s">
        <v>423</v>
      </c>
      <c r="J5618" t="s">
        <v>2098</v>
      </c>
      <c r="K5618" t="s">
        <v>2057</v>
      </c>
      <c r="L5618" t="s">
        <v>2058</v>
      </c>
      <c r="M5618">
        <v>565</v>
      </c>
      <c r="N5618">
        <v>23.79</v>
      </c>
      <c r="O5618">
        <v>8041.5</v>
      </c>
      <c r="P5618">
        <v>0</v>
      </c>
      <c r="Q5618">
        <v>8041.5</v>
      </c>
      <c r="R5618">
        <v>1286.6400000000001</v>
      </c>
      <c r="S5618">
        <v>321.66000000000003</v>
      </c>
      <c r="T5618">
        <v>9006.48</v>
      </c>
      <c r="U5618" t="s">
        <v>2077</v>
      </c>
      <c r="V5618" t="s">
        <v>9408</v>
      </c>
      <c r="W5618" t="s">
        <v>423</v>
      </c>
    </row>
    <row r="5619" spans="1:23" hidden="1" x14ac:dyDescent="0.2">
      <c r="A5619">
        <v>2012</v>
      </c>
      <c r="B5619" t="s">
        <v>304</v>
      </c>
      <c r="C5619" s="733">
        <v>40956</v>
      </c>
      <c r="D56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19" t="s">
        <v>485</v>
      </c>
      <c r="F5619" t="s">
        <v>2054</v>
      </c>
      <c r="G5619" t="s">
        <v>7680</v>
      </c>
      <c r="H5619">
        <v>10478</v>
      </c>
      <c r="I5619" t="s">
        <v>423</v>
      </c>
      <c r="J5619" t="s">
        <v>2098</v>
      </c>
      <c r="K5619" t="s">
        <v>2057</v>
      </c>
      <c r="L5619" t="s">
        <v>2058</v>
      </c>
      <c r="M5619">
        <v>565</v>
      </c>
      <c r="N5619">
        <v>45.23</v>
      </c>
      <c r="O5619">
        <v>15288.64</v>
      </c>
      <c r="P5619">
        <v>0</v>
      </c>
      <c r="Q5619">
        <v>15288.64</v>
      </c>
      <c r="R5619">
        <v>1681.75</v>
      </c>
      <c r="S5619">
        <v>611.54999999999995</v>
      </c>
      <c r="T5619">
        <v>16358.84</v>
      </c>
      <c r="U5619" t="s">
        <v>8047</v>
      </c>
      <c r="V5619" t="s">
        <v>9409</v>
      </c>
      <c r="W5619" t="s">
        <v>423</v>
      </c>
    </row>
    <row r="5620" spans="1:23" hidden="1" x14ac:dyDescent="0.2">
      <c r="A5620">
        <v>2012</v>
      </c>
      <c r="B5620" t="s">
        <v>303</v>
      </c>
      <c r="C5620" s="733">
        <v>40926.736354166664</v>
      </c>
      <c r="D56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20" t="s">
        <v>485</v>
      </c>
      <c r="F5620" t="s">
        <v>2054</v>
      </c>
      <c r="G5620" t="s">
        <v>6666</v>
      </c>
      <c r="H5620">
        <v>10122</v>
      </c>
      <c r="I5620" t="s">
        <v>423</v>
      </c>
      <c r="J5620" t="s">
        <v>2098</v>
      </c>
      <c r="K5620" t="s">
        <v>2057</v>
      </c>
      <c r="L5620" t="s">
        <v>2058</v>
      </c>
      <c r="M5620">
        <v>565</v>
      </c>
      <c r="N5620">
        <v>46.97</v>
      </c>
      <c r="O5620">
        <v>15876.8</v>
      </c>
      <c r="P5620">
        <v>0</v>
      </c>
      <c r="Q5620">
        <v>15876.8</v>
      </c>
      <c r="R5620">
        <v>2540.29</v>
      </c>
      <c r="S5620">
        <v>635.07000000000005</v>
      </c>
      <c r="T5620">
        <v>17782.02</v>
      </c>
      <c r="U5620" t="s">
        <v>2077</v>
      </c>
      <c r="V5620" t="s">
        <v>9409</v>
      </c>
      <c r="W5620" t="s">
        <v>423</v>
      </c>
    </row>
    <row r="5621" spans="1:23" hidden="1" x14ac:dyDescent="0.2">
      <c r="A5621">
        <v>2012</v>
      </c>
      <c r="B5621" t="s">
        <v>303</v>
      </c>
      <c r="C5621" s="733">
        <v>40924</v>
      </c>
      <c r="D56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21" t="s">
        <v>485</v>
      </c>
      <c r="F5621" t="s">
        <v>2099</v>
      </c>
      <c r="G5621" t="s">
        <v>7068</v>
      </c>
      <c r="H5621">
        <v>40371</v>
      </c>
      <c r="I5621" t="s">
        <v>423</v>
      </c>
      <c r="J5621" t="s">
        <v>2101</v>
      </c>
      <c r="K5621" t="s">
        <v>2102</v>
      </c>
      <c r="L5621" t="s">
        <v>2103</v>
      </c>
      <c r="M5621">
        <v>119</v>
      </c>
      <c r="N5621">
        <v>26.61</v>
      </c>
      <c r="O5621">
        <v>4463.3</v>
      </c>
      <c r="P5621">
        <v>0</v>
      </c>
      <c r="Q5621">
        <v>4463.3</v>
      </c>
      <c r="R5621">
        <v>714.13</v>
      </c>
      <c r="S5621">
        <v>178.53</v>
      </c>
      <c r="T5621">
        <v>4998.8999999999996</v>
      </c>
      <c r="U5621" t="s">
        <v>2106</v>
      </c>
      <c r="V5621" t="s">
        <v>9408</v>
      </c>
      <c r="W5621" t="s">
        <v>423</v>
      </c>
    </row>
    <row r="5622" spans="1:23" hidden="1" x14ac:dyDescent="0.2">
      <c r="A5622">
        <v>2012</v>
      </c>
      <c r="B5622" t="s">
        <v>304</v>
      </c>
      <c r="C5622" s="733">
        <v>40941</v>
      </c>
      <c r="D56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22" t="s">
        <v>485</v>
      </c>
      <c r="F5622" t="s">
        <v>2099</v>
      </c>
      <c r="G5622" t="s">
        <v>6384</v>
      </c>
      <c r="H5622">
        <v>39772</v>
      </c>
      <c r="I5622" t="s">
        <v>423</v>
      </c>
      <c r="J5622" t="s">
        <v>2101</v>
      </c>
      <c r="K5622" t="s">
        <v>2102</v>
      </c>
      <c r="L5622" t="s">
        <v>2052</v>
      </c>
      <c r="M5622">
        <v>119</v>
      </c>
      <c r="N5622">
        <v>25.11</v>
      </c>
      <c r="O5622">
        <v>4211.7</v>
      </c>
      <c r="P5622">
        <v>0</v>
      </c>
      <c r="Q5622">
        <v>4211.7</v>
      </c>
      <c r="R5622">
        <v>673.87</v>
      </c>
      <c r="S5622">
        <v>168.47</v>
      </c>
      <c r="T5622">
        <v>4717.1000000000004</v>
      </c>
      <c r="V5622" t="s">
        <v>9408</v>
      </c>
      <c r="W5622" t="s">
        <v>423</v>
      </c>
    </row>
    <row r="5623" spans="1:23" hidden="1" x14ac:dyDescent="0.2">
      <c r="A5623">
        <v>2012</v>
      </c>
      <c r="B5623" t="s">
        <v>304</v>
      </c>
      <c r="C5623" s="733">
        <v>40960</v>
      </c>
      <c r="D56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23" t="s">
        <v>485</v>
      </c>
      <c r="F5623" t="s">
        <v>2084</v>
      </c>
      <c r="G5623" t="s">
        <v>8222</v>
      </c>
      <c r="H5623">
        <v>41992</v>
      </c>
      <c r="I5623" t="s">
        <v>423</v>
      </c>
      <c r="J5623" t="s">
        <v>2836</v>
      </c>
      <c r="K5623" t="s">
        <v>2814</v>
      </c>
      <c r="L5623" t="s">
        <v>2815</v>
      </c>
      <c r="M5623">
        <v>70</v>
      </c>
      <c r="N5623">
        <v>24.663</v>
      </c>
      <c r="O5623">
        <v>2783.71</v>
      </c>
      <c r="P5623">
        <v>0</v>
      </c>
      <c r="Q5623">
        <v>2783.71</v>
      </c>
      <c r="R5623">
        <v>306.20999999999998</v>
      </c>
      <c r="S5623">
        <v>111.35</v>
      </c>
      <c r="T5623">
        <v>2978.57</v>
      </c>
      <c r="U5623" t="s">
        <v>8877</v>
      </c>
      <c r="V5623" t="s">
        <v>9408</v>
      </c>
      <c r="W5623" t="s">
        <v>423</v>
      </c>
    </row>
    <row r="5624" spans="1:23" hidden="1" x14ac:dyDescent="0.2">
      <c r="A5624">
        <v>2012</v>
      </c>
      <c r="B5624" t="s">
        <v>303</v>
      </c>
      <c r="C5624" s="733">
        <v>40912</v>
      </c>
      <c r="D56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24" t="s">
        <v>485</v>
      </c>
      <c r="F5624" t="s">
        <v>2084</v>
      </c>
      <c r="G5624" t="s">
        <v>6031</v>
      </c>
      <c r="H5624">
        <v>39587</v>
      </c>
      <c r="I5624" t="s">
        <v>423</v>
      </c>
      <c r="J5624" t="s">
        <v>2836</v>
      </c>
      <c r="K5624" t="s">
        <v>2814</v>
      </c>
      <c r="L5624" t="s">
        <v>2815</v>
      </c>
      <c r="M5624">
        <v>70</v>
      </c>
      <c r="N5624">
        <v>23.437000000000001</v>
      </c>
      <c r="O5624">
        <v>1113.73</v>
      </c>
      <c r="P5624">
        <v>1253.9374700000001</v>
      </c>
      <c r="Q5624">
        <v>2367.6674699999999</v>
      </c>
      <c r="R5624">
        <v>378.826795</v>
      </c>
      <c r="S5624">
        <v>94.706699</v>
      </c>
      <c r="T5624">
        <v>2651.787566</v>
      </c>
      <c r="U5624" t="s">
        <v>2846</v>
      </c>
      <c r="V5624" t="s">
        <v>9408</v>
      </c>
      <c r="W5624" t="s">
        <v>423</v>
      </c>
    </row>
    <row r="5625" spans="1:23" hidden="1" x14ac:dyDescent="0.2">
      <c r="A5625">
        <v>2012</v>
      </c>
      <c r="B5625" t="s">
        <v>303</v>
      </c>
      <c r="C5625" s="733">
        <v>40932</v>
      </c>
      <c r="D56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25" t="s">
        <v>485</v>
      </c>
      <c r="F5625" t="s">
        <v>2054</v>
      </c>
      <c r="G5625" t="s">
        <v>6677</v>
      </c>
      <c r="H5625">
        <v>10177</v>
      </c>
      <c r="I5625" t="s">
        <v>423</v>
      </c>
      <c r="J5625" t="s">
        <v>2098</v>
      </c>
      <c r="K5625" t="s">
        <v>2057</v>
      </c>
      <c r="L5625" t="s">
        <v>2058</v>
      </c>
      <c r="M5625">
        <v>565</v>
      </c>
      <c r="N5625">
        <v>23.89</v>
      </c>
      <c r="O5625">
        <v>8075.3</v>
      </c>
      <c r="P5625">
        <v>0</v>
      </c>
      <c r="Q5625">
        <v>8075.3</v>
      </c>
      <c r="R5625">
        <v>1292.05</v>
      </c>
      <c r="S5625">
        <v>323.01</v>
      </c>
      <c r="T5625">
        <v>9044.34</v>
      </c>
      <c r="U5625" t="s">
        <v>2073</v>
      </c>
      <c r="V5625" t="s">
        <v>9409</v>
      </c>
      <c r="W5625" t="s">
        <v>423</v>
      </c>
    </row>
    <row r="5626" spans="1:23" x14ac:dyDescent="0.2">
      <c r="A5626">
        <v>2012</v>
      </c>
      <c r="B5626" t="s">
        <v>304</v>
      </c>
      <c r="C5626" s="733">
        <v>40967.449918981481</v>
      </c>
      <c r="D56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26" t="s">
        <v>485</v>
      </c>
      <c r="F5626" t="s">
        <v>2054</v>
      </c>
      <c r="G5626" t="s">
        <v>9182</v>
      </c>
      <c r="H5626">
        <v>10593</v>
      </c>
      <c r="I5626" t="s">
        <v>423</v>
      </c>
      <c r="J5626" t="s">
        <v>2098</v>
      </c>
      <c r="K5626" t="s">
        <v>2057</v>
      </c>
      <c r="L5626" t="s">
        <v>2058</v>
      </c>
      <c r="M5626">
        <v>565</v>
      </c>
      <c r="N5626">
        <v>23.46</v>
      </c>
      <c r="O5626">
        <v>7929.95</v>
      </c>
      <c r="P5626">
        <v>0</v>
      </c>
      <c r="Q5626">
        <v>7929.95</v>
      </c>
      <c r="R5626">
        <v>872.29</v>
      </c>
      <c r="S5626">
        <v>317.2</v>
      </c>
      <c r="T5626">
        <v>8485.0400000000009</v>
      </c>
      <c r="V5626" t="s">
        <v>9408</v>
      </c>
      <c r="W5626" t="s">
        <v>423</v>
      </c>
    </row>
    <row r="5627" spans="1:23" hidden="1" x14ac:dyDescent="0.2">
      <c r="A5627">
        <v>2012</v>
      </c>
      <c r="B5627" t="s">
        <v>304</v>
      </c>
      <c r="C5627" s="733">
        <v>40942.464537037034</v>
      </c>
      <c r="D56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27" t="s">
        <v>485</v>
      </c>
      <c r="F5627" t="s">
        <v>2054</v>
      </c>
      <c r="G5627" t="s">
        <v>6679</v>
      </c>
      <c r="H5627">
        <v>10296</v>
      </c>
      <c r="I5627" t="s">
        <v>423</v>
      </c>
      <c r="J5627" t="s">
        <v>2098</v>
      </c>
      <c r="K5627" t="s">
        <v>2057</v>
      </c>
      <c r="L5627" t="s">
        <v>2058</v>
      </c>
      <c r="M5627">
        <v>565</v>
      </c>
      <c r="N5627">
        <v>47.59</v>
      </c>
      <c r="O5627">
        <v>16086.37</v>
      </c>
      <c r="P5627">
        <v>0</v>
      </c>
      <c r="Q5627">
        <v>16086.37</v>
      </c>
      <c r="R5627">
        <v>2573.8200000000002</v>
      </c>
      <c r="S5627">
        <v>643.45000000000005</v>
      </c>
      <c r="T5627">
        <v>18016.740000000002</v>
      </c>
      <c r="U5627" t="s">
        <v>2075</v>
      </c>
      <c r="V5627" t="s">
        <v>9409</v>
      </c>
      <c r="W5627" t="s">
        <v>423</v>
      </c>
    </row>
    <row r="5628" spans="1:23" hidden="1" x14ac:dyDescent="0.2">
      <c r="A5628">
        <v>2012</v>
      </c>
      <c r="B5628" t="s">
        <v>303</v>
      </c>
      <c r="C5628" s="733">
        <v>40922</v>
      </c>
      <c r="D56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28" t="s">
        <v>485</v>
      </c>
      <c r="F5628" t="s">
        <v>2054</v>
      </c>
      <c r="G5628" t="s">
        <v>6678</v>
      </c>
      <c r="H5628">
        <v>10060</v>
      </c>
      <c r="I5628" t="s">
        <v>423</v>
      </c>
      <c r="J5628" t="s">
        <v>2098</v>
      </c>
      <c r="K5628" t="s">
        <v>2057</v>
      </c>
      <c r="L5628" t="s">
        <v>2058</v>
      </c>
      <c r="M5628">
        <v>565</v>
      </c>
      <c r="N5628">
        <v>24.85</v>
      </c>
      <c r="O5628">
        <v>8399.7999999999993</v>
      </c>
      <c r="P5628">
        <v>0</v>
      </c>
      <c r="Q5628">
        <v>8399.7999999999993</v>
      </c>
      <c r="R5628">
        <v>1343.97</v>
      </c>
      <c r="S5628">
        <v>335.99</v>
      </c>
      <c r="T5628">
        <v>9407.7800000000007</v>
      </c>
      <c r="U5628" t="s">
        <v>2059</v>
      </c>
      <c r="V5628" t="s">
        <v>9408</v>
      </c>
      <c r="W5628" t="s">
        <v>423</v>
      </c>
    </row>
    <row r="5629" spans="1:23" hidden="1" x14ac:dyDescent="0.2">
      <c r="A5629">
        <v>2012</v>
      </c>
      <c r="B5629" t="s">
        <v>303</v>
      </c>
      <c r="C5629" s="733">
        <v>40919</v>
      </c>
      <c r="D56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29" t="s">
        <v>485</v>
      </c>
      <c r="F5629" t="s">
        <v>2054</v>
      </c>
      <c r="G5629" t="s">
        <v>2503</v>
      </c>
      <c r="H5629">
        <v>9978</v>
      </c>
      <c r="I5629" t="s">
        <v>423</v>
      </c>
      <c r="J5629" t="s">
        <v>2098</v>
      </c>
      <c r="K5629" t="s">
        <v>2057</v>
      </c>
      <c r="L5629" t="s">
        <v>2058</v>
      </c>
      <c r="M5629">
        <v>565</v>
      </c>
      <c r="N5629">
        <v>47.3</v>
      </c>
      <c r="O5629">
        <v>15988.18</v>
      </c>
      <c r="P5629">
        <v>0</v>
      </c>
      <c r="Q5629">
        <v>15988.18</v>
      </c>
      <c r="R5629">
        <v>2558.11</v>
      </c>
      <c r="S5629">
        <v>639.53</v>
      </c>
      <c r="T5629">
        <v>17906.759999999998</v>
      </c>
      <c r="U5629" t="s">
        <v>2070</v>
      </c>
      <c r="V5629" t="s">
        <v>9409</v>
      </c>
      <c r="W5629" t="s">
        <v>423</v>
      </c>
    </row>
    <row r="5630" spans="1:23" hidden="1" x14ac:dyDescent="0.2">
      <c r="A5630">
        <v>2012</v>
      </c>
      <c r="B5630" t="s">
        <v>304</v>
      </c>
      <c r="C5630" s="733">
        <v>40948</v>
      </c>
      <c r="D56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30" t="s">
        <v>485</v>
      </c>
      <c r="F5630" t="s">
        <v>2054</v>
      </c>
      <c r="G5630" t="s">
        <v>6685</v>
      </c>
      <c r="H5630">
        <v>10359</v>
      </c>
      <c r="I5630" t="s">
        <v>423</v>
      </c>
      <c r="J5630" t="s">
        <v>4560</v>
      </c>
      <c r="K5630" t="s">
        <v>2057</v>
      </c>
      <c r="L5630" t="s">
        <v>2058</v>
      </c>
      <c r="M5630">
        <v>403</v>
      </c>
      <c r="N5630">
        <v>43.4</v>
      </c>
      <c r="O5630">
        <v>11860.35</v>
      </c>
      <c r="P5630">
        <v>0</v>
      </c>
      <c r="Q5630">
        <v>11860.35</v>
      </c>
      <c r="R5630">
        <v>1304.6400000000001</v>
      </c>
      <c r="S5630">
        <v>474.41</v>
      </c>
      <c r="T5630">
        <v>12690.58</v>
      </c>
      <c r="U5630" t="s">
        <v>2082</v>
      </c>
      <c r="V5630" t="s">
        <v>9409</v>
      </c>
      <c r="W5630" t="s">
        <v>423</v>
      </c>
    </row>
    <row r="5631" spans="1:23" hidden="1" x14ac:dyDescent="0.2">
      <c r="A5631">
        <v>2012</v>
      </c>
      <c r="B5631" t="s">
        <v>304</v>
      </c>
      <c r="C5631" s="733">
        <v>40948</v>
      </c>
      <c r="D56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31" t="s">
        <v>485</v>
      </c>
      <c r="F5631" t="s">
        <v>2065</v>
      </c>
      <c r="G5631" t="s">
        <v>7069</v>
      </c>
      <c r="H5631">
        <v>41639</v>
      </c>
      <c r="I5631" t="s">
        <v>423</v>
      </c>
      <c r="J5631" t="s">
        <v>2101</v>
      </c>
      <c r="K5631" t="s">
        <v>2102</v>
      </c>
      <c r="L5631" t="s">
        <v>2103</v>
      </c>
      <c r="M5631">
        <v>119</v>
      </c>
      <c r="N5631">
        <v>32.28</v>
      </c>
      <c r="O5631">
        <v>5414.32</v>
      </c>
      <c r="P5631">
        <v>0</v>
      </c>
      <c r="Q5631">
        <v>5414.32</v>
      </c>
      <c r="R5631">
        <v>866.29</v>
      </c>
      <c r="S5631">
        <v>216.57</v>
      </c>
      <c r="T5631">
        <v>6064.04</v>
      </c>
      <c r="U5631" t="s">
        <v>7462</v>
      </c>
      <c r="V5631" t="s">
        <v>9408</v>
      </c>
      <c r="W5631" t="s">
        <v>423</v>
      </c>
    </row>
    <row r="5632" spans="1:23" hidden="1" x14ac:dyDescent="0.2">
      <c r="A5632">
        <v>2012</v>
      </c>
      <c r="B5632" t="s">
        <v>304</v>
      </c>
      <c r="C5632" s="733">
        <v>40940</v>
      </c>
      <c r="D56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32" t="s">
        <v>478</v>
      </c>
      <c r="F5632" t="s">
        <v>2136</v>
      </c>
      <c r="G5632" t="s">
        <v>7067</v>
      </c>
      <c r="H5632">
        <v>34934</v>
      </c>
      <c r="I5632" t="s">
        <v>423</v>
      </c>
      <c r="J5632" t="s">
        <v>5384</v>
      </c>
      <c r="K5632" t="s">
        <v>425</v>
      </c>
      <c r="L5632" t="s">
        <v>2145</v>
      </c>
      <c r="M5632">
        <v>1472</v>
      </c>
      <c r="N5632">
        <v>33.229999999999997</v>
      </c>
      <c r="O5632">
        <v>23735.86</v>
      </c>
      <c r="P5632">
        <v>0</v>
      </c>
      <c r="Q5632">
        <v>23735.86</v>
      </c>
      <c r="R5632">
        <v>3797.74</v>
      </c>
      <c r="S5632">
        <v>949.43</v>
      </c>
      <c r="T5632">
        <v>26584.17</v>
      </c>
      <c r="U5632" t="s">
        <v>7523</v>
      </c>
      <c r="V5632" t="s">
        <v>9408</v>
      </c>
      <c r="W5632" t="s">
        <v>423</v>
      </c>
    </row>
    <row r="5633" spans="1:23" hidden="1" x14ac:dyDescent="0.2">
      <c r="A5633">
        <v>2012</v>
      </c>
      <c r="B5633" t="s">
        <v>303</v>
      </c>
      <c r="C5633" s="733">
        <v>40910</v>
      </c>
      <c r="D56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33" t="s">
        <v>478</v>
      </c>
      <c r="F5633" t="s">
        <v>3358</v>
      </c>
      <c r="G5633" t="s">
        <v>6380</v>
      </c>
      <c r="H5633">
        <v>34121</v>
      </c>
      <c r="I5633" t="s">
        <v>423</v>
      </c>
      <c r="J5633" t="s">
        <v>5384</v>
      </c>
      <c r="K5633" t="s">
        <v>4397</v>
      </c>
      <c r="L5633" t="s">
        <v>4398</v>
      </c>
      <c r="M5633">
        <v>1472</v>
      </c>
      <c r="N5633">
        <v>30.55</v>
      </c>
      <c r="O5633">
        <v>4619.47</v>
      </c>
      <c r="P5633">
        <v>5201.0150780000004</v>
      </c>
      <c r="Q5633">
        <v>9820.4850779999997</v>
      </c>
      <c r="R5633">
        <v>1571.277613</v>
      </c>
      <c r="S5633">
        <v>392.81940300000002</v>
      </c>
      <c r="T5633">
        <v>10998.943288</v>
      </c>
      <c r="U5633" t="s">
        <v>6381</v>
      </c>
      <c r="V5633" t="s">
        <v>9408</v>
      </c>
      <c r="W5633" t="s">
        <v>423</v>
      </c>
    </row>
    <row r="5634" spans="1:23" hidden="1" x14ac:dyDescent="0.2">
      <c r="A5634">
        <v>2012</v>
      </c>
      <c r="B5634" t="s">
        <v>304</v>
      </c>
      <c r="C5634" s="733">
        <v>40959</v>
      </c>
      <c r="D56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34" t="s">
        <v>505</v>
      </c>
      <c r="F5634" t="s">
        <v>1915</v>
      </c>
      <c r="G5634" t="s">
        <v>7733</v>
      </c>
      <c r="H5634">
        <v>22788</v>
      </c>
      <c r="I5634" t="s">
        <v>1979</v>
      </c>
      <c r="J5634" t="s">
        <v>5363</v>
      </c>
      <c r="K5634" t="s">
        <v>1918</v>
      </c>
      <c r="L5634" t="s">
        <v>1919</v>
      </c>
      <c r="M5634">
        <v>856</v>
      </c>
      <c r="N5634">
        <v>50.27</v>
      </c>
      <c r="O5634">
        <v>25486.89</v>
      </c>
      <c r="P5634">
        <v>0</v>
      </c>
      <c r="Q5634">
        <v>25486.89</v>
      </c>
      <c r="R5634">
        <v>4077.9</v>
      </c>
      <c r="S5634">
        <v>1019.48</v>
      </c>
      <c r="T5634">
        <v>28545.31</v>
      </c>
      <c r="U5634" t="s">
        <v>8491</v>
      </c>
      <c r="V5634" t="s">
        <v>9409</v>
      </c>
      <c r="W5634" t="s">
        <v>1979</v>
      </c>
    </row>
    <row r="5635" spans="1:23" hidden="1" x14ac:dyDescent="0.2">
      <c r="A5635">
        <v>2012</v>
      </c>
      <c r="B5635" t="s">
        <v>304</v>
      </c>
      <c r="C5635" s="733">
        <v>40963</v>
      </c>
      <c r="D56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35" t="s">
        <v>485</v>
      </c>
      <c r="F5635" t="s">
        <v>2065</v>
      </c>
      <c r="G5635" t="s">
        <v>8529</v>
      </c>
      <c r="H5635">
        <v>42229</v>
      </c>
      <c r="I5635" t="s">
        <v>423</v>
      </c>
      <c r="J5635" t="s">
        <v>4523</v>
      </c>
      <c r="K5635" t="s">
        <v>2102</v>
      </c>
      <c r="L5635" t="s">
        <v>2115</v>
      </c>
      <c r="M5635">
        <v>6</v>
      </c>
      <c r="N5635">
        <v>25.14</v>
      </c>
      <c r="O5635">
        <v>12544.11</v>
      </c>
      <c r="P5635">
        <v>0</v>
      </c>
      <c r="Q5635">
        <v>12544.11</v>
      </c>
      <c r="R5635">
        <v>2007.06</v>
      </c>
      <c r="S5635">
        <v>501.76</v>
      </c>
      <c r="T5635">
        <v>14049.41</v>
      </c>
      <c r="V5635" t="s">
        <v>9408</v>
      </c>
      <c r="W5635" t="s">
        <v>423</v>
      </c>
    </row>
    <row r="5636" spans="1:23" hidden="1" x14ac:dyDescent="0.2">
      <c r="A5636">
        <v>2012</v>
      </c>
      <c r="B5636" t="s">
        <v>303</v>
      </c>
      <c r="C5636" s="733">
        <v>40918.810636574075</v>
      </c>
      <c r="D56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36" t="s">
        <v>478</v>
      </c>
      <c r="F5636" t="s">
        <v>2136</v>
      </c>
      <c r="G5636" t="s">
        <v>6389</v>
      </c>
      <c r="H5636">
        <v>34413</v>
      </c>
      <c r="I5636" t="s">
        <v>423</v>
      </c>
      <c r="J5636" t="s">
        <v>3029</v>
      </c>
      <c r="K5636" t="s">
        <v>425</v>
      </c>
      <c r="L5636" t="s">
        <v>2145</v>
      </c>
      <c r="M5636">
        <v>35</v>
      </c>
      <c r="N5636">
        <v>26.07</v>
      </c>
      <c r="O5636">
        <v>3499.9</v>
      </c>
      <c r="P5636">
        <v>0</v>
      </c>
      <c r="Q5636">
        <v>3499.9</v>
      </c>
      <c r="R5636">
        <v>559.98</v>
      </c>
      <c r="S5636">
        <v>140</v>
      </c>
      <c r="T5636">
        <v>3919.88</v>
      </c>
      <c r="U5636" t="s">
        <v>2350</v>
      </c>
      <c r="V5636" t="s">
        <v>9408</v>
      </c>
      <c r="W5636" t="s">
        <v>423</v>
      </c>
    </row>
    <row r="5637" spans="1:23" hidden="1" x14ac:dyDescent="0.2">
      <c r="A5637">
        <v>2012</v>
      </c>
      <c r="B5637" t="s">
        <v>304</v>
      </c>
      <c r="C5637" s="733">
        <v>40961</v>
      </c>
      <c r="D56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37" t="s">
        <v>485</v>
      </c>
      <c r="F5637" t="s">
        <v>2065</v>
      </c>
      <c r="G5637" t="s">
        <v>8294</v>
      </c>
      <c r="H5637">
        <v>42234</v>
      </c>
      <c r="I5637" t="s">
        <v>423</v>
      </c>
      <c r="J5637" t="s">
        <v>5260</v>
      </c>
      <c r="K5637" t="s">
        <v>2102</v>
      </c>
      <c r="L5637" t="s">
        <v>2115</v>
      </c>
      <c r="M5637">
        <v>832</v>
      </c>
      <c r="N5637">
        <v>50.38</v>
      </c>
      <c r="O5637">
        <v>25138.11</v>
      </c>
      <c r="P5637">
        <v>0</v>
      </c>
      <c r="Q5637">
        <v>25138.11</v>
      </c>
      <c r="R5637">
        <v>4022.1</v>
      </c>
      <c r="S5637">
        <v>1005.52</v>
      </c>
      <c r="T5637">
        <v>28154.69</v>
      </c>
      <c r="U5637" t="s">
        <v>8883</v>
      </c>
      <c r="V5637" t="s">
        <v>9409</v>
      </c>
      <c r="W5637" t="s">
        <v>423</v>
      </c>
    </row>
    <row r="5638" spans="1:23" hidden="1" x14ac:dyDescent="0.2">
      <c r="A5638">
        <v>2012</v>
      </c>
      <c r="B5638" t="s">
        <v>304</v>
      </c>
      <c r="C5638" s="733">
        <v>40959</v>
      </c>
      <c r="D56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38" t="s">
        <v>485</v>
      </c>
      <c r="F5638" t="s">
        <v>2065</v>
      </c>
      <c r="G5638" t="s">
        <v>7920</v>
      </c>
      <c r="H5638">
        <v>42224</v>
      </c>
      <c r="I5638" t="s">
        <v>423</v>
      </c>
      <c r="J5638" t="s">
        <v>5260</v>
      </c>
      <c r="K5638" t="s">
        <v>2102</v>
      </c>
      <c r="L5638" t="s">
        <v>2115</v>
      </c>
      <c r="M5638">
        <v>832</v>
      </c>
      <c r="N5638">
        <v>51.65</v>
      </c>
      <c r="O5638">
        <v>25771.8</v>
      </c>
      <c r="P5638">
        <v>0</v>
      </c>
      <c r="Q5638">
        <v>25771.8</v>
      </c>
      <c r="R5638">
        <v>4123.49</v>
      </c>
      <c r="S5638">
        <v>1030.8699999999999</v>
      </c>
      <c r="T5638">
        <v>28864.42</v>
      </c>
      <c r="U5638" t="s">
        <v>8883</v>
      </c>
      <c r="V5638" t="s">
        <v>9409</v>
      </c>
      <c r="W5638" t="s">
        <v>423</v>
      </c>
    </row>
    <row r="5639" spans="1:23" hidden="1" x14ac:dyDescent="0.2">
      <c r="A5639">
        <v>2012</v>
      </c>
      <c r="B5639" t="s">
        <v>303</v>
      </c>
      <c r="C5639" s="733">
        <v>40938</v>
      </c>
      <c r="D56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39" t="s">
        <v>505</v>
      </c>
      <c r="F5639" t="s">
        <v>1915</v>
      </c>
      <c r="G5639" t="s">
        <v>6813</v>
      </c>
      <c r="H5639">
        <v>22327</v>
      </c>
      <c r="I5639" t="s">
        <v>423</v>
      </c>
      <c r="J5639" t="s">
        <v>4259</v>
      </c>
      <c r="K5639" t="s">
        <v>1918</v>
      </c>
      <c r="L5639" t="s">
        <v>1919</v>
      </c>
      <c r="M5639">
        <v>467</v>
      </c>
      <c r="N5639">
        <v>53.32</v>
      </c>
      <c r="O5639">
        <v>16547.330000000002</v>
      </c>
      <c r="P5639">
        <v>0</v>
      </c>
      <c r="Q5639">
        <v>16547.330000000002</v>
      </c>
      <c r="R5639">
        <v>2647.57</v>
      </c>
      <c r="S5639">
        <v>661.89</v>
      </c>
      <c r="T5639">
        <v>18533.009999999998</v>
      </c>
      <c r="U5639" t="s">
        <v>1936</v>
      </c>
      <c r="V5639" t="s">
        <v>9409</v>
      </c>
      <c r="W5639" t="s">
        <v>423</v>
      </c>
    </row>
    <row r="5640" spans="1:23" hidden="1" x14ac:dyDescent="0.2">
      <c r="A5640">
        <v>2012</v>
      </c>
      <c r="B5640" t="s">
        <v>304</v>
      </c>
      <c r="C5640" s="733">
        <v>40957</v>
      </c>
      <c r="D56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40" t="s">
        <v>505</v>
      </c>
      <c r="F5640" t="s">
        <v>1915</v>
      </c>
      <c r="G5640" t="s">
        <v>7872</v>
      </c>
      <c r="H5640">
        <v>22850</v>
      </c>
      <c r="I5640" t="s">
        <v>423</v>
      </c>
      <c r="J5640" t="s">
        <v>4259</v>
      </c>
      <c r="K5640" t="s">
        <v>1918</v>
      </c>
      <c r="L5640" t="s">
        <v>1919</v>
      </c>
      <c r="M5640">
        <v>467</v>
      </c>
      <c r="N5640">
        <v>26.74</v>
      </c>
      <c r="O5640">
        <v>8298.49</v>
      </c>
      <c r="P5640">
        <v>0</v>
      </c>
      <c r="Q5640">
        <v>8298.49</v>
      </c>
      <c r="R5640">
        <v>1327.76</v>
      </c>
      <c r="S5640">
        <v>331.94</v>
      </c>
      <c r="T5640">
        <v>9294.31</v>
      </c>
      <c r="U5640" t="s">
        <v>8491</v>
      </c>
      <c r="V5640" t="s">
        <v>9409</v>
      </c>
      <c r="W5640" t="s">
        <v>423</v>
      </c>
    </row>
    <row r="5641" spans="1:23" hidden="1" x14ac:dyDescent="0.2">
      <c r="A5641">
        <v>2012</v>
      </c>
      <c r="B5641" t="s">
        <v>303</v>
      </c>
      <c r="C5641" s="733">
        <v>40912</v>
      </c>
      <c r="D56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41" t="s">
        <v>485</v>
      </c>
      <c r="F5641" t="s">
        <v>2065</v>
      </c>
      <c r="G5641" t="s">
        <v>6027</v>
      </c>
      <c r="H5641">
        <v>39589</v>
      </c>
      <c r="I5641" t="s">
        <v>423</v>
      </c>
      <c r="J5641" t="s">
        <v>2813</v>
      </c>
      <c r="K5641" t="s">
        <v>2814</v>
      </c>
      <c r="L5641" t="s">
        <v>2815</v>
      </c>
      <c r="M5641">
        <v>365</v>
      </c>
      <c r="N5641">
        <v>23.474</v>
      </c>
      <c r="O5641">
        <v>2660.31</v>
      </c>
      <c r="P5641">
        <v>2995.216426</v>
      </c>
      <c r="Q5641">
        <v>5655.5264260000004</v>
      </c>
      <c r="R5641">
        <v>904.88422800000001</v>
      </c>
      <c r="S5641">
        <v>226.221057</v>
      </c>
      <c r="T5641">
        <v>6334.1895969999996</v>
      </c>
      <c r="U5641" t="s">
        <v>2846</v>
      </c>
      <c r="V5641" t="s">
        <v>9408</v>
      </c>
      <c r="W5641" t="s">
        <v>423</v>
      </c>
    </row>
    <row r="5642" spans="1:23" x14ac:dyDescent="0.2">
      <c r="A5642">
        <v>2012</v>
      </c>
      <c r="B5642" t="s">
        <v>304</v>
      </c>
      <c r="C5642" s="733">
        <v>40967</v>
      </c>
      <c r="D56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42" t="s">
        <v>485</v>
      </c>
      <c r="F5642" t="s">
        <v>2065</v>
      </c>
      <c r="G5642" t="s">
        <v>8972</v>
      </c>
      <c r="H5642">
        <v>42544</v>
      </c>
      <c r="I5642" t="s">
        <v>423</v>
      </c>
      <c r="J5642" t="s">
        <v>2813</v>
      </c>
      <c r="K5642" t="s">
        <v>2814</v>
      </c>
      <c r="L5642" t="s">
        <v>2815</v>
      </c>
      <c r="M5642">
        <v>365</v>
      </c>
      <c r="N5642">
        <v>23.991</v>
      </c>
      <c r="O5642">
        <v>6457.9</v>
      </c>
      <c r="P5642">
        <v>0</v>
      </c>
      <c r="Q5642">
        <v>6457.9</v>
      </c>
      <c r="R5642">
        <v>710.37</v>
      </c>
      <c r="S5642">
        <v>258.32</v>
      </c>
      <c r="T5642">
        <v>6909.95</v>
      </c>
      <c r="U5642" t="s">
        <v>8877</v>
      </c>
      <c r="V5642" t="s">
        <v>9408</v>
      </c>
      <c r="W5642" t="s">
        <v>423</v>
      </c>
    </row>
    <row r="5643" spans="1:23" hidden="1" x14ac:dyDescent="0.2">
      <c r="A5643">
        <v>2012</v>
      </c>
      <c r="B5643" t="s">
        <v>303</v>
      </c>
      <c r="C5643" s="733">
        <v>40920</v>
      </c>
      <c r="D56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43" t="s">
        <v>478</v>
      </c>
      <c r="F5643" t="s">
        <v>2136</v>
      </c>
      <c r="G5643" t="s">
        <v>5921</v>
      </c>
      <c r="H5643">
        <v>34421</v>
      </c>
      <c r="I5643" t="s">
        <v>423</v>
      </c>
      <c r="J5643" t="s">
        <v>4699</v>
      </c>
      <c r="K5643" t="s">
        <v>425</v>
      </c>
      <c r="L5643" t="s">
        <v>2145</v>
      </c>
      <c r="M5643">
        <v>555</v>
      </c>
      <c r="N5643">
        <v>56.26</v>
      </c>
      <c r="O5643">
        <v>17975.07</v>
      </c>
      <c r="P5643">
        <v>0</v>
      </c>
      <c r="Q5643">
        <v>17975.07</v>
      </c>
      <c r="R5643">
        <v>2876.01</v>
      </c>
      <c r="S5643">
        <v>719</v>
      </c>
      <c r="T5643">
        <v>20132.080000000002</v>
      </c>
      <c r="U5643" t="s">
        <v>2355</v>
      </c>
      <c r="V5643" t="s">
        <v>9409</v>
      </c>
      <c r="W5643" t="s">
        <v>423</v>
      </c>
    </row>
    <row r="5644" spans="1:23" hidden="1" x14ac:dyDescent="0.2">
      <c r="A5644">
        <v>2012</v>
      </c>
      <c r="B5644" t="s">
        <v>304</v>
      </c>
      <c r="C5644" s="733">
        <v>40962</v>
      </c>
      <c r="D56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44" t="s">
        <v>485</v>
      </c>
      <c r="F5644" t="s">
        <v>2065</v>
      </c>
      <c r="G5644" t="s">
        <v>8567</v>
      </c>
      <c r="H5644">
        <v>42313</v>
      </c>
      <c r="I5644" t="s">
        <v>423</v>
      </c>
      <c r="J5644" t="s">
        <v>5260</v>
      </c>
      <c r="K5644" t="s">
        <v>2102</v>
      </c>
      <c r="L5644" t="s">
        <v>2115</v>
      </c>
      <c r="M5644">
        <v>832</v>
      </c>
      <c r="N5644">
        <v>51.33</v>
      </c>
      <c r="O5644">
        <v>25612.13</v>
      </c>
      <c r="P5644">
        <v>0</v>
      </c>
      <c r="Q5644">
        <v>25612.13</v>
      </c>
      <c r="R5644">
        <v>4097.9399999999996</v>
      </c>
      <c r="S5644">
        <v>1024.49</v>
      </c>
      <c r="T5644">
        <v>28685.58</v>
      </c>
      <c r="U5644" t="s">
        <v>8883</v>
      </c>
      <c r="V5644" t="s">
        <v>9409</v>
      </c>
      <c r="W5644" t="s">
        <v>423</v>
      </c>
    </row>
    <row r="5645" spans="1:23" hidden="1" x14ac:dyDescent="0.2">
      <c r="A5645">
        <v>2012</v>
      </c>
      <c r="B5645" t="s">
        <v>304</v>
      </c>
      <c r="C5645" s="733">
        <v>40940</v>
      </c>
      <c r="D56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45" t="s">
        <v>478</v>
      </c>
      <c r="F5645" t="s">
        <v>2136</v>
      </c>
      <c r="G5645" t="s">
        <v>5920</v>
      </c>
      <c r="H5645">
        <v>35193</v>
      </c>
      <c r="I5645" t="s">
        <v>423</v>
      </c>
      <c r="J5645" t="s">
        <v>4699</v>
      </c>
      <c r="K5645" t="s">
        <v>425</v>
      </c>
      <c r="L5645" t="s">
        <v>2145</v>
      </c>
      <c r="M5645">
        <v>555</v>
      </c>
      <c r="N5645">
        <v>34.01</v>
      </c>
      <c r="O5645">
        <v>10866.2</v>
      </c>
      <c r="P5645">
        <v>0</v>
      </c>
      <c r="Q5645">
        <v>10866.2</v>
      </c>
      <c r="R5645">
        <v>1738.59</v>
      </c>
      <c r="S5645">
        <v>434.65</v>
      </c>
      <c r="T5645">
        <v>12170.14</v>
      </c>
      <c r="U5645" t="s">
        <v>2580</v>
      </c>
      <c r="V5645" t="s">
        <v>9408</v>
      </c>
      <c r="W5645" t="s">
        <v>423</v>
      </c>
    </row>
    <row r="5646" spans="1:23" hidden="1" x14ac:dyDescent="0.2">
      <c r="A5646">
        <v>2012</v>
      </c>
      <c r="B5646" t="s">
        <v>303</v>
      </c>
      <c r="C5646" s="733">
        <v>40920</v>
      </c>
      <c r="D56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46" t="s">
        <v>478</v>
      </c>
      <c r="F5646" t="s">
        <v>2136</v>
      </c>
      <c r="G5646" t="s">
        <v>7149</v>
      </c>
      <c r="H5646">
        <v>34438</v>
      </c>
      <c r="I5646" t="s">
        <v>423</v>
      </c>
      <c r="J5646" t="s">
        <v>4699</v>
      </c>
      <c r="K5646" t="s">
        <v>425</v>
      </c>
      <c r="L5646" t="s">
        <v>2145</v>
      </c>
      <c r="M5646">
        <v>555</v>
      </c>
      <c r="N5646">
        <v>56.57</v>
      </c>
      <c r="O5646">
        <v>18074.12</v>
      </c>
      <c r="P5646">
        <v>0</v>
      </c>
      <c r="Q5646">
        <v>18074.12</v>
      </c>
      <c r="R5646">
        <v>2891.86</v>
      </c>
      <c r="S5646">
        <v>722.96</v>
      </c>
      <c r="T5646">
        <v>20243.02</v>
      </c>
      <c r="U5646" t="s">
        <v>8510</v>
      </c>
      <c r="V5646" t="s">
        <v>9409</v>
      </c>
      <c r="W5646" t="s">
        <v>423</v>
      </c>
    </row>
    <row r="5647" spans="1:23" x14ac:dyDescent="0.2">
      <c r="A5647">
        <v>2012</v>
      </c>
      <c r="B5647" t="s">
        <v>304</v>
      </c>
      <c r="C5647" s="733">
        <v>40967</v>
      </c>
      <c r="D56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47" t="s">
        <v>485</v>
      </c>
      <c r="F5647" t="s">
        <v>2065</v>
      </c>
      <c r="G5647" t="s">
        <v>8985</v>
      </c>
      <c r="H5647">
        <v>42678</v>
      </c>
      <c r="I5647" t="s">
        <v>423</v>
      </c>
      <c r="J5647" t="s">
        <v>5260</v>
      </c>
      <c r="K5647" t="s">
        <v>2102</v>
      </c>
      <c r="L5647" t="s">
        <v>2115</v>
      </c>
      <c r="M5647">
        <v>832</v>
      </c>
      <c r="N5647">
        <v>51.51</v>
      </c>
      <c r="O5647">
        <v>25701.94</v>
      </c>
      <c r="P5647">
        <v>0</v>
      </c>
      <c r="Q5647">
        <v>25701.94</v>
      </c>
      <c r="R5647">
        <v>4112.3100000000004</v>
      </c>
      <c r="S5647">
        <v>1028.08</v>
      </c>
      <c r="T5647">
        <v>28786.17</v>
      </c>
      <c r="V5647" t="s">
        <v>9409</v>
      </c>
      <c r="W5647" t="s">
        <v>423</v>
      </c>
    </row>
    <row r="5648" spans="1:23" x14ac:dyDescent="0.2">
      <c r="A5648">
        <v>2012</v>
      </c>
      <c r="B5648" t="s">
        <v>304</v>
      </c>
      <c r="C5648" s="733">
        <v>40967</v>
      </c>
      <c r="D56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48" t="s">
        <v>485</v>
      </c>
      <c r="F5648" t="s">
        <v>2065</v>
      </c>
      <c r="G5648" t="s">
        <v>8986</v>
      </c>
      <c r="H5648">
        <v>42667</v>
      </c>
      <c r="I5648" t="s">
        <v>423</v>
      </c>
      <c r="J5648" t="s">
        <v>5260</v>
      </c>
      <c r="K5648" t="s">
        <v>2102</v>
      </c>
      <c r="L5648" t="s">
        <v>2115</v>
      </c>
      <c r="M5648">
        <v>832</v>
      </c>
      <c r="N5648">
        <v>52.86</v>
      </c>
      <c r="O5648">
        <v>26375.55</v>
      </c>
      <c r="P5648">
        <v>0</v>
      </c>
      <c r="Q5648">
        <v>26375.55</v>
      </c>
      <c r="R5648">
        <v>4220.09</v>
      </c>
      <c r="S5648">
        <v>1055.02</v>
      </c>
      <c r="T5648">
        <v>29540.62</v>
      </c>
      <c r="V5648" t="s">
        <v>9409</v>
      </c>
      <c r="W5648" t="s">
        <v>423</v>
      </c>
    </row>
    <row r="5649" spans="1:23" hidden="1" x14ac:dyDescent="0.2">
      <c r="A5649">
        <v>2012</v>
      </c>
      <c r="B5649" t="s">
        <v>304</v>
      </c>
      <c r="C5649" s="733">
        <v>40949</v>
      </c>
      <c r="D56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49" t="s">
        <v>505</v>
      </c>
      <c r="F5649" t="s">
        <v>1915</v>
      </c>
      <c r="G5649" t="s">
        <v>7044</v>
      </c>
      <c r="H5649">
        <v>22459</v>
      </c>
      <c r="I5649" t="s">
        <v>423</v>
      </c>
      <c r="J5649" t="s">
        <v>4259</v>
      </c>
      <c r="K5649" t="s">
        <v>1918</v>
      </c>
      <c r="L5649" t="s">
        <v>1919</v>
      </c>
      <c r="M5649">
        <v>467</v>
      </c>
      <c r="N5649">
        <v>26.6</v>
      </c>
      <c r="O5649">
        <v>8255.0400000000009</v>
      </c>
      <c r="P5649">
        <v>0</v>
      </c>
      <c r="Q5649">
        <v>8255.0400000000009</v>
      </c>
      <c r="R5649">
        <v>1320.81</v>
      </c>
      <c r="S5649">
        <v>330.2</v>
      </c>
      <c r="T5649">
        <v>9245.65</v>
      </c>
      <c r="U5649" t="s">
        <v>7522</v>
      </c>
      <c r="V5649" t="s">
        <v>9409</v>
      </c>
      <c r="W5649" t="s">
        <v>423</v>
      </c>
    </row>
    <row r="5650" spans="1:23" hidden="1" x14ac:dyDescent="0.2">
      <c r="A5650">
        <v>2012</v>
      </c>
      <c r="B5650" t="s">
        <v>304</v>
      </c>
      <c r="C5650" s="733">
        <v>40956</v>
      </c>
      <c r="D56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50" t="s">
        <v>505</v>
      </c>
      <c r="F5650" t="s">
        <v>1915</v>
      </c>
      <c r="G5650" t="s">
        <v>7813</v>
      </c>
      <c r="H5650">
        <v>22814</v>
      </c>
      <c r="I5650" t="s">
        <v>423</v>
      </c>
      <c r="J5650" t="s">
        <v>4259</v>
      </c>
      <c r="K5650" t="s">
        <v>1918</v>
      </c>
      <c r="L5650" t="s">
        <v>1919</v>
      </c>
      <c r="M5650">
        <v>467</v>
      </c>
      <c r="N5650">
        <v>26.93</v>
      </c>
      <c r="O5650">
        <v>8357.4599999999991</v>
      </c>
      <c r="P5650">
        <v>0</v>
      </c>
      <c r="Q5650">
        <v>8357.4599999999991</v>
      </c>
      <c r="R5650">
        <v>1337.19</v>
      </c>
      <c r="S5650">
        <v>334.3</v>
      </c>
      <c r="T5650">
        <v>9360.35</v>
      </c>
      <c r="U5650" t="s">
        <v>7529</v>
      </c>
      <c r="V5650" t="s">
        <v>9408</v>
      </c>
      <c r="W5650" t="s">
        <v>423</v>
      </c>
    </row>
    <row r="5651" spans="1:23" hidden="1" x14ac:dyDescent="0.2">
      <c r="A5651">
        <v>2012</v>
      </c>
      <c r="B5651" t="s">
        <v>305</v>
      </c>
      <c r="C5651" s="733">
        <v>40970</v>
      </c>
      <c r="D5651" s="733" t="str">
        <f>CHOOSE(MONTH(Tabla_sqldatos_bonampakdb_Bon_v_ingresos2012[[#This Row],[fecha_guia]]),"Enero","Febrero","Marzo","Abril","Mayo","Junio","Julio","Agosto","Septiembre","Octubre","Noviembre","Diciembre")</f>
        <v>Marzo</v>
      </c>
      <c r="E5651" t="s">
        <v>485</v>
      </c>
      <c r="F5651" t="s">
        <v>2065</v>
      </c>
      <c r="G5651" t="s">
        <v>9419</v>
      </c>
      <c r="H5651">
        <v>42906</v>
      </c>
      <c r="I5651" t="s">
        <v>423</v>
      </c>
      <c r="J5651" t="s">
        <v>2182</v>
      </c>
      <c r="K5651" t="s">
        <v>2183</v>
      </c>
      <c r="L5651" t="s">
        <v>2184</v>
      </c>
      <c r="M5651">
        <v>62</v>
      </c>
      <c r="N5651">
        <v>15.87</v>
      </c>
      <c r="O5651">
        <v>2350.98</v>
      </c>
      <c r="P5651">
        <v>0</v>
      </c>
      <c r="Q5651">
        <v>2350.98</v>
      </c>
      <c r="R5651">
        <v>376.16</v>
      </c>
      <c r="S5651">
        <v>94.04</v>
      </c>
      <c r="T5651">
        <v>2633.1</v>
      </c>
      <c r="V5651" t="s">
        <v>9408</v>
      </c>
      <c r="W5651" t="s">
        <v>423</v>
      </c>
    </row>
    <row r="5652" spans="1:23" hidden="1" x14ac:dyDescent="0.2">
      <c r="A5652">
        <v>2012</v>
      </c>
      <c r="B5652" t="s">
        <v>303</v>
      </c>
      <c r="C5652" s="733">
        <v>40927</v>
      </c>
      <c r="D56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52" t="s">
        <v>485</v>
      </c>
      <c r="F5652" t="s">
        <v>2065</v>
      </c>
      <c r="G5652" t="s">
        <v>4181</v>
      </c>
      <c r="H5652">
        <v>39749</v>
      </c>
      <c r="I5652" t="s">
        <v>423</v>
      </c>
      <c r="J5652" t="s">
        <v>2114</v>
      </c>
      <c r="K5652" t="s">
        <v>2102</v>
      </c>
      <c r="L5652" t="s">
        <v>2115</v>
      </c>
      <c r="M5652">
        <v>500</v>
      </c>
      <c r="N5652">
        <v>26.76</v>
      </c>
      <c r="O5652">
        <v>8998.0499999999993</v>
      </c>
      <c r="P5652">
        <v>0</v>
      </c>
      <c r="Q5652">
        <v>8998.0499999999993</v>
      </c>
      <c r="R5652">
        <v>1439.69</v>
      </c>
      <c r="S5652">
        <v>359.92</v>
      </c>
      <c r="T5652">
        <v>10077.82</v>
      </c>
      <c r="U5652" t="s">
        <v>2108</v>
      </c>
      <c r="V5652" t="s">
        <v>9408</v>
      </c>
      <c r="W5652" t="s">
        <v>423</v>
      </c>
    </row>
    <row r="5653" spans="1:23" hidden="1" x14ac:dyDescent="0.2">
      <c r="A5653">
        <v>2012</v>
      </c>
      <c r="B5653" t="s">
        <v>304</v>
      </c>
      <c r="C5653" s="733">
        <v>40956</v>
      </c>
      <c r="D56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53" t="s">
        <v>505</v>
      </c>
      <c r="F5653" t="s">
        <v>1915</v>
      </c>
      <c r="G5653" t="s">
        <v>7845</v>
      </c>
      <c r="H5653">
        <v>22817</v>
      </c>
      <c r="I5653" t="s">
        <v>423</v>
      </c>
      <c r="J5653" t="s">
        <v>3207</v>
      </c>
      <c r="K5653" t="s">
        <v>1918</v>
      </c>
      <c r="L5653" t="s">
        <v>1919</v>
      </c>
      <c r="M5653">
        <v>334</v>
      </c>
      <c r="N5653">
        <v>49.77</v>
      </c>
      <c r="O5653">
        <v>13743.49</v>
      </c>
      <c r="P5653">
        <v>0</v>
      </c>
      <c r="Q5653">
        <v>13743.49</v>
      </c>
      <c r="R5653">
        <v>2198.96</v>
      </c>
      <c r="S5653">
        <v>549.74</v>
      </c>
      <c r="T5653">
        <v>15392.71</v>
      </c>
      <c r="U5653" t="s">
        <v>7529</v>
      </c>
      <c r="V5653" t="s">
        <v>9409</v>
      </c>
      <c r="W5653" t="s">
        <v>423</v>
      </c>
    </row>
    <row r="5654" spans="1:23" hidden="1" x14ac:dyDescent="0.2">
      <c r="A5654">
        <v>2012</v>
      </c>
      <c r="B5654" t="s">
        <v>304</v>
      </c>
      <c r="C5654" s="733">
        <v>40954.441979166666</v>
      </c>
      <c r="D56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54" t="s">
        <v>485</v>
      </c>
      <c r="F5654" t="s">
        <v>2065</v>
      </c>
      <c r="G5654" t="s">
        <v>7514</v>
      </c>
      <c r="H5654">
        <v>41973</v>
      </c>
      <c r="I5654" t="s">
        <v>423</v>
      </c>
      <c r="J5654" t="s">
        <v>3419</v>
      </c>
      <c r="K5654" t="s">
        <v>2183</v>
      </c>
      <c r="L5654" t="s">
        <v>2184</v>
      </c>
      <c r="M5654">
        <v>80</v>
      </c>
      <c r="N5654">
        <v>16.489999999999998</v>
      </c>
      <c r="O5654">
        <v>1861.23</v>
      </c>
      <c r="P5654">
        <v>0</v>
      </c>
      <c r="Q5654">
        <v>1861.23</v>
      </c>
      <c r="R5654">
        <v>297.8</v>
      </c>
      <c r="S5654">
        <v>74.45</v>
      </c>
      <c r="T5654">
        <v>2084.58</v>
      </c>
      <c r="U5654" t="s">
        <v>8048</v>
      </c>
      <c r="V5654" t="s">
        <v>9408</v>
      </c>
      <c r="W5654" t="s">
        <v>423</v>
      </c>
    </row>
    <row r="5655" spans="1:23" hidden="1" x14ac:dyDescent="0.2">
      <c r="A5655">
        <v>2012</v>
      </c>
      <c r="B5655" t="s">
        <v>303</v>
      </c>
      <c r="C5655" s="733">
        <v>40919.643125000002</v>
      </c>
      <c r="D56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55" t="s">
        <v>485</v>
      </c>
      <c r="F5655" t="s">
        <v>2065</v>
      </c>
      <c r="G5655" t="s">
        <v>3291</v>
      </c>
      <c r="H5655">
        <v>40105</v>
      </c>
      <c r="I5655" t="s">
        <v>423</v>
      </c>
      <c r="J5655" t="s">
        <v>2182</v>
      </c>
      <c r="K5655" t="s">
        <v>2183</v>
      </c>
      <c r="L5655" t="s">
        <v>2184</v>
      </c>
      <c r="M5655">
        <v>62</v>
      </c>
      <c r="N5655">
        <v>26.57</v>
      </c>
      <c r="O5655">
        <v>3936.08</v>
      </c>
      <c r="P5655">
        <v>0</v>
      </c>
      <c r="Q5655">
        <v>3936.08</v>
      </c>
      <c r="R5655">
        <v>629.77</v>
      </c>
      <c r="S5655">
        <v>157.44</v>
      </c>
      <c r="T5655">
        <v>4408.41</v>
      </c>
      <c r="U5655" t="s">
        <v>7520</v>
      </c>
      <c r="V5655" t="s">
        <v>9409</v>
      </c>
      <c r="W5655" t="s">
        <v>423</v>
      </c>
    </row>
    <row r="5656" spans="1:23" hidden="1" x14ac:dyDescent="0.2">
      <c r="A5656">
        <v>2012</v>
      </c>
      <c r="B5656" t="s">
        <v>304</v>
      </c>
      <c r="C5656" s="733">
        <v>40960</v>
      </c>
      <c r="D56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56" t="s">
        <v>485</v>
      </c>
      <c r="F5656" t="s">
        <v>2065</v>
      </c>
      <c r="G5656" t="s">
        <v>8203</v>
      </c>
      <c r="H5656">
        <v>42246</v>
      </c>
      <c r="I5656" t="s">
        <v>423</v>
      </c>
      <c r="J5656" t="s">
        <v>2182</v>
      </c>
      <c r="K5656" t="s">
        <v>2183</v>
      </c>
      <c r="L5656" t="s">
        <v>2184</v>
      </c>
      <c r="M5656">
        <v>62</v>
      </c>
      <c r="N5656">
        <v>16.52</v>
      </c>
      <c r="O5656">
        <v>1864.61</v>
      </c>
      <c r="P5656">
        <v>0</v>
      </c>
      <c r="Q5656">
        <v>1864.61</v>
      </c>
      <c r="R5656">
        <v>298.33999999999997</v>
      </c>
      <c r="S5656">
        <v>74.58</v>
      </c>
      <c r="T5656">
        <v>2088.37</v>
      </c>
      <c r="U5656" t="s">
        <v>9411</v>
      </c>
      <c r="V5656" t="s">
        <v>9408</v>
      </c>
      <c r="W5656" t="s">
        <v>423</v>
      </c>
    </row>
    <row r="5657" spans="1:23" hidden="1" x14ac:dyDescent="0.2">
      <c r="A5657">
        <v>2012</v>
      </c>
      <c r="B5657" t="s">
        <v>304</v>
      </c>
      <c r="C5657" s="733">
        <v>40942</v>
      </c>
      <c r="D56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57" t="s">
        <v>505</v>
      </c>
      <c r="F5657" t="s">
        <v>1915</v>
      </c>
      <c r="G5657" t="s">
        <v>7021</v>
      </c>
      <c r="H5657">
        <v>22449</v>
      </c>
      <c r="I5657" t="s">
        <v>423</v>
      </c>
      <c r="J5657" t="s">
        <v>3207</v>
      </c>
      <c r="K5657" t="s">
        <v>1918</v>
      </c>
      <c r="L5657" t="s">
        <v>1919</v>
      </c>
      <c r="M5657">
        <v>334</v>
      </c>
      <c r="N5657">
        <v>49.75</v>
      </c>
      <c r="O5657">
        <v>13737.96</v>
      </c>
      <c r="P5657">
        <v>0</v>
      </c>
      <c r="Q5657">
        <v>13737.96</v>
      </c>
      <c r="R5657">
        <v>2198.0700000000002</v>
      </c>
      <c r="S5657">
        <v>549.52</v>
      </c>
      <c r="T5657">
        <v>15386.51</v>
      </c>
      <c r="U5657" t="s">
        <v>1924</v>
      </c>
      <c r="V5657" t="s">
        <v>9409</v>
      </c>
      <c r="W5657" t="s">
        <v>423</v>
      </c>
    </row>
    <row r="5658" spans="1:23" hidden="1" x14ac:dyDescent="0.2">
      <c r="A5658">
        <v>2012</v>
      </c>
      <c r="B5658" t="s">
        <v>304</v>
      </c>
      <c r="C5658" s="733">
        <v>40947</v>
      </c>
      <c r="D56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58" t="s">
        <v>505</v>
      </c>
      <c r="F5658" t="s">
        <v>1915</v>
      </c>
      <c r="G5658" t="s">
        <v>7020</v>
      </c>
      <c r="H5658">
        <v>22526</v>
      </c>
      <c r="I5658" t="s">
        <v>423</v>
      </c>
      <c r="J5658" t="s">
        <v>3207</v>
      </c>
      <c r="K5658" t="s">
        <v>1918</v>
      </c>
      <c r="L5658" t="s">
        <v>1919</v>
      </c>
      <c r="M5658">
        <v>334</v>
      </c>
      <c r="N5658">
        <v>49.59</v>
      </c>
      <c r="O5658">
        <v>13693.78</v>
      </c>
      <c r="P5658">
        <v>0</v>
      </c>
      <c r="Q5658">
        <v>13693.78</v>
      </c>
      <c r="R5658">
        <v>2191.0100000000002</v>
      </c>
      <c r="S5658">
        <v>547.75</v>
      </c>
      <c r="T5658">
        <v>15337.04</v>
      </c>
      <c r="U5658" t="s">
        <v>1924</v>
      </c>
      <c r="V5658" t="s">
        <v>9409</v>
      </c>
      <c r="W5658" t="s">
        <v>423</v>
      </c>
    </row>
    <row r="5659" spans="1:23" hidden="1" x14ac:dyDescent="0.2">
      <c r="A5659">
        <v>2012</v>
      </c>
      <c r="B5659" t="s">
        <v>304</v>
      </c>
      <c r="C5659" s="733">
        <v>40948</v>
      </c>
      <c r="D56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59" t="s">
        <v>505</v>
      </c>
      <c r="F5659" t="s">
        <v>1915</v>
      </c>
      <c r="G5659" t="s">
        <v>7030</v>
      </c>
      <c r="H5659">
        <v>22568</v>
      </c>
      <c r="I5659" t="s">
        <v>423</v>
      </c>
      <c r="J5659" t="s">
        <v>3207</v>
      </c>
      <c r="K5659" t="s">
        <v>1918</v>
      </c>
      <c r="L5659" t="s">
        <v>1919</v>
      </c>
      <c r="M5659">
        <v>334</v>
      </c>
      <c r="N5659">
        <v>53.14</v>
      </c>
      <c r="O5659">
        <v>14674.08</v>
      </c>
      <c r="P5659">
        <v>0</v>
      </c>
      <c r="Q5659">
        <v>14674.08</v>
      </c>
      <c r="R5659">
        <v>2347.85</v>
      </c>
      <c r="S5659">
        <v>586.96</v>
      </c>
      <c r="T5659">
        <v>16434.97</v>
      </c>
      <c r="U5659" t="s">
        <v>1924</v>
      </c>
      <c r="V5659" t="s">
        <v>9409</v>
      </c>
      <c r="W5659" t="s">
        <v>423</v>
      </c>
    </row>
    <row r="5660" spans="1:23" hidden="1" x14ac:dyDescent="0.2">
      <c r="A5660">
        <v>2012</v>
      </c>
      <c r="B5660" t="s">
        <v>305</v>
      </c>
      <c r="C5660" s="733">
        <v>40969.433703703704</v>
      </c>
      <c r="D5660" s="733" t="str">
        <f>CHOOSE(MONTH(Tabla_sqldatos_bonampakdb_Bon_v_ingresos2012[[#This Row],[fecha_guia]]),"Enero","Febrero","Marzo","Abril","Mayo","Junio","Julio","Agosto","Septiembre","Octubre","Noviembre","Diciembre")</f>
        <v>Marzo</v>
      </c>
      <c r="E5660" t="s">
        <v>485</v>
      </c>
      <c r="F5660" t="s">
        <v>2065</v>
      </c>
      <c r="G5660" t="s">
        <v>9467</v>
      </c>
      <c r="H5660">
        <v>42760</v>
      </c>
      <c r="I5660" t="s">
        <v>423</v>
      </c>
      <c r="J5660" t="s">
        <v>3147</v>
      </c>
      <c r="K5660" t="s">
        <v>2183</v>
      </c>
      <c r="L5660" t="s">
        <v>2184</v>
      </c>
      <c r="M5660">
        <v>528</v>
      </c>
      <c r="N5660">
        <v>27.04</v>
      </c>
      <c r="O5660">
        <v>8371.58</v>
      </c>
      <c r="P5660">
        <v>0</v>
      </c>
      <c r="Q5660">
        <v>8371.58</v>
      </c>
      <c r="R5660">
        <v>1339.45</v>
      </c>
      <c r="S5660">
        <v>334.86</v>
      </c>
      <c r="T5660">
        <v>9376.17</v>
      </c>
      <c r="V5660" t="s">
        <v>9409</v>
      </c>
      <c r="W5660" t="s">
        <v>423</v>
      </c>
    </row>
    <row r="5661" spans="1:23" hidden="1" x14ac:dyDescent="0.2">
      <c r="A5661">
        <v>2012</v>
      </c>
      <c r="B5661" t="s">
        <v>303</v>
      </c>
      <c r="C5661" s="733">
        <v>40919</v>
      </c>
      <c r="D56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61" t="s">
        <v>485</v>
      </c>
      <c r="F5661" t="s">
        <v>2065</v>
      </c>
      <c r="G5661" t="s">
        <v>6436</v>
      </c>
      <c r="H5661">
        <v>40032</v>
      </c>
      <c r="I5661" t="s">
        <v>423</v>
      </c>
      <c r="J5661" t="s">
        <v>3147</v>
      </c>
      <c r="K5661" t="s">
        <v>2183</v>
      </c>
      <c r="L5661" t="s">
        <v>2184</v>
      </c>
      <c r="M5661">
        <v>528</v>
      </c>
      <c r="N5661">
        <v>51.7</v>
      </c>
      <c r="O5661">
        <v>16006.32</v>
      </c>
      <c r="P5661">
        <v>0</v>
      </c>
      <c r="Q5661">
        <v>16006.32</v>
      </c>
      <c r="R5661">
        <v>2561.0100000000002</v>
      </c>
      <c r="S5661">
        <v>640.25</v>
      </c>
      <c r="T5661">
        <v>17927.080000000002</v>
      </c>
      <c r="U5661" t="s">
        <v>7520</v>
      </c>
      <c r="V5661" t="s">
        <v>9409</v>
      </c>
      <c r="W5661" t="s">
        <v>423</v>
      </c>
    </row>
    <row r="5662" spans="1:23" hidden="1" x14ac:dyDescent="0.2">
      <c r="A5662">
        <v>2012</v>
      </c>
      <c r="B5662" t="s">
        <v>304</v>
      </c>
      <c r="C5662" s="733">
        <v>40948</v>
      </c>
      <c r="D56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62" t="s">
        <v>485</v>
      </c>
      <c r="F5662" t="s">
        <v>2065</v>
      </c>
      <c r="G5662" t="s">
        <v>6437</v>
      </c>
      <c r="H5662">
        <v>41552</v>
      </c>
      <c r="I5662" t="s">
        <v>423</v>
      </c>
      <c r="J5662" t="s">
        <v>3147</v>
      </c>
      <c r="K5662" t="s">
        <v>2183</v>
      </c>
      <c r="L5662" t="s">
        <v>2184</v>
      </c>
      <c r="M5662">
        <v>528</v>
      </c>
      <c r="N5662">
        <v>23.63</v>
      </c>
      <c r="O5662">
        <v>7315.85</v>
      </c>
      <c r="P5662">
        <v>0</v>
      </c>
      <c r="Q5662">
        <v>7315.85</v>
      </c>
      <c r="R5662">
        <v>1170.54</v>
      </c>
      <c r="S5662">
        <v>292.63</v>
      </c>
      <c r="T5662">
        <v>8193.76</v>
      </c>
      <c r="U5662" t="s">
        <v>2192</v>
      </c>
      <c r="V5662" t="s">
        <v>9408</v>
      </c>
      <c r="W5662" t="s">
        <v>423</v>
      </c>
    </row>
    <row r="5663" spans="1:23" hidden="1" x14ac:dyDescent="0.2">
      <c r="A5663">
        <v>2012</v>
      </c>
      <c r="B5663" t="s">
        <v>304</v>
      </c>
      <c r="C5663" s="733">
        <v>40960</v>
      </c>
      <c r="D56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63" t="s">
        <v>485</v>
      </c>
      <c r="F5663" t="s">
        <v>2065</v>
      </c>
      <c r="G5663" t="s">
        <v>8144</v>
      </c>
      <c r="H5663">
        <v>41622</v>
      </c>
      <c r="I5663" t="s">
        <v>423</v>
      </c>
      <c r="J5663" t="s">
        <v>3419</v>
      </c>
      <c r="K5663" t="s">
        <v>2183</v>
      </c>
      <c r="L5663" t="s">
        <v>2184</v>
      </c>
      <c r="M5663">
        <v>80</v>
      </c>
      <c r="N5663">
        <v>15.93</v>
      </c>
      <c r="O5663">
        <v>1798.02</v>
      </c>
      <c r="P5663">
        <v>0</v>
      </c>
      <c r="Q5663">
        <v>1798.02</v>
      </c>
      <c r="R5663">
        <v>287.68</v>
      </c>
      <c r="S5663">
        <v>71.92</v>
      </c>
      <c r="T5663">
        <v>2013.78</v>
      </c>
      <c r="U5663" t="s">
        <v>9411</v>
      </c>
      <c r="V5663" t="s">
        <v>9408</v>
      </c>
      <c r="W5663" t="s">
        <v>423</v>
      </c>
    </row>
    <row r="5664" spans="1:23" hidden="1" x14ac:dyDescent="0.2">
      <c r="A5664">
        <v>2012</v>
      </c>
      <c r="B5664" t="s">
        <v>303</v>
      </c>
      <c r="C5664" s="733">
        <v>40921</v>
      </c>
      <c r="D56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64" t="s">
        <v>485</v>
      </c>
      <c r="F5664" t="s">
        <v>2065</v>
      </c>
      <c r="G5664" t="s">
        <v>4182</v>
      </c>
      <c r="H5664">
        <v>40259</v>
      </c>
      <c r="I5664" t="s">
        <v>423</v>
      </c>
      <c r="J5664" t="s">
        <v>2345</v>
      </c>
      <c r="K5664" t="s">
        <v>2102</v>
      </c>
      <c r="L5664" t="s">
        <v>2115</v>
      </c>
      <c r="M5664">
        <v>426</v>
      </c>
      <c r="N5664">
        <v>50.72</v>
      </c>
      <c r="O5664">
        <v>17054.599999999999</v>
      </c>
      <c r="P5664">
        <v>0</v>
      </c>
      <c r="Q5664">
        <v>17054.599999999999</v>
      </c>
      <c r="R5664">
        <v>2728.74</v>
      </c>
      <c r="S5664">
        <v>682.18</v>
      </c>
      <c r="T5664">
        <v>19101.16</v>
      </c>
      <c r="U5664" t="s">
        <v>2106</v>
      </c>
      <c r="V5664" t="s">
        <v>9409</v>
      </c>
      <c r="W5664" t="s">
        <v>423</v>
      </c>
    </row>
    <row r="5665" spans="1:23" hidden="1" x14ac:dyDescent="0.2">
      <c r="A5665">
        <v>2012</v>
      </c>
      <c r="B5665" t="s">
        <v>304</v>
      </c>
      <c r="C5665" s="733">
        <v>40959</v>
      </c>
      <c r="D56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65" t="s">
        <v>485</v>
      </c>
      <c r="F5665" t="s">
        <v>2065</v>
      </c>
      <c r="G5665" t="s">
        <v>7556</v>
      </c>
      <c r="H5665">
        <v>42094</v>
      </c>
      <c r="I5665" t="s">
        <v>423</v>
      </c>
      <c r="J5665" t="s">
        <v>3147</v>
      </c>
      <c r="K5665" t="s">
        <v>2183</v>
      </c>
      <c r="L5665" t="s">
        <v>2184</v>
      </c>
      <c r="M5665">
        <v>528</v>
      </c>
      <c r="N5665">
        <v>24.77</v>
      </c>
      <c r="O5665">
        <v>7668.79</v>
      </c>
      <c r="P5665">
        <v>0</v>
      </c>
      <c r="Q5665">
        <v>7668.79</v>
      </c>
      <c r="R5665">
        <v>1227.01</v>
      </c>
      <c r="S5665">
        <v>306.75</v>
      </c>
      <c r="T5665">
        <v>8589.0499999999993</v>
      </c>
      <c r="U5665" t="s">
        <v>9411</v>
      </c>
      <c r="V5665" t="s">
        <v>9409</v>
      </c>
      <c r="W5665" t="s">
        <v>423</v>
      </c>
    </row>
    <row r="5666" spans="1:23" hidden="1" x14ac:dyDescent="0.2">
      <c r="A5666">
        <v>2012</v>
      </c>
      <c r="B5666" t="s">
        <v>303</v>
      </c>
      <c r="C5666" s="733">
        <v>40925</v>
      </c>
      <c r="D56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66" t="s">
        <v>485</v>
      </c>
      <c r="F5666" t="s">
        <v>2065</v>
      </c>
      <c r="G5666" t="s">
        <v>6438</v>
      </c>
      <c r="H5666">
        <v>40439</v>
      </c>
      <c r="I5666" t="s">
        <v>423</v>
      </c>
      <c r="J5666" t="s">
        <v>3147</v>
      </c>
      <c r="K5666" t="s">
        <v>2183</v>
      </c>
      <c r="L5666" t="s">
        <v>2184</v>
      </c>
      <c r="M5666">
        <v>528</v>
      </c>
      <c r="N5666">
        <v>24.82</v>
      </c>
      <c r="O5666">
        <v>7684.27</v>
      </c>
      <c r="P5666">
        <v>0</v>
      </c>
      <c r="Q5666">
        <v>7684.27</v>
      </c>
      <c r="R5666">
        <v>1229.48</v>
      </c>
      <c r="S5666">
        <v>307.37</v>
      </c>
      <c r="T5666">
        <v>8606.3799999999992</v>
      </c>
      <c r="U5666" t="s">
        <v>7554</v>
      </c>
      <c r="V5666" t="s">
        <v>9408</v>
      </c>
      <c r="W5666" t="s">
        <v>423</v>
      </c>
    </row>
    <row r="5667" spans="1:23" hidden="1" x14ac:dyDescent="0.2">
      <c r="A5667">
        <v>2012</v>
      </c>
      <c r="B5667" t="s">
        <v>303</v>
      </c>
      <c r="C5667" s="733">
        <v>40931</v>
      </c>
      <c r="D56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67" t="s">
        <v>485</v>
      </c>
      <c r="F5667" t="s">
        <v>2065</v>
      </c>
      <c r="G5667" t="s">
        <v>4169</v>
      </c>
      <c r="H5667">
        <v>40711</v>
      </c>
      <c r="I5667" t="s">
        <v>423</v>
      </c>
      <c r="J5667" t="s">
        <v>3204</v>
      </c>
      <c r="K5667" t="s">
        <v>2183</v>
      </c>
      <c r="L5667" t="s">
        <v>2184</v>
      </c>
      <c r="M5667">
        <v>80</v>
      </c>
      <c r="N5667">
        <v>51.38</v>
      </c>
      <c r="O5667">
        <v>5799.26</v>
      </c>
      <c r="P5667">
        <v>0</v>
      </c>
      <c r="Q5667">
        <v>5799.26</v>
      </c>
      <c r="R5667">
        <v>927.88</v>
      </c>
      <c r="S5667">
        <v>231.97</v>
      </c>
      <c r="T5667">
        <v>6495.17</v>
      </c>
      <c r="U5667" t="s">
        <v>2187</v>
      </c>
      <c r="V5667" t="s">
        <v>9409</v>
      </c>
      <c r="W5667" t="s">
        <v>423</v>
      </c>
    </row>
    <row r="5668" spans="1:23" hidden="1" x14ac:dyDescent="0.2">
      <c r="A5668">
        <v>2012</v>
      </c>
      <c r="B5668" t="s">
        <v>304</v>
      </c>
      <c r="C5668" s="733">
        <v>40946</v>
      </c>
      <c r="D56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68" t="s">
        <v>485</v>
      </c>
      <c r="F5668" t="s">
        <v>2065</v>
      </c>
      <c r="G5668" t="s">
        <v>4166</v>
      </c>
      <c r="H5668">
        <v>41526</v>
      </c>
      <c r="I5668" t="s">
        <v>423</v>
      </c>
      <c r="J5668" t="s">
        <v>2182</v>
      </c>
      <c r="K5668" t="s">
        <v>2183</v>
      </c>
      <c r="L5668" t="s">
        <v>2184</v>
      </c>
      <c r="M5668">
        <v>62</v>
      </c>
      <c r="N5668">
        <v>16.12</v>
      </c>
      <c r="O5668">
        <v>2388.02</v>
      </c>
      <c r="P5668">
        <v>0</v>
      </c>
      <c r="Q5668">
        <v>2388.02</v>
      </c>
      <c r="R5668">
        <v>382.08</v>
      </c>
      <c r="S5668">
        <v>95.52</v>
      </c>
      <c r="T5668">
        <v>2674.58</v>
      </c>
      <c r="U5668" t="s">
        <v>2192</v>
      </c>
      <c r="V5668" t="s">
        <v>9408</v>
      </c>
      <c r="W5668" t="s">
        <v>423</v>
      </c>
    </row>
    <row r="5669" spans="1:23" hidden="1" x14ac:dyDescent="0.2">
      <c r="A5669">
        <v>2012</v>
      </c>
      <c r="B5669" t="s">
        <v>303</v>
      </c>
      <c r="C5669" s="733">
        <v>40920</v>
      </c>
      <c r="D56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69" t="s">
        <v>485</v>
      </c>
      <c r="F5669" t="s">
        <v>2065</v>
      </c>
      <c r="G5669" t="s">
        <v>2578</v>
      </c>
      <c r="H5669">
        <v>40029</v>
      </c>
      <c r="I5669" t="s">
        <v>423</v>
      </c>
      <c r="J5669" t="s">
        <v>2139</v>
      </c>
      <c r="K5669" t="s">
        <v>2102</v>
      </c>
      <c r="L5669" t="s">
        <v>2115</v>
      </c>
      <c r="M5669">
        <v>543</v>
      </c>
      <c r="N5669">
        <v>52.06</v>
      </c>
      <c r="O5669">
        <v>17505.18</v>
      </c>
      <c r="P5669">
        <v>0</v>
      </c>
      <c r="Q5669">
        <v>17505.18</v>
      </c>
      <c r="R5669">
        <v>2800.83</v>
      </c>
      <c r="S5669">
        <v>700.21</v>
      </c>
      <c r="T5669">
        <v>19605.8</v>
      </c>
      <c r="U5669" t="s">
        <v>8051</v>
      </c>
      <c r="V5669" t="s">
        <v>9409</v>
      </c>
      <c r="W5669" t="s">
        <v>423</v>
      </c>
    </row>
    <row r="5670" spans="1:23" hidden="1" x14ac:dyDescent="0.2">
      <c r="A5670">
        <v>2012</v>
      </c>
      <c r="B5670" t="s">
        <v>304</v>
      </c>
      <c r="C5670" s="733">
        <v>40959</v>
      </c>
      <c r="D56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70" t="s">
        <v>478</v>
      </c>
      <c r="F5670" t="s">
        <v>2136</v>
      </c>
      <c r="G5670" t="s">
        <v>8107</v>
      </c>
      <c r="H5670">
        <v>35776</v>
      </c>
      <c r="I5670" t="s">
        <v>423</v>
      </c>
      <c r="J5670" t="s">
        <v>4285</v>
      </c>
      <c r="K5670" t="s">
        <v>425</v>
      </c>
      <c r="L5670" t="s">
        <v>2145</v>
      </c>
      <c r="M5670">
        <v>110</v>
      </c>
      <c r="N5670">
        <v>21.2</v>
      </c>
      <c r="O5670">
        <v>3450.3</v>
      </c>
      <c r="P5670">
        <v>0</v>
      </c>
      <c r="Q5670">
        <v>3450.3</v>
      </c>
      <c r="R5670">
        <v>552.04999999999995</v>
      </c>
      <c r="S5670">
        <v>138.01</v>
      </c>
      <c r="T5670">
        <v>3864.34</v>
      </c>
      <c r="U5670" t="s">
        <v>8252</v>
      </c>
      <c r="V5670" t="s">
        <v>9409</v>
      </c>
      <c r="W5670" t="s">
        <v>423</v>
      </c>
    </row>
    <row r="5671" spans="1:23" hidden="1" x14ac:dyDescent="0.2">
      <c r="A5671">
        <v>2012</v>
      </c>
      <c r="B5671" t="s">
        <v>304</v>
      </c>
      <c r="C5671" s="733">
        <v>40960</v>
      </c>
      <c r="D56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71" t="s">
        <v>485</v>
      </c>
      <c r="F5671" t="s">
        <v>2065</v>
      </c>
      <c r="G5671" t="s">
        <v>8221</v>
      </c>
      <c r="H5671">
        <v>42261</v>
      </c>
      <c r="I5671" t="s">
        <v>423</v>
      </c>
      <c r="J5671" t="s">
        <v>2196</v>
      </c>
      <c r="K5671" t="s">
        <v>2183</v>
      </c>
      <c r="L5671" t="s">
        <v>2184</v>
      </c>
      <c r="M5671">
        <v>10</v>
      </c>
      <c r="N5671">
        <v>15.72</v>
      </c>
      <c r="O5671">
        <v>1774.32</v>
      </c>
      <c r="P5671">
        <v>0</v>
      </c>
      <c r="Q5671">
        <v>1774.32</v>
      </c>
      <c r="R5671">
        <v>283.89</v>
      </c>
      <c r="S5671">
        <v>70.97</v>
      </c>
      <c r="T5671">
        <v>1987.24</v>
      </c>
      <c r="U5671" t="s">
        <v>9411</v>
      </c>
      <c r="V5671" t="s">
        <v>9408</v>
      </c>
      <c r="W5671" t="s">
        <v>423</v>
      </c>
    </row>
    <row r="5672" spans="1:23" hidden="1" x14ac:dyDescent="0.2">
      <c r="A5672">
        <v>2012</v>
      </c>
      <c r="B5672" t="s">
        <v>303</v>
      </c>
      <c r="C5672" s="733">
        <v>40926</v>
      </c>
      <c r="D56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72" t="s">
        <v>485</v>
      </c>
      <c r="F5672" t="s">
        <v>2065</v>
      </c>
      <c r="G5672" t="s">
        <v>4994</v>
      </c>
      <c r="H5672">
        <v>40458</v>
      </c>
      <c r="I5672" t="s">
        <v>423</v>
      </c>
      <c r="J5672" t="s">
        <v>2196</v>
      </c>
      <c r="K5672" t="s">
        <v>2183</v>
      </c>
      <c r="L5672" t="s">
        <v>2184</v>
      </c>
      <c r="M5672">
        <v>10</v>
      </c>
      <c r="N5672">
        <v>15.93</v>
      </c>
      <c r="O5672">
        <v>1798.02</v>
      </c>
      <c r="P5672">
        <v>0</v>
      </c>
      <c r="Q5672">
        <v>1798.02</v>
      </c>
      <c r="R5672">
        <v>287.68</v>
      </c>
      <c r="S5672">
        <v>71.92</v>
      </c>
      <c r="T5672">
        <v>2013.78</v>
      </c>
      <c r="U5672" t="s">
        <v>7554</v>
      </c>
      <c r="V5672" t="s">
        <v>9408</v>
      </c>
      <c r="W5672" t="s">
        <v>423</v>
      </c>
    </row>
    <row r="5673" spans="1:23" hidden="1" x14ac:dyDescent="0.2">
      <c r="A5673">
        <v>2012</v>
      </c>
      <c r="B5673" t="s">
        <v>303</v>
      </c>
      <c r="C5673" s="733">
        <v>40931</v>
      </c>
      <c r="D56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73" t="s">
        <v>485</v>
      </c>
      <c r="F5673" t="s">
        <v>2065</v>
      </c>
      <c r="G5673" t="s">
        <v>4979</v>
      </c>
      <c r="H5673">
        <v>40689</v>
      </c>
      <c r="I5673" t="s">
        <v>423</v>
      </c>
      <c r="J5673" t="s">
        <v>2196</v>
      </c>
      <c r="K5673" t="s">
        <v>2183</v>
      </c>
      <c r="L5673" t="s">
        <v>2184</v>
      </c>
      <c r="M5673">
        <v>10</v>
      </c>
      <c r="N5673">
        <v>50</v>
      </c>
      <c r="O5673">
        <v>5643.5</v>
      </c>
      <c r="P5673">
        <v>0</v>
      </c>
      <c r="Q5673">
        <v>5643.5</v>
      </c>
      <c r="R5673">
        <v>902.96</v>
      </c>
      <c r="S5673">
        <v>225.74</v>
      </c>
      <c r="T5673">
        <v>6320.72</v>
      </c>
      <c r="U5673" t="s">
        <v>2187</v>
      </c>
      <c r="V5673" t="s">
        <v>9409</v>
      </c>
      <c r="W5673" t="s">
        <v>423</v>
      </c>
    </row>
    <row r="5674" spans="1:23" hidden="1" x14ac:dyDescent="0.2">
      <c r="A5674">
        <v>2012</v>
      </c>
      <c r="B5674" t="s">
        <v>304</v>
      </c>
      <c r="C5674" s="733">
        <v>40955</v>
      </c>
      <c r="D56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74" t="s">
        <v>485</v>
      </c>
      <c r="F5674" t="s">
        <v>2065</v>
      </c>
      <c r="G5674" t="s">
        <v>8011</v>
      </c>
      <c r="H5674">
        <v>41961</v>
      </c>
      <c r="I5674" t="s">
        <v>423</v>
      </c>
      <c r="J5674" t="s">
        <v>2196</v>
      </c>
      <c r="K5674" t="s">
        <v>2183</v>
      </c>
      <c r="L5674" t="s">
        <v>2184</v>
      </c>
      <c r="M5674">
        <v>10</v>
      </c>
      <c r="N5674">
        <v>24.62</v>
      </c>
      <c r="O5674">
        <v>2778.86</v>
      </c>
      <c r="P5674">
        <v>0</v>
      </c>
      <c r="Q5674">
        <v>2778.86</v>
      </c>
      <c r="R5674">
        <v>444.62</v>
      </c>
      <c r="S5674">
        <v>111.15</v>
      </c>
      <c r="T5674">
        <v>3112.33</v>
      </c>
      <c r="U5674" t="s">
        <v>8048</v>
      </c>
      <c r="V5674" t="s">
        <v>9408</v>
      </c>
      <c r="W5674" t="s">
        <v>423</v>
      </c>
    </row>
    <row r="5675" spans="1:23" hidden="1" x14ac:dyDescent="0.2">
      <c r="A5675">
        <v>2012</v>
      </c>
      <c r="B5675" t="s">
        <v>304</v>
      </c>
      <c r="C5675" s="733">
        <v>40949</v>
      </c>
      <c r="D56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75" t="s">
        <v>485</v>
      </c>
      <c r="F5675" t="s">
        <v>2065</v>
      </c>
      <c r="G5675" t="s">
        <v>4978</v>
      </c>
      <c r="H5675">
        <v>41597</v>
      </c>
      <c r="I5675" t="s">
        <v>423</v>
      </c>
      <c r="J5675" t="s">
        <v>2196</v>
      </c>
      <c r="K5675" t="s">
        <v>2183</v>
      </c>
      <c r="L5675" t="s">
        <v>2184</v>
      </c>
      <c r="M5675">
        <v>10</v>
      </c>
      <c r="N5675">
        <v>52.04</v>
      </c>
      <c r="O5675">
        <v>5873.75</v>
      </c>
      <c r="P5675">
        <v>0</v>
      </c>
      <c r="Q5675">
        <v>5873.75</v>
      </c>
      <c r="R5675">
        <v>939.8</v>
      </c>
      <c r="S5675">
        <v>234.95</v>
      </c>
      <c r="T5675">
        <v>6578.6</v>
      </c>
      <c r="U5675" t="s">
        <v>8048</v>
      </c>
      <c r="V5675" t="s">
        <v>9409</v>
      </c>
      <c r="W5675" t="s">
        <v>423</v>
      </c>
    </row>
    <row r="5676" spans="1:23" hidden="1" x14ac:dyDescent="0.2">
      <c r="A5676">
        <v>2012</v>
      </c>
      <c r="B5676" t="s">
        <v>303</v>
      </c>
      <c r="C5676" s="733">
        <v>40926</v>
      </c>
      <c r="D56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76" t="s">
        <v>485</v>
      </c>
      <c r="F5676" t="s">
        <v>2065</v>
      </c>
      <c r="G5676" t="s">
        <v>5566</v>
      </c>
      <c r="H5676">
        <v>39871</v>
      </c>
      <c r="I5676" t="s">
        <v>423</v>
      </c>
      <c r="J5676" t="s">
        <v>2196</v>
      </c>
      <c r="K5676" t="s">
        <v>2183</v>
      </c>
      <c r="L5676" t="s">
        <v>2184</v>
      </c>
      <c r="M5676">
        <v>10</v>
      </c>
      <c r="N5676">
        <v>48.6</v>
      </c>
      <c r="O5676">
        <v>5485.48</v>
      </c>
      <c r="P5676">
        <v>0</v>
      </c>
      <c r="Q5676">
        <v>5485.48</v>
      </c>
      <c r="R5676">
        <v>877.68</v>
      </c>
      <c r="S5676">
        <v>219.42</v>
      </c>
      <c r="T5676">
        <v>6143.74</v>
      </c>
      <c r="U5676" t="s">
        <v>2192</v>
      </c>
      <c r="V5676" t="s">
        <v>9409</v>
      </c>
      <c r="W5676" t="s">
        <v>423</v>
      </c>
    </row>
    <row r="5677" spans="1:23" hidden="1" x14ac:dyDescent="0.2">
      <c r="A5677">
        <v>2012</v>
      </c>
      <c r="B5677" t="s">
        <v>304</v>
      </c>
      <c r="C5677" s="733">
        <v>40953</v>
      </c>
      <c r="D56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77" t="s">
        <v>485</v>
      </c>
      <c r="F5677" t="s">
        <v>2136</v>
      </c>
      <c r="G5677" t="s">
        <v>5563</v>
      </c>
      <c r="H5677">
        <v>41906</v>
      </c>
      <c r="I5677" t="s">
        <v>423</v>
      </c>
      <c r="J5677" t="s">
        <v>2196</v>
      </c>
      <c r="K5677" t="s">
        <v>2183</v>
      </c>
      <c r="L5677" t="s">
        <v>2184</v>
      </c>
      <c r="M5677">
        <v>10</v>
      </c>
      <c r="N5677">
        <v>24.91</v>
      </c>
      <c r="O5677">
        <v>2811.59</v>
      </c>
      <c r="P5677">
        <v>0</v>
      </c>
      <c r="Q5677">
        <v>2811.59</v>
      </c>
      <c r="R5677">
        <v>449.85</v>
      </c>
      <c r="S5677">
        <v>112.46</v>
      </c>
      <c r="T5677">
        <v>3148.98</v>
      </c>
      <c r="U5677" t="s">
        <v>8048</v>
      </c>
      <c r="V5677" t="s">
        <v>9408</v>
      </c>
      <c r="W5677" t="s">
        <v>423</v>
      </c>
    </row>
    <row r="5678" spans="1:23" hidden="1" x14ac:dyDescent="0.2">
      <c r="A5678">
        <v>2012</v>
      </c>
      <c r="B5678" t="s">
        <v>303</v>
      </c>
      <c r="C5678" s="733">
        <v>40934.437743055554</v>
      </c>
      <c r="D56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78" t="s">
        <v>485</v>
      </c>
      <c r="F5678" t="s">
        <v>2054</v>
      </c>
      <c r="G5678" t="s">
        <v>5892</v>
      </c>
      <c r="H5678">
        <v>10214</v>
      </c>
      <c r="I5678" t="s">
        <v>423</v>
      </c>
      <c r="J5678" t="s">
        <v>2072</v>
      </c>
      <c r="K5678" t="s">
        <v>2057</v>
      </c>
      <c r="L5678" t="s">
        <v>2058</v>
      </c>
      <c r="M5678">
        <v>406</v>
      </c>
      <c r="N5678">
        <v>45.63</v>
      </c>
      <c r="O5678">
        <v>12469.77</v>
      </c>
      <c r="P5678">
        <v>0</v>
      </c>
      <c r="Q5678">
        <v>12469.77</v>
      </c>
      <c r="R5678">
        <v>1995.16</v>
      </c>
      <c r="S5678">
        <v>498.79</v>
      </c>
      <c r="T5678">
        <v>13966.14</v>
      </c>
      <c r="U5678" t="s">
        <v>2073</v>
      </c>
      <c r="V5678" t="s">
        <v>9409</v>
      </c>
      <c r="W5678" t="s">
        <v>423</v>
      </c>
    </row>
    <row r="5679" spans="1:23" hidden="1" x14ac:dyDescent="0.2">
      <c r="A5679">
        <v>2012</v>
      </c>
      <c r="B5679" t="s">
        <v>303</v>
      </c>
      <c r="C5679" s="733">
        <v>40929</v>
      </c>
      <c r="D56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79" t="s">
        <v>485</v>
      </c>
      <c r="F5679" t="s">
        <v>2054</v>
      </c>
      <c r="G5679" t="s">
        <v>5891</v>
      </c>
      <c r="H5679">
        <v>10148</v>
      </c>
      <c r="I5679" t="s">
        <v>423</v>
      </c>
      <c r="J5679" t="s">
        <v>2072</v>
      </c>
      <c r="K5679" t="s">
        <v>2057</v>
      </c>
      <c r="L5679" t="s">
        <v>2058</v>
      </c>
      <c r="M5679">
        <v>406</v>
      </c>
      <c r="N5679">
        <v>47.7</v>
      </c>
      <c r="O5679">
        <v>13035.46</v>
      </c>
      <c r="P5679">
        <v>0</v>
      </c>
      <c r="Q5679">
        <v>13035.46</v>
      </c>
      <c r="R5679">
        <v>2085.67</v>
      </c>
      <c r="S5679">
        <v>521.41999999999996</v>
      </c>
      <c r="T5679">
        <v>14599.71</v>
      </c>
      <c r="U5679" t="s">
        <v>2077</v>
      </c>
      <c r="V5679" t="s">
        <v>9408</v>
      </c>
      <c r="W5679" t="s">
        <v>423</v>
      </c>
    </row>
    <row r="5680" spans="1:23" hidden="1" x14ac:dyDescent="0.2">
      <c r="A5680">
        <v>2012</v>
      </c>
      <c r="B5680" t="s">
        <v>303</v>
      </c>
      <c r="C5680" s="733">
        <v>40929</v>
      </c>
      <c r="D56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80" t="s">
        <v>485</v>
      </c>
      <c r="F5680" t="s">
        <v>2054</v>
      </c>
      <c r="G5680" t="s">
        <v>5890</v>
      </c>
      <c r="H5680">
        <v>10153</v>
      </c>
      <c r="I5680" t="s">
        <v>423</v>
      </c>
      <c r="J5680" t="s">
        <v>2072</v>
      </c>
      <c r="K5680" t="s">
        <v>2057</v>
      </c>
      <c r="L5680" t="s">
        <v>2058</v>
      </c>
      <c r="M5680">
        <v>406</v>
      </c>
      <c r="N5680">
        <v>47.34</v>
      </c>
      <c r="O5680">
        <v>12937.08</v>
      </c>
      <c r="P5680">
        <v>0</v>
      </c>
      <c r="Q5680">
        <v>12937.08</v>
      </c>
      <c r="R5680">
        <v>2069.9299999999998</v>
      </c>
      <c r="S5680">
        <v>517.48</v>
      </c>
      <c r="T5680">
        <v>14489.53</v>
      </c>
      <c r="U5680" t="s">
        <v>2077</v>
      </c>
      <c r="V5680" t="s">
        <v>9409</v>
      </c>
      <c r="W5680" t="s">
        <v>423</v>
      </c>
    </row>
    <row r="5681" spans="1:23" hidden="1" x14ac:dyDescent="0.2">
      <c r="A5681">
        <v>2012</v>
      </c>
      <c r="B5681" t="s">
        <v>304</v>
      </c>
      <c r="C5681" s="733">
        <v>40954.66642361111</v>
      </c>
      <c r="D56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81" t="s">
        <v>485</v>
      </c>
      <c r="F5681" t="s">
        <v>2054</v>
      </c>
      <c r="G5681" t="s">
        <v>8024</v>
      </c>
      <c r="H5681">
        <v>10448</v>
      </c>
      <c r="I5681" t="s">
        <v>423</v>
      </c>
      <c r="J5681" t="s">
        <v>2072</v>
      </c>
      <c r="K5681" t="s">
        <v>2057</v>
      </c>
      <c r="L5681" t="s">
        <v>2058</v>
      </c>
      <c r="M5681">
        <v>406</v>
      </c>
      <c r="N5681">
        <v>47.12</v>
      </c>
      <c r="O5681">
        <v>12876.95</v>
      </c>
      <c r="P5681">
        <v>0</v>
      </c>
      <c r="Q5681">
        <v>12876.95</v>
      </c>
      <c r="R5681">
        <v>1416.46</v>
      </c>
      <c r="S5681">
        <v>515.08000000000004</v>
      </c>
      <c r="T5681">
        <v>13778.33</v>
      </c>
      <c r="U5681" t="s">
        <v>8047</v>
      </c>
      <c r="V5681" t="s">
        <v>9409</v>
      </c>
      <c r="W5681" t="s">
        <v>423</v>
      </c>
    </row>
    <row r="5682" spans="1:23" hidden="1" x14ac:dyDescent="0.2">
      <c r="A5682">
        <v>2012</v>
      </c>
      <c r="B5682" t="s">
        <v>305</v>
      </c>
      <c r="C5682" s="733">
        <v>40971</v>
      </c>
      <c r="D5682" s="733" t="str">
        <f>CHOOSE(MONTH(Tabla_sqldatos_bonampakdb_Bon_v_ingresos2012[[#This Row],[fecha_guia]]),"Enero","Febrero","Marzo","Abril","Mayo","Junio","Julio","Agosto","Septiembre","Octubre","Noviembre","Diciembre")</f>
        <v>Marzo</v>
      </c>
      <c r="E5682" t="s">
        <v>485</v>
      </c>
      <c r="F5682" t="s">
        <v>2054</v>
      </c>
      <c r="G5682" t="s">
        <v>9748</v>
      </c>
      <c r="H5682">
        <v>10632</v>
      </c>
      <c r="I5682" t="s">
        <v>423</v>
      </c>
      <c r="J5682" t="s">
        <v>2072</v>
      </c>
      <c r="K5682" t="s">
        <v>2057</v>
      </c>
      <c r="L5682" t="s">
        <v>2058</v>
      </c>
      <c r="M5682">
        <v>406</v>
      </c>
      <c r="N5682">
        <v>45.91</v>
      </c>
      <c r="O5682">
        <v>12546.28</v>
      </c>
      <c r="P5682">
        <v>0</v>
      </c>
      <c r="Q5682">
        <v>12546.28</v>
      </c>
      <c r="R5682">
        <v>1380.09</v>
      </c>
      <c r="S5682">
        <v>501.85</v>
      </c>
      <c r="T5682">
        <v>13424.52</v>
      </c>
      <c r="V5682" t="s">
        <v>9409</v>
      </c>
      <c r="W5682" t="s">
        <v>423</v>
      </c>
    </row>
    <row r="5683" spans="1:23" hidden="1" x14ac:dyDescent="0.2">
      <c r="A5683">
        <v>2012</v>
      </c>
      <c r="B5683" t="s">
        <v>303</v>
      </c>
      <c r="C5683" s="733">
        <v>40924.789513888885</v>
      </c>
      <c r="D56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83" t="s">
        <v>485</v>
      </c>
      <c r="F5683" t="s">
        <v>2054</v>
      </c>
      <c r="G5683" t="s">
        <v>5900</v>
      </c>
      <c r="H5683">
        <v>10080</v>
      </c>
      <c r="I5683" t="s">
        <v>423</v>
      </c>
      <c r="J5683" t="s">
        <v>2072</v>
      </c>
      <c r="K5683" t="s">
        <v>2057</v>
      </c>
      <c r="L5683" t="s">
        <v>2058</v>
      </c>
      <c r="M5683">
        <v>406</v>
      </c>
      <c r="N5683">
        <v>22.67</v>
      </c>
      <c r="O5683">
        <v>6195.26</v>
      </c>
      <c r="P5683">
        <v>0</v>
      </c>
      <c r="Q5683">
        <v>6195.26</v>
      </c>
      <c r="R5683">
        <v>991.24</v>
      </c>
      <c r="S5683">
        <v>247.81</v>
      </c>
      <c r="T5683">
        <v>6938.69</v>
      </c>
      <c r="U5683" t="s">
        <v>2059</v>
      </c>
      <c r="V5683" t="s">
        <v>9409</v>
      </c>
      <c r="W5683" t="s">
        <v>423</v>
      </c>
    </row>
    <row r="5684" spans="1:23" hidden="1" x14ac:dyDescent="0.2">
      <c r="A5684">
        <v>2012</v>
      </c>
      <c r="B5684" t="s">
        <v>303</v>
      </c>
      <c r="C5684" s="733">
        <v>40933.650023148148</v>
      </c>
      <c r="D56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84" t="s">
        <v>485</v>
      </c>
      <c r="F5684" t="s">
        <v>2054</v>
      </c>
      <c r="G5684" t="s">
        <v>5903</v>
      </c>
      <c r="H5684">
        <v>10207</v>
      </c>
      <c r="I5684" t="s">
        <v>423</v>
      </c>
      <c r="J5684" t="s">
        <v>2072</v>
      </c>
      <c r="K5684" t="s">
        <v>2057</v>
      </c>
      <c r="L5684" t="s">
        <v>2058</v>
      </c>
      <c r="M5684">
        <v>406</v>
      </c>
      <c r="N5684">
        <v>46.27</v>
      </c>
      <c r="O5684">
        <v>12644.67</v>
      </c>
      <c r="P5684">
        <v>0</v>
      </c>
      <c r="Q5684">
        <v>12644.67</v>
      </c>
      <c r="R5684">
        <v>2023.15</v>
      </c>
      <c r="S5684">
        <v>505.79</v>
      </c>
      <c r="T5684">
        <v>14162.03</v>
      </c>
      <c r="U5684" t="s">
        <v>2073</v>
      </c>
      <c r="V5684" t="s">
        <v>9409</v>
      </c>
      <c r="W5684" t="s">
        <v>423</v>
      </c>
    </row>
    <row r="5685" spans="1:23" hidden="1" x14ac:dyDescent="0.2">
      <c r="A5685">
        <v>2012</v>
      </c>
      <c r="B5685" t="s">
        <v>303</v>
      </c>
      <c r="C5685" s="733">
        <v>40920</v>
      </c>
      <c r="D56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85" t="s">
        <v>485</v>
      </c>
      <c r="F5685" t="s">
        <v>2054</v>
      </c>
      <c r="G5685" t="s">
        <v>6406</v>
      </c>
      <c r="H5685">
        <v>10026</v>
      </c>
      <c r="I5685" t="s">
        <v>423</v>
      </c>
      <c r="J5685" t="s">
        <v>2072</v>
      </c>
      <c r="K5685" t="s">
        <v>2057</v>
      </c>
      <c r="L5685" t="s">
        <v>2058</v>
      </c>
      <c r="M5685">
        <v>406</v>
      </c>
      <c r="N5685">
        <v>23.79</v>
      </c>
      <c r="O5685">
        <v>6501.33</v>
      </c>
      <c r="P5685">
        <v>0</v>
      </c>
      <c r="Q5685">
        <v>6501.33</v>
      </c>
      <c r="R5685">
        <v>1040.21</v>
      </c>
      <c r="S5685">
        <v>260.05</v>
      </c>
      <c r="T5685">
        <v>7281.49</v>
      </c>
      <c r="U5685" t="s">
        <v>2059</v>
      </c>
      <c r="V5685" t="s">
        <v>9408</v>
      </c>
      <c r="W5685" t="s">
        <v>423</v>
      </c>
    </row>
    <row r="5686" spans="1:23" x14ac:dyDescent="0.2">
      <c r="A5686">
        <v>2012</v>
      </c>
      <c r="B5686" t="s">
        <v>304</v>
      </c>
      <c r="C5686" s="733">
        <v>40967</v>
      </c>
      <c r="D56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86" t="s">
        <v>485</v>
      </c>
      <c r="F5686" t="s">
        <v>2054</v>
      </c>
      <c r="G5686" t="s">
        <v>9400</v>
      </c>
      <c r="H5686">
        <v>10565</v>
      </c>
      <c r="I5686" t="s">
        <v>423</v>
      </c>
      <c r="J5686" t="s">
        <v>2072</v>
      </c>
      <c r="K5686" t="s">
        <v>2057</v>
      </c>
      <c r="L5686" t="s">
        <v>2058</v>
      </c>
      <c r="M5686">
        <v>406</v>
      </c>
      <c r="N5686">
        <v>29.86</v>
      </c>
      <c r="O5686">
        <v>8160.14</v>
      </c>
      <c r="P5686">
        <v>0</v>
      </c>
      <c r="Q5686">
        <v>8160.14</v>
      </c>
      <c r="R5686">
        <v>897.62</v>
      </c>
      <c r="S5686">
        <v>326.41000000000003</v>
      </c>
      <c r="T5686">
        <v>8731.35</v>
      </c>
      <c r="V5686" t="s">
        <v>9408</v>
      </c>
      <c r="W5686" t="s">
        <v>423</v>
      </c>
    </row>
    <row r="5687" spans="1:23" hidden="1" x14ac:dyDescent="0.2">
      <c r="A5687">
        <v>2012</v>
      </c>
      <c r="B5687" t="s">
        <v>304</v>
      </c>
      <c r="C5687" s="733">
        <v>40943.663182870368</v>
      </c>
      <c r="D56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87" t="s">
        <v>485</v>
      </c>
      <c r="F5687" t="s">
        <v>2054</v>
      </c>
      <c r="G5687" t="s">
        <v>5904</v>
      </c>
      <c r="H5687">
        <v>10335</v>
      </c>
      <c r="I5687" t="s">
        <v>423</v>
      </c>
      <c r="J5687" t="s">
        <v>2072</v>
      </c>
      <c r="K5687" t="s">
        <v>2057</v>
      </c>
      <c r="L5687" t="s">
        <v>2058</v>
      </c>
      <c r="M5687">
        <v>406</v>
      </c>
      <c r="N5687">
        <v>24.44</v>
      </c>
      <c r="O5687">
        <v>6678.96</v>
      </c>
      <c r="P5687">
        <v>0</v>
      </c>
      <c r="Q5687">
        <v>6678.96</v>
      </c>
      <c r="R5687">
        <v>1068.6300000000001</v>
      </c>
      <c r="S5687">
        <v>267.16000000000003</v>
      </c>
      <c r="T5687">
        <v>7480.43</v>
      </c>
      <c r="U5687" t="s">
        <v>2075</v>
      </c>
      <c r="V5687" t="s">
        <v>9408</v>
      </c>
      <c r="W5687" t="s">
        <v>423</v>
      </c>
    </row>
    <row r="5688" spans="1:23" hidden="1" x14ac:dyDescent="0.2">
      <c r="A5688">
        <v>2012</v>
      </c>
      <c r="B5688" t="s">
        <v>303</v>
      </c>
      <c r="C5688" s="733">
        <v>40931</v>
      </c>
      <c r="D56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88" t="s">
        <v>505</v>
      </c>
      <c r="F5688" t="s">
        <v>1915</v>
      </c>
      <c r="G5688" t="s">
        <v>4967</v>
      </c>
      <c r="H5688">
        <v>22162</v>
      </c>
      <c r="I5688" t="s">
        <v>423</v>
      </c>
      <c r="J5688" t="s">
        <v>1943</v>
      </c>
      <c r="K5688" t="s">
        <v>1918</v>
      </c>
      <c r="L5688" t="s">
        <v>1919</v>
      </c>
      <c r="M5688">
        <v>319</v>
      </c>
      <c r="N5688">
        <v>53.97</v>
      </c>
      <c r="O5688">
        <v>15826.16</v>
      </c>
      <c r="P5688">
        <v>0</v>
      </c>
      <c r="Q5688">
        <v>15826.16</v>
      </c>
      <c r="R5688">
        <v>2532.19</v>
      </c>
      <c r="S5688">
        <v>633.04999999999995</v>
      </c>
      <c r="T5688">
        <v>17725.3</v>
      </c>
      <c r="V5688" t="s">
        <v>9409</v>
      </c>
      <c r="W5688" t="s">
        <v>423</v>
      </c>
    </row>
    <row r="5689" spans="1:23" hidden="1" x14ac:dyDescent="0.2">
      <c r="A5689">
        <v>2012</v>
      </c>
      <c r="B5689" t="s">
        <v>303</v>
      </c>
      <c r="C5689" s="733">
        <v>40913</v>
      </c>
      <c r="D56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89" t="s">
        <v>505</v>
      </c>
      <c r="F5689" t="s">
        <v>1915</v>
      </c>
      <c r="G5689" t="s">
        <v>6645</v>
      </c>
      <c r="H5689">
        <v>21736</v>
      </c>
      <c r="I5689" t="s">
        <v>423</v>
      </c>
      <c r="J5689" t="s">
        <v>1943</v>
      </c>
      <c r="K5689" t="s">
        <v>1918</v>
      </c>
      <c r="L5689" t="s">
        <v>1919</v>
      </c>
      <c r="M5689">
        <v>319</v>
      </c>
      <c r="N5689">
        <v>54.36</v>
      </c>
      <c r="O5689">
        <v>6711.17</v>
      </c>
      <c r="P5689">
        <v>7556.0391909999998</v>
      </c>
      <c r="Q5689">
        <v>14267.209191</v>
      </c>
      <c r="R5689">
        <v>2282.753471</v>
      </c>
      <c r="S5689">
        <v>570.68836799999997</v>
      </c>
      <c r="T5689">
        <v>15979.274294000001</v>
      </c>
      <c r="U5689" t="s">
        <v>1920</v>
      </c>
      <c r="V5689" t="s">
        <v>9409</v>
      </c>
      <c r="W5689" t="s">
        <v>423</v>
      </c>
    </row>
    <row r="5690" spans="1:23" hidden="1" x14ac:dyDescent="0.2">
      <c r="A5690">
        <v>2012</v>
      </c>
      <c r="B5690" t="s">
        <v>304</v>
      </c>
      <c r="C5690" s="733">
        <v>40962</v>
      </c>
      <c r="D56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90" t="s">
        <v>485</v>
      </c>
      <c r="F5690" t="s">
        <v>2054</v>
      </c>
      <c r="G5690" t="s">
        <v>8695</v>
      </c>
      <c r="H5690">
        <v>10511</v>
      </c>
      <c r="I5690" t="s">
        <v>423</v>
      </c>
      <c r="J5690" t="s">
        <v>2072</v>
      </c>
      <c r="K5690" t="s">
        <v>2057</v>
      </c>
      <c r="L5690" t="s">
        <v>2058</v>
      </c>
      <c r="M5690">
        <v>406</v>
      </c>
      <c r="N5690">
        <v>46.54</v>
      </c>
      <c r="O5690">
        <v>12718.45</v>
      </c>
      <c r="P5690">
        <v>0</v>
      </c>
      <c r="Q5690">
        <v>12718.45</v>
      </c>
      <c r="R5690">
        <v>1399.03</v>
      </c>
      <c r="S5690">
        <v>508.74</v>
      </c>
      <c r="T5690">
        <v>13608.74</v>
      </c>
      <c r="U5690" t="s">
        <v>8864</v>
      </c>
      <c r="V5690" t="s">
        <v>9409</v>
      </c>
      <c r="W5690" t="s">
        <v>423</v>
      </c>
    </row>
    <row r="5691" spans="1:23" hidden="1" x14ac:dyDescent="0.2">
      <c r="A5691">
        <v>2012</v>
      </c>
      <c r="B5691" t="s">
        <v>304</v>
      </c>
      <c r="C5691" s="733">
        <v>40940.44121527778</v>
      </c>
      <c r="D56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91" t="s">
        <v>485</v>
      </c>
      <c r="F5691" t="s">
        <v>2054</v>
      </c>
      <c r="G5691" t="s">
        <v>5899</v>
      </c>
      <c r="H5691">
        <v>10277</v>
      </c>
      <c r="I5691" t="s">
        <v>423</v>
      </c>
      <c r="J5691" t="s">
        <v>2072</v>
      </c>
      <c r="K5691" t="s">
        <v>2057</v>
      </c>
      <c r="L5691" t="s">
        <v>2058</v>
      </c>
      <c r="M5691">
        <v>406</v>
      </c>
      <c r="N5691">
        <v>46.99</v>
      </c>
      <c r="O5691">
        <v>12841.43</v>
      </c>
      <c r="P5691">
        <v>0</v>
      </c>
      <c r="Q5691">
        <v>12841.43</v>
      </c>
      <c r="R5691">
        <v>2054.63</v>
      </c>
      <c r="S5691">
        <v>513.66</v>
      </c>
      <c r="T5691">
        <v>14382.4</v>
      </c>
      <c r="U5691" t="s">
        <v>2075</v>
      </c>
      <c r="V5691" t="s">
        <v>9409</v>
      </c>
      <c r="W5691" t="s">
        <v>423</v>
      </c>
    </row>
    <row r="5692" spans="1:23" hidden="1" x14ac:dyDescent="0.2">
      <c r="A5692">
        <v>2012</v>
      </c>
      <c r="B5692" t="s">
        <v>303</v>
      </c>
      <c r="C5692" s="733">
        <v>40919</v>
      </c>
      <c r="D56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92" t="s">
        <v>485</v>
      </c>
      <c r="F5692" t="s">
        <v>2054</v>
      </c>
      <c r="G5692" t="s">
        <v>5898</v>
      </c>
      <c r="H5692">
        <v>9982</v>
      </c>
      <c r="I5692" t="s">
        <v>423</v>
      </c>
      <c r="J5692" t="s">
        <v>2072</v>
      </c>
      <c r="K5692" t="s">
        <v>2057</v>
      </c>
      <c r="L5692" t="s">
        <v>2058</v>
      </c>
      <c r="M5692">
        <v>406</v>
      </c>
      <c r="N5692">
        <v>22.77</v>
      </c>
      <c r="O5692">
        <v>6222.59</v>
      </c>
      <c r="P5692">
        <v>0</v>
      </c>
      <c r="Q5692">
        <v>6222.59</v>
      </c>
      <c r="R5692">
        <v>995.61</v>
      </c>
      <c r="S5692">
        <v>248.9</v>
      </c>
      <c r="T5692">
        <v>6969.3</v>
      </c>
      <c r="U5692" t="s">
        <v>2070</v>
      </c>
      <c r="V5692" t="s">
        <v>9409</v>
      </c>
      <c r="W5692" t="s">
        <v>423</v>
      </c>
    </row>
    <row r="5693" spans="1:23" hidden="1" x14ac:dyDescent="0.2">
      <c r="A5693">
        <v>2012</v>
      </c>
      <c r="B5693" t="s">
        <v>304</v>
      </c>
      <c r="C5693" s="733">
        <v>40954</v>
      </c>
      <c r="D56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93" t="s">
        <v>485</v>
      </c>
      <c r="F5693" t="s">
        <v>2065</v>
      </c>
      <c r="G5693" t="s">
        <v>8029</v>
      </c>
      <c r="H5693">
        <v>42015</v>
      </c>
      <c r="I5693" t="s">
        <v>423</v>
      </c>
      <c r="J5693" t="s">
        <v>4091</v>
      </c>
      <c r="K5693" t="s">
        <v>2051</v>
      </c>
      <c r="L5693" t="s">
        <v>2052</v>
      </c>
      <c r="M5693">
        <v>1092</v>
      </c>
      <c r="N5693">
        <v>48.7</v>
      </c>
      <c r="O5693">
        <v>28416.45</v>
      </c>
      <c r="P5693">
        <v>0</v>
      </c>
      <c r="Q5693">
        <v>28416.45</v>
      </c>
      <c r="R5693">
        <v>4546.63</v>
      </c>
      <c r="S5693">
        <v>1136.6600000000001</v>
      </c>
      <c r="T5693">
        <v>31826.42</v>
      </c>
      <c r="U5693" t="s">
        <v>8780</v>
      </c>
      <c r="V5693" t="s">
        <v>9409</v>
      </c>
      <c r="W5693" t="s">
        <v>423</v>
      </c>
    </row>
    <row r="5694" spans="1:23" hidden="1" x14ac:dyDescent="0.2">
      <c r="A5694">
        <v>2012</v>
      </c>
      <c r="B5694" t="s">
        <v>303</v>
      </c>
      <c r="C5694" s="733">
        <v>40933</v>
      </c>
      <c r="D56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94" t="s">
        <v>485</v>
      </c>
      <c r="F5694" t="s">
        <v>2048</v>
      </c>
      <c r="G5694" t="s">
        <v>6407</v>
      </c>
      <c r="H5694">
        <v>40854</v>
      </c>
      <c r="I5694" t="s">
        <v>423</v>
      </c>
      <c r="J5694" t="s">
        <v>4091</v>
      </c>
      <c r="K5694" t="s">
        <v>2051</v>
      </c>
      <c r="L5694" t="s">
        <v>2052</v>
      </c>
      <c r="M5694">
        <v>1092</v>
      </c>
      <c r="N5694">
        <v>25.95</v>
      </c>
      <c r="O5694">
        <v>15141.82</v>
      </c>
      <c r="P5694">
        <v>0</v>
      </c>
      <c r="Q5694">
        <v>15141.82</v>
      </c>
      <c r="R5694">
        <v>2422.69</v>
      </c>
      <c r="S5694">
        <v>605.66999999999996</v>
      </c>
      <c r="T5694">
        <v>16958.84</v>
      </c>
      <c r="U5694" t="s">
        <v>2053</v>
      </c>
      <c r="V5694" t="s">
        <v>9409</v>
      </c>
      <c r="W5694" t="s">
        <v>423</v>
      </c>
    </row>
    <row r="5695" spans="1:23" hidden="1" x14ac:dyDescent="0.2">
      <c r="A5695">
        <v>2012</v>
      </c>
      <c r="B5695" t="s">
        <v>304</v>
      </c>
      <c r="C5695" s="733">
        <v>40946</v>
      </c>
      <c r="D56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95" t="s">
        <v>485</v>
      </c>
      <c r="F5695" t="s">
        <v>2048</v>
      </c>
      <c r="G5695" t="s">
        <v>6408</v>
      </c>
      <c r="H5695">
        <v>41482</v>
      </c>
      <c r="I5695" t="s">
        <v>423</v>
      </c>
      <c r="J5695" t="s">
        <v>4091</v>
      </c>
      <c r="K5695" t="s">
        <v>2051</v>
      </c>
      <c r="L5695" t="s">
        <v>2052</v>
      </c>
      <c r="M5695">
        <v>1092</v>
      </c>
      <c r="N5695">
        <v>28.9</v>
      </c>
      <c r="O5695">
        <v>16863.150000000001</v>
      </c>
      <c r="P5695">
        <v>0</v>
      </c>
      <c r="Q5695">
        <v>16863.150000000001</v>
      </c>
      <c r="R5695">
        <v>2698.1</v>
      </c>
      <c r="S5695">
        <v>674.53</v>
      </c>
      <c r="T5695">
        <v>18886.72</v>
      </c>
      <c r="U5695" t="s">
        <v>8257</v>
      </c>
      <c r="V5695" t="s">
        <v>9408</v>
      </c>
      <c r="W5695" t="s">
        <v>423</v>
      </c>
    </row>
    <row r="5696" spans="1:23" hidden="1" x14ac:dyDescent="0.2">
      <c r="A5696">
        <v>2012</v>
      </c>
      <c r="B5696" t="s">
        <v>304</v>
      </c>
      <c r="C5696" s="733">
        <v>40963</v>
      </c>
      <c r="D56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96" t="s">
        <v>485</v>
      </c>
      <c r="F5696" t="s">
        <v>2065</v>
      </c>
      <c r="G5696" t="s">
        <v>8561</v>
      </c>
      <c r="H5696">
        <v>42543</v>
      </c>
      <c r="I5696" t="s">
        <v>423</v>
      </c>
      <c r="J5696" t="s">
        <v>2196</v>
      </c>
      <c r="K5696" t="s">
        <v>2183</v>
      </c>
      <c r="L5696" t="s">
        <v>2184</v>
      </c>
      <c r="M5696">
        <v>10</v>
      </c>
      <c r="N5696">
        <v>16.29</v>
      </c>
      <c r="O5696">
        <v>1838.65</v>
      </c>
      <c r="P5696">
        <v>0</v>
      </c>
      <c r="Q5696">
        <v>1838.65</v>
      </c>
      <c r="R5696">
        <v>294.18</v>
      </c>
      <c r="S5696">
        <v>73.55</v>
      </c>
      <c r="T5696">
        <v>2059.2800000000002</v>
      </c>
      <c r="U5696" t="s">
        <v>9411</v>
      </c>
      <c r="V5696" t="s">
        <v>9408</v>
      </c>
      <c r="W5696" t="s">
        <v>423</v>
      </c>
    </row>
    <row r="5697" spans="1:23" hidden="1" x14ac:dyDescent="0.2">
      <c r="A5697">
        <v>2012</v>
      </c>
      <c r="B5697" t="s">
        <v>305</v>
      </c>
      <c r="C5697" s="733">
        <v>40970</v>
      </c>
      <c r="D569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697" t="s">
        <v>485</v>
      </c>
      <c r="F5697" t="s">
        <v>2065</v>
      </c>
      <c r="G5697" t="s">
        <v>9476</v>
      </c>
      <c r="H5697">
        <v>42900</v>
      </c>
      <c r="I5697" t="s">
        <v>423</v>
      </c>
      <c r="J5697" t="s">
        <v>2196</v>
      </c>
      <c r="K5697" t="s">
        <v>2183</v>
      </c>
      <c r="L5697" t="s">
        <v>2184</v>
      </c>
      <c r="M5697">
        <v>10</v>
      </c>
      <c r="N5697">
        <v>51.7</v>
      </c>
      <c r="O5697">
        <v>5835.38</v>
      </c>
      <c r="P5697">
        <v>0</v>
      </c>
      <c r="Q5697">
        <v>5835.38</v>
      </c>
      <c r="R5697">
        <v>933.66</v>
      </c>
      <c r="S5697">
        <v>233.42</v>
      </c>
      <c r="T5697">
        <v>6535.62</v>
      </c>
      <c r="V5697" t="s">
        <v>9409</v>
      </c>
      <c r="W5697" t="s">
        <v>423</v>
      </c>
    </row>
    <row r="5698" spans="1:23" hidden="1" x14ac:dyDescent="0.2">
      <c r="A5698">
        <v>2012</v>
      </c>
      <c r="B5698" t="s">
        <v>303</v>
      </c>
      <c r="C5698" s="733">
        <v>40926</v>
      </c>
      <c r="D56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698" t="s">
        <v>485</v>
      </c>
      <c r="F5698" t="s">
        <v>2065</v>
      </c>
      <c r="G5698" t="s">
        <v>4318</v>
      </c>
      <c r="H5698">
        <v>39799</v>
      </c>
      <c r="I5698" t="s">
        <v>423</v>
      </c>
      <c r="J5698" t="s">
        <v>2213</v>
      </c>
      <c r="K5698" t="s">
        <v>2183</v>
      </c>
      <c r="L5698" t="s">
        <v>2184</v>
      </c>
      <c r="M5698">
        <v>64</v>
      </c>
      <c r="N5698">
        <v>26.38</v>
      </c>
      <c r="O5698">
        <v>2977.51</v>
      </c>
      <c r="P5698">
        <v>0</v>
      </c>
      <c r="Q5698">
        <v>2977.51</v>
      </c>
      <c r="R5698">
        <v>476.4</v>
      </c>
      <c r="S5698">
        <v>119.1</v>
      </c>
      <c r="T5698">
        <v>3334.81</v>
      </c>
      <c r="U5698" t="s">
        <v>7554</v>
      </c>
      <c r="V5698" t="s">
        <v>9408</v>
      </c>
      <c r="W5698" t="s">
        <v>423</v>
      </c>
    </row>
    <row r="5699" spans="1:23" hidden="1" x14ac:dyDescent="0.2">
      <c r="A5699">
        <v>2012</v>
      </c>
      <c r="B5699" t="s">
        <v>304</v>
      </c>
      <c r="C5699" s="733">
        <v>40940</v>
      </c>
      <c r="D56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699" t="s">
        <v>485</v>
      </c>
      <c r="F5699" t="s">
        <v>2065</v>
      </c>
      <c r="G5699" t="s">
        <v>4315</v>
      </c>
      <c r="H5699">
        <v>39958</v>
      </c>
      <c r="I5699" t="s">
        <v>423</v>
      </c>
      <c r="J5699" t="s">
        <v>2213</v>
      </c>
      <c r="K5699" t="s">
        <v>2183</v>
      </c>
      <c r="L5699" t="s">
        <v>2184</v>
      </c>
      <c r="M5699">
        <v>64</v>
      </c>
      <c r="N5699">
        <v>16.46</v>
      </c>
      <c r="O5699">
        <v>1857.84</v>
      </c>
      <c r="P5699">
        <v>0</v>
      </c>
      <c r="Q5699">
        <v>1857.84</v>
      </c>
      <c r="R5699">
        <v>297.25</v>
      </c>
      <c r="S5699">
        <v>74.31</v>
      </c>
      <c r="T5699">
        <v>2080.7800000000002</v>
      </c>
      <c r="U5699" t="s">
        <v>2187</v>
      </c>
      <c r="V5699" t="s">
        <v>9408</v>
      </c>
      <c r="W5699" t="s">
        <v>423</v>
      </c>
    </row>
    <row r="5700" spans="1:23" hidden="1" x14ac:dyDescent="0.2">
      <c r="A5700">
        <v>2012</v>
      </c>
      <c r="B5700" t="s">
        <v>303</v>
      </c>
      <c r="C5700" s="733">
        <v>40910.467997685184</v>
      </c>
      <c r="D57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00" t="s">
        <v>485</v>
      </c>
      <c r="F5700" t="s">
        <v>2065</v>
      </c>
      <c r="G5700" t="s">
        <v>4314</v>
      </c>
      <c r="H5700">
        <v>39665</v>
      </c>
      <c r="I5700" t="s">
        <v>423</v>
      </c>
      <c r="J5700" t="s">
        <v>2213</v>
      </c>
      <c r="K5700" t="s">
        <v>2183</v>
      </c>
      <c r="L5700" t="s">
        <v>2184</v>
      </c>
      <c r="M5700">
        <v>64</v>
      </c>
      <c r="N5700">
        <v>15.13</v>
      </c>
      <c r="O5700">
        <v>718.98</v>
      </c>
      <c r="P5700">
        <v>809.492392</v>
      </c>
      <c r="Q5700">
        <v>1528.4723919999999</v>
      </c>
      <c r="R5700">
        <v>244.55558300000001</v>
      </c>
      <c r="S5700">
        <v>61.138896000000003</v>
      </c>
      <c r="T5700">
        <v>1711.889079</v>
      </c>
      <c r="U5700" t="s">
        <v>3038</v>
      </c>
      <c r="V5700" t="s">
        <v>9408</v>
      </c>
      <c r="W5700" t="s">
        <v>423</v>
      </c>
    </row>
    <row r="5701" spans="1:23" hidden="1" x14ac:dyDescent="0.2">
      <c r="A5701">
        <v>2012</v>
      </c>
      <c r="B5701" t="s">
        <v>303</v>
      </c>
      <c r="C5701" s="733">
        <v>40924</v>
      </c>
      <c r="D57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01" t="s">
        <v>485</v>
      </c>
      <c r="F5701" t="s">
        <v>2065</v>
      </c>
      <c r="G5701" t="s">
        <v>4313</v>
      </c>
      <c r="H5701">
        <v>40342</v>
      </c>
      <c r="I5701" t="s">
        <v>423</v>
      </c>
      <c r="J5701" t="s">
        <v>2213</v>
      </c>
      <c r="K5701" t="s">
        <v>2183</v>
      </c>
      <c r="L5701" t="s">
        <v>2184</v>
      </c>
      <c r="M5701">
        <v>64</v>
      </c>
      <c r="N5701">
        <v>16.059999999999999</v>
      </c>
      <c r="O5701">
        <v>1812.69</v>
      </c>
      <c r="P5701">
        <v>0</v>
      </c>
      <c r="Q5701">
        <v>1812.69</v>
      </c>
      <c r="R5701">
        <v>290.02999999999997</v>
      </c>
      <c r="S5701">
        <v>72.510000000000005</v>
      </c>
      <c r="T5701">
        <v>2030.21</v>
      </c>
      <c r="U5701" t="s">
        <v>7554</v>
      </c>
      <c r="V5701" t="s">
        <v>9408</v>
      </c>
      <c r="W5701" t="s">
        <v>423</v>
      </c>
    </row>
    <row r="5702" spans="1:23" hidden="1" x14ac:dyDescent="0.2">
      <c r="A5702">
        <v>2012</v>
      </c>
      <c r="B5702" t="s">
        <v>303</v>
      </c>
      <c r="C5702" s="733">
        <v>40939</v>
      </c>
      <c r="D57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02" t="s">
        <v>478</v>
      </c>
      <c r="F5702" t="s">
        <v>2622</v>
      </c>
      <c r="G5702" t="s">
        <v>5455</v>
      </c>
      <c r="H5702">
        <v>35112</v>
      </c>
      <c r="I5702" t="s">
        <v>423</v>
      </c>
      <c r="J5702" t="s">
        <v>2624</v>
      </c>
      <c r="K5702" t="s">
        <v>2625</v>
      </c>
      <c r="L5702" t="s">
        <v>2626</v>
      </c>
      <c r="M5702">
        <v>10</v>
      </c>
      <c r="N5702">
        <v>24.72</v>
      </c>
      <c r="O5702">
        <v>2890.02</v>
      </c>
      <c r="P5702">
        <v>0</v>
      </c>
      <c r="Q5702">
        <v>2890.02</v>
      </c>
      <c r="R5702">
        <v>462.4</v>
      </c>
      <c r="S5702">
        <v>115.6</v>
      </c>
      <c r="T5702">
        <v>3236.82</v>
      </c>
      <c r="U5702" t="s">
        <v>2630</v>
      </c>
      <c r="V5702" t="s">
        <v>9408</v>
      </c>
      <c r="W5702" t="s">
        <v>423</v>
      </c>
    </row>
    <row r="5703" spans="1:23" hidden="1" x14ac:dyDescent="0.2">
      <c r="A5703">
        <v>2012</v>
      </c>
      <c r="B5703" t="s">
        <v>304</v>
      </c>
      <c r="C5703" s="733">
        <v>40952.595266203702</v>
      </c>
      <c r="D57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03" t="s">
        <v>485</v>
      </c>
      <c r="F5703" t="s">
        <v>2054</v>
      </c>
      <c r="G5703" t="s">
        <v>5853</v>
      </c>
      <c r="H5703">
        <v>10418</v>
      </c>
      <c r="I5703" t="s">
        <v>423</v>
      </c>
      <c r="J5703" t="s">
        <v>4545</v>
      </c>
      <c r="K5703" t="s">
        <v>2057</v>
      </c>
      <c r="L5703" t="s">
        <v>2058</v>
      </c>
      <c r="M5703">
        <v>144</v>
      </c>
      <c r="N5703">
        <v>23.57</v>
      </c>
      <c r="O5703">
        <v>3768.61</v>
      </c>
      <c r="P5703">
        <v>0</v>
      </c>
      <c r="Q5703">
        <v>3768.61</v>
      </c>
      <c r="R5703">
        <v>414.55</v>
      </c>
      <c r="S5703">
        <v>150.74</v>
      </c>
      <c r="T5703">
        <v>4032.42</v>
      </c>
      <c r="U5703" t="s">
        <v>8047</v>
      </c>
      <c r="V5703" t="s">
        <v>9408</v>
      </c>
      <c r="W5703" t="s">
        <v>423</v>
      </c>
    </row>
    <row r="5704" spans="1:23" hidden="1" x14ac:dyDescent="0.2">
      <c r="A5704">
        <v>2012</v>
      </c>
      <c r="B5704" t="s">
        <v>303</v>
      </c>
      <c r="C5704" s="733">
        <v>40924</v>
      </c>
      <c r="D57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04" t="s">
        <v>478</v>
      </c>
      <c r="F5704" t="s">
        <v>2136</v>
      </c>
      <c r="G5704" t="s">
        <v>2926</v>
      </c>
      <c r="H5704">
        <v>34525</v>
      </c>
      <c r="I5704" t="s">
        <v>423</v>
      </c>
      <c r="J5704" t="s">
        <v>2148</v>
      </c>
      <c r="K5704" t="s">
        <v>425</v>
      </c>
      <c r="L5704" t="s">
        <v>2145</v>
      </c>
      <c r="M5704">
        <v>205</v>
      </c>
      <c r="N5704">
        <v>23.68</v>
      </c>
      <c r="O5704">
        <v>4697.3999999999996</v>
      </c>
      <c r="P5704">
        <v>0</v>
      </c>
      <c r="Q5704">
        <v>4697.3999999999996</v>
      </c>
      <c r="R5704">
        <v>751.58</v>
      </c>
      <c r="S5704">
        <v>187.9</v>
      </c>
      <c r="T5704">
        <v>5261.08</v>
      </c>
      <c r="U5704" t="s">
        <v>2927</v>
      </c>
      <c r="V5704" t="s">
        <v>9408</v>
      </c>
      <c r="W5704" t="s">
        <v>423</v>
      </c>
    </row>
    <row r="5705" spans="1:23" hidden="1" x14ac:dyDescent="0.2">
      <c r="A5705">
        <v>2012</v>
      </c>
      <c r="B5705" t="s">
        <v>304</v>
      </c>
      <c r="C5705" s="733">
        <v>40961</v>
      </c>
      <c r="D57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05" t="s">
        <v>478</v>
      </c>
      <c r="F5705" t="s">
        <v>2136</v>
      </c>
      <c r="G5705" t="s">
        <v>8317</v>
      </c>
      <c r="H5705">
        <v>24751</v>
      </c>
      <c r="I5705" t="s">
        <v>423</v>
      </c>
      <c r="J5705" t="s">
        <v>3636</v>
      </c>
      <c r="K5705" t="s">
        <v>425</v>
      </c>
      <c r="L5705" t="s">
        <v>2145</v>
      </c>
      <c r="M5705">
        <v>244</v>
      </c>
      <c r="N5705">
        <v>24.9</v>
      </c>
      <c r="O5705">
        <v>4052.48</v>
      </c>
      <c r="P5705">
        <v>0</v>
      </c>
      <c r="Q5705">
        <v>4052.48</v>
      </c>
      <c r="R5705">
        <v>648.4</v>
      </c>
      <c r="S5705">
        <v>162.1</v>
      </c>
      <c r="T5705">
        <v>4538.78</v>
      </c>
      <c r="U5705" t="s">
        <v>9430</v>
      </c>
      <c r="V5705" t="s">
        <v>9408</v>
      </c>
      <c r="W5705" t="s">
        <v>423</v>
      </c>
    </row>
    <row r="5706" spans="1:23" hidden="1" x14ac:dyDescent="0.2">
      <c r="A5706">
        <v>2012</v>
      </c>
      <c r="B5706" t="s">
        <v>303</v>
      </c>
      <c r="C5706" s="733">
        <v>40922</v>
      </c>
      <c r="D57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06" t="s">
        <v>478</v>
      </c>
      <c r="F5706" t="s">
        <v>2136</v>
      </c>
      <c r="G5706" t="s">
        <v>5869</v>
      </c>
      <c r="H5706">
        <v>34516</v>
      </c>
      <c r="I5706" t="s">
        <v>423</v>
      </c>
      <c r="J5706" t="s">
        <v>4273</v>
      </c>
      <c r="K5706" t="s">
        <v>425</v>
      </c>
      <c r="L5706" t="s">
        <v>2145</v>
      </c>
      <c r="M5706">
        <v>797</v>
      </c>
      <c r="N5706">
        <v>24.28</v>
      </c>
      <c r="O5706">
        <v>9297.5400000000009</v>
      </c>
      <c r="P5706">
        <v>0</v>
      </c>
      <c r="Q5706">
        <v>9297.5400000000009</v>
      </c>
      <c r="R5706">
        <v>1487.61</v>
      </c>
      <c r="S5706">
        <v>371.9</v>
      </c>
      <c r="T5706">
        <v>10413.25</v>
      </c>
      <c r="U5706" t="s">
        <v>2580</v>
      </c>
      <c r="V5706" t="s">
        <v>9408</v>
      </c>
      <c r="W5706" t="s">
        <v>423</v>
      </c>
    </row>
    <row r="5707" spans="1:23" hidden="1" x14ac:dyDescent="0.2">
      <c r="A5707">
        <v>2012</v>
      </c>
      <c r="B5707" t="s">
        <v>303</v>
      </c>
      <c r="C5707" s="733">
        <v>40938</v>
      </c>
      <c r="D57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07" t="s">
        <v>485</v>
      </c>
      <c r="F5707" t="s">
        <v>2065</v>
      </c>
      <c r="G5707" t="s">
        <v>2912</v>
      </c>
      <c r="H5707">
        <v>41039</v>
      </c>
      <c r="I5707" t="s">
        <v>424</v>
      </c>
      <c r="J5707" t="s">
        <v>2114</v>
      </c>
      <c r="K5707" t="s">
        <v>2102</v>
      </c>
      <c r="L5707" t="s">
        <v>2115</v>
      </c>
      <c r="M5707">
        <v>500</v>
      </c>
      <c r="N5707">
        <v>54</v>
      </c>
      <c r="O5707">
        <v>10009.44</v>
      </c>
      <c r="P5707">
        <v>0</v>
      </c>
      <c r="Q5707">
        <v>10009.44</v>
      </c>
      <c r="R5707">
        <v>1601.51</v>
      </c>
      <c r="S5707">
        <v>400.38</v>
      </c>
      <c r="T5707">
        <v>11210.57</v>
      </c>
      <c r="U5707" t="s">
        <v>2116</v>
      </c>
      <c r="V5707" t="s">
        <v>9409</v>
      </c>
      <c r="W5707" t="s">
        <v>424</v>
      </c>
    </row>
    <row r="5708" spans="1:23" hidden="1" x14ac:dyDescent="0.2">
      <c r="A5708">
        <v>2012</v>
      </c>
      <c r="B5708" t="s">
        <v>304</v>
      </c>
      <c r="C5708" s="733">
        <v>40961</v>
      </c>
      <c r="D57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08" t="s">
        <v>485</v>
      </c>
      <c r="F5708" t="s">
        <v>2065</v>
      </c>
      <c r="G5708" t="s">
        <v>8263</v>
      </c>
      <c r="H5708">
        <v>42318</v>
      </c>
      <c r="I5708" t="s">
        <v>424</v>
      </c>
      <c r="J5708" t="s">
        <v>2114</v>
      </c>
      <c r="K5708" t="s">
        <v>2102</v>
      </c>
      <c r="L5708" t="s">
        <v>2115</v>
      </c>
      <c r="M5708">
        <v>500</v>
      </c>
      <c r="N5708">
        <v>54</v>
      </c>
      <c r="O5708">
        <v>10009.44</v>
      </c>
      <c r="P5708">
        <v>0</v>
      </c>
      <c r="Q5708">
        <v>10009.44</v>
      </c>
      <c r="R5708">
        <v>1601.51</v>
      </c>
      <c r="S5708">
        <v>400.38</v>
      </c>
      <c r="T5708">
        <v>11210.57</v>
      </c>
      <c r="V5708" t="s">
        <v>9409</v>
      </c>
      <c r="W5708" t="s">
        <v>424</v>
      </c>
    </row>
    <row r="5709" spans="1:23" hidden="1" x14ac:dyDescent="0.2">
      <c r="A5709">
        <v>2012</v>
      </c>
      <c r="B5709" t="s">
        <v>303</v>
      </c>
      <c r="C5709" s="733">
        <v>40927</v>
      </c>
      <c r="D57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09" t="s">
        <v>485</v>
      </c>
      <c r="F5709" t="s">
        <v>2065</v>
      </c>
      <c r="G5709" t="s">
        <v>2931</v>
      </c>
      <c r="H5709">
        <v>39775</v>
      </c>
      <c r="I5709" t="s">
        <v>423</v>
      </c>
      <c r="J5709" t="s">
        <v>2114</v>
      </c>
      <c r="K5709" t="s">
        <v>2102</v>
      </c>
      <c r="L5709" t="s">
        <v>2115</v>
      </c>
      <c r="M5709">
        <v>500</v>
      </c>
      <c r="N5709">
        <v>50.5</v>
      </c>
      <c r="O5709">
        <v>16980.62</v>
      </c>
      <c r="P5709">
        <v>0</v>
      </c>
      <c r="Q5709">
        <v>16980.62</v>
      </c>
      <c r="R5709">
        <v>2716.9</v>
      </c>
      <c r="S5709">
        <v>679.22</v>
      </c>
      <c r="T5709">
        <v>19018.3</v>
      </c>
      <c r="U5709" t="s">
        <v>2108</v>
      </c>
      <c r="V5709" t="s">
        <v>9409</v>
      </c>
      <c r="W5709" t="s">
        <v>423</v>
      </c>
    </row>
    <row r="5710" spans="1:23" hidden="1" x14ac:dyDescent="0.2">
      <c r="A5710">
        <v>2012</v>
      </c>
      <c r="B5710" t="s">
        <v>303</v>
      </c>
      <c r="C5710" s="733">
        <v>40924</v>
      </c>
      <c r="D57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10" t="s">
        <v>485</v>
      </c>
      <c r="F5710" t="s">
        <v>2065</v>
      </c>
      <c r="G5710" t="s">
        <v>2934</v>
      </c>
      <c r="H5710">
        <v>40288</v>
      </c>
      <c r="I5710" t="s">
        <v>423</v>
      </c>
      <c r="J5710" t="s">
        <v>2135</v>
      </c>
      <c r="K5710" t="s">
        <v>2102</v>
      </c>
      <c r="L5710" t="s">
        <v>2115</v>
      </c>
      <c r="M5710">
        <v>494</v>
      </c>
      <c r="N5710">
        <v>52.82</v>
      </c>
      <c r="O5710">
        <v>17760.72</v>
      </c>
      <c r="P5710">
        <v>0</v>
      </c>
      <c r="Q5710">
        <v>17760.72</v>
      </c>
      <c r="R5710">
        <v>2841.72</v>
      </c>
      <c r="S5710">
        <v>710.43</v>
      </c>
      <c r="T5710">
        <v>19892.009999999998</v>
      </c>
      <c r="V5710" t="s">
        <v>9409</v>
      </c>
      <c r="W5710" t="s">
        <v>423</v>
      </c>
    </row>
    <row r="5711" spans="1:23" hidden="1" x14ac:dyDescent="0.2">
      <c r="A5711">
        <v>2012</v>
      </c>
      <c r="B5711" t="s">
        <v>304</v>
      </c>
      <c r="C5711" s="733">
        <v>40946</v>
      </c>
      <c r="D57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11" t="s">
        <v>505</v>
      </c>
      <c r="F5711" t="s">
        <v>1915</v>
      </c>
      <c r="G5711" t="s">
        <v>6471</v>
      </c>
      <c r="H5711">
        <v>22504</v>
      </c>
      <c r="I5711" t="s">
        <v>423</v>
      </c>
      <c r="J5711" t="s">
        <v>5606</v>
      </c>
      <c r="K5711" t="s">
        <v>1918</v>
      </c>
      <c r="L5711" t="s">
        <v>1919</v>
      </c>
      <c r="M5711">
        <v>383</v>
      </c>
      <c r="N5711">
        <v>25.47</v>
      </c>
      <c r="O5711">
        <v>7468.82</v>
      </c>
      <c r="P5711">
        <v>0</v>
      </c>
      <c r="Q5711">
        <v>7468.82</v>
      </c>
      <c r="R5711">
        <v>1195.01</v>
      </c>
      <c r="S5711">
        <v>298.75</v>
      </c>
      <c r="T5711">
        <v>8365.08</v>
      </c>
      <c r="U5711" t="s">
        <v>1924</v>
      </c>
      <c r="V5711" t="s">
        <v>9408</v>
      </c>
      <c r="W5711" t="s">
        <v>423</v>
      </c>
    </row>
    <row r="5712" spans="1:23" hidden="1" x14ac:dyDescent="0.2">
      <c r="A5712">
        <v>2012</v>
      </c>
      <c r="B5712" t="s">
        <v>304</v>
      </c>
      <c r="C5712" s="733">
        <v>40940</v>
      </c>
      <c r="D57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12" t="s">
        <v>505</v>
      </c>
      <c r="F5712" t="s">
        <v>1915</v>
      </c>
      <c r="G5712" t="s">
        <v>4299</v>
      </c>
      <c r="H5712">
        <v>22386</v>
      </c>
      <c r="I5712" t="s">
        <v>423</v>
      </c>
      <c r="J5712" t="s">
        <v>3207</v>
      </c>
      <c r="K5712" t="s">
        <v>1918</v>
      </c>
      <c r="L5712" t="s">
        <v>1919</v>
      </c>
      <c r="M5712">
        <v>334</v>
      </c>
      <c r="N5712">
        <v>50.07</v>
      </c>
      <c r="O5712">
        <v>13826.33</v>
      </c>
      <c r="P5712">
        <v>0</v>
      </c>
      <c r="Q5712">
        <v>13826.33</v>
      </c>
      <c r="R5712">
        <v>2212.21</v>
      </c>
      <c r="S5712">
        <v>553.04999999999995</v>
      </c>
      <c r="T5712">
        <v>15485.49</v>
      </c>
      <c r="U5712" t="s">
        <v>1926</v>
      </c>
      <c r="V5712" t="s">
        <v>9409</v>
      </c>
      <c r="W5712" t="s">
        <v>423</v>
      </c>
    </row>
    <row r="5713" spans="1:23" hidden="1" x14ac:dyDescent="0.2">
      <c r="A5713">
        <v>2012</v>
      </c>
      <c r="B5713" t="s">
        <v>304</v>
      </c>
      <c r="C5713" s="733">
        <v>40952</v>
      </c>
      <c r="D57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13" t="s">
        <v>485</v>
      </c>
      <c r="F5713" t="s">
        <v>2065</v>
      </c>
      <c r="G5713" t="s">
        <v>5699</v>
      </c>
      <c r="H5713">
        <v>41614</v>
      </c>
      <c r="I5713" t="s">
        <v>423</v>
      </c>
      <c r="J5713" t="s">
        <v>3204</v>
      </c>
      <c r="K5713" t="s">
        <v>2183</v>
      </c>
      <c r="L5713" t="s">
        <v>2184</v>
      </c>
      <c r="M5713">
        <v>80</v>
      </c>
      <c r="N5713">
        <v>54.51</v>
      </c>
      <c r="O5713">
        <v>6152.54</v>
      </c>
      <c r="P5713">
        <v>0</v>
      </c>
      <c r="Q5713">
        <v>6152.54</v>
      </c>
      <c r="R5713">
        <v>984.41</v>
      </c>
      <c r="S5713">
        <v>246.1</v>
      </c>
      <c r="T5713">
        <v>6890.85</v>
      </c>
      <c r="U5713" t="s">
        <v>8048</v>
      </c>
      <c r="V5713" t="s">
        <v>9409</v>
      </c>
      <c r="W5713" t="s">
        <v>423</v>
      </c>
    </row>
    <row r="5714" spans="1:23" x14ac:dyDescent="0.2">
      <c r="A5714">
        <v>2012</v>
      </c>
      <c r="B5714" t="s">
        <v>304</v>
      </c>
      <c r="C5714" s="733">
        <v>40967</v>
      </c>
      <c r="D57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14" t="s">
        <v>485</v>
      </c>
      <c r="F5714" t="s">
        <v>2065</v>
      </c>
      <c r="G5714" t="s">
        <v>9065</v>
      </c>
      <c r="H5714">
        <v>42683</v>
      </c>
      <c r="I5714" t="s">
        <v>423</v>
      </c>
      <c r="J5714" t="s">
        <v>3419</v>
      </c>
      <c r="K5714" t="s">
        <v>2183</v>
      </c>
      <c r="L5714" t="s">
        <v>2184</v>
      </c>
      <c r="M5714">
        <v>80</v>
      </c>
      <c r="N5714">
        <v>24.29</v>
      </c>
      <c r="O5714">
        <v>2741.61</v>
      </c>
      <c r="P5714">
        <v>0</v>
      </c>
      <c r="Q5714">
        <v>2741.61</v>
      </c>
      <c r="R5714">
        <v>438.66</v>
      </c>
      <c r="S5714">
        <v>109.66</v>
      </c>
      <c r="T5714">
        <v>3070.61</v>
      </c>
      <c r="V5714" t="s">
        <v>9408</v>
      </c>
      <c r="W5714" t="s">
        <v>423</v>
      </c>
    </row>
    <row r="5715" spans="1:23" hidden="1" x14ac:dyDescent="0.2">
      <c r="A5715">
        <v>2012</v>
      </c>
      <c r="B5715" t="s">
        <v>304</v>
      </c>
      <c r="C5715" s="733">
        <v>40940</v>
      </c>
      <c r="D57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15" t="s">
        <v>485</v>
      </c>
      <c r="F5715" t="s">
        <v>2065</v>
      </c>
      <c r="G5715" t="s">
        <v>2932</v>
      </c>
      <c r="H5715">
        <v>41150</v>
      </c>
      <c r="I5715" t="s">
        <v>423</v>
      </c>
      <c r="J5715" t="s">
        <v>2345</v>
      </c>
      <c r="K5715" t="s">
        <v>2102</v>
      </c>
      <c r="L5715" t="s">
        <v>2115</v>
      </c>
      <c r="M5715">
        <v>426</v>
      </c>
      <c r="N5715">
        <v>47.62</v>
      </c>
      <c r="O5715">
        <v>16012.22</v>
      </c>
      <c r="P5715">
        <v>0</v>
      </c>
      <c r="Q5715">
        <v>16012.22</v>
      </c>
      <c r="R5715">
        <v>2561.96</v>
      </c>
      <c r="S5715">
        <v>640.49</v>
      </c>
      <c r="T5715">
        <v>17933.689999999999</v>
      </c>
      <c r="U5715" t="s">
        <v>2110</v>
      </c>
      <c r="V5715" t="s">
        <v>9409</v>
      </c>
      <c r="W5715" t="s">
        <v>423</v>
      </c>
    </row>
    <row r="5716" spans="1:23" hidden="1" x14ac:dyDescent="0.2">
      <c r="A5716">
        <v>2012</v>
      </c>
      <c r="B5716" t="s">
        <v>303</v>
      </c>
      <c r="C5716" s="733">
        <v>40938</v>
      </c>
      <c r="D57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16" t="s">
        <v>485</v>
      </c>
      <c r="F5716" t="s">
        <v>2065</v>
      </c>
      <c r="G5716" t="s">
        <v>2933</v>
      </c>
      <c r="H5716">
        <v>41027</v>
      </c>
      <c r="I5716" t="s">
        <v>423</v>
      </c>
      <c r="J5716" t="s">
        <v>2135</v>
      </c>
      <c r="K5716" t="s">
        <v>2102</v>
      </c>
      <c r="L5716" t="s">
        <v>2115</v>
      </c>
      <c r="M5716">
        <v>494</v>
      </c>
      <c r="N5716">
        <v>53.75</v>
      </c>
      <c r="O5716">
        <v>18073.439999999999</v>
      </c>
      <c r="P5716">
        <v>0</v>
      </c>
      <c r="Q5716">
        <v>18073.439999999999</v>
      </c>
      <c r="R5716">
        <v>2891.75</v>
      </c>
      <c r="S5716">
        <v>722.94</v>
      </c>
      <c r="T5716">
        <v>20242.25</v>
      </c>
      <c r="U5716" t="s">
        <v>7462</v>
      </c>
      <c r="V5716" t="s">
        <v>9409</v>
      </c>
      <c r="W5716" t="s">
        <v>423</v>
      </c>
    </row>
    <row r="5717" spans="1:23" hidden="1" x14ac:dyDescent="0.2">
      <c r="A5717">
        <v>2012</v>
      </c>
      <c r="B5717" t="s">
        <v>304</v>
      </c>
      <c r="C5717" s="733">
        <v>40953</v>
      </c>
      <c r="D57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17" t="s">
        <v>485</v>
      </c>
      <c r="F5717" t="s">
        <v>2065</v>
      </c>
      <c r="G5717" t="s">
        <v>4302</v>
      </c>
      <c r="H5717">
        <v>41826</v>
      </c>
      <c r="I5717" t="s">
        <v>423</v>
      </c>
      <c r="J5717" t="s">
        <v>2182</v>
      </c>
      <c r="K5717" t="s">
        <v>2183</v>
      </c>
      <c r="L5717" t="s">
        <v>2184</v>
      </c>
      <c r="M5717">
        <v>62</v>
      </c>
      <c r="N5717">
        <v>17</v>
      </c>
      <c r="O5717">
        <v>2518.38</v>
      </c>
      <c r="P5717">
        <v>0</v>
      </c>
      <c r="Q5717">
        <v>2518.38</v>
      </c>
      <c r="R5717">
        <v>402.94</v>
      </c>
      <c r="S5717">
        <v>100.74</v>
      </c>
      <c r="T5717">
        <v>2820.58</v>
      </c>
      <c r="U5717" t="s">
        <v>8048</v>
      </c>
      <c r="V5717" t="s">
        <v>9408</v>
      </c>
      <c r="W5717" t="s">
        <v>423</v>
      </c>
    </row>
    <row r="5718" spans="1:23" hidden="1" x14ac:dyDescent="0.2">
      <c r="A5718">
        <v>2012</v>
      </c>
      <c r="B5718" t="s">
        <v>304</v>
      </c>
      <c r="C5718" s="733">
        <v>40954</v>
      </c>
      <c r="D57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18" t="s">
        <v>505</v>
      </c>
      <c r="F5718" t="s">
        <v>1915</v>
      </c>
      <c r="G5718" t="s">
        <v>7470</v>
      </c>
      <c r="H5718">
        <v>22384</v>
      </c>
      <c r="I5718" t="s">
        <v>423</v>
      </c>
      <c r="J5718" t="s">
        <v>3207</v>
      </c>
      <c r="K5718" t="s">
        <v>1918</v>
      </c>
      <c r="L5718" t="s">
        <v>1919</v>
      </c>
      <c r="M5718">
        <v>334</v>
      </c>
      <c r="N5718">
        <v>27.15</v>
      </c>
      <c r="O5718">
        <v>7496.12</v>
      </c>
      <c r="P5718">
        <v>0</v>
      </c>
      <c r="Q5718">
        <v>7496.12</v>
      </c>
      <c r="R5718">
        <v>1199.3800000000001</v>
      </c>
      <c r="S5718">
        <v>299.83999999999997</v>
      </c>
      <c r="T5718">
        <v>8395.66</v>
      </c>
      <c r="U5718" t="s">
        <v>7529</v>
      </c>
      <c r="V5718" t="s">
        <v>9408</v>
      </c>
      <c r="W5718" t="s">
        <v>423</v>
      </c>
    </row>
    <row r="5719" spans="1:23" hidden="1" x14ac:dyDescent="0.2">
      <c r="A5719">
        <v>2012</v>
      </c>
      <c r="B5719" t="s">
        <v>303</v>
      </c>
      <c r="C5719" s="733">
        <v>40913</v>
      </c>
      <c r="D57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19" t="s">
        <v>505</v>
      </c>
      <c r="F5719" t="s">
        <v>1915</v>
      </c>
      <c r="G5719" t="s">
        <v>4298</v>
      </c>
      <c r="H5719">
        <v>21738</v>
      </c>
      <c r="I5719" t="s">
        <v>423</v>
      </c>
      <c r="J5719" t="s">
        <v>3207</v>
      </c>
      <c r="K5719" t="s">
        <v>1918</v>
      </c>
      <c r="L5719" t="s">
        <v>1919</v>
      </c>
      <c r="M5719">
        <v>334</v>
      </c>
      <c r="N5719">
        <v>26.02</v>
      </c>
      <c r="O5719">
        <v>3025.03</v>
      </c>
      <c r="P5719">
        <v>3405.8510270000002</v>
      </c>
      <c r="Q5719">
        <v>6430.8810270000004</v>
      </c>
      <c r="R5719">
        <v>1028.9409639999999</v>
      </c>
      <c r="S5719">
        <v>257.23524099999997</v>
      </c>
      <c r="T5719">
        <v>7202.5867500000004</v>
      </c>
      <c r="U5719" t="s">
        <v>1920</v>
      </c>
      <c r="V5719" t="s">
        <v>9408</v>
      </c>
      <c r="W5719" t="s">
        <v>423</v>
      </c>
    </row>
    <row r="5720" spans="1:23" hidden="1" x14ac:dyDescent="0.2">
      <c r="A5720">
        <v>2012</v>
      </c>
      <c r="B5720" t="s">
        <v>304</v>
      </c>
      <c r="C5720" s="733">
        <v>40960</v>
      </c>
      <c r="D57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20" t="s">
        <v>485</v>
      </c>
      <c r="F5720" t="s">
        <v>2065</v>
      </c>
      <c r="G5720" t="s">
        <v>8116</v>
      </c>
      <c r="H5720">
        <v>42264</v>
      </c>
      <c r="I5720" t="s">
        <v>423</v>
      </c>
      <c r="J5720" t="s">
        <v>2182</v>
      </c>
      <c r="K5720" t="s">
        <v>2183</v>
      </c>
      <c r="L5720" t="s">
        <v>2184</v>
      </c>
      <c r="M5720">
        <v>62</v>
      </c>
      <c r="N5720">
        <v>15.85</v>
      </c>
      <c r="O5720">
        <v>2348.02</v>
      </c>
      <c r="P5720">
        <v>0</v>
      </c>
      <c r="Q5720">
        <v>2348.02</v>
      </c>
      <c r="R5720">
        <v>375.68</v>
      </c>
      <c r="S5720">
        <v>93.92</v>
      </c>
      <c r="T5720">
        <v>2629.78</v>
      </c>
      <c r="U5720" t="s">
        <v>9411</v>
      </c>
      <c r="V5720" t="s">
        <v>9408</v>
      </c>
      <c r="W5720" t="s">
        <v>423</v>
      </c>
    </row>
    <row r="5721" spans="1:23" hidden="1" x14ac:dyDescent="0.2">
      <c r="A5721">
        <v>2012</v>
      </c>
      <c r="B5721" t="s">
        <v>304</v>
      </c>
      <c r="C5721" s="733">
        <v>40940</v>
      </c>
      <c r="D57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21" t="s">
        <v>485</v>
      </c>
      <c r="F5721" t="s">
        <v>2065</v>
      </c>
      <c r="G5721" t="s">
        <v>4443</v>
      </c>
      <c r="H5721">
        <v>41148</v>
      </c>
      <c r="I5721" t="s">
        <v>423</v>
      </c>
      <c r="J5721" t="s">
        <v>3147</v>
      </c>
      <c r="K5721" t="s">
        <v>2183</v>
      </c>
      <c r="L5721" t="s">
        <v>2184</v>
      </c>
      <c r="M5721">
        <v>528</v>
      </c>
      <c r="N5721">
        <v>23.88</v>
      </c>
      <c r="O5721">
        <v>7393.25</v>
      </c>
      <c r="P5721">
        <v>0</v>
      </c>
      <c r="Q5721">
        <v>7393.25</v>
      </c>
      <c r="R5721">
        <v>1182.92</v>
      </c>
      <c r="S5721">
        <v>295.73</v>
      </c>
      <c r="T5721">
        <v>8280.44</v>
      </c>
      <c r="U5721" t="s">
        <v>9411</v>
      </c>
      <c r="V5721" t="s">
        <v>9408</v>
      </c>
      <c r="W5721" t="s">
        <v>423</v>
      </c>
    </row>
    <row r="5722" spans="1:23" hidden="1" x14ac:dyDescent="0.2">
      <c r="A5722">
        <v>2012</v>
      </c>
      <c r="B5722" t="s">
        <v>304</v>
      </c>
      <c r="C5722" s="733">
        <v>40962</v>
      </c>
      <c r="D57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22" t="s">
        <v>478</v>
      </c>
      <c r="F5722" t="s">
        <v>2136</v>
      </c>
      <c r="G5722" t="s">
        <v>8542</v>
      </c>
      <c r="H5722">
        <v>35343</v>
      </c>
      <c r="I5722" t="s">
        <v>423</v>
      </c>
      <c r="J5722" t="s">
        <v>3329</v>
      </c>
      <c r="K5722" t="s">
        <v>425</v>
      </c>
      <c r="L5722" t="s">
        <v>2145</v>
      </c>
      <c r="M5722">
        <v>596</v>
      </c>
      <c r="N5722">
        <v>37.44</v>
      </c>
      <c r="O5722">
        <v>11962.08</v>
      </c>
      <c r="P5722">
        <v>0</v>
      </c>
      <c r="Q5722">
        <v>11962.08</v>
      </c>
      <c r="R5722">
        <v>1913.93</v>
      </c>
      <c r="S5722">
        <v>478.48</v>
      </c>
      <c r="T5722">
        <v>13397.53</v>
      </c>
      <c r="U5722" t="s">
        <v>8510</v>
      </c>
      <c r="V5722" t="s">
        <v>9408</v>
      </c>
      <c r="W5722" t="s">
        <v>423</v>
      </c>
    </row>
    <row r="5723" spans="1:23" hidden="1" x14ac:dyDescent="0.2">
      <c r="A5723">
        <v>2012</v>
      </c>
      <c r="B5723" t="s">
        <v>304</v>
      </c>
      <c r="C5723" s="733">
        <v>40942.522627314815</v>
      </c>
      <c r="D57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23" t="s">
        <v>478</v>
      </c>
      <c r="F5723" t="s">
        <v>2136</v>
      </c>
      <c r="G5723" t="s">
        <v>6388</v>
      </c>
      <c r="H5723">
        <v>35276</v>
      </c>
      <c r="I5723" t="s">
        <v>423</v>
      </c>
      <c r="J5723" t="s">
        <v>3029</v>
      </c>
      <c r="K5723" t="s">
        <v>425</v>
      </c>
      <c r="L5723" t="s">
        <v>2145</v>
      </c>
      <c r="M5723">
        <v>35</v>
      </c>
      <c r="N5723">
        <v>25.19</v>
      </c>
      <c r="O5723">
        <v>3381.76</v>
      </c>
      <c r="P5723">
        <v>0</v>
      </c>
      <c r="Q5723">
        <v>3381.76</v>
      </c>
      <c r="R5723">
        <v>541.08000000000004</v>
      </c>
      <c r="S5723">
        <v>135.27000000000001</v>
      </c>
      <c r="T5723">
        <v>3787.57</v>
      </c>
      <c r="U5723" t="s">
        <v>3115</v>
      </c>
      <c r="V5723" t="s">
        <v>9408</v>
      </c>
      <c r="W5723" t="s">
        <v>423</v>
      </c>
    </row>
    <row r="5724" spans="1:23" hidden="1" x14ac:dyDescent="0.2">
      <c r="A5724">
        <v>2012</v>
      </c>
      <c r="B5724" t="s">
        <v>303</v>
      </c>
      <c r="C5724" s="733">
        <v>40925</v>
      </c>
      <c r="D57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24" t="s">
        <v>505</v>
      </c>
      <c r="F5724" t="s">
        <v>1915</v>
      </c>
      <c r="G5724" t="s">
        <v>6814</v>
      </c>
      <c r="H5724">
        <v>22029</v>
      </c>
      <c r="I5724" t="s">
        <v>423</v>
      </c>
      <c r="J5724" t="s">
        <v>4259</v>
      </c>
      <c r="K5724" t="s">
        <v>1918</v>
      </c>
      <c r="L5724" t="s">
        <v>1919</v>
      </c>
      <c r="M5724">
        <v>467</v>
      </c>
      <c r="N5724">
        <v>26.89</v>
      </c>
      <c r="O5724">
        <v>8345.0400000000009</v>
      </c>
      <c r="P5724">
        <v>0</v>
      </c>
      <c r="Q5724">
        <v>8345.0400000000009</v>
      </c>
      <c r="R5724">
        <v>1335.21</v>
      </c>
      <c r="S5724">
        <v>333.8</v>
      </c>
      <c r="T5724">
        <v>9346.4500000000007</v>
      </c>
      <c r="U5724" t="s">
        <v>8778</v>
      </c>
      <c r="V5724" t="s">
        <v>9408</v>
      </c>
      <c r="W5724" t="s">
        <v>423</v>
      </c>
    </row>
    <row r="5725" spans="1:23" hidden="1" x14ac:dyDescent="0.2">
      <c r="A5725">
        <v>2012</v>
      </c>
      <c r="B5725" t="s">
        <v>303</v>
      </c>
      <c r="C5725" s="733">
        <v>40935</v>
      </c>
      <c r="D57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25" t="s">
        <v>485</v>
      </c>
      <c r="F5725" t="s">
        <v>2065</v>
      </c>
      <c r="G5725" t="s">
        <v>6633</v>
      </c>
      <c r="H5725">
        <v>39877</v>
      </c>
      <c r="I5725" t="s">
        <v>423</v>
      </c>
      <c r="J5725" t="s">
        <v>2186</v>
      </c>
      <c r="K5725" t="s">
        <v>4524</v>
      </c>
      <c r="L5725" t="s">
        <v>2184</v>
      </c>
      <c r="M5725">
        <v>19</v>
      </c>
      <c r="N5725">
        <v>16.52</v>
      </c>
      <c r="O5725">
        <v>1864.61</v>
      </c>
      <c r="P5725">
        <v>0</v>
      </c>
      <c r="Q5725">
        <v>1864.61</v>
      </c>
      <c r="R5725">
        <v>298.33999999999997</v>
      </c>
      <c r="S5725">
        <v>74.58</v>
      </c>
      <c r="T5725">
        <v>2088.37</v>
      </c>
      <c r="U5725" t="s">
        <v>2187</v>
      </c>
      <c r="V5725" t="s">
        <v>9408</v>
      </c>
      <c r="W5725" t="s">
        <v>423</v>
      </c>
    </row>
    <row r="5726" spans="1:23" hidden="1" x14ac:dyDescent="0.2">
      <c r="A5726">
        <v>2012</v>
      </c>
      <c r="B5726" t="s">
        <v>303</v>
      </c>
      <c r="C5726" s="733">
        <v>40935</v>
      </c>
      <c r="D57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26" t="s">
        <v>485</v>
      </c>
      <c r="F5726" t="s">
        <v>2065</v>
      </c>
      <c r="G5726" t="s">
        <v>6632</v>
      </c>
      <c r="H5726">
        <v>39880</v>
      </c>
      <c r="I5726" t="s">
        <v>423</v>
      </c>
      <c r="J5726" t="s">
        <v>2186</v>
      </c>
      <c r="K5726" t="s">
        <v>4524</v>
      </c>
      <c r="L5726" t="s">
        <v>2184</v>
      </c>
      <c r="M5726">
        <v>19</v>
      </c>
      <c r="N5726">
        <v>15.72</v>
      </c>
      <c r="O5726">
        <v>1774.32</v>
      </c>
      <c r="P5726">
        <v>0</v>
      </c>
      <c r="Q5726">
        <v>1774.32</v>
      </c>
      <c r="R5726">
        <v>283.89</v>
      </c>
      <c r="S5726">
        <v>70.97</v>
      </c>
      <c r="T5726">
        <v>1987.24</v>
      </c>
      <c r="U5726" t="s">
        <v>2187</v>
      </c>
      <c r="V5726" t="s">
        <v>9408</v>
      </c>
      <c r="W5726" t="s">
        <v>423</v>
      </c>
    </row>
    <row r="5727" spans="1:23" hidden="1" x14ac:dyDescent="0.2">
      <c r="A5727">
        <v>2012</v>
      </c>
      <c r="B5727" t="s">
        <v>303</v>
      </c>
      <c r="C5727" s="733">
        <v>40939</v>
      </c>
      <c r="D57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27" t="s">
        <v>505</v>
      </c>
      <c r="F5727" t="s">
        <v>1915</v>
      </c>
      <c r="G5727" t="s">
        <v>3422</v>
      </c>
      <c r="H5727">
        <v>22377</v>
      </c>
      <c r="I5727" t="s">
        <v>424</v>
      </c>
      <c r="J5727" t="s">
        <v>1917</v>
      </c>
      <c r="K5727" t="s">
        <v>1918</v>
      </c>
      <c r="L5727" t="s">
        <v>1919</v>
      </c>
      <c r="M5727">
        <v>267</v>
      </c>
      <c r="N5727">
        <v>30</v>
      </c>
      <c r="O5727">
        <v>2929.97</v>
      </c>
      <c r="P5727">
        <v>1683.8244589999999</v>
      </c>
      <c r="Q5727">
        <v>4613.7944589999997</v>
      </c>
      <c r="R5727">
        <v>738.20711300000005</v>
      </c>
      <c r="S5727">
        <v>184.55177800000001</v>
      </c>
      <c r="T5727">
        <v>5167.4497940000001</v>
      </c>
      <c r="U5727" t="s">
        <v>1936</v>
      </c>
      <c r="V5727" t="s">
        <v>9408</v>
      </c>
      <c r="W5727" t="s">
        <v>424</v>
      </c>
    </row>
    <row r="5728" spans="1:23" hidden="1" x14ac:dyDescent="0.2">
      <c r="A5728">
        <v>2012</v>
      </c>
      <c r="B5728" t="s">
        <v>304</v>
      </c>
      <c r="C5728" s="733">
        <v>40954</v>
      </c>
      <c r="D57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28" t="s">
        <v>505</v>
      </c>
      <c r="F5728" t="s">
        <v>1915</v>
      </c>
      <c r="G5728" t="s">
        <v>6819</v>
      </c>
      <c r="H5728">
        <v>22752</v>
      </c>
      <c r="I5728" t="s">
        <v>424</v>
      </c>
      <c r="J5728" t="s">
        <v>1917</v>
      </c>
      <c r="K5728" t="s">
        <v>1918</v>
      </c>
      <c r="L5728" t="s">
        <v>1919</v>
      </c>
      <c r="M5728">
        <v>267</v>
      </c>
      <c r="N5728">
        <v>30</v>
      </c>
      <c r="O5728">
        <v>2929.97</v>
      </c>
      <c r="P5728">
        <v>1683.8244589999999</v>
      </c>
      <c r="Q5728">
        <v>4613.7944589999997</v>
      </c>
      <c r="R5728">
        <v>738.20711300000005</v>
      </c>
      <c r="S5728">
        <v>184.55177800000001</v>
      </c>
      <c r="T5728">
        <v>5167.4497940000001</v>
      </c>
      <c r="U5728" t="s">
        <v>7522</v>
      </c>
      <c r="V5728" t="s">
        <v>9408</v>
      </c>
      <c r="W5728" t="s">
        <v>424</v>
      </c>
    </row>
    <row r="5729" spans="1:23" hidden="1" x14ac:dyDescent="0.2">
      <c r="A5729">
        <v>2012</v>
      </c>
      <c r="B5729" t="s">
        <v>304</v>
      </c>
      <c r="C5729" s="733">
        <v>40963</v>
      </c>
      <c r="D57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29" t="s">
        <v>478</v>
      </c>
      <c r="F5729" t="s">
        <v>2622</v>
      </c>
      <c r="G5729" t="s">
        <v>9190</v>
      </c>
      <c r="H5729">
        <v>35882</v>
      </c>
      <c r="I5729" t="s">
        <v>423</v>
      </c>
      <c r="J5729" t="s">
        <v>2629</v>
      </c>
      <c r="K5729" t="s">
        <v>2625</v>
      </c>
      <c r="L5729" t="s">
        <v>2626</v>
      </c>
      <c r="M5729">
        <v>33</v>
      </c>
      <c r="N5729">
        <v>21.42</v>
      </c>
      <c r="O5729">
        <v>2498.4299999999998</v>
      </c>
      <c r="P5729">
        <v>0</v>
      </c>
      <c r="Q5729">
        <v>2498.4299999999998</v>
      </c>
      <c r="R5729">
        <v>399.75</v>
      </c>
      <c r="S5729">
        <v>99.94</v>
      </c>
      <c r="T5729">
        <v>2798.24</v>
      </c>
      <c r="U5729" t="s">
        <v>9428</v>
      </c>
      <c r="V5729" t="s">
        <v>9408</v>
      </c>
      <c r="W5729" t="s">
        <v>423</v>
      </c>
    </row>
    <row r="5730" spans="1:23" hidden="1" x14ac:dyDescent="0.2">
      <c r="A5730">
        <v>2012</v>
      </c>
      <c r="B5730" t="s">
        <v>303</v>
      </c>
      <c r="C5730" s="733">
        <v>40911</v>
      </c>
      <c r="D57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30" t="s">
        <v>485</v>
      </c>
      <c r="F5730" t="s">
        <v>2065</v>
      </c>
      <c r="G5730" t="s">
        <v>6621</v>
      </c>
      <c r="H5730">
        <v>39656</v>
      </c>
      <c r="I5730" t="s">
        <v>423</v>
      </c>
      <c r="J5730" t="s">
        <v>2189</v>
      </c>
      <c r="K5730" t="s">
        <v>2183</v>
      </c>
      <c r="L5730" t="s">
        <v>2184</v>
      </c>
      <c r="M5730">
        <v>720</v>
      </c>
      <c r="N5730">
        <v>22.99</v>
      </c>
      <c r="O5730">
        <v>3923.01</v>
      </c>
      <c r="P5730">
        <v>4416.8777289999998</v>
      </c>
      <c r="Q5730">
        <v>8339.887729</v>
      </c>
      <c r="R5730">
        <v>1334.3820370000001</v>
      </c>
      <c r="S5730">
        <v>333.59550899999999</v>
      </c>
      <c r="T5730">
        <v>9340.6742570000006</v>
      </c>
      <c r="U5730" t="s">
        <v>3038</v>
      </c>
      <c r="V5730" t="s">
        <v>9408</v>
      </c>
      <c r="W5730" t="s">
        <v>423</v>
      </c>
    </row>
    <row r="5731" spans="1:23" hidden="1" x14ac:dyDescent="0.2">
      <c r="A5731">
        <v>2012</v>
      </c>
      <c r="B5731" t="s">
        <v>304</v>
      </c>
      <c r="C5731" s="733">
        <v>40967.374282407407</v>
      </c>
      <c r="D57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31" t="s">
        <v>478</v>
      </c>
      <c r="F5731" t="s">
        <v>2136</v>
      </c>
      <c r="G5731" t="s">
        <v>9184</v>
      </c>
      <c r="H5731">
        <v>36149</v>
      </c>
      <c r="I5731" t="s">
        <v>423</v>
      </c>
      <c r="J5731" t="s">
        <v>2629</v>
      </c>
      <c r="K5731" t="s">
        <v>2625</v>
      </c>
      <c r="L5731" t="s">
        <v>2626</v>
      </c>
      <c r="M5731">
        <v>33</v>
      </c>
      <c r="N5731">
        <v>22.15</v>
      </c>
      <c r="O5731">
        <v>2583.58</v>
      </c>
      <c r="P5731">
        <v>0</v>
      </c>
      <c r="Q5731">
        <v>2583.58</v>
      </c>
      <c r="R5731">
        <v>413.37</v>
      </c>
      <c r="S5731">
        <v>103.34</v>
      </c>
      <c r="T5731">
        <v>2893.61</v>
      </c>
      <c r="U5731" t="s">
        <v>9428</v>
      </c>
      <c r="V5731" t="s">
        <v>9408</v>
      </c>
      <c r="W5731" t="s">
        <v>423</v>
      </c>
    </row>
    <row r="5732" spans="1:23" hidden="1" x14ac:dyDescent="0.2">
      <c r="A5732">
        <v>2012</v>
      </c>
      <c r="B5732" t="s">
        <v>304</v>
      </c>
      <c r="C5732" s="733">
        <v>40963</v>
      </c>
      <c r="D57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32" t="s">
        <v>478</v>
      </c>
      <c r="F5732" t="s">
        <v>2622</v>
      </c>
      <c r="G5732" t="s">
        <v>9185</v>
      </c>
      <c r="H5732">
        <v>35893</v>
      </c>
      <c r="I5732" t="s">
        <v>423</v>
      </c>
      <c r="J5732" t="s">
        <v>2629</v>
      </c>
      <c r="K5732" t="s">
        <v>2625</v>
      </c>
      <c r="L5732" t="s">
        <v>2626</v>
      </c>
      <c r="M5732">
        <v>33</v>
      </c>
      <c r="N5732">
        <v>22.53</v>
      </c>
      <c r="O5732">
        <v>2627.9</v>
      </c>
      <c r="P5732">
        <v>0</v>
      </c>
      <c r="Q5732">
        <v>2627.9</v>
      </c>
      <c r="R5732">
        <v>420.46</v>
      </c>
      <c r="S5732">
        <v>105.12</v>
      </c>
      <c r="T5732">
        <v>2943.24</v>
      </c>
      <c r="U5732" t="s">
        <v>9428</v>
      </c>
      <c r="V5732" t="s">
        <v>9408</v>
      </c>
      <c r="W5732" t="s">
        <v>423</v>
      </c>
    </row>
    <row r="5733" spans="1:23" hidden="1" x14ac:dyDescent="0.2">
      <c r="A5733">
        <v>2012</v>
      </c>
      <c r="B5733" t="s">
        <v>304</v>
      </c>
      <c r="C5733" s="733">
        <v>40960</v>
      </c>
      <c r="D57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33" t="s">
        <v>485</v>
      </c>
      <c r="F5733" t="s">
        <v>2099</v>
      </c>
      <c r="G5733" t="s">
        <v>8084</v>
      </c>
      <c r="H5733">
        <v>42282</v>
      </c>
      <c r="I5733" t="s">
        <v>423</v>
      </c>
      <c r="J5733" t="s">
        <v>2141</v>
      </c>
      <c r="K5733" t="s">
        <v>2102</v>
      </c>
      <c r="L5733" t="s">
        <v>2103</v>
      </c>
      <c r="M5733">
        <v>114</v>
      </c>
      <c r="N5733">
        <v>21.02</v>
      </c>
      <c r="O5733">
        <v>3377.49</v>
      </c>
      <c r="P5733">
        <v>0</v>
      </c>
      <c r="Q5733">
        <v>3377.49</v>
      </c>
      <c r="R5733">
        <v>540.4</v>
      </c>
      <c r="S5733">
        <v>135.1</v>
      </c>
      <c r="T5733">
        <v>3782.79</v>
      </c>
      <c r="U5733" t="s">
        <v>8883</v>
      </c>
      <c r="V5733" t="s">
        <v>9408</v>
      </c>
      <c r="W5733" t="s">
        <v>423</v>
      </c>
    </row>
    <row r="5734" spans="1:23" hidden="1" x14ac:dyDescent="0.2">
      <c r="A5734">
        <v>2012</v>
      </c>
      <c r="B5734" t="s">
        <v>303</v>
      </c>
      <c r="C5734" s="733">
        <v>40925</v>
      </c>
      <c r="D57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34" t="s">
        <v>485</v>
      </c>
      <c r="F5734" t="s">
        <v>2099</v>
      </c>
      <c r="G5734" t="s">
        <v>2348</v>
      </c>
      <c r="H5734">
        <v>40466</v>
      </c>
      <c r="I5734" t="s">
        <v>423</v>
      </c>
      <c r="J5734" t="s">
        <v>2141</v>
      </c>
      <c r="K5734" t="s">
        <v>2102</v>
      </c>
      <c r="L5734" t="s">
        <v>2103</v>
      </c>
      <c r="M5734">
        <v>114</v>
      </c>
      <c r="N5734">
        <v>25.58</v>
      </c>
      <c r="O5734">
        <v>4110.1899999999996</v>
      </c>
      <c r="P5734">
        <v>0</v>
      </c>
      <c r="Q5734">
        <v>4110.1899999999996</v>
      </c>
      <c r="R5734">
        <v>657.63</v>
      </c>
      <c r="S5734">
        <v>164.41</v>
      </c>
      <c r="T5734">
        <v>4603.41</v>
      </c>
      <c r="U5734" t="s">
        <v>2106</v>
      </c>
      <c r="V5734" t="s">
        <v>9408</v>
      </c>
      <c r="W5734" t="s">
        <v>423</v>
      </c>
    </row>
    <row r="5735" spans="1:23" hidden="1" x14ac:dyDescent="0.2">
      <c r="A5735">
        <v>2012</v>
      </c>
      <c r="B5735" t="s">
        <v>304</v>
      </c>
      <c r="C5735" s="733">
        <v>40949.497754629629</v>
      </c>
      <c r="D57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35" t="s">
        <v>485</v>
      </c>
      <c r="F5735" t="s">
        <v>2065</v>
      </c>
      <c r="G5735" t="s">
        <v>6615</v>
      </c>
      <c r="H5735">
        <v>41690</v>
      </c>
      <c r="I5735" t="s">
        <v>423</v>
      </c>
      <c r="J5735" t="s">
        <v>2141</v>
      </c>
      <c r="K5735" t="s">
        <v>2102</v>
      </c>
      <c r="L5735" t="s">
        <v>2103</v>
      </c>
      <c r="M5735">
        <v>114</v>
      </c>
      <c r="N5735">
        <v>24.87</v>
      </c>
      <c r="O5735">
        <v>3996.11</v>
      </c>
      <c r="P5735">
        <v>0</v>
      </c>
      <c r="Q5735">
        <v>3996.11</v>
      </c>
      <c r="R5735">
        <v>639.38</v>
      </c>
      <c r="S5735">
        <v>159.84</v>
      </c>
      <c r="T5735">
        <v>4475.6499999999996</v>
      </c>
      <c r="U5735" t="s">
        <v>7462</v>
      </c>
      <c r="V5735" t="s">
        <v>9408</v>
      </c>
      <c r="W5735" t="s">
        <v>423</v>
      </c>
    </row>
    <row r="5736" spans="1:23" hidden="1" x14ac:dyDescent="0.2">
      <c r="A5736">
        <v>2012</v>
      </c>
      <c r="B5736" t="s">
        <v>304</v>
      </c>
      <c r="C5736" s="733">
        <v>40966</v>
      </c>
      <c r="D57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36" t="s">
        <v>485</v>
      </c>
      <c r="F5736" t="s">
        <v>2099</v>
      </c>
      <c r="G5736" t="s">
        <v>9189</v>
      </c>
      <c r="H5736">
        <v>42698</v>
      </c>
      <c r="I5736" t="s">
        <v>423</v>
      </c>
      <c r="J5736" t="s">
        <v>2141</v>
      </c>
      <c r="K5736" t="s">
        <v>2102</v>
      </c>
      <c r="L5736" t="s">
        <v>2103</v>
      </c>
      <c r="M5736">
        <v>114</v>
      </c>
      <c r="N5736">
        <v>24.34</v>
      </c>
      <c r="O5736">
        <v>3910.95</v>
      </c>
      <c r="P5736">
        <v>0</v>
      </c>
      <c r="Q5736">
        <v>3910.95</v>
      </c>
      <c r="R5736">
        <v>625.75</v>
      </c>
      <c r="S5736">
        <v>156.44</v>
      </c>
      <c r="T5736">
        <v>4380.26</v>
      </c>
      <c r="U5736" t="s">
        <v>8883</v>
      </c>
      <c r="V5736" t="s">
        <v>9408</v>
      </c>
      <c r="W5736" t="s">
        <v>423</v>
      </c>
    </row>
    <row r="5737" spans="1:23" hidden="1" x14ac:dyDescent="0.2">
      <c r="A5737">
        <v>2012</v>
      </c>
      <c r="B5737" t="s">
        <v>304</v>
      </c>
      <c r="C5737" s="733">
        <v>40946</v>
      </c>
      <c r="D57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37" t="s">
        <v>485</v>
      </c>
      <c r="F5737" t="s">
        <v>2065</v>
      </c>
      <c r="G5737" t="s">
        <v>6614</v>
      </c>
      <c r="H5737">
        <v>41520</v>
      </c>
      <c r="I5737" t="s">
        <v>423</v>
      </c>
      <c r="J5737" t="s">
        <v>2141</v>
      </c>
      <c r="K5737" t="s">
        <v>2102</v>
      </c>
      <c r="L5737" t="s">
        <v>2103</v>
      </c>
      <c r="M5737">
        <v>114</v>
      </c>
      <c r="N5737">
        <v>32.64</v>
      </c>
      <c r="O5737">
        <v>5244.6</v>
      </c>
      <c r="P5737">
        <v>0</v>
      </c>
      <c r="Q5737">
        <v>5244.6</v>
      </c>
      <c r="R5737">
        <v>839.14</v>
      </c>
      <c r="S5737">
        <v>209.78</v>
      </c>
      <c r="T5737">
        <v>5873.96</v>
      </c>
      <c r="U5737" t="s">
        <v>2110</v>
      </c>
      <c r="V5737" t="s">
        <v>9408</v>
      </c>
      <c r="W5737" t="s">
        <v>423</v>
      </c>
    </row>
    <row r="5738" spans="1:23" hidden="1" x14ac:dyDescent="0.2">
      <c r="A5738">
        <v>2012</v>
      </c>
      <c r="B5738" t="s">
        <v>304</v>
      </c>
      <c r="C5738" s="733">
        <v>40949</v>
      </c>
      <c r="D57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38" t="s">
        <v>478</v>
      </c>
      <c r="F5738" t="s">
        <v>2622</v>
      </c>
      <c r="G5738" t="s">
        <v>6613</v>
      </c>
      <c r="H5738">
        <v>35460</v>
      </c>
      <c r="I5738" t="s">
        <v>423</v>
      </c>
      <c r="J5738" t="s">
        <v>2144</v>
      </c>
      <c r="K5738" t="s">
        <v>425</v>
      </c>
      <c r="L5738" t="s">
        <v>2145</v>
      </c>
      <c r="M5738">
        <v>1354</v>
      </c>
      <c r="N5738">
        <v>42.54</v>
      </c>
      <c r="O5738">
        <v>38574.85</v>
      </c>
      <c r="P5738">
        <v>0</v>
      </c>
      <c r="Q5738">
        <v>38574.85</v>
      </c>
      <c r="R5738">
        <v>6171.98</v>
      </c>
      <c r="S5738">
        <v>1542.99</v>
      </c>
      <c r="T5738">
        <v>43203.839999999997</v>
      </c>
      <c r="U5738" t="s">
        <v>7523</v>
      </c>
      <c r="V5738" t="s">
        <v>9409</v>
      </c>
      <c r="W5738" t="s">
        <v>423</v>
      </c>
    </row>
    <row r="5739" spans="1:23" hidden="1" x14ac:dyDescent="0.2">
      <c r="A5739">
        <v>2012</v>
      </c>
      <c r="B5739" t="s">
        <v>304</v>
      </c>
      <c r="C5739" s="733">
        <v>40949</v>
      </c>
      <c r="D57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39" t="s">
        <v>478</v>
      </c>
      <c r="F5739" t="s">
        <v>2136</v>
      </c>
      <c r="G5739" t="s">
        <v>6612</v>
      </c>
      <c r="H5739">
        <v>35472</v>
      </c>
      <c r="I5739" t="s">
        <v>423</v>
      </c>
      <c r="J5739" t="s">
        <v>2144</v>
      </c>
      <c r="K5739" t="s">
        <v>425</v>
      </c>
      <c r="L5739" t="s">
        <v>2145</v>
      </c>
      <c r="M5739">
        <v>1354</v>
      </c>
      <c r="N5739">
        <v>47.73</v>
      </c>
      <c r="O5739">
        <v>43281.09</v>
      </c>
      <c r="P5739">
        <v>0</v>
      </c>
      <c r="Q5739">
        <v>43281.09</v>
      </c>
      <c r="R5739">
        <v>6924.97</v>
      </c>
      <c r="S5739">
        <v>1731.24</v>
      </c>
      <c r="T5739">
        <v>48474.82</v>
      </c>
      <c r="U5739" t="s">
        <v>7523</v>
      </c>
      <c r="V5739" t="s">
        <v>9409</v>
      </c>
      <c r="W5739" t="s">
        <v>423</v>
      </c>
    </row>
    <row r="5740" spans="1:23" hidden="1" x14ac:dyDescent="0.2">
      <c r="A5740">
        <v>2012</v>
      </c>
      <c r="B5740" t="s">
        <v>303</v>
      </c>
      <c r="C5740" s="733">
        <v>40939</v>
      </c>
      <c r="D57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40" t="s">
        <v>485</v>
      </c>
      <c r="F5740" t="s">
        <v>2065</v>
      </c>
      <c r="G5740" t="s">
        <v>3128</v>
      </c>
      <c r="H5740">
        <v>41170</v>
      </c>
      <c r="I5740" t="s">
        <v>423</v>
      </c>
      <c r="J5740" t="s">
        <v>2186</v>
      </c>
      <c r="K5740" t="s">
        <v>2183</v>
      </c>
      <c r="L5740" t="s">
        <v>2184</v>
      </c>
      <c r="M5740">
        <v>19</v>
      </c>
      <c r="N5740">
        <v>15.35</v>
      </c>
      <c r="O5740">
        <v>1732.55</v>
      </c>
      <c r="P5740">
        <v>0</v>
      </c>
      <c r="Q5740">
        <v>1732.55</v>
      </c>
      <c r="R5740">
        <v>277.20999999999998</v>
      </c>
      <c r="S5740">
        <v>69.3</v>
      </c>
      <c r="T5740">
        <v>1940.46</v>
      </c>
      <c r="V5740" t="s">
        <v>9408</v>
      </c>
      <c r="W5740" t="s">
        <v>423</v>
      </c>
    </row>
    <row r="5741" spans="1:23" hidden="1" x14ac:dyDescent="0.2">
      <c r="A5741">
        <v>2012</v>
      </c>
      <c r="B5741" t="s">
        <v>304</v>
      </c>
      <c r="C5741" s="733">
        <v>40946.624340277776</v>
      </c>
      <c r="D57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41" t="s">
        <v>485</v>
      </c>
      <c r="F5741" t="s">
        <v>2065</v>
      </c>
      <c r="G5741" t="s">
        <v>3134</v>
      </c>
      <c r="H5741">
        <v>41496</v>
      </c>
      <c r="I5741" t="s">
        <v>423</v>
      </c>
      <c r="J5741" t="s">
        <v>2189</v>
      </c>
      <c r="K5741" t="s">
        <v>2183</v>
      </c>
      <c r="L5741" t="s">
        <v>2184</v>
      </c>
      <c r="M5741">
        <v>720</v>
      </c>
      <c r="N5741">
        <v>23.56</v>
      </c>
      <c r="O5741">
        <v>10458.049999999999</v>
      </c>
      <c r="P5741">
        <v>0</v>
      </c>
      <c r="Q5741">
        <v>10458.049999999999</v>
      </c>
      <c r="R5741">
        <v>1673.29</v>
      </c>
      <c r="S5741">
        <v>418.32</v>
      </c>
      <c r="T5741">
        <v>11713.02</v>
      </c>
      <c r="U5741" t="s">
        <v>2192</v>
      </c>
      <c r="V5741" t="s">
        <v>9408</v>
      </c>
      <c r="W5741" t="s">
        <v>423</v>
      </c>
    </row>
    <row r="5742" spans="1:23" hidden="1" x14ac:dyDescent="0.2">
      <c r="A5742">
        <v>2012</v>
      </c>
      <c r="B5742" t="s">
        <v>303</v>
      </c>
      <c r="C5742" s="733">
        <v>40911</v>
      </c>
      <c r="D57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42" t="s">
        <v>485</v>
      </c>
      <c r="F5742" t="s">
        <v>2065</v>
      </c>
      <c r="G5742" t="s">
        <v>3135</v>
      </c>
      <c r="H5742">
        <v>39641</v>
      </c>
      <c r="I5742" t="s">
        <v>423</v>
      </c>
      <c r="J5742" t="s">
        <v>2189</v>
      </c>
      <c r="K5742" t="s">
        <v>2183</v>
      </c>
      <c r="L5742" t="s">
        <v>2184</v>
      </c>
      <c r="M5742">
        <v>720</v>
      </c>
      <c r="N5742">
        <v>25.59</v>
      </c>
      <c r="O5742">
        <v>4782.5200000000004</v>
      </c>
      <c r="P5742">
        <v>5384.5914430000003</v>
      </c>
      <c r="Q5742">
        <v>10167.111443</v>
      </c>
      <c r="R5742">
        <v>1626.7378309999999</v>
      </c>
      <c r="S5742">
        <v>406.68445800000001</v>
      </c>
      <c r="T5742">
        <v>11387.164816</v>
      </c>
      <c r="U5742" t="s">
        <v>3038</v>
      </c>
      <c r="V5742" t="s">
        <v>9408</v>
      </c>
      <c r="W5742" t="s">
        <v>423</v>
      </c>
    </row>
    <row r="5743" spans="1:23" hidden="1" x14ac:dyDescent="0.2">
      <c r="A5743">
        <v>2012</v>
      </c>
      <c r="B5743" t="s">
        <v>304</v>
      </c>
      <c r="C5743" s="733">
        <v>40966</v>
      </c>
      <c r="D57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43" t="s">
        <v>485</v>
      </c>
      <c r="F5743" t="s">
        <v>2065</v>
      </c>
      <c r="G5743" t="s">
        <v>8816</v>
      </c>
      <c r="H5743">
        <v>42632</v>
      </c>
      <c r="I5743" t="s">
        <v>423</v>
      </c>
      <c r="J5743" t="s">
        <v>2189</v>
      </c>
      <c r="K5743" t="s">
        <v>2183</v>
      </c>
      <c r="L5743" t="s">
        <v>2184</v>
      </c>
      <c r="M5743">
        <v>720</v>
      </c>
      <c r="N5743">
        <v>25.29</v>
      </c>
      <c r="O5743">
        <v>11225.98</v>
      </c>
      <c r="P5743">
        <v>0</v>
      </c>
      <c r="Q5743">
        <v>11225.98</v>
      </c>
      <c r="R5743">
        <v>1796.16</v>
      </c>
      <c r="S5743">
        <v>449.04</v>
      </c>
      <c r="T5743">
        <v>12573.1</v>
      </c>
      <c r="V5743" t="s">
        <v>9408</v>
      </c>
      <c r="W5743" t="s">
        <v>423</v>
      </c>
    </row>
    <row r="5744" spans="1:23" hidden="1" x14ac:dyDescent="0.2">
      <c r="A5744">
        <v>2012</v>
      </c>
      <c r="B5744" t="s">
        <v>304</v>
      </c>
      <c r="C5744" s="733">
        <v>40966</v>
      </c>
      <c r="D57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44" t="s">
        <v>478</v>
      </c>
      <c r="F5744" t="s">
        <v>2136</v>
      </c>
      <c r="G5744" t="s">
        <v>9191</v>
      </c>
      <c r="H5744">
        <v>35916</v>
      </c>
      <c r="I5744" t="s">
        <v>423</v>
      </c>
      <c r="J5744" t="s">
        <v>4282</v>
      </c>
      <c r="K5744" t="s">
        <v>425</v>
      </c>
      <c r="L5744" t="s">
        <v>2145</v>
      </c>
      <c r="M5744">
        <v>1405</v>
      </c>
      <c r="N5744">
        <v>41.18</v>
      </c>
      <c r="O5744">
        <v>41567.919999999998</v>
      </c>
      <c r="P5744">
        <v>0</v>
      </c>
      <c r="Q5744">
        <v>41567.919999999998</v>
      </c>
      <c r="R5744">
        <v>6650.87</v>
      </c>
      <c r="S5744">
        <v>1662.72</v>
      </c>
      <c r="T5744">
        <v>46556.07</v>
      </c>
      <c r="U5744" t="s">
        <v>9430</v>
      </c>
      <c r="V5744" t="s">
        <v>9409</v>
      </c>
      <c r="W5744" t="s">
        <v>423</v>
      </c>
    </row>
    <row r="5745" spans="1:23" hidden="1" x14ac:dyDescent="0.2">
      <c r="A5745">
        <v>2012</v>
      </c>
      <c r="B5745" t="s">
        <v>303</v>
      </c>
      <c r="C5745" s="733">
        <v>40921</v>
      </c>
      <c r="D57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45" t="s">
        <v>478</v>
      </c>
      <c r="F5745" t="s">
        <v>2136</v>
      </c>
      <c r="G5745" t="s">
        <v>7062</v>
      </c>
      <c r="H5745">
        <v>34410</v>
      </c>
      <c r="I5745" t="s">
        <v>423</v>
      </c>
      <c r="J5745" t="s">
        <v>4282</v>
      </c>
      <c r="K5745" t="s">
        <v>425</v>
      </c>
      <c r="L5745" t="s">
        <v>2145</v>
      </c>
      <c r="M5745">
        <v>1405</v>
      </c>
      <c r="N5745">
        <v>47.19</v>
      </c>
      <c r="O5745">
        <v>47634.53</v>
      </c>
      <c r="P5745">
        <v>0</v>
      </c>
      <c r="Q5745">
        <v>47634.53</v>
      </c>
      <c r="R5745">
        <v>7621.52</v>
      </c>
      <c r="S5745">
        <v>1905.38</v>
      </c>
      <c r="T5745">
        <v>53350.67</v>
      </c>
      <c r="U5745" t="s">
        <v>2350</v>
      </c>
      <c r="V5745" t="s">
        <v>9409</v>
      </c>
      <c r="W5745" t="s">
        <v>423</v>
      </c>
    </row>
    <row r="5746" spans="1:23" hidden="1" x14ac:dyDescent="0.2">
      <c r="A5746">
        <v>2012</v>
      </c>
      <c r="B5746" t="s">
        <v>303</v>
      </c>
      <c r="C5746" s="733">
        <v>40913</v>
      </c>
      <c r="D57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46" t="s">
        <v>478</v>
      </c>
      <c r="F5746" t="s">
        <v>2136</v>
      </c>
      <c r="G5746" t="s">
        <v>7070</v>
      </c>
      <c r="H5746">
        <v>34251</v>
      </c>
      <c r="I5746" t="s">
        <v>423</v>
      </c>
      <c r="J5746" t="s">
        <v>4791</v>
      </c>
      <c r="K5746" t="s">
        <v>425</v>
      </c>
      <c r="L5746" t="s">
        <v>2145</v>
      </c>
      <c r="M5746">
        <v>139</v>
      </c>
      <c r="N5746">
        <v>25.8</v>
      </c>
      <c r="O5746">
        <v>1814.26</v>
      </c>
      <c r="P5746">
        <v>2042.657191</v>
      </c>
      <c r="Q5746">
        <v>3856.917191</v>
      </c>
      <c r="R5746">
        <v>617.10675100000003</v>
      </c>
      <c r="S5746">
        <v>154.27668800000001</v>
      </c>
      <c r="T5746">
        <v>4319.7472539999999</v>
      </c>
      <c r="U5746" t="s">
        <v>2350</v>
      </c>
      <c r="V5746" t="s">
        <v>9408</v>
      </c>
      <c r="W5746" t="s">
        <v>423</v>
      </c>
    </row>
    <row r="5747" spans="1:23" hidden="1" x14ac:dyDescent="0.2">
      <c r="A5747">
        <v>2012</v>
      </c>
      <c r="B5747" t="s">
        <v>303</v>
      </c>
      <c r="C5747" s="733">
        <v>40912</v>
      </c>
      <c r="D57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47" t="s">
        <v>478</v>
      </c>
      <c r="F5747" t="s">
        <v>2136</v>
      </c>
      <c r="G5747" t="s">
        <v>7071</v>
      </c>
      <c r="H5747">
        <v>34244</v>
      </c>
      <c r="I5747" t="s">
        <v>423</v>
      </c>
      <c r="J5747" t="s">
        <v>4791</v>
      </c>
      <c r="K5747" t="s">
        <v>425</v>
      </c>
      <c r="L5747" t="s">
        <v>2145</v>
      </c>
      <c r="M5747">
        <v>139</v>
      </c>
      <c r="N5747">
        <v>23.52</v>
      </c>
      <c r="O5747">
        <v>1653.93</v>
      </c>
      <c r="P5747">
        <v>1862.1432480000001</v>
      </c>
      <c r="Q5747">
        <v>3516.0732480000001</v>
      </c>
      <c r="R5747">
        <v>562.57172000000003</v>
      </c>
      <c r="S5747">
        <v>140.64293000000001</v>
      </c>
      <c r="T5747">
        <v>3938.0020380000001</v>
      </c>
      <c r="U5747" t="s">
        <v>3323</v>
      </c>
      <c r="V5747" t="s">
        <v>9408</v>
      </c>
      <c r="W5747" t="s">
        <v>423</v>
      </c>
    </row>
    <row r="5748" spans="1:23" hidden="1" x14ac:dyDescent="0.2">
      <c r="A5748">
        <v>2012</v>
      </c>
      <c r="B5748" t="s">
        <v>303</v>
      </c>
      <c r="C5748" s="733">
        <v>40931</v>
      </c>
      <c r="D57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48" t="s">
        <v>478</v>
      </c>
      <c r="F5748" t="s">
        <v>2136</v>
      </c>
      <c r="G5748" t="s">
        <v>7072</v>
      </c>
      <c r="H5748">
        <v>34348</v>
      </c>
      <c r="I5748" t="s">
        <v>423</v>
      </c>
      <c r="J5748" t="s">
        <v>4285</v>
      </c>
      <c r="K5748" t="s">
        <v>425</v>
      </c>
      <c r="L5748" t="s">
        <v>2145</v>
      </c>
      <c r="M5748">
        <v>110</v>
      </c>
      <c r="N5748">
        <v>26.71</v>
      </c>
      <c r="O5748">
        <v>4461.1000000000004</v>
      </c>
      <c r="P5748">
        <v>0</v>
      </c>
      <c r="Q5748">
        <v>4461.1000000000004</v>
      </c>
      <c r="R5748">
        <v>713.78</v>
      </c>
      <c r="S5748">
        <v>178.44</v>
      </c>
      <c r="T5748">
        <v>4996.4399999999996</v>
      </c>
      <c r="U5748" t="s">
        <v>2355</v>
      </c>
      <c r="V5748" t="s">
        <v>9409</v>
      </c>
      <c r="W5748" t="s">
        <v>423</v>
      </c>
    </row>
    <row r="5749" spans="1:23" hidden="1" x14ac:dyDescent="0.2">
      <c r="A5749">
        <v>2012</v>
      </c>
      <c r="B5749" t="s">
        <v>304</v>
      </c>
      <c r="C5749" s="733">
        <v>40954</v>
      </c>
      <c r="D57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49" t="s">
        <v>478</v>
      </c>
      <c r="F5749" t="s">
        <v>2136</v>
      </c>
      <c r="G5749" t="s">
        <v>7591</v>
      </c>
      <c r="H5749">
        <v>35625</v>
      </c>
      <c r="I5749" t="s">
        <v>423</v>
      </c>
      <c r="J5749" t="s">
        <v>4285</v>
      </c>
      <c r="K5749" t="s">
        <v>425</v>
      </c>
      <c r="L5749" t="s">
        <v>2145</v>
      </c>
      <c r="M5749">
        <v>110</v>
      </c>
      <c r="N5749">
        <v>18.8</v>
      </c>
      <c r="O5749">
        <v>3139.98</v>
      </c>
      <c r="P5749">
        <v>0</v>
      </c>
      <c r="Q5749">
        <v>3139.98</v>
      </c>
      <c r="R5749">
        <v>502.4</v>
      </c>
      <c r="S5749">
        <v>125.6</v>
      </c>
      <c r="T5749">
        <v>3516.78</v>
      </c>
      <c r="U5749" t="s">
        <v>7553</v>
      </c>
      <c r="V5749" t="s">
        <v>9409</v>
      </c>
      <c r="W5749" t="s">
        <v>423</v>
      </c>
    </row>
    <row r="5750" spans="1:23" hidden="1" x14ac:dyDescent="0.2">
      <c r="A5750">
        <v>2012</v>
      </c>
      <c r="B5750" t="s">
        <v>303</v>
      </c>
      <c r="C5750" s="733">
        <v>40920</v>
      </c>
      <c r="D57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50" t="s">
        <v>485</v>
      </c>
      <c r="F5750" t="s">
        <v>2048</v>
      </c>
      <c r="G5750" t="s">
        <v>2273</v>
      </c>
      <c r="H5750">
        <v>40215</v>
      </c>
      <c r="I5750" t="s">
        <v>423</v>
      </c>
      <c r="J5750" t="s">
        <v>2274</v>
      </c>
      <c r="K5750" t="s">
        <v>2051</v>
      </c>
      <c r="L5750" t="s">
        <v>2052</v>
      </c>
      <c r="M5750">
        <v>573</v>
      </c>
      <c r="N5750">
        <v>24.9</v>
      </c>
      <c r="O5750">
        <v>8080.05</v>
      </c>
      <c r="P5750">
        <v>0</v>
      </c>
      <c r="Q5750">
        <v>8080.05</v>
      </c>
      <c r="R5750">
        <v>1292.81</v>
      </c>
      <c r="S5750">
        <v>323.2</v>
      </c>
      <c r="T5750">
        <v>9049.66</v>
      </c>
      <c r="U5750" t="s">
        <v>2062</v>
      </c>
      <c r="V5750" t="s">
        <v>9408</v>
      </c>
      <c r="W5750" t="s">
        <v>423</v>
      </c>
    </row>
    <row r="5751" spans="1:23" x14ac:dyDescent="0.2">
      <c r="A5751">
        <v>2012</v>
      </c>
      <c r="B5751" t="s">
        <v>304</v>
      </c>
      <c r="C5751" s="733">
        <v>40967</v>
      </c>
      <c r="D57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51" t="s">
        <v>485</v>
      </c>
      <c r="F5751" t="s">
        <v>2048</v>
      </c>
      <c r="G5751" t="s">
        <v>9078</v>
      </c>
      <c r="H5751">
        <v>42732</v>
      </c>
      <c r="I5751" t="s">
        <v>423</v>
      </c>
      <c r="J5751" t="s">
        <v>2274</v>
      </c>
      <c r="K5751" t="s">
        <v>2051</v>
      </c>
      <c r="L5751" t="s">
        <v>2052</v>
      </c>
      <c r="M5751">
        <v>573</v>
      </c>
      <c r="N5751">
        <v>23</v>
      </c>
      <c r="O5751">
        <v>7463.5</v>
      </c>
      <c r="P5751">
        <v>0</v>
      </c>
      <c r="Q5751">
        <v>7463.5</v>
      </c>
      <c r="R5751">
        <v>1194.1600000000001</v>
      </c>
      <c r="S5751">
        <v>298.54000000000002</v>
      </c>
      <c r="T5751">
        <v>8359.1200000000008</v>
      </c>
      <c r="V5751" t="s">
        <v>9408</v>
      </c>
      <c r="W5751" t="s">
        <v>423</v>
      </c>
    </row>
    <row r="5752" spans="1:23" hidden="1" x14ac:dyDescent="0.2">
      <c r="A5752">
        <v>2012</v>
      </c>
      <c r="B5752" t="s">
        <v>304</v>
      </c>
      <c r="C5752" s="733">
        <v>40967</v>
      </c>
      <c r="D57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52" t="s">
        <v>478</v>
      </c>
      <c r="F5752" t="s">
        <v>2136</v>
      </c>
      <c r="G5752" t="s">
        <v>9090</v>
      </c>
      <c r="H5752">
        <v>36039</v>
      </c>
      <c r="I5752" t="s">
        <v>423</v>
      </c>
      <c r="J5752" t="s">
        <v>3638</v>
      </c>
      <c r="K5752" t="s">
        <v>425</v>
      </c>
      <c r="L5752" t="s">
        <v>2145</v>
      </c>
      <c r="M5752">
        <v>1416</v>
      </c>
      <c r="N5752">
        <v>44.79</v>
      </c>
      <c r="O5752">
        <v>40615.120000000003</v>
      </c>
      <c r="P5752">
        <v>0</v>
      </c>
      <c r="Q5752">
        <v>40615.120000000003</v>
      </c>
      <c r="R5752">
        <v>6498.42</v>
      </c>
      <c r="S5752">
        <v>1624.6</v>
      </c>
      <c r="T5752">
        <v>45488.94</v>
      </c>
      <c r="U5752" t="s">
        <v>9430</v>
      </c>
      <c r="V5752" t="s">
        <v>9409</v>
      </c>
      <c r="W5752" t="s">
        <v>423</v>
      </c>
    </row>
    <row r="5753" spans="1:23" hidden="1" x14ac:dyDescent="0.2">
      <c r="A5753">
        <v>2012</v>
      </c>
      <c r="B5753" t="s">
        <v>303</v>
      </c>
      <c r="C5753" s="733">
        <v>40914.87699074074</v>
      </c>
      <c r="D57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53" t="s">
        <v>478</v>
      </c>
      <c r="F5753" t="s">
        <v>2622</v>
      </c>
      <c r="G5753" t="s">
        <v>5809</v>
      </c>
      <c r="H5753">
        <v>34294</v>
      </c>
      <c r="I5753" t="s">
        <v>423</v>
      </c>
      <c r="J5753" t="s">
        <v>2644</v>
      </c>
      <c r="K5753" t="s">
        <v>2625</v>
      </c>
      <c r="L5753" t="s">
        <v>2626</v>
      </c>
      <c r="M5753">
        <v>52</v>
      </c>
      <c r="N5753">
        <v>23.27</v>
      </c>
      <c r="O5753">
        <v>2739.58</v>
      </c>
      <c r="P5753">
        <v>0</v>
      </c>
      <c r="Q5753">
        <v>2739.58</v>
      </c>
      <c r="R5753">
        <v>438.33</v>
      </c>
      <c r="S5753">
        <v>109.58</v>
      </c>
      <c r="T5753">
        <v>3068.33</v>
      </c>
      <c r="U5753" t="s">
        <v>2630</v>
      </c>
      <c r="V5753" t="s">
        <v>9408</v>
      </c>
      <c r="W5753" t="s">
        <v>423</v>
      </c>
    </row>
    <row r="5754" spans="1:23" hidden="1" x14ac:dyDescent="0.2">
      <c r="A5754">
        <v>2012</v>
      </c>
      <c r="B5754" t="s">
        <v>304</v>
      </c>
      <c r="C5754" s="733">
        <v>40960.421261574076</v>
      </c>
      <c r="D57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54" t="s">
        <v>478</v>
      </c>
      <c r="F5754" t="s">
        <v>2622</v>
      </c>
      <c r="G5754" t="s">
        <v>8448</v>
      </c>
      <c r="H5754">
        <v>35845</v>
      </c>
      <c r="I5754" t="s">
        <v>423</v>
      </c>
      <c r="J5754" t="s">
        <v>2644</v>
      </c>
      <c r="K5754" t="s">
        <v>2625</v>
      </c>
      <c r="L5754" t="s">
        <v>2145</v>
      </c>
      <c r="M5754">
        <v>52</v>
      </c>
      <c r="N5754">
        <v>21.81</v>
      </c>
      <c r="O5754">
        <v>2567.69</v>
      </c>
      <c r="P5754">
        <v>0</v>
      </c>
      <c r="Q5754">
        <v>2567.69</v>
      </c>
      <c r="R5754">
        <v>410.83</v>
      </c>
      <c r="S5754">
        <v>102.71</v>
      </c>
      <c r="T5754">
        <v>2875.81</v>
      </c>
      <c r="U5754" t="s">
        <v>8267</v>
      </c>
      <c r="V5754" t="s">
        <v>9408</v>
      </c>
      <c r="W5754" t="s">
        <v>423</v>
      </c>
    </row>
    <row r="5755" spans="1:23" hidden="1" x14ac:dyDescent="0.2">
      <c r="A5755">
        <v>2012</v>
      </c>
      <c r="B5755" t="s">
        <v>303</v>
      </c>
      <c r="C5755" s="733">
        <v>40939.550925925927</v>
      </c>
      <c r="D57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55" t="s">
        <v>478</v>
      </c>
      <c r="F5755" t="s">
        <v>2622</v>
      </c>
      <c r="G5755" t="s">
        <v>5810</v>
      </c>
      <c r="H5755">
        <v>35155</v>
      </c>
      <c r="I5755" t="s">
        <v>423</v>
      </c>
      <c r="J5755" t="s">
        <v>2644</v>
      </c>
      <c r="K5755" t="s">
        <v>2625</v>
      </c>
      <c r="L5755" t="s">
        <v>2626</v>
      </c>
      <c r="M5755">
        <v>52</v>
      </c>
      <c r="N5755">
        <v>20.8</v>
      </c>
      <c r="O5755">
        <v>2448.7800000000002</v>
      </c>
      <c r="P5755">
        <v>0</v>
      </c>
      <c r="Q5755">
        <v>2448.7800000000002</v>
      </c>
      <c r="R5755">
        <v>391.81</v>
      </c>
      <c r="S5755">
        <v>97.95</v>
      </c>
      <c r="T5755">
        <v>2742.64</v>
      </c>
      <c r="U5755" t="s">
        <v>2648</v>
      </c>
      <c r="V5755" t="s">
        <v>9408</v>
      </c>
      <c r="W5755" t="s">
        <v>423</v>
      </c>
    </row>
    <row r="5756" spans="1:23" hidden="1" x14ac:dyDescent="0.2">
      <c r="A5756">
        <v>2012</v>
      </c>
      <c r="B5756" t="s">
        <v>303</v>
      </c>
      <c r="C5756" s="733">
        <v>40933</v>
      </c>
      <c r="D57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56" t="s">
        <v>478</v>
      </c>
      <c r="F5756" t="s">
        <v>2622</v>
      </c>
      <c r="G5756" t="s">
        <v>5226</v>
      </c>
      <c r="H5756">
        <v>34867</v>
      </c>
      <c r="I5756" t="s">
        <v>423</v>
      </c>
      <c r="J5756" t="s">
        <v>2644</v>
      </c>
      <c r="K5756" t="s">
        <v>2625</v>
      </c>
      <c r="L5756" t="s">
        <v>2626</v>
      </c>
      <c r="M5756">
        <v>52</v>
      </c>
      <c r="N5756">
        <v>24.85</v>
      </c>
      <c r="O5756">
        <v>2925.59</v>
      </c>
      <c r="P5756">
        <v>0</v>
      </c>
      <c r="Q5756">
        <v>2925.59</v>
      </c>
      <c r="R5756">
        <v>468.09</v>
      </c>
      <c r="S5756">
        <v>117.02</v>
      </c>
      <c r="T5756">
        <v>3276.66</v>
      </c>
      <c r="U5756" t="s">
        <v>2630</v>
      </c>
      <c r="V5756" t="s">
        <v>9408</v>
      </c>
      <c r="W5756" t="s">
        <v>423</v>
      </c>
    </row>
    <row r="5757" spans="1:23" hidden="1" x14ac:dyDescent="0.2">
      <c r="A5757">
        <v>2012</v>
      </c>
      <c r="B5757" t="s">
        <v>303</v>
      </c>
      <c r="C5757" s="733">
        <v>40931</v>
      </c>
      <c r="D57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57" t="s">
        <v>478</v>
      </c>
      <c r="F5757" t="s">
        <v>2136</v>
      </c>
      <c r="G5757" t="s">
        <v>6889</v>
      </c>
      <c r="H5757">
        <v>34656</v>
      </c>
      <c r="I5757" t="s">
        <v>423</v>
      </c>
      <c r="J5757" t="s">
        <v>4291</v>
      </c>
      <c r="K5757" t="s">
        <v>425</v>
      </c>
      <c r="L5757" t="s">
        <v>2145</v>
      </c>
      <c r="M5757">
        <v>163</v>
      </c>
      <c r="N5757">
        <v>23.27</v>
      </c>
      <c r="O5757">
        <v>4135.3100000000004</v>
      </c>
      <c r="P5757">
        <v>0</v>
      </c>
      <c r="Q5757">
        <v>4135.3100000000004</v>
      </c>
      <c r="R5757">
        <v>661.65</v>
      </c>
      <c r="S5757">
        <v>165.41</v>
      </c>
      <c r="T5757">
        <v>4631.55</v>
      </c>
      <c r="U5757" t="s">
        <v>2355</v>
      </c>
      <c r="V5757" t="s">
        <v>9408</v>
      </c>
      <c r="W5757" t="s">
        <v>423</v>
      </c>
    </row>
    <row r="5758" spans="1:23" hidden="1" x14ac:dyDescent="0.2">
      <c r="A5758">
        <v>2012</v>
      </c>
      <c r="B5758" t="s">
        <v>304</v>
      </c>
      <c r="C5758" s="733">
        <v>40962</v>
      </c>
      <c r="D57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58" t="s">
        <v>478</v>
      </c>
      <c r="F5758" t="s">
        <v>2136</v>
      </c>
      <c r="G5758" t="s">
        <v>8601</v>
      </c>
      <c r="H5758">
        <v>35796</v>
      </c>
      <c r="I5758" t="s">
        <v>423</v>
      </c>
      <c r="J5758" t="s">
        <v>3638</v>
      </c>
      <c r="K5758" t="s">
        <v>425</v>
      </c>
      <c r="L5758" t="s">
        <v>2145</v>
      </c>
      <c r="M5758">
        <v>1416</v>
      </c>
      <c r="N5758">
        <v>46.44</v>
      </c>
      <c r="O5758">
        <v>42111.33</v>
      </c>
      <c r="P5758">
        <v>0</v>
      </c>
      <c r="Q5758">
        <v>42111.33</v>
      </c>
      <c r="R5758">
        <v>6737.81</v>
      </c>
      <c r="S5758">
        <v>1684.45</v>
      </c>
      <c r="T5758">
        <v>47164.69</v>
      </c>
      <c r="U5758" t="s">
        <v>9430</v>
      </c>
      <c r="V5758" t="s">
        <v>9409</v>
      </c>
      <c r="W5758" t="s">
        <v>423</v>
      </c>
    </row>
    <row r="5759" spans="1:23" hidden="1" x14ac:dyDescent="0.2">
      <c r="A5759">
        <v>2012</v>
      </c>
      <c r="B5759" t="s">
        <v>304</v>
      </c>
      <c r="C5759" s="733">
        <v>40952</v>
      </c>
      <c r="D57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59" t="s">
        <v>485</v>
      </c>
      <c r="F5759" t="s">
        <v>2054</v>
      </c>
      <c r="G5759" t="s">
        <v>6059</v>
      </c>
      <c r="H5759">
        <v>41831</v>
      </c>
      <c r="I5759" t="s">
        <v>423</v>
      </c>
      <c r="J5759" t="s">
        <v>2274</v>
      </c>
      <c r="K5759" t="s">
        <v>2051</v>
      </c>
      <c r="L5759" t="s">
        <v>2052</v>
      </c>
      <c r="M5759">
        <v>573</v>
      </c>
      <c r="N5759">
        <v>28.05</v>
      </c>
      <c r="O5759">
        <v>9102.2199999999993</v>
      </c>
      <c r="P5759">
        <v>0</v>
      </c>
      <c r="Q5759">
        <v>9102.2199999999993</v>
      </c>
      <c r="R5759">
        <v>1456.36</v>
      </c>
      <c r="S5759">
        <v>364.09</v>
      </c>
      <c r="T5759">
        <v>10194.49</v>
      </c>
      <c r="U5759" t="s">
        <v>7568</v>
      </c>
      <c r="V5759" t="s">
        <v>9409</v>
      </c>
      <c r="W5759" t="s">
        <v>423</v>
      </c>
    </row>
    <row r="5760" spans="1:23" hidden="1" x14ac:dyDescent="0.2">
      <c r="A5760">
        <v>2012</v>
      </c>
      <c r="B5760" t="s">
        <v>304</v>
      </c>
      <c r="C5760" s="733">
        <v>40941</v>
      </c>
      <c r="D57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60" t="s">
        <v>478</v>
      </c>
      <c r="F5760" t="s">
        <v>2136</v>
      </c>
      <c r="G5760" t="s">
        <v>6892</v>
      </c>
      <c r="H5760">
        <v>35050</v>
      </c>
      <c r="I5760" t="s">
        <v>423</v>
      </c>
      <c r="J5760" t="s">
        <v>3638</v>
      </c>
      <c r="K5760" t="s">
        <v>425</v>
      </c>
      <c r="L5760" t="s">
        <v>2145</v>
      </c>
      <c r="M5760">
        <v>1416</v>
      </c>
      <c r="N5760">
        <v>52.05</v>
      </c>
      <c r="O5760">
        <v>47198.42</v>
      </c>
      <c r="P5760">
        <v>0</v>
      </c>
      <c r="Q5760">
        <v>47198.42</v>
      </c>
      <c r="R5760">
        <v>7551.75</v>
      </c>
      <c r="S5760">
        <v>1887.94</v>
      </c>
      <c r="T5760">
        <v>52862.23</v>
      </c>
      <c r="U5760" t="s">
        <v>2914</v>
      </c>
      <c r="V5760" t="s">
        <v>9409</v>
      </c>
      <c r="W5760" t="s">
        <v>423</v>
      </c>
    </row>
    <row r="5761" spans="1:23" hidden="1" x14ac:dyDescent="0.2">
      <c r="A5761">
        <v>2012</v>
      </c>
      <c r="B5761" t="s">
        <v>304</v>
      </c>
      <c r="C5761" s="733">
        <v>40941</v>
      </c>
      <c r="D57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61" t="s">
        <v>478</v>
      </c>
      <c r="F5761" t="s">
        <v>2136</v>
      </c>
      <c r="G5761" t="s">
        <v>6905</v>
      </c>
      <c r="H5761">
        <v>35041</v>
      </c>
      <c r="I5761" t="s">
        <v>423</v>
      </c>
      <c r="J5761" t="s">
        <v>3638</v>
      </c>
      <c r="K5761" t="s">
        <v>425</v>
      </c>
      <c r="L5761" t="s">
        <v>2145</v>
      </c>
      <c r="M5761">
        <v>1416</v>
      </c>
      <c r="N5761">
        <v>44.47</v>
      </c>
      <c r="O5761">
        <v>40324.949999999997</v>
      </c>
      <c r="P5761">
        <v>0</v>
      </c>
      <c r="Q5761">
        <v>40324.949999999997</v>
      </c>
      <c r="R5761">
        <v>6451.99</v>
      </c>
      <c r="S5761">
        <v>1613</v>
      </c>
      <c r="T5761">
        <v>45163.94</v>
      </c>
      <c r="U5761" t="s">
        <v>2914</v>
      </c>
      <c r="V5761" t="s">
        <v>9409</v>
      </c>
      <c r="W5761" t="s">
        <v>423</v>
      </c>
    </row>
    <row r="5762" spans="1:23" hidden="1" x14ac:dyDescent="0.2">
      <c r="A5762">
        <v>2012</v>
      </c>
      <c r="B5762" t="s">
        <v>304</v>
      </c>
      <c r="C5762" s="733">
        <v>40949.786377314813</v>
      </c>
      <c r="D57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62" t="s">
        <v>478</v>
      </c>
      <c r="F5762" t="s">
        <v>2136</v>
      </c>
      <c r="G5762" t="s">
        <v>6890</v>
      </c>
      <c r="H5762">
        <v>35507</v>
      </c>
      <c r="I5762" t="s">
        <v>423</v>
      </c>
      <c r="J5762" t="s">
        <v>4291</v>
      </c>
      <c r="K5762" t="s">
        <v>425</v>
      </c>
      <c r="L5762" t="s">
        <v>2145</v>
      </c>
      <c r="M5762">
        <v>163</v>
      </c>
      <c r="N5762">
        <v>25.18</v>
      </c>
      <c r="O5762">
        <v>4474.74</v>
      </c>
      <c r="P5762">
        <v>0</v>
      </c>
      <c r="Q5762">
        <v>4474.74</v>
      </c>
      <c r="R5762">
        <v>715.96</v>
      </c>
      <c r="S5762">
        <v>178.99</v>
      </c>
      <c r="T5762">
        <v>5011.71</v>
      </c>
      <c r="U5762" t="s">
        <v>7553</v>
      </c>
      <c r="V5762" t="s">
        <v>9408</v>
      </c>
      <c r="W5762" t="s">
        <v>423</v>
      </c>
    </row>
    <row r="5763" spans="1:23" hidden="1" x14ac:dyDescent="0.2">
      <c r="A5763">
        <v>2012</v>
      </c>
      <c r="B5763" t="s">
        <v>304</v>
      </c>
      <c r="C5763" s="733">
        <v>40962</v>
      </c>
      <c r="D57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63" t="s">
        <v>505</v>
      </c>
      <c r="F5763" t="s">
        <v>1915</v>
      </c>
      <c r="G5763" t="s">
        <v>8600</v>
      </c>
      <c r="H5763">
        <v>22939</v>
      </c>
      <c r="I5763" t="s">
        <v>423</v>
      </c>
      <c r="J5763" t="s">
        <v>4140</v>
      </c>
      <c r="K5763" t="s">
        <v>1918</v>
      </c>
      <c r="L5763" t="s">
        <v>1919</v>
      </c>
      <c r="M5763">
        <v>1</v>
      </c>
      <c r="N5763">
        <v>25.09</v>
      </c>
      <c r="O5763">
        <v>2423.19</v>
      </c>
      <c r="P5763">
        <v>0</v>
      </c>
      <c r="Q5763">
        <v>2423.19</v>
      </c>
      <c r="R5763">
        <v>387.71</v>
      </c>
      <c r="S5763">
        <v>96.93</v>
      </c>
      <c r="T5763">
        <v>2713.97</v>
      </c>
      <c r="U5763" t="s">
        <v>8778</v>
      </c>
      <c r="V5763" t="s">
        <v>9408</v>
      </c>
      <c r="W5763" t="s">
        <v>423</v>
      </c>
    </row>
    <row r="5764" spans="1:23" hidden="1" x14ac:dyDescent="0.2">
      <c r="A5764">
        <v>2012</v>
      </c>
      <c r="B5764" t="s">
        <v>304</v>
      </c>
      <c r="C5764" s="733">
        <v>40953</v>
      </c>
      <c r="D57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64" t="s">
        <v>505</v>
      </c>
      <c r="F5764" t="s">
        <v>1915</v>
      </c>
      <c r="G5764" t="s">
        <v>6558</v>
      </c>
      <c r="H5764">
        <v>22652</v>
      </c>
      <c r="I5764" t="s">
        <v>423</v>
      </c>
      <c r="J5764" t="s">
        <v>4140</v>
      </c>
      <c r="K5764" t="s">
        <v>1918</v>
      </c>
      <c r="L5764" t="s">
        <v>1919</v>
      </c>
      <c r="M5764">
        <v>1</v>
      </c>
      <c r="N5764">
        <v>24.75</v>
      </c>
      <c r="O5764">
        <v>2390.36</v>
      </c>
      <c r="P5764">
        <v>0</v>
      </c>
      <c r="Q5764">
        <v>2390.36</v>
      </c>
      <c r="R5764">
        <v>382.46</v>
      </c>
      <c r="S5764">
        <v>95.61</v>
      </c>
      <c r="T5764">
        <v>2677.21</v>
      </c>
      <c r="U5764" t="s">
        <v>7529</v>
      </c>
      <c r="V5764" t="s">
        <v>9408</v>
      </c>
      <c r="W5764" t="s">
        <v>423</v>
      </c>
    </row>
    <row r="5765" spans="1:23" hidden="1" x14ac:dyDescent="0.2">
      <c r="A5765">
        <v>2012</v>
      </c>
      <c r="B5765" t="s">
        <v>303</v>
      </c>
      <c r="C5765" s="733">
        <v>40931</v>
      </c>
      <c r="D57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65" t="s">
        <v>505</v>
      </c>
      <c r="F5765" t="s">
        <v>1915</v>
      </c>
      <c r="G5765" t="s">
        <v>6578</v>
      </c>
      <c r="H5765">
        <v>22167</v>
      </c>
      <c r="I5765" t="s">
        <v>423</v>
      </c>
      <c r="J5765" t="s">
        <v>4140</v>
      </c>
      <c r="K5765" t="s">
        <v>1918</v>
      </c>
      <c r="L5765" t="s">
        <v>1919</v>
      </c>
      <c r="M5765">
        <v>1</v>
      </c>
      <c r="N5765">
        <v>24.96</v>
      </c>
      <c r="O5765">
        <v>2410.64</v>
      </c>
      <c r="P5765">
        <v>0</v>
      </c>
      <c r="Q5765">
        <v>2410.64</v>
      </c>
      <c r="R5765">
        <v>385.7</v>
      </c>
      <c r="S5765">
        <v>96.43</v>
      </c>
      <c r="T5765">
        <v>2699.91</v>
      </c>
      <c r="V5765" t="s">
        <v>9408</v>
      </c>
      <c r="W5765" t="s">
        <v>423</v>
      </c>
    </row>
    <row r="5766" spans="1:23" hidden="1" x14ac:dyDescent="0.2">
      <c r="A5766">
        <v>2012</v>
      </c>
      <c r="B5766" t="s">
        <v>304</v>
      </c>
      <c r="C5766" s="733">
        <v>40942</v>
      </c>
      <c r="D57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66" t="s">
        <v>505</v>
      </c>
      <c r="F5766" t="s">
        <v>1915</v>
      </c>
      <c r="G5766" t="s">
        <v>6878</v>
      </c>
      <c r="H5766">
        <v>22408</v>
      </c>
      <c r="I5766" t="s">
        <v>423</v>
      </c>
      <c r="J5766" t="s">
        <v>4140</v>
      </c>
      <c r="K5766" t="s">
        <v>1918</v>
      </c>
      <c r="L5766" t="s">
        <v>1919</v>
      </c>
      <c r="M5766">
        <v>1</v>
      </c>
      <c r="N5766">
        <v>25.01</v>
      </c>
      <c r="O5766">
        <v>2415.4699999999998</v>
      </c>
      <c r="P5766">
        <v>0</v>
      </c>
      <c r="Q5766">
        <v>2415.4699999999998</v>
      </c>
      <c r="R5766">
        <v>386.47</v>
      </c>
      <c r="S5766">
        <v>96.62</v>
      </c>
      <c r="T5766">
        <v>2705.32</v>
      </c>
      <c r="U5766" t="s">
        <v>1924</v>
      </c>
      <c r="V5766" t="s">
        <v>9408</v>
      </c>
      <c r="W5766" t="s">
        <v>423</v>
      </c>
    </row>
    <row r="5767" spans="1:23" hidden="1" x14ac:dyDescent="0.2">
      <c r="A5767">
        <v>2012</v>
      </c>
      <c r="B5767" t="s">
        <v>305</v>
      </c>
      <c r="C5767" s="733">
        <v>40969</v>
      </c>
      <c r="D576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767" t="s">
        <v>505</v>
      </c>
      <c r="F5767" t="s">
        <v>1915</v>
      </c>
      <c r="G5767" t="s">
        <v>9482</v>
      </c>
      <c r="H5767">
        <v>23119</v>
      </c>
      <c r="I5767" t="s">
        <v>423</v>
      </c>
      <c r="J5767" t="s">
        <v>4140</v>
      </c>
      <c r="K5767" t="s">
        <v>1918</v>
      </c>
      <c r="L5767" t="s">
        <v>1919</v>
      </c>
      <c r="M5767">
        <v>1</v>
      </c>
      <c r="N5767">
        <v>24.79</v>
      </c>
      <c r="O5767">
        <v>2394.2199999999998</v>
      </c>
      <c r="P5767">
        <v>0</v>
      </c>
      <c r="Q5767">
        <v>2394.2199999999998</v>
      </c>
      <c r="R5767">
        <v>383.07</v>
      </c>
      <c r="S5767">
        <v>95.77</v>
      </c>
      <c r="T5767">
        <v>2681.52</v>
      </c>
      <c r="V5767" t="s">
        <v>9408</v>
      </c>
      <c r="W5767" t="s">
        <v>423</v>
      </c>
    </row>
    <row r="5768" spans="1:23" hidden="1" x14ac:dyDescent="0.2">
      <c r="A5768">
        <v>2012</v>
      </c>
      <c r="B5768" t="s">
        <v>304</v>
      </c>
      <c r="C5768" s="733">
        <v>40962</v>
      </c>
      <c r="D57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68" t="s">
        <v>485</v>
      </c>
      <c r="F5768" t="s">
        <v>2048</v>
      </c>
      <c r="G5768" t="s">
        <v>8602</v>
      </c>
      <c r="H5768">
        <v>42489</v>
      </c>
      <c r="I5768" t="s">
        <v>423</v>
      </c>
      <c r="J5768" t="s">
        <v>2274</v>
      </c>
      <c r="K5768" t="s">
        <v>2051</v>
      </c>
      <c r="L5768" t="s">
        <v>2052</v>
      </c>
      <c r="M5768">
        <v>573</v>
      </c>
      <c r="N5768">
        <v>50.4</v>
      </c>
      <c r="O5768">
        <v>16354.8</v>
      </c>
      <c r="P5768">
        <v>0</v>
      </c>
      <c r="Q5768">
        <v>16354.8</v>
      </c>
      <c r="R5768">
        <v>2616.77</v>
      </c>
      <c r="S5768">
        <v>654.19000000000005</v>
      </c>
      <c r="T5768">
        <v>18317.38</v>
      </c>
      <c r="U5768" t="s">
        <v>8780</v>
      </c>
      <c r="V5768" t="s">
        <v>9409</v>
      </c>
      <c r="W5768" t="s">
        <v>423</v>
      </c>
    </row>
    <row r="5769" spans="1:23" hidden="1" x14ac:dyDescent="0.2">
      <c r="A5769">
        <v>2012</v>
      </c>
      <c r="B5769" t="s">
        <v>304</v>
      </c>
      <c r="C5769" s="733">
        <v>40946</v>
      </c>
      <c r="D57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69" t="s">
        <v>485</v>
      </c>
      <c r="F5769" t="s">
        <v>2048</v>
      </c>
      <c r="G5769" t="s">
        <v>2364</v>
      </c>
      <c r="H5769">
        <v>41493</v>
      </c>
      <c r="I5769" t="s">
        <v>423</v>
      </c>
      <c r="J5769" t="s">
        <v>2274</v>
      </c>
      <c r="K5769" t="s">
        <v>2051</v>
      </c>
      <c r="L5769" t="s">
        <v>2052</v>
      </c>
      <c r="M5769">
        <v>573</v>
      </c>
      <c r="N5769">
        <v>26</v>
      </c>
      <c r="O5769">
        <v>8437</v>
      </c>
      <c r="P5769">
        <v>0</v>
      </c>
      <c r="Q5769">
        <v>8437</v>
      </c>
      <c r="R5769">
        <v>1349.92</v>
      </c>
      <c r="S5769">
        <v>337.48</v>
      </c>
      <c r="T5769">
        <v>9449.44</v>
      </c>
      <c r="U5769" t="s">
        <v>7568</v>
      </c>
      <c r="V5769" t="s">
        <v>9409</v>
      </c>
      <c r="W5769" t="s">
        <v>423</v>
      </c>
    </row>
    <row r="5770" spans="1:23" hidden="1" x14ac:dyDescent="0.2">
      <c r="A5770">
        <v>2012</v>
      </c>
      <c r="B5770" t="s">
        <v>303</v>
      </c>
      <c r="C5770" s="733">
        <v>40938</v>
      </c>
      <c r="D57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70" t="s">
        <v>485</v>
      </c>
      <c r="F5770" t="s">
        <v>2084</v>
      </c>
      <c r="G5770" t="s">
        <v>5207</v>
      </c>
      <c r="H5770">
        <v>40796</v>
      </c>
      <c r="I5770" t="s">
        <v>423</v>
      </c>
      <c r="J5770" t="s">
        <v>2813</v>
      </c>
      <c r="K5770" t="s">
        <v>2814</v>
      </c>
      <c r="L5770" t="s">
        <v>2815</v>
      </c>
      <c r="M5770">
        <v>365</v>
      </c>
      <c r="N5770">
        <v>23.558</v>
      </c>
      <c r="O5770">
        <v>6341.34</v>
      </c>
      <c r="P5770">
        <v>0</v>
      </c>
      <c r="Q5770">
        <v>6341.34</v>
      </c>
      <c r="R5770">
        <v>1014.61</v>
      </c>
      <c r="S5770">
        <v>253.65</v>
      </c>
      <c r="T5770">
        <v>7102.3</v>
      </c>
      <c r="U5770" t="s">
        <v>2826</v>
      </c>
      <c r="V5770" t="s">
        <v>9408</v>
      </c>
      <c r="W5770" t="s">
        <v>423</v>
      </c>
    </row>
    <row r="5771" spans="1:23" hidden="1" x14ac:dyDescent="0.2">
      <c r="A5771">
        <v>2012</v>
      </c>
      <c r="B5771" t="s">
        <v>303</v>
      </c>
      <c r="C5771" s="733">
        <v>40926</v>
      </c>
      <c r="D57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71" t="s">
        <v>485</v>
      </c>
      <c r="F5771" t="s">
        <v>2065</v>
      </c>
      <c r="G5771" t="s">
        <v>5208</v>
      </c>
      <c r="H5771">
        <v>40268</v>
      </c>
      <c r="I5771" t="s">
        <v>423</v>
      </c>
      <c r="J5771" t="s">
        <v>2813</v>
      </c>
      <c r="K5771" t="s">
        <v>2814</v>
      </c>
      <c r="L5771" t="s">
        <v>2815</v>
      </c>
      <c r="M5771">
        <v>365</v>
      </c>
      <c r="N5771">
        <v>23.646000000000001</v>
      </c>
      <c r="O5771">
        <v>6365.03</v>
      </c>
      <c r="P5771">
        <v>0</v>
      </c>
      <c r="Q5771">
        <v>6365.03</v>
      </c>
      <c r="R5771">
        <v>1018.4</v>
      </c>
      <c r="S5771">
        <v>254.6</v>
      </c>
      <c r="T5771">
        <v>7128.83</v>
      </c>
      <c r="U5771" t="s">
        <v>2824</v>
      </c>
      <c r="V5771" t="s">
        <v>9408</v>
      </c>
      <c r="W5771" t="s">
        <v>423</v>
      </c>
    </row>
    <row r="5772" spans="1:23" hidden="1" x14ac:dyDescent="0.2">
      <c r="A5772">
        <v>2012</v>
      </c>
      <c r="B5772" t="s">
        <v>304</v>
      </c>
      <c r="C5772" s="733">
        <v>40940</v>
      </c>
      <c r="D57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72" t="s">
        <v>485</v>
      </c>
      <c r="F5772" t="s">
        <v>2136</v>
      </c>
      <c r="G5772" t="s">
        <v>6891</v>
      </c>
      <c r="H5772">
        <v>41157</v>
      </c>
      <c r="I5772" t="s">
        <v>423</v>
      </c>
      <c r="J5772" t="s">
        <v>5277</v>
      </c>
      <c r="K5772" t="s">
        <v>2102</v>
      </c>
      <c r="L5772" t="s">
        <v>2115</v>
      </c>
      <c r="M5772">
        <v>1156</v>
      </c>
      <c r="N5772">
        <v>25.63</v>
      </c>
      <c r="O5772">
        <v>18240.87</v>
      </c>
      <c r="P5772">
        <v>0</v>
      </c>
      <c r="Q5772">
        <v>18240.87</v>
      </c>
      <c r="R5772">
        <v>2918.54</v>
      </c>
      <c r="S5772">
        <v>729.63</v>
      </c>
      <c r="T5772">
        <v>20429.78</v>
      </c>
      <c r="U5772" t="s">
        <v>2110</v>
      </c>
      <c r="V5772" t="s">
        <v>9408</v>
      </c>
      <c r="W5772" t="s">
        <v>423</v>
      </c>
    </row>
    <row r="5773" spans="1:23" hidden="1" x14ac:dyDescent="0.2">
      <c r="A5773">
        <v>2012</v>
      </c>
      <c r="B5773" t="s">
        <v>304</v>
      </c>
      <c r="C5773" s="733">
        <v>40941</v>
      </c>
      <c r="D57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73" t="s">
        <v>485</v>
      </c>
      <c r="F5773" t="s">
        <v>2048</v>
      </c>
      <c r="G5773" t="s">
        <v>3617</v>
      </c>
      <c r="H5773">
        <v>41313</v>
      </c>
      <c r="I5773" t="s">
        <v>423</v>
      </c>
      <c r="J5773" t="s">
        <v>2050</v>
      </c>
      <c r="K5773" t="s">
        <v>2051</v>
      </c>
      <c r="L5773" t="s">
        <v>2052</v>
      </c>
      <c r="M5773">
        <v>90</v>
      </c>
      <c r="N5773">
        <v>49.2</v>
      </c>
      <c r="O5773">
        <v>6903.25</v>
      </c>
      <c r="P5773">
        <v>0</v>
      </c>
      <c r="Q5773">
        <v>6903.25</v>
      </c>
      <c r="R5773">
        <v>1104.52</v>
      </c>
      <c r="S5773">
        <v>276.13</v>
      </c>
      <c r="T5773">
        <v>7731.64</v>
      </c>
      <c r="U5773" t="s">
        <v>2067</v>
      </c>
      <c r="V5773" t="s">
        <v>9409</v>
      </c>
      <c r="W5773" t="s">
        <v>423</v>
      </c>
    </row>
    <row r="5774" spans="1:23" x14ac:dyDescent="0.2">
      <c r="A5774">
        <v>2012</v>
      </c>
      <c r="B5774" t="s">
        <v>304</v>
      </c>
      <c r="C5774" s="733">
        <v>40967</v>
      </c>
      <c r="D57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74" t="s">
        <v>485</v>
      </c>
      <c r="F5774" t="s">
        <v>2048</v>
      </c>
      <c r="G5774" t="s">
        <v>9003</v>
      </c>
      <c r="H5774">
        <v>42597</v>
      </c>
      <c r="I5774" t="s">
        <v>423</v>
      </c>
      <c r="J5774" t="s">
        <v>2050</v>
      </c>
      <c r="K5774" t="s">
        <v>2051</v>
      </c>
      <c r="L5774" t="s">
        <v>2052</v>
      </c>
      <c r="M5774">
        <v>90</v>
      </c>
      <c r="N5774">
        <v>50.95</v>
      </c>
      <c r="O5774">
        <v>7148.79</v>
      </c>
      <c r="P5774">
        <v>0</v>
      </c>
      <c r="Q5774">
        <v>7148.79</v>
      </c>
      <c r="R5774">
        <v>1143.81</v>
      </c>
      <c r="S5774">
        <v>285.95</v>
      </c>
      <c r="T5774">
        <v>8006.65</v>
      </c>
      <c r="V5774" t="s">
        <v>9409</v>
      </c>
      <c r="W5774" t="s">
        <v>423</v>
      </c>
    </row>
    <row r="5775" spans="1:23" x14ac:dyDescent="0.2">
      <c r="A5775">
        <v>2012</v>
      </c>
      <c r="B5775" t="s">
        <v>304</v>
      </c>
      <c r="C5775" s="733">
        <v>40967</v>
      </c>
      <c r="D57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75" t="s">
        <v>485</v>
      </c>
      <c r="F5775" t="s">
        <v>2065</v>
      </c>
      <c r="G5775" t="s">
        <v>8836</v>
      </c>
      <c r="H5775">
        <v>41892</v>
      </c>
      <c r="I5775" t="s">
        <v>423</v>
      </c>
      <c r="J5775" t="s">
        <v>5471</v>
      </c>
      <c r="K5775" t="s">
        <v>2183</v>
      </c>
      <c r="L5775" t="s">
        <v>2184</v>
      </c>
      <c r="M5775">
        <v>690</v>
      </c>
      <c r="N5775">
        <v>25.74</v>
      </c>
      <c r="O5775">
        <v>11425.73</v>
      </c>
      <c r="P5775">
        <v>0</v>
      </c>
      <c r="Q5775">
        <v>11425.73</v>
      </c>
      <c r="R5775">
        <v>1828.12</v>
      </c>
      <c r="S5775">
        <v>457.03</v>
      </c>
      <c r="T5775">
        <v>12796.82</v>
      </c>
      <c r="V5775" t="s">
        <v>9408</v>
      </c>
      <c r="W5775" t="s">
        <v>423</v>
      </c>
    </row>
    <row r="5776" spans="1:23" hidden="1" x14ac:dyDescent="0.2">
      <c r="A5776">
        <v>2012</v>
      </c>
      <c r="B5776" t="s">
        <v>304</v>
      </c>
      <c r="C5776" s="733">
        <v>40949.439710648148</v>
      </c>
      <c r="D57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76" t="s">
        <v>485</v>
      </c>
      <c r="F5776" t="s">
        <v>2054</v>
      </c>
      <c r="G5776" t="s">
        <v>4963</v>
      </c>
      <c r="H5776">
        <v>10370</v>
      </c>
      <c r="I5776" t="s">
        <v>423</v>
      </c>
      <c r="J5776" t="s">
        <v>2056</v>
      </c>
      <c r="K5776" t="s">
        <v>2057</v>
      </c>
      <c r="L5776" t="s">
        <v>2058</v>
      </c>
      <c r="M5776">
        <v>19</v>
      </c>
      <c r="N5776">
        <v>47.55</v>
      </c>
      <c r="O5776">
        <v>5366.97</v>
      </c>
      <c r="P5776">
        <v>0</v>
      </c>
      <c r="Q5776">
        <v>5366.97</v>
      </c>
      <c r="R5776">
        <v>590.37</v>
      </c>
      <c r="S5776">
        <v>214.68</v>
      </c>
      <c r="T5776">
        <v>5742.66</v>
      </c>
      <c r="U5776" t="s">
        <v>2082</v>
      </c>
      <c r="V5776" t="s">
        <v>9409</v>
      </c>
      <c r="W5776" t="s">
        <v>423</v>
      </c>
    </row>
    <row r="5777" spans="1:23" hidden="1" x14ac:dyDescent="0.2">
      <c r="A5777">
        <v>2012</v>
      </c>
      <c r="B5777" t="s">
        <v>304</v>
      </c>
      <c r="C5777" s="733">
        <v>40954</v>
      </c>
      <c r="D57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77" t="s">
        <v>478</v>
      </c>
      <c r="F5777" t="s">
        <v>2622</v>
      </c>
      <c r="G5777" t="s">
        <v>7856</v>
      </c>
      <c r="H5777">
        <v>35585</v>
      </c>
      <c r="I5777" t="s">
        <v>423</v>
      </c>
      <c r="J5777" t="s">
        <v>2662</v>
      </c>
      <c r="K5777" t="s">
        <v>2625</v>
      </c>
      <c r="L5777" t="s">
        <v>2626</v>
      </c>
      <c r="M5777">
        <v>66</v>
      </c>
      <c r="N5777">
        <v>25.83</v>
      </c>
      <c r="O5777">
        <v>3012.81</v>
      </c>
      <c r="P5777">
        <v>0</v>
      </c>
      <c r="Q5777">
        <v>3012.81</v>
      </c>
      <c r="R5777">
        <v>482.05</v>
      </c>
      <c r="S5777">
        <v>120.51</v>
      </c>
      <c r="T5777">
        <v>3374.35</v>
      </c>
      <c r="U5777" t="s">
        <v>7548</v>
      </c>
      <c r="V5777" t="s">
        <v>9408</v>
      </c>
      <c r="W5777" t="s">
        <v>423</v>
      </c>
    </row>
    <row r="5778" spans="1:23" hidden="1" x14ac:dyDescent="0.2">
      <c r="A5778">
        <v>2012</v>
      </c>
      <c r="B5778" t="s">
        <v>304</v>
      </c>
      <c r="C5778" s="733">
        <v>40960.433136574073</v>
      </c>
      <c r="D57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78" t="s">
        <v>478</v>
      </c>
      <c r="F5778" t="s">
        <v>2622</v>
      </c>
      <c r="G5778" t="s">
        <v>8451</v>
      </c>
      <c r="H5778">
        <v>35846</v>
      </c>
      <c r="I5778" t="s">
        <v>423</v>
      </c>
      <c r="J5778" t="s">
        <v>2662</v>
      </c>
      <c r="K5778" t="s">
        <v>2625</v>
      </c>
      <c r="L5778" t="s">
        <v>2626</v>
      </c>
      <c r="M5778">
        <v>66</v>
      </c>
      <c r="N5778">
        <v>23.71</v>
      </c>
      <c r="O5778">
        <v>2791.38</v>
      </c>
      <c r="P5778">
        <v>0</v>
      </c>
      <c r="Q5778">
        <v>2791.38</v>
      </c>
      <c r="R5778">
        <v>446.62</v>
      </c>
      <c r="S5778">
        <v>111.66</v>
      </c>
      <c r="T5778">
        <v>3126.34</v>
      </c>
      <c r="V5778" t="s">
        <v>9408</v>
      </c>
      <c r="W5778" t="s">
        <v>423</v>
      </c>
    </row>
    <row r="5779" spans="1:23" hidden="1" x14ac:dyDescent="0.2">
      <c r="A5779">
        <v>2012</v>
      </c>
      <c r="B5779" t="s">
        <v>304</v>
      </c>
      <c r="C5779" s="733">
        <v>40954</v>
      </c>
      <c r="D57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79" t="s">
        <v>478</v>
      </c>
      <c r="F5779" t="s">
        <v>2622</v>
      </c>
      <c r="G5779" t="s">
        <v>7925</v>
      </c>
      <c r="H5779">
        <v>35631</v>
      </c>
      <c r="I5779" t="s">
        <v>423</v>
      </c>
      <c r="J5779" t="s">
        <v>2662</v>
      </c>
      <c r="K5779" t="s">
        <v>2625</v>
      </c>
      <c r="L5779" t="s">
        <v>2626</v>
      </c>
      <c r="M5779">
        <v>66</v>
      </c>
      <c r="N5779">
        <v>26.32</v>
      </c>
      <c r="O5779">
        <v>3098.65</v>
      </c>
      <c r="P5779">
        <v>0</v>
      </c>
      <c r="Q5779">
        <v>3098.65</v>
      </c>
      <c r="R5779">
        <v>495.78</v>
      </c>
      <c r="S5779">
        <v>123.95</v>
      </c>
      <c r="T5779">
        <v>3470.48</v>
      </c>
      <c r="U5779" t="s">
        <v>8267</v>
      </c>
      <c r="V5779" t="s">
        <v>9408</v>
      </c>
      <c r="W5779" t="s">
        <v>423</v>
      </c>
    </row>
    <row r="5780" spans="1:23" hidden="1" x14ac:dyDescent="0.2">
      <c r="A5780">
        <v>2012</v>
      </c>
      <c r="B5780" t="s">
        <v>304</v>
      </c>
      <c r="C5780" s="733">
        <v>40967.423171296294</v>
      </c>
      <c r="D57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80" t="s">
        <v>478</v>
      </c>
      <c r="F5780" t="s">
        <v>2136</v>
      </c>
      <c r="G5780" t="s">
        <v>9365</v>
      </c>
      <c r="H5780">
        <v>36141</v>
      </c>
      <c r="I5780" t="s">
        <v>423</v>
      </c>
      <c r="J5780" t="s">
        <v>2662</v>
      </c>
      <c r="K5780" t="s">
        <v>2625</v>
      </c>
      <c r="L5780" t="s">
        <v>2626</v>
      </c>
      <c r="M5780">
        <v>66</v>
      </c>
      <c r="N5780">
        <v>26.3</v>
      </c>
      <c r="O5780">
        <v>3096.3</v>
      </c>
      <c r="P5780">
        <v>0</v>
      </c>
      <c r="Q5780">
        <v>3096.3</v>
      </c>
      <c r="R5780">
        <v>495.41</v>
      </c>
      <c r="S5780">
        <v>123.85</v>
      </c>
      <c r="T5780">
        <v>3467.86</v>
      </c>
      <c r="U5780" t="s">
        <v>9428</v>
      </c>
      <c r="V5780" t="s">
        <v>9408</v>
      </c>
      <c r="W5780" t="s">
        <v>423</v>
      </c>
    </row>
    <row r="5781" spans="1:23" hidden="1" x14ac:dyDescent="0.2">
      <c r="A5781">
        <v>2012</v>
      </c>
      <c r="B5781" t="s">
        <v>305</v>
      </c>
      <c r="C5781" s="733">
        <v>40970.947500000002</v>
      </c>
      <c r="D5781" s="733" t="str">
        <f>CHOOSE(MONTH(Tabla_sqldatos_bonampakdb_Bon_v_ingresos2012[[#This Row],[fecha_guia]]),"Enero","Febrero","Marzo","Abril","Mayo","Junio","Julio","Agosto","Septiembre","Octubre","Noviembre","Diciembre")</f>
        <v>Marzo</v>
      </c>
      <c r="E5781" t="s">
        <v>478</v>
      </c>
      <c r="F5781" t="s">
        <v>2622</v>
      </c>
      <c r="G5781" t="s">
        <v>9749</v>
      </c>
      <c r="H5781">
        <v>36283</v>
      </c>
      <c r="I5781" t="s">
        <v>423</v>
      </c>
      <c r="J5781" t="s">
        <v>2662</v>
      </c>
      <c r="K5781" t="s">
        <v>2625</v>
      </c>
      <c r="L5781" t="s">
        <v>2626</v>
      </c>
      <c r="M5781">
        <v>66</v>
      </c>
      <c r="N5781">
        <v>22.73</v>
      </c>
      <c r="O5781">
        <v>2676</v>
      </c>
      <c r="P5781">
        <v>0</v>
      </c>
      <c r="Q5781">
        <v>2676</v>
      </c>
      <c r="R5781">
        <v>428.16</v>
      </c>
      <c r="S5781">
        <v>107.04</v>
      </c>
      <c r="T5781">
        <v>2997.12</v>
      </c>
      <c r="V5781" t="s">
        <v>9408</v>
      </c>
      <c r="W5781" t="s">
        <v>423</v>
      </c>
    </row>
    <row r="5782" spans="1:23" hidden="1" x14ac:dyDescent="0.2">
      <c r="A5782">
        <v>2012</v>
      </c>
      <c r="B5782" t="s">
        <v>303</v>
      </c>
      <c r="C5782" s="733">
        <v>40911.683622685188</v>
      </c>
      <c r="D57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82" t="s">
        <v>478</v>
      </c>
      <c r="F5782" t="s">
        <v>2136</v>
      </c>
      <c r="G5782" t="s">
        <v>4862</v>
      </c>
      <c r="H5782">
        <v>34198</v>
      </c>
      <c r="I5782" t="s">
        <v>423</v>
      </c>
      <c r="J5782" t="s">
        <v>2662</v>
      </c>
      <c r="K5782" t="s">
        <v>2625</v>
      </c>
      <c r="L5782" t="s">
        <v>2626</v>
      </c>
      <c r="M5782">
        <v>66</v>
      </c>
      <c r="N5782">
        <v>23.95</v>
      </c>
      <c r="O5782">
        <v>1396.76</v>
      </c>
      <c r="P5782">
        <v>1126.78026</v>
      </c>
      <c r="Q5782">
        <v>2523.5402600000002</v>
      </c>
      <c r="R5782">
        <v>403.76644199999998</v>
      </c>
      <c r="S5782">
        <v>100.94161</v>
      </c>
      <c r="T5782">
        <v>2826.365092</v>
      </c>
      <c r="U5782" t="s">
        <v>2665</v>
      </c>
      <c r="V5782" t="s">
        <v>9408</v>
      </c>
      <c r="W5782" t="s">
        <v>423</v>
      </c>
    </row>
    <row r="5783" spans="1:23" hidden="1" x14ac:dyDescent="0.2">
      <c r="A5783">
        <v>2012</v>
      </c>
      <c r="B5783" t="s">
        <v>303</v>
      </c>
      <c r="C5783" s="733">
        <v>40911.686435185184</v>
      </c>
      <c r="D57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83" t="s">
        <v>478</v>
      </c>
      <c r="F5783" t="s">
        <v>2136</v>
      </c>
      <c r="G5783" t="s">
        <v>4863</v>
      </c>
      <c r="H5783">
        <v>34201</v>
      </c>
      <c r="I5783" t="s">
        <v>423</v>
      </c>
      <c r="J5783" t="s">
        <v>2662</v>
      </c>
      <c r="K5783" t="s">
        <v>2625</v>
      </c>
      <c r="L5783" t="s">
        <v>2626</v>
      </c>
      <c r="M5783">
        <v>66</v>
      </c>
      <c r="N5783">
        <v>20.73</v>
      </c>
      <c r="O5783">
        <v>1208.97</v>
      </c>
      <c r="P5783">
        <v>975.28818899999999</v>
      </c>
      <c r="Q5783">
        <v>2184.2581890000001</v>
      </c>
      <c r="R5783">
        <v>349.48131000000001</v>
      </c>
      <c r="S5783">
        <v>87.370328000000001</v>
      </c>
      <c r="T5783">
        <v>2446.3691709999998</v>
      </c>
      <c r="U5783" t="s">
        <v>9215</v>
      </c>
      <c r="V5783" t="s">
        <v>9408</v>
      </c>
      <c r="W5783" t="s">
        <v>423</v>
      </c>
    </row>
    <row r="5784" spans="1:23" hidden="1" x14ac:dyDescent="0.2">
      <c r="A5784">
        <v>2012</v>
      </c>
      <c r="B5784" t="s">
        <v>303</v>
      </c>
      <c r="C5784" s="733">
        <v>40922</v>
      </c>
      <c r="D57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84" t="s">
        <v>478</v>
      </c>
      <c r="F5784" t="s">
        <v>2136</v>
      </c>
      <c r="G5784" t="s">
        <v>5187</v>
      </c>
      <c r="H5784">
        <v>34488</v>
      </c>
      <c r="I5784" t="s">
        <v>423</v>
      </c>
      <c r="J5784" t="s">
        <v>3636</v>
      </c>
      <c r="K5784" t="s">
        <v>425</v>
      </c>
      <c r="L5784" t="s">
        <v>2145</v>
      </c>
      <c r="M5784">
        <v>244</v>
      </c>
      <c r="N5784">
        <v>21.85</v>
      </c>
      <c r="O5784">
        <v>3649.39</v>
      </c>
      <c r="P5784">
        <v>0</v>
      </c>
      <c r="Q5784">
        <v>3649.39</v>
      </c>
      <c r="R5784">
        <v>583.9</v>
      </c>
      <c r="S5784">
        <v>145.97999999999999</v>
      </c>
      <c r="T5784">
        <v>4087.31</v>
      </c>
      <c r="U5784" t="s">
        <v>2146</v>
      </c>
      <c r="V5784" t="s">
        <v>9408</v>
      </c>
      <c r="W5784" t="s">
        <v>423</v>
      </c>
    </row>
    <row r="5785" spans="1:23" hidden="1" x14ac:dyDescent="0.2">
      <c r="A5785">
        <v>2012</v>
      </c>
      <c r="B5785" t="s">
        <v>303</v>
      </c>
      <c r="C5785" s="733">
        <v>40927.665000000001</v>
      </c>
      <c r="D57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85" t="s">
        <v>485</v>
      </c>
      <c r="F5785" t="s">
        <v>2054</v>
      </c>
      <c r="G5785" t="s">
        <v>4958</v>
      </c>
      <c r="H5785">
        <v>10131</v>
      </c>
      <c r="I5785" t="s">
        <v>423</v>
      </c>
      <c r="J5785" t="s">
        <v>4078</v>
      </c>
      <c r="K5785" t="s">
        <v>2057</v>
      </c>
      <c r="L5785" t="s">
        <v>2058</v>
      </c>
      <c r="M5785">
        <v>154</v>
      </c>
      <c r="N5785">
        <v>24.75</v>
      </c>
      <c r="O5785">
        <v>4170.87</v>
      </c>
      <c r="P5785">
        <v>0</v>
      </c>
      <c r="Q5785">
        <v>4170.87</v>
      </c>
      <c r="R5785">
        <v>667.34</v>
      </c>
      <c r="S5785">
        <v>166.83</v>
      </c>
      <c r="T5785">
        <v>4671.38</v>
      </c>
      <c r="U5785" t="s">
        <v>2077</v>
      </c>
      <c r="V5785" t="s">
        <v>9408</v>
      </c>
      <c r="W5785" t="s">
        <v>423</v>
      </c>
    </row>
    <row r="5786" spans="1:23" hidden="1" x14ac:dyDescent="0.2">
      <c r="A5786">
        <v>2012</v>
      </c>
      <c r="B5786" t="s">
        <v>304</v>
      </c>
      <c r="C5786" s="733">
        <v>40957</v>
      </c>
      <c r="D57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86" t="s">
        <v>505</v>
      </c>
      <c r="F5786" t="s">
        <v>1915</v>
      </c>
      <c r="G5786" t="s">
        <v>7542</v>
      </c>
      <c r="H5786">
        <v>22806</v>
      </c>
      <c r="I5786" t="s">
        <v>1979</v>
      </c>
      <c r="J5786" t="s">
        <v>1980</v>
      </c>
      <c r="K5786" t="s">
        <v>1918</v>
      </c>
      <c r="L5786" t="s">
        <v>1919</v>
      </c>
      <c r="M5786">
        <v>732</v>
      </c>
      <c r="N5786">
        <v>49.79</v>
      </c>
      <c r="O5786">
        <v>23540.71</v>
      </c>
      <c r="P5786">
        <v>0</v>
      </c>
      <c r="Q5786">
        <v>23540.71</v>
      </c>
      <c r="R5786">
        <v>3766.51</v>
      </c>
      <c r="S5786">
        <v>941.63</v>
      </c>
      <c r="T5786">
        <v>26365.59</v>
      </c>
      <c r="V5786" t="s">
        <v>9409</v>
      </c>
      <c r="W5786" t="s">
        <v>1979</v>
      </c>
    </row>
    <row r="5787" spans="1:23" hidden="1" x14ac:dyDescent="0.2">
      <c r="A5787">
        <v>2012</v>
      </c>
      <c r="B5787" t="s">
        <v>304</v>
      </c>
      <c r="C5787" s="733">
        <v>40959</v>
      </c>
      <c r="D57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87" t="s">
        <v>505</v>
      </c>
      <c r="F5787" t="s">
        <v>1915</v>
      </c>
      <c r="G5787" t="s">
        <v>7691</v>
      </c>
      <c r="H5787">
        <v>22865</v>
      </c>
      <c r="I5787" t="s">
        <v>1979</v>
      </c>
      <c r="J5787" t="s">
        <v>1980</v>
      </c>
      <c r="K5787" t="s">
        <v>1918</v>
      </c>
      <c r="L5787" t="s">
        <v>1919</v>
      </c>
      <c r="M5787">
        <v>732</v>
      </c>
      <c r="N5787">
        <v>49.76</v>
      </c>
      <c r="O5787">
        <v>23526.53</v>
      </c>
      <c r="P5787">
        <v>0</v>
      </c>
      <c r="Q5787">
        <v>23526.53</v>
      </c>
      <c r="R5787">
        <v>3764.24</v>
      </c>
      <c r="S5787">
        <v>941.06</v>
      </c>
      <c r="T5787">
        <v>26349.71</v>
      </c>
      <c r="U5787" t="s">
        <v>8491</v>
      </c>
      <c r="V5787" t="s">
        <v>9409</v>
      </c>
      <c r="W5787" t="s">
        <v>1979</v>
      </c>
    </row>
    <row r="5788" spans="1:23" hidden="1" x14ac:dyDescent="0.2">
      <c r="A5788">
        <v>2012</v>
      </c>
      <c r="B5788" t="s">
        <v>303</v>
      </c>
      <c r="C5788" s="733">
        <v>40911</v>
      </c>
      <c r="D57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88" t="s">
        <v>505</v>
      </c>
      <c r="F5788" t="s">
        <v>1915</v>
      </c>
      <c r="G5788" t="s">
        <v>5437</v>
      </c>
      <c r="H5788">
        <v>21622</v>
      </c>
      <c r="I5788" t="s">
        <v>423</v>
      </c>
      <c r="J5788" t="s">
        <v>1945</v>
      </c>
      <c r="K5788" t="s">
        <v>1918</v>
      </c>
      <c r="L5788" t="s">
        <v>1919</v>
      </c>
      <c r="M5788">
        <v>949</v>
      </c>
      <c r="N5788">
        <v>54.33</v>
      </c>
      <c r="O5788">
        <v>13161.99</v>
      </c>
      <c r="P5788">
        <v>14818.952921</v>
      </c>
      <c r="Q5788">
        <v>27980.942921000002</v>
      </c>
      <c r="R5788">
        <v>4476.9508669999996</v>
      </c>
      <c r="S5788">
        <v>1119.237717</v>
      </c>
      <c r="T5788">
        <v>31338.656071000001</v>
      </c>
      <c r="U5788" t="s">
        <v>1984</v>
      </c>
      <c r="V5788" t="s">
        <v>9409</v>
      </c>
      <c r="W5788" t="s">
        <v>423</v>
      </c>
    </row>
    <row r="5789" spans="1:23" hidden="1" x14ac:dyDescent="0.2">
      <c r="A5789">
        <v>2012</v>
      </c>
      <c r="B5789" t="s">
        <v>303</v>
      </c>
      <c r="C5789" s="733">
        <v>40935</v>
      </c>
      <c r="D57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89" t="s">
        <v>505</v>
      </c>
      <c r="F5789" t="s">
        <v>1915</v>
      </c>
      <c r="G5789" t="s">
        <v>2605</v>
      </c>
      <c r="H5789">
        <v>22282</v>
      </c>
      <c r="I5789" t="s">
        <v>423</v>
      </c>
      <c r="J5789" t="s">
        <v>1945</v>
      </c>
      <c r="K5789" t="s">
        <v>1918</v>
      </c>
      <c r="L5789" t="s">
        <v>1919</v>
      </c>
      <c r="M5789">
        <v>949</v>
      </c>
      <c r="N5789">
        <v>49.44</v>
      </c>
      <c r="O5789">
        <v>28448.27</v>
      </c>
      <c r="P5789">
        <v>0</v>
      </c>
      <c r="Q5789">
        <v>28448.27</v>
      </c>
      <c r="R5789">
        <v>4551.72</v>
      </c>
      <c r="S5789">
        <v>1137.93</v>
      </c>
      <c r="T5789">
        <v>31862.06</v>
      </c>
      <c r="U5789" t="s">
        <v>1926</v>
      </c>
      <c r="V5789" t="s">
        <v>9409</v>
      </c>
      <c r="W5789" t="s">
        <v>423</v>
      </c>
    </row>
    <row r="5790" spans="1:23" hidden="1" x14ac:dyDescent="0.2">
      <c r="A5790">
        <v>2012</v>
      </c>
      <c r="B5790" t="s">
        <v>303</v>
      </c>
      <c r="C5790" s="733">
        <v>40932.448530092595</v>
      </c>
      <c r="D57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90" t="s">
        <v>478</v>
      </c>
      <c r="F5790" t="s">
        <v>2622</v>
      </c>
      <c r="G5790" t="s">
        <v>4871</v>
      </c>
      <c r="H5790">
        <v>34889</v>
      </c>
      <c r="I5790" t="s">
        <v>423</v>
      </c>
      <c r="J5790" t="s">
        <v>2662</v>
      </c>
      <c r="K5790" t="s">
        <v>2625</v>
      </c>
      <c r="L5790" t="s">
        <v>2626</v>
      </c>
      <c r="M5790">
        <v>66</v>
      </c>
      <c r="N5790">
        <v>24</v>
      </c>
      <c r="O5790">
        <v>2825.52</v>
      </c>
      <c r="P5790">
        <v>0</v>
      </c>
      <c r="Q5790">
        <v>2825.52</v>
      </c>
      <c r="R5790">
        <v>452.08</v>
      </c>
      <c r="S5790">
        <v>113.02</v>
      </c>
      <c r="T5790">
        <v>3164.58</v>
      </c>
      <c r="U5790" t="s">
        <v>2633</v>
      </c>
      <c r="V5790" t="s">
        <v>9408</v>
      </c>
      <c r="W5790" t="s">
        <v>423</v>
      </c>
    </row>
    <row r="5791" spans="1:23" hidden="1" x14ac:dyDescent="0.2">
      <c r="A5791">
        <v>2012</v>
      </c>
      <c r="B5791" t="s">
        <v>303</v>
      </c>
      <c r="C5791" s="733">
        <v>40918</v>
      </c>
      <c r="D57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91" t="s">
        <v>478</v>
      </c>
      <c r="F5791" t="s">
        <v>2622</v>
      </c>
      <c r="G5791" t="s">
        <v>5188</v>
      </c>
      <c r="H5791">
        <v>34314</v>
      </c>
      <c r="I5791" t="s">
        <v>423</v>
      </c>
      <c r="J5791" t="s">
        <v>3636</v>
      </c>
      <c r="K5791" t="s">
        <v>425</v>
      </c>
      <c r="L5791" t="s">
        <v>2145</v>
      </c>
      <c r="M5791">
        <v>244</v>
      </c>
      <c r="N5791">
        <v>50.7</v>
      </c>
      <c r="O5791">
        <v>8467.91</v>
      </c>
      <c r="P5791">
        <v>0</v>
      </c>
      <c r="Q5791">
        <v>8467.91</v>
      </c>
      <c r="R5791">
        <v>1354.87</v>
      </c>
      <c r="S5791">
        <v>338.72</v>
      </c>
      <c r="T5791">
        <v>9484.06</v>
      </c>
      <c r="U5791" t="s">
        <v>2350</v>
      </c>
      <c r="V5791" t="s">
        <v>9409</v>
      </c>
      <c r="W5791" t="s">
        <v>423</v>
      </c>
    </row>
    <row r="5792" spans="1:23" hidden="1" x14ac:dyDescent="0.2">
      <c r="A5792">
        <v>2012</v>
      </c>
      <c r="B5792" t="s">
        <v>304</v>
      </c>
      <c r="C5792" s="733">
        <v>40964</v>
      </c>
      <c r="D57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92" t="s">
        <v>505</v>
      </c>
      <c r="F5792" t="s">
        <v>1915</v>
      </c>
      <c r="G5792" t="s">
        <v>8732</v>
      </c>
      <c r="H5792">
        <v>22920</v>
      </c>
      <c r="I5792" t="s">
        <v>423</v>
      </c>
      <c r="J5792" t="s">
        <v>1980</v>
      </c>
      <c r="K5792" t="s">
        <v>1918</v>
      </c>
      <c r="L5792" t="s">
        <v>1919</v>
      </c>
      <c r="M5792">
        <v>732</v>
      </c>
      <c r="N5792">
        <v>51.69</v>
      </c>
      <c r="O5792">
        <v>22671.23</v>
      </c>
      <c r="P5792">
        <v>0</v>
      </c>
      <c r="Q5792">
        <v>22671.23</v>
      </c>
      <c r="R5792">
        <v>3627.4</v>
      </c>
      <c r="S5792">
        <v>906.85</v>
      </c>
      <c r="T5792">
        <v>25391.78</v>
      </c>
      <c r="U5792" t="s">
        <v>9415</v>
      </c>
      <c r="V5792" t="s">
        <v>9409</v>
      </c>
      <c r="W5792" t="s">
        <v>423</v>
      </c>
    </row>
    <row r="5793" spans="1:23" hidden="1" x14ac:dyDescent="0.2">
      <c r="A5793">
        <v>2012</v>
      </c>
      <c r="B5793" t="s">
        <v>304</v>
      </c>
      <c r="C5793" s="733">
        <v>40954</v>
      </c>
      <c r="D57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93" t="s">
        <v>478</v>
      </c>
      <c r="F5793" t="s">
        <v>2622</v>
      </c>
      <c r="G5793" t="s">
        <v>7958</v>
      </c>
      <c r="H5793">
        <v>35637</v>
      </c>
      <c r="I5793" t="s">
        <v>423</v>
      </c>
      <c r="J5793" t="s">
        <v>2644</v>
      </c>
      <c r="K5793" t="s">
        <v>2625</v>
      </c>
      <c r="L5793" t="s">
        <v>2626</v>
      </c>
      <c r="M5793">
        <v>52</v>
      </c>
      <c r="N5793">
        <v>23.28</v>
      </c>
      <c r="O5793">
        <v>2740.75</v>
      </c>
      <c r="P5793">
        <v>0</v>
      </c>
      <c r="Q5793">
        <v>2740.75</v>
      </c>
      <c r="R5793">
        <v>438.52</v>
      </c>
      <c r="S5793">
        <v>109.63</v>
      </c>
      <c r="T5793">
        <v>3069.64</v>
      </c>
      <c r="U5793" t="s">
        <v>7548</v>
      </c>
      <c r="V5793" t="s">
        <v>9408</v>
      </c>
      <c r="W5793" t="s">
        <v>423</v>
      </c>
    </row>
    <row r="5794" spans="1:23" hidden="1" x14ac:dyDescent="0.2">
      <c r="A5794">
        <v>2012</v>
      </c>
      <c r="B5794" t="s">
        <v>304</v>
      </c>
      <c r="C5794" s="733">
        <v>40960</v>
      </c>
      <c r="D57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94" t="s">
        <v>478</v>
      </c>
      <c r="F5794" t="s">
        <v>2136</v>
      </c>
      <c r="G5794" t="s">
        <v>8452</v>
      </c>
      <c r="H5794">
        <v>35884</v>
      </c>
      <c r="I5794" t="s">
        <v>423</v>
      </c>
      <c r="J5794" t="s">
        <v>2644</v>
      </c>
      <c r="K5794" t="s">
        <v>2625</v>
      </c>
      <c r="L5794" t="s">
        <v>2626</v>
      </c>
      <c r="M5794">
        <v>52</v>
      </c>
      <c r="N5794">
        <v>24.94</v>
      </c>
      <c r="O5794">
        <v>2936.19</v>
      </c>
      <c r="P5794">
        <v>0</v>
      </c>
      <c r="Q5794">
        <v>2936.19</v>
      </c>
      <c r="R5794">
        <v>469.79</v>
      </c>
      <c r="S5794">
        <v>117.45</v>
      </c>
      <c r="T5794">
        <v>3288.53</v>
      </c>
      <c r="U5794" t="s">
        <v>8267</v>
      </c>
      <c r="V5794" t="s">
        <v>9408</v>
      </c>
      <c r="W5794" t="s">
        <v>423</v>
      </c>
    </row>
    <row r="5795" spans="1:23" hidden="1" x14ac:dyDescent="0.2">
      <c r="A5795">
        <v>2012</v>
      </c>
      <c r="B5795" t="s">
        <v>304</v>
      </c>
      <c r="C5795" s="733">
        <v>40967.421863425923</v>
      </c>
      <c r="D57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95" t="s">
        <v>478</v>
      </c>
      <c r="F5795" t="s">
        <v>2136</v>
      </c>
      <c r="G5795" t="s">
        <v>9370</v>
      </c>
      <c r="H5795">
        <v>36138</v>
      </c>
      <c r="I5795" t="s">
        <v>423</v>
      </c>
      <c r="J5795" t="s">
        <v>2644</v>
      </c>
      <c r="K5795" t="s">
        <v>2625</v>
      </c>
      <c r="L5795" t="s">
        <v>2626</v>
      </c>
      <c r="M5795">
        <v>52</v>
      </c>
      <c r="N5795">
        <v>23.67</v>
      </c>
      <c r="O5795">
        <v>2786.67</v>
      </c>
      <c r="P5795">
        <v>0</v>
      </c>
      <c r="Q5795">
        <v>2786.67</v>
      </c>
      <c r="R5795">
        <v>445.87</v>
      </c>
      <c r="S5795">
        <v>111.47</v>
      </c>
      <c r="T5795">
        <v>3121.07</v>
      </c>
      <c r="U5795" t="s">
        <v>9428</v>
      </c>
      <c r="V5795" t="s">
        <v>9408</v>
      </c>
      <c r="W5795" t="s">
        <v>423</v>
      </c>
    </row>
    <row r="5796" spans="1:23" hidden="1" x14ac:dyDescent="0.2">
      <c r="A5796">
        <v>2012</v>
      </c>
      <c r="B5796" t="s">
        <v>303</v>
      </c>
      <c r="C5796" s="733">
        <v>40919</v>
      </c>
      <c r="D57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96" t="s">
        <v>478</v>
      </c>
      <c r="F5796" t="s">
        <v>2136</v>
      </c>
      <c r="G5796" t="s">
        <v>5191</v>
      </c>
      <c r="H5796">
        <v>34309</v>
      </c>
      <c r="I5796" t="s">
        <v>423</v>
      </c>
      <c r="J5796" t="s">
        <v>3638</v>
      </c>
      <c r="K5796" t="s">
        <v>425</v>
      </c>
      <c r="L5796" t="s">
        <v>2145</v>
      </c>
      <c r="M5796">
        <v>1416</v>
      </c>
      <c r="N5796">
        <v>47.98</v>
      </c>
      <c r="O5796">
        <v>43507.78</v>
      </c>
      <c r="P5796">
        <v>0</v>
      </c>
      <c r="Q5796">
        <v>43507.78</v>
      </c>
      <c r="R5796">
        <v>6961.25</v>
      </c>
      <c r="S5796">
        <v>1740.31</v>
      </c>
      <c r="T5796">
        <v>48728.72</v>
      </c>
      <c r="U5796" t="s">
        <v>2350</v>
      </c>
      <c r="V5796" t="s">
        <v>9409</v>
      </c>
      <c r="W5796" t="s">
        <v>423</v>
      </c>
    </row>
    <row r="5797" spans="1:23" hidden="1" x14ac:dyDescent="0.2">
      <c r="A5797">
        <v>2012</v>
      </c>
      <c r="B5797" t="s">
        <v>304</v>
      </c>
      <c r="C5797" s="733">
        <v>40942</v>
      </c>
      <c r="D57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797" t="s">
        <v>478</v>
      </c>
      <c r="F5797" t="s">
        <v>2622</v>
      </c>
      <c r="G5797" t="s">
        <v>5189</v>
      </c>
      <c r="H5797">
        <v>35060</v>
      </c>
      <c r="I5797" t="s">
        <v>423</v>
      </c>
      <c r="J5797" t="s">
        <v>3638</v>
      </c>
      <c r="K5797" t="s">
        <v>425</v>
      </c>
      <c r="L5797" t="s">
        <v>2145</v>
      </c>
      <c r="M5797">
        <v>1416</v>
      </c>
      <c r="N5797">
        <v>56.81</v>
      </c>
      <c r="O5797">
        <v>51514.74</v>
      </c>
      <c r="P5797">
        <v>0</v>
      </c>
      <c r="Q5797">
        <v>51514.74</v>
      </c>
      <c r="R5797">
        <v>8242.36</v>
      </c>
      <c r="S5797">
        <v>2060.59</v>
      </c>
      <c r="T5797">
        <v>57696.51</v>
      </c>
      <c r="U5797" t="s">
        <v>3115</v>
      </c>
      <c r="V5797" t="s">
        <v>9409</v>
      </c>
      <c r="W5797" t="s">
        <v>423</v>
      </c>
    </row>
    <row r="5798" spans="1:23" hidden="1" x14ac:dyDescent="0.2">
      <c r="A5798">
        <v>2012</v>
      </c>
      <c r="B5798" t="s">
        <v>303</v>
      </c>
      <c r="C5798" s="733">
        <v>40912</v>
      </c>
      <c r="D57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98" t="s">
        <v>478</v>
      </c>
      <c r="F5798" t="s">
        <v>2136</v>
      </c>
      <c r="G5798" t="s">
        <v>5190</v>
      </c>
      <c r="H5798">
        <v>34117</v>
      </c>
      <c r="I5798" t="s">
        <v>423</v>
      </c>
      <c r="J5798" t="s">
        <v>3638</v>
      </c>
      <c r="K5798" t="s">
        <v>425</v>
      </c>
      <c r="L5798" t="s">
        <v>2145</v>
      </c>
      <c r="M5798">
        <v>1416</v>
      </c>
      <c r="N5798">
        <v>43.72</v>
      </c>
      <c r="O5798">
        <v>11126.74</v>
      </c>
      <c r="P5798">
        <v>24357.323999</v>
      </c>
      <c r="Q5798">
        <v>35484.063998999998</v>
      </c>
      <c r="R5798">
        <v>5677.4502400000001</v>
      </c>
      <c r="S5798">
        <v>1419.36256</v>
      </c>
      <c r="T5798">
        <v>39742.151679000002</v>
      </c>
      <c r="U5798" t="s">
        <v>3118</v>
      </c>
      <c r="V5798" t="s">
        <v>9409</v>
      </c>
      <c r="W5798" t="s">
        <v>423</v>
      </c>
    </row>
    <row r="5799" spans="1:23" hidden="1" x14ac:dyDescent="0.2">
      <c r="A5799">
        <v>2012</v>
      </c>
      <c r="B5799" t="s">
        <v>303</v>
      </c>
      <c r="C5799" s="733">
        <v>40928</v>
      </c>
      <c r="D57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799" t="s">
        <v>478</v>
      </c>
      <c r="F5799" t="s">
        <v>2136</v>
      </c>
      <c r="G5799" t="s">
        <v>5422</v>
      </c>
      <c r="H5799">
        <v>34751</v>
      </c>
      <c r="I5799" t="s">
        <v>423</v>
      </c>
      <c r="J5799" t="s">
        <v>4291</v>
      </c>
      <c r="K5799" t="s">
        <v>425</v>
      </c>
      <c r="L5799" t="s">
        <v>2145</v>
      </c>
      <c r="M5799">
        <v>163</v>
      </c>
      <c r="N5799">
        <v>25.51</v>
      </c>
      <c r="O5799">
        <v>4533.38</v>
      </c>
      <c r="P5799">
        <v>0</v>
      </c>
      <c r="Q5799">
        <v>4533.38</v>
      </c>
      <c r="R5799">
        <v>725.34</v>
      </c>
      <c r="S5799">
        <v>181.34</v>
      </c>
      <c r="T5799">
        <v>5077.38</v>
      </c>
      <c r="U5799" t="s">
        <v>2355</v>
      </c>
      <c r="V5799" t="s">
        <v>9408</v>
      </c>
      <c r="W5799" t="s">
        <v>423</v>
      </c>
    </row>
    <row r="5800" spans="1:23" hidden="1" x14ac:dyDescent="0.2">
      <c r="A5800">
        <v>2012</v>
      </c>
      <c r="B5800" t="s">
        <v>303</v>
      </c>
      <c r="C5800" s="733">
        <v>40922</v>
      </c>
      <c r="D58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00" t="s">
        <v>505</v>
      </c>
      <c r="F5800" t="s">
        <v>1915</v>
      </c>
      <c r="G5800" t="s">
        <v>2856</v>
      </c>
      <c r="H5800">
        <v>21966</v>
      </c>
      <c r="I5800" t="s">
        <v>424</v>
      </c>
      <c r="J5800" t="s">
        <v>1917</v>
      </c>
      <c r="K5800" t="s">
        <v>1918</v>
      </c>
      <c r="L5800" t="s">
        <v>1919</v>
      </c>
      <c r="M5800">
        <v>267</v>
      </c>
      <c r="N5800">
        <v>30</v>
      </c>
      <c r="O5800">
        <v>2929.97</v>
      </c>
      <c r="P5800">
        <v>1683.8244589999999</v>
      </c>
      <c r="Q5800">
        <v>4613.7944589999997</v>
      </c>
      <c r="R5800">
        <v>738.20711300000005</v>
      </c>
      <c r="S5800">
        <v>184.55177800000001</v>
      </c>
      <c r="T5800">
        <v>5167.4497940000001</v>
      </c>
      <c r="U5800" t="s">
        <v>1931</v>
      </c>
      <c r="V5800" t="s">
        <v>9408</v>
      </c>
      <c r="W5800" t="s">
        <v>424</v>
      </c>
    </row>
    <row r="5801" spans="1:23" hidden="1" x14ac:dyDescent="0.2">
      <c r="A5801">
        <v>2012</v>
      </c>
      <c r="B5801" t="s">
        <v>304</v>
      </c>
      <c r="C5801" s="733">
        <v>40949</v>
      </c>
      <c r="D58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01" t="s">
        <v>505</v>
      </c>
      <c r="F5801" t="s">
        <v>1915</v>
      </c>
      <c r="G5801" t="s">
        <v>2867</v>
      </c>
      <c r="H5801">
        <v>22670</v>
      </c>
      <c r="I5801" t="s">
        <v>424</v>
      </c>
      <c r="J5801" t="s">
        <v>1954</v>
      </c>
      <c r="K5801" t="s">
        <v>1918</v>
      </c>
      <c r="L5801" t="s">
        <v>1919</v>
      </c>
      <c r="M5801">
        <v>303</v>
      </c>
      <c r="N5801">
        <v>30</v>
      </c>
      <c r="O5801">
        <v>2314.83</v>
      </c>
      <c r="P5801">
        <v>1330.309653</v>
      </c>
      <c r="Q5801">
        <v>3645.1396530000002</v>
      </c>
      <c r="R5801">
        <v>583.22234400000002</v>
      </c>
      <c r="S5801">
        <v>145.80558600000001</v>
      </c>
      <c r="T5801">
        <v>4082.556411</v>
      </c>
      <c r="U5801" t="s">
        <v>1924</v>
      </c>
      <c r="V5801" t="s">
        <v>9408</v>
      </c>
      <c r="W5801" t="s">
        <v>424</v>
      </c>
    </row>
    <row r="5802" spans="1:23" hidden="1" x14ac:dyDescent="0.2">
      <c r="A5802">
        <v>2012</v>
      </c>
      <c r="B5802" t="s">
        <v>305</v>
      </c>
      <c r="C5802" s="733">
        <v>40970</v>
      </c>
      <c r="D5802" s="733" t="str">
        <f>CHOOSE(MONTH(Tabla_sqldatos_bonampakdb_Bon_v_ingresos2012[[#This Row],[fecha_guia]]),"Enero","Febrero","Marzo","Abril","Mayo","Junio","Julio","Agosto","Septiembre","Octubre","Noviembre","Diciembre")</f>
        <v>Marzo</v>
      </c>
      <c r="E5802" t="s">
        <v>485</v>
      </c>
      <c r="F5802" t="s">
        <v>2084</v>
      </c>
      <c r="G5802" t="s">
        <v>9750</v>
      </c>
      <c r="H5802">
        <v>42946</v>
      </c>
      <c r="I5802" t="s">
        <v>423</v>
      </c>
      <c r="J5802" t="s">
        <v>4770</v>
      </c>
      <c r="K5802" t="s">
        <v>2051</v>
      </c>
      <c r="L5802" t="s">
        <v>2052</v>
      </c>
      <c r="M5802">
        <v>599</v>
      </c>
      <c r="N5802">
        <v>27.1</v>
      </c>
      <c r="O5802">
        <v>9452.48</v>
      </c>
      <c r="P5802">
        <v>0</v>
      </c>
      <c r="Q5802">
        <v>9452.48</v>
      </c>
      <c r="R5802">
        <v>1512.4</v>
      </c>
      <c r="S5802">
        <v>378.1</v>
      </c>
      <c r="T5802">
        <v>10586.78</v>
      </c>
      <c r="V5802" t="s">
        <v>9408</v>
      </c>
      <c r="W5802" t="s">
        <v>423</v>
      </c>
    </row>
    <row r="5803" spans="1:23" hidden="1" x14ac:dyDescent="0.2">
      <c r="A5803">
        <v>2012</v>
      </c>
      <c r="B5803" t="s">
        <v>304</v>
      </c>
      <c r="C5803" s="733">
        <v>40953</v>
      </c>
      <c r="D58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03" t="s">
        <v>485</v>
      </c>
      <c r="F5803" t="s">
        <v>2065</v>
      </c>
      <c r="G5803" t="s">
        <v>4549</v>
      </c>
      <c r="H5803">
        <v>41880</v>
      </c>
      <c r="I5803" t="s">
        <v>423</v>
      </c>
      <c r="J5803" t="s">
        <v>4073</v>
      </c>
      <c r="K5803" t="s">
        <v>2051</v>
      </c>
      <c r="L5803" t="s">
        <v>2052</v>
      </c>
      <c r="M5803">
        <v>610</v>
      </c>
      <c r="N5803">
        <v>55.8</v>
      </c>
      <c r="O5803">
        <v>19780.54</v>
      </c>
      <c r="P5803">
        <v>0</v>
      </c>
      <c r="Q5803">
        <v>19780.54</v>
      </c>
      <c r="R5803">
        <v>3164.89</v>
      </c>
      <c r="S5803">
        <v>791.22</v>
      </c>
      <c r="T5803">
        <v>22154.21</v>
      </c>
      <c r="U5803" t="s">
        <v>8257</v>
      </c>
      <c r="V5803" t="s">
        <v>9409</v>
      </c>
      <c r="W5803" t="s">
        <v>423</v>
      </c>
    </row>
    <row r="5804" spans="1:23" hidden="1" x14ac:dyDescent="0.2">
      <c r="A5804">
        <v>2012</v>
      </c>
      <c r="B5804" t="s">
        <v>304</v>
      </c>
      <c r="C5804" s="733">
        <v>40968</v>
      </c>
      <c r="D58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04" t="s">
        <v>505</v>
      </c>
      <c r="F5804" t="s">
        <v>1915</v>
      </c>
      <c r="G5804" t="s">
        <v>8852</v>
      </c>
      <c r="H5804">
        <v>23075</v>
      </c>
      <c r="I5804" t="s">
        <v>424</v>
      </c>
      <c r="J5804" t="s">
        <v>1917</v>
      </c>
      <c r="K5804" t="s">
        <v>1918</v>
      </c>
      <c r="L5804" t="s">
        <v>1919</v>
      </c>
      <c r="M5804">
        <v>267</v>
      </c>
      <c r="N5804">
        <v>30</v>
      </c>
      <c r="O5804">
        <v>4613.7</v>
      </c>
      <c r="P5804">
        <v>0</v>
      </c>
      <c r="Q5804">
        <v>4613.7</v>
      </c>
      <c r="R5804">
        <v>738.19</v>
      </c>
      <c r="S5804">
        <v>184.55</v>
      </c>
      <c r="T5804">
        <v>5167.34</v>
      </c>
      <c r="V5804" t="s">
        <v>9408</v>
      </c>
      <c r="W5804" t="s">
        <v>424</v>
      </c>
    </row>
    <row r="5805" spans="1:23" hidden="1" x14ac:dyDescent="0.2">
      <c r="A5805">
        <v>2012</v>
      </c>
      <c r="B5805" t="s">
        <v>304</v>
      </c>
      <c r="C5805" s="733">
        <v>40941</v>
      </c>
      <c r="D58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05" t="s">
        <v>505</v>
      </c>
      <c r="F5805" t="s">
        <v>1915</v>
      </c>
      <c r="G5805" t="s">
        <v>4898</v>
      </c>
      <c r="H5805">
        <v>22437</v>
      </c>
      <c r="I5805" t="s">
        <v>423</v>
      </c>
      <c r="J5805" t="s">
        <v>1917</v>
      </c>
      <c r="K5805" t="s">
        <v>1918</v>
      </c>
      <c r="L5805" t="s">
        <v>1919</v>
      </c>
      <c r="M5805">
        <v>267</v>
      </c>
      <c r="N5805">
        <v>49.8</v>
      </c>
      <c r="O5805">
        <v>11197.03</v>
      </c>
      <c r="P5805">
        <v>0</v>
      </c>
      <c r="Q5805">
        <v>11197.03</v>
      </c>
      <c r="R5805">
        <v>1791.53</v>
      </c>
      <c r="S5805">
        <v>447.88</v>
      </c>
      <c r="T5805">
        <v>12540.68</v>
      </c>
      <c r="U5805" t="s">
        <v>1926</v>
      </c>
      <c r="V5805" t="s">
        <v>9409</v>
      </c>
      <c r="W5805" t="s">
        <v>423</v>
      </c>
    </row>
    <row r="5806" spans="1:23" hidden="1" x14ac:dyDescent="0.2">
      <c r="A5806">
        <v>2012</v>
      </c>
      <c r="B5806" t="s">
        <v>303</v>
      </c>
      <c r="C5806" s="733">
        <v>40932</v>
      </c>
      <c r="D58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06" t="s">
        <v>505</v>
      </c>
      <c r="F5806" t="s">
        <v>2065</v>
      </c>
      <c r="G5806" t="s">
        <v>2875</v>
      </c>
      <c r="H5806">
        <v>22195</v>
      </c>
      <c r="I5806" t="s">
        <v>424</v>
      </c>
      <c r="J5806" t="s">
        <v>1917</v>
      </c>
      <c r="K5806" t="s">
        <v>1918</v>
      </c>
      <c r="L5806" t="s">
        <v>1919</v>
      </c>
      <c r="M5806">
        <v>267</v>
      </c>
      <c r="N5806">
        <v>30</v>
      </c>
      <c r="O5806">
        <v>2929.97</v>
      </c>
      <c r="P5806">
        <v>1683.8244589999999</v>
      </c>
      <c r="Q5806">
        <v>4613.7944589999997</v>
      </c>
      <c r="R5806">
        <v>738.20711300000005</v>
      </c>
      <c r="S5806">
        <v>184.55177800000001</v>
      </c>
      <c r="T5806">
        <v>5167.4497940000001</v>
      </c>
      <c r="U5806" t="s">
        <v>1928</v>
      </c>
      <c r="V5806" t="s">
        <v>9408</v>
      </c>
      <c r="W5806" t="s">
        <v>424</v>
      </c>
    </row>
    <row r="5807" spans="1:23" hidden="1" x14ac:dyDescent="0.2">
      <c r="A5807">
        <v>2012</v>
      </c>
      <c r="B5807" t="s">
        <v>305</v>
      </c>
      <c r="C5807" s="733">
        <v>40969.693437499998</v>
      </c>
      <c r="D5807" s="733" t="str">
        <f>CHOOSE(MONTH(Tabla_sqldatos_bonampakdb_Bon_v_ingresos2012[[#This Row],[fecha_guia]]),"Enero","Febrero","Marzo","Abril","Mayo","Junio","Julio","Agosto","Septiembre","Octubre","Noviembre","Diciembre")</f>
        <v>Marzo</v>
      </c>
      <c r="E5807" t="s">
        <v>478</v>
      </c>
      <c r="F5807" t="s">
        <v>2622</v>
      </c>
      <c r="G5807" t="s">
        <v>9568</v>
      </c>
      <c r="H5807">
        <v>36219</v>
      </c>
      <c r="I5807" t="s">
        <v>423</v>
      </c>
      <c r="J5807" t="s">
        <v>2629</v>
      </c>
      <c r="K5807" t="s">
        <v>2625</v>
      </c>
      <c r="L5807" t="s">
        <v>2626</v>
      </c>
      <c r="M5807">
        <v>33</v>
      </c>
      <c r="N5807">
        <v>25.54</v>
      </c>
      <c r="O5807">
        <v>2978.99</v>
      </c>
      <c r="P5807">
        <v>0</v>
      </c>
      <c r="Q5807">
        <v>2978.99</v>
      </c>
      <c r="R5807">
        <v>476.64</v>
      </c>
      <c r="S5807">
        <v>119.16</v>
      </c>
      <c r="T5807">
        <v>3336.47</v>
      </c>
      <c r="V5807" t="s">
        <v>9408</v>
      </c>
      <c r="W5807" t="s">
        <v>423</v>
      </c>
    </row>
    <row r="5808" spans="1:23" hidden="1" x14ac:dyDescent="0.2">
      <c r="A5808">
        <v>2012</v>
      </c>
      <c r="B5808" t="s">
        <v>305</v>
      </c>
      <c r="C5808" s="733">
        <v>40969.695034722223</v>
      </c>
      <c r="D5808" s="733" t="str">
        <f>CHOOSE(MONTH(Tabla_sqldatos_bonampakdb_Bon_v_ingresos2012[[#This Row],[fecha_guia]]),"Enero","Febrero","Marzo","Abril","Mayo","Junio","Julio","Agosto","Septiembre","Octubre","Noviembre","Diciembre")</f>
        <v>Marzo</v>
      </c>
      <c r="E5808" t="s">
        <v>478</v>
      </c>
      <c r="F5808" t="s">
        <v>2622</v>
      </c>
      <c r="G5808" t="s">
        <v>9569</v>
      </c>
      <c r="H5808">
        <v>36222</v>
      </c>
      <c r="I5808" t="s">
        <v>423</v>
      </c>
      <c r="J5808" t="s">
        <v>2629</v>
      </c>
      <c r="K5808" t="s">
        <v>2625</v>
      </c>
      <c r="L5808" t="s">
        <v>2626</v>
      </c>
      <c r="M5808">
        <v>33</v>
      </c>
      <c r="N5808">
        <v>25.84</v>
      </c>
      <c r="O5808">
        <v>3013.98</v>
      </c>
      <c r="P5808">
        <v>0</v>
      </c>
      <c r="Q5808">
        <v>3013.98</v>
      </c>
      <c r="R5808">
        <v>482.24</v>
      </c>
      <c r="S5808">
        <v>120.56</v>
      </c>
      <c r="T5808">
        <v>3375.66</v>
      </c>
      <c r="V5808" t="s">
        <v>9408</v>
      </c>
      <c r="W5808" t="s">
        <v>423</v>
      </c>
    </row>
    <row r="5809" spans="1:23" hidden="1" x14ac:dyDescent="0.2">
      <c r="A5809">
        <v>2012</v>
      </c>
      <c r="B5809" t="s">
        <v>304</v>
      </c>
      <c r="C5809" s="733">
        <v>40942</v>
      </c>
      <c r="D58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09" t="s">
        <v>485</v>
      </c>
      <c r="F5809" t="s">
        <v>2065</v>
      </c>
      <c r="G5809" t="s">
        <v>4409</v>
      </c>
      <c r="H5809">
        <v>41358</v>
      </c>
      <c r="I5809" t="s">
        <v>423</v>
      </c>
      <c r="J5809" t="s">
        <v>2189</v>
      </c>
      <c r="K5809" t="s">
        <v>2183</v>
      </c>
      <c r="L5809" t="s">
        <v>2184</v>
      </c>
      <c r="M5809">
        <v>720</v>
      </c>
      <c r="N5809">
        <v>26.52</v>
      </c>
      <c r="O5809">
        <v>11771.96</v>
      </c>
      <c r="P5809">
        <v>0</v>
      </c>
      <c r="Q5809">
        <v>11771.96</v>
      </c>
      <c r="R5809">
        <v>1883.51</v>
      </c>
      <c r="S5809">
        <v>470.88</v>
      </c>
      <c r="T5809">
        <v>13184.59</v>
      </c>
      <c r="U5809" t="s">
        <v>2192</v>
      </c>
      <c r="V5809" t="s">
        <v>9408</v>
      </c>
      <c r="W5809" t="s">
        <v>423</v>
      </c>
    </row>
    <row r="5810" spans="1:23" hidden="1" x14ac:dyDescent="0.2">
      <c r="A5810">
        <v>2012</v>
      </c>
      <c r="B5810" t="s">
        <v>303</v>
      </c>
      <c r="C5810" s="733">
        <v>40911</v>
      </c>
      <c r="D58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10" t="s">
        <v>485</v>
      </c>
      <c r="F5810" t="s">
        <v>2048</v>
      </c>
      <c r="G5810" t="s">
        <v>4767</v>
      </c>
      <c r="H5810">
        <v>39294</v>
      </c>
      <c r="I5810" t="s">
        <v>423</v>
      </c>
      <c r="J5810" t="s">
        <v>2274</v>
      </c>
      <c r="K5810" t="s">
        <v>2051</v>
      </c>
      <c r="L5810" t="s">
        <v>2052</v>
      </c>
      <c r="M5810">
        <v>573</v>
      </c>
      <c r="N5810">
        <v>51.25</v>
      </c>
      <c r="O5810">
        <v>7001.78</v>
      </c>
      <c r="P5810">
        <v>7883.23</v>
      </c>
      <c r="Q5810">
        <v>14885.01</v>
      </c>
      <c r="R5810">
        <v>2381.6</v>
      </c>
      <c r="S5810">
        <v>595.4</v>
      </c>
      <c r="T5810">
        <v>16671.21</v>
      </c>
      <c r="V5810" t="s">
        <v>9409</v>
      </c>
      <c r="W5810" t="s">
        <v>423</v>
      </c>
    </row>
    <row r="5811" spans="1:23" hidden="1" x14ac:dyDescent="0.2">
      <c r="A5811">
        <v>2012</v>
      </c>
      <c r="B5811" t="s">
        <v>303</v>
      </c>
      <c r="C5811" s="733">
        <v>40939</v>
      </c>
      <c r="D58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11" t="s">
        <v>505</v>
      </c>
      <c r="F5811" t="s">
        <v>1915</v>
      </c>
      <c r="G5811" t="s">
        <v>5373</v>
      </c>
      <c r="H5811">
        <v>21694</v>
      </c>
      <c r="I5811" t="s">
        <v>1979</v>
      </c>
      <c r="J5811" t="s">
        <v>5374</v>
      </c>
      <c r="K5811" t="s">
        <v>1918</v>
      </c>
      <c r="L5811" t="s">
        <v>1919</v>
      </c>
      <c r="M5811">
        <v>1324</v>
      </c>
      <c r="N5811">
        <v>49.11</v>
      </c>
      <c r="O5811">
        <v>37707.15</v>
      </c>
      <c r="P5811">
        <v>0</v>
      </c>
      <c r="Q5811">
        <v>37707.15</v>
      </c>
      <c r="R5811">
        <v>6033.14</v>
      </c>
      <c r="S5811">
        <v>1508.29</v>
      </c>
      <c r="T5811">
        <v>42232</v>
      </c>
      <c r="U5811" t="s">
        <v>1936</v>
      </c>
      <c r="V5811" t="s">
        <v>9409</v>
      </c>
      <c r="W5811" t="s">
        <v>1979</v>
      </c>
    </row>
    <row r="5812" spans="1:23" hidden="1" x14ac:dyDescent="0.2">
      <c r="A5812">
        <v>2012</v>
      </c>
      <c r="B5812" t="s">
        <v>304</v>
      </c>
      <c r="C5812" s="733">
        <v>40954</v>
      </c>
      <c r="D58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12" t="s">
        <v>478</v>
      </c>
      <c r="F5812" t="s">
        <v>2622</v>
      </c>
      <c r="G5812" t="s">
        <v>7815</v>
      </c>
      <c r="H5812">
        <v>35590</v>
      </c>
      <c r="I5812" t="s">
        <v>423</v>
      </c>
      <c r="J5812" t="s">
        <v>2668</v>
      </c>
      <c r="K5812" t="s">
        <v>2625</v>
      </c>
      <c r="L5812" t="s">
        <v>2626</v>
      </c>
      <c r="M5812">
        <v>76</v>
      </c>
      <c r="N5812">
        <v>26.32</v>
      </c>
      <c r="O5812">
        <v>2970.21</v>
      </c>
      <c r="P5812">
        <v>0</v>
      </c>
      <c r="Q5812">
        <v>2970.21</v>
      </c>
      <c r="R5812">
        <v>475.23</v>
      </c>
      <c r="S5812">
        <v>118.81</v>
      </c>
      <c r="T5812">
        <v>3326.63</v>
      </c>
      <c r="U5812" t="s">
        <v>7548</v>
      </c>
      <c r="V5812" t="s">
        <v>9408</v>
      </c>
      <c r="W5812" t="s">
        <v>423</v>
      </c>
    </row>
    <row r="5813" spans="1:23" hidden="1" x14ac:dyDescent="0.2">
      <c r="A5813">
        <v>2012</v>
      </c>
      <c r="B5813" t="s">
        <v>303</v>
      </c>
      <c r="C5813" s="733">
        <v>40924</v>
      </c>
      <c r="D58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13" t="s">
        <v>485</v>
      </c>
      <c r="F5813" t="s">
        <v>2048</v>
      </c>
      <c r="G5813" t="s">
        <v>4766</v>
      </c>
      <c r="H5813">
        <v>40389</v>
      </c>
      <c r="I5813" t="s">
        <v>423</v>
      </c>
      <c r="J5813" t="s">
        <v>4093</v>
      </c>
      <c r="K5813" t="s">
        <v>2051</v>
      </c>
      <c r="L5813" t="s">
        <v>2052</v>
      </c>
      <c r="M5813">
        <v>647</v>
      </c>
      <c r="N5813">
        <v>25.2</v>
      </c>
      <c r="O5813">
        <v>9533.92</v>
      </c>
      <c r="P5813">
        <v>0</v>
      </c>
      <c r="Q5813">
        <v>9533.92</v>
      </c>
      <c r="R5813">
        <v>1525.43</v>
      </c>
      <c r="S5813">
        <v>381.36</v>
      </c>
      <c r="T5813">
        <v>10677.99</v>
      </c>
      <c r="U5813" t="s">
        <v>2062</v>
      </c>
      <c r="V5813" t="s">
        <v>9408</v>
      </c>
      <c r="W5813" t="s">
        <v>423</v>
      </c>
    </row>
    <row r="5814" spans="1:23" x14ac:dyDescent="0.2">
      <c r="A5814">
        <v>2012</v>
      </c>
      <c r="B5814" t="s">
        <v>304</v>
      </c>
      <c r="C5814" s="733">
        <v>40967</v>
      </c>
      <c r="D58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14" t="s">
        <v>485</v>
      </c>
      <c r="F5814" t="s">
        <v>2065</v>
      </c>
      <c r="G5814" t="s">
        <v>8965</v>
      </c>
      <c r="H5814">
        <v>42713</v>
      </c>
      <c r="I5814" t="s">
        <v>423</v>
      </c>
      <c r="J5814" t="s">
        <v>4093</v>
      </c>
      <c r="K5814" t="s">
        <v>2051</v>
      </c>
      <c r="L5814" t="s">
        <v>2052</v>
      </c>
      <c r="M5814">
        <v>647</v>
      </c>
      <c r="N5814">
        <v>49.3</v>
      </c>
      <c r="O5814">
        <v>18651.669999999998</v>
      </c>
      <c r="P5814">
        <v>0</v>
      </c>
      <c r="Q5814">
        <v>18651.669999999998</v>
      </c>
      <c r="R5814">
        <v>2984.27</v>
      </c>
      <c r="S5814">
        <v>746.07</v>
      </c>
      <c r="T5814">
        <v>20889.87</v>
      </c>
      <c r="U5814" t="s">
        <v>8780</v>
      </c>
      <c r="V5814" t="s">
        <v>9409</v>
      </c>
      <c r="W5814" t="s">
        <v>423</v>
      </c>
    </row>
    <row r="5815" spans="1:23" hidden="1" x14ac:dyDescent="0.2">
      <c r="A5815">
        <v>2012</v>
      </c>
      <c r="B5815" t="s">
        <v>303</v>
      </c>
      <c r="C5815" s="733">
        <v>40925</v>
      </c>
      <c r="D58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15" t="s">
        <v>478</v>
      </c>
      <c r="F5815" t="s">
        <v>2136</v>
      </c>
      <c r="G5815" t="s">
        <v>5524</v>
      </c>
      <c r="H5815">
        <v>34562</v>
      </c>
      <c r="I5815" t="s">
        <v>423</v>
      </c>
      <c r="J5815" t="s">
        <v>5525</v>
      </c>
      <c r="K5815" t="s">
        <v>425</v>
      </c>
      <c r="L5815" t="s">
        <v>2145</v>
      </c>
      <c r="M5815">
        <v>866</v>
      </c>
      <c r="N5815">
        <v>46.94</v>
      </c>
      <c r="O5815">
        <v>18676.96</v>
      </c>
      <c r="P5815">
        <v>0</v>
      </c>
      <c r="Q5815">
        <v>18676.96</v>
      </c>
      <c r="R5815">
        <v>2988.31</v>
      </c>
      <c r="S5815">
        <v>747.08</v>
      </c>
      <c r="T5815">
        <v>20918.189999999999</v>
      </c>
      <c r="U5815" t="s">
        <v>9455</v>
      </c>
      <c r="V5815" t="s">
        <v>9409</v>
      </c>
      <c r="W5815" t="s">
        <v>423</v>
      </c>
    </row>
    <row r="5816" spans="1:23" hidden="1" x14ac:dyDescent="0.2">
      <c r="A5816">
        <v>2012</v>
      </c>
      <c r="B5816" t="s">
        <v>303</v>
      </c>
      <c r="C5816" s="733">
        <v>40933</v>
      </c>
      <c r="D58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16" t="s">
        <v>505</v>
      </c>
      <c r="F5816" t="s">
        <v>1915</v>
      </c>
      <c r="G5816" t="s">
        <v>5375</v>
      </c>
      <c r="H5816">
        <v>22205</v>
      </c>
      <c r="I5816" t="s">
        <v>423</v>
      </c>
      <c r="J5816" t="s">
        <v>4262</v>
      </c>
      <c r="K5816" t="s">
        <v>1918</v>
      </c>
      <c r="L5816" t="s">
        <v>1919</v>
      </c>
      <c r="M5816">
        <v>845</v>
      </c>
      <c r="N5816">
        <v>53.61</v>
      </c>
      <c r="O5816">
        <v>27180.27</v>
      </c>
      <c r="P5816">
        <v>0</v>
      </c>
      <c r="Q5816">
        <v>27180.27</v>
      </c>
      <c r="R5816">
        <v>4348.84</v>
      </c>
      <c r="S5816">
        <v>1087.21</v>
      </c>
      <c r="T5816">
        <v>30441.9</v>
      </c>
      <c r="U5816" t="s">
        <v>1936</v>
      </c>
      <c r="V5816" t="s">
        <v>9409</v>
      </c>
      <c r="W5816" t="s">
        <v>423</v>
      </c>
    </row>
    <row r="5817" spans="1:23" hidden="1" x14ac:dyDescent="0.2">
      <c r="A5817">
        <v>2012</v>
      </c>
      <c r="B5817" t="s">
        <v>303</v>
      </c>
      <c r="C5817" s="733">
        <v>40925</v>
      </c>
      <c r="D58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17" t="s">
        <v>478</v>
      </c>
      <c r="F5817" t="s">
        <v>2136</v>
      </c>
      <c r="G5817" t="s">
        <v>4776</v>
      </c>
      <c r="H5817">
        <v>34655</v>
      </c>
      <c r="I5817" t="s">
        <v>423</v>
      </c>
      <c r="J5817" t="s">
        <v>2936</v>
      </c>
      <c r="K5817" t="s">
        <v>425</v>
      </c>
      <c r="L5817" t="s">
        <v>2145</v>
      </c>
      <c r="M5817">
        <v>604</v>
      </c>
      <c r="N5817">
        <v>44.33</v>
      </c>
      <c r="O5817">
        <v>13879.28</v>
      </c>
      <c r="P5817">
        <v>0</v>
      </c>
      <c r="Q5817">
        <v>13879.28</v>
      </c>
      <c r="R5817">
        <v>2220.6799999999998</v>
      </c>
      <c r="S5817">
        <v>555.16999999999996</v>
      </c>
      <c r="T5817">
        <v>15544.79</v>
      </c>
      <c r="U5817" t="s">
        <v>2927</v>
      </c>
      <c r="V5817" t="s">
        <v>9409</v>
      </c>
      <c r="W5817" t="s">
        <v>423</v>
      </c>
    </row>
    <row r="5818" spans="1:23" hidden="1" x14ac:dyDescent="0.2">
      <c r="A5818">
        <v>2012</v>
      </c>
      <c r="B5818" t="s">
        <v>303</v>
      </c>
      <c r="C5818" s="733">
        <v>40920</v>
      </c>
      <c r="D58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18" t="s">
        <v>478</v>
      </c>
      <c r="F5818" t="s">
        <v>2136</v>
      </c>
      <c r="G5818" t="s">
        <v>4774</v>
      </c>
      <c r="H5818">
        <v>34423</v>
      </c>
      <c r="I5818" t="s">
        <v>423</v>
      </c>
      <c r="J5818" t="s">
        <v>2936</v>
      </c>
      <c r="K5818" t="s">
        <v>425</v>
      </c>
      <c r="L5818" t="s">
        <v>2145</v>
      </c>
      <c r="M5818">
        <v>604</v>
      </c>
      <c r="N5818">
        <v>26.06</v>
      </c>
      <c r="O5818">
        <v>8159.13</v>
      </c>
      <c r="P5818">
        <v>0</v>
      </c>
      <c r="Q5818">
        <v>8159.13</v>
      </c>
      <c r="R5818">
        <v>1305.46</v>
      </c>
      <c r="S5818">
        <v>326.37</v>
      </c>
      <c r="T5818">
        <v>9138.2199999999993</v>
      </c>
      <c r="U5818" t="s">
        <v>2352</v>
      </c>
      <c r="V5818" t="s">
        <v>9408</v>
      </c>
      <c r="W5818" t="s">
        <v>423</v>
      </c>
    </row>
    <row r="5819" spans="1:23" hidden="1" x14ac:dyDescent="0.2">
      <c r="A5819">
        <v>2012</v>
      </c>
      <c r="B5819" t="s">
        <v>304</v>
      </c>
      <c r="C5819" s="733">
        <v>40942</v>
      </c>
      <c r="D58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19" t="s">
        <v>478</v>
      </c>
      <c r="F5819" t="s">
        <v>2136</v>
      </c>
      <c r="G5819" t="s">
        <v>4775</v>
      </c>
      <c r="H5819">
        <v>35065</v>
      </c>
      <c r="I5819" t="s">
        <v>423</v>
      </c>
      <c r="J5819" t="s">
        <v>2936</v>
      </c>
      <c r="K5819" t="s">
        <v>425</v>
      </c>
      <c r="L5819" t="s">
        <v>2145</v>
      </c>
      <c r="M5819">
        <v>604</v>
      </c>
      <c r="N5819">
        <v>23.81</v>
      </c>
      <c r="O5819">
        <v>7454.67</v>
      </c>
      <c r="P5819">
        <v>0</v>
      </c>
      <c r="Q5819">
        <v>7454.67</v>
      </c>
      <c r="R5819">
        <v>1192.75</v>
      </c>
      <c r="S5819">
        <v>298.19</v>
      </c>
      <c r="T5819">
        <v>8349.23</v>
      </c>
      <c r="U5819" t="s">
        <v>2938</v>
      </c>
      <c r="V5819" t="s">
        <v>9409</v>
      </c>
      <c r="W5819" t="s">
        <v>423</v>
      </c>
    </row>
    <row r="5820" spans="1:23" hidden="1" x14ac:dyDescent="0.2">
      <c r="A5820">
        <v>2012</v>
      </c>
      <c r="B5820" t="s">
        <v>303</v>
      </c>
      <c r="C5820" s="733">
        <v>40938</v>
      </c>
      <c r="D58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20" t="s">
        <v>478</v>
      </c>
      <c r="F5820" t="s">
        <v>2142</v>
      </c>
      <c r="G5820" t="s">
        <v>4881</v>
      </c>
      <c r="H5820">
        <v>35037</v>
      </c>
      <c r="I5820" t="s">
        <v>423</v>
      </c>
      <c r="J5820" t="s">
        <v>2936</v>
      </c>
      <c r="K5820" t="s">
        <v>425</v>
      </c>
      <c r="L5820" t="s">
        <v>2145</v>
      </c>
      <c r="M5820">
        <v>604</v>
      </c>
      <c r="N5820">
        <v>24.86</v>
      </c>
      <c r="O5820">
        <v>7783.42</v>
      </c>
      <c r="P5820">
        <v>0</v>
      </c>
      <c r="Q5820">
        <v>7783.42</v>
      </c>
      <c r="R5820">
        <v>1245.3499999999999</v>
      </c>
      <c r="S5820">
        <v>311.33999999999997</v>
      </c>
      <c r="T5820">
        <v>8717.43</v>
      </c>
      <c r="U5820" t="s">
        <v>3115</v>
      </c>
      <c r="V5820" t="s">
        <v>9409</v>
      </c>
      <c r="W5820" t="s">
        <v>423</v>
      </c>
    </row>
    <row r="5821" spans="1:23" hidden="1" x14ac:dyDescent="0.2">
      <c r="A5821">
        <v>2012</v>
      </c>
      <c r="B5821" t="s">
        <v>304</v>
      </c>
      <c r="C5821" s="733">
        <v>40954</v>
      </c>
      <c r="D58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21" t="s">
        <v>478</v>
      </c>
      <c r="F5821" t="s">
        <v>2136</v>
      </c>
      <c r="G5821" t="s">
        <v>7793</v>
      </c>
      <c r="H5821">
        <v>35617</v>
      </c>
      <c r="I5821" t="s">
        <v>423</v>
      </c>
      <c r="J5821" t="s">
        <v>2936</v>
      </c>
      <c r="K5821" t="s">
        <v>425</v>
      </c>
      <c r="L5821" t="s">
        <v>2145</v>
      </c>
      <c r="M5821">
        <v>604</v>
      </c>
      <c r="N5821">
        <v>42.43</v>
      </c>
      <c r="O5821">
        <v>13284.41</v>
      </c>
      <c r="P5821">
        <v>0</v>
      </c>
      <c r="Q5821">
        <v>13284.41</v>
      </c>
      <c r="R5821">
        <v>2125.5100000000002</v>
      </c>
      <c r="S5821">
        <v>531.38</v>
      </c>
      <c r="T5821">
        <v>14878.54</v>
      </c>
      <c r="U5821" t="s">
        <v>7553</v>
      </c>
      <c r="V5821" t="s">
        <v>9409</v>
      </c>
      <c r="W5821" t="s">
        <v>423</v>
      </c>
    </row>
    <row r="5822" spans="1:23" hidden="1" x14ac:dyDescent="0.2">
      <c r="A5822">
        <v>2012</v>
      </c>
      <c r="B5822" t="s">
        <v>303</v>
      </c>
      <c r="C5822" s="733">
        <v>40925</v>
      </c>
      <c r="D58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22" t="s">
        <v>478</v>
      </c>
      <c r="F5822" t="s">
        <v>2136</v>
      </c>
      <c r="G5822" t="s">
        <v>4880</v>
      </c>
      <c r="H5822">
        <v>34549</v>
      </c>
      <c r="I5822" t="s">
        <v>423</v>
      </c>
      <c r="J5822" t="s">
        <v>2936</v>
      </c>
      <c r="K5822" t="s">
        <v>425</v>
      </c>
      <c r="L5822" t="s">
        <v>2145</v>
      </c>
      <c r="M5822">
        <v>604</v>
      </c>
      <c r="N5822">
        <v>24.89</v>
      </c>
      <c r="O5822">
        <v>7792.81</v>
      </c>
      <c r="P5822">
        <v>0</v>
      </c>
      <c r="Q5822">
        <v>7792.81</v>
      </c>
      <c r="R5822">
        <v>1246.8499999999999</v>
      </c>
      <c r="S5822">
        <v>311.70999999999998</v>
      </c>
      <c r="T5822">
        <v>8727.9500000000007</v>
      </c>
      <c r="U5822" t="s">
        <v>2927</v>
      </c>
      <c r="V5822" t="s">
        <v>9408</v>
      </c>
      <c r="W5822" t="s">
        <v>423</v>
      </c>
    </row>
    <row r="5823" spans="1:23" hidden="1" x14ac:dyDescent="0.2">
      <c r="A5823">
        <v>2012</v>
      </c>
      <c r="B5823" t="s">
        <v>303</v>
      </c>
      <c r="C5823" s="733">
        <v>40917</v>
      </c>
      <c r="D58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23" t="s">
        <v>478</v>
      </c>
      <c r="F5823" t="s">
        <v>2136</v>
      </c>
      <c r="G5823" t="s">
        <v>4772</v>
      </c>
      <c r="H5823">
        <v>34315</v>
      </c>
      <c r="I5823" t="s">
        <v>423</v>
      </c>
      <c r="J5823" t="s">
        <v>3329</v>
      </c>
      <c r="K5823" t="s">
        <v>425</v>
      </c>
      <c r="L5823" t="s">
        <v>2145</v>
      </c>
      <c r="M5823">
        <v>596</v>
      </c>
      <c r="N5823">
        <v>28.04</v>
      </c>
      <c r="O5823">
        <v>9098.98</v>
      </c>
      <c r="P5823">
        <v>0</v>
      </c>
      <c r="Q5823">
        <v>9098.98</v>
      </c>
      <c r="R5823">
        <v>1455.84</v>
      </c>
      <c r="S5823">
        <v>363.96</v>
      </c>
      <c r="T5823">
        <v>10190.86</v>
      </c>
      <c r="U5823" t="s">
        <v>2927</v>
      </c>
      <c r="V5823" t="s">
        <v>9408</v>
      </c>
      <c r="W5823" t="s">
        <v>423</v>
      </c>
    </row>
    <row r="5824" spans="1:23" hidden="1" x14ac:dyDescent="0.2">
      <c r="A5824">
        <v>2012</v>
      </c>
      <c r="B5824" t="s">
        <v>304</v>
      </c>
      <c r="C5824" s="733">
        <v>40942</v>
      </c>
      <c r="D58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24" t="s">
        <v>478</v>
      </c>
      <c r="F5824" t="s">
        <v>2136</v>
      </c>
      <c r="G5824" t="s">
        <v>4773</v>
      </c>
      <c r="H5824">
        <v>35178</v>
      </c>
      <c r="I5824" t="s">
        <v>423</v>
      </c>
      <c r="J5824" t="s">
        <v>3329</v>
      </c>
      <c r="K5824" t="s">
        <v>425</v>
      </c>
      <c r="L5824" t="s">
        <v>2145</v>
      </c>
      <c r="M5824">
        <v>596</v>
      </c>
      <c r="N5824">
        <v>23.12</v>
      </c>
      <c r="O5824">
        <v>7502.44</v>
      </c>
      <c r="P5824">
        <v>0</v>
      </c>
      <c r="Q5824">
        <v>7502.44</v>
      </c>
      <c r="R5824">
        <v>1200.3900000000001</v>
      </c>
      <c r="S5824">
        <v>300.10000000000002</v>
      </c>
      <c r="T5824">
        <v>8402.73</v>
      </c>
      <c r="U5824" t="s">
        <v>2938</v>
      </c>
      <c r="V5824" t="s">
        <v>9408</v>
      </c>
      <c r="W5824" t="s">
        <v>423</v>
      </c>
    </row>
    <row r="5825" spans="1:23" hidden="1" x14ac:dyDescent="0.2">
      <c r="A5825">
        <v>2012</v>
      </c>
      <c r="B5825" t="s">
        <v>304</v>
      </c>
      <c r="C5825" s="733">
        <v>40955</v>
      </c>
      <c r="D58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25" t="s">
        <v>478</v>
      </c>
      <c r="F5825" t="s">
        <v>2136</v>
      </c>
      <c r="G5825" t="s">
        <v>7722</v>
      </c>
      <c r="H5825">
        <v>35524</v>
      </c>
      <c r="I5825" t="s">
        <v>423</v>
      </c>
      <c r="J5825" t="s">
        <v>5307</v>
      </c>
      <c r="K5825" t="s">
        <v>425</v>
      </c>
      <c r="L5825" t="s">
        <v>2145</v>
      </c>
      <c r="M5825">
        <v>1365</v>
      </c>
      <c r="N5825">
        <v>45.14</v>
      </c>
      <c r="O5825">
        <v>40932.5</v>
      </c>
      <c r="P5825">
        <v>0</v>
      </c>
      <c r="Q5825">
        <v>40932.5</v>
      </c>
      <c r="R5825">
        <v>6549.2</v>
      </c>
      <c r="S5825">
        <v>1637.3</v>
      </c>
      <c r="T5825">
        <v>45844.4</v>
      </c>
      <c r="U5825" t="s">
        <v>7523</v>
      </c>
      <c r="V5825" t="s">
        <v>9409</v>
      </c>
      <c r="W5825" t="s">
        <v>423</v>
      </c>
    </row>
    <row r="5826" spans="1:23" hidden="1" x14ac:dyDescent="0.2">
      <c r="A5826">
        <v>2012</v>
      </c>
      <c r="B5826" t="s">
        <v>303</v>
      </c>
      <c r="C5826" s="733">
        <v>40939</v>
      </c>
      <c r="D58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26" t="s">
        <v>478</v>
      </c>
      <c r="F5826" t="s">
        <v>2136</v>
      </c>
      <c r="G5826" t="s">
        <v>4785</v>
      </c>
      <c r="H5826">
        <v>35183</v>
      </c>
      <c r="I5826" t="s">
        <v>423</v>
      </c>
      <c r="J5826" t="s">
        <v>4270</v>
      </c>
      <c r="K5826" t="s">
        <v>425</v>
      </c>
      <c r="L5826" t="s">
        <v>2145</v>
      </c>
      <c r="M5826">
        <v>560</v>
      </c>
      <c r="N5826">
        <v>49.79</v>
      </c>
      <c r="O5826">
        <v>15907.9</v>
      </c>
      <c r="P5826">
        <v>0</v>
      </c>
      <c r="Q5826">
        <v>15907.9</v>
      </c>
      <c r="R5826">
        <v>2545.2600000000002</v>
      </c>
      <c r="S5826">
        <v>636.32000000000005</v>
      </c>
      <c r="T5826">
        <v>17816.84</v>
      </c>
      <c r="U5826" t="s">
        <v>2580</v>
      </c>
      <c r="V5826" t="s">
        <v>9409</v>
      </c>
      <c r="W5826" t="s">
        <v>423</v>
      </c>
    </row>
    <row r="5827" spans="1:23" hidden="1" x14ac:dyDescent="0.2">
      <c r="A5827">
        <v>2012</v>
      </c>
      <c r="B5827" t="s">
        <v>303</v>
      </c>
      <c r="C5827" s="733">
        <v>40922</v>
      </c>
      <c r="D58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27" t="s">
        <v>505</v>
      </c>
      <c r="F5827" t="s">
        <v>1915</v>
      </c>
      <c r="G5827" t="s">
        <v>2781</v>
      </c>
      <c r="H5827">
        <v>21915</v>
      </c>
      <c r="I5827" t="s">
        <v>423</v>
      </c>
      <c r="J5827" t="s">
        <v>1943</v>
      </c>
      <c r="K5827" t="s">
        <v>1918</v>
      </c>
      <c r="L5827" t="s">
        <v>1919</v>
      </c>
      <c r="M5827">
        <v>319</v>
      </c>
      <c r="N5827">
        <v>53.6</v>
      </c>
      <c r="O5827">
        <v>15717.66</v>
      </c>
      <c r="P5827">
        <v>0</v>
      </c>
      <c r="Q5827">
        <v>15717.66</v>
      </c>
      <c r="R5827">
        <v>2514.83</v>
      </c>
      <c r="S5827">
        <v>628.71</v>
      </c>
      <c r="T5827">
        <v>17603.78</v>
      </c>
      <c r="U5827" t="s">
        <v>1931</v>
      </c>
      <c r="V5827" t="s">
        <v>9409</v>
      </c>
      <c r="W5827" t="s">
        <v>423</v>
      </c>
    </row>
    <row r="5828" spans="1:23" hidden="1" x14ac:dyDescent="0.2">
      <c r="A5828">
        <v>2012</v>
      </c>
      <c r="B5828" t="s">
        <v>304</v>
      </c>
      <c r="C5828" s="733">
        <v>40946</v>
      </c>
      <c r="D58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28" t="s">
        <v>485</v>
      </c>
      <c r="F5828" t="s">
        <v>2054</v>
      </c>
      <c r="G5828" t="s">
        <v>5894</v>
      </c>
      <c r="H5828">
        <v>9984</v>
      </c>
      <c r="I5828" t="s">
        <v>423</v>
      </c>
      <c r="J5828" t="s">
        <v>2072</v>
      </c>
      <c r="K5828" t="s">
        <v>2057</v>
      </c>
      <c r="L5828" t="s">
        <v>2058</v>
      </c>
      <c r="M5828">
        <v>406</v>
      </c>
      <c r="N5828">
        <v>47.37</v>
      </c>
      <c r="O5828">
        <v>12945.27</v>
      </c>
      <c r="P5828">
        <v>0</v>
      </c>
      <c r="Q5828">
        <v>12945.27</v>
      </c>
      <c r="R5828">
        <v>2071.2399999999998</v>
      </c>
      <c r="S5828">
        <v>517.80999999999995</v>
      </c>
      <c r="T5828">
        <v>14498.7</v>
      </c>
      <c r="U5828" t="s">
        <v>2075</v>
      </c>
      <c r="V5828" t="s">
        <v>9409</v>
      </c>
      <c r="W5828" t="s">
        <v>423</v>
      </c>
    </row>
    <row r="5829" spans="1:23" hidden="1" x14ac:dyDescent="0.2">
      <c r="A5829">
        <v>2012</v>
      </c>
      <c r="B5829" t="s">
        <v>304</v>
      </c>
      <c r="C5829" s="733">
        <v>40941</v>
      </c>
      <c r="D58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29" t="s">
        <v>485</v>
      </c>
      <c r="F5829" t="s">
        <v>2054</v>
      </c>
      <c r="G5829" t="s">
        <v>5895</v>
      </c>
      <c r="H5829">
        <v>10281</v>
      </c>
      <c r="I5829" t="s">
        <v>423</v>
      </c>
      <c r="J5829" t="s">
        <v>2072</v>
      </c>
      <c r="K5829" t="s">
        <v>2057</v>
      </c>
      <c r="L5829" t="s">
        <v>2058</v>
      </c>
      <c r="M5829">
        <v>406</v>
      </c>
      <c r="N5829">
        <v>47.24</v>
      </c>
      <c r="O5829">
        <v>12909.75</v>
      </c>
      <c r="P5829">
        <v>0</v>
      </c>
      <c r="Q5829">
        <v>12909.75</v>
      </c>
      <c r="R5829">
        <v>2065.56</v>
      </c>
      <c r="S5829">
        <v>516.39</v>
      </c>
      <c r="T5829">
        <v>14458.92</v>
      </c>
      <c r="U5829" t="s">
        <v>2075</v>
      </c>
      <c r="V5829" t="s">
        <v>9409</v>
      </c>
      <c r="W5829" t="s">
        <v>423</v>
      </c>
    </row>
    <row r="5830" spans="1:23" hidden="1" x14ac:dyDescent="0.2">
      <c r="A5830">
        <v>2012</v>
      </c>
      <c r="B5830" t="s">
        <v>303</v>
      </c>
      <c r="C5830" s="733">
        <v>40934.446435185186</v>
      </c>
      <c r="D58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30" t="s">
        <v>485</v>
      </c>
      <c r="F5830" t="s">
        <v>2054</v>
      </c>
      <c r="G5830" t="s">
        <v>5905</v>
      </c>
      <c r="H5830">
        <v>10216</v>
      </c>
      <c r="I5830" t="s">
        <v>423</v>
      </c>
      <c r="J5830" t="s">
        <v>2072</v>
      </c>
      <c r="K5830" t="s">
        <v>2057</v>
      </c>
      <c r="L5830" t="s">
        <v>2058</v>
      </c>
      <c r="M5830">
        <v>406</v>
      </c>
      <c r="N5830">
        <v>30.84</v>
      </c>
      <c r="O5830">
        <v>8427.9599999999991</v>
      </c>
      <c r="P5830">
        <v>0</v>
      </c>
      <c r="Q5830">
        <v>8427.9599999999991</v>
      </c>
      <c r="R5830">
        <v>1348.47</v>
      </c>
      <c r="S5830">
        <v>337.12</v>
      </c>
      <c r="T5830">
        <v>9439.31</v>
      </c>
      <c r="U5830" t="s">
        <v>2073</v>
      </c>
      <c r="V5830" t="s">
        <v>9408</v>
      </c>
      <c r="W5830" t="s">
        <v>423</v>
      </c>
    </row>
    <row r="5831" spans="1:23" hidden="1" x14ac:dyDescent="0.2">
      <c r="A5831">
        <v>2012</v>
      </c>
      <c r="B5831" t="s">
        <v>303</v>
      </c>
      <c r="C5831" s="733">
        <v>40939</v>
      </c>
      <c r="D58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31" t="s">
        <v>485</v>
      </c>
      <c r="F5831" t="s">
        <v>2054</v>
      </c>
      <c r="G5831" t="s">
        <v>6095</v>
      </c>
      <c r="H5831">
        <v>10037</v>
      </c>
      <c r="I5831" t="s">
        <v>423</v>
      </c>
      <c r="J5831" t="s">
        <v>4045</v>
      </c>
      <c r="K5831" t="s">
        <v>2057</v>
      </c>
      <c r="L5831" t="s">
        <v>2058</v>
      </c>
      <c r="M5831">
        <v>0</v>
      </c>
      <c r="N5831">
        <v>23.82</v>
      </c>
      <c r="O5831">
        <v>6509.53</v>
      </c>
      <c r="P5831">
        <v>0</v>
      </c>
      <c r="Q5831">
        <v>6509.53</v>
      </c>
      <c r="R5831">
        <v>1041.52</v>
      </c>
      <c r="S5831">
        <v>260.38</v>
      </c>
      <c r="T5831">
        <v>7290.67</v>
      </c>
      <c r="U5831" t="s">
        <v>2073</v>
      </c>
      <c r="V5831" t="s">
        <v>9408</v>
      </c>
      <c r="W5831" t="s">
        <v>423</v>
      </c>
    </row>
    <row r="5832" spans="1:23" hidden="1" x14ac:dyDescent="0.2">
      <c r="A5832">
        <v>2012</v>
      </c>
      <c r="B5832" t="s">
        <v>304</v>
      </c>
      <c r="C5832" s="733">
        <v>40946</v>
      </c>
      <c r="D58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32" t="s">
        <v>505</v>
      </c>
      <c r="F5832" t="s">
        <v>1915</v>
      </c>
      <c r="G5832" t="s">
        <v>2770</v>
      </c>
      <c r="H5832">
        <v>22511</v>
      </c>
      <c r="I5832" t="s">
        <v>423</v>
      </c>
      <c r="J5832" t="s">
        <v>1943</v>
      </c>
      <c r="K5832" t="s">
        <v>1918</v>
      </c>
      <c r="L5832" t="s">
        <v>1919</v>
      </c>
      <c r="M5832">
        <v>319</v>
      </c>
      <c r="N5832">
        <v>53.67</v>
      </c>
      <c r="O5832">
        <v>15738.19</v>
      </c>
      <c r="P5832">
        <v>0</v>
      </c>
      <c r="Q5832">
        <v>15738.19</v>
      </c>
      <c r="R5832">
        <v>2518.11</v>
      </c>
      <c r="S5832">
        <v>629.53</v>
      </c>
      <c r="T5832">
        <v>17626.77</v>
      </c>
      <c r="U5832" t="s">
        <v>1924</v>
      </c>
      <c r="V5832" t="s">
        <v>9409</v>
      </c>
      <c r="W5832" t="s">
        <v>423</v>
      </c>
    </row>
    <row r="5833" spans="1:23" hidden="1" x14ac:dyDescent="0.2">
      <c r="A5833">
        <v>2012</v>
      </c>
      <c r="B5833" t="s">
        <v>303</v>
      </c>
      <c r="C5833" s="733">
        <v>40935</v>
      </c>
      <c r="D58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33" t="s">
        <v>505</v>
      </c>
      <c r="F5833" t="s">
        <v>1915</v>
      </c>
      <c r="G5833" t="s">
        <v>2768</v>
      </c>
      <c r="H5833">
        <v>22269</v>
      </c>
      <c r="I5833" t="s">
        <v>423</v>
      </c>
      <c r="J5833" t="s">
        <v>1943</v>
      </c>
      <c r="K5833" t="s">
        <v>1918</v>
      </c>
      <c r="L5833" t="s">
        <v>1919</v>
      </c>
      <c r="M5833">
        <v>319</v>
      </c>
      <c r="N5833">
        <v>52.98</v>
      </c>
      <c r="O5833">
        <v>15535.86</v>
      </c>
      <c r="P5833">
        <v>0</v>
      </c>
      <c r="Q5833">
        <v>15535.86</v>
      </c>
      <c r="R5833">
        <v>2485.7399999999998</v>
      </c>
      <c r="S5833">
        <v>621.42999999999995</v>
      </c>
      <c r="T5833">
        <v>17400.169999999998</v>
      </c>
      <c r="U5833" t="s">
        <v>1926</v>
      </c>
      <c r="V5833" t="s">
        <v>9409</v>
      </c>
      <c r="W5833" t="s">
        <v>423</v>
      </c>
    </row>
    <row r="5834" spans="1:23" hidden="1" x14ac:dyDescent="0.2">
      <c r="A5834">
        <v>2012</v>
      </c>
      <c r="B5834" t="s">
        <v>304</v>
      </c>
      <c r="C5834" s="733">
        <v>40948</v>
      </c>
      <c r="D58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34" t="s">
        <v>505</v>
      </c>
      <c r="F5834" t="s">
        <v>1915</v>
      </c>
      <c r="G5834" t="s">
        <v>2769</v>
      </c>
      <c r="H5834">
        <v>22565</v>
      </c>
      <c r="I5834" t="s">
        <v>423</v>
      </c>
      <c r="J5834" t="s">
        <v>1943</v>
      </c>
      <c r="K5834" t="s">
        <v>1918</v>
      </c>
      <c r="L5834" t="s">
        <v>1919</v>
      </c>
      <c r="M5834">
        <v>319</v>
      </c>
      <c r="N5834">
        <v>53.84</v>
      </c>
      <c r="O5834">
        <v>15788.04</v>
      </c>
      <c r="P5834">
        <v>0</v>
      </c>
      <c r="Q5834">
        <v>15788.04</v>
      </c>
      <c r="R5834">
        <v>2526.09</v>
      </c>
      <c r="S5834">
        <v>631.52</v>
      </c>
      <c r="T5834">
        <v>17682.61</v>
      </c>
      <c r="U5834" t="s">
        <v>1924</v>
      </c>
      <c r="V5834" t="s">
        <v>9409</v>
      </c>
      <c r="W5834" t="s">
        <v>423</v>
      </c>
    </row>
    <row r="5835" spans="1:23" hidden="1" x14ac:dyDescent="0.2">
      <c r="A5835">
        <v>2012</v>
      </c>
      <c r="B5835" t="s">
        <v>304</v>
      </c>
      <c r="C5835" s="733">
        <v>40949.584050925929</v>
      </c>
      <c r="D58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35" t="s">
        <v>505</v>
      </c>
      <c r="F5835" t="s">
        <v>1915</v>
      </c>
      <c r="G5835" t="s">
        <v>2771</v>
      </c>
      <c r="H5835">
        <v>22628</v>
      </c>
      <c r="I5835" t="s">
        <v>423</v>
      </c>
      <c r="J5835" t="s">
        <v>1943</v>
      </c>
      <c r="K5835" t="s">
        <v>1918</v>
      </c>
      <c r="L5835" t="s">
        <v>1919</v>
      </c>
      <c r="M5835">
        <v>319</v>
      </c>
      <c r="N5835">
        <v>54.14</v>
      </c>
      <c r="O5835">
        <v>15876.01</v>
      </c>
      <c r="P5835">
        <v>0</v>
      </c>
      <c r="Q5835">
        <v>15876.01</v>
      </c>
      <c r="R5835">
        <v>2540.16</v>
      </c>
      <c r="S5835">
        <v>635.04</v>
      </c>
      <c r="T5835">
        <v>17781.13</v>
      </c>
      <c r="U5835" t="s">
        <v>7522</v>
      </c>
      <c r="V5835" t="s">
        <v>9409</v>
      </c>
      <c r="W5835" t="s">
        <v>423</v>
      </c>
    </row>
    <row r="5836" spans="1:23" hidden="1" x14ac:dyDescent="0.2">
      <c r="A5836">
        <v>2012</v>
      </c>
      <c r="B5836" t="s">
        <v>304</v>
      </c>
      <c r="C5836" s="733">
        <v>40952</v>
      </c>
      <c r="D58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36" t="s">
        <v>505</v>
      </c>
      <c r="F5836" t="s">
        <v>1915</v>
      </c>
      <c r="G5836" t="s">
        <v>2772</v>
      </c>
      <c r="H5836">
        <v>22689</v>
      </c>
      <c r="I5836" t="s">
        <v>423</v>
      </c>
      <c r="J5836" t="s">
        <v>1943</v>
      </c>
      <c r="K5836" t="s">
        <v>1918</v>
      </c>
      <c r="L5836" t="s">
        <v>1919</v>
      </c>
      <c r="M5836">
        <v>319</v>
      </c>
      <c r="N5836">
        <v>26.98</v>
      </c>
      <c r="O5836">
        <v>7911.62</v>
      </c>
      <c r="P5836">
        <v>0</v>
      </c>
      <c r="Q5836">
        <v>7911.62</v>
      </c>
      <c r="R5836">
        <v>1265.8599999999999</v>
      </c>
      <c r="S5836">
        <v>316.45999999999998</v>
      </c>
      <c r="T5836">
        <v>8861.02</v>
      </c>
      <c r="U5836" t="s">
        <v>7522</v>
      </c>
      <c r="V5836" t="s">
        <v>9408</v>
      </c>
      <c r="W5836" t="s">
        <v>423</v>
      </c>
    </row>
    <row r="5837" spans="1:23" hidden="1" x14ac:dyDescent="0.2">
      <c r="A5837">
        <v>2012</v>
      </c>
      <c r="B5837" t="s">
        <v>303</v>
      </c>
      <c r="C5837" s="733">
        <v>40939</v>
      </c>
      <c r="D58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37" t="s">
        <v>478</v>
      </c>
      <c r="F5837" t="s">
        <v>2136</v>
      </c>
      <c r="G5837" t="s">
        <v>6865</v>
      </c>
      <c r="H5837">
        <v>34833</v>
      </c>
      <c r="I5837" t="s">
        <v>423</v>
      </c>
      <c r="J5837" t="s">
        <v>5735</v>
      </c>
      <c r="K5837" t="s">
        <v>425</v>
      </c>
      <c r="L5837" t="s">
        <v>2145</v>
      </c>
      <c r="M5837">
        <v>193</v>
      </c>
      <c r="N5837">
        <v>24.79</v>
      </c>
      <c r="O5837">
        <v>4405.43</v>
      </c>
      <c r="P5837">
        <v>0</v>
      </c>
      <c r="Q5837">
        <v>4405.43</v>
      </c>
      <c r="R5837">
        <v>704.87</v>
      </c>
      <c r="S5837">
        <v>176.22</v>
      </c>
      <c r="T5837">
        <v>4934.08</v>
      </c>
      <c r="U5837" t="s">
        <v>2938</v>
      </c>
      <c r="V5837" t="s">
        <v>9408</v>
      </c>
      <c r="W5837" t="s">
        <v>423</v>
      </c>
    </row>
    <row r="5838" spans="1:23" hidden="1" x14ac:dyDescent="0.2">
      <c r="A5838">
        <v>2012</v>
      </c>
      <c r="B5838" t="s">
        <v>304</v>
      </c>
      <c r="C5838" s="733">
        <v>40967</v>
      </c>
      <c r="D58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38" t="s">
        <v>478</v>
      </c>
      <c r="F5838" t="s">
        <v>2136</v>
      </c>
      <c r="G5838" t="s">
        <v>9401</v>
      </c>
      <c r="H5838">
        <v>36068</v>
      </c>
      <c r="I5838" t="s">
        <v>423</v>
      </c>
      <c r="J5838" t="s">
        <v>5735</v>
      </c>
      <c r="K5838" t="s">
        <v>425</v>
      </c>
      <c r="L5838" t="s">
        <v>2145</v>
      </c>
      <c r="M5838">
        <v>193</v>
      </c>
      <c r="N5838">
        <v>41.97</v>
      </c>
      <c r="O5838">
        <v>7458.49</v>
      </c>
      <c r="P5838">
        <v>0</v>
      </c>
      <c r="Q5838">
        <v>7458.49</v>
      </c>
      <c r="R5838">
        <v>1193.3599999999999</v>
      </c>
      <c r="S5838">
        <v>298.33999999999997</v>
      </c>
      <c r="T5838">
        <v>8353.51</v>
      </c>
      <c r="U5838" t="s">
        <v>9457</v>
      </c>
      <c r="V5838" t="s">
        <v>9409</v>
      </c>
      <c r="W5838" t="s">
        <v>423</v>
      </c>
    </row>
    <row r="5839" spans="1:23" hidden="1" x14ac:dyDescent="0.2">
      <c r="A5839">
        <v>2012</v>
      </c>
      <c r="B5839" t="s">
        <v>304</v>
      </c>
      <c r="C5839" s="733">
        <v>40954</v>
      </c>
      <c r="D58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39" t="s">
        <v>505</v>
      </c>
      <c r="F5839" t="s">
        <v>1915</v>
      </c>
      <c r="G5839" t="s">
        <v>8015</v>
      </c>
      <c r="H5839">
        <v>22735</v>
      </c>
      <c r="I5839" t="s">
        <v>423</v>
      </c>
      <c r="J5839" t="s">
        <v>1943</v>
      </c>
      <c r="K5839" t="s">
        <v>1918</v>
      </c>
      <c r="L5839" t="s">
        <v>1919</v>
      </c>
      <c r="M5839">
        <v>319</v>
      </c>
      <c r="N5839">
        <v>54.4</v>
      </c>
      <c r="O5839">
        <v>15952.26</v>
      </c>
      <c r="P5839">
        <v>0</v>
      </c>
      <c r="Q5839">
        <v>15952.26</v>
      </c>
      <c r="R5839">
        <v>2552.36</v>
      </c>
      <c r="S5839">
        <v>638.09</v>
      </c>
      <c r="T5839">
        <v>17866.53</v>
      </c>
      <c r="V5839" t="s">
        <v>9409</v>
      </c>
      <c r="W5839" t="s">
        <v>423</v>
      </c>
    </row>
    <row r="5840" spans="1:23" hidden="1" x14ac:dyDescent="0.2">
      <c r="A5840">
        <v>2012</v>
      </c>
      <c r="B5840" t="s">
        <v>303</v>
      </c>
      <c r="C5840" s="733">
        <v>40918</v>
      </c>
      <c r="D58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40" t="s">
        <v>485</v>
      </c>
      <c r="F5840" t="s">
        <v>2065</v>
      </c>
      <c r="G5840" t="s">
        <v>2571</v>
      </c>
      <c r="H5840">
        <v>39966</v>
      </c>
      <c r="I5840" t="s">
        <v>423</v>
      </c>
      <c r="J5840" t="s">
        <v>2126</v>
      </c>
      <c r="K5840" t="s">
        <v>2102</v>
      </c>
      <c r="L5840" t="s">
        <v>2115</v>
      </c>
      <c r="M5840">
        <v>930</v>
      </c>
      <c r="N5840">
        <v>25.19</v>
      </c>
      <c r="O5840">
        <v>14788.55</v>
      </c>
      <c r="P5840">
        <v>0</v>
      </c>
      <c r="Q5840">
        <v>14788.55</v>
      </c>
      <c r="R5840">
        <v>2366.17</v>
      </c>
      <c r="S5840">
        <v>591.54</v>
      </c>
      <c r="T5840">
        <v>16563.18</v>
      </c>
      <c r="U5840" t="s">
        <v>2106</v>
      </c>
      <c r="V5840" t="s">
        <v>9408</v>
      </c>
      <c r="W5840" t="s">
        <v>423</v>
      </c>
    </row>
    <row r="5841" spans="1:23" hidden="1" x14ac:dyDescent="0.2">
      <c r="A5841">
        <v>2012</v>
      </c>
      <c r="B5841" t="s">
        <v>304</v>
      </c>
      <c r="C5841" s="733">
        <v>40959</v>
      </c>
      <c r="D58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41" t="s">
        <v>485</v>
      </c>
      <c r="F5841" t="s">
        <v>2065</v>
      </c>
      <c r="G5841" t="s">
        <v>7601</v>
      </c>
      <c r="H5841">
        <v>42174</v>
      </c>
      <c r="I5841" t="s">
        <v>423</v>
      </c>
      <c r="J5841" t="s">
        <v>2126</v>
      </c>
      <c r="K5841" t="s">
        <v>2102</v>
      </c>
      <c r="L5841" t="s">
        <v>2115</v>
      </c>
      <c r="M5841">
        <v>930</v>
      </c>
      <c r="N5841">
        <v>25.2</v>
      </c>
      <c r="O5841">
        <v>14794.42</v>
      </c>
      <c r="P5841">
        <v>0</v>
      </c>
      <c r="Q5841">
        <v>14794.42</v>
      </c>
      <c r="R5841">
        <v>2367.11</v>
      </c>
      <c r="S5841">
        <v>591.78</v>
      </c>
      <c r="T5841">
        <v>16569.75</v>
      </c>
      <c r="U5841" t="s">
        <v>8883</v>
      </c>
      <c r="V5841" t="s">
        <v>9409</v>
      </c>
      <c r="W5841" t="s">
        <v>423</v>
      </c>
    </row>
    <row r="5842" spans="1:23" hidden="1" x14ac:dyDescent="0.2">
      <c r="A5842">
        <v>2012</v>
      </c>
      <c r="B5842" t="s">
        <v>304</v>
      </c>
      <c r="C5842" s="733">
        <v>40952</v>
      </c>
      <c r="D58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42" t="s">
        <v>478</v>
      </c>
      <c r="F5842" t="s">
        <v>2136</v>
      </c>
      <c r="G5842" t="s">
        <v>6292</v>
      </c>
      <c r="H5842">
        <v>34328</v>
      </c>
      <c r="I5842" t="s">
        <v>423</v>
      </c>
      <c r="J5842" t="s">
        <v>3480</v>
      </c>
      <c r="K5842" t="s">
        <v>3481</v>
      </c>
      <c r="L5842" t="s">
        <v>3482</v>
      </c>
      <c r="M5842">
        <v>75</v>
      </c>
      <c r="N5842">
        <v>26.47</v>
      </c>
      <c r="O5842">
        <v>2987.67</v>
      </c>
      <c r="P5842">
        <v>0</v>
      </c>
      <c r="Q5842">
        <v>2987.67</v>
      </c>
      <c r="R5842">
        <v>478.03</v>
      </c>
      <c r="S5842">
        <v>119.51</v>
      </c>
      <c r="T5842">
        <v>3346.19</v>
      </c>
      <c r="U5842" t="s">
        <v>3483</v>
      </c>
      <c r="V5842" t="s">
        <v>9408</v>
      </c>
      <c r="W5842" t="s">
        <v>423</v>
      </c>
    </row>
    <row r="5843" spans="1:23" hidden="1" x14ac:dyDescent="0.2">
      <c r="A5843">
        <v>2012</v>
      </c>
      <c r="B5843" t="s">
        <v>304</v>
      </c>
      <c r="C5843" s="733">
        <v>40952</v>
      </c>
      <c r="D58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43" t="s">
        <v>478</v>
      </c>
      <c r="F5843" t="s">
        <v>2136</v>
      </c>
      <c r="G5843" t="s">
        <v>6293</v>
      </c>
      <c r="H5843">
        <v>34331</v>
      </c>
      <c r="I5843" t="s">
        <v>423</v>
      </c>
      <c r="J5843" t="s">
        <v>3480</v>
      </c>
      <c r="K5843" t="s">
        <v>3481</v>
      </c>
      <c r="L5843" t="s">
        <v>3482</v>
      </c>
      <c r="M5843">
        <v>75</v>
      </c>
      <c r="N5843">
        <v>24.87</v>
      </c>
      <c r="O5843">
        <v>2807.08</v>
      </c>
      <c r="P5843">
        <v>0</v>
      </c>
      <c r="Q5843">
        <v>2807.08</v>
      </c>
      <c r="R5843">
        <v>449.13</v>
      </c>
      <c r="S5843">
        <v>112.28</v>
      </c>
      <c r="T5843">
        <v>3143.93</v>
      </c>
      <c r="U5843" t="s">
        <v>3483</v>
      </c>
      <c r="V5843" t="s">
        <v>9408</v>
      </c>
      <c r="W5843" t="s">
        <v>423</v>
      </c>
    </row>
    <row r="5844" spans="1:23" hidden="1" x14ac:dyDescent="0.2">
      <c r="A5844">
        <v>2012</v>
      </c>
      <c r="B5844" t="s">
        <v>303</v>
      </c>
      <c r="C5844" s="733">
        <v>40936</v>
      </c>
      <c r="D58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44" t="s">
        <v>478</v>
      </c>
      <c r="F5844" t="s">
        <v>2136</v>
      </c>
      <c r="G5844" t="s">
        <v>6294</v>
      </c>
      <c r="H5844">
        <v>34733</v>
      </c>
      <c r="I5844" t="s">
        <v>423</v>
      </c>
      <c r="J5844" t="s">
        <v>3480</v>
      </c>
      <c r="K5844" t="s">
        <v>3481</v>
      </c>
      <c r="L5844" t="s">
        <v>3482</v>
      </c>
      <c r="M5844">
        <v>75</v>
      </c>
      <c r="N5844">
        <v>36.104999999999997</v>
      </c>
      <c r="O5844">
        <v>4075.17</v>
      </c>
      <c r="P5844">
        <v>0</v>
      </c>
      <c r="Q5844">
        <v>4075.17</v>
      </c>
      <c r="R5844">
        <v>652.03</v>
      </c>
      <c r="S5844">
        <v>163.01</v>
      </c>
      <c r="T5844">
        <v>4564.1899999999996</v>
      </c>
      <c r="U5844" t="s">
        <v>3784</v>
      </c>
      <c r="V5844" t="s">
        <v>9408</v>
      </c>
      <c r="W5844" t="s">
        <v>423</v>
      </c>
    </row>
    <row r="5845" spans="1:23" hidden="1" x14ac:dyDescent="0.2">
      <c r="A5845">
        <v>2012</v>
      </c>
      <c r="B5845" t="s">
        <v>304</v>
      </c>
      <c r="C5845" s="733">
        <v>40960</v>
      </c>
      <c r="D58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45" t="s">
        <v>478</v>
      </c>
      <c r="F5845" t="s">
        <v>2136</v>
      </c>
      <c r="G5845" t="s">
        <v>8479</v>
      </c>
      <c r="H5845">
        <v>35817</v>
      </c>
      <c r="I5845" t="s">
        <v>423</v>
      </c>
      <c r="J5845" t="s">
        <v>3480</v>
      </c>
      <c r="K5845" t="s">
        <v>3481</v>
      </c>
      <c r="L5845" t="s">
        <v>3482</v>
      </c>
      <c r="M5845">
        <v>75</v>
      </c>
      <c r="N5845">
        <v>27.195</v>
      </c>
      <c r="O5845">
        <v>3069.5</v>
      </c>
      <c r="P5845">
        <v>0</v>
      </c>
      <c r="Q5845">
        <v>3069.5</v>
      </c>
      <c r="R5845">
        <v>491.12</v>
      </c>
      <c r="S5845">
        <v>122.78</v>
      </c>
      <c r="T5845">
        <v>3437.84</v>
      </c>
      <c r="U5845" t="s">
        <v>8277</v>
      </c>
      <c r="V5845" t="s">
        <v>9408</v>
      </c>
      <c r="W5845" t="s">
        <v>423</v>
      </c>
    </row>
    <row r="5846" spans="1:23" hidden="1" x14ac:dyDescent="0.2">
      <c r="A5846">
        <v>2012</v>
      </c>
      <c r="B5846" t="s">
        <v>303</v>
      </c>
      <c r="C5846" s="733">
        <v>40936</v>
      </c>
      <c r="D58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46" t="s">
        <v>478</v>
      </c>
      <c r="F5846" t="s">
        <v>3787</v>
      </c>
      <c r="G5846" t="s">
        <v>6301</v>
      </c>
      <c r="H5846">
        <v>34557</v>
      </c>
      <c r="I5846" t="s">
        <v>423</v>
      </c>
      <c r="J5846" t="s">
        <v>3480</v>
      </c>
      <c r="K5846" t="s">
        <v>3481</v>
      </c>
      <c r="L5846" t="s">
        <v>3482</v>
      </c>
      <c r="M5846">
        <v>75</v>
      </c>
      <c r="N5846">
        <v>29.585000000000001</v>
      </c>
      <c r="O5846">
        <v>3339.26</v>
      </c>
      <c r="P5846">
        <v>0</v>
      </c>
      <c r="Q5846">
        <v>3339.26</v>
      </c>
      <c r="R5846">
        <v>534.28</v>
      </c>
      <c r="S5846">
        <v>133.57</v>
      </c>
      <c r="T5846">
        <v>3739.97</v>
      </c>
      <c r="U5846" t="s">
        <v>3784</v>
      </c>
      <c r="V5846" t="s">
        <v>9408</v>
      </c>
      <c r="W5846" t="s">
        <v>423</v>
      </c>
    </row>
    <row r="5847" spans="1:23" hidden="1" x14ac:dyDescent="0.2">
      <c r="A5847">
        <v>2012</v>
      </c>
      <c r="B5847" t="s">
        <v>303</v>
      </c>
      <c r="C5847" s="733">
        <v>40936</v>
      </c>
      <c r="D58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47" t="s">
        <v>478</v>
      </c>
      <c r="F5847" t="s">
        <v>3787</v>
      </c>
      <c r="G5847" t="s">
        <v>6302</v>
      </c>
      <c r="H5847">
        <v>34560</v>
      </c>
      <c r="I5847" t="s">
        <v>423</v>
      </c>
      <c r="J5847" t="s">
        <v>3480</v>
      </c>
      <c r="K5847" t="s">
        <v>3481</v>
      </c>
      <c r="L5847" t="s">
        <v>3482</v>
      </c>
      <c r="M5847">
        <v>75</v>
      </c>
      <c r="N5847">
        <v>25.45</v>
      </c>
      <c r="O5847">
        <v>2872.54</v>
      </c>
      <c r="P5847">
        <v>0</v>
      </c>
      <c r="Q5847">
        <v>2872.54</v>
      </c>
      <c r="R5847">
        <v>459.61</v>
      </c>
      <c r="S5847">
        <v>114.9</v>
      </c>
      <c r="T5847">
        <v>3217.25</v>
      </c>
      <c r="U5847" t="s">
        <v>3784</v>
      </c>
      <c r="V5847" t="s">
        <v>9408</v>
      </c>
      <c r="W5847" t="s">
        <v>423</v>
      </c>
    </row>
    <row r="5848" spans="1:23" hidden="1" x14ac:dyDescent="0.2">
      <c r="A5848">
        <v>2012</v>
      </c>
      <c r="B5848" t="s">
        <v>304</v>
      </c>
      <c r="C5848" s="733">
        <v>40952.576493055552</v>
      </c>
      <c r="D58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48" t="s">
        <v>478</v>
      </c>
      <c r="F5848" t="s">
        <v>3787</v>
      </c>
      <c r="G5848" t="s">
        <v>6300</v>
      </c>
      <c r="H5848">
        <v>35544</v>
      </c>
      <c r="I5848" t="s">
        <v>423</v>
      </c>
      <c r="J5848" t="s">
        <v>3480</v>
      </c>
      <c r="K5848" t="s">
        <v>3481</v>
      </c>
      <c r="L5848" t="s">
        <v>3482</v>
      </c>
      <c r="M5848">
        <v>75</v>
      </c>
      <c r="N5848">
        <v>28.055</v>
      </c>
      <c r="O5848">
        <v>3166.57</v>
      </c>
      <c r="P5848">
        <v>0</v>
      </c>
      <c r="Q5848">
        <v>3166.57</v>
      </c>
      <c r="R5848">
        <v>506.65</v>
      </c>
      <c r="S5848">
        <v>126.66</v>
      </c>
      <c r="T5848">
        <v>3546.56</v>
      </c>
      <c r="U5848" t="s">
        <v>3483</v>
      </c>
      <c r="V5848" t="s">
        <v>9408</v>
      </c>
      <c r="W5848" t="s">
        <v>423</v>
      </c>
    </row>
    <row r="5849" spans="1:23" hidden="1" x14ac:dyDescent="0.2">
      <c r="A5849">
        <v>2012</v>
      </c>
      <c r="B5849" t="s">
        <v>304</v>
      </c>
      <c r="C5849" s="733">
        <v>40941</v>
      </c>
      <c r="D58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49" t="s">
        <v>485</v>
      </c>
      <c r="F5849" t="s">
        <v>2065</v>
      </c>
      <c r="G5849" t="s">
        <v>2570</v>
      </c>
      <c r="H5849">
        <v>41146</v>
      </c>
      <c r="I5849" t="s">
        <v>423</v>
      </c>
      <c r="J5849" t="s">
        <v>2126</v>
      </c>
      <c r="K5849" t="s">
        <v>2102</v>
      </c>
      <c r="L5849" t="s">
        <v>2115</v>
      </c>
      <c r="M5849">
        <v>930</v>
      </c>
      <c r="N5849">
        <v>24.22</v>
      </c>
      <c r="O5849">
        <v>14219.08</v>
      </c>
      <c r="P5849">
        <v>0</v>
      </c>
      <c r="Q5849">
        <v>14219.08</v>
      </c>
      <c r="R5849">
        <v>2275.0500000000002</v>
      </c>
      <c r="S5849">
        <v>568.76</v>
      </c>
      <c r="T5849">
        <v>15925.37</v>
      </c>
      <c r="V5849" t="s">
        <v>9408</v>
      </c>
      <c r="W5849" t="s">
        <v>423</v>
      </c>
    </row>
    <row r="5850" spans="1:23" x14ac:dyDescent="0.2">
      <c r="A5850">
        <v>2012</v>
      </c>
      <c r="B5850" t="s">
        <v>304</v>
      </c>
      <c r="C5850" s="733">
        <v>40968</v>
      </c>
      <c r="D58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50" t="s">
        <v>485</v>
      </c>
      <c r="F5850" t="s">
        <v>3450</v>
      </c>
      <c r="G5850" t="s">
        <v>9642</v>
      </c>
      <c r="H5850">
        <v>42529</v>
      </c>
      <c r="I5850" t="s">
        <v>423</v>
      </c>
      <c r="J5850" t="s">
        <v>3462</v>
      </c>
      <c r="K5850" t="s">
        <v>3453</v>
      </c>
      <c r="L5850" t="s">
        <v>3454</v>
      </c>
      <c r="M5850">
        <v>425</v>
      </c>
      <c r="N5850">
        <v>55.08</v>
      </c>
      <c r="O5850">
        <v>15369.52</v>
      </c>
      <c r="P5850">
        <v>0</v>
      </c>
      <c r="Q5850">
        <v>15369.52</v>
      </c>
      <c r="R5850">
        <v>2459.12</v>
      </c>
      <c r="S5850">
        <v>614.78</v>
      </c>
      <c r="T5850">
        <v>17213.86</v>
      </c>
      <c r="V5850" t="s">
        <v>9409</v>
      </c>
      <c r="W5850" t="s">
        <v>423</v>
      </c>
    </row>
    <row r="5851" spans="1:23" hidden="1" x14ac:dyDescent="0.2">
      <c r="A5851">
        <v>2012</v>
      </c>
      <c r="B5851" t="s">
        <v>304</v>
      </c>
      <c r="C5851" s="733">
        <v>40960</v>
      </c>
      <c r="D58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51" t="s">
        <v>485</v>
      </c>
      <c r="F5851" t="s">
        <v>3450</v>
      </c>
      <c r="G5851" t="s">
        <v>8480</v>
      </c>
      <c r="H5851">
        <v>41942</v>
      </c>
      <c r="I5851" t="s">
        <v>423</v>
      </c>
      <c r="J5851" t="s">
        <v>3462</v>
      </c>
      <c r="K5851" t="s">
        <v>3453</v>
      </c>
      <c r="L5851" t="s">
        <v>3454</v>
      </c>
      <c r="M5851">
        <v>425</v>
      </c>
      <c r="N5851">
        <v>54.98</v>
      </c>
      <c r="O5851">
        <v>15341.62</v>
      </c>
      <c r="P5851">
        <v>0</v>
      </c>
      <c r="Q5851">
        <v>15341.62</v>
      </c>
      <c r="R5851">
        <v>2454.66</v>
      </c>
      <c r="S5851">
        <v>613.66</v>
      </c>
      <c r="T5851">
        <v>17182.62</v>
      </c>
      <c r="U5851" t="s">
        <v>8991</v>
      </c>
      <c r="V5851" t="s">
        <v>9409</v>
      </c>
      <c r="W5851" t="s">
        <v>423</v>
      </c>
    </row>
    <row r="5852" spans="1:23" hidden="1" x14ac:dyDescent="0.2">
      <c r="A5852">
        <v>2012</v>
      </c>
      <c r="B5852" t="s">
        <v>304</v>
      </c>
      <c r="C5852" s="733">
        <v>40948</v>
      </c>
      <c r="D58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52" t="s">
        <v>485</v>
      </c>
      <c r="F5852" t="s">
        <v>3450</v>
      </c>
      <c r="G5852" t="s">
        <v>6103</v>
      </c>
      <c r="H5852">
        <v>41261</v>
      </c>
      <c r="I5852" t="s">
        <v>423</v>
      </c>
      <c r="J5852" t="s">
        <v>3462</v>
      </c>
      <c r="K5852" t="s">
        <v>3453</v>
      </c>
      <c r="L5852" t="s">
        <v>3454</v>
      </c>
      <c r="M5852">
        <v>425</v>
      </c>
      <c r="N5852">
        <v>52.17</v>
      </c>
      <c r="O5852">
        <v>14557.52</v>
      </c>
      <c r="P5852">
        <v>0</v>
      </c>
      <c r="Q5852">
        <v>14557.52</v>
      </c>
      <c r="R5852">
        <v>2329.1999999999998</v>
      </c>
      <c r="S5852">
        <v>582.29999999999995</v>
      </c>
      <c r="T5852">
        <v>16304.42</v>
      </c>
      <c r="U5852" t="s">
        <v>3455</v>
      </c>
      <c r="V5852" t="s">
        <v>9409</v>
      </c>
      <c r="W5852" t="s">
        <v>423</v>
      </c>
    </row>
    <row r="5853" spans="1:23" hidden="1" x14ac:dyDescent="0.2">
      <c r="A5853">
        <v>2012</v>
      </c>
      <c r="B5853" t="s">
        <v>304</v>
      </c>
      <c r="C5853" s="733">
        <v>40942</v>
      </c>
      <c r="D58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53" t="s">
        <v>485</v>
      </c>
      <c r="F5853" t="s">
        <v>2065</v>
      </c>
      <c r="G5853" t="s">
        <v>2569</v>
      </c>
      <c r="H5853">
        <v>41264</v>
      </c>
      <c r="I5853" t="s">
        <v>423</v>
      </c>
      <c r="J5853" t="s">
        <v>2126</v>
      </c>
      <c r="K5853" t="s">
        <v>2102</v>
      </c>
      <c r="L5853" t="s">
        <v>2115</v>
      </c>
      <c r="M5853">
        <v>930</v>
      </c>
      <c r="N5853">
        <v>53.28</v>
      </c>
      <c r="O5853">
        <v>31279.62</v>
      </c>
      <c r="P5853">
        <v>0</v>
      </c>
      <c r="Q5853">
        <v>31279.62</v>
      </c>
      <c r="R5853">
        <v>5004.74</v>
      </c>
      <c r="S5853">
        <v>1251.18</v>
      </c>
      <c r="T5853">
        <v>35033.18</v>
      </c>
      <c r="U5853" t="s">
        <v>7462</v>
      </c>
      <c r="V5853" t="s">
        <v>9409</v>
      </c>
      <c r="W5853" t="s">
        <v>423</v>
      </c>
    </row>
    <row r="5854" spans="1:23" hidden="1" x14ac:dyDescent="0.2">
      <c r="A5854">
        <v>2012</v>
      </c>
      <c r="B5854" t="s">
        <v>303</v>
      </c>
      <c r="C5854" s="733">
        <v>40939</v>
      </c>
      <c r="D58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54" t="s">
        <v>505</v>
      </c>
      <c r="F5854" t="s">
        <v>1915</v>
      </c>
      <c r="G5854" t="s">
        <v>7122</v>
      </c>
      <c r="H5854">
        <v>21687</v>
      </c>
      <c r="I5854" t="s">
        <v>423</v>
      </c>
      <c r="J5854" t="s">
        <v>5606</v>
      </c>
      <c r="K5854" t="s">
        <v>1918</v>
      </c>
      <c r="L5854" t="s">
        <v>1919</v>
      </c>
      <c r="M5854">
        <v>383</v>
      </c>
      <c r="N5854">
        <v>54.2</v>
      </c>
      <c r="O5854">
        <v>15893.61</v>
      </c>
      <c r="P5854">
        <v>0</v>
      </c>
      <c r="Q5854">
        <v>15893.61</v>
      </c>
      <c r="R5854">
        <v>2542.98</v>
      </c>
      <c r="S5854">
        <v>635.74</v>
      </c>
      <c r="T5854">
        <v>17800.849999999999</v>
      </c>
      <c r="U5854" t="s">
        <v>1926</v>
      </c>
      <c r="V5854" t="s">
        <v>9409</v>
      </c>
      <c r="W5854" t="s">
        <v>423</v>
      </c>
    </row>
    <row r="5855" spans="1:23" hidden="1" x14ac:dyDescent="0.2">
      <c r="A5855">
        <v>2012</v>
      </c>
      <c r="B5855" t="s">
        <v>303</v>
      </c>
      <c r="C5855" s="733">
        <v>40914</v>
      </c>
      <c r="D58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55" t="s">
        <v>505</v>
      </c>
      <c r="F5855" t="s">
        <v>1915</v>
      </c>
      <c r="G5855" t="s">
        <v>7029</v>
      </c>
      <c r="H5855">
        <v>21753</v>
      </c>
      <c r="I5855" t="s">
        <v>423</v>
      </c>
      <c r="J5855" t="s">
        <v>1945</v>
      </c>
      <c r="K5855" t="s">
        <v>1918</v>
      </c>
      <c r="L5855" t="s">
        <v>1919</v>
      </c>
      <c r="M5855">
        <v>949</v>
      </c>
      <c r="N5855">
        <v>24.93</v>
      </c>
      <c r="O5855">
        <v>14558.12</v>
      </c>
      <c r="P5855">
        <v>0</v>
      </c>
      <c r="Q5855">
        <v>14558.12</v>
      </c>
      <c r="R5855">
        <v>2329.3000000000002</v>
      </c>
      <c r="S5855">
        <v>582.32000000000005</v>
      </c>
      <c r="T5855">
        <v>16305.1</v>
      </c>
      <c r="U5855" t="s">
        <v>1920</v>
      </c>
      <c r="V5855" t="s">
        <v>9408</v>
      </c>
      <c r="W5855" t="s">
        <v>423</v>
      </c>
    </row>
    <row r="5856" spans="1:23" hidden="1" x14ac:dyDescent="0.2">
      <c r="A5856">
        <v>2012</v>
      </c>
      <c r="B5856" t="s">
        <v>303</v>
      </c>
      <c r="C5856" s="733">
        <v>40921</v>
      </c>
      <c r="D58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56" t="s">
        <v>505</v>
      </c>
      <c r="F5856" t="s">
        <v>1915</v>
      </c>
      <c r="G5856" t="s">
        <v>7027</v>
      </c>
      <c r="H5856">
        <v>21872</v>
      </c>
      <c r="I5856" t="s">
        <v>423</v>
      </c>
      <c r="J5856" t="s">
        <v>1945</v>
      </c>
      <c r="K5856" t="s">
        <v>1918</v>
      </c>
      <c r="L5856" t="s">
        <v>1919</v>
      </c>
      <c r="M5856">
        <v>949</v>
      </c>
      <c r="N5856">
        <v>49.79</v>
      </c>
      <c r="O5856">
        <v>29075.37</v>
      </c>
      <c r="P5856">
        <v>0</v>
      </c>
      <c r="Q5856">
        <v>29075.37</v>
      </c>
      <c r="R5856">
        <v>4652.0600000000004</v>
      </c>
      <c r="S5856">
        <v>1163.01</v>
      </c>
      <c r="T5856">
        <v>32564.42</v>
      </c>
      <c r="U5856" t="s">
        <v>1931</v>
      </c>
      <c r="V5856" t="s">
        <v>9409</v>
      </c>
      <c r="W5856" t="s">
        <v>423</v>
      </c>
    </row>
    <row r="5857" spans="1:23" hidden="1" x14ac:dyDescent="0.2">
      <c r="A5857">
        <v>2012</v>
      </c>
      <c r="B5857" t="s">
        <v>304</v>
      </c>
      <c r="C5857" s="733">
        <v>40940</v>
      </c>
      <c r="D58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57" t="s">
        <v>505</v>
      </c>
      <c r="F5857" t="s">
        <v>1915</v>
      </c>
      <c r="G5857" t="s">
        <v>7022</v>
      </c>
      <c r="H5857">
        <v>22405</v>
      </c>
      <c r="I5857" t="s">
        <v>423</v>
      </c>
      <c r="J5857" t="s">
        <v>3207</v>
      </c>
      <c r="K5857" t="s">
        <v>1918</v>
      </c>
      <c r="L5857" t="s">
        <v>1919</v>
      </c>
      <c r="M5857">
        <v>334</v>
      </c>
      <c r="N5857">
        <v>25.19</v>
      </c>
      <c r="O5857">
        <v>6955.97</v>
      </c>
      <c r="P5857">
        <v>0</v>
      </c>
      <c r="Q5857">
        <v>6955.97</v>
      </c>
      <c r="R5857">
        <v>1112.95</v>
      </c>
      <c r="S5857">
        <v>278.24</v>
      </c>
      <c r="T5857">
        <v>7790.68</v>
      </c>
      <c r="U5857" t="s">
        <v>1926</v>
      </c>
      <c r="V5857" t="s">
        <v>9408</v>
      </c>
      <c r="W5857" t="s">
        <v>423</v>
      </c>
    </row>
    <row r="5858" spans="1:23" hidden="1" x14ac:dyDescent="0.2">
      <c r="A5858">
        <v>2012</v>
      </c>
      <c r="B5858" t="s">
        <v>304</v>
      </c>
      <c r="C5858" s="733">
        <v>40964</v>
      </c>
      <c r="D58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58" t="s">
        <v>505</v>
      </c>
      <c r="F5858" t="s">
        <v>1915</v>
      </c>
      <c r="G5858" t="s">
        <v>8711</v>
      </c>
      <c r="H5858">
        <v>22991</v>
      </c>
      <c r="I5858" t="s">
        <v>423</v>
      </c>
      <c r="J5858" t="s">
        <v>3207</v>
      </c>
      <c r="K5858" t="s">
        <v>1918</v>
      </c>
      <c r="L5858" t="s">
        <v>1919</v>
      </c>
      <c r="M5858">
        <v>334</v>
      </c>
      <c r="N5858">
        <v>50.08</v>
      </c>
      <c r="O5858">
        <v>13829.09</v>
      </c>
      <c r="P5858">
        <v>0</v>
      </c>
      <c r="Q5858">
        <v>13829.09</v>
      </c>
      <c r="R5858">
        <v>2212.65</v>
      </c>
      <c r="S5858">
        <v>553.16</v>
      </c>
      <c r="T5858">
        <v>15488.58</v>
      </c>
      <c r="U5858" t="s">
        <v>9415</v>
      </c>
      <c r="V5858" t="s">
        <v>9409</v>
      </c>
      <c r="W5858" t="s">
        <v>423</v>
      </c>
    </row>
    <row r="5859" spans="1:23" hidden="1" x14ac:dyDescent="0.2">
      <c r="A5859">
        <v>2012</v>
      </c>
      <c r="B5859" t="s">
        <v>305</v>
      </c>
      <c r="C5859" s="733">
        <v>40969</v>
      </c>
      <c r="D5859" s="733" t="str">
        <f>CHOOSE(MONTH(Tabla_sqldatos_bonampakdb_Bon_v_ingresos2012[[#This Row],[fecha_guia]]),"Enero","Febrero","Marzo","Abril","Mayo","Junio","Julio","Agosto","Septiembre","Octubre","Noviembre","Diciembre")</f>
        <v>Marzo</v>
      </c>
      <c r="E5859" t="s">
        <v>505</v>
      </c>
      <c r="F5859" t="s">
        <v>1915</v>
      </c>
      <c r="G5859" t="s">
        <v>9420</v>
      </c>
      <c r="H5859">
        <v>23110</v>
      </c>
      <c r="I5859" t="s">
        <v>423</v>
      </c>
      <c r="J5859" t="s">
        <v>3207</v>
      </c>
      <c r="K5859" t="s">
        <v>1918</v>
      </c>
      <c r="L5859" t="s">
        <v>1919</v>
      </c>
      <c r="M5859">
        <v>334</v>
      </c>
      <c r="N5859">
        <v>49.66</v>
      </c>
      <c r="O5859">
        <v>13713.11</v>
      </c>
      <c r="P5859">
        <v>0</v>
      </c>
      <c r="Q5859">
        <v>13713.11</v>
      </c>
      <c r="R5859">
        <v>2194.1</v>
      </c>
      <c r="S5859">
        <v>548.52</v>
      </c>
      <c r="T5859">
        <v>15358.69</v>
      </c>
      <c r="V5859" t="s">
        <v>9409</v>
      </c>
      <c r="W5859" t="s">
        <v>423</v>
      </c>
    </row>
    <row r="5860" spans="1:23" hidden="1" x14ac:dyDescent="0.2">
      <c r="A5860">
        <v>2012</v>
      </c>
      <c r="B5860" t="s">
        <v>303</v>
      </c>
      <c r="C5860" s="733">
        <v>40936</v>
      </c>
      <c r="D58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60" t="s">
        <v>478</v>
      </c>
      <c r="F5860" t="s">
        <v>3787</v>
      </c>
      <c r="G5860" t="s">
        <v>5967</v>
      </c>
      <c r="H5860">
        <v>34783</v>
      </c>
      <c r="I5860" t="s">
        <v>423</v>
      </c>
      <c r="J5860" t="s">
        <v>3797</v>
      </c>
      <c r="K5860" t="s">
        <v>3481</v>
      </c>
      <c r="L5860" t="s">
        <v>3482</v>
      </c>
      <c r="M5860">
        <v>266</v>
      </c>
      <c r="N5860">
        <v>25.82</v>
      </c>
      <c r="O5860">
        <v>5766.12</v>
      </c>
      <c r="P5860">
        <v>0</v>
      </c>
      <c r="Q5860">
        <v>5766.12</v>
      </c>
      <c r="R5860">
        <v>922.58</v>
      </c>
      <c r="S5860">
        <v>230.64</v>
      </c>
      <c r="T5860">
        <v>6458.06</v>
      </c>
      <c r="U5860" t="s">
        <v>3784</v>
      </c>
      <c r="V5860" t="s">
        <v>9408</v>
      </c>
      <c r="W5860" t="s">
        <v>423</v>
      </c>
    </row>
    <row r="5861" spans="1:23" hidden="1" x14ac:dyDescent="0.2">
      <c r="A5861">
        <v>2012</v>
      </c>
      <c r="B5861" t="s">
        <v>303</v>
      </c>
      <c r="C5861" s="733">
        <v>40910</v>
      </c>
      <c r="D58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61" t="s">
        <v>485</v>
      </c>
      <c r="F5861" t="s">
        <v>2065</v>
      </c>
      <c r="G5861" t="s">
        <v>4167</v>
      </c>
      <c r="H5861">
        <v>39579</v>
      </c>
      <c r="I5861" t="s">
        <v>423</v>
      </c>
      <c r="J5861" t="s">
        <v>2182</v>
      </c>
      <c r="K5861" t="s">
        <v>2183</v>
      </c>
      <c r="L5861" t="s">
        <v>2184</v>
      </c>
      <c r="M5861">
        <v>62</v>
      </c>
      <c r="N5861">
        <v>14.94</v>
      </c>
      <c r="O5861">
        <v>931.81</v>
      </c>
      <c r="P5861">
        <v>1049.1155610000001</v>
      </c>
      <c r="Q5861">
        <v>1980.925561</v>
      </c>
      <c r="R5861">
        <v>316.94808999999998</v>
      </c>
      <c r="S5861">
        <v>79.237021999999996</v>
      </c>
      <c r="T5861">
        <v>2218.6366290000001</v>
      </c>
      <c r="U5861" t="s">
        <v>3038</v>
      </c>
      <c r="V5861" t="s">
        <v>9408</v>
      </c>
      <c r="W5861" t="s">
        <v>423</v>
      </c>
    </row>
    <row r="5862" spans="1:23" hidden="1" x14ac:dyDescent="0.2">
      <c r="A5862">
        <v>2012</v>
      </c>
      <c r="B5862" t="s">
        <v>304</v>
      </c>
      <c r="C5862" s="733">
        <v>40940</v>
      </c>
      <c r="D58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62" t="s">
        <v>485</v>
      </c>
      <c r="F5862" t="s">
        <v>2084</v>
      </c>
      <c r="G5862" t="s">
        <v>5959</v>
      </c>
      <c r="H5862">
        <v>40794</v>
      </c>
      <c r="I5862" t="s">
        <v>423</v>
      </c>
      <c r="J5862" t="s">
        <v>2836</v>
      </c>
      <c r="K5862" t="s">
        <v>2814</v>
      </c>
      <c r="L5862" t="s">
        <v>2815</v>
      </c>
      <c r="M5862">
        <v>70</v>
      </c>
      <c r="N5862">
        <v>29.881</v>
      </c>
      <c r="O5862">
        <v>3372.67</v>
      </c>
      <c r="P5862">
        <v>0</v>
      </c>
      <c r="Q5862">
        <v>3372.67</v>
      </c>
      <c r="R5862">
        <v>539.63</v>
      </c>
      <c r="S5862">
        <v>134.91</v>
      </c>
      <c r="T5862">
        <v>3777.39</v>
      </c>
      <c r="U5862" t="s">
        <v>2826</v>
      </c>
      <c r="V5862" t="s">
        <v>9408</v>
      </c>
      <c r="W5862" t="s">
        <v>423</v>
      </c>
    </row>
    <row r="5863" spans="1:23" hidden="1" x14ac:dyDescent="0.2">
      <c r="A5863">
        <v>2012</v>
      </c>
      <c r="B5863" t="s">
        <v>304</v>
      </c>
      <c r="C5863" s="733">
        <v>40967</v>
      </c>
      <c r="D58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63" t="s">
        <v>478</v>
      </c>
      <c r="F5863" t="s">
        <v>3358</v>
      </c>
      <c r="G5863" t="s">
        <v>8971</v>
      </c>
      <c r="H5863">
        <v>36168</v>
      </c>
      <c r="I5863" t="s">
        <v>423</v>
      </c>
      <c r="J5863" t="s">
        <v>3360</v>
      </c>
      <c r="K5863" t="s">
        <v>483</v>
      </c>
      <c r="L5863" t="s">
        <v>3361</v>
      </c>
      <c r="M5863">
        <v>49</v>
      </c>
      <c r="N5863">
        <v>25.83</v>
      </c>
      <c r="O5863">
        <v>2915.43</v>
      </c>
      <c r="P5863">
        <v>0</v>
      </c>
      <c r="Q5863">
        <v>2915.43</v>
      </c>
      <c r="R5863">
        <v>466.47</v>
      </c>
      <c r="S5863">
        <v>116.62</v>
      </c>
      <c r="T5863">
        <v>3265.28</v>
      </c>
      <c r="V5863" t="s">
        <v>9408</v>
      </c>
      <c r="W5863" t="s">
        <v>423</v>
      </c>
    </row>
    <row r="5864" spans="1:23" x14ac:dyDescent="0.2">
      <c r="A5864">
        <v>2012</v>
      </c>
      <c r="B5864" t="s">
        <v>304</v>
      </c>
      <c r="C5864" s="733">
        <v>40968</v>
      </c>
      <c r="D58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64" t="s">
        <v>485</v>
      </c>
      <c r="F5864" t="s">
        <v>2065</v>
      </c>
      <c r="G5864" t="s">
        <v>9032</v>
      </c>
      <c r="H5864">
        <v>42664</v>
      </c>
      <c r="I5864" t="s">
        <v>423</v>
      </c>
      <c r="J5864" t="s">
        <v>5479</v>
      </c>
      <c r="K5864" t="s">
        <v>2102</v>
      </c>
      <c r="L5864" t="s">
        <v>2115</v>
      </c>
      <c r="M5864">
        <v>979</v>
      </c>
      <c r="N5864">
        <v>28.2</v>
      </c>
      <c r="O5864">
        <v>15118.87</v>
      </c>
      <c r="P5864">
        <v>0</v>
      </c>
      <c r="Q5864">
        <v>15118.87</v>
      </c>
      <c r="R5864">
        <v>2419.02</v>
      </c>
      <c r="S5864">
        <v>604.75</v>
      </c>
      <c r="T5864">
        <v>16933.14</v>
      </c>
      <c r="V5864" t="s">
        <v>9408</v>
      </c>
      <c r="W5864" t="s">
        <v>423</v>
      </c>
    </row>
    <row r="5865" spans="1:23" hidden="1" x14ac:dyDescent="0.2">
      <c r="A5865">
        <v>2012</v>
      </c>
      <c r="B5865" t="s">
        <v>303</v>
      </c>
      <c r="C5865" s="733">
        <v>40921</v>
      </c>
      <c r="D58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65" t="s">
        <v>505</v>
      </c>
      <c r="F5865" t="s">
        <v>1915</v>
      </c>
      <c r="G5865" t="s">
        <v>2425</v>
      </c>
      <c r="H5865">
        <v>21925</v>
      </c>
      <c r="I5865" t="s">
        <v>424</v>
      </c>
      <c r="J5865" t="s">
        <v>1917</v>
      </c>
      <c r="K5865" t="s">
        <v>1918</v>
      </c>
      <c r="L5865" t="s">
        <v>1919</v>
      </c>
      <c r="M5865">
        <v>267</v>
      </c>
      <c r="N5865">
        <v>27</v>
      </c>
      <c r="O5865">
        <v>2636.97</v>
      </c>
      <c r="P5865">
        <v>1515.4402889999999</v>
      </c>
      <c r="Q5865">
        <v>4152.4102890000004</v>
      </c>
      <c r="R5865">
        <v>664.38564599999995</v>
      </c>
      <c r="S5865">
        <v>166.09641199999999</v>
      </c>
      <c r="T5865">
        <v>4650.6995230000002</v>
      </c>
      <c r="U5865" t="s">
        <v>1931</v>
      </c>
      <c r="V5865" t="s">
        <v>9408</v>
      </c>
      <c r="W5865" t="s">
        <v>424</v>
      </c>
    </row>
    <row r="5866" spans="1:23" hidden="1" x14ac:dyDescent="0.2">
      <c r="A5866">
        <v>2012</v>
      </c>
      <c r="B5866" t="s">
        <v>304</v>
      </c>
      <c r="C5866" s="733">
        <v>40964</v>
      </c>
      <c r="D58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66" t="s">
        <v>505</v>
      </c>
      <c r="F5866" t="s">
        <v>1915</v>
      </c>
      <c r="G5866" t="s">
        <v>8707</v>
      </c>
      <c r="H5866">
        <v>22988</v>
      </c>
      <c r="I5866" t="s">
        <v>423</v>
      </c>
      <c r="J5866" t="s">
        <v>1917</v>
      </c>
      <c r="K5866" t="s">
        <v>1918</v>
      </c>
      <c r="L5866" t="s">
        <v>1919</v>
      </c>
      <c r="M5866">
        <v>267</v>
      </c>
      <c r="N5866">
        <v>24.79</v>
      </c>
      <c r="O5866">
        <v>5573.78</v>
      </c>
      <c r="P5866">
        <v>0</v>
      </c>
      <c r="Q5866">
        <v>5573.78</v>
      </c>
      <c r="R5866">
        <v>891.81</v>
      </c>
      <c r="S5866">
        <v>222.95</v>
      </c>
      <c r="T5866">
        <v>6242.64</v>
      </c>
      <c r="U5866" t="s">
        <v>9415</v>
      </c>
      <c r="V5866" t="s">
        <v>9409</v>
      </c>
      <c r="W5866" t="s">
        <v>423</v>
      </c>
    </row>
    <row r="5867" spans="1:23" hidden="1" x14ac:dyDescent="0.2">
      <c r="A5867">
        <v>2012</v>
      </c>
      <c r="B5867" t="s">
        <v>303</v>
      </c>
      <c r="C5867" s="733">
        <v>40914</v>
      </c>
      <c r="D58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67" t="s">
        <v>505</v>
      </c>
      <c r="F5867" t="s">
        <v>1915</v>
      </c>
      <c r="G5867" t="s">
        <v>7024</v>
      </c>
      <c r="H5867">
        <v>21836</v>
      </c>
      <c r="I5867" t="s">
        <v>423</v>
      </c>
      <c r="J5867" t="s">
        <v>1917</v>
      </c>
      <c r="K5867" t="s">
        <v>1918</v>
      </c>
      <c r="L5867" t="s">
        <v>1919</v>
      </c>
      <c r="M5867">
        <v>267</v>
      </c>
      <c r="N5867">
        <v>27.69</v>
      </c>
      <c r="O5867">
        <v>6225.82</v>
      </c>
      <c r="P5867">
        <v>0</v>
      </c>
      <c r="Q5867">
        <v>6225.82</v>
      </c>
      <c r="R5867">
        <v>996.13</v>
      </c>
      <c r="S5867">
        <v>249.03</v>
      </c>
      <c r="T5867">
        <v>6972.92</v>
      </c>
      <c r="U5867" t="s">
        <v>1931</v>
      </c>
      <c r="V5867" t="s">
        <v>9408</v>
      </c>
      <c r="W5867" t="s">
        <v>423</v>
      </c>
    </row>
    <row r="5868" spans="1:23" hidden="1" x14ac:dyDescent="0.2">
      <c r="A5868">
        <v>2012</v>
      </c>
      <c r="B5868" t="s">
        <v>304</v>
      </c>
      <c r="C5868" s="733">
        <v>40954</v>
      </c>
      <c r="D58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68" t="s">
        <v>485</v>
      </c>
      <c r="F5868" t="s">
        <v>2048</v>
      </c>
      <c r="G5868" t="s">
        <v>7810</v>
      </c>
      <c r="H5868">
        <v>42021</v>
      </c>
      <c r="I5868" t="s">
        <v>423</v>
      </c>
      <c r="J5868" t="s">
        <v>4073</v>
      </c>
      <c r="K5868" t="s">
        <v>2051</v>
      </c>
      <c r="L5868" t="s">
        <v>2052</v>
      </c>
      <c r="M5868">
        <v>610</v>
      </c>
      <c r="N5868">
        <v>53.1</v>
      </c>
      <c r="O5868">
        <v>18823.419999999998</v>
      </c>
      <c r="P5868">
        <v>0</v>
      </c>
      <c r="Q5868">
        <v>18823.419999999998</v>
      </c>
      <c r="R5868">
        <v>3011.75</v>
      </c>
      <c r="S5868">
        <v>752.94</v>
      </c>
      <c r="T5868">
        <v>21082.23</v>
      </c>
      <c r="U5868" t="s">
        <v>8780</v>
      </c>
      <c r="V5868" t="s">
        <v>9409</v>
      </c>
      <c r="W5868" t="s">
        <v>423</v>
      </c>
    </row>
    <row r="5869" spans="1:23" hidden="1" x14ac:dyDescent="0.2">
      <c r="A5869">
        <v>2012</v>
      </c>
      <c r="B5869" t="s">
        <v>304</v>
      </c>
      <c r="C5869" s="733">
        <v>40966</v>
      </c>
      <c r="D58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69" t="s">
        <v>485</v>
      </c>
      <c r="F5869" t="s">
        <v>2065</v>
      </c>
      <c r="G5869" t="s">
        <v>8817</v>
      </c>
      <c r="H5869">
        <v>42570</v>
      </c>
      <c r="I5869" t="s">
        <v>423</v>
      </c>
      <c r="J5869" t="s">
        <v>3054</v>
      </c>
      <c r="K5869" t="s">
        <v>2183</v>
      </c>
      <c r="L5869" t="s">
        <v>2184</v>
      </c>
      <c r="M5869">
        <v>43</v>
      </c>
      <c r="N5869">
        <v>14.72</v>
      </c>
      <c r="O5869">
        <v>1661.45</v>
      </c>
      <c r="P5869">
        <v>0</v>
      </c>
      <c r="Q5869">
        <v>1661.45</v>
      </c>
      <c r="R5869">
        <v>265.83</v>
      </c>
      <c r="S5869">
        <v>66.459999999999994</v>
      </c>
      <c r="T5869">
        <v>1860.82</v>
      </c>
      <c r="V5869" t="s">
        <v>9408</v>
      </c>
      <c r="W5869" t="s">
        <v>423</v>
      </c>
    </row>
    <row r="5870" spans="1:23" hidden="1" x14ac:dyDescent="0.2">
      <c r="A5870">
        <v>2012</v>
      </c>
      <c r="B5870" t="s">
        <v>303</v>
      </c>
      <c r="C5870" s="733">
        <v>40927</v>
      </c>
      <c r="D58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70" t="s">
        <v>478</v>
      </c>
      <c r="F5870" t="s">
        <v>2136</v>
      </c>
      <c r="G5870" t="s">
        <v>7219</v>
      </c>
      <c r="H5870">
        <v>34675</v>
      </c>
      <c r="I5870" t="s">
        <v>423</v>
      </c>
      <c r="J5870" t="s">
        <v>4632</v>
      </c>
      <c r="K5870" t="s">
        <v>425</v>
      </c>
      <c r="L5870" t="s">
        <v>2145</v>
      </c>
      <c r="M5870">
        <v>1395</v>
      </c>
      <c r="N5870">
        <v>51.86</v>
      </c>
      <c r="O5870">
        <v>47026.13</v>
      </c>
      <c r="P5870">
        <v>0</v>
      </c>
      <c r="Q5870">
        <v>47026.13</v>
      </c>
      <c r="R5870">
        <v>7524.18</v>
      </c>
      <c r="S5870">
        <v>1881.05</v>
      </c>
      <c r="T5870">
        <v>52669.26</v>
      </c>
      <c r="U5870" t="s">
        <v>2146</v>
      </c>
      <c r="V5870" t="s">
        <v>9409</v>
      </c>
      <c r="W5870" t="s">
        <v>423</v>
      </c>
    </row>
    <row r="5871" spans="1:23" hidden="1" x14ac:dyDescent="0.2">
      <c r="A5871">
        <v>2012</v>
      </c>
      <c r="B5871" t="s">
        <v>304</v>
      </c>
      <c r="C5871" s="733">
        <v>40962</v>
      </c>
      <c r="D58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71" t="s">
        <v>485</v>
      </c>
      <c r="F5871" t="s">
        <v>2048</v>
      </c>
      <c r="G5871" t="s">
        <v>8611</v>
      </c>
      <c r="H5871">
        <v>42490</v>
      </c>
      <c r="I5871" t="s">
        <v>423</v>
      </c>
      <c r="J5871" t="s">
        <v>4073</v>
      </c>
      <c r="K5871" t="s">
        <v>2051</v>
      </c>
      <c r="L5871" t="s">
        <v>2052</v>
      </c>
      <c r="M5871">
        <v>610</v>
      </c>
      <c r="N5871">
        <v>51.05</v>
      </c>
      <c r="O5871">
        <v>18096.71</v>
      </c>
      <c r="P5871">
        <v>0</v>
      </c>
      <c r="Q5871">
        <v>18096.71</v>
      </c>
      <c r="R5871">
        <v>2895.47</v>
      </c>
      <c r="S5871">
        <v>723.87</v>
      </c>
      <c r="T5871">
        <v>20268.310000000001</v>
      </c>
      <c r="U5871" t="s">
        <v>8780</v>
      </c>
      <c r="V5871" t="s">
        <v>9409</v>
      </c>
      <c r="W5871" t="s">
        <v>423</v>
      </c>
    </row>
    <row r="5872" spans="1:23" hidden="1" x14ac:dyDescent="0.2">
      <c r="A5872">
        <v>2012</v>
      </c>
      <c r="B5872" t="s">
        <v>303</v>
      </c>
      <c r="C5872" s="733">
        <v>40926</v>
      </c>
      <c r="D58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72" t="s">
        <v>485</v>
      </c>
      <c r="F5872" t="s">
        <v>2054</v>
      </c>
      <c r="G5872" t="s">
        <v>6739</v>
      </c>
      <c r="H5872">
        <v>40519</v>
      </c>
      <c r="I5872" t="s">
        <v>423</v>
      </c>
      <c r="J5872" t="s">
        <v>4073</v>
      </c>
      <c r="K5872" t="s">
        <v>2051</v>
      </c>
      <c r="L5872" t="s">
        <v>2052</v>
      </c>
      <c r="M5872">
        <v>610</v>
      </c>
      <c r="N5872">
        <v>57.25</v>
      </c>
      <c r="O5872">
        <v>20294.55</v>
      </c>
      <c r="P5872">
        <v>0</v>
      </c>
      <c r="Q5872">
        <v>20294.55</v>
      </c>
      <c r="R5872">
        <v>3247.13</v>
      </c>
      <c r="S5872">
        <v>811.78</v>
      </c>
      <c r="T5872">
        <v>22729.9</v>
      </c>
      <c r="U5872" t="s">
        <v>2062</v>
      </c>
      <c r="V5872" t="s">
        <v>9409</v>
      </c>
      <c r="W5872" t="s">
        <v>423</v>
      </c>
    </row>
    <row r="5873" spans="1:23" hidden="1" x14ac:dyDescent="0.2">
      <c r="A5873">
        <v>2012</v>
      </c>
      <c r="B5873" t="s">
        <v>303</v>
      </c>
      <c r="C5873" s="733">
        <v>40920</v>
      </c>
      <c r="D58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73" t="s">
        <v>485</v>
      </c>
      <c r="F5873" t="s">
        <v>2054</v>
      </c>
      <c r="G5873" t="s">
        <v>6738</v>
      </c>
      <c r="H5873">
        <v>40216</v>
      </c>
      <c r="I5873" t="s">
        <v>423</v>
      </c>
      <c r="J5873" t="s">
        <v>4073</v>
      </c>
      <c r="K5873" t="s">
        <v>2051</v>
      </c>
      <c r="L5873" t="s">
        <v>2052</v>
      </c>
      <c r="M5873">
        <v>610</v>
      </c>
      <c r="N5873">
        <v>56.95</v>
      </c>
      <c r="O5873">
        <v>20188.21</v>
      </c>
      <c r="P5873">
        <v>0</v>
      </c>
      <c r="Q5873">
        <v>20188.21</v>
      </c>
      <c r="R5873">
        <v>3230.11</v>
      </c>
      <c r="S5873">
        <v>807.53</v>
      </c>
      <c r="T5873">
        <v>22610.79</v>
      </c>
      <c r="U5873" t="s">
        <v>2062</v>
      </c>
      <c r="V5873" t="s">
        <v>9409</v>
      </c>
      <c r="W5873" t="s">
        <v>423</v>
      </c>
    </row>
    <row r="5874" spans="1:23" x14ac:dyDescent="0.2">
      <c r="A5874">
        <v>2012</v>
      </c>
      <c r="B5874" t="s">
        <v>304</v>
      </c>
      <c r="C5874" s="733">
        <v>40967</v>
      </c>
      <c r="D58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74" t="s">
        <v>485</v>
      </c>
      <c r="F5874" t="s">
        <v>2065</v>
      </c>
      <c r="G5874" t="s">
        <v>9117</v>
      </c>
      <c r="H5874">
        <v>42745</v>
      </c>
      <c r="I5874" t="s">
        <v>423</v>
      </c>
      <c r="J5874" t="s">
        <v>4073</v>
      </c>
      <c r="K5874" t="s">
        <v>2051</v>
      </c>
      <c r="L5874" t="s">
        <v>2052</v>
      </c>
      <c r="M5874">
        <v>610</v>
      </c>
      <c r="N5874">
        <v>25.4</v>
      </c>
      <c r="O5874">
        <v>9004.0499999999993</v>
      </c>
      <c r="P5874">
        <v>0</v>
      </c>
      <c r="Q5874">
        <v>9004.0499999999993</v>
      </c>
      <c r="R5874">
        <v>1440.65</v>
      </c>
      <c r="S5874">
        <v>360.16</v>
      </c>
      <c r="T5874">
        <v>10084.540000000001</v>
      </c>
      <c r="V5874" t="s">
        <v>9408</v>
      </c>
      <c r="W5874" t="s">
        <v>423</v>
      </c>
    </row>
    <row r="5875" spans="1:23" hidden="1" x14ac:dyDescent="0.2">
      <c r="A5875">
        <v>2012</v>
      </c>
      <c r="B5875" t="s">
        <v>304</v>
      </c>
      <c r="C5875" s="733">
        <v>40941</v>
      </c>
      <c r="D58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75" t="s">
        <v>478</v>
      </c>
      <c r="F5875" t="s">
        <v>2136</v>
      </c>
      <c r="G5875" t="s">
        <v>7220</v>
      </c>
      <c r="H5875">
        <v>35186</v>
      </c>
      <c r="I5875" t="s">
        <v>423</v>
      </c>
      <c r="J5875" t="s">
        <v>4270</v>
      </c>
      <c r="K5875" t="s">
        <v>425</v>
      </c>
      <c r="L5875" t="s">
        <v>2145</v>
      </c>
      <c r="M5875">
        <v>560</v>
      </c>
      <c r="N5875">
        <v>28.12</v>
      </c>
      <c r="O5875">
        <v>8984.34</v>
      </c>
      <c r="P5875">
        <v>0</v>
      </c>
      <c r="Q5875">
        <v>8984.34</v>
      </c>
      <c r="R5875">
        <v>1437.49</v>
      </c>
      <c r="S5875">
        <v>359.37</v>
      </c>
      <c r="T5875">
        <v>10062.459999999999</v>
      </c>
      <c r="U5875" t="s">
        <v>2914</v>
      </c>
      <c r="V5875" t="s">
        <v>9408</v>
      </c>
      <c r="W5875" t="s">
        <v>423</v>
      </c>
    </row>
    <row r="5876" spans="1:23" hidden="1" x14ac:dyDescent="0.2">
      <c r="A5876">
        <v>2012</v>
      </c>
      <c r="B5876" t="s">
        <v>304</v>
      </c>
      <c r="C5876" s="733">
        <v>40949.668599537035</v>
      </c>
      <c r="D58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76" t="s">
        <v>505</v>
      </c>
      <c r="F5876" t="s">
        <v>2065</v>
      </c>
      <c r="G5876" t="s">
        <v>2440</v>
      </c>
      <c r="H5876">
        <v>22635</v>
      </c>
      <c r="I5876" t="s">
        <v>424</v>
      </c>
      <c r="J5876" t="s">
        <v>1917</v>
      </c>
      <c r="K5876" t="s">
        <v>1918</v>
      </c>
      <c r="L5876" t="s">
        <v>1919</v>
      </c>
      <c r="M5876">
        <v>267</v>
      </c>
      <c r="N5876">
        <v>30</v>
      </c>
      <c r="O5876">
        <v>2929.97</v>
      </c>
      <c r="P5876">
        <v>1683.8244589999999</v>
      </c>
      <c r="Q5876">
        <v>4613.7944589999997</v>
      </c>
      <c r="R5876">
        <v>738.20711300000005</v>
      </c>
      <c r="S5876">
        <v>184.55177800000001</v>
      </c>
      <c r="T5876">
        <v>5167.4497940000001</v>
      </c>
      <c r="U5876" t="s">
        <v>1924</v>
      </c>
      <c r="V5876" t="s">
        <v>9408</v>
      </c>
      <c r="W5876" t="s">
        <v>424</v>
      </c>
    </row>
    <row r="5877" spans="1:23" hidden="1" x14ac:dyDescent="0.2">
      <c r="A5877">
        <v>2012</v>
      </c>
      <c r="B5877" t="s">
        <v>304</v>
      </c>
      <c r="C5877" s="733">
        <v>40963</v>
      </c>
      <c r="D58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77" t="s">
        <v>485</v>
      </c>
      <c r="F5877" t="s">
        <v>2065</v>
      </c>
      <c r="G5877" t="s">
        <v>8767</v>
      </c>
      <c r="H5877">
        <v>39778</v>
      </c>
      <c r="I5877" t="s">
        <v>423</v>
      </c>
      <c r="J5877" t="s">
        <v>4520</v>
      </c>
      <c r="K5877" t="s">
        <v>2183</v>
      </c>
      <c r="L5877" t="s">
        <v>2184</v>
      </c>
      <c r="M5877">
        <v>346</v>
      </c>
      <c r="N5877">
        <v>26.89</v>
      </c>
      <c r="O5877">
        <v>4784.2700000000004</v>
      </c>
      <c r="P5877">
        <v>0</v>
      </c>
      <c r="Q5877">
        <v>4784.2700000000004</v>
      </c>
      <c r="R5877">
        <v>765.48</v>
      </c>
      <c r="S5877">
        <v>191.37</v>
      </c>
      <c r="T5877">
        <v>5358.38</v>
      </c>
      <c r="U5877" t="s">
        <v>9411</v>
      </c>
      <c r="V5877" t="s">
        <v>9408</v>
      </c>
      <c r="W5877" t="s">
        <v>423</v>
      </c>
    </row>
    <row r="5878" spans="1:23" hidden="1" x14ac:dyDescent="0.2">
      <c r="A5878">
        <v>2012</v>
      </c>
      <c r="B5878" t="s">
        <v>303</v>
      </c>
      <c r="C5878" s="733">
        <v>40910</v>
      </c>
      <c r="D58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78" t="s">
        <v>485</v>
      </c>
      <c r="F5878" t="s">
        <v>2065</v>
      </c>
      <c r="G5878" t="s">
        <v>3279</v>
      </c>
      <c r="H5878">
        <v>38814</v>
      </c>
      <c r="I5878" t="s">
        <v>423</v>
      </c>
      <c r="J5878" t="s">
        <v>3280</v>
      </c>
      <c r="K5878" t="s">
        <v>2183</v>
      </c>
      <c r="L5878" t="s">
        <v>2184</v>
      </c>
      <c r="M5878">
        <v>1020</v>
      </c>
      <c r="N5878">
        <v>50.35</v>
      </c>
      <c r="O5878">
        <v>11775.35</v>
      </c>
      <c r="P5878">
        <v>13257.748812</v>
      </c>
      <c r="Q5878">
        <v>25033.098812</v>
      </c>
      <c r="R5878">
        <v>4005.2958100000001</v>
      </c>
      <c r="S5878">
        <v>1001.323952</v>
      </c>
      <c r="T5878">
        <v>28037.070670000001</v>
      </c>
      <c r="U5878" t="s">
        <v>3038</v>
      </c>
      <c r="V5878" t="s">
        <v>9409</v>
      </c>
      <c r="W5878" t="s">
        <v>423</v>
      </c>
    </row>
    <row r="5879" spans="1:23" hidden="1" x14ac:dyDescent="0.2">
      <c r="A5879">
        <v>2012</v>
      </c>
      <c r="B5879" t="s">
        <v>304</v>
      </c>
      <c r="C5879" s="733">
        <v>40946</v>
      </c>
      <c r="D58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79" t="s">
        <v>505</v>
      </c>
      <c r="F5879" t="s">
        <v>1915</v>
      </c>
      <c r="G5879" t="s">
        <v>7026</v>
      </c>
      <c r="H5879">
        <v>22520</v>
      </c>
      <c r="I5879" t="s">
        <v>423</v>
      </c>
      <c r="J5879" t="s">
        <v>4760</v>
      </c>
      <c r="K5879" t="s">
        <v>1918</v>
      </c>
      <c r="L5879" t="s">
        <v>1919</v>
      </c>
      <c r="M5879">
        <v>444</v>
      </c>
      <c r="N5879">
        <v>25.19</v>
      </c>
      <c r="O5879">
        <v>7817.46</v>
      </c>
      <c r="P5879">
        <v>0</v>
      </c>
      <c r="Q5879">
        <v>7817.46</v>
      </c>
      <c r="R5879">
        <v>1250.79</v>
      </c>
      <c r="S5879">
        <v>312.7</v>
      </c>
      <c r="T5879">
        <v>8755.5499999999993</v>
      </c>
      <c r="U5879" t="s">
        <v>1924</v>
      </c>
      <c r="V5879" t="s">
        <v>9408</v>
      </c>
      <c r="W5879" t="s">
        <v>423</v>
      </c>
    </row>
    <row r="5880" spans="1:23" hidden="1" x14ac:dyDescent="0.2">
      <c r="A5880">
        <v>2012</v>
      </c>
      <c r="B5880" t="s">
        <v>303</v>
      </c>
      <c r="C5880" s="733">
        <v>40911</v>
      </c>
      <c r="D58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80" t="s">
        <v>485</v>
      </c>
      <c r="F5880" t="s">
        <v>2136</v>
      </c>
      <c r="G5880" t="s">
        <v>7221</v>
      </c>
      <c r="H5880">
        <v>39653</v>
      </c>
      <c r="I5880" t="s">
        <v>423</v>
      </c>
      <c r="J5880" t="s">
        <v>4626</v>
      </c>
      <c r="K5880" t="s">
        <v>2102</v>
      </c>
      <c r="L5880" t="s">
        <v>2115</v>
      </c>
      <c r="M5880">
        <v>1457</v>
      </c>
      <c r="N5880">
        <v>25.85</v>
      </c>
      <c r="O5880">
        <v>8052.79</v>
      </c>
      <c r="P5880">
        <v>9066.5557329999992</v>
      </c>
      <c r="Q5880">
        <v>17119.345732999998</v>
      </c>
      <c r="R5880">
        <v>2739.0953169999998</v>
      </c>
      <c r="S5880">
        <v>684.77382899999998</v>
      </c>
      <c r="T5880">
        <v>19173.667221</v>
      </c>
      <c r="U5880" t="s">
        <v>2104</v>
      </c>
      <c r="V5880" t="s">
        <v>9408</v>
      </c>
      <c r="W5880" t="s">
        <v>423</v>
      </c>
    </row>
    <row r="5881" spans="1:23" hidden="1" x14ac:dyDescent="0.2">
      <c r="A5881">
        <v>2012</v>
      </c>
      <c r="B5881" t="s">
        <v>303</v>
      </c>
      <c r="C5881" s="733">
        <v>40939</v>
      </c>
      <c r="D58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81" t="s">
        <v>478</v>
      </c>
      <c r="F5881" t="s">
        <v>2622</v>
      </c>
      <c r="G5881" t="s">
        <v>4873</v>
      </c>
      <c r="H5881">
        <v>35115</v>
      </c>
      <c r="I5881" t="s">
        <v>423</v>
      </c>
      <c r="J5881" t="s">
        <v>2644</v>
      </c>
      <c r="K5881" t="s">
        <v>2625</v>
      </c>
      <c r="L5881" t="s">
        <v>2145</v>
      </c>
      <c r="M5881">
        <v>52</v>
      </c>
      <c r="N5881">
        <v>23.49</v>
      </c>
      <c r="O5881">
        <v>2765.48</v>
      </c>
      <c r="P5881">
        <v>0</v>
      </c>
      <c r="Q5881">
        <v>2765.48</v>
      </c>
      <c r="R5881">
        <v>442.48</v>
      </c>
      <c r="S5881">
        <v>110.62</v>
      </c>
      <c r="T5881">
        <v>3097.34</v>
      </c>
      <c r="U5881" t="s">
        <v>7548</v>
      </c>
      <c r="V5881" t="s">
        <v>9408</v>
      </c>
      <c r="W5881" t="s">
        <v>423</v>
      </c>
    </row>
    <row r="5882" spans="1:23" hidden="1" x14ac:dyDescent="0.2">
      <c r="A5882">
        <v>2012</v>
      </c>
      <c r="B5882" t="s">
        <v>305</v>
      </c>
      <c r="C5882" s="733">
        <v>40970.946481481478</v>
      </c>
      <c r="D5882" s="733" t="str">
        <f>CHOOSE(MONTH(Tabla_sqldatos_bonampakdb_Bon_v_ingresos2012[[#This Row],[fecha_guia]]),"Enero","Febrero","Marzo","Abril","Mayo","Junio","Julio","Agosto","Septiembre","Octubre","Noviembre","Diciembre")</f>
        <v>Marzo</v>
      </c>
      <c r="E5882" t="s">
        <v>478</v>
      </c>
      <c r="F5882" t="s">
        <v>2622</v>
      </c>
      <c r="G5882" t="s">
        <v>9751</v>
      </c>
      <c r="H5882">
        <v>36280</v>
      </c>
      <c r="I5882" t="s">
        <v>423</v>
      </c>
      <c r="J5882" t="s">
        <v>2644</v>
      </c>
      <c r="K5882" t="s">
        <v>2625</v>
      </c>
      <c r="L5882" t="s">
        <v>2626</v>
      </c>
      <c r="M5882">
        <v>52</v>
      </c>
      <c r="N5882">
        <v>22.27</v>
      </c>
      <c r="O5882">
        <v>2621.85</v>
      </c>
      <c r="P5882">
        <v>0</v>
      </c>
      <c r="Q5882">
        <v>2621.85</v>
      </c>
      <c r="R5882">
        <v>419.5</v>
      </c>
      <c r="S5882">
        <v>104.87</v>
      </c>
      <c r="T5882">
        <v>2936.48</v>
      </c>
      <c r="V5882" t="s">
        <v>9408</v>
      </c>
      <c r="W5882" t="s">
        <v>423</v>
      </c>
    </row>
    <row r="5883" spans="1:23" hidden="1" x14ac:dyDescent="0.2">
      <c r="A5883">
        <v>2012</v>
      </c>
      <c r="B5883" t="s">
        <v>303</v>
      </c>
      <c r="C5883" s="733">
        <v>40932.449479166666</v>
      </c>
      <c r="D58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83" t="s">
        <v>478</v>
      </c>
      <c r="F5883" t="s">
        <v>2622</v>
      </c>
      <c r="G5883" t="s">
        <v>4872</v>
      </c>
      <c r="H5883">
        <v>34892</v>
      </c>
      <c r="I5883" t="s">
        <v>423</v>
      </c>
      <c r="J5883" t="s">
        <v>2644</v>
      </c>
      <c r="K5883" t="s">
        <v>2625</v>
      </c>
      <c r="L5883" t="s">
        <v>2626</v>
      </c>
      <c r="M5883">
        <v>52</v>
      </c>
      <c r="N5883">
        <v>21.93</v>
      </c>
      <c r="O5883">
        <v>2581.8200000000002</v>
      </c>
      <c r="P5883">
        <v>0</v>
      </c>
      <c r="Q5883">
        <v>2581.8200000000002</v>
      </c>
      <c r="R5883">
        <v>413.09</v>
      </c>
      <c r="S5883">
        <v>103.27</v>
      </c>
      <c r="T5883">
        <v>2891.64</v>
      </c>
      <c r="U5883" t="s">
        <v>2633</v>
      </c>
      <c r="V5883" t="s">
        <v>9408</v>
      </c>
      <c r="W5883" t="s">
        <v>423</v>
      </c>
    </row>
    <row r="5884" spans="1:23" hidden="1" x14ac:dyDescent="0.2">
      <c r="A5884">
        <v>2012</v>
      </c>
      <c r="B5884" t="s">
        <v>304</v>
      </c>
      <c r="C5884" s="733">
        <v>40962</v>
      </c>
      <c r="D58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84" t="s">
        <v>478</v>
      </c>
      <c r="F5884" t="s">
        <v>2136</v>
      </c>
      <c r="G5884" t="s">
        <v>8679</v>
      </c>
      <c r="H5884">
        <v>35087</v>
      </c>
      <c r="I5884" t="s">
        <v>423</v>
      </c>
      <c r="J5884" t="s">
        <v>4282</v>
      </c>
      <c r="K5884" t="s">
        <v>425</v>
      </c>
      <c r="L5884" t="s">
        <v>2145</v>
      </c>
      <c r="M5884">
        <v>1405</v>
      </c>
      <c r="N5884">
        <v>45.08</v>
      </c>
      <c r="O5884">
        <v>40878.089999999997</v>
      </c>
      <c r="P5884">
        <v>0</v>
      </c>
      <c r="Q5884">
        <v>40878.089999999997</v>
      </c>
      <c r="R5884">
        <v>6540.49</v>
      </c>
      <c r="S5884">
        <v>1635.12</v>
      </c>
      <c r="T5884">
        <v>45783.46</v>
      </c>
      <c r="U5884" t="s">
        <v>9455</v>
      </c>
      <c r="V5884" t="s">
        <v>9409</v>
      </c>
      <c r="W5884" t="s">
        <v>423</v>
      </c>
    </row>
    <row r="5885" spans="1:23" hidden="1" x14ac:dyDescent="0.2">
      <c r="A5885">
        <v>2012</v>
      </c>
      <c r="B5885" t="s">
        <v>303</v>
      </c>
      <c r="C5885" s="733">
        <v>40924</v>
      </c>
      <c r="D58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85" t="s">
        <v>478</v>
      </c>
      <c r="F5885" t="s">
        <v>2136</v>
      </c>
      <c r="G5885" t="s">
        <v>5423</v>
      </c>
      <c r="H5885">
        <v>34422</v>
      </c>
      <c r="I5885" t="s">
        <v>423</v>
      </c>
      <c r="J5885" t="s">
        <v>3638</v>
      </c>
      <c r="K5885" t="s">
        <v>425</v>
      </c>
      <c r="L5885" t="s">
        <v>2145</v>
      </c>
      <c r="M5885">
        <v>1416</v>
      </c>
      <c r="N5885">
        <v>49.92</v>
      </c>
      <c r="O5885">
        <v>45266.96</v>
      </c>
      <c r="P5885">
        <v>0</v>
      </c>
      <c r="Q5885">
        <v>45266.96</v>
      </c>
      <c r="R5885">
        <v>7242.71</v>
      </c>
      <c r="S5885">
        <v>1810.68</v>
      </c>
      <c r="T5885">
        <v>50698.99</v>
      </c>
      <c r="U5885" t="s">
        <v>2146</v>
      </c>
      <c r="V5885" t="s">
        <v>9409</v>
      </c>
      <c r="W5885" t="s">
        <v>423</v>
      </c>
    </row>
    <row r="5886" spans="1:23" hidden="1" x14ac:dyDescent="0.2">
      <c r="A5886">
        <v>2012</v>
      </c>
      <c r="B5886" t="s">
        <v>304</v>
      </c>
      <c r="C5886" s="733">
        <v>40946</v>
      </c>
      <c r="D58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86" t="s">
        <v>478</v>
      </c>
      <c r="F5886" t="s">
        <v>2136</v>
      </c>
      <c r="G5886" t="s">
        <v>5618</v>
      </c>
      <c r="H5886">
        <v>35273</v>
      </c>
      <c r="I5886" t="s">
        <v>423</v>
      </c>
      <c r="J5886" t="s">
        <v>3638</v>
      </c>
      <c r="K5886" t="s">
        <v>425</v>
      </c>
      <c r="L5886" t="s">
        <v>2145</v>
      </c>
      <c r="M5886">
        <v>1416</v>
      </c>
      <c r="N5886">
        <v>50.09</v>
      </c>
      <c r="O5886">
        <v>45421.11</v>
      </c>
      <c r="P5886">
        <v>0</v>
      </c>
      <c r="Q5886">
        <v>45421.11</v>
      </c>
      <c r="R5886">
        <v>7267.38</v>
      </c>
      <c r="S5886">
        <v>1816.84</v>
      </c>
      <c r="T5886">
        <v>50871.65</v>
      </c>
      <c r="U5886" t="s">
        <v>3115</v>
      </c>
      <c r="V5886" t="s">
        <v>9409</v>
      </c>
      <c r="W5886" t="s">
        <v>423</v>
      </c>
    </row>
    <row r="5887" spans="1:23" hidden="1" x14ac:dyDescent="0.2">
      <c r="A5887">
        <v>2012</v>
      </c>
      <c r="B5887" t="s">
        <v>303</v>
      </c>
      <c r="C5887" s="733">
        <v>40928</v>
      </c>
      <c r="D58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87" t="s">
        <v>505</v>
      </c>
      <c r="F5887" t="s">
        <v>1915</v>
      </c>
      <c r="G5887" t="s">
        <v>5430</v>
      </c>
      <c r="H5887">
        <v>22095</v>
      </c>
      <c r="I5887" t="s">
        <v>423</v>
      </c>
      <c r="J5887" t="s">
        <v>4140</v>
      </c>
      <c r="K5887" t="s">
        <v>1918</v>
      </c>
      <c r="L5887" t="s">
        <v>1919</v>
      </c>
      <c r="M5887">
        <v>1</v>
      </c>
      <c r="N5887">
        <v>25.25</v>
      </c>
      <c r="O5887">
        <v>2438.64</v>
      </c>
      <c r="P5887">
        <v>0</v>
      </c>
      <c r="Q5887">
        <v>2438.64</v>
      </c>
      <c r="R5887">
        <v>390.18</v>
      </c>
      <c r="S5887">
        <v>97.55</v>
      </c>
      <c r="T5887">
        <v>2731.27</v>
      </c>
      <c r="U5887" t="s">
        <v>8778</v>
      </c>
      <c r="V5887" t="s">
        <v>9408</v>
      </c>
      <c r="W5887" t="s">
        <v>423</v>
      </c>
    </row>
    <row r="5888" spans="1:23" hidden="1" x14ac:dyDescent="0.2">
      <c r="A5888">
        <v>2012</v>
      </c>
      <c r="B5888" t="s">
        <v>303</v>
      </c>
      <c r="C5888" s="733">
        <v>40913</v>
      </c>
      <c r="D58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88" t="s">
        <v>505</v>
      </c>
      <c r="F5888" t="s">
        <v>1915</v>
      </c>
      <c r="G5888" t="s">
        <v>5602</v>
      </c>
      <c r="H5888">
        <v>21737</v>
      </c>
      <c r="I5888" t="s">
        <v>423</v>
      </c>
      <c r="J5888" t="s">
        <v>4140</v>
      </c>
      <c r="K5888" t="s">
        <v>1918</v>
      </c>
      <c r="L5888" t="s">
        <v>1919</v>
      </c>
      <c r="M5888">
        <v>1</v>
      </c>
      <c r="N5888">
        <v>24.21</v>
      </c>
      <c r="O5888">
        <v>984.33</v>
      </c>
      <c r="P5888">
        <v>1108.247304</v>
      </c>
      <c r="Q5888">
        <v>2092.5773039999999</v>
      </c>
      <c r="R5888">
        <v>334.81236899999999</v>
      </c>
      <c r="S5888">
        <v>83.703091999999998</v>
      </c>
      <c r="T5888">
        <v>2343.6865809999999</v>
      </c>
      <c r="U5888" t="s">
        <v>1920</v>
      </c>
      <c r="V5888" t="s">
        <v>9408</v>
      </c>
      <c r="W5888" t="s">
        <v>423</v>
      </c>
    </row>
    <row r="5889" spans="1:23" hidden="1" x14ac:dyDescent="0.2">
      <c r="A5889">
        <v>2012</v>
      </c>
      <c r="B5889" t="s">
        <v>304</v>
      </c>
      <c r="C5889" s="733">
        <v>40949</v>
      </c>
      <c r="D58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89" t="s">
        <v>505</v>
      </c>
      <c r="F5889" t="s">
        <v>1915</v>
      </c>
      <c r="G5889" t="s">
        <v>5429</v>
      </c>
      <c r="H5889">
        <v>22631</v>
      </c>
      <c r="I5889" t="s">
        <v>423</v>
      </c>
      <c r="J5889" t="s">
        <v>4140</v>
      </c>
      <c r="K5889" t="s">
        <v>1918</v>
      </c>
      <c r="L5889" t="s">
        <v>1919</v>
      </c>
      <c r="M5889">
        <v>1</v>
      </c>
      <c r="N5889">
        <v>25.28</v>
      </c>
      <c r="O5889">
        <v>2441.54</v>
      </c>
      <c r="P5889">
        <v>0</v>
      </c>
      <c r="Q5889">
        <v>2441.54</v>
      </c>
      <c r="R5889">
        <v>390.65</v>
      </c>
      <c r="S5889">
        <v>97.66</v>
      </c>
      <c r="T5889">
        <v>2734.53</v>
      </c>
      <c r="U5889" t="s">
        <v>7522</v>
      </c>
      <c r="V5889" t="s">
        <v>9408</v>
      </c>
      <c r="W5889" t="s">
        <v>423</v>
      </c>
    </row>
    <row r="5890" spans="1:23" hidden="1" x14ac:dyDescent="0.2">
      <c r="A5890">
        <v>2012</v>
      </c>
      <c r="B5890" t="s">
        <v>303</v>
      </c>
      <c r="C5890" s="733">
        <v>40938</v>
      </c>
      <c r="D58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90" t="s">
        <v>505</v>
      </c>
      <c r="F5890" t="s">
        <v>1915</v>
      </c>
      <c r="G5890" t="s">
        <v>5428</v>
      </c>
      <c r="H5890">
        <v>22343</v>
      </c>
      <c r="I5890" t="s">
        <v>423</v>
      </c>
      <c r="J5890" t="s">
        <v>4140</v>
      </c>
      <c r="K5890" t="s">
        <v>1918</v>
      </c>
      <c r="L5890" t="s">
        <v>1919</v>
      </c>
      <c r="M5890">
        <v>1</v>
      </c>
      <c r="N5890">
        <v>25.17</v>
      </c>
      <c r="O5890">
        <v>2430.92</v>
      </c>
      <c r="P5890">
        <v>0</v>
      </c>
      <c r="Q5890">
        <v>2430.92</v>
      </c>
      <c r="R5890">
        <v>388.95</v>
      </c>
      <c r="S5890">
        <v>97.24</v>
      </c>
      <c r="T5890">
        <v>2722.63</v>
      </c>
      <c r="U5890" t="s">
        <v>1936</v>
      </c>
      <c r="V5890" t="s">
        <v>9408</v>
      </c>
      <c r="W5890" t="s">
        <v>423</v>
      </c>
    </row>
    <row r="5891" spans="1:23" hidden="1" x14ac:dyDescent="0.2">
      <c r="A5891">
        <v>2012</v>
      </c>
      <c r="B5891" t="s">
        <v>303</v>
      </c>
      <c r="C5891" s="733">
        <v>40915</v>
      </c>
      <c r="D58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91" t="s">
        <v>505</v>
      </c>
      <c r="F5891" t="s">
        <v>1915</v>
      </c>
      <c r="G5891" t="s">
        <v>5600</v>
      </c>
      <c r="H5891">
        <v>21799</v>
      </c>
      <c r="I5891" t="s">
        <v>423</v>
      </c>
      <c r="J5891" t="s">
        <v>5285</v>
      </c>
      <c r="K5891" t="s">
        <v>1918</v>
      </c>
      <c r="L5891" t="s">
        <v>1919</v>
      </c>
      <c r="M5891">
        <v>433</v>
      </c>
      <c r="N5891">
        <v>24.91</v>
      </c>
      <c r="O5891">
        <v>3313.95</v>
      </c>
      <c r="P5891">
        <v>3731.1431659999998</v>
      </c>
      <c r="Q5891">
        <v>7045.0931659999997</v>
      </c>
      <c r="R5891">
        <v>1127.2149059999999</v>
      </c>
      <c r="S5891">
        <v>281.80372699999998</v>
      </c>
      <c r="T5891">
        <v>7890.5043450000003</v>
      </c>
      <c r="U5891" t="s">
        <v>1920</v>
      </c>
      <c r="V5891" t="s">
        <v>9408</v>
      </c>
      <c r="W5891" t="s">
        <v>423</v>
      </c>
    </row>
    <row r="5892" spans="1:23" hidden="1" x14ac:dyDescent="0.2">
      <c r="A5892">
        <v>2012</v>
      </c>
      <c r="B5892" t="s">
        <v>305</v>
      </c>
      <c r="C5892" s="733">
        <v>40969.485636574071</v>
      </c>
      <c r="D5892" s="733" t="str">
        <f>CHOOSE(MONTH(Tabla_sqldatos_bonampakdb_Bon_v_ingresos2012[[#This Row],[fecha_guia]]),"Enero","Febrero","Marzo","Abril","Mayo","Junio","Julio","Agosto","Septiembre","Octubre","Noviembre","Diciembre")</f>
        <v>Marzo</v>
      </c>
      <c r="E5892" t="s">
        <v>485</v>
      </c>
      <c r="F5892" t="s">
        <v>2054</v>
      </c>
      <c r="G5892" t="s">
        <v>9582</v>
      </c>
      <c r="H5892">
        <v>10603</v>
      </c>
      <c r="I5892" t="s">
        <v>423</v>
      </c>
      <c r="J5892" t="s">
        <v>3564</v>
      </c>
      <c r="K5892" t="s">
        <v>2057</v>
      </c>
      <c r="L5892" t="s">
        <v>2058</v>
      </c>
      <c r="M5892">
        <v>388</v>
      </c>
      <c r="N5892">
        <v>23.84</v>
      </c>
      <c r="O5892">
        <v>6334.53</v>
      </c>
      <c r="P5892">
        <v>0</v>
      </c>
      <c r="Q5892">
        <v>6334.53</v>
      </c>
      <c r="R5892">
        <v>696.8</v>
      </c>
      <c r="S5892">
        <v>253.38</v>
      </c>
      <c r="T5892">
        <v>6777.95</v>
      </c>
      <c r="V5892" t="s">
        <v>9408</v>
      </c>
      <c r="W5892" t="s">
        <v>423</v>
      </c>
    </row>
    <row r="5893" spans="1:23" hidden="1" x14ac:dyDescent="0.2">
      <c r="A5893">
        <v>2012</v>
      </c>
      <c r="B5893" t="s">
        <v>304</v>
      </c>
      <c r="C5893" s="733">
        <v>40946</v>
      </c>
      <c r="D58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93" t="s">
        <v>485</v>
      </c>
      <c r="F5893" t="s">
        <v>2048</v>
      </c>
      <c r="G5893" t="s">
        <v>3924</v>
      </c>
      <c r="H5893">
        <v>41477</v>
      </c>
      <c r="I5893" t="s">
        <v>423</v>
      </c>
      <c r="J5893" t="s">
        <v>2274</v>
      </c>
      <c r="K5893" t="s">
        <v>2051</v>
      </c>
      <c r="L5893" t="s">
        <v>2052</v>
      </c>
      <c r="M5893">
        <v>573</v>
      </c>
      <c r="N5893">
        <v>26.25</v>
      </c>
      <c r="O5893">
        <v>8518.1200000000008</v>
      </c>
      <c r="P5893">
        <v>0</v>
      </c>
      <c r="Q5893">
        <v>8518.1200000000008</v>
      </c>
      <c r="R5893">
        <v>1362.9</v>
      </c>
      <c r="S5893">
        <v>340.72</v>
      </c>
      <c r="T5893">
        <v>9540.2999999999993</v>
      </c>
      <c r="U5893" t="s">
        <v>7568</v>
      </c>
      <c r="V5893" t="s">
        <v>9409</v>
      </c>
      <c r="W5893" t="s">
        <v>423</v>
      </c>
    </row>
    <row r="5894" spans="1:23" hidden="1" x14ac:dyDescent="0.2">
      <c r="A5894">
        <v>2012</v>
      </c>
      <c r="B5894" t="s">
        <v>304</v>
      </c>
      <c r="C5894" s="733">
        <v>40940</v>
      </c>
      <c r="D58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94" t="s">
        <v>485</v>
      </c>
      <c r="F5894" t="s">
        <v>2084</v>
      </c>
      <c r="G5894" t="s">
        <v>4708</v>
      </c>
      <c r="H5894">
        <v>40956</v>
      </c>
      <c r="I5894" t="s">
        <v>423</v>
      </c>
      <c r="J5894" t="s">
        <v>2813</v>
      </c>
      <c r="K5894" t="s">
        <v>2814</v>
      </c>
      <c r="L5894" t="s">
        <v>2815</v>
      </c>
      <c r="M5894">
        <v>365</v>
      </c>
      <c r="N5894">
        <v>23.948</v>
      </c>
      <c r="O5894">
        <v>6446.32</v>
      </c>
      <c r="P5894">
        <v>0</v>
      </c>
      <c r="Q5894">
        <v>6446.32</v>
      </c>
      <c r="R5894">
        <v>1031.4100000000001</v>
      </c>
      <c r="S5894">
        <v>257.85000000000002</v>
      </c>
      <c r="T5894">
        <v>7219.88</v>
      </c>
      <c r="U5894" t="s">
        <v>2826</v>
      </c>
      <c r="V5894" t="s">
        <v>9408</v>
      </c>
      <c r="W5894" t="s">
        <v>423</v>
      </c>
    </row>
    <row r="5895" spans="1:23" hidden="1" x14ac:dyDescent="0.2">
      <c r="A5895">
        <v>2012</v>
      </c>
      <c r="B5895" t="s">
        <v>304</v>
      </c>
      <c r="C5895" s="733">
        <v>40968.340358796297</v>
      </c>
      <c r="D58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95" t="s">
        <v>505</v>
      </c>
      <c r="F5895" t="s">
        <v>1915</v>
      </c>
      <c r="G5895" t="s">
        <v>9371</v>
      </c>
      <c r="H5895">
        <v>23095</v>
      </c>
      <c r="I5895" t="s">
        <v>423</v>
      </c>
      <c r="J5895" t="s">
        <v>4140</v>
      </c>
      <c r="K5895" t="s">
        <v>1918</v>
      </c>
      <c r="L5895" t="s">
        <v>1919</v>
      </c>
      <c r="M5895">
        <v>1</v>
      </c>
      <c r="N5895">
        <v>24.82</v>
      </c>
      <c r="O5895">
        <v>2397.12</v>
      </c>
      <c r="P5895">
        <v>0</v>
      </c>
      <c r="Q5895">
        <v>2397.12</v>
      </c>
      <c r="R5895">
        <v>383.54</v>
      </c>
      <c r="S5895">
        <v>95.88</v>
      </c>
      <c r="T5895">
        <v>2684.78</v>
      </c>
      <c r="V5895" t="s">
        <v>9408</v>
      </c>
      <c r="W5895" t="s">
        <v>423</v>
      </c>
    </row>
    <row r="5896" spans="1:23" hidden="1" x14ac:dyDescent="0.2">
      <c r="A5896">
        <v>2012</v>
      </c>
      <c r="B5896" t="s">
        <v>304</v>
      </c>
      <c r="C5896" s="733">
        <v>40954</v>
      </c>
      <c r="D58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896" t="s">
        <v>505</v>
      </c>
      <c r="F5896" t="s">
        <v>1915</v>
      </c>
      <c r="G5896" t="s">
        <v>7961</v>
      </c>
      <c r="H5896">
        <v>22745</v>
      </c>
      <c r="I5896" t="s">
        <v>423</v>
      </c>
      <c r="J5896" t="s">
        <v>4140</v>
      </c>
      <c r="K5896" t="s">
        <v>1918</v>
      </c>
      <c r="L5896" t="s">
        <v>1919</v>
      </c>
      <c r="M5896">
        <v>1</v>
      </c>
      <c r="N5896">
        <v>24.89</v>
      </c>
      <c r="O5896">
        <v>2403.88</v>
      </c>
      <c r="P5896">
        <v>0</v>
      </c>
      <c r="Q5896">
        <v>2403.88</v>
      </c>
      <c r="R5896">
        <v>384.62</v>
      </c>
      <c r="S5896">
        <v>96.16</v>
      </c>
      <c r="T5896">
        <v>2692.34</v>
      </c>
      <c r="U5896" t="s">
        <v>7529</v>
      </c>
      <c r="V5896" t="s">
        <v>9408</v>
      </c>
      <c r="W5896" t="s">
        <v>423</v>
      </c>
    </row>
    <row r="5897" spans="1:23" hidden="1" x14ac:dyDescent="0.2">
      <c r="A5897">
        <v>2012</v>
      </c>
      <c r="B5897" t="s">
        <v>303</v>
      </c>
      <c r="C5897" s="733">
        <v>40932</v>
      </c>
      <c r="D58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97" t="s">
        <v>505</v>
      </c>
      <c r="F5897" t="s">
        <v>1915</v>
      </c>
      <c r="G5897" t="s">
        <v>5601</v>
      </c>
      <c r="H5897">
        <v>22213</v>
      </c>
      <c r="I5897" t="s">
        <v>423</v>
      </c>
      <c r="J5897" t="s">
        <v>4140</v>
      </c>
      <c r="K5897" t="s">
        <v>1918</v>
      </c>
      <c r="L5897" t="s">
        <v>1919</v>
      </c>
      <c r="M5897">
        <v>1</v>
      </c>
      <c r="N5897">
        <v>25.08</v>
      </c>
      <c r="O5897">
        <v>2422.23</v>
      </c>
      <c r="P5897">
        <v>0</v>
      </c>
      <c r="Q5897">
        <v>2422.23</v>
      </c>
      <c r="R5897">
        <v>387.56</v>
      </c>
      <c r="S5897">
        <v>96.89</v>
      </c>
      <c r="T5897">
        <v>2712.9</v>
      </c>
      <c r="U5897" t="s">
        <v>1936</v>
      </c>
      <c r="V5897" t="s">
        <v>9408</v>
      </c>
      <c r="W5897" t="s">
        <v>423</v>
      </c>
    </row>
    <row r="5898" spans="1:23" hidden="1" x14ac:dyDescent="0.2">
      <c r="A5898">
        <v>2012</v>
      </c>
      <c r="B5898" t="s">
        <v>303</v>
      </c>
      <c r="C5898" s="733">
        <v>40926</v>
      </c>
      <c r="D58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98" t="s">
        <v>485</v>
      </c>
      <c r="F5898" t="s">
        <v>3450</v>
      </c>
      <c r="G5898" t="s">
        <v>4602</v>
      </c>
      <c r="H5898">
        <v>40132</v>
      </c>
      <c r="I5898" t="s">
        <v>423</v>
      </c>
      <c r="J5898" t="s">
        <v>3452</v>
      </c>
      <c r="K5898" t="s">
        <v>3453</v>
      </c>
      <c r="L5898" t="s">
        <v>3454</v>
      </c>
      <c r="M5898">
        <v>19</v>
      </c>
      <c r="N5898">
        <v>26.5</v>
      </c>
      <c r="O5898">
        <v>2991.06</v>
      </c>
      <c r="P5898">
        <v>0</v>
      </c>
      <c r="Q5898">
        <v>2991.06</v>
      </c>
      <c r="R5898">
        <v>478.57</v>
      </c>
      <c r="S5898">
        <v>119.64</v>
      </c>
      <c r="T5898">
        <v>3349.99</v>
      </c>
      <c r="U5898" t="s">
        <v>3459</v>
      </c>
      <c r="V5898" t="s">
        <v>9408</v>
      </c>
      <c r="W5898" t="s">
        <v>423</v>
      </c>
    </row>
    <row r="5899" spans="1:23" hidden="1" x14ac:dyDescent="0.2">
      <c r="A5899">
        <v>2012</v>
      </c>
      <c r="B5899" t="s">
        <v>303</v>
      </c>
      <c r="C5899" s="733">
        <v>40935</v>
      </c>
      <c r="D58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899" t="s">
        <v>478</v>
      </c>
      <c r="F5899" t="s">
        <v>2136</v>
      </c>
      <c r="G5899" t="s">
        <v>5269</v>
      </c>
      <c r="H5899">
        <v>34961</v>
      </c>
      <c r="I5899" t="s">
        <v>423</v>
      </c>
      <c r="J5899" t="s">
        <v>4279</v>
      </c>
      <c r="K5899" t="s">
        <v>425</v>
      </c>
      <c r="L5899" t="s">
        <v>2145</v>
      </c>
      <c r="M5899">
        <v>381</v>
      </c>
      <c r="N5899">
        <v>25.11</v>
      </c>
      <c r="O5899">
        <v>6287.29</v>
      </c>
      <c r="P5899">
        <v>0</v>
      </c>
      <c r="Q5899">
        <v>6287.29</v>
      </c>
      <c r="R5899">
        <v>1005.97</v>
      </c>
      <c r="S5899">
        <v>251.49</v>
      </c>
      <c r="T5899">
        <v>7041.77</v>
      </c>
      <c r="U5899" t="s">
        <v>2914</v>
      </c>
      <c r="V5899" t="s">
        <v>9408</v>
      </c>
      <c r="W5899" t="s">
        <v>423</v>
      </c>
    </row>
    <row r="5900" spans="1:23" hidden="1" x14ac:dyDescent="0.2">
      <c r="A5900">
        <v>2012</v>
      </c>
      <c r="B5900" t="s">
        <v>304</v>
      </c>
      <c r="C5900" s="733">
        <v>40952</v>
      </c>
      <c r="D59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00" t="s">
        <v>478</v>
      </c>
      <c r="F5900" t="s">
        <v>2136</v>
      </c>
      <c r="G5900" t="s">
        <v>5266</v>
      </c>
      <c r="H5900">
        <v>35548</v>
      </c>
      <c r="I5900" t="s">
        <v>423</v>
      </c>
      <c r="J5900" t="s">
        <v>4279</v>
      </c>
      <c r="K5900" t="s">
        <v>425</v>
      </c>
      <c r="L5900" t="s">
        <v>2145</v>
      </c>
      <c r="M5900">
        <v>381</v>
      </c>
      <c r="N5900">
        <v>51.27</v>
      </c>
      <c r="O5900">
        <v>12837.5</v>
      </c>
      <c r="P5900">
        <v>0</v>
      </c>
      <c r="Q5900">
        <v>12837.5</v>
      </c>
      <c r="R5900">
        <v>2054</v>
      </c>
      <c r="S5900">
        <v>513.5</v>
      </c>
      <c r="T5900">
        <v>14378</v>
      </c>
      <c r="U5900" t="s">
        <v>7523</v>
      </c>
      <c r="V5900" t="s">
        <v>9409</v>
      </c>
      <c r="W5900" t="s">
        <v>423</v>
      </c>
    </row>
    <row r="5901" spans="1:23" hidden="1" x14ac:dyDescent="0.2">
      <c r="A5901">
        <v>2012</v>
      </c>
      <c r="B5901" t="s">
        <v>304</v>
      </c>
      <c r="C5901" s="733">
        <v>40949</v>
      </c>
      <c r="D59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01" t="s">
        <v>478</v>
      </c>
      <c r="F5901" t="s">
        <v>2136</v>
      </c>
      <c r="G5901" t="s">
        <v>5267</v>
      </c>
      <c r="H5901">
        <v>35486</v>
      </c>
      <c r="I5901" t="s">
        <v>423</v>
      </c>
      <c r="J5901" t="s">
        <v>4279</v>
      </c>
      <c r="K5901" t="s">
        <v>425</v>
      </c>
      <c r="L5901" t="s">
        <v>2145</v>
      </c>
      <c r="M5901">
        <v>381</v>
      </c>
      <c r="N5901">
        <v>28.24</v>
      </c>
      <c r="O5901">
        <v>7071.01</v>
      </c>
      <c r="P5901">
        <v>0</v>
      </c>
      <c r="Q5901">
        <v>7071.01</v>
      </c>
      <c r="R5901">
        <v>1131.3599999999999</v>
      </c>
      <c r="S5901">
        <v>282.83999999999997</v>
      </c>
      <c r="T5901">
        <v>7919.53</v>
      </c>
      <c r="U5901" t="s">
        <v>7523</v>
      </c>
      <c r="V5901" t="s">
        <v>9408</v>
      </c>
      <c r="W5901" t="s">
        <v>423</v>
      </c>
    </row>
    <row r="5902" spans="1:23" hidden="1" x14ac:dyDescent="0.2">
      <c r="A5902">
        <v>2012</v>
      </c>
      <c r="B5902" t="s">
        <v>304</v>
      </c>
      <c r="C5902" s="733">
        <v>40949</v>
      </c>
      <c r="D59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02" t="s">
        <v>478</v>
      </c>
      <c r="F5902" t="s">
        <v>2136</v>
      </c>
      <c r="G5902" t="s">
        <v>5268</v>
      </c>
      <c r="H5902">
        <v>35494</v>
      </c>
      <c r="I5902" t="s">
        <v>423</v>
      </c>
      <c r="J5902" t="s">
        <v>4279</v>
      </c>
      <c r="K5902" t="s">
        <v>425</v>
      </c>
      <c r="L5902" t="s">
        <v>2145</v>
      </c>
      <c r="M5902">
        <v>381</v>
      </c>
      <c r="N5902">
        <v>26.54</v>
      </c>
      <c r="O5902">
        <v>6645.35</v>
      </c>
      <c r="P5902">
        <v>0</v>
      </c>
      <c r="Q5902">
        <v>6645.35</v>
      </c>
      <c r="R5902">
        <v>1063.26</v>
      </c>
      <c r="S5902">
        <v>265.81</v>
      </c>
      <c r="T5902">
        <v>7442.8</v>
      </c>
      <c r="U5902" t="s">
        <v>7523</v>
      </c>
      <c r="V5902" t="s">
        <v>9408</v>
      </c>
      <c r="W5902" t="s">
        <v>423</v>
      </c>
    </row>
    <row r="5903" spans="1:23" hidden="1" x14ac:dyDescent="0.2">
      <c r="A5903">
        <v>2012</v>
      </c>
      <c r="B5903" t="s">
        <v>304</v>
      </c>
      <c r="C5903" s="733">
        <v>40942.928854166668</v>
      </c>
      <c r="D59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03" t="s">
        <v>478</v>
      </c>
      <c r="F5903" t="s">
        <v>2136</v>
      </c>
      <c r="G5903" t="s">
        <v>5270</v>
      </c>
      <c r="H5903">
        <v>35295</v>
      </c>
      <c r="I5903" t="s">
        <v>423</v>
      </c>
      <c r="J5903" t="s">
        <v>4279</v>
      </c>
      <c r="K5903" t="s">
        <v>425</v>
      </c>
      <c r="L5903" t="s">
        <v>2145</v>
      </c>
      <c r="M5903">
        <v>381</v>
      </c>
      <c r="N5903">
        <v>21.81</v>
      </c>
      <c r="O5903">
        <v>5461.01</v>
      </c>
      <c r="P5903">
        <v>0</v>
      </c>
      <c r="Q5903">
        <v>5461.01</v>
      </c>
      <c r="R5903">
        <v>873.76</v>
      </c>
      <c r="S5903">
        <v>218.44</v>
      </c>
      <c r="T5903">
        <v>6116.33</v>
      </c>
      <c r="U5903" t="s">
        <v>3115</v>
      </c>
      <c r="V5903" t="s">
        <v>9408</v>
      </c>
      <c r="W5903" t="s">
        <v>423</v>
      </c>
    </row>
    <row r="5904" spans="1:23" hidden="1" x14ac:dyDescent="0.2">
      <c r="A5904">
        <v>2012</v>
      </c>
      <c r="B5904" t="s">
        <v>303</v>
      </c>
      <c r="C5904" s="733">
        <v>40927</v>
      </c>
      <c r="D59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04" t="s">
        <v>485</v>
      </c>
      <c r="F5904" t="s">
        <v>2065</v>
      </c>
      <c r="G5904" t="s">
        <v>4920</v>
      </c>
      <c r="H5904">
        <v>40534</v>
      </c>
      <c r="I5904" t="s">
        <v>423</v>
      </c>
      <c r="J5904" t="s">
        <v>4921</v>
      </c>
      <c r="K5904" t="s">
        <v>2183</v>
      </c>
      <c r="L5904" t="s">
        <v>2184</v>
      </c>
      <c r="M5904">
        <v>285</v>
      </c>
      <c r="N5904">
        <v>24.4</v>
      </c>
      <c r="O5904">
        <v>4857.55</v>
      </c>
      <c r="P5904">
        <v>0</v>
      </c>
      <c r="Q5904">
        <v>4857.55</v>
      </c>
      <c r="R5904">
        <v>777.21</v>
      </c>
      <c r="S5904">
        <v>194.3</v>
      </c>
      <c r="T5904">
        <v>5440.46</v>
      </c>
      <c r="U5904" t="s">
        <v>7554</v>
      </c>
      <c r="V5904" t="s">
        <v>9408</v>
      </c>
      <c r="W5904" t="s">
        <v>423</v>
      </c>
    </row>
    <row r="5905" spans="1:23" hidden="1" x14ac:dyDescent="0.2">
      <c r="A5905">
        <v>2012</v>
      </c>
      <c r="B5905" t="s">
        <v>304</v>
      </c>
      <c r="C5905" s="733">
        <v>40968.383912037039</v>
      </c>
      <c r="D59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05" t="s">
        <v>478</v>
      </c>
      <c r="F5905" t="s">
        <v>4128</v>
      </c>
      <c r="G5905" t="s">
        <v>9285</v>
      </c>
      <c r="H5905">
        <v>36183</v>
      </c>
      <c r="I5905" t="s">
        <v>423</v>
      </c>
      <c r="J5905" t="s">
        <v>4509</v>
      </c>
      <c r="K5905" t="s">
        <v>4397</v>
      </c>
      <c r="L5905" t="s">
        <v>4398</v>
      </c>
      <c r="M5905">
        <v>183</v>
      </c>
      <c r="N5905">
        <v>21.07</v>
      </c>
      <c r="O5905">
        <v>3639.21</v>
      </c>
      <c r="P5905">
        <v>0</v>
      </c>
      <c r="Q5905">
        <v>3639.21</v>
      </c>
      <c r="R5905">
        <v>582.27</v>
      </c>
      <c r="S5905">
        <v>145.57</v>
      </c>
      <c r="T5905">
        <v>4075.91</v>
      </c>
      <c r="U5905" t="s">
        <v>8982</v>
      </c>
      <c r="V5905" t="s">
        <v>9408</v>
      </c>
      <c r="W5905" t="s">
        <v>423</v>
      </c>
    </row>
    <row r="5906" spans="1:23" hidden="1" x14ac:dyDescent="0.2">
      <c r="A5906">
        <v>2012</v>
      </c>
      <c r="B5906" t="s">
        <v>303</v>
      </c>
      <c r="C5906" s="733">
        <v>40927</v>
      </c>
      <c r="D59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06" t="s">
        <v>478</v>
      </c>
      <c r="F5906" t="s">
        <v>3358</v>
      </c>
      <c r="G5906" t="s">
        <v>4815</v>
      </c>
      <c r="H5906">
        <v>34669</v>
      </c>
      <c r="I5906" t="s">
        <v>423</v>
      </c>
      <c r="J5906" t="s">
        <v>4509</v>
      </c>
      <c r="K5906" t="s">
        <v>4397</v>
      </c>
      <c r="L5906" t="s">
        <v>4398</v>
      </c>
      <c r="M5906">
        <v>183</v>
      </c>
      <c r="N5906">
        <v>24.98</v>
      </c>
      <c r="O5906">
        <v>4314.55</v>
      </c>
      <c r="P5906">
        <v>0</v>
      </c>
      <c r="Q5906">
        <v>4314.55</v>
      </c>
      <c r="R5906">
        <v>690.33</v>
      </c>
      <c r="S5906">
        <v>172.58</v>
      </c>
      <c r="T5906">
        <v>4832.3</v>
      </c>
      <c r="U5906" t="s">
        <v>4399</v>
      </c>
      <c r="V5906" t="s">
        <v>9408</v>
      </c>
      <c r="W5906" t="s">
        <v>423</v>
      </c>
    </row>
    <row r="5907" spans="1:23" hidden="1" x14ac:dyDescent="0.2">
      <c r="A5907">
        <v>2012</v>
      </c>
      <c r="B5907" t="s">
        <v>303</v>
      </c>
      <c r="C5907" s="733">
        <v>40939</v>
      </c>
      <c r="D59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07" t="s">
        <v>505</v>
      </c>
      <c r="F5907" t="s">
        <v>1915</v>
      </c>
      <c r="G5907" t="s">
        <v>5544</v>
      </c>
      <c r="H5907">
        <v>21662</v>
      </c>
      <c r="I5907" t="s">
        <v>423</v>
      </c>
      <c r="J5907" t="s">
        <v>5253</v>
      </c>
      <c r="K5907" t="s">
        <v>1918</v>
      </c>
      <c r="L5907" t="s">
        <v>1919</v>
      </c>
      <c r="M5907">
        <v>88</v>
      </c>
      <c r="N5907">
        <v>28.14</v>
      </c>
      <c r="O5907">
        <v>3920.46</v>
      </c>
      <c r="P5907">
        <v>0</v>
      </c>
      <c r="Q5907">
        <v>3920.46</v>
      </c>
      <c r="R5907">
        <v>627.27</v>
      </c>
      <c r="S5907">
        <v>156.82</v>
      </c>
      <c r="T5907">
        <v>4390.91</v>
      </c>
      <c r="U5907" t="s">
        <v>1936</v>
      </c>
      <c r="V5907" t="s">
        <v>9408</v>
      </c>
      <c r="W5907" t="s">
        <v>423</v>
      </c>
    </row>
    <row r="5908" spans="1:23" hidden="1" x14ac:dyDescent="0.2">
      <c r="A5908">
        <v>2012</v>
      </c>
      <c r="B5908" t="s">
        <v>303</v>
      </c>
      <c r="C5908" s="733">
        <v>40934.539699074077</v>
      </c>
      <c r="D59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08" t="s">
        <v>505</v>
      </c>
      <c r="F5908" t="s">
        <v>1915</v>
      </c>
      <c r="G5908" t="s">
        <v>5545</v>
      </c>
      <c r="H5908">
        <v>22270</v>
      </c>
      <c r="I5908" t="s">
        <v>4233</v>
      </c>
      <c r="J5908" t="s">
        <v>5546</v>
      </c>
      <c r="K5908" t="s">
        <v>1918</v>
      </c>
      <c r="L5908" t="s">
        <v>1919</v>
      </c>
      <c r="M5908">
        <v>185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V5908" t="s">
        <v>9408</v>
      </c>
      <c r="W5908" t="s">
        <v>4233</v>
      </c>
    </row>
    <row r="5909" spans="1:23" hidden="1" x14ac:dyDescent="0.2">
      <c r="A5909">
        <v>2012</v>
      </c>
      <c r="B5909" t="s">
        <v>304</v>
      </c>
      <c r="C5909" s="733">
        <v>40957</v>
      </c>
      <c r="D59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09" t="s">
        <v>505</v>
      </c>
      <c r="F5909" t="s">
        <v>1915</v>
      </c>
      <c r="G5909" t="s">
        <v>7954</v>
      </c>
      <c r="H5909">
        <v>22799</v>
      </c>
      <c r="I5909" t="s">
        <v>423</v>
      </c>
      <c r="J5909" t="s">
        <v>4158</v>
      </c>
      <c r="K5909" t="s">
        <v>1918</v>
      </c>
      <c r="L5909" t="s">
        <v>1919</v>
      </c>
      <c r="M5909">
        <v>274</v>
      </c>
      <c r="N5909">
        <v>24.68</v>
      </c>
      <c r="O5909">
        <v>6814.15</v>
      </c>
      <c r="P5909">
        <v>0</v>
      </c>
      <c r="Q5909">
        <v>6814.15</v>
      </c>
      <c r="R5909">
        <v>1090.26</v>
      </c>
      <c r="S5909">
        <v>272.57</v>
      </c>
      <c r="T5909">
        <v>7631.84</v>
      </c>
      <c r="U5909" t="s">
        <v>8491</v>
      </c>
      <c r="V5909" t="s">
        <v>9408</v>
      </c>
      <c r="W5909" t="s">
        <v>423</v>
      </c>
    </row>
    <row r="5910" spans="1:23" hidden="1" x14ac:dyDescent="0.2">
      <c r="A5910">
        <v>2012</v>
      </c>
      <c r="B5910" t="s">
        <v>303</v>
      </c>
      <c r="C5910" s="733">
        <v>40932</v>
      </c>
      <c r="D59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10" t="s">
        <v>505</v>
      </c>
      <c r="F5910" t="s">
        <v>1915</v>
      </c>
      <c r="G5910" t="s">
        <v>5535</v>
      </c>
      <c r="H5910">
        <v>22207</v>
      </c>
      <c r="I5910" t="s">
        <v>423</v>
      </c>
      <c r="J5910" t="s">
        <v>4158</v>
      </c>
      <c r="K5910" t="s">
        <v>1918</v>
      </c>
      <c r="L5910" t="s">
        <v>1919</v>
      </c>
      <c r="M5910">
        <v>274</v>
      </c>
      <c r="N5910">
        <v>26.99</v>
      </c>
      <c r="O5910">
        <v>7451.94</v>
      </c>
      <c r="P5910">
        <v>0</v>
      </c>
      <c r="Q5910">
        <v>7451.94</v>
      </c>
      <c r="R5910">
        <v>1192.31</v>
      </c>
      <c r="S5910">
        <v>298.08</v>
      </c>
      <c r="T5910">
        <v>8346.17</v>
      </c>
      <c r="U5910" t="s">
        <v>1936</v>
      </c>
      <c r="V5910" t="s">
        <v>9408</v>
      </c>
      <c r="W5910" t="s">
        <v>423</v>
      </c>
    </row>
    <row r="5911" spans="1:23" hidden="1" x14ac:dyDescent="0.2">
      <c r="A5911">
        <v>2012</v>
      </c>
      <c r="B5911" t="s">
        <v>304</v>
      </c>
      <c r="C5911" s="733">
        <v>40968</v>
      </c>
      <c r="D59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11" t="s">
        <v>505</v>
      </c>
      <c r="F5911" t="s">
        <v>1915</v>
      </c>
      <c r="G5911" t="s">
        <v>9629</v>
      </c>
      <c r="H5911">
        <v>23085</v>
      </c>
      <c r="I5911" t="s">
        <v>423</v>
      </c>
      <c r="J5911" t="s">
        <v>4158</v>
      </c>
      <c r="K5911" t="s">
        <v>1918</v>
      </c>
      <c r="L5911" t="s">
        <v>1919</v>
      </c>
      <c r="M5911">
        <v>274</v>
      </c>
      <c r="N5911">
        <v>55.64</v>
      </c>
      <c r="O5911">
        <v>15362.2</v>
      </c>
      <c r="P5911">
        <v>0</v>
      </c>
      <c r="Q5911">
        <v>15362.2</v>
      </c>
      <c r="R5911">
        <v>2457.9499999999998</v>
      </c>
      <c r="S5911">
        <v>614.49</v>
      </c>
      <c r="T5911">
        <v>17205.66</v>
      </c>
      <c r="V5911" t="s">
        <v>9409</v>
      </c>
      <c r="W5911" t="s">
        <v>423</v>
      </c>
    </row>
    <row r="5912" spans="1:23" hidden="1" x14ac:dyDescent="0.2">
      <c r="A5912">
        <v>2012</v>
      </c>
      <c r="B5912" t="s">
        <v>303</v>
      </c>
      <c r="C5912" s="733">
        <v>40939</v>
      </c>
      <c r="D59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12" t="s">
        <v>505</v>
      </c>
      <c r="F5912" t="s">
        <v>1915</v>
      </c>
      <c r="G5912" t="s">
        <v>5541</v>
      </c>
      <c r="H5912">
        <v>21699</v>
      </c>
      <c r="I5912" t="s">
        <v>423</v>
      </c>
      <c r="J5912" t="s">
        <v>4158</v>
      </c>
      <c r="K5912" t="s">
        <v>1918</v>
      </c>
      <c r="L5912" t="s">
        <v>1919</v>
      </c>
      <c r="M5912">
        <v>274</v>
      </c>
      <c r="N5912">
        <v>26.97</v>
      </c>
      <c r="O5912">
        <v>7446.42</v>
      </c>
      <c r="P5912">
        <v>0</v>
      </c>
      <c r="Q5912">
        <v>7446.42</v>
      </c>
      <c r="R5912">
        <v>1191.43</v>
      </c>
      <c r="S5912">
        <v>297.86</v>
      </c>
      <c r="T5912">
        <v>8339.99</v>
      </c>
      <c r="V5912" t="s">
        <v>9408</v>
      </c>
      <c r="W5912" t="s">
        <v>423</v>
      </c>
    </row>
    <row r="5913" spans="1:23" hidden="1" x14ac:dyDescent="0.2">
      <c r="A5913">
        <v>2012</v>
      </c>
      <c r="B5913" t="s">
        <v>303</v>
      </c>
      <c r="C5913" s="733">
        <v>40928.538900462961</v>
      </c>
      <c r="D59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13" t="s">
        <v>485</v>
      </c>
      <c r="F5913" t="s">
        <v>2048</v>
      </c>
      <c r="G5913" t="s">
        <v>5061</v>
      </c>
      <c r="H5913">
        <v>40660</v>
      </c>
      <c r="I5913" t="s">
        <v>423</v>
      </c>
      <c r="J5913" t="s">
        <v>4086</v>
      </c>
      <c r="K5913" t="s">
        <v>2051</v>
      </c>
      <c r="L5913" t="s">
        <v>2052</v>
      </c>
      <c r="M5913">
        <v>341</v>
      </c>
      <c r="N5913">
        <v>50.35</v>
      </c>
      <c r="O5913">
        <v>12313.09</v>
      </c>
      <c r="P5913">
        <v>0</v>
      </c>
      <c r="Q5913">
        <v>12313.09</v>
      </c>
      <c r="R5913">
        <v>1970.09</v>
      </c>
      <c r="S5913">
        <v>492.52</v>
      </c>
      <c r="T5913">
        <v>13790.66</v>
      </c>
      <c r="U5913" t="s">
        <v>2062</v>
      </c>
      <c r="V5913" t="s">
        <v>9409</v>
      </c>
      <c r="W5913" t="s">
        <v>423</v>
      </c>
    </row>
    <row r="5914" spans="1:23" hidden="1" x14ac:dyDescent="0.2">
      <c r="A5914">
        <v>2012</v>
      </c>
      <c r="B5914" t="s">
        <v>304</v>
      </c>
      <c r="C5914" s="733">
        <v>40953</v>
      </c>
      <c r="D59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14" t="s">
        <v>485</v>
      </c>
      <c r="F5914" t="s">
        <v>2084</v>
      </c>
      <c r="G5914" t="s">
        <v>4934</v>
      </c>
      <c r="H5914">
        <v>41878</v>
      </c>
      <c r="I5914" t="s">
        <v>423</v>
      </c>
      <c r="J5914" t="s">
        <v>2972</v>
      </c>
      <c r="K5914" t="s">
        <v>2051</v>
      </c>
      <c r="L5914" t="s">
        <v>2052</v>
      </c>
      <c r="M5914">
        <v>398</v>
      </c>
      <c r="N5914">
        <v>26.55</v>
      </c>
      <c r="O5914">
        <v>7342.93</v>
      </c>
      <c r="P5914">
        <v>0</v>
      </c>
      <c r="Q5914">
        <v>7342.93</v>
      </c>
      <c r="R5914">
        <v>1174.8699999999999</v>
      </c>
      <c r="S5914">
        <v>293.72000000000003</v>
      </c>
      <c r="T5914">
        <v>8224.08</v>
      </c>
      <c r="U5914" t="s">
        <v>8257</v>
      </c>
      <c r="V5914" t="s">
        <v>9409</v>
      </c>
      <c r="W5914" t="s">
        <v>423</v>
      </c>
    </row>
    <row r="5915" spans="1:23" hidden="1" x14ac:dyDescent="0.2">
      <c r="A5915">
        <v>2012</v>
      </c>
      <c r="B5915" t="s">
        <v>304</v>
      </c>
      <c r="C5915" s="733">
        <v>40952</v>
      </c>
      <c r="D59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15" t="s">
        <v>485</v>
      </c>
      <c r="F5915" t="s">
        <v>2065</v>
      </c>
      <c r="G5915" t="s">
        <v>4918</v>
      </c>
      <c r="H5915">
        <v>41413</v>
      </c>
      <c r="I5915" t="s">
        <v>423</v>
      </c>
      <c r="J5915" t="s">
        <v>2189</v>
      </c>
      <c r="K5915" t="s">
        <v>2183</v>
      </c>
      <c r="L5915" t="s">
        <v>2184</v>
      </c>
      <c r="M5915">
        <v>720</v>
      </c>
      <c r="N5915">
        <v>24.73</v>
      </c>
      <c r="O5915">
        <v>10022.82</v>
      </c>
      <c r="P5915">
        <v>0</v>
      </c>
      <c r="Q5915">
        <v>10022.82</v>
      </c>
      <c r="R5915">
        <v>1603.65</v>
      </c>
      <c r="S5915">
        <v>400.91</v>
      </c>
      <c r="T5915">
        <v>11225.56</v>
      </c>
      <c r="U5915" t="s">
        <v>2192</v>
      </c>
      <c r="V5915" t="s">
        <v>9408</v>
      </c>
      <c r="W5915" t="s">
        <v>423</v>
      </c>
    </row>
    <row r="5916" spans="1:23" hidden="1" x14ac:dyDescent="0.2">
      <c r="A5916">
        <v>2012</v>
      </c>
      <c r="B5916" t="s">
        <v>303</v>
      </c>
      <c r="C5916" s="733">
        <v>40911.552384259259</v>
      </c>
      <c r="D59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16" t="s">
        <v>485</v>
      </c>
      <c r="F5916" t="s">
        <v>2048</v>
      </c>
      <c r="G5916" t="s">
        <v>5062</v>
      </c>
      <c r="H5916">
        <v>39713</v>
      </c>
      <c r="I5916" t="s">
        <v>423</v>
      </c>
      <c r="J5916" t="s">
        <v>4086</v>
      </c>
      <c r="K5916" t="s">
        <v>2051</v>
      </c>
      <c r="L5916" t="s">
        <v>2052</v>
      </c>
      <c r="M5916">
        <v>341</v>
      </c>
      <c r="N5916">
        <v>52.55</v>
      </c>
      <c r="O5916">
        <v>5410.55</v>
      </c>
      <c r="P5916">
        <v>6091.6841400000003</v>
      </c>
      <c r="Q5916">
        <v>11502.23414</v>
      </c>
      <c r="R5916">
        <v>1840.3574619999999</v>
      </c>
      <c r="S5916">
        <v>460.08936599999998</v>
      </c>
      <c r="T5916">
        <v>12882.502236</v>
      </c>
      <c r="U5916" t="s">
        <v>2089</v>
      </c>
      <c r="V5916" t="s">
        <v>9409</v>
      </c>
      <c r="W5916" t="s">
        <v>423</v>
      </c>
    </row>
    <row r="5917" spans="1:23" hidden="1" x14ac:dyDescent="0.2">
      <c r="A5917">
        <v>2012</v>
      </c>
      <c r="B5917" t="s">
        <v>303</v>
      </c>
      <c r="C5917" s="733">
        <v>40932</v>
      </c>
      <c r="D59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17" t="s">
        <v>485</v>
      </c>
      <c r="F5917" t="s">
        <v>2048</v>
      </c>
      <c r="G5917" t="s">
        <v>5063</v>
      </c>
      <c r="H5917">
        <v>39823</v>
      </c>
      <c r="I5917" t="s">
        <v>423</v>
      </c>
      <c r="J5917" t="s">
        <v>4086</v>
      </c>
      <c r="K5917" t="s">
        <v>2051</v>
      </c>
      <c r="L5917" t="s">
        <v>2052</v>
      </c>
      <c r="M5917">
        <v>341</v>
      </c>
      <c r="N5917">
        <v>50.4</v>
      </c>
      <c r="O5917">
        <v>12325.32</v>
      </c>
      <c r="P5917">
        <v>0</v>
      </c>
      <c r="Q5917">
        <v>12325.32</v>
      </c>
      <c r="R5917">
        <v>1972.05</v>
      </c>
      <c r="S5917">
        <v>493.01</v>
      </c>
      <c r="T5917">
        <v>13804.36</v>
      </c>
      <c r="U5917" t="s">
        <v>2053</v>
      </c>
      <c r="V5917" t="s">
        <v>9409</v>
      </c>
      <c r="W5917" t="s">
        <v>423</v>
      </c>
    </row>
    <row r="5918" spans="1:23" hidden="1" x14ac:dyDescent="0.2">
      <c r="A5918">
        <v>2012</v>
      </c>
      <c r="B5918" t="s">
        <v>303</v>
      </c>
      <c r="C5918" s="733">
        <v>40935.947569444441</v>
      </c>
      <c r="D59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18" t="s">
        <v>505</v>
      </c>
      <c r="F5918" t="s">
        <v>1915</v>
      </c>
      <c r="G5918" t="s">
        <v>5538</v>
      </c>
      <c r="H5918">
        <v>22322</v>
      </c>
      <c r="I5918" t="s">
        <v>423</v>
      </c>
      <c r="J5918" t="s">
        <v>4158</v>
      </c>
      <c r="K5918" t="s">
        <v>1918</v>
      </c>
      <c r="L5918" t="s">
        <v>1919</v>
      </c>
      <c r="M5918">
        <v>274</v>
      </c>
      <c r="N5918">
        <v>27.1</v>
      </c>
      <c r="O5918">
        <v>7482.31</v>
      </c>
      <c r="P5918">
        <v>0</v>
      </c>
      <c r="Q5918">
        <v>7482.31</v>
      </c>
      <c r="R5918">
        <v>1197.17</v>
      </c>
      <c r="S5918">
        <v>299.29000000000002</v>
      </c>
      <c r="T5918">
        <v>8380.19</v>
      </c>
      <c r="U5918" t="s">
        <v>1926</v>
      </c>
      <c r="V5918" t="s">
        <v>9408</v>
      </c>
      <c r="W5918" t="s">
        <v>423</v>
      </c>
    </row>
    <row r="5919" spans="1:23" hidden="1" x14ac:dyDescent="0.2">
      <c r="A5919">
        <v>2012</v>
      </c>
      <c r="B5919" t="s">
        <v>304</v>
      </c>
      <c r="C5919" s="733">
        <v>40960</v>
      </c>
      <c r="D59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19" t="s">
        <v>505</v>
      </c>
      <c r="F5919" t="s">
        <v>1915</v>
      </c>
      <c r="G5919" t="s">
        <v>8456</v>
      </c>
      <c r="H5919">
        <v>22851</v>
      </c>
      <c r="I5919" t="s">
        <v>423</v>
      </c>
      <c r="J5919" t="s">
        <v>1947</v>
      </c>
      <c r="K5919" t="s">
        <v>1918</v>
      </c>
      <c r="L5919" t="s">
        <v>1919</v>
      </c>
      <c r="M5919">
        <v>973</v>
      </c>
      <c r="N5919">
        <v>49.57</v>
      </c>
      <c r="O5919">
        <v>28946.9</v>
      </c>
      <c r="P5919">
        <v>0</v>
      </c>
      <c r="Q5919">
        <v>28946.9</v>
      </c>
      <c r="R5919">
        <v>4631.5</v>
      </c>
      <c r="S5919">
        <v>1157.8800000000001</v>
      </c>
      <c r="T5919">
        <v>32420.52</v>
      </c>
      <c r="U5919" t="s">
        <v>8491</v>
      </c>
      <c r="V5919" t="s">
        <v>9409</v>
      </c>
      <c r="W5919" t="s">
        <v>423</v>
      </c>
    </row>
    <row r="5920" spans="1:23" hidden="1" x14ac:dyDescent="0.2">
      <c r="A5920">
        <v>2012</v>
      </c>
      <c r="B5920" t="s">
        <v>303</v>
      </c>
      <c r="C5920" s="733">
        <v>40938</v>
      </c>
      <c r="D59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20" t="s">
        <v>485</v>
      </c>
      <c r="F5920" t="s">
        <v>2065</v>
      </c>
      <c r="G5920" t="s">
        <v>4914</v>
      </c>
      <c r="H5920">
        <v>40920</v>
      </c>
      <c r="I5920" t="s">
        <v>423</v>
      </c>
      <c r="J5920" t="s">
        <v>3965</v>
      </c>
      <c r="K5920" t="s">
        <v>2183</v>
      </c>
      <c r="L5920" t="s">
        <v>2184</v>
      </c>
      <c r="M5920">
        <v>696</v>
      </c>
      <c r="N5920">
        <v>24.18</v>
      </c>
      <c r="O5920">
        <v>9799.91</v>
      </c>
      <c r="P5920">
        <v>0</v>
      </c>
      <c r="Q5920">
        <v>9799.91</v>
      </c>
      <c r="R5920">
        <v>1567.99</v>
      </c>
      <c r="S5920">
        <v>392</v>
      </c>
      <c r="T5920">
        <v>10975.9</v>
      </c>
      <c r="U5920" t="s">
        <v>2187</v>
      </c>
      <c r="V5920" t="s">
        <v>9408</v>
      </c>
      <c r="W5920" t="s">
        <v>423</v>
      </c>
    </row>
    <row r="5921" spans="1:23" hidden="1" x14ac:dyDescent="0.2">
      <c r="A5921">
        <v>2012</v>
      </c>
      <c r="B5921" t="s">
        <v>304</v>
      </c>
      <c r="C5921" s="733">
        <v>40966</v>
      </c>
      <c r="D59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21" t="s">
        <v>485</v>
      </c>
      <c r="F5921" t="s">
        <v>2065</v>
      </c>
      <c r="G5921" t="s">
        <v>8845</v>
      </c>
      <c r="H5921">
        <v>42634</v>
      </c>
      <c r="I5921" t="s">
        <v>423</v>
      </c>
      <c r="J5921" t="s">
        <v>3965</v>
      </c>
      <c r="K5921" t="s">
        <v>2183</v>
      </c>
      <c r="L5921" t="s">
        <v>2184</v>
      </c>
      <c r="M5921">
        <v>696</v>
      </c>
      <c r="N5921">
        <v>26.51</v>
      </c>
      <c r="O5921">
        <v>10744.24</v>
      </c>
      <c r="P5921">
        <v>0</v>
      </c>
      <c r="Q5921">
        <v>10744.24</v>
      </c>
      <c r="R5921">
        <v>1719.08</v>
      </c>
      <c r="S5921">
        <v>429.77</v>
      </c>
      <c r="T5921">
        <v>12033.55</v>
      </c>
      <c r="V5921" t="s">
        <v>9408</v>
      </c>
      <c r="W5921" t="s">
        <v>423</v>
      </c>
    </row>
    <row r="5922" spans="1:23" hidden="1" x14ac:dyDescent="0.2">
      <c r="A5922">
        <v>2012</v>
      </c>
      <c r="B5922" t="s">
        <v>304</v>
      </c>
      <c r="C5922" s="733">
        <v>40940</v>
      </c>
      <c r="D59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22" t="s">
        <v>485</v>
      </c>
      <c r="F5922" t="s">
        <v>2065</v>
      </c>
      <c r="G5922" t="s">
        <v>4915</v>
      </c>
      <c r="H5922">
        <v>39944</v>
      </c>
      <c r="I5922" t="s">
        <v>423</v>
      </c>
      <c r="J5922" t="s">
        <v>3965</v>
      </c>
      <c r="K5922" t="s">
        <v>2183</v>
      </c>
      <c r="L5922" t="s">
        <v>2184</v>
      </c>
      <c r="M5922">
        <v>696</v>
      </c>
      <c r="N5922">
        <v>27.67</v>
      </c>
      <c r="O5922">
        <v>11214.37</v>
      </c>
      <c r="P5922">
        <v>0</v>
      </c>
      <c r="Q5922">
        <v>11214.37</v>
      </c>
      <c r="R5922">
        <v>1794.3</v>
      </c>
      <c r="S5922">
        <v>448.57</v>
      </c>
      <c r="T5922">
        <v>12560.1</v>
      </c>
      <c r="U5922" t="s">
        <v>2192</v>
      </c>
      <c r="V5922" t="s">
        <v>9408</v>
      </c>
      <c r="W5922" t="s">
        <v>423</v>
      </c>
    </row>
    <row r="5923" spans="1:23" x14ac:dyDescent="0.2">
      <c r="A5923">
        <v>2012</v>
      </c>
      <c r="B5923" t="s">
        <v>304</v>
      </c>
      <c r="C5923" s="733">
        <v>40968</v>
      </c>
      <c r="D59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23" t="s">
        <v>485</v>
      </c>
      <c r="F5923" t="s">
        <v>2065</v>
      </c>
      <c r="G5923" t="s">
        <v>9161</v>
      </c>
      <c r="H5923">
        <v>42755</v>
      </c>
      <c r="I5923" t="s">
        <v>423</v>
      </c>
      <c r="J5923" t="s">
        <v>3965</v>
      </c>
      <c r="K5923" t="s">
        <v>2183</v>
      </c>
      <c r="L5923" t="s">
        <v>2184</v>
      </c>
      <c r="M5923">
        <v>696</v>
      </c>
      <c r="N5923">
        <v>26.11</v>
      </c>
      <c r="O5923">
        <v>10582.12</v>
      </c>
      <c r="P5923">
        <v>0</v>
      </c>
      <c r="Q5923">
        <v>10582.12</v>
      </c>
      <c r="R5923">
        <v>1693.14</v>
      </c>
      <c r="S5923">
        <v>423.28</v>
      </c>
      <c r="T5923">
        <v>11851.98</v>
      </c>
      <c r="V5923" t="s">
        <v>9408</v>
      </c>
      <c r="W5923" t="s">
        <v>423</v>
      </c>
    </row>
    <row r="5924" spans="1:23" hidden="1" x14ac:dyDescent="0.2">
      <c r="A5924">
        <v>2012</v>
      </c>
      <c r="B5924" t="s">
        <v>303</v>
      </c>
      <c r="C5924" s="733">
        <v>40938</v>
      </c>
      <c r="D59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24" t="s">
        <v>485</v>
      </c>
      <c r="F5924" t="s">
        <v>2065</v>
      </c>
      <c r="G5924" t="s">
        <v>4919</v>
      </c>
      <c r="H5924">
        <v>40947</v>
      </c>
      <c r="I5924" t="s">
        <v>423</v>
      </c>
      <c r="J5924" t="s">
        <v>2189</v>
      </c>
      <c r="K5924" t="s">
        <v>2183</v>
      </c>
      <c r="L5924" t="s">
        <v>2184</v>
      </c>
      <c r="M5924">
        <v>720</v>
      </c>
      <c r="N5924">
        <v>24.96</v>
      </c>
      <c r="O5924">
        <v>10116.26</v>
      </c>
      <c r="P5924">
        <v>0</v>
      </c>
      <c r="Q5924">
        <v>10116.26</v>
      </c>
      <c r="R5924">
        <v>1618.6</v>
      </c>
      <c r="S5924">
        <v>404.65</v>
      </c>
      <c r="T5924">
        <v>11330.21</v>
      </c>
      <c r="U5924" t="s">
        <v>2187</v>
      </c>
      <c r="V5924" t="s">
        <v>9408</v>
      </c>
      <c r="W5924" t="s">
        <v>423</v>
      </c>
    </row>
    <row r="5925" spans="1:23" hidden="1" x14ac:dyDescent="0.2">
      <c r="A5925">
        <v>2012</v>
      </c>
      <c r="B5925" t="s">
        <v>303</v>
      </c>
      <c r="C5925" s="733">
        <v>40928</v>
      </c>
      <c r="D59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25" t="s">
        <v>485</v>
      </c>
      <c r="F5925" t="s">
        <v>2065</v>
      </c>
      <c r="G5925" t="s">
        <v>6453</v>
      </c>
      <c r="H5925">
        <v>39755</v>
      </c>
      <c r="I5925" t="s">
        <v>423</v>
      </c>
      <c r="J5925" t="s">
        <v>4518</v>
      </c>
      <c r="K5925" t="s">
        <v>2183</v>
      </c>
      <c r="L5925" t="s">
        <v>2184</v>
      </c>
      <c r="M5925">
        <v>337</v>
      </c>
      <c r="N5925">
        <v>53.22</v>
      </c>
      <c r="O5925">
        <v>11805.26</v>
      </c>
      <c r="P5925">
        <v>0</v>
      </c>
      <c r="Q5925">
        <v>11805.26</v>
      </c>
      <c r="R5925">
        <v>1888.84</v>
      </c>
      <c r="S5925">
        <v>472.21</v>
      </c>
      <c r="T5925">
        <v>13221.89</v>
      </c>
      <c r="U5925" t="s">
        <v>7554</v>
      </c>
      <c r="V5925" t="s">
        <v>9409</v>
      </c>
      <c r="W5925" t="s">
        <v>423</v>
      </c>
    </row>
    <row r="5926" spans="1:23" hidden="1" x14ac:dyDescent="0.2">
      <c r="A5926">
        <v>2012</v>
      </c>
      <c r="B5926" t="s">
        <v>303</v>
      </c>
      <c r="C5926" s="733">
        <v>40939</v>
      </c>
      <c r="D59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26" t="s">
        <v>485</v>
      </c>
      <c r="F5926" t="s">
        <v>2065</v>
      </c>
      <c r="G5926" t="s">
        <v>3278</v>
      </c>
      <c r="H5926">
        <v>41076</v>
      </c>
      <c r="I5926" t="s">
        <v>423</v>
      </c>
      <c r="J5926" t="s">
        <v>3054</v>
      </c>
      <c r="K5926" t="s">
        <v>2183</v>
      </c>
      <c r="L5926" t="s">
        <v>2184</v>
      </c>
      <c r="M5926">
        <v>43</v>
      </c>
      <c r="N5926">
        <v>15.99</v>
      </c>
      <c r="O5926">
        <v>1804.79</v>
      </c>
      <c r="P5926">
        <v>0</v>
      </c>
      <c r="Q5926">
        <v>1804.79</v>
      </c>
      <c r="R5926">
        <v>288.77</v>
      </c>
      <c r="S5926">
        <v>72.19</v>
      </c>
      <c r="T5926">
        <v>2021.37</v>
      </c>
      <c r="U5926" t="s">
        <v>2187</v>
      </c>
      <c r="V5926" t="s">
        <v>9408</v>
      </c>
      <c r="W5926" t="s">
        <v>423</v>
      </c>
    </row>
    <row r="5927" spans="1:23" x14ac:dyDescent="0.2">
      <c r="A5927">
        <v>2012</v>
      </c>
      <c r="B5927" t="s">
        <v>304</v>
      </c>
      <c r="C5927" s="733">
        <v>40968</v>
      </c>
      <c r="D59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27" t="s">
        <v>485</v>
      </c>
      <c r="F5927" t="s">
        <v>2065</v>
      </c>
      <c r="G5927" t="s">
        <v>8855</v>
      </c>
      <c r="H5927">
        <v>42839</v>
      </c>
      <c r="I5927" t="s">
        <v>423</v>
      </c>
      <c r="J5927" t="s">
        <v>3054</v>
      </c>
      <c r="K5927" t="s">
        <v>2183</v>
      </c>
      <c r="L5927" t="s">
        <v>2184</v>
      </c>
      <c r="M5927">
        <v>43</v>
      </c>
      <c r="N5927">
        <v>15.37</v>
      </c>
      <c r="O5927">
        <v>1734.81</v>
      </c>
      <c r="P5927">
        <v>0</v>
      </c>
      <c r="Q5927">
        <v>1734.81</v>
      </c>
      <c r="R5927">
        <v>277.57</v>
      </c>
      <c r="S5927">
        <v>69.39</v>
      </c>
      <c r="T5927">
        <v>1942.99</v>
      </c>
      <c r="V5927" t="s">
        <v>9408</v>
      </c>
      <c r="W5927" t="s">
        <v>423</v>
      </c>
    </row>
    <row r="5928" spans="1:23" hidden="1" x14ac:dyDescent="0.2">
      <c r="A5928">
        <v>2012</v>
      </c>
      <c r="B5928" t="s">
        <v>303</v>
      </c>
      <c r="C5928" s="733">
        <v>40926</v>
      </c>
      <c r="D59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28" t="s">
        <v>505</v>
      </c>
      <c r="F5928" t="s">
        <v>1915</v>
      </c>
      <c r="G5928" t="s">
        <v>2422</v>
      </c>
      <c r="H5928">
        <v>22042</v>
      </c>
      <c r="I5928" t="s">
        <v>424</v>
      </c>
      <c r="J5928" t="s">
        <v>1917</v>
      </c>
      <c r="K5928" t="s">
        <v>1918</v>
      </c>
      <c r="L5928" t="s">
        <v>1919</v>
      </c>
      <c r="M5928">
        <v>267</v>
      </c>
      <c r="N5928">
        <v>30</v>
      </c>
      <c r="O5928">
        <v>2929.97</v>
      </c>
      <c r="P5928">
        <v>1683.8244589999999</v>
      </c>
      <c r="Q5928">
        <v>4613.7944589999997</v>
      </c>
      <c r="R5928">
        <v>738.20711300000005</v>
      </c>
      <c r="S5928">
        <v>184.55177800000001</v>
      </c>
      <c r="T5928">
        <v>5167.4497940000001</v>
      </c>
      <c r="U5928" t="s">
        <v>1928</v>
      </c>
      <c r="V5928" t="s">
        <v>9408</v>
      </c>
      <c r="W5928" t="s">
        <v>424</v>
      </c>
    </row>
    <row r="5929" spans="1:23" hidden="1" x14ac:dyDescent="0.2">
      <c r="A5929">
        <v>2012</v>
      </c>
      <c r="B5929" t="s">
        <v>303</v>
      </c>
      <c r="C5929" s="733">
        <v>40927.639918981484</v>
      </c>
      <c r="D59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29" t="s">
        <v>505</v>
      </c>
      <c r="F5929" t="s">
        <v>1915</v>
      </c>
      <c r="G5929" t="s">
        <v>7124</v>
      </c>
      <c r="H5929">
        <v>22106</v>
      </c>
      <c r="I5929" t="s">
        <v>424</v>
      </c>
      <c r="J5929" t="s">
        <v>1954</v>
      </c>
      <c r="K5929" t="s">
        <v>1918</v>
      </c>
      <c r="L5929" t="s">
        <v>1919</v>
      </c>
      <c r="M5929">
        <v>303</v>
      </c>
      <c r="N5929">
        <v>30</v>
      </c>
      <c r="O5929">
        <v>2314.83</v>
      </c>
      <c r="P5929">
        <v>1330.309653</v>
      </c>
      <c r="Q5929">
        <v>3645.1396530000002</v>
      </c>
      <c r="R5929">
        <v>583.22234400000002</v>
      </c>
      <c r="S5929">
        <v>145.80558600000001</v>
      </c>
      <c r="T5929">
        <v>4082.556411</v>
      </c>
      <c r="U5929" t="s">
        <v>8778</v>
      </c>
      <c r="V5929" t="s">
        <v>9408</v>
      </c>
      <c r="W5929" t="s">
        <v>424</v>
      </c>
    </row>
    <row r="5930" spans="1:23" hidden="1" x14ac:dyDescent="0.2">
      <c r="A5930">
        <v>2012</v>
      </c>
      <c r="B5930" t="s">
        <v>304</v>
      </c>
      <c r="C5930" s="733">
        <v>40955</v>
      </c>
      <c r="D59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30" t="s">
        <v>505</v>
      </c>
      <c r="F5930" t="s">
        <v>1915</v>
      </c>
      <c r="G5930" t="s">
        <v>7749</v>
      </c>
      <c r="H5930">
        <v>22758</v>
      </c>
      <c r="I5930" t="s">
        <v>423</v>
      </c>
      <c r="J5930" t="s">
        <v>1917</v>
      </c>
      <c r="K5930" t="s">
        <v>1918</v>
      </c>
      <c r="L5930" t="s">
        <v>1919</v>
      </c>
      <c r="M5930">
        <v>267</v>
      </c>
      <c r="N5930">
        <v>25.07</v>
      </c>
      <c r="O5930">
        <v>5636.74</v>
      </c>
      <c r="P5930">
        <v>0</v>
      </c>
      <c r="Q5930">
        <v>5636.74</v>
      </c>
      <c r="R5930">
        <v>901.88</v>
      </c>
      <c r="S5930">
        <v>225.47</v>
      </c>
      <c r="T5930">
        <v>6313.15</v>
      </c>
      <c r="U5930" t="s">
        <v>7529</v>
      </c>
      <c r="V5930" t="s">
        <v>9408</v>
      </c>
      <c r="W5930" t="s">
        <v>423</v>
      </c>
    </row>
    <row r="5931" spans="1:23" hidden="1" x14ac:dyDescent="0.2">
      <c r="A5931">
        <v>2012</v>
      </c>
      <c r="B5931" t="s">
        <v>303</v>
      </c>
      <c r="C5931" s="733">
        <v>40926</v>
      </c>
      <c r="D59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31" t="s">
        <v>505</v>
      </c>
      <c r="F5931" t="s">
        <v>2065</v>
      </c>
      <c r="G5931" t="s">
        <v>6761</v>
      </c>
      <c r="H5931">
        <v>22048</v>
      </c>
      <c r="I5931" t="s">
        <v>424</v>
      </c>
      <c r="J5931" t="s">
        <v>1917</v>
      </c>
      <c r="K5931" t="s">
        <v>1918</v>
      </c>
      <c r="L5931" t="s">
        <v>1919</v>
      </c>
      <c r="M5931">
        <v>267</v>
      </c>
      <c r="N5931">
        <v>30</v>
      </c>
      <c r="O5931">
        <v>2929.97</v>
      </c>
      <c r="P5931">
        <v>1683.8244589999999</v>
      </c>
      <c r="Q5931">
        <v>4613.7944589999997</v>
      </c>
      <c r="R5931">
        <v>738.20711300000005</v>
      </c>
      <c r="S5931">
        <v>184.55177800000001</v>
      </c>
      <c r="T5931">
        <v>5167.4497940000001</v>
      </c>
      <c r="U5931" t="s">
        <v>1928</v>
      </c>
      <c r="V5931" t="s">
        <v>9408</v>
      </c>
      <c r="W5931" t="s">
        <v>424</v>
      </c>
    </row>
    <row r="5932" spans="1:23" hidden="1" x14ac:dyDescent="0.2">
      <c r="A5932">
        <v>2012</v>
      </c>
      <c r="B5932" t="s">
        <v>303</v>
      </c>
      <c r="C5932" s="733">
        <v>40931</v>
      </c>
      <c r="D59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32" t="s">
        <v>505</v>
      </c>
      <c r="F5932" t="s">
        <v>2065</v>
      </c>
      <c r="G5932" t="s">
        <v>2438</v>
      </c>
      <c r="H5932">
        <v>22189</v>
      </c>
      <c r="I5932" t="s">
        <v>424</v>
      </c>
      <c r="J5932" t="s">
        <v>1917</v>
      </c>
      <c r="K5932" t="s">
        <v>1918</v>
      </c>
      <c r="L5932" t="s">
        <v>1919</v>
      </c>
      <c r="M5932">
        <v>267</v>
      </c>
      <c r="N5932">
        <v>30</v>
      </c>
      <c r="O5932">
        <v>2929.97</v>
      </c>
      <c r="P5932">
        <v>1683.8244589999999</v>
      </c>
      <c r="Q5932">
        <v>4613.7944589999997</v>
      </c>
      <c r="R5932">
        <v>738.20711300000005</v>
      </c>
      <c r="S5932">
        <v>184.55177800000001</v>
      </c>
      <c r="T5932">
        <v>5167.4497940000001</v>
      </c>
      <c r="U5932" t="s">
        <v>1928</v>
      </c>
      <c r="V5932" t="s">
        <v>9408</v>
      </c>
      <c r="W5932" t="s">
        <v>424</v>
      </c>
    </row>
    <row r="5933" spans="1:23" hidden="1" x14ac:dyDescent="0.2">
      <c r="A5933">
        <v>2012</v>
      </c>
      <c r="B5933" t="s">
        <v>304</v>
      </c>
      <c r="C5933" s="733">
        <v>40952</v>
      </c>
      <c r="D59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33" t="s">
        <v>505</v>
      </c>
      <c r="F5933" t="s">
        <v>2065</v>
      </c>
      <c r="G5933" t="s">
        <v>7123</v>
      </c>
      <c r="H5933">
        <v>22698</v>
      </c>
      <c r="I5933" t="s">
        <v>424</v>
      </c>
      <c r="J5933" t="s">
        <v>1917</v>
      </c>
      <c r="K5933" t="s">
        <v>1918</v>
      </c>
      <c r="L5933" t="s">
        <v>1919</v>
      </c>
      <c r="M5933">
        <v>267</v>
      </c>
      <c r="N5933">
        <v>30</v>
      </c>
      <c r="O5933">
        <v>2929.97</v>
      </c>
      <c r="P5933">
        <v>1683.8244589999999</v>
      </c>
      <c r="Q5933">
        <v>4613.7944589999997</v>
      </c>
      <c r="R5933">
        <v>738.20711300000005</v>
      </c>
      <c r="S5933">
        <v>184.55177800000001</v>
      </c>
      <c r="T5933">
        <v>5167.4497940000001</v>
      </c>
      <c r="U5933" t="s">
        <v>7522</v>
      </c>
      <c r="V5933" t="s">
        <v>9408</v>
      </c>
      <c r="W5933" t="s">
        <v>424</v>
      </c>
    </row>
    <row r="5934" spans="1:23" hidden="1" x14ac:dyDescent="0.2">
      <c r="A5934">
        <v>2012</v>
      </c>
      <c r="B5934" t="s">
        <v>303</v>
      </c>
      <c r="C5934" s="733">
        <v>40921</v>
      </c>
      <c r="D59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34" t="s">
        <v>505</v>
      </c>
      <c r="F5934" t="s">
        <v>2065</v>
      </c>
      <c r="G5934" t="s">
        <v>2437</v>
      </c>
      <c r="H5934">
        <v>21928</v>
      </c>
      <c r="I5934" t="s">
        <v>424</v>
      </c>
      <c r="J5934" t="s">
        <v>1917</v>
      </c>
      <c r="K5934" t="s">
        <v>1918</v>
      </c>
      <c r="L5934" t="s">
        <v>1919</v>
      </c>
      <c r="M5934">
        <v>267</v>
      </c>
      <c r="N5934">
        <v>30</v>
      </c>
      <c r="O5934">
        <v>2929.97</v>
      </c>
      <c r="P5934">
        <v>1683.8244589999999</v>
      </c>
      <c r="Q5934">
        <v>4613.7944589999997</v>
      </c>
      <c r="R5934">
        <v>738.20711300000005</v>
      </c>
      <c r="S5934">
        <v>184.55177800000001</v>
      </c>
      <c r="T5934">
        <v>5167.4497940000001</v>
      </c>
      <c r="U5934" t="s">
        <v>1931</v>
      </c>
      <c r="V5934" t="s">
        <v>9408</v>
      </c>
      <c r="W5934" t="s">
        <v>424</v>
      </c>
    </row>
    <row r="5935" spans="1:23" hidden="1" x14ac:dyDescent="0.2">
      <c r="A5935">
        <v>2012</v>
      </c>
      <c r="B5935" t="s">
        <v>303</v>
      </c>
      <c r="C5935" s="733">
        <v>40915.726331018515</v>
      </c>
      <c r="D59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35" t="s">
        <v>505</v>
      </c>
      <c r="F5935" t="s">
        <v>1915</v>
      </c>
      <c r="G5935" t="s">
        <v>7127</v>
      </c>
      <c r="H5935">
        <v>21811</v>
      </c>
      <c r="I5935" t="s">
        <v>424</v>
      </c>
      <c r="J5935" t="s">
        <v>1917</v>
      </c>
      <c r="K5935" t="s">
        <v>1918</v>
      </c>
      <c r="L5935" t="s">
        <v>1919</v>
      </c>
      <c r="M5935">
        <v>267</v>
      </c>
      <c r="N5935">
        <v>27</v>
      </c>
      <c r="O5935">
        <v>2636.97</v>
      </c>
      <c r="P5935">
        <v>1515.4402889999999</v>
      </c>
      <c r="Q5935">
        <v>4152.4102890000004</v>
      </c>
      <c r="R5935">
        <v>664.38564599999995</v>
      </c>
      <c r="S5935">
        <v>166.09641199999999</v>
      </c>
      <c r="T5935">
        <v>4650.6995230000002</v>
      </c>
      <c r="U5935" t="s">
        <v>1920</v>
      </c>
      <c r="V5935" t="s">
        <v>9408</v>
      </c>
      <c r="W5935" t="s">
        <v>424</v>
      </c>
    </row>
    <row r="5936" spans="1:23" hidden="1" x14ac:dyDescent="0.2">
      <c r="A5936">
        <v>2012</v>
      </c>
      <c r="B5936" t="s">
        <v>304</v>
      </c>
      <c r="C5936" s="733">
        <v>40966</v>
      </c>
      <c r="D59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36" t="s">
        <v>505</v>
      </c>
      <c r="F5936" t="s">
        <v>1915</v>
      </c>
      <c r="G5936" t="s">
        <v>8779</v>
      </c>
      <c r="H5936">
        <v>23045</v>
      </c>
      <c r="I5936" t="s">
        <v>424</v>
      </c>
      <c r="J5936" t="s">
        <v>1917</v>
      </c>
      <c r="K5936" t="s">
        <v>1918</v>
      </c>
      <c r="L5936" t="s">
        <v>1919</v>
      </c>
      <c r="M5936">
        <v>267</v>
      </c>
      <c r="N5936">
        <v>30</v>
      </c>
      <c r="O5936">
        <v>4613.7</v>
      </c>
      <c r="P5936">
        <v>0</v>
      </c>
      <c r="Q5936">
        <v>4613.7</v>
      </c>
      <c r="R5936">
        <v>738.19</v>
      </c>
      <c r="S5936">
        <v>184.55</v>
      </c>
      <c r="T5936">
        <v>5167.34</v>
      </c>
      <c r="U5936" t="s">
        <v>9415</v>
      </c>
      <c r="V5936" t="s">
        <v>9408</v>
      </c>
      <c r="W5936" t="s">
        <v>424</v>
      </c>
    </row>
    <row r="5937" spans="1:23" hidden="1" x14ac:dyDescent="0.2">
      <c r="A5937">
        <v>2012</v>
      </c>
      <c r="B5937" t="s">
        <v>303</v>
      </c>
      <c r="C5937" s="733">
        <v>40933.50990740741</v>
      </c>
      <c r="D59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37" t="s">
        <v>485</v>
      </c>
      <c r="F5937" t="s">
        <v>2054</v>
      </c>
      <c r="G5937" t="s">
        <v>2311</v>
      </c>
      <c r="H5937">
        <v>10199</v>
      </c>
      <c r="I5937" t="s">
        <v>423</v>
      </c>
      <c r="J5937" t="s">
        <v>2072</v>
      </c>
      <c r="K5937" t="s">
        <v>2057</v>
      </c>
      <c r="L5937" t="s">
        <v>2058</v>
      </c>
      <c r="M5937">
        <v>406</v>
      </c>
      <c r="N5937">
        <v>24.9</v>
      </c>
      <c r="O5937">
        <v>6804.67</v>
      </c>
      <c r="P5937">
        <v>0</v>
      </c>
      <c r="Q5937">
        <v>6804.67</v>
      </c>
      <c r="R5937">
        <v>1088.75</v>
      </c>
      <c r="S5937">
        <v>272.19</v>
      </c>
      <c r="T5937">
        <v>7621.23</v>
      </c>
      <c r="U5937" t="s">
        <v>2073</v>
      </c>
      <c r="V5937" t="s">
        <v>9408</v>
      </c>
      <c r="W5937" t="s">
        <v>423</v>
      </c>
    </row>
    <row r="5938" spans="1:23" hidden="1" x14ac:dyDescent="0.2">
      <c r="A5938">
        <v>2012</v>
      </c>
      <c r="B5938" t="s">
        <v>304</v>
      </c>
      <c r="C5938" s="733">
        <v>40949.559733796297</v>
      </c>
      <c r="D59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38" t="s">
        <v>485</v>
      </c>
      <c r="F5938" t="s">
        <v>2054</v>
      </c>
      <c r="G5938" t="s">
        <v>2310</v>
      </c>
      <c r="H5938">
        <v>10379</v>
      </c>
      <c r="I5938" t="s">
        <v>423</v>
      </c>
      <c r="J5938" t="s">
        <v>2072</v>
      </c>
      <c r="K5938" t="s">
        <v>2057</v>
      </c>
      <c r="L5938" t="s">
        <v>2058</v>
      </c>
      <c r="M5938">
        <v>406</v>
      </c>
      <c r="N5938">
        <v>46.66</v>
      </c>
      <c r="O5938">
        <v>12751.24</v>
      </c>
      <c r="P5938">
        <v>0</v>
      </c>
      <c r="Q5938">
        <v>12751.24</v>
      </c>
      <c r="R5938">
        <v>1402.64</v>
      </c>
      <c r="S5938">
        <v>510.05</v>
      </c>
      <c r="T5938">
        <v>13643.83</v>
      </c>
      <c r="U5938" t="s">
        <v>2082</v>
      </c>
      <c r="V5938" t="s">
        <v>9409</v>
      </c>
      <c r="W5938" t="s">
        <v>423</v>
      </c>
    </row>
    <row r="5939" spans="1:23" hidden="1" x14ac:dyDescent="0.2">
      <c r="A5939">
        <v>2012</v>
      </c>
      <c r="B5939" t="s">
        <v>304</v>
      </c>
      <c r="C5939" s="733">
        <v>40950.456111111111</v>
      </c>
      <c r="D59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39" t="s">
        <v>485</v>
      </c>
      <c r="F5939" t="s">
        <v>2054</v>
      </c>
      <c r="G5939" t="s">
        <v>2323</v>
      </c>
      <c r="H5939">
        <v>10383</v>
      </c>
      <c r="I5939" t="s">
        <v>423</v>
      </c>
      <c r="J5939" t="s">
        <v>2072</v>
      </c>
      <c r="K5939" t="s">
        <v>2057</v>
      </c>
      <c r="L5939" t="s">
        <v>2058</v>
      </c>
      <c r="M5939">
        <v>406</v>
      </c>
      <c r="N5939">
        <v>47.65</v>
      </c>
      <c r="O5939">
        <v>13021.79</v>
      </c>
      <c r="P5939">
        <v>0</v>
      </c>
      <c r="Q5939">
        <v>13021.79</v>
      </c>
      <c r="R5939">
        <v>1432.4</v>
      </c>
      <c r="S5939">
        <v>520.87</v>
      </c>
      <c r="T5939">
        <v>13933.32</v>
      </c>
      <c r="U5939" t="s">
        <v>2082</v>
      </c>
      <c r="V5939" t="s">
        <v>9409</v>
      </c>
      <c r="W5939" t="s">
        <v>423</v>
      </c>
    </row>
    <row r="5940" spans="1:23" hidden="1" x14ac:dyDescent="0.2">
      <c r="A5940">
        <v>2012</v>
      </c>
      <c r="B5940" t="s">
        <v>303</v>
      </c>
      <c r="C5940" s="733">
        <v>40927.667083333334</v>
      </c>
      <c r="D59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40" t="s">
        <v>485</v>
      </c>
      <c r="F5940" t="s">
        <v>2054</v>
      </c>
      <c r="G5940" t="s">
        <v>2322</v>
      </c>
      <c r="H5940">
        <v>10129</v>
      </c>
      <c r="I5940" t="s">
        <v>423</v>
      </c>
      <c r="J5940" t="s">
        <v>2072</v>
      </c>
      <c r="K5940" t="s">
        <v>2057</v>
      </c>
      <c r="L5940" t="s">
        <v>2058</v>
      </c>
      <c r="M5940">
        <v>406</v>
      </c>
      <c r="N5940">
        <v>48.15</v>
      </c>
      <c r="O5940">
        <v>13158.43</v>
      </c>
      <c r="P5940">
        <v>0</v>
      </c>
      <c r="Q5940">
        <v>13158.43</v>
      </c>
      <c r="R5940">
        <v>2105.35</v>
      </c>
      <c r="S5940">
        <v>526.34</v>
      </c>
      <c r="T5940">
        <v>14737.44</v>
      </c>
      <c r="U5940" t="s">
        <v>2077</v>
      </c>
      <c r="V5940" t="s">
        <v>9409</v>
      </c>
      <c r="W5940" t="s">
        <v>423</v>
      </c>
    </row>
    <row r="5941" spans="1:23" hidden="1" x14ac:dyDescent="0.2">
      <c r="A5941">
        <v>2012</v>
      </c>
      <c r="B5941" t="s">
        <v>304</v>
      </c>
      <c r="C5941" s="733">
        <v>40962</v>
      </c>
      <c r="D59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41" t="s">
        <v>485</v>
      </c>
      <c r="F5941" t="s">
        <v>2054</v>
      </c>
      <c r="G5941" t="s">
        <v>8568</v>
      </c>
      <c r="H5941">
        <v>10510</v>
      </c>
      <c r="I5941" t="s">
        <v>423</v>
      </c>
      <c r="J5941" t="s">
        <v>2072</v>
      </c>
      <c r="K5941" t="s">
        <v>2057</v>
      </c>
      <c r="L5941" t="s">
        <v>2058</v>
      </c>
      <c r="M5941">
        <v>406</v>
      </c>
      <c r="N5941">
        <v>29.92</v>
      </c>
      <c r="O5941">
        <v>8176.54</v>
      </c>
      <c r="P5941">
        <v>0</v>
      </c>
      <c r="Q5941">
        <v>8176.54</v>
      </c>
      <c r="R5941">
        <v>899.42</v>
      </c>
      <c r="S5941">
        <v>327.06</v>
      </c>
      <c r="T5941">
        <v>8748.9</v>
      </c>
      <c r="U5941" t="s">
        <v>8864</v>
      </c>
      <c r="V5941" t="s">
        <v>9408</v>
      </c>
      <c r="W5941" t="s">
        <v>423</v>
      </c>
    </row>
    <row r="5942" spans="1:23" hidden="1" x14ac:dyDescent="0.2">
      <c r="A5942">
        <v>2012</v>
      </c>
      <c r="B5942" t="s">
        <v>303</v>
      </c>
      <c r="C5942" s="733">
        <v>40933</v>
      </c>
      <c r="D59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42" t="s">
        <v>505</v>
      </c>
      <c r="F5942" t="s">
        <v>1915</v>
      </c>
      <c r="G5942" t="s">
        <v>2441</v>
      </c>
      <c r="H5942">
        <v>22221</v>
      </c>
      <c r="I5942" t="s">
        <v>423</v>
      </c>
      <c r="J5942" t="s">
        <v>1943</v>
      </c>
      <c r="K5942" t="s">
        <v>1918</v>
      </c>
      <c r="L5942" t="s">
        <v>1919</v>
      </c>
      <c r="M5942">
        <v>319</v>
      </c>
      <c r="N5942">
        <v>54.18</v>
      </c>
      <c r="O5942">
        <v>15887.74</v>
      </c>
      <c r="P5942">
        <v>0</v>
      </c>
      <c r="Q5942">
        <v>15887.74</v>
      </c>
      <c r="R5942">
        <v>2542.04</v>
      </c>
      <c r="S5942">
        <v>635.51</v>
      </c>
      <c r="T5942">
        <v>17794.27</v>
      </c>
      <c r="U5942" t="s">
        <v>1936</v>
      </c>
      <c r="V5942" t="s">
        <v>9409</v>
      </c>
      <c r="W5942" t="s">
        <v>423</v>
      </c>
    </row>
    <row r="5943" spans="1:23" hidden="1" x14ac:dyDescent="0.2">
      <c r="A5943">
        <v>2012</v>
      </c>
      <c r="B5943" t="s">
        <v>303</v>
      </c>
      <c r="C5943" s="733">
        <v>40924</v>
      </c>
      <c r="D59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43" t="s">
        <v>505</v>
      </c>
      <c r="F5943" t="s">
        <v>1915</v>
      </c>
      <c r="G5943" t="s">
        <v>6760</v>
      </c>
      <c r="H5943">
        <v>21989</v>
      </c>
      <c r="I5943" t="s">
        <v>423</v>
      </c>
      <c r="J5943" t="s">
        <v>1943</v>
      </c>
      <c r="K5943" t="s">
        <v>1918</v>
      </c>
      <c r="L5943" t="s">
        <v>1919</v>
      </c>
      <c r="M5943">
        <v>319</v>
      </c>
      <c r="N5943">
        <v>52.31</v>
      </c>
      <c r="O5943">
        <v>15339.38</v>
      </c>
      <c r="P5943">
        <v>0</v>
      </c>
      <c r="Q5943">
        <v>15339.38</v>
      </c>
      <c r="R5943">
        <v>2454.3000000000002</v>
      </c>
      <c r="S5943">
        <v>613.58000000000004</v>
      </c>
      <c r="T5943">
        <v>17180.099999999999</v>
      </c>
      <c r="U5943" t="s">
        <v>1936</v>
      </c>
      <c r="V5943" t="s">
        <v>9409</v>
      </c>
      <c r="W5943" t="s">
        <v>423</v>
      </c>
    </row>
    <row r="5944" spans="1:23" hidden="1" x14ac:dyDescent="0.2">
      <c r="A5944">
        <v>2012</v>
      </c>
      <c r="B5944" t="s">
        <v>304</v>
      </c>
      <c r="C5944" s="733">
        <v>40952</v>
      </c>
      <c r="D59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44" t="s">
        <v>485</v>
      </c>
      <c r="F5944" t="s">
        <v>2048</v>
      </c>
      <c r="G5944" t="s">
        <v>6752</v>
      </c>
      <c r="H5944">
        <v>41799</v>
      </c>
      <c r="I5944" t="s">
        <v>423</v>
      </c>
      <c r="J5944" t="s">
        <v>4091</v>
      </c>
      <c r="K5944" t="s">
        <v>2051</v>
      </c>
      <c r="L5944" t="s">
        <v>2052</v>
      </c>
      <c r="M5944">
        <v>1092</v>
      </c>
      <c r="N5944">
        <v>26.8</v>
      </c>
      <c r="O5944">
        <v>15637.8</v>
      </c>
      <c r="P5944">
        <v>0</v>
      </c>
      <c r="Q5944">
        <v>15637.8</v>
      </c>
      <c r="R5944">
        <v>2502.0500000000002</v>
      </c>
      <c r="S5944">
        <v>625.51</v>
      </c>
      <c r="T5944">
        <v>17514.34</v>
      </c>
      <c r="U5944" t="s">
        <v>7568</v>
      </c>
      <c r="V5944" t="s">
        <v>9408</v>
      </c>
      <c r="W5944" t="s">
        <v>423</v>
      </c>
    </row>
    <row r="5945" spans="1:23" x14ac:dyDescent="0.2">
      <c r="A5945">
        <v>2012</v>
      </c>
      <c r="B5945" t="s">
        <v>304</v>
      </c>
      <c r="C5945" s="733">
        <v>40967</v>
      </c>
      <c r="D59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45" t="s">
        <v>485</v>
      </c>
      <c r="F5945" t="s">
        <v>2048</v>
      </c>
      <c r="G5945" t="s">
        <v>9115</v>
      </c>
      <c r="H5945">
        <v>42145</v>
      </c>
      <c r="I5945" t="s">
        <v>423</v>
      </c>
      <c r="J5945" t="s">
        <v>4091</v>
      </c>
      <c r="K5945" t="s">
        <v>2051</v>
      </c>
      <c r="L5945" t="s">
        <v>2052</v>
      </c>
      <c r="M5945">
        <v>1092</v>
      </c>
      <c r="N5945">
        <v>27.15</v>
      </c>
      <c r="O5945">
        <v>15842.02</v>
      </c>
      <c r="P5945">
        <v>0</v>
      </c>
      <c r="Q5945">
        <v>15842.02</v>
      </c>
      <c r="R5945">
        <v>2534.7199999999998</v>
      </c>
      <c r="S5945">
        <v>633.67999999999995</v>
      </c>
      <c r="T5945">
        <v>17743.060000000001</v>
      </c>
      <c r="U5945" t="s">
        <v>8780</v>
      </c>
      <c r="V5945" t="s">
        <v>9408</v>
      </c>
      <c r="W5945" t="s">
        <v>423</v>
      </c>
    </row>
    <row r="5946" spans="1:23" hidden="1" x14ac:dyDescent="0.2">
      <c r="A5946">
        <v>2012</v>
      </c>
      <c r="B5946" t="s">
        <v>303</v>
      </c>
      <c r="C5946" s="733">
        <v>40935</v>
      </c>
      <c r="D59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46" t="s">
        <v>485</v>
      </c>
      <c r="F5946" t="s">
        <v>2048</v>
      </c>
      <c r="G5946" t="s">
        <v>6747</v>
      </c>
      <c r="H5946">
        <v>40982</v>
      </c>
      <c r="I5946" t="s">
        <v>423</v>
      </c>
      <c r="J5946" t="s">
        <v>4091</v>
      </c>
      <c r="K5946" t="s">
        <v>2051</v>
      </c>
      <c r="L5946" t="s">
        <v>2052</v>
      </c>
      <c r="M5946">
        <v>1092</v>
      </c>
      <c r="N5946">
        <v>50.65</v>
      </c>
      <c r="O5946">
        <v>29554.28</v>
      </c>
      <c r="P5946">
        <v>0</v>
      </c>
      <c r="Q5946">
        <v>29554.28</v>
      </c>
      <c r="R5946">
        <v>4728.68</v>
      </c>
      <c r="S5946">
        <v>1182.17</v>
      </c>
      <c r="T5946">
        <v>33100.79</v>
      </c>
      <c r="U5946" t="s">
        <v>2053</v>
      </c>
      <c r="V5946" t="s">
        <v>9409</v>
      </c>
      <c r="W5946" t="s">
        <v>423</v>
      </c>
    </row>
    <row r="5947" spans="1:23" hidden="1" x14ac:dyDescent="0.2">
      <c r="A5947">
        <v>2012</v>
      </c>
      <c r="B5947" t="s">
        <v>303</v>
      </c>
      <c r="C5947" s="733">
        <v>40938</v>
      </c>
      <c r="D59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47" t="s">
        <v>485</v>
      </c>
      <c r="F5947" t="s">
        <v>2048</v>
      </c>
      <c r="G5947" t="s">
        <v>6746</v>
      </c>
      <c r="H5947">
        <v>41112</v>
      </c>
      <c r="I5947" t="s">
        <v>423</v>
      </c>
      <c r="J5947" t="s">
        <v>4091</v>
      </c>
      <c r="K5947" t="s">
        <v>2051</v>
      </c>
      <c r="L5947" t="s">
        <v>2052</v>
      </c>
      <c r="M5947">
        <v>1092</v>
      </c>
      <c r="N5947">
        <v>51.05</v>
      </c>
      <c r="O5947">
        <v>29787.68</v>
      </c>
      <c r="P5947">
        <v>0</v>
      </c>
      <c r="Q5947">
        <v>29787.68</v>
      </c>
      <c r="R5947">
        <v>4766.03</v>
      </c>
      <c r="S5947">
        <v>1191.51</v>
      </c>
      <c r="T5947">
        <v>33362.199999999997</v>
      </c>
      <c r="U5947" t="s">
        <v>2064</v>
      </c>
      <c r="V5947" t="s">
        <v>9409</v>
      </c>
      <c r="W5947" t="s">
        <v>423</v>
      </c>
    </row>
    <row r="5948" spans="1:23" hidden="1" x14ac:dyDescent="0.2">
      <c r="A5948">
        <v>2012</v>
      </c>
      <c r="B5948" t="s">
        <v>304</v>
      </c>
      <c r="C5948" s="733">
        <v>40966</v>
      </c>
      <c r="D59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48" t="s">
        <v>485</v>
      </c>
      <c r="F5948" t="s">
        <v>2054</v>
      </c>
      <c r="G5948" t="s">
        <v>9102</v>
      </c>
      <c r="H5948">
        <v>10572</v>
      </c>
      <c r="I5948" t="s">
        <v>423</v>
      </c>
      <c r="J5948" t="s">
        <v>2072</v>
      </c>
      <c r="K5948" t="s">
        <v>2057</v>
      </c>
      <c r="L5948" t="s">
        <v>2058</v>
      </c>
      <c r="M5948">
        <v>406</v>
      </c>
      <c r="N5948">
        <v>45.85</v>
      </c>
      <c r="O5948">
        <v>12529.89</v>
      </c>
      <c r="P5948">
        <v>0</v>
      </c>
      <c r="Q5948">
        <v>12529.89</v>
      </c>
      <c r="R5948">
        <v>1378.29</v>
      </c>
      <c r="S5948">
        <v>501.2</v>
      </c>
      <c r="T5948">
        <v>13406.98</v>
      </c>
      <c r="U5948" t="s">
        <v>8864</v>
      </c>
      <c r="V5948" t="s">
        <v>9409</v>
      </c>
      <c r="W5948" t="s">
        <v>423</v>
      </c>
    </row>
    <row r="5949" spans="1:23" hidden="1" x14ac:dyDescent="0.2">
      <c r="A5949">
        <v>2012</v>
      </c>
      <c r="B5949" t="s">
        <v>304</v>
      </c>
      <c r="C5949" s="733">
        <v>40968</v>
      </c>
      <c r="D59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49" t="s">
        <v>505</v>
      </c>
      <c r="F5949" t="s">
        <v>1915</v>
      </c>
      <c r="G5949" t="s">
        <v>9116</v>
      </c>
      <c r="H5949">
        <v>23050</v>
      </c>
      <c r="I5949" t="s">
        <v>423</v>
      </c>
      <c r="J5949" t="s">
        <v>1943</v>
      </c>
      <c r="K5949" t="s">
        <v>1918</v>
      </c>
      <c r="L5949" t="s">
        <v>1919</v>
      </c>
      <c r="M5949">
        <v>319</v>
      </c>
      <c r="N5949">
        <v>56.58</v>
      </c>
      <c r="O5949">
        <v>16591.52</v>
      </c>
      <c r="P5949">
        <v>0</v>
      </c>
      <c r="Q5949">
        <v>16591.52</v>
      </c>
      <c r="R5949">
        <v>2654.64</v>
      </c>
      <c r="S5949">
        <v>663.66</v>
      </c>
      <c r="T5949">
        <v>18582.5</v>
      </c>
      <c r="V5949" t="s">
        <v>9409</v>
      </c>
      <c r="W5949" t="s">
        <v>423</v>
      </c>
    </row>
    <row r="5950" spans="1:23" hidden="1" x14ac:dyDescent="0.2">
      <c r="A5950">
        <v>2012</v>
      </c>
      <c r="B5950" t="s">
        <v>304</v>
      </c>
      <c r="C5950" s="733">
        <v>40949</v>
      </c>
      <c r="D59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50" t="s">
        <v>505</v>
      </c>
      <c r="F5950" t="s">
        <v>1915</v>
      </c>
      <c r="G5950" t="s">
        <v>2448</v>
      </c>
      <c r="H5950">
        <v>22399</v>
      </c>
      <c r="I5950" t="s">
        <v>423</v>
      </c>
      <c r="J5950" t="s">
        <v>1943</v>
      </c>
      <c r="K5950" t="s">
        <v>1918</v>
      </c>
      <c r="L5950" t="s">
        <v>1919</v>
      </c>
      <c r="M5950">
        <v>319</v>
      </c>
      <c r="N5950">
        <v>53.26</v>
      </c>
      <c r="O5950">
        <v>15617.96</v>
      </c>
      <c r="P5950">
        <v>0</v>
      </c>
      <c r="Q5950">
        <v>15617.96</v>
      </c>
      <c r="R5950">
        <v>2498.87</v>
      </c>
      <c r="S5950">
        <v>624.72</v>
      </c>
      <c r="T5950">
        <v>17492.11</v>
      </c>
      <c r="U5950" t="s">
        <v>7522</v>
      </c>
      <c r="V5950" t="s">
        <v>9409</v>
      </c>
      <c r="W5950" t="s">
        <v>423</v>
      </c>
    </row>
    <row r="5951" spans="1:23" hidden="1" x14ac:dyDescent="0.2">
      <c r="A5951">
        <v>2012</v>
      </c>
      <c r="B5951" t="s">
        <v>304</v>
      </c>
      <c r="C5951" s="733">
        <v>40959</v>
      </c>
      <c r="D59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51" t="s">
        <v>505</v>
      </c>
      <c r="F5951" t="s">
        <v>1915</v>
      </c>
      <c r="G5951" t="s">
        <v>8053</v>
      </c>
      <c r="H5951">
        <v>22871</v>
      </c>
      <c r="I5951" t="s">
        <v>423</v>
      </c>
      <c r="J5951" t="s">
        <v>1943</v>
      </c>
      <c r="K5951" t="s">
        <v>1918</v>
      </c>
      <c r="L5951" t="s">
        <v>1919</v>
      </c>
      <c r="M5951">
        <v>319</v>
      </c>
      <c r="N5951">
        <v>53.93</v>
      </c>
      <c r="O5951">
        <v>15814.43</v>
      </c>
      <c r="P5951">
        <v>0</v>
      </c>
      <c r="Q5951">
        <v>15814.43</v>
      </c>
      <c r="R5951">
        <v>2530.31</v>
      </c>
      <c r="S5951">
        <v>632.58000000000004</v>
      </c>
      <c r="T5951">
        <v>17712.16</v>
      </c>
      <c r="U5951" t="s">
        <v>8491</v>
      </c>
      <c r="V5951" t="s">
        <v>9409</v>
      </c>
      <c r="W5951" t="s">
        <v>423</v>
      </c>
    </row>
    <row r="5952" spans="1:23" hidden="1" x14ac:dyDescent="0.2">
      <c r="A5952">
        <v>2012</v>
      </c>
      <c r="B5952" t="s">
        <v>304</v>
      </c>
      <c r="C5952" s="733">
        <v>40942</v>
      </c>
      <c r="D59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52" t="s">
        <v>485</v>
      </c>
      <c r="F5952" t="s">
        <v>2065</v>
      </c>
      <c r="G5952" t="s">
        <v>6700</v>
      </c>
      <c r="H5952">
        <v>41208</v>
      </c>
      <c r="I5952" t="s">
        <v>423</v>
      </c>
      <c r="J5952" t="s">
        <v>2135</v>
      </c>
      <c r="K5952" t="s">
        <v>2102</v>
      </c>
      <c r="L5952" t="s">
        <v>2115</v>
      </c>
      <c r="M5952">
        <v>494</v>
      </c>
      <c r="N5952">
        <v>50.71</v>
      </c>
      <c r="O5952">
        <v>17051.240000000002</v>
      </c>
      <c r="P5952">
        <v>0</v>
      </c>
      <c r="Q5952">
        <v>17051.240000000002</v>
      </c>
      <c r="R5952">
        <v>2728.2</v>
      </c>
      <c r="S5952">
        <v>682.05</v>
      </c>
      <c r="T5952">
        <v>19097.39</v>
      </c>
      <c r="V5952" t="s">
        <v>9409</v>
      </c>
      <c r="W5952" t="s">
        <v>423</v>
      </c>
    </row>
    <row r="5953" spans="1:23" hidden="1" x14ac:dyDescent="0.2">
      <c r="A5953">
        <v>2012</v>
      </c>
      <c r="B5953" t="s">
        <v>303</v>
      </c>
      <c r="C5953" s="733">
        <v>40933</v>
      </c>
      <c r="D59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53" t="s">
        <v>485</v>
      </c>
      <c r="F5953" t="s">
        <v>2065</v>
      </c>
      <c r="G5953" t="s">
        <v>5698</v>
      </c>
      <c r="H5953">
        <v>40835</v>
      </c>
      <c r="I5953" t="s">
        <v>423</v>
      </c>
      <c r="J5953" t="s">
        <v>3419</v>
      </c>
      <c r="K5953" t="s">
        <v>2183</v>
      </c>
      <c r="L5953" t="s">
        <v>2184</v>
      </c>
      <c r="M5953">
        <v>80</v>
      </c>
      <c r="N5953">
        <v>15.75</v>
      </c>
      <c r="O5953">
        <v>1777.7</v>
      </c>
      <c r="P5953">
        <v>0</v>
      </c>
      <c r="Q5953">
        <v>1777.7</v>
      </c>
      <c r="R5953">
        <v>284.43</v>
      </c>
      <c r="S5953">
        <v>71.11</v>
      </c>
      <c r="T5953">
        <v>1991.02</v>
      </c>
      <c r="U5953" t="s">
        <v>2187</v>
      </c>
      <c r="V5953" t="s">
        <v>9408</v>
      </c>
      <c r="W5953" t="s">
        <v>423</v>
      </c>
    </row>
    <row r="5954" spans="1:23" hidden="1" x14ac:dyDescent="0.2">
      <c r="A5954">
        <v>2012</v>
      </c>
      <c r="B5954" t="s">
        <v>303</v>
      </c>
      <c r="C5954" s="733">
        <v>40931</v>
      </c>
      <c r="D59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54" t="s">
        <v>505</v>
      </c>
      <c r="F5954" t="s">
        <v>1915</v>
      </c>
      <c r="G5954" t="s">
        <v>6187</v>
      </c>
      <c r="H5954">
        <v>22154</v>
      </c>
      <c r="I5954" t="s">
        <v>423</v>
      </c>
      <c r="J5954" t="s">
        <v>1945</v>
      </c>
      <c r="K5954" t="s">
        <v>1918</v>
      </c>
      <c r="L5954" t="s">
        <v>1919</v>
      </c>
      <c r="M5954">
        <v>949</v>
      </c>
      <c r="N5954">
        <v>24.72</v>
      </c>
      <c r="O5954">
        <v>18493.77</v>
      </c>
      <c r="P5954">
        <v>0</v>
      </c>
      <c r="Q5954">
        <v>18493.77</v>
      </c>
      <c r="R5954">
        <v>2959</v>
      </c>
      <c r="S5954">
        <v>739.75</v>
      </c>
      <c r="T5954">
        <v>20713.02</v>
      </c>
      <c r="V5954" t="s">
        <v>9408</v>
      </c>
      <c r="W5954" t="s">
        <v>423</v>
      </c>
    </row>
    <row r="5955" spans="1:23" hidden="1" x14ac:dyDescent="0.2">
      <c r="A5955">
        <v>2012</v>
      </c>
      <c r="B5955" t="s">
        <v>303</v>
      </c>
      <c r="C5955" s="733">
        <v>40927</v>
      </c>
      <c r="D59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55" t="s">
        <v>505</v>
      </c>
      <c r="F5955" t="s">
        <v>1915</v>
      </c>
      <c r="G5955" t="s">
        <v>6188</v>
      </c>
      <c r="H5955">
        <v>22090</v>
      </c>
      <c r="I5955" t="s">
        <v>423</v>
      </c>
      <c r="J5955" t="s">
        <v>1945</v>
      </c>
      <c r="K5955" t="s">
        <v>1918</v>
      </c>
      <c r="L5955" t="s">
        <v>1919</v>
      </c>
      <c r="M5955">
        <v>949</v>
      </c>
      <c r="N5955">
        <v>24.8</v>
      </c>
      <c r="O5955">
        <v>18553.62</v>
      </c>
      <c r="P5955">
        <v>0</v>
      </c>
      <c r="Q5955">
        <v>18553.62</v>
      </c>
      <c r="R5955">
        <v>2968.58</v>
      </c>
      <c r="S5955">
        <v>742.14</v>
      </c>
      <c r="T5955">
        <v>20780.060000000001</v>
      </c>
      <c r="U5955" t="s">
        <v>1936</v>
      </c>
      <c r="V5955" t="s">
        <v>9408</v>
      </c>
      <c r="W5955" t="s">
        <v>423</v>
      </c>
    </row>
    <row r="5956" spans="1:23" hidden="1" x14ac:dyDescent="0.2">
      <c r="A5956">
        <v>2012</v>
      </c>
      <c r="B5956" t="s">
        <v>303</v>
      </c>
      <c r="C5956" s="733">
        <v>40936</v>
      </c>
      <c r="D59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56" t="s">
        <v>478</v>
      </c>
      <c r="F5956" t="s">
        <v>3787</v>
      </c>
      <c r="G5956" t="s">
        <v>5102</v>
      </c>
      <c r="H5956">
        <v>34772</v>
      </c>
      <c r="I5956" t="s">
        <v>423</v>
      </c>
      <c r="J5956" t="s">
        <v>3797</v>
      </c>
      <c r="K5956" t="s">
        <v>3481</v>
      </c>
      <c r="L5956" t="s">
        <v>3482</v>
      </c>
      <c r="M5956">
        <v>266</v>
      </c>
      <c r="N5956">
        <v>28</v>
      </c>
      <c r="O5956">
        <v>6252.96</v>
      </c>
      <c r="P5956">
        <v>0</v>
      </c>
      <c r="Q5956">
        <v>6252.96</v>
      </c>
      <c r="R5956">
        <v>1000.47</v>
      </c>
      <c r="S5956">
        <v>250.12</v>
      </c>
      <c r="T5956">
        <v>7003.31</v>
      </c>
      <c r="U5956" t="s">
        <v>3784</v>
      </c>
      <c r="V5956" t="s">
        <v>9408</v>
      </c>
      <c r="W5956" t="s">
        <v>423</v>
      </c>
    </row>
    <row r="5957" spans="1:23" hidden="1" x14ac:dyDescent="0.2">
      <c r="A5957">
        <v>2012</v>
      </c>
      <c r="B5957" t="s">
        <v>304</v>
      </c>
      <c r="C5957" s="733">
        <v>40940</v>
      </c>
      <c r="D59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57" t="s">
        <v>485</v>
      </c>
      <c r="F5957" t="s">
        <v>2065</v>
      </c>
      <c r="G5957" t="s">
        <v>4321</v>
      </c>
      <c r="H5957">
        <v>40944</v>
      </c>
      <c r="I5957" t="s">
        <v>423</v>
      </c>
      <c r="J5957" t="s">
        <v>2182</v>
      </c>
      <c r="K5957" t="s">
        <v>2183</v>
      </c>
      <c r="L5957" t="s">
        <v>2115</v>
      </c>
      <c r="M5957">
        <v>62</v>
      </c>
      <c r="N5957">
        <v>26.4</v>
      </c>
      <c r="O5957">
        <v>3910.9</v>
      </c>
      <c r="P5957">
        <v>0</v>
      </c>
      <c r="Q5957">
        <v>3910.9</v>
      </c>
      <c r="R5957">
        <v>625.74</v>
      </c>
      <c r="S5957">
        <v>156.44</v>
      </c>
      <c r="T5957">
        <v>4380.2</v>
      </c>
      <c r="V5957" t="s">
        <v>9408</v>
      </c>
      <c r="W5957" t="s">
        <v>423</v>
      </c>
    </row>
    <row r="5958" spans="1:23" hidden="1" x14ac:dyDescent="0.2">
      <c r="A5958">
        <v>2012</v>
      </c>
      <c r="B5958" t="s">
        <v>305</v>
      </c>
      <c r="C5958" s="733">
        <v>40970</v>
      </c>
      <c r="D5958" s="733" t="str">
        <f>CHOOSE(MONTH(Tabla_sqldatos_bonampakdb_Bon_v_ingresos2012[[#This Row],[fecha_guia]]),"Enero","Febrero","Marzo","Abril","Mayo","Junio","Julio","Agosto","Septiembre","Octubre","Noviembre","Diciembre")</f>
        <v>Marzo</v>
      </c>
      <c r="E5958" t="s">
        <v>485</v>
      </c>
      <c r="F5958" t="s">
        <v>2065</v>
      </c>
      <c r="G5958" t="s">
        <v>9529</v>
      </c>
      <c r="H5958">
        <v>42881</v>
      </c>
      <c r="I5958" t="s">
        <v>423</v>
      </c>
      <c r="J5958" t="s">
        <v>2182</v>
      </c>
      <c r="K5958" t="s">
        <v>2183</v>
      </c>
      <c r="L5958" t="s">
        <v>2184</v>
      </c>
      <c r="M5958">
        <v>62</v>
      </c>
      <c r="N5958">
        <v>47.32</v>
      </c>
      <c r="O5958">
        <v>7009.98</v>
      </c>
      <c r="P5958">
        <v>0</v>
      </c>
      <c r="Q5958">
        <v>7009.98</v>
      </c>
      <c r="R5958">
        <v>1121.5999999999999</v>
      </c>
      <c r="S5958">
        <v>280.39999999999998</v>
      </c>
      <c r="T5958">
        <v>7851.18</v>
      </c>
      <c r="V5958" t="s">
        <v>9409</v>
      </c>
      <c r="W5958" t="s">
        <v>423</v>
      </c>
    </row>
    <row r="5959" spans="1:23" hidden="1" x14ac:dyDescent="0.2">
      <c r="A5959">
        <v>2012</v>
      </c>
      <c r="B5959" t="s">
        <v>304</v>
      </c>
      <c r="C5959" s="733">
        <v>40955.407511574071</v>
      </c>
      <c r="D59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59" t="s">
        <v>478</v>
      </c>
      <c r="F5959" t="s">
        <v>3358</v>
      </c>
      <c r="G5959" t="s">
        <v>7636</v>
      </c>
      <c r="H5959">
        <v>35694</v>
      </c>
      <c r="I5959" t="s">
        <v>423</v>
      </c>
      <c r="J5959" t="s">
        <v>3360</v>
      </c>
      <c r="K5959" t="s">
        <v>483</v>
      </c>
      <c r="L5959" t="s">
        <v>3361</v>
      </c>
      <c r="M5959">
        <v>49</v>
      </c>
      <c r="N5959">
        <v>35.18</v>
      </c>
      <c r="O5959">
        <v>3970.77</v>
      </c>
      <c r="P5959">
        <v>0</v>
      </c>
      <c r="Q5959">
        <v>3970.77</v>
      </c>
      <c r="R5959">
        <v>635.32000000000005</v>
      </c>
      <c r="S5959">
        <v>158.83000000000001</v>
      </c>
      <c r="T5959">
        <v>4447.26</v>
      </c>
      <c r="U5959" t="s">
        <v>8266</v>
      </c>
      <c r="V5959" t="s">
        <v>9408</v>
      </c>
      <c r="W5959" t="s">
        <v>423</v>
      </c>
    </row>
    <row r="5960" spans="1:23" hidden="1" x14ac:dyDescent="0.2">
      <c r="A5960">
        <v>2012</v>
      </c>
      <c r="B5960" t="s">
        <v>303</v>
      </c>
      <c r="C5960" s="733">
        <v>40933.725983796299</v>
      </c>
      <c r="D59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60" t="s">
        <v>478</v>
      </c>
      <c r="F5960" t="s">
        <v>3358</v>
      </c>
      <c r="G5960" t="s">
        <v>5092</v>
      </c>
      <c r="H5960">
        <v>34947</v>
      </c>
      <c r="I5960" t="s">
        <v>423</v>
      </c>
      <c r="J5960" t="s">
        <v>3360</v>
      </c>
      <c r="K5960" t="s">
        <v>483</v>
      </c>
      <c r="L5960" t="s">
        <v>3361</v>
      </c>
      <c r="M5960">
        <v>49</v>
      </c>
      <c r="N5960">
        <v>21.74</v>
      </c>
      <c r="O5960">
        <v>2453.79</v>
      </c>
      <c r="P5960">
        <v>0</v>
      </c>
      <c r="Q5960">
        <v>2453.79</v>
      </c>
      <c r="R5960">
        <v>392.61</v>
      </c>
      <c r="S5960">
        <v>98.15</v>
      </c>
      <c r="T5960">
        <v>2748.25</v>
      </c>
      <c r="U5960" t="s">
        <v>4717</v>
      </c>
      <c r="V5960" t="s">
        <v>9408</v>
      </c>
      <c r="W5960" t="s">
        <v>423</v>
      </c>
    </row>
    <row r="5961" spans="1:23" hidden="1" x14ac:dyDescent="0.2">
      <c r="A5961">
        <v>2012</v>
      </c>
      <c r="B5961" t="s">
        <v>304</v>
      </c>
      <c r="C5961" s="733">
        <v>40962</v>
      </c>
      <c r="D59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61" t="s">
        <v>478</v>
      </c>
      <c r="F5961" t="s">
        <v>2136</v>
      </c>
      <c r="G5961" t="s">
        <v>8639</v>
      </c>
      <c r="H5961">
        <v>35458</v>
      </c>
      <c r="I5961" t="s">
        <v>423</v>
      </c>
      <c r="J5961" t="s">
        <v>5689</v>
      </c>
      <c r="K5961" t="s">
        <v>425</v>
      </c>
      <c r="L5961" t="s">
        <v>2145</v>
      </c>
      <c r="M5961">
        <v>764</v>
      </c>
      <c r="N5961">
        <v>47.16</v>
      </c>
      <c r="O5961">
        <v>15067.62</v>
      </c>
      <c r="P5961">
        <v>0</v>
      </c>
      <c r="Q5961">
        <v>15067.62</v>
      </c>
      <c r="R5961">
        <v>2410.8200000000002</v>
      </c>
      <c r="S5961">
        <v>602.70000000000005</v>
      </c>
      <c r="T5961">
        <v>16875.740000000002</v>
      </c>
      <c r="U5961" t="s">
        <v>8510</v>
      </c>
      <c r="V5961" t="s">
        <v>9409</v>
      </c>
      <c r="W5961" t="s">
        <v>423</v>
      </c>
    </row>
    <row r="5962" spans="1:23" hidden="1" x14ac:dyDescent="0.2">
      <c r="A5962">
        <v>2012</v>
      </c>
      <c r="B5962" t="s">
        <v>303</v>
      </c>
      <c r="C5962" s="733">
        <v>40926</v>
      </c>
      <c r="D59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62" t="s">
        <v>485</v>
      </c>
      <c r="F5962" t="s">
        <v>2065</v>
      </c>
      <c r="G5962" t="s">
        <v>6697</v>
      </c>
      <c r="H5962">
        <v>39685</v>
      </c>
      <c r="I5962" t="s">
        <v>423</v>
      </c>
      <c r="J5962" t="s">
        <v>2114</v>
      </c>
      <c r="K5962" t="s">
        <v>2102</v>
      </c>
      <c r="L5962" t="s">
        <v>2115</v>
      </c>
      <c r="M5962">
        <v>500</v>
      </c>
      <c r="N5962">
        <v>51.23</v>
      </c>
      <c r="O5962">
        <v>17226.09</v>
      </c>
      <c r="P5962">
        <v>0</v>
      </c>
      <c r="Q5962">
        <v>17226.09</v>
      </c>
      <c r="R5962">
        <v>2756.17</v>
      </c>
      <c r="S5962">
        <v>689.04</v>
      </c>
      <c r="T5962">
        <v>19293.22</v>
      </c>
      <c r="U5962" t="s">
        <v>2106</v>
      </c>
      <c r="V5962" t="s">
        <v>9409</v>
      </c>
      <c r="W5962" t="s">
        <v>423</v>
      </c>
    </row>
    <row r="5963" spans="1:23" hidden="1" x14ac:dyDescent="0.2">
      <c r="A5963">
        <v>2012</v>
      </c>
      <c r="B5963" t="s">
        <v>303</v>
      </c>
      <c r="C5963" s="733">
        <v>40911</v>
      </c>
      <c r="D59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63" t="s">
        <v>485</v>
      </c>
      <c r="F5963" t="s">
        <v>2065</v>
      </c>
      <c r="G5963" t="s">
        <v>2930</v>
      </c>
      <c r="H5963">
        <v>39696</v>
      </c>
      <c r="I5963" t="s">
        <v>423</v>
      </c>
      <c r="J5963" t="s">
        <v>2114</v>
      </c>
      <c r="K5963" t="s">
        <v>2102</v>
      </c>
      <c r="L5963" t="s">
        <v>2115</v>
      </c>
      <c r="M5963">
        <v>500</v>
      </c>
      <c r="N5963">
        <v>25.81</v>
      </c>
      <c r="O5963">
        <v>3653.92</v>
      </c>
      <c r="P5963">
        <v>4113.9119890000002</v>
      </c>
      <c r="Q5963">
        <v>7767.8319890000002</v>
      </c>
      <c r="R5963">
        <v>1242.853118</v>
      </c>
      <c r="S5963">
        <v>310.71328</v>
      </c>
      <c r="T5963">
        <v>8699.9718269999994</v>
      </c>
      <c r="U5963" t="s">
        <v>2104</v>
      </c>
      <c r="V5963" t="s">
        <v>9408</v>
      </c>
      <c r="W5963" t="s">
        <v>423</v>
      </c>
    </row>
    <row r="5964" spans="1:23" hidden="1" x14ac:dyDescent="0.2">
      <c r="A5964">
        <v>2012</v>
      </c>
      <c r="B5964" t="s">
        <v>304</v>
      </c>
      <c r="C5964" s="733">
        <v>40949</v>
      </c>
      <c r="D59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64" t="s">
        <v>505</v>
      </c>
      <c r="F5964" t="s">
        <v>1915</v>
      </c>
      <c r="G5964" t="s">
        <v>6197</v>
      </c>
      <c r="H5964">
        <v>22621</v>
      </c>
      <c r="I5964" t="s">
        <v>424</v>
      </c>
      <c r="J5964" t="s">
        <v>4155</v>
      </c>
      <c r="K5964" t="s">
        <v>1918</v>
      </c>
      <c r="L5964" t="s">
        <v>1919</v>
      </c>
      <c r="M5964">
        <v>650</v>
      </c>
      <c r="N5964">
        <v>30</v>
      </c>
      <c r="O5964">
        <v>5937.35</v>
      </c>
      <c r="P5964">
        <v>3412.1356719999999</v>
      </c>
      <c r="Q5964">
        <v>9349.4856720000007</v>
      </c>
      <c r="R5964">
        <v>1495.9177070000001</v>
      </c>
      <c r="S5964">
        <v>373.97942699999999</v>
      </c>
      <c r="T5964">
        <v>10471.423951999999</v>
      </c>
      <c r="U5964" t="s">
        <v>7522</v>
      </c>
      <c r="V5964" t="s">
        <v>9408</v>
      </c>
      <c r="W5964" t="s">
        <v>424</v>
      </c>
    </row>
    <row r="5965" spans="1:23" hidden="1" x14ac:dyDescent="0.2">
      <c r="A5965">
        <v>2012</v>
      </c>
      <c r="B5965" t="s">
        <v>304</v>
      </c>
      <c r="C5965" s="733">
        <v>40953.561469907407</v>
      </c>
      <c r="D59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65" t="s">
        <v>485</v>
      </c>
      <c r="F5965" t="s">
        <v>2054</v>
      </c>
      <c r="G5965" t="s">
        <v>2397</v>
      </c>
      <c r="H5965">
        <v>10432</v>
      </c>
      <c r="I5965" t="s">
        <v>423</v>
      </c>
      <c r="J5965" t="s">
        <v>2072</v>
      </c>
      <c r="K5965" t="s">
        <v>2057</v>
      </c>
      <c r="L5965" t="s">
        <v>2058</v>
      </c>
      <c r="M5965">
        <v>406</v>
      </c>
      <c r="N5965">
        <v>47.59</v>
      </c>
      <c r="O5965">
        <v>13005.4</v>
      </c>
      <c r="P5965">
        <v>0</v>
      </c>
      <c r="Q5965">
        <v>13005.4</v>
      </c>
      <c r="R5965">
        <v>1430.59</v>
      </c>
      <c r="S5965">
        <v>520.22</v>
      </c>
      <c r="T5965">
        <v>13915.77</v>
      </c>
      <c r="U5965" t="s">
        <v>8047</v>
      </c>
      <c r="V5965" t="s">
        <v>9409</v>
      </c>
      <c r="W5965" t="s">
        <v>423</v>
      </c>
    </row>
    <row r="5966" spans="1:23" hidden="1" x14ac:dyDescent="0.2">
      <c r="A5966">
        <v>2012</v>
      </c>
      <c r="B5966" t="s">
        <v>303</v>
      </c>
      <c r="C5966" s="733">
        <v>40919</v>
      </c>
      <c r="D59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66" t="s">
        <v>485</v>
      </c>
      <c r="F5966" t="s">
        <v>2054</v>
      </c>
      <c r="G5966" t="s">
        <v>5709</v>
      </c>
      <c r="H5966">
        <v>10006</v>
      </c>
      <c r="I5966" t="s">
        <v>423</v>
      </c>
      <c r="J5966" t="s">
        <v>2072</v>
      </c>
      <c r="K5966" t="s">
        <v>2057</v>
      </c>
      <c r="L5966" t="s">
        <v>2058</v>
      </c>
      <c r="M5966">
        <v>406</v>
      </c>
      <c r="N5966">
        <v>46.48</v>
      </c>
      <c r="O5966">
        <v>12702.05</v>
      </c>
      <c r="P5966">
        <v>0</v>
      </c>
      <c r="Q5966">
        <v>12702.05</v>
      </c>
      <c r="R5966">
        <v>2032.33</v>
      </c>
      <c r="S5966">
        <v>508.08</v>
      </c>
      <c r="T5966">
        <v>14226.3</v>
      </c>
      <c r="U5966" t="s">
        <v>2070</v>
      </c>
      <c r="V5966" t="s">
        <v>9409</v>
      </c>
      <c r="W5966" t="s">
        <v>423</v>
      </c>
    </row>
    <row r="5967" spans="1:23" hidden="1" x14ac:dyDescent="0.2">
      <c r="A5967">
        <v>2012</v>
      </c>
      <c r="B5967" t="s">
        <v>304</v>
      </c>
      <c r="C5967" s="733">
        <v>40943</v>
      </c>
      <c r="D59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67" t="s">
        <v>485</v>
      </c>
      <c r="F5967" t="s">
        <v>2054</v>
      </c>
      <c r="G5967" t="s">
        <v>2396</v>
      </c>
      <c r="H5967">
        <v>10319</v>
      </c>
      <c r="I5967" t="s">
        <v>423</v>
      </c>
      <c r="J5967" t="s">
        <v>2072</v>
      </c>
      <c r="K5967" t="s">
        <v>2057</v>
      </c>
      <c r="L5967" t="s">
        <v>2058</v>
      </c>
      <c r="M5967">
        <v>406</v>
      </c>
      <c r="N5967">
        <v>47.75</v>
      </c>
      <c r="O5967">
        <v>13049.12</v>
      </c>
      <c r="P5967">
        <v>0</v>
      </c>
      <c r="Q5967">
        <v>13049.12</v>
      </c>
      <c r="R5967">
        <v>2087.86</v>
      </c>
      <c r="S5967">
        <v>521.96</v>
      </c>
      <c r="T5967">
        <v>14615.02</v>
      </c>
      <c r="U5967" t="s">
        <v>2075</v>
      </c>
      <c r="V5967" t="s">
        <v>9409</v>
      </c>
      <c r="W5967" t="s">
        <v>423</v>
      </c>
    </row>
    <row r="5968" spans="1:23" hidden="1" x14ac:dyDescent="0.2">
      <c r="A5968">
        <v>2012</v>
      </c>
      <c r="B5968" t="s">
        <v>303</v>
      </c>
      <c r="C5968" s="733">
        <v>40924</v>
      </c>
      <c r="D59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68" t="s">
        <v>485</v>
      </c>
      <c r="F5968" t="s">
        <v>2054</v>
      </c>
      <c r="G5968" t="s">
        <v>5710</v>
      </c>
      <c r="H5968">
        <v>10070</v>
      </c>
      <c r="I5968" t="s">
        <v>423</v>
      </c>
      <c r="J5968" t="s">
        <v>2072</v>
      </c>
      <c r="K5968" t="s">
        <v>2057</v>
      </c>
      <c r="L5968" t="s">
        <v>2058</v>
      </c>
      <c r="M5968">
        <v>406</v>
      </c>
      <c r="N5968">
        <v>29.81</v>
      </c>
      <c r="O5968">
        <v>8146.48</v>
      </c>
      <c r="P5968">
        <v>0</v>
      </c>
      <c r="Q5968">
        <v>8146.48</v>
      </c>
      <c r="R5968">
        <v>1303.44</v>
      </c>
      <c r="S5968">
        <v>325.86</v>
      </c>
      <c r="T5968">
        <v>9124.06</v>
      </c>
      <c r="U5968" t="s">
        <v>2059</v>
      </c>
      <c r="V5968" t="s">
        <v>9408</v>
      </c>
      <c r="W5968" t="s">
        <v>423</v>
      </c>
    </row>
    <row r="5969" spans="1:23" x14ac:dyDescent="0.2">
      <c r="A5969">
        <v>2012</v>
      </c>
      <c r="B5969" t="s">
        <v>304</v>
      </c>
      <c r="C5969" s="733">
        <v>40967.570335648146</v>
      </c>
      <c r="D59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69" t="s">
        <v>485</v>
      </c>
      <c r="F5969" t="s">
        <v>2054</v>
      </c>
      <c r="G5969" t="s">
        <v>9136</v>
      </c>
      <c r="H5969">
        <v>10604</v>
      </c>
      <c r="I5969" t="s">
        <v>423</v>
      </c>
      <c r="J5969" t="s">
        <v>2072</v>
      </c>
      <c r="K5969" t="s">
        <v>2057</v>
      </c>
      <c r="L5969" t="s">
        <v>2058</v>
      </c>
      <c r="M5969">
        <v>406</v>
      </c>
      <c r="N5969">
        <v>23.15</v>
      </c>
      <c r="O5969">
        <v>6326.43</v>
      </c>
      <c r="P5969">
        <v>0</v>
      </c>
      <c r="Q5969">
        <v>6326.43</v>
      </c>
      <c r="R5969">
        <v>695.91</v>
      </c>
      <c r="S5969">
        <v>253.06</v>
      </c>
      <c r="T5969">
        <v>6769.28</v>
      </c>
      <c r="V5969" t="s">
        <v>9408</v>
      </c>
      <c r="W5969" t="s">
        <v>423</v>
      </c>
    </row>
    <row r="5970" spans="1:23" hidden="1" x14ac:dyDescent="0.2">
      <c r="A5970">
        <v>2012</v>
      </c>
      <c r="B5970" t="s">
        <v>303</v>
      </c>
      <c r="C5970" s="733">
        <v>40927.650949074072</v>
      </c>
      <c r="D59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70" t="s">
        <v>485</v>
      </c>
      <c r="F5970" t="s">
        <v>2054</v>
      </c>
      <c r="G5970" t="s">
        <v>2410</v>
      </c>
      <c r="H5970">
        <v>10132</v>
      </c>
      <c r="I5970" t="s">
        <v>423</v>
      </c>
      <c r="J5970" t="s">
        <v>2072</v>
      </c>
      <c r="K5970" t="s">
        <v>2057</v>
      </c>
      <c r="L5970" t="s">
        <v>2058</v>
      </c>
      <c r="M5970">
        <v>406</v>
      </c>
      <c r="N5970">
        <v>47.01</v>
      </c>
      <c r="O5970">
        <v>12846.89</v>
      </c>
      <c r="P5970">
        <v>0</v>
      </c>
      <c r="Q5970">
        <v>12846.89</v>
      </c>
      <c r="R5970">
        <v>2055.5</v>
      </c>
      <c r="S5970">
        <v>513.88</v>
      </c>
      <c r="T5970">
        <v>14388.51</v>
      </c>
      <c r="U5970" t="s">
        <v>2077</v>
      </c>
      <c r="V5970" t="s">
        <v>9409</v>
      </c>
      <c r="W5970" t="s">
        <v>423</v>
      </c>
    </row>
    <row r="5971" spans="1:23" hidden="1" x14ac:dyDescent="0.2">
      <c r="A5971">
        <v>2012</v>
      </c>
      <c r="B5971" t="s">
        <v>303</v>
      </c>
      <c r="C5971" s="733">
        <v>40924</v>
      </c>
      <c r="D59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71" t="s">
        <v>485</v>
      </c>
      <c r="F5971" t="s">
        <v>2054</v>
      </c>
      <c r="G5971" t="s">
        <v>2411</v>
      </c>
      <c r="H5971">
        <v>10067</v>
      </c>
      <c r="I5971" t="s">
        <v>423</v>
      </c>
      <c r="J5971" t="s">
        <v>2072</v>
      </c>
      <c r="K5971" t="s">
        <v>2057</v>
      </c>
      <c r="L5971" t="s">
        <v>2058</v>
      </c>
      <c r="M5971">
        <v>406</v>
      </c>
      <c r="N5971">
        <v>29.9</v>
      </c>
      <c r="O5971">
        <v>8171.07</v>
      </c>
      <c r="P5971">
        <v>0</v>
      </c>
      <c r="Q5971">
        <v>8171.07</v>
      </c>
      <c r="R5971">
        <v>1307.3699999999999</v>
      </c>
      <c r="S5971">
        <v>326.83999999999997</v>
      </c>
      <c r="T5971">
        <v>9151.6</v>
      </c>
      <c r="U5971" t="s">
        <v>2059</v>
      </c>
      <c r="V5971" t="s">
        <v>9408</v>
      </c>
      <c r="W5971" t="s">
        <v>423</v>
      </c>
    </row>
    <row r="5972" spans="1:23" hidden="1" x14ac:dyDescent="0.2">
      <c r="A5972">
        <v>2012</v>
      </c>
      <c r="B5972" t="s">
        <v>304</v>
      </c>
      <c r="C5972" s="733">
        <v>40959.46298611111</v>
      </c>
      <c r="D59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72" t="s">
        <v>485</v>
      </c>
      <c r="F5972" t="s">
        <v>2054</v>
      </c>
      <c r="G5972" t="s">
        <v>8059</v>
      </c>
      <c r="H5972">
        <v>10483</v>
      </c>
      <c r="I5972" t="s">
        <v>423</v>
      </c>
      <c r="J5972" t="s">
        <v>2072</v>
      </c>
      <c r="K5972" t="s">
        <v>2057</v>
      </c>
      <c r="L5972" t="s">
        <v>2058</v>
      </c>
      <c r="M5972">
        <v>406</v>
      </c>
      <c r="N5972">
        <v>25.4</v>
      </c>
      <c r="O5972">
        <v>6941.31</v>
      </c>
      <c r="P5972">
        <v>0</v>
      </c>
      <c r="Q5972">
        <v>6941.31</v>
      </c>
      <c r="R5972">
        <v>763.54</v>
      </c>
      <c r="S5972">
        <v>277.64999999999998</v>
      </c>
      <c r="T5972">
        <v>7427.2</v>
      </c>
      <c r="U5972" t="s">
        <v>8864</v>
      </c>
      <c r="V5972" t="s">
        <v>9408</v>
      </c>
      <c r="W5972" t="s">
        <v>423</v>
      </c>
    </row>
    <row r="5973" spans="1:23" hidden="1" x14ac:dyDescent="0.2">
      <c r="A5973">
        <v>2012</v>
      </c>
      <c r="B5973" t="s">
        <v>303</v>
      </c>
      <c r="C5973" s="733">
        <v>40915</v>
      </c>
      <c r="D59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73" t="s">
        <v>505</v>
      </c>
      <c r="F5973" t="s">
        <v>1915</v>
      </c>
      <c r="G5973" t="s">
        <v>3836</v>
      </c>
      <c r="H5973">
        <v>21791</v>
      </c>
      <c r="I5973" t="s">
        <v>423</v>
      </c>
      <c r="J5973" t="s">
        <v>1943</v>
      </c>
      <c r="K5973" t="s">
        <v>1918</v>
      </c>
      <c r="L5973" t="s">
        <v>1919</v>
      </c>
      <c r="M5973">
        <v>319</v>
      </c>
      <c r="N5973">
        <v>29.28</v>
      </c>
      <c r="O5973">
        <v>3614.84</v>
      </c>
      <c r="P5973">
        <v>4069.9122080000002</v>
      </c>
      <c r="Q5973">
        <v>7684.7522079999999</v>
      </c>
      <c r="R5973">
        <v>1229.5603530000001</v>
      </c>
      <c r="S5973">
        <v>307.39008799999999</v>
      </c>
      <c r="T5973">
        <v>8606.9224730000005</v>
      </c>
      <c r="U5973" t="s">
        <v>1931</v>
      </c>
      <c r="V5973" t="s">
        <v>9408</v>
      </c>
      <c r="W5973" t="s">
        <v>423</v>
      </c>
    </row>
    <row r="5974" spans="1:23" hidden="1" x14ac:dyDescent="0.2">
      <c r="A5974">
        <v>2012</v>
      </c>
      <c r="B5974" t="s">
        <v>304</v>
      </c>
      <c r="C5974" s="733">
        <v>40964</v>
      </c>
      <c r="D59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74" t="s">
        <v>485</v>
      </c>
      <c r="F5974" t="s">
        <v>2054</v>
      </c>
      <c r="G5974" t="s">
        <v>8756</v>
      </c>
      <c r="H5974">
        <v>10547</v>
      </c>
      <c r="I5974" t="s">
        <v>423</v>
      </c>
      <c r="J5974" t="s">
        <v>2072</v>
      </c>
      <c r="K5974" t="s">
        <v>2057</v>
      </c>
      <c r="L5974" t="s">
        <v>2058</v>
      </c>
      <c r="M5974">
        <v>406</v>
      </c>
      <c r="N5974">
        <v>22.64</v>
      </c>
      <c r="O5974">
        <v>6187.06</v>
      </c>
      <c r="P5974">
        <v>0</v>
      </c>
      <c r="Q5974">
        <v>6187.06</v>
      </c>
      <c r="R5974">
        <v>680.58</v>
      </c>
      <c r="S5974">
        <v>247.48</v>
      </c>
      <c r="T5974">
        <v>6620.16</v>
      </c>
      <c r="U5974" t="s">
        <v>8864</v>
      </c>
      <c r="V5974" t="s">
        <v>9409</v>
      </c>
      <c r="W5974" t="s">
        <v>423</v>
      </c>
    </row>
    <row r="5975" spans="1:23" x14ac:dyDescent="0.2">
      <c r="A5975">
        <v>2012</v>
      </c>
      <c r="B5975" t="s">
        <v>304</v>
      </c>
      <c r="C5975" s="733">
        <v>40967</v>
      </c>
      <c r="D59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75" t="s">
        <v>485</v>
      </c>
      <c r="F5975" t="s">
        <v>2048</v>
      </c>
      <c r="G5975" t="s">
        <v>9138</v>
      </c>
      <c r="H5975">
        <v>42727</v>
      </c>
      <c r="I5975" t="s">
        <v>423</v>
      </c>
      <c r="J5975" t="s">
        <v>4091</v>
      </c>
      <c r="K5975" t="s">
        <v>2051</v>
      </c>
      <c r="L5975" t="s">
        <v>2052</v>
      </c>
      <c r="M5975">
        <v>1092</v>
      </c>
      <c r="N5975">
        <v>26.6</v>
      </c>
      <c r="O5975">
        <v>15521.1</v>
      </c>
      <c r="P5975">
        <v>0</v>
      </c>
      <c r="Q5975">
        <v>15521.1</v>
      </c>
      <c r="R5975">
        <v>2483.38</v>
      </c>
      <c r="S5975">
        <v>620.84</v>
      </c>
      <c r="T5975">
        <v>17383.64</v>
      </c>
      <c r="V5975" t="s">
        <v>9409</v>
      </c>
      <c r="W5975" t="s">
        <v>423</v>
      </c>
    </row>
    <row r="5976" spans="1:23" hidden="1" x14ac:dyDescent="0.2">
      <c r="A5976">
        <v>2012</v>
      </c>
      <c r="B5976" t="s">
        <v>303</v>
      </c>
      <c r="C5976" s="733">
        <v>40932.462245370371</v>
      </c>
      <c r="D59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76" t="s">
        <v>485</v>
      </c>
      <c r="F5976" t="s">
        <v>2054</v>
      </c>
      <c r="G5976" t="s">
        <v>2408</v>
      </c>
      <c r="H5976">
        <v>10190</v>
      </c>
      <c r="I5976" t="s">
        <v>423</v>
      </c>
      <c r="J5976" t="s">
        <v>2072</v>
      </c>
      <c r="K5976" t="s">
        <v>2057</v>
      </c>
      <c r="L5976" t="s">
        <v>2058</v>
      </c>
      <c r="M5976">
        <v>406</v>
      </c>
      <c r="N5976">
        <v>47.72</v>
      </c>
      <c r="O5976">
        <v>13040.92</v>
      </c>
      <c r="P5976">
        <v>0</v>
      </c>
      <c r="Q5976">
        <v>13040.92</v>
      </c>
      <c r="R5976">
        <v>2086.5500000000002</v>
      </c>
      <c r="S5976">
        <v>521.64</v>
      </c>
      <c r="T5976">
        <v>14605.83</v>
      </c>
      <c r="U5976" t="s">
        <v>2075</v>
      </c>
      <c r="V5976" t="s">
        <v>9409</v>
      </c>
      <c r="W5976" t="s">
        <v>423</v>
      </c>
    </row>
    <row r="5977" spans="1:23" hidden="1" x14ac:dyDescent="0.2">
      <c r="A5977">
        <v>2012</v>
      </c>
      <c r="B5977" t="s">
        <v>304</v>
      </c>
      <c r="C5977" s="733">
        <v>40948.575381944444</v>
      </c>
      <c r="D59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77" t="s">
        <v>485</v>
      </c>
      <c r="F5977" t="s">
        <v>2054</v>
      </c>
      <c r="G5977" t="s">
        <v>2400</v>
      </c>
      <c r="H5977">
        <v>10362</v>
      </c>
      <c r="I5977" t="s">
        <v>423</v>
      </c>
      <c r="J5977" t="s">
        <v>2072</v>
      </c>
      <c r="K5977" t="s">
        <v>2057</v>
      </c>
      <c r="L5977" t="s">
        <v>2058</v>
      </c>
      <c r="M5977">
        <v>406</v>
      </c>
      <c r="N5977">
        <v>23.88</v>
      </c>
      <c r="O5977">
        <v>6525.93</v>
      </c>
      <c r="P5977">
        <v>0</v>
      </c>
      <c r="Q5977">
        <v>6525.93</v>
      </c>
      <c r="R5977">
        <v>717.85</v>
      </c>
      <c r="S5977">
        <v>261.04000000000002</v>
      </c>
      <c r="T5977">
        <v>6982.74</v>
      </c>
      <c r="U5977" t="s">
        <v>2082</v>
      </c>
      <c r="V5977" t="s">
        <v>9409</v>
      </c>
      <c r="W5977" t="s">
        <v>423</v>
      </c>
    </row>
    <row r="5978" spans="1:23" hidden="1" x14ac:dyDescent="0.2">
      <c r="A5978">
        <v>2012</v>
      </c>
      <c r="B5978" t="s">
        <v>303</v>
      </c>
      <c r="C5978" s="733">
        <v>40936.61105324074</v>
      </c>
      <c r="D59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78" t="s">
        <v>485</v>
      </c>
      <c r="F5978" t="s">
        <v>2054</v>
      </c>
      <c r="G5978" t="s">
        <v>2407</v>
      </c>
      <c r="H5978">
        <v>10243</v>
      </c>
      <c r="I5978" t="s">
        <v>423</v>
      </c>
      <c r="J5978" t="s">
        <v>2072</v>
      </c>
      <c r="K5978" t="s">
        <v>2057</v>
      </c>
      <c r="L5978" t="s">
        <v>2058</v>
      </c>
      <c r="M5978">
        <v>406</v>
      </c>
      <c r="N5978">
        <v>46.82</v>
      </c>
      <c r="O5978">
        <v>12794.97</v>
      </c>
      <c r="P5978">
        <v>0</v>
      </c>
      <c r="Q5978">
        <v>12794.97</v>
      </c>
      <c r="R5978">
        <v>2047.2</v>
      </c>
      <c r="S5978">
        <v>511.8</v>
      </c>
      <c r="T5978">
        <v>14330.37</v>
      </c>
      <c r="U5978" t="s">
        <v>2073</v>
      </c>
      <c r="V5978" t="s">
        <v>9409</v>
      </c>
      <c r="W5978" t="s">
        <v>423</v>
      </c>
    </row>
    <row r="5979" spans="1:23" hidden="1" x14ac:dyDescent="0.2">
      <c r="A5979">
        <v>2012</v>
      </c>
      <c r="B5979" t="s">
        <v>304</v>
      </c>
      <c r="C5979" s="733">
        <v>40949</v>
      </c>
      <c r="D59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79" t="s">
        <v>478</v>
      </c>
      <c r="F5979" t="s">
        <v>2136</v>
      </c>
      <c r="G5979" t="s">
        <v>4783</v>
      </c>
      <c r="H5979">
        <v>35474</v>
      </c>
      <c r="I5979" t="s">
        <v>423</v>
      </c>
      <c r="J5979" t="s">
        <v>4270</v>
      </c>
      <c r="K5979" t="s">
        <v>425</v>
      </c>
      <c r="L5979" t="s">
        <v>2145</v>
      </c>
      <c r="M5979">
        <v>560</v>
      </c>
      <c r="N5979">
        <v>41.91</v>
      </c>
      <c r="O5979">
        <v>13390.24</v>
      </c>
      <c r="P5979">
        <v>0</v>
      </c>
      <c r="Q5979">
        <v>13390.24</v>
      </c>
      <c r="R5979">
        <v>2142.44</v>
      </c>
      <c r="S5979">
        <v>535.61</v>
      </c>
      <c r="T5979">
        <v>14997.07</v>
      </c>
      <c r="U5979" t="s">
        <v>7553</v>
      </c>
      <c r="V5979" t="s">
        <v>9409</v>
      </c>
      <c r="W5979" t="s">
        <v>423</v>
      </c>
    </row>
    <row r="5980" spans="1:23" hidden="1" x14ac:dyDescent="0.2">
      <c r="A5980">
        <v>2012</v>
      </c>
      <c r="B5980" t="s">
        <v>303</v>
      </c>
      <c r="C5980" s="733">
        <v>40928</v>
      </c>
      <c r="D59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80" t="s">
        <v>478</v>
      </c>
      <c r="F5980" t="s">
        <v>2136</v>
      </c>
      <c r="G5980" t="s">
        <v>4784</v>
      </c>
      <c r="H5980">
        <v>34752</v>
      </c>
      <c r="I5980" t="s">
        <v>423</v>
      </c>
      <c r="J5980" t="s">
        <v>4270</v>
      </c>
      <c r="K5980" t="s">
        <v>425</v>
      </c>
      <c r="L5980" t="s">
        <v>2145</v>
      </c>
      <c r="M5980">
        <v>560</v>
      </c>
      <c r="N5980">
        <v>25.23</v>
      </c>
      <c r="O5980">
        <v>8060.98</v>
      </c>
      <c r="P5980">
        <v>0</v>
      </c>
      <c r="Q5980">
        <v>8060.98</v>
      </c>
      <c r="R5980">
        <v>1289.76</v>
      </c>
      <c r="S5980">
        <v>322.44</v>
      </c>
      <c r="T5980">
        <v>9028.2999999999993</v>
      </c>
      <c r="U5980" t="s">
        <v>2355</v>
      </c>
      <c r="V5980" t="s">
        <v>9408</v>
      </c>
      <c r="W5980" t="s">
        <v>423</v>
      </c>
    </row>
    <row r="5981" spans="1:23" hidden="1" x14ac:dyDescent="0.2">
      <c r="A5981">
        <v>2012</v>
      </c>
      <c r="B5981" t="s">
        <v>304</v>
      </c>
      <c r="C5981" s="733">
        <v>40956</v>
      </c>
      <c r="D59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81" t="s">
        <v>478</v>
      </c>
      <c r="F5981" t="s">
        <v>2136</v>
      </c>
      <c r="G5981" t="s">
        <v>7721</v>
      </c>
      <c r="H5981">
        <v>35714</v>
      </c>
      <c r="I5981" t="s">
        <v>423</v>
      </c>
      <c r="J5981" t="s">
        <v>3329</v>
      </c>
      <c r="K5981" t="s">
        <v>425</v>
      </c>
      <c r="L5981" t="s">
        <v>2145</v>
      </c>
      <c r="M5981">
        <v>596</v>
      </c>
      <c r="N5981">
        <v>22.16</v>
      </c>
      <c r="O5981">
        <v>7190.92</v>
      </c>
      <c r="P5981">
        <v>0</v>
      </c>
      <c r="Q5981">
        <v>7190.92</v>
      </c>
      <c r="R5981">
        <v>1150.55</v>
      </c>
      <c r="S5981">
        <v>287.64</v>
      </c>
      <c r="T5981">
        <v>8053.83</v>
      </c>
      <c r="U5981" t="s">
        <v>8510</v>
      </c>
      <c r="V5981" t="s">
        <v>9408</v>
      </c>
      <c r="W5981" t="s">
        <v>423</v>
      </c>
    </row>
    <row r="5982" spans="1:23" hidden="1" x14ac:dyDescent="0.2">
      <c r="A5982">
        <v>2012</v>
      </c>
      <c r="B5982" t="s">
        <v>303</v>
      </c>
      <c r="C5982" s="733">
        <v>40932</v>
      </c>
      <c r="D59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82" t="s">
        <v>478</v>
      </c>
      <c r="F5982" t="s">
        <v>2136</v>
      </c>
      <c r="G5982" t="s">
        <v>3233</v>
      </c>
      <c r="H5982">
        <v>34818</v>
      </c>
      <c r="I5982" t="s">
        <v>423</v>
      </c>
      <c r="J5982" t="s">
        <v>2936</v>
      </c>
      <c r="K5982" t="s">
        <v>425</v>
      </c>
      <c r="L5982" t="s">
        <v>2145</v>
      </c>
      <c r="M5982">
        <v>604</v>
      </c>
      <c r="N5982">
        <v>22.34</v>
      </c>
      <c r="O5982">
        <v>6994.43</v>
      </c>
      <c r="P5982">
        <v>0</v>
      </c>
      <c r="Q5982">
        <v>6994.43</v>
      </c>
      <c r="R5982">
        <v>1119.1099999999999</v>
      </c>
      <c r="S5982">
        <v>279.77999999999997</v>
      </c>
      <c r="T5982">
        <v>7833.76</v>
      </c>
      <c r="U5982" t="s">
        <v>3234</v>
      </c>
      <c r="V5982" t="s">
        <v>9408</v>
      </c>
      <c r="W5982" t="s">
        <v>423</v>
      </c>
    </row>
    <row r="5983" spans="1:23" hidden="1" x14ac:dyDescent="0.2">
      <c r="A5983">
        <v>2012</v>
      </c>
      <c r="B5983" t="s">
        <v>304</v>
      </c>
      <c r="C5983" s="733">
        <v>40957</v>
      </c>
      <c r="D59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83" t="s">
        <v>505</v>
      </c>
      <c r="F5983" t="s">
        <v>1915</v>
      </c>
      <c r="G5983" t="s">
        <v>7694</v>
      </c>
      <c r="H5983">
        <v>22849</v>
      </c>
      <c r="I5983" t="s">
        <v>423</v>
      </c>
      <c r="J5983" t="s">
        <v>5251</v>
      </c>
      <c r="K5983" t="s">
        <v>1918</v>
      </c>
      <c r="L5983" t="s">
        <v>1919</v>
      </c>
      <c r="M5983">
        <v>307</v>
      </c>
      <c r="N5983">
        <v>25.29</v>
      </c>
      <c r="O5983">
        <v>5686.2</v>
      </c>
      <c r="P5983">
        <v>0</v>
      </c>
      <c r="Q5983">
        <v>5686.2</v>
      </c>
      <c r="R5983">
        <v>909.79</v>
      </c>
      <c r="S5983">
        <v>227.45</v>
      </c>
      <c r="T5983">
        <v>6368.54</v>
      </c>
      <c r="U5983" t="s">
        <v>8491</v>
      </c>
      <c r="V5983" t="s">
        <v>9408</v>
      </c>
      <c r="W5983" t="s">
        <v>423</v>
      </c>
    </row>
    <row r="5984" spans="1:23" hidden="1" x14ac:dyDescent="0.2">
      <c r="A5984">
        <v>2012</v>
      </c>
      <c r="B5984" t="s">
        <v>304</v>
      </c>
      <c r="C5984" s="733">
        <v>40959</v>
      </c>
      <c r="D59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84" t="s">
        <v>505</v>
      </c>
      <c r="F5984" t="s">
        <v>1915</v>
      </c>
      <c r="G5984" t="s">
        <v>8056</v>
      </c>
      <c r="H5984">
        <v>22787</v>
      </c>
      <c r="I5984" t="s">
        <v>1979</v>
      </c>
      <c r="J5984" t="s">
        <v>4254</v>
      </c>
      <c r="K5984" t="s">
        <v>1918</v>
      </c>
      <c r="L5984" t="s">
        <v>1919</v>
      </c>
      <c r="M5984">
        <v>2819</v>
      </c>
      <c r="N5984">
        <v>49.84</v>
      </c>
      <c r="O5984">
        <v>58084.03</v>
      </c>
      <c r="P5984">
        <v>0</v>
      </c>
      <c r="Q5984">
        <v>58084.03</v>
      </c>
      <c r="R5984">
        <v>9293.4500000000007</v>
      </c>
      <c r="S5984">
        <v>2323.36</v>
      </c>
      <c r="T5984">
        <v>65054.12</v>
      </c>
      <c r="U5984" t="s">
        <v>8491</v>
      </c>
      <c r="V5984" t="s">
        <v>9409</v>
      </c>
      <c r="W5984" t="s">
        <v>1979</v>
      </c>
    </row>
    <row r="5985" spans="1:23" hidden="1" x14ac:dyDescent="0.2">
      <c r="A5985">
        <v>2012</v>
      </c>
      <c r="B5985" t="s">
        <v>304</v>
      </c>
      <c r="C5985" s="733">
        <v>40949</v>
      </c>
      <c r="D59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85" t="s">
        <v>505</v>
      </c>
      <c r="F5985" t="s">
        <v>1915</v>
      </c>
      <c r="G5985" t="s">
        <v>5358</v>
      </c>
      <c r="H5985">
        <v>22551</v>
      </c>
      <c r="I5985" t="s">
        <v>1979</v>
      </c>
      <c r="J5985" t="s">
        <v>4254</v>
      </c>
      <c r="K5985" t="s">
        <v>1918</v>
      </c>
      <c r="L5985" t="s">
        <v>1919</v>
      </c>
      <c r="M5985">
        <v>2819</v>
      </c>
      <c r="N5985">
        <v>50.18</v>
      </c>
      <c r="O5985">
        <v>58480.27</v>
      </c>
      <c r="P5985">
        <v>0</v>
      </c>
      <c r="Q5985">
        <v>58480.27</v>
      </c>
      <c r="R5985">
        <v>9356.84</v>
      </c>
      <c r="S5985">
        <v>2339.21</v>
      </c>
      <c r="T5985">
        <v>65497.9</v>
      </c>
      <c r="U5985" t="s">
        <v>7522</v>
      </c>
      <c r="V5985" t="s">
        <v>9409</v>
      </c>
      <c r="W5985" t="s">
        <v>1979</v>
      </c>
    </row>
    <row r="5986" spans="1:23" hidden="1" x14ac:dyDescent="0.2">
      <c r="A5986">
        <v>2012</v>
      </c>
      <c r="B5986" t="s">
        <v>304</v>
      </c>
      <c r="C5986" s="733">
        <v>40960</v>
      </c>
      <c r="D59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86" t="s">
        <v>478</v>
      </c>
      <c r="F5986" t="s">
        <v>2136</v>
      </c>
      <c r="G5986" t="s">
        <v>8311</v>
      </c>
      <c r="H5986">
        <v>35662</v>
      </c>
      <c r="I5986" t="s">
        <v>423</v>
      </c>
      <c r="J5986" t="s">
        <v>2936</v>
      </c>
      <c r="K5986" t="s">
        <v>425</v>
      </c>
      <c r="L5986" t="s">
        <v>2145</v>
      </c>
      <c r="M5986">
        <v>604</v>
      </c>
      <c r="N5986">
        <v>22.31</v>
      </c>
      <c r="O5986">
        <v>6985.04</v>
      </c>
      <c r="P5986">
        <v>0</v>
      </c>
      <c r="Q5986">
        <v>6985.04</v>
      </c>
      <c r="R5986">
        <v>1117.6099999999999</v>
      </c>
      <c r="S5986">
        <v>279.39999999999998</v>
      </c>
      <c r="T5986">
        <v>7823.25</v>
      </c>
      <c r="U5986" t="s">
        <v>8312</v>
      </c>
      <c r="V5986" t="s">
        <v>9408</v>
      </c>
      <c r="W5986" t="s">
        <v>423</v>
      </c>
    </row>
    <row r="5987" spans="1:23" hidden="1" x14ac:dyDescent="0.2">
      <c r="A5987">
        <v>2012</v>
      </c>
      <c r="B5987" t="s">
        <v>303</v>
      </c>
      <c r="C5987" s="733">
        <v>40939</v>
      </c>
      <c r="D59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87" t="s">
        <v>505</v>
      </c>
      <c r="F5987" t="s">
        <v>1915</v>
      </c>
      <c r="G5987" t="s">
        <v>5357</v>
      </c>
      <c r="H5987">
        <v>22376</v>
      </c>
      <c r="I5987" t="s">
        <v>423</v>
      </c>
      <c r="J5987" t="s">
        <v>5251</v>
      </c>
      <c r="K5987" t="s">
        <v>1918</v>
      </c>
      <c r="L5987" t="s">
        <v>1919</v>
      </c>
      <c r="M5987">
        <v>307</v>
      </c>
      <c r="N5987">
        <v>24.62</v>
      </c>
      <c r="O5987">
        <v>5535.56</v>
      </c>
      <c r="P5987">
        <v>0</v>
      </c>
      <c r="Q5987">
        <v>5535.56</v>
      </c>
      <c r="R5987">
        <v>885.69</v>
      </c>
      <c r="S5987">
        <v>221.42</v>
      </c>
      <c r="T5987">
        <v>6199.83</v>
      </c>
      <c r="U5987" t="s">
        <v>1926</v>
      </c>
      <c r="V5987" t="s">
        <v>9408</v>
      </c>
      <c r="W5987" t="s">
        <v>423</v>
      </c>
    </row>
    <row r="5988" spans="1:23" hidden="1" x14ac:dyDescent="0.2">
      <c r="A5988">
        <v>2012</v>
      </c>
      <c r="B5988" t="s">
        <v>305</v>
      </c>
      <c r="C5988" s="733">
        <v>40971</v>
      </c>
      <c r="D5988" s="733" t="str">
        <f>CHOOSE(MONTH(Tabla_sqldatos_bonampakdb_Bon_v_ingresos2012[[#This Row],[fecha_guia]]),"Enero","Febrero","Marzo","Abril","Mayo","Junio","Julio","Agosto","Septiembre","Octubre","Noviembre","Diciembre")</f>
        <v>Marzo</v>
      </c>
      <c r="E5988" t="s">
        <v>505</v>
      </c>
      <c r="F5988" t="s">
        <v>1915</v>
      </c>
      <c r="G5988" t="s">
        <v>9752</v>
      </c>
      <c r="H5988">
        <v>23140</v>
      </c>
      <c r="I5988" t="s">
        <v>423</v>
      </c>
      <c r="J5988" t="s">
        <v>3207</v>
      </c>
      <c r="K5988" t="s">
        <v>1918</v>
      </c>
      <c r="L5988" t="s">
        <v>1919</v>
      </c>
      <c r="M5988">
        <v>334</v>
      </c>
      <c r="N5988">
        <v>49.51</v>
      </c>
      <c r="O5988">
        <v>13671.69</v>
      </c>
      <c r="P5988">
        <v>0</v>
      </c>
      <c r="Q5988">
        <v>13671.69</v>
      </c>
      <c r="R5988">
        <v>2187.4699999999998</v>
      </c>
      <c r="S5988">
        <v>546.87</v>
      </c>
      <c r="T5988">
        <v>15312.29</v>
      </c>
      <c r="V5988" t="s">
        <v>9409</v>
      </c>
      <c r="W5988" t="s">
        <v>423</v>
      </c>
    </row>
    <row r="5989" spans="1:23" hidden="1" x14ac:dyDescent="0.2">
      <c r="A5989">
        <v>2012</v>
      </c>
      <c r="B5989" t="s">
        <v>303</v>
      </c>
      <c r="C5989" s="733">
        <v>40914.763935185183</v>
      </c>
      <c r="D59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89" t="s">
        <v>505</v>
      </c>
      <c r="F5989" t="s">
        <v>1915</v>
      </c>
      <c r="G5989" t="s">
        <v>4893</v>
      </c>
      <c r="H5989">
        <v>21785</v>
      </c>
      <c r="I5989" t="s">
        <v>423</v>
      </c>
      <c r="J5989" t="s">
        <v>3207</v>
      </c>
      <c r="K5989" t="s">
        <v>1918</v>
      </c>
      <c r="L5989" t="s">
        <v>1919</v>
      </c>
      <c r="M5989">
        <v>334</v>
      </c>
      <c r="N5989">
        <v>50.91</v>
      </c>
      <c r="O5989">
        <v>14058.29</v>
      </c>
      <c r="P5989">
        <v>0</v>
      </c>
      <c r="Q5989">
        <v>14058.29</v>
      </c>
      <c r="R5989">
        <v>2249.33</v>
      </c>
      <c r="S5989">
        <v>562.33000000000004</v>
      </c>
      <c r="T5989">
        <v>15745.29</v>
      </c>
      <c r="U5989" t="s">
        <v>1931</v>
      </c>
      <c r="V5989" t="s">
        <v>9409</v>
      </c>
      <c r="W5989" t="s">
        <v>423</v>
      </c>
    </row>
    <row r="5990" spans="1:23" hidden="1" x14ac:dyDescent="0.2">
      <c r="A5990">
        <v>2012</v>
      </c>
      <c r="B5990" t="s">
        <v>303</v>
      </c>
      <c r="C5990" s="733">
        <v>40936</v>
      </c>
      <c r="D59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90" t="s">
        <v>478</v>
      </c>
      <c r="F5990" t="s">
        <v>3787</v>
      </c>
      <c r="G5990" t="s">
        <v>4022</v>
      </c>
      <c r="H5990">
        <v>35015</v>
      </c>
      <c r="I5990" t="s">
        <v>423</v>
      </c>
      <c r="J5990" t="s">
        <v>3797</v>
      </c>
      <c r="K5990" t="s">
        <v>3481</v>
      </c>
      <c r="L5990" t="s">
        <v>3482</v>
      </c>
      <c r="M5990">
        <v>266</v>
      </c>
      <c r="N5990">
        <v>28.074999999999999</v>
      </c>
      <c r="O5990">
        <v>6269.71</v>
      </c>
      <c r="P5990">
        <v>0</v>
      </c>
      <c r="Q5990">
        <v>6269.71</v>
      </c>
      <c r="R5990">
        <v>1003.15</v>
      </c>
      <c r="S5990">
        <v>250.79</v>
      </c>
      <c r="T5990">
        <v>7022.07</v>
      </c>
      <c r="U5990" t="s">
        <v>3784</v>
      </c>
      <c r="V5990" t="s">
        <v>9408</v>
      </c>
      <c r="W5990" t="s">
        <v>423</v>
      </c>
    </row>
    <row r="5991" spans="1:23" hidden="1" x14ac:dyDescent="0.2">
      <c r="A5991">
        <v>2012</v>
      </c>
      <c r="B5991" t="s">
        <v>303</v>
      </c>
      <c r="C5991" s="733">
        <v>40936</v>
      </c>
      <c r="D59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91" t="s">
        <v>478</v>
      </c>
      <c r="F5991" t="s">
        <v>3787</v>
      </c>
      <c r="G5991" t="s">
        <v>4021</v>
      </c>
      <c r="H5991">
        <v>34786</v>
      </c>
      <c r="I5991" t="s">
        <v>423</v>
      </c>
      <c r="J5991" t="s">
        <v>3797</v>
      </c>
      <c r="K5991" t="s">
        <v>3481</v>
      </c>
      <c r="L5991" t="s">
        <v>3482</v>
      </c>
      <c r="M5991">
        <v>266</v>
      </c>
      <c r="N5991">
        <v>27.895</v>
      </c>
      <c r="O5991">
        <v>6229.51</v>
      </c>
      <c r="P5991">
        <v>0</v>
      </c>
      <c r="Q5991">
        <v>6229.51</v>
      </c>
      <c r="R5991">
        <v>996.72</v>
      </c>
      <c r="S5991">
        <v>249.18</v>
      </c>
      <c r="T5991">
        <v>6977.05</v>
      </c>
      <c r="U5991" t="s">
        <v>3784</v>
      </c>
      <c r="V5991" t="s">
        <v>9408</v>
      </c>
      <c r="W5991" t="s">
        <v>423</v>
      </c>
    </row>
    <row r="5992" spans="1:23" hidden="1" x14ac:dyDescent="0.2">
      <c r="A5992">
        <v>2012</v>
      </c>
      <c r="B5992" t="s">
        <v>304</v>
      </c>
      <c r="C5992" s="733">
        <v>40940</v>
      </c>
      <c r="D59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92" t="s">
        <v>485</v>
      </c>
      <c r="F5992" t="s">
        <v>2065</v>
      </c>
      <c r="G5992" t="s">
        <v>3591</v>
      </c>
      <c r="H5992">
        <v>40338</v>
      </c>
      <c r="I5992" t="s">
        <v>423</v>
      </c>
      <c r="J5992" t="s">
        <v>2182</v>
      </c>
      <c r="K5992" t="s">
        <v>2183</v>
      </c>
      <c r="L5992" t="s">
        <v>2184</v>
      </c>
      <c r="M5992">
        <v>62</v>
      </c>
      <c r="N5992">
        <v>15.6</v>
      </c>
      <c r="O5992">
        <v>2310.98</v>
      </c>
      <c r="P5992">
        <v>0</v>
      </c>
      <c r="Q5992">
        <v>2310.98</v>
      </c>
      <c r="R5992">
        <v>369.76</v>
      </c>
      <c r="S5992">
        <v>92.44</v>
      </c>
      <c r="T5992">
        <v>2588.3000000000002</v>
      </c>
      <c r="U5992" t="s">
        <v>2187</v>
      </c>
      <c r="V5992" t="s">
        <v>9408</v>
      </c>
      <c r="W5992" t="s">
        <v>423</v>
      </c>
    </row>
    <row r="5993" spans="1:23" hidden="1" x14ac:dyDescent="0.2">
      <c r="A5993">
        <v>2012</v>
      </c>
      <c r="B5993" t="s">
        <v>303</v>
      </c>
      <c r="C5993" s="733">
        <v>40927</v>
      </c>
      <c r="D59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93" t="s">
        <v>478</v>
      </c>
      <c r="F5993" t="s">
        <v>3358</v>
      </c>
      <c r="G5993" t="s">
        <v>4016</v>
      </c>
      <c r="H5993">
        <v>34661</v>
      </c>
      <c r="I5993" t="s">
        <v>423</v>
      </c>
      <c r="J5993" t="s">
        <v>3360</v>
      </c>
      <c r="K5993" t="s">
        <v>483</v>
      </c>
      <c r="L5993" t="s">
        <v>3361</v>
      </c>
      <c r="M5993">
        <v>49</v>
      </c>
      <c r="N5993">
        <v>35.6</v>
      </c>
      <c r="O5993">
        <v>4018.17</v>
      </c>
      <c r="P5993">
        <v>0</v>
      </c>
      <c r="Q5993">
        <v>4018.17</v>
      </c>
      <c r="R5993">
        <v>642.91</v>
      </c>
      <c r="S5993">
        <v>160.72999999999999</v>
      </c>
      <c r="T5993">
        <v>4500.3500000000004</v>
      </c>
      <c r="U5993" t="s">
        <v>3780</v>
      </c>
      <c r="V5993" t="s">
        <v>9408</v>
      </c>
      <c r="W5993" t="s">
        <v>423</v>
      </c>
    </row>
    <row r="5994" spans="1:23" hidden="1" x14ac:dyDescent="0.2">
      <c r="A5994">
        <v>2012</v>
      </c>
      <c r="B5994" t="s">
        <v>304</v>
      </c>
      <c r="C5994" s="733">
        <v>40942</v>
      </c>
      <c r="D59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94" t="s">
        <v>485</v>
      </c>
      <c r="F5994" t="s">
        <v>2065</v>
      </c>
      <c r="G5994" t="s">
        <v>3228</v>
      </c>
      <c r="H5994">
        <v>41253</v>
      </c>
      <c r="I5994" t="s">
        <v>423</v>
      </c>
      <c r="J5994" t="s">
        <v>2114</v>
      </c>
      <c r="K5994" t="s">
        <v>2102</v>
      </c>
      <c r="L5994" t="s">
        <v>2115</v>
      </c>
      <c r="M5994">
        <v>500</v>
      </c>
      <c r="N5994">
        <v>53.12</v>
      </c>
      <c r="O5994">
        <v>17861.599999999999</v>
      </c>
      <c r="P5994">
        <v>0</v>
      </c>
      <c r="Q5994">
        <v>17861.599999999999</v>
      </c>
      <c r="R5994">
        <v>2857.86</v>
      </c>
      <c r="S5994">
        <v>714.46</v>
      </c>
      <c r="T5994">
        <v>20005</v>
      </c>
      <c r="U5994" t="s">
        <v>7462</v>
      </c>
      <c r="V5994" t="s">
        <v>9409</v>
      </c>
      <c r="W5994" t="s">
        <v>423</v>
      </c>
    </row>
    <row r="5995" spans="1:23" hidden="1" x14ac:dyDescent="0.2">
      <c r="A5995">
        <v>2012</v>
      </c>
      <c r="B5995" t="s">
        <v>304</v>
      </c>
      <c r="C5995" s="733">
        <v>40962</v>
      </c>
      <c r="D59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95" t="s">
        <v>505</v>
      </c>
      <c r="F5995" t="s">
        <v>1915</v>
      </c>
      <c r="G5995" t="s">
        <v>8570</v>
      </c>
      <c r="H5995">
        <v>22962</v>
      </c>
      <c r="I5995" t="s">
        <v>424</v>
      </c>
      <c r="J5995" t="s">
        <v>4155</v>
      </c>
      <c r="K5995" t="s">
        <v>1918</v>
      </c>
      <c r="L5995" t="s">
        <v>1919</v>
      </c>
      <c r="M5995">
        <v>650</v>
      </c>
      <c r="N5995">
        <v>30</v>
      </c>
      <c r="O5995">
        <v>9349.5</v>
      </c>
      <c r="P5995">
        <v>0</v>
      </c>
      <c r="Q5995">
        <v>9349.5</v>
      </c>
      <c r="R5995">
        <v>1495.92</v>
      </c>
      <c r="S5995">
        <v>373.98</v>
      </c>
      <c r="T5995">
        <v>10471.44</v>
      </c>
      <c r="U5995" t="s">
        <v>8778</v>
      </c>
      <c r="V5995" t="s">
        <v>9408</v>
      </c>
      <c r="W5995" t="s">
        <v>424</v>
      </c>
    </row>
    <row r="5996" spans="1:23" hidden="1" x14ac:dyDescent="0.2">
      <c r="A5996">
        <v>2012</v>
      </c>
      <c r="B5996" t="s">
        <v>304</v>
      </c>
      <c r="C5996" s="733">
        <v>40949</v>
      </c>
      <c r="D59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96" t="s">
        <v>505</v>
      </c>
      <c r="F5996" t="s">
        <v>1915</v>
      </c>
      <c r="G5996" t="s">
        <v>5352</v>
      </c>
      <c r="H5996">
        <v>22615</v>
      </c>
      <c r="I5996" t="s">
        <v>424</v>
      </c>
      <c r="J5996" t="s">
        <v>5353</v>
      </c>
      <c r="K5996" t="s">
        <v>1918</v>
      </c>
      <c r="L5996" t="s">
        <v>1919</v>
      </c>
      <c r="M5996">
        <v>333</v>
      </c>
      <c r="N5996">
        <v>30</v>
      </c>
      <c r="O5996">
        <v>3297.16</v>
      </c>
      <c r="P5996">
        <v>1894.8448800000001</v>
      </c>
      <c r="Q5996">
        <v>5192.0048800000004</v>
      </c>
      <c r="R5996">
        <v>830.72078099999999</v>
      </c>
      <c r="S5996">
        <v>207.680195</v>
      </c>
      <c r="T5996">
        <v>5815.0454659999996</v>
      </c>
      <c r="U5996" t="s">
        <v>1924</v>
      </c>
      <c r="V5996" t="s">
        <v>9408</v>
      </c>
      <c r="W5996" t="s">
        <v>424</v>
      </c>
    </row>
    <row r="5997" spans="1:23" hidden="1" x14ac:dyDescent="0.2">
      <c r="A5997">
        <v>2012</v>
      </c>
      <c r="B5997" t="s">
        <v>304</v>
      </c>
      <c r="C5997" s="733">
        <v>40952</v>
      </c>
      <c r="D59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5997" t="s">
        <v>505</v>
      </c>
      <c r="F5997" t="s">
        <v>1915</v>
      </c>
      <c r="G5997" t="s">
        <v>4903</v>
      </c>
      <c r="H5997">
        <v>22618</v>
      </c>
      <c r="I5997" t="s">
        <v>424</v>
      </c>
      <c r="J5997" t="s">
        <v>4904</v>
      </c>
      <c r="K5997" t="s">
        <v>1918</v>
      </c>
      <c r="L5997" t="s">
        <v>1919</v>
      </c>
      <c r="M5997">
        <v>210</v>
      </c>
      <c r="N5997">
        <v>30</v>
      </c>
      <c r="O5997">
        <v>2929.96</v>
      </c>
      <c r="P5997">
        <v>1683.818712</v>
      </c>
      <c r="Q5997">
        <v>4613.7787120000003</v>
      </c>
      <c r="R5997">
        <v>738.20459400000004</v>
      </c>
      <c r="S5997">
        <v>184.55114800000001</v>
      </c>
      <c r="T5997">
        <v>5167.4321579999996</v>
      </c>
      <c r="U5997" t="s">
        <v>8491</v>
      </c>
      <c r="V5997" t="s">
        <v>9408</v>
      </c>
      <c r="W5997" t="s">
        <v>424</v>
      </c>
    </row>
    <row r="5998" spans="1:23" hidden="1" x14ac:dyDescent="0.2">
      <c r="A5998">
        <v>2012</v>
      </c>
      <c r="B5998" t="s">
        <v>303</v>
      </c>
      <c r="C5998" s="733">
        <v>40933.727858796294</v>
      </c>
      <c r="D59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98" t="s">
        <v>478</v>
      </c>
      <c r="F5998" t="s">
        <v>3358</v>
      </c>
      <c r="G5998" t="s">
        <v>4400</v>
      </c>
      <c r="H5998">
        <v>34950</v>
      </c>
      <c r="I5998" t="s">
        <v>423</v>
      </c>
      <c r="J5998" t="s">
        <v>4396</v>
      </c>
      <c r="K5998" t="s">
        <v>4397</v>
      </c>
      <c r="L5998" t="s">
        <v>4398</v>
      </c>
      <c r="M5998">
        <v>112</v>
      </c>
      <c r="N5998">
        <v>31.645</v>
      </c>
      <c r="O5998">
        <v>3571.77</v>
      </c>
      <c r="P5998">
        <v>0</v>
      </c>
      <c r="Q5998">
        <v>3571.77</v>
      </c>
      <c r="R5998">
        <v>571.48</v>
      </c>
      <c r="S5998">
        <v>142.87</v>
      </c>
      <c r="T5998">
        <v>4000.38</v>
      </c>
      <c r="U5998" t="s">
        <v>7540</v>
      </c>
      <c r="V5998" t="s">
        <v>9408</v>
      </c>
      <c r="W5998" t="s">
        <v>423</v>
      </c>
    </row>
    <row r="5999" spans="1:23" hidden="1" x14ac:dyDescent="0.2">
      <c r="A5999">
        <v>2012</v>
      </c>
      <c r="B5999" t="s">
        <v>303</v>
      </c>
      <c r="C5999" s="733">
        <v>40927</v>
      </c>
      <c r="D59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5999" t="s">
        <v>478</v>
      </c>
      <c r="F5999" t="s">
        <v>3358</v>
      </c>
      <c r="G5999" t="s">
        <v>4403</v>
      </c>
      <c r="H5999">
        <v>34664</v>
      </c>
      <c r="I5999" t="s">
        <v>423</v>
      </c>
      <c r="J5999" t="s">
        <v>4396</v>
      </c>
      <c r="K5999" t="s">
        <v>4397</v>
      </c>
      <c r="L5999" t="s">
        <v>4398</v>
      </c>
      <c r="M5999">
        <v>112</v>
      </c>
      <c r="N5999">
        <v>25.28</v>
      </c>
      <c r="O5999">
        <v>2853.35</v>
      </c>
      <c r="P5999">
        <v>0</v>
      </c>
      <c r="Q5999">
        <v>2853.35</v>
      </c>
      <c r="R5999">
        <v>456.54</v>
      </c>
      <c r="S5999">
        <v>114.13</v>
      </c>
      <c r="T5999">
        <v>3195.76</v>
      </c>
      <c r="U5999" t="s">
        <v>4404</v>
      </c>
      <c r="V5999" t="s">
        <v>9408</v>
      </c>
      <c r="W5999" t="s">
        <v>423</v>
      </c>
    </row>
    <row r="6000" spans="1:23" hidden="1" x14ac:dyDescent="0.2">
      <c r="A6000">
        <v>2012</v>
      </c>
      <c r="B6000" t="s">
        <v>303</v>
      </c>
      <c r="C6000" s="733">
        <v>40933.72960648148</v>
      </c>
      <c r="D60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00" t="s">
        <v>478</v>
      </c>
      <c r="F6000" t="s">
        <v>3358</v>
      </c>
      <c r="G6000" t="s">
        <v>4401</v>
      </c>
      <c r="H6000">
        <v>34952</v>
      </c>
      <c r="I6000" t="s">
        <v>423</v>
      </c>
      <c r="J6000" t="s">
        <v>4396</v>
      </c>
      <c r="K6000" t="s">
        <v>4397</v>
      </c>
      <c r="L6000" t="s">
        <v>4398</v>
      </c>
      <c r="M6000">
        <v>112</v>
      </c>
      <c r="N6000">
        <v>29.86</v>
      </c>
      <c r="O6000">
        <v>3370.3</v>
      </c>
      <c r="P6000">
        <v>0</v>
      </c>
      <c r="Q6000">
        <v>3370.3</v>
      </c>
      <c r="R6000">
        <v>539.25</v>
      </c>
      <c r="S6000">
        <v>134.81</v>
      </c>
      <c r="T6000">
        <v>3774.74</v>
      </c>
      <c r="U6000" t="s">
        <v>4402</v>
      </c>
      <c r="V6000" t="s">
        <v>9408</v>
      </c>
      <c r="W6000" t="s">
        <v>423</v>
      </c>
    </row>
    <row r="6001" spans="1:23" hidden="1" x14ac:dyDescent="0.2">
      <c r="A6001">
        <v>2012</v>
      </c>
      <c r="B6001" t="s">
        <v>304</v>
      </c>
      <c r="C6001" s="733">
        <v>40963</v>
      </c>
      <c r="D60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01" t="s">
        <v>505</v>
      </c>
      <c r="F6001" t="s">
        <v>1915</v>
      </c>
      <c r="G6001" t="s">
        <v>8533</v>
      </c>
      <c r="H6001">
        <v>22905</v>
      </c>
      <c r="I6001" t="s">
        <v>423</v>
      </c>
      <c r="J6001" t="s">
        <v>4153</v>
      </c>
      <c r="K6001" t="s">
        <v>1918</v>
      </c>
      <c r="L6001" t="s">
        <v>1919</v>
      </c>
      <c r="M6001">
        <v>850</v>
      </c>
      <c r="N6001">
        <v>49.76</v>
      </c>
      <c r="O6001">
        <v>31093.03</v>
      </c>
      <c r="P6001">
        <v>0</v>
      </c>
      <c r="Q6001">
        <v>31093.03</v>
      </c>
      <c r="R6001">
        <v>4974.8900000000003</v>
      </c>
      <c r="S6001">
        <v>1243.72</v>
      </c>
      <c r="T6001">
        <v>34824.199999999997</v>
      </c>
      <c r="U6001" t="s">
        <v>8778</v>
      </c>
      <c r="V6001" t="s">
        <v>9409</v>
      </c>
      <c r="W6001" t="s">
        <v>423</v>
      </c>
    </row>
    <row r="6002" spans="1:23" hidden="1" x14ac:dyDescent="0.2">
      <c r="A6002">
        <v>2012</v>
      </c>
      <c r="B6002" t="s">
        <v>303</v>
      </c>
      <c r="C6002" s="733">
        <v>40925</v>
      </c>
      <c r="D60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02" t="s">
        <v>505</v>
      </c>
      <c r="F6002" t="s">
        <v>1915</v>
      </c>
      <c r="G6002" t="s">
        <v>4909</v>
      </c>
      <c r="H6002">
        <v>21960</v>
      </c>
      <c r="I6002" t="s">
        <v>423</v>
      </c>
      <c r="J6002" t="s">
        <v>4153</v>
      </c>
      <c r="K6002" t="s">
        <v>1918</v>
      </c>
      <c r="L6002" t="s">
        <v>1919</v>
      </c>
      <c r="M6002">
        <v>850</v>
      </c>
      <c r="N6002">
        <v>49.47</v>
      </c>
      <c r="O6002">
        <v>30911.82</v>
      </c>
      <c r="P6002">
        <v>0</v>
      </c>
      <c r="Q6002">
        <v>30911.82</v>
      </c>
      <c r="R6002">
        <v>4945.8900000000003</v>
      </c>
      <c r="S6002">
        <v>1236.47</v>
      </c>
      <c r="T6002">
        <v>34621.24</v>
      </c>
      <c r="U6002" t="s">
        <v>1931</v>
      </c>
      <c r="V6002" t="s">
        <v>9409</v>
      </c>
      <c r="W6002" t="s">
        <v>423</v>
      </c>
    </row>
    <row r="6003" spans="1:23" hidden="1" x14ac:dyDescent="0.2">
      <c r="A6003">
        <v>2012</v>
      </c>
      <c r="B6003" t="s">
        <v>303</v>
      </c>
      <c r="C6003" s="733">
        <v>40935</v>
      </c>
      <c r="D60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03" t="s">
        <v>505</v>
      </c>
      <c r="F6003" t="s">
        <v>1915</v>
      </c>
      <c r="G6003" t="s">
        <v>4908</v>
      </c>
      <c r="H6003">
        <v>22248</v>
      </c>
      <c r="I6003" t="s">
        <v>423</v>
      </c>
      <c r="J6003" t="s">
        <v>4153</v>
      </c>
      <c r="K6003" t="s">
        <v>1918</v>
      </c>
      <c r="L6003" t="s">
        <v>1919</v>
      </c>
      <c r="M6003">
        <v>850</v>
      </c>
      <c r="N6003">
        <v>50.1</v>
      </c>
      <c r="O6003">
        <v>31305.49</v>
      </c>
      <c r="P6003">
        <v>0</v>
      </c>
      <c r="Q6003">
        <v>31305.49</v>
      </c>
      <c r="R6003">
        <v>5008.88</v>
      </c>
      <c r="S6003">
        <v>1252.22</v>
      </c>
      <c r="T6003">
        <v>35062.15</v>
      </c>
      <c r="U6003" t="s">
        <v>1926</v>
      </c>
      <c r="V6003" t="s">
        <v>9409</v>
      </c>
      <c r="W6003" t="s">
        <v>423</v>
      </c>
    </row>
    <row r="6004" spans="1:23" hidden="1" x14ac:dyDescent="0.2">
      <c r="A6004">
        <v>2012</v>
      </c>
      <c r="B6004" t="s">
        <v>303</v>
      </c>
      <c r="C6004" s="733">
        <v>40931</v>
      </c>
      <c r="D60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04" t="s">
        <v>505</v>
      </c>
      <c r="F6004" t="s">
        <v>1915</v>
      </c>
      <c r="G6004" t="s">
        <v>5355</v>
      </c>
      <c r="H6004">
        <v>22145</v>
      </c>
      <c r="I6004" t="s">
        <v>423</v>
      </c>
      <c r="J6004" t="s">
        <v>4153</v>
      </c>
      <c r="K6004" t="s">
        <v>1918</v>
      </c>
      <c r="L6004" t="s">
        <v>1919</v>
      </c>
      <c r="M6004">
        <v>850</v>
      </c>
      <c r="N6004">
        <v>49.6</v>
      </c>
      <c r="O6004">
        <v>30993.06</v>
      </c>
      <c r="P6004">
        <v>0</v>
      </c>
      <c r="Q6004">
        <v>30993.06</v>
      </c>
      <c r="R6004">
        <v>4958.8900000000003</v>
      </c>
      <c r="S6004">
        <v>1239.72</v>
      </c>
      <c r="T6004">
        <v>34712.230000000003</v>
      </c>
      <c r="U6004" t="s">
        <v>1936</v>
      </c>
      <c r="V6004" t="s">
        <v>9409</v>
      </c>
      <c r="W6004" t="s">
        <v>423</v>
      </c>
    </row>
    <row r="6005" spans="1:23" hidden="1" x14ac:dyDescent="0.2">
      <c r="A6005">
        <v>2012</v>
      </c>
      <c r="B6005" t="s">
        <v>304</v>
      </c>
      <c r="C6005" s="733">
        <v>40967</v>
      </c>
      <c r="D60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05" t="s">
        <v>478</v>
      </c>
      <c r="F6005" t="s">
        <v>4128</v>
      </c>
      <c r="G6005" t="s">
        <v>9067</v>
      </c>
      <c r="H6005">
        <v>36175</v>
      </c>
      <c r="I6005" t="s">
        <v>423</v>
      </c>
      <c r="J6005" t="s">
        <v>4396</v>
      </c>
      <c r="K6005" t="s">
        <v>4397</v>
      </c>
      <c r="L6005" t="s">
        <v>4398</v>
      </c>
      <c r="M6005">
        <v>112</v>
      </c>
      <c r="N6005">
        <v>22.2</v>
      </c>
      <c r="O6005">
        <v>2505.71</v>
      </c>
      <c r="P6005">
        <v>0</v>
      </c>
      <c r="Q6005">
        <v>2505.71</v>
      </c>
      <c r="R6005">
        <v>400.91</v>
      </c>
      <c r="S6005">
        <v>100.23</v>
      </c>
      <c r="T6005">
        <v>2806.39</v>
      </c>
      <c r="U6005" t="s">
        <v>8982</v>
      </c>
      <c r="V6005" t="s">
        <v>9408</v>
      </c>
      <c r="W6005" t="s">
        <v>423</v>
      </c>
    </row>
    <row r="6006" spans="1:23" hidden="1" x14ac:dyDescent="0.2">
      <c r="A6006">
        <v>2012</v>
      </c>
      <c r="B6006" t="s">
        <v>304</v>
      </c>
      <c r="C6006" s="733">
        <v>40956</v>
      </c>
      <c r="D60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06" t="s">
        <v>505</v>
      </c>
      <c r="F6006" t="s">
        <v>1915</v>
      </c>
      <c r="G6006" t="s">
        <v>7953</v>
      </c>
      <c r="H6006">
        <v>22789</v>
      </c>
      <c r="I6006" t="s">
        <v>423</v>
      </c>
      <c r="J6006" t="s">
        <v>1947</v>
      </c>
      <c r="K6006" t="s">
        <v>1918</v>
      </c>
      <c r="L6006" t="s">
        <v>1919</v>
      </c>
      <c r="M6006">
        <v>973</v>
      </c>
      <c r="N6006">
        <v>50.08</v>
      </c>
      <c r="O6006">
        <v>29244.720000000001</v>
      </c>
      <c r="P6006">
        <v>0</v>
      </c>
      <c r="Q6006">
        <v>29244.720000000001</v>
      </c>
      <c r="R6006">
        <v>4679.1499999999996</v>
      </c>
      <c r="S6006">
        <v>1169.79</v>
      </c>
      <c r="T6006">
        <v>32754.080000000002</v>
      </c>
      <c r="U6006" t="s">
        <v>7529</v>
      </c>
      <c r="V6006" t="s">
        <v>9409</v>
      </c>
      <c r="W6006" t="s">
        <v>423</v>
      </c>
    </row>
    <row r="6007" spans="1:23" hidden="1" x14ac:dyDescent="0.2">
      <c r="A6007">
        <v>2012</v>
      </c>
      <c r="B6007" t="s">
        <v>303</v>
      </c>
      <c r="C6007" s="733">
        <v>40931</v>
      </c>
      <c r="D60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07" t="s">
        <v>478</v>
      </c>
      <c r="F6007" t="s">
        <v>2136</v>
      </c>
      <c r="G6007" t="s">
        <v>5264</v>
      </c>
      <c r="H6007">
        <v>34832</v>
      </c>
      <c r="I6007" t="s">
        <v>423</v>
      </c>
      <c r="J6007" t="s">
        <v>4276</v>
      </c>
      <c r="K6007" t="s">
        <v>425</v>
      </c>
      <c r="L6007" t="s">
        <v>2145</v>
      </c>
      <c r="M6007">
        <v>60</v>
      </c>
      <c r="N6007">
        <v>24.3</v>
      </c>
      <c r="O6007">
        <v>3262.28</v>
      </c>
      <c r="P6007">
        <v>0</v>
      </c>
      <c r="Q6007">
        <v>3262.28</v>
      </c>
      <c r="R6007">
        <v>521.96</v>
      </c>
      <c r="S6007">
        <v>130.49</v>
      </c>
      <c r="T6007">
        <v>3653.75</v>
      </c>
      <c r="U6007" t="s">
        <v>3234</v>
      </c>
      <c r="V6007" t="s">
        <v>9408</v>
      </c>
      <c r="W6007" t="s">
        <v>423</v>
      </c>
    </row>
    <row r="6008" spans="1:23" hidden="1" x14ac:dyDescent="0.2">
      <c r="A6008">
        <v>2012</v>
      </c>
      <c r="B6008" t="s">
        <v>303</v>
      </c>
      <c r="C6008" s="733">
        <v>40933</v>
      </c>
      <c r="D60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08" t="s">
        <v>505</v>
      </c>
      <c r="F6008" t="s">
        <v>1915</v>
      </c>
      <c r="G6008" t="s">
        <v>3406</v>
      </c>
      <c r="H6008">
        <v>22204</v>
      </c>
      <c r="I6008" t="s">
        <v>423</v>
      </c>
      <c r="J6008" t="s">
        <v>1947</v>
      </c>
      <c r="K6008" t="s">
        <v>1918</v>
      </c>
      <c r="L6008" t="s">
        <v>1919</v>
      </c>
      <c r="M6008">
        <v>973</v>
      </c>
      <c r="N6008">
        <v>50.11</v>
      </c>
      <c r="O6008">
        <v>29262.240000000002</v>
      </c>
      <c r="P6008">
        <v>0</v>
      </c>
      <c r="Q6008">
        <v>29262.240000000002</v>
      </c>
      <c r="R6008">
        <v>4681.96</v>
      </c>
      <c r="S6008">
        <v>1170.49</v>
      </c>
      <c r="T6008">
        <v>32773.71</v>
      </c>
      <c r="U6008" t="s">
        <v>1936</v>
      </c>
      <c r="V6008" t="s">
        <v>9409</v>
      </c>
      <c r="W6008" t="s">
        <v>423</v>
      </c>
    </row>
    <row r="6009" spans="1:23" hidden="1" x14ac:dyDescent="0.2">
      <c r="A6009">
        <v>2012</v>
      </c>
      <c r="B6009" t="s">
        <v>304</v>
      </c>
      <c r="C6009" s="733">
        <v>40948</v>
      </c>
      <c r="D60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09" t="s">
        <v>505</v>
      </c>
      <c r="F6009" t="s">
        <v>1915</v>
      </c>
      <c r="G6009" t="s">
        <v>5537</v>
      </c>
      <c r="H6009">
        <v>22585</v>
      </c>
      <c r="I6009" t="s">
        <v>423</v>
      </c>
      <c r="J6009" t="s">
        <v>4158</v>
      </c>
      <c r="K6009" t="s">
        <v>1918</v>
      </c>
      <c r="L6009" t="s">
        <v>1919</v>
      </c>
      <c r="M6009">
        <v>274</v>
      </c>
      <c r="N6009">
        <v>25.67</v>
      </c>
      <c r="O6009">
        <v>7087.49</v>
      </c>
      <c r="P6009">
        <v>0</v>
      </c>
      <c r="Q6009">
        <v>7087.49</v>
      </c>
      <c r="R6009">
        <v>1134</v>
      </c>
      <c r="S6009">
        <v>283.5</v>
      </c>
      <c r="T6009">
        <v>7937.99</v>
      </c>
      <c r="U6009" t="s">
        <v>1924</v>
      </c>
      <c r="V6009" t="s">
        <v>9409</v>
      </c>
      <c r="W6009" t="s">
        <v>423</v>
      </c>
    </row>
    <row r="6010" spans="1:23" hidden="1" x14ac:dyDescent="0.2">
      <c r="A6010">
        <v>2012</v>
      </c>
      <c r="B6010" t="s">
        <v>304</v>
      </c>
      <c r="C6010" s="733">
        <v>40942</v>
      </c>
      <c r="D60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10" t="s">
        <v>505</v>
      </c>
      <c r="F6010" t="s">
        <v>1915</v>
      </c>
      <c r="G6010" t="s">
        <v>5542</v>
      </c>
      <c r="H6010">
        <v>22442</v>
      </c>
      <c r="I6010" t="s">
        <v>423</v>
      </c>
      <c r="J6010" t="s">
        <v>4158</v>
      </c>
      <c r="K6010" t="s">
        <v>1918</v>
      </c>
      <c r="L6010" t="s">
        <v>1919</v>
      </c>
      <c r="M6010">
        <v>274</v>
      </c>
      <c r="N6010">
        <v>27.84</v>
      </c>
      <c r="O6010">
        <v>7686.62</v>
      </c>
      <c r="P6010">
        <v>0</v>
      </c>
      <c r="Q6010">
        <v>7686.62</v>
      </c>
      <c r="R6010">
        <v>1229.8599999999999</v>
      </c>
      <c r="S6010">
        <v>307.45999999999998</v>
      </c>
      <c r="T6010">
        <v>8609.02</v>
      </c>
      <c r="U6010" t="s">
        <v>1924</v>
      </c>
      <c r="V6010" t="s">
        <v>9408</v>
      </c>
      <c r="W6010" t="s">
        <v>423</v>
      </c>
    </row>
    <row r="6011" spans="1:23" hidden="1" x14ac:dyDescent="0.2">
      <c r="A6011">
        <v>2012</v>
      </c>
      <c r="B6011" t="s">
        <v>303</v>
      </c>
      <c r="C6011" s="733">
        <v>40927</v>
      </c>
      <c r="D60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11" t="s">
        <v>505</v>
      </c>
      <c r="F6011" t="s">
        <v>1915</v>
      </c>
      <c r="G6011" t="s">
        <v>5536</v>
      </c>
      <c r="H6011">
        <v>22089</v>
      </c>
      <c r="I6011" t="s">
        <v>423</v>
      </c>
      <c r="J6011" t="s">
        <v>4158</v>
      </c>
      <c r="K6011" t="s">
        <v>1918</v>
      </c>
      <c r="L6011" t="s">
        <v>1919</v>
      </c>
      <c r="M6011">
        <v>274</v>
      </c>
      <c r="N6011">
        <v>26.4</v>
      </c>
      <c r="O6011">
        <v>7289.04</v>
      </c>
      <c r="P6011">
        <v>0</v>
      </c>
      <c r="Q6011">
        <v>7289.04</v>
      </c>
      <c r="R6011">
        <v>1166.25</v>
      </c>
      <c r="S6011">
        <v>291.56</v>
      </c>
      <c r="T6011">
        <v>8163.73</v>
      </c>
      <c r="U6011" t="s">
        <v>1936</v>
      </c>
      <c r="V6011" t="s">
        <v>9408</v>
      </c>
      <c r="W6011" t="s">
        <v>423</v>
      </c>
    </row>
    <row r="6012" spans="1:23" hidden="1" x14ac:dyDescent="0.2">
      <c r="A6012">
        <v>2012</v>
      </c>
      <c r="B6012" t="s">
        <v>304</v>
      </c>
      <c r="C6012" s="733">
        <v>40960</v>
      </c>
      <c r="D60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12" t="s">
        <v>485</v>
      </c>
      <c r="F6012" t="s">
        <v>2065</v>
      </c>
      <c r="G6012" t="s">
        <v>8170</v>
      </c>
      <c r="H6012">
        <v>42295</v>
      </c>
      <c r="I6012" t="s">
        <v>423</v>
      </c>
      <c r="J6012" t="s">
        <v>2050</v>
      </c>
      <c r="K6012" t="s">
        <v>2051</v>
      </c>
      <c r="L6012" t="s">
        <v>2052</v>
      </c>
      <c r="M6012">
        <v>90</v>
      </c>
      <c r="N6012">
        <v>25.1</v>
      </c>
      <c r="O6012">
        <v>3521.78</v>
      </c>
      <c r="P6012">
        <v>0</v>
      </c>
      <c r="Q6012">
        <v>3521.78</v>
      </c>
      <c r="R6012">
        <v>563.48</v>
      </c>
      <c r="S6012">
        <v>140.87</v>
      </c>
      <c r="T6012">
        <v>3944.39</v>
      </c>
      <c r="U6012" t="s">
        <v>8780</v>
      </c>
      <c r="V6012" t="s">
        <v>9408</v>
      </c>
      <c r="W6012" t="s">
        <v>423</v>
      </c>
    </row>
    <row r="6013" spans="1:23" hidden="1" x14ac:dyDescent="0.2">
      <c r="A6013">
        <v>2012</v>
      </c>
      <c r="B6013" t="s">
        <v>304</v>
      </c>
      <c r="C6013" s="733">
        <v>40960.440092592595</v>
      </c>
      <c r="D60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13" t="s">
        <v>485</v>
      </c>
      <c r="F6013" t="s">
        <v>2054</v>
      </c>
      <c r="G6013" t="s">
        <v>8309</v>
      </c>
      <c r="H6013">
        <v>10499</v>
      </c>
      <c r="I6013" t="s">
        <v>423</v>
      </c>
      <c r="J6013" t="s">
        <v>2056</v>
      </c>
      <c r="K6013" t="s">
        <v>2057</v>
      </c>
      <c r="L6013" t="s">
        <v>2058</v>
      </c>
      <c r="M6013">
        <v>19</v>
      </c>
      <c r="N6013">
        <v>44.54</v>
      </c>
      <c r="O6013">
        <v>5027.2299999999996</v>
      </c>
      <c r="P6013">
        <v>0</v>
      </c>
      <c r="Q6013">
        <v>5027.2299999999996</v>
      </c>
      <c r="R6013">
        <v>553</v>
      </c>
      <c r="S6013">
        <v>201.09</v>
      </c>
      <c r="T6013">
        <v>5379.14</v>
      </c>
      <c r="U6013" t="s">
        <v>8864</v>
      </c>
      <c r="V6013" t="s">
        <v>9409</v>
      </c>
      <c r="W6013" t="s">
        <v>423</v>
      </c>
    </row>
    <row r="6014" spans="1:23" hidden="1" x14ac:dyDescent="0.2">
      <c r="A6014">
        <v>2012</v>
      </c>
      <c r="B6014" t="s">
        <v>304</v>
      </c>
      <c r="C6014" s="733">
        <v>40950</v>
      </c>
      <c r="D60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14" t="s">
        <v>485</v>
      </c>
      <c r="F6014" t="s">
        <v>2054</v>
      </c>
      <c r="G6014" t="s">
        <v>2092</v>
      </c>
      <c r="H6014">
        <v>10389</v>
      </c>
      <c r="I6014" t="s">
        <v>423</v>
      </c>
      <c r="J6014" t="s">
        <v>2056</v>
      </c>
      <c r="K6014" t="s">
        <v>2057</v>
      </c>
      <c r="L6014" t="s">
        <v>2058</v>
      </c>
      <c r="M6014">
        <v>19</v>
      </c>
      <c r="N6014">
        <v>47.62</v>
      </c>
      <c r="O6014">
        <v>5374.87</v>
      </c>
      <c r="P6014">
        <v>0</v>
      </c>
      <c r="Q6014">
        <v>5374.87</v>
      </c>
      <c r="R6014">
        <v>591.24</v>
      </c>
      <c r="S6014">
        <v>214.99</v>
      </c>
      <c r="T6014">
        <v>5751.12</v>
      </c>
      <c r="U6014" t="s">
        <v>2082</v>
      </c>
      <c r="V6014" t="s">
        <v>9409</v>
      </c>
      <c r="W6014" t="s">
        <v>423</v>
      </c>
    </row>
    <row r="6015" spans="1:23" hidden="1" x14ac:dyDescent="0.2">
      <c r="A6015">
        <v>2012</v>
      </c>
      <c r="B6015" t="s">
        <v>304</v>
      </c>
      <c r="C6015" s="733">
        <v>40954.659710648149</v>
      </c>
      <c r="D60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15" t="s">
        <v>485</v>
      </c>
      <c r="F6015" t="s">
        <v>2054</v>
      </c>
      <c r="G6015" t="s">
        <v>7824</v>
      </c>
      <c r="H6015">
        <v>10453</v>
      </c>
      <c r="I6015" t="s">
        <v>423</v>
      </c>
      <c r="J6015" t="s">
        <v>2056</v>
      </c>
      <c r="K6015" t="s">
        <v>2057</v>
      </c>
      <c r="L6015" t="s">
        <v>2058</v>
      </c>
      <c r="M6015">
        <v>19</v>
      </c>
      <c r="N6015">
        <v>47.54</v>
      </c>
      <c r="O6015">
        <v>5365.84</v>
      </c>
      <c r="P6015">
        <v>0</v>
      </c>
      <c r="Q6015">
        <v>5365.84</v>
      </c>
      <c r="R6015">
        <v>590.24</v>
      </c>
      <c r="S6015">
        <v>214.63</v>
      </c>
      <c r="T6015">
        <v>5741.45</v>
      </c>
      <c r="U6015" t="s">
        <v>8047</v>
      </c>
      <c r="V6015" t="s">
        <v>9409</v>
      </c>
      <c r="W6015" t="s">
        <v>423</v>
      </c>
    </row>
    <row r="6016" spans="1:23" hidden="1" x14ac:dyDescent="0.2">
      <c r="A6016">
        <v>2012</v>
      </c>
      <c r="B6016" t="s">
        <v>303</v>
      </c>
      <c r="C6016" s="733">
        <v>40928.534328703703</v>
      </c>
      <c r="D60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16" t="s">
        <v>485</v>
      </c>
      <c r="F6016" t="s">
        <v>2054</v>
      </c>
      <c r="G6016" t="s">
        <v>4932</v>
      </c>
      <c r="H6016">
        <v>40655</v>
      </c>
      <c r="I6016" t="s">
        <v>423</v>
      </c>
      <c r="J6016" t="s">
        <v>2050</v>
      </c>
      <c r="K6016" t="s">
        <v>2051</v>
      </c>
      <c r="L6016" t="s">
        <v>2052</v>
      </c>
      <c r="M6016">
        <v>90</v>
      </c>
      <c r="N6016">
        <v>27.9</v>
      </c>
      <c r="O6016">
        <v>3914.65</v>
      </c>
      <c r="P6016">
        <v>0</v>
      </c>
      <c r="Q6016">
        <v>3914.65</v>
      </c>
      <c r="R6016">
        <v>626.34</v>
      </c>
      <c r="S6016">
        <v>156.59</v>
      </c>
      <c r="T6016">
        <v>4384.3999999999996</v>
      </c>
      <c r="U6016" t="s">
        <v>2062</v>
      </c>
      <c r="V6016" t="s">
        <v>9408</v>
      </c>
      <c r="W6016" t="s">
        <v>423</v>
      </c>
    </row>
    <row r="6017" spans="1:23" hidden="1" x14ac:dyDescent="0.2">
      <c r="A6017">
        <v>2012</v>
      </c>
      <c r="B6017" t="s">
        <v>303</v>
      </c>
      <c r="C6017" s="733">
        <v>40931.478032407409</v>
      </c>
      <c r="D60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17" t="s">
        <v>485</v>
      </c>
      <c r="F6017" t="s">
        <v>2084</v>
      </c>
      <c r="G6017" t="s">
        <v>2085</v>
      </c>
      <c r="H6017">
        <v>40713</v>
      </c>
      <c r="I6017" t="s">
        <v>423</v>
      </c>
      <c r="J6017" t="s">
        <v>2050</v>
      </c>
      <c r="K6017" t="s">
        <v>2051</v>
      </c>
      <c r="L6017" t="s">
        <v>2052</v>
      </c>
      <c r="M6017">
        <v>90</v>
      </c>
      <c r="N6017">
        <v>25.85</v>
      </c>
      <c r="O6017">
        <v>3627.01</v>
      </c>
      <c r="P6017">
        <v>0</v>
      </c>
      <c r="Q6017">
        <v>3627.01</v>
      </c>
      <c r="R6017">
        <v>580.32000000000005</v>
      </c>
      <c r="S6017">
        <v>145.08000000000001</v>
      </c>
      <c r="T6017">
        <v>4062.25</v>
      </c>
      <c r="U6017" t="s">
        <v>2053</v>
      </c>
      <c r="V6017" t="s">
        <v>9408</v>
      </c>
      <c r="W6017" t="s">
        <v>423</v>
      </c>
    </row>
    <row r="6018" spans="1:23" hidden="1" x14ac:dyDescent="0.2">
      <c r="A6018">
        <v>2012</v>
      </c>
      <c r="B6018" t="s">
        <v>303</v>
      </c>
      <c r="C6018" s="733">
        <v>40928</v>
      </c>
      <c r="D60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18" t="s">
        <v>485</v>
      </c>
      <c r="F6018" t="s">
        <v>2048</v>
      </c>
      <c r="G6018" t="s">
        <v>2698</v>
      </c>
      <c r="H6018">
        <v>40658</v>
      </c>
      <c r="I6018" t="s">
        <v>423</v>
      </c>
      <c r="J6018" t="s">
        <v>2171</v>
      </c>
      <c r="K6018" t="s">
        <v>2051</v>
      </c>
      <c r="L6018" t="s">
        <v>2052</v>
      </c>
      <c r="M6018">
        <v>57</v>
      </c>
      <c r="N6018">
        <v>24.85</v>
      </c>
      <c r="O6018">
        <v>3486.7</v>
      </c>
      <c r="P6018">
        <v>0</v>
      </c>
      <c r="Q6018">
        <v>3486.7</v>
      </c>
      <c r="R6018">
        <v>557.87</v>
      </c>
      <c r="S6018">
        <v>139.47</v>
      </c>
      <c r="T6018">
        <v>3905.1</v>
      </c>
      <c r="U6018" t="s">
        <v>2062</v>
      </c>
      <c r="V6018" t="s">
        <v>9408</v>
      </c>
      <c r="W6018" t="s">
        <v>423</v>
      </c>
    </row>
    <row r="6019" spans="1:23" hidden="1" x14ac:dyDescent="0.2">
      <c r="A6019">
        <v>2012</v>
      </c>
      <c r="B6019" t="s">
        <v>304</v>
      </c>
      <c r="C6019" s="733">
        <v>40953</v>
      </c>
      <c r="D60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19" t="s">
        <v>485</v>
      </c>
      <c r="F6019" t="s">
        <v>2048</v>
      </c>
      <c r="G6019" t="s">
        <v>4929</v>
      </c>
      <c r="H6019">
        <v>41873</v>
      </c>
      <c r="I6019" t="s">
        <v>423</v>
      </c>
      <c r="J6019" t="s">
        <v>2171</v>
      </c>
      <c r="K6019" t="s">
        <v>2051</v>
      </c>
      <c r="L6019" t="s">
        <v>2052</v>
      </c>
      <c r="M6019">
        <v>57</v>
      </c>
      <c r="N6019">
        <v>23.75</v>
      </c>
      <c r="O6019">
        <v>3332.36</v>
      </c>
      <c r="P6019">
        <v>0</v>
      </c>
      <c r="Q6019">
        <v>3332.36</v>
      </c>
      <c r="R6019">
        <v>533.17999999999995</v>
      </c>
      <c r="S6019">
        <v>133.29</v>
      </c>
      <c r="T6019">
        <v>3732.25</v>
      </c>
      <c r="U6019" t="s">
        <v>7568</v>
      </c>
      <c r="V6019" t="s">
        <v>9408</v>
      </c>
      <c r="W6019" t="s">
        <v>423</v>
      </c>
    </row>
    <row r="6020" spans="1:23" hidden="1" x14ac:dyDescent="0.2">
      <c r="A6020">
        <v>2012</v>
      </c>
      <c r="B6020" t="s">
        <v>304</v>
      </c>
      <c r="C6020" s="733">
        <v>40941</v>
      </c>
      <c r="D60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20" t="s">
        <v>485</v>
      </c>
      <c r="F6020" t="s">
        <v>2065</v>
      </c>
      <c r="G6020" t="s">
        <v>2066</v>
      </c>
      <c r="H6020">
        <v>41302</v>
      </c>
      <c r="I6020" t="s">
        <v>423</v>
      </c>
      <c r="J6020" t="s">
        <v>2050</v>
      </c>
      <c r="K6020" t="s">
        <v>2051</v>
      </c>
      <c r="L6020" t="s">
        <v>2052</v>
      </c>
      <c r="M6020">
        <v>90</v>
      </c>
      <c r="N6020">
        <v>26.45</v>
      </c>
      <c r="O6020">
        <v>3711.2</v>
      </c>
      <c r="P6020">
        <v>0</v>
      </c>
      <c r="Q6020">
        <v>3711.2</v>
      </c>
      <c r="R6020">
        <v>593.79</v>
      </c>
      <c r="S6020">
        <v>148.44999999999999</v>
      </c>
      <c r="T6020">
        <v>4156.54</v>
      </c>
      <c r="U6020" t="s">
        <v>2067</v>
      </c>
      <c r="V6020" t="s">
        <v>9408</v>
      </c>
      <c r="W6020" t="s">
        <v>423</v>
      </c>
    </row>
    <row r="6021" spans="1:23" hidden="1" x14ac:dyDescent="0.2">
      <c r="A6021">
        <v>2012</v>
      </c>
      <c r="B6021" t="s">
        <v>303</v>
      </c>
      <c r="C6021" s="733">
        <v>40939</v>
      </c>
      <c r="D60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21" t="s">
        <v>485</v>
      </c>
      <c r="F6021" t="s">
        <v>2054</v>
      </c>
      <c r="G6021" t="s">
        <v>5057</v>
      </c>
      <c r="H6021">
        <v>9985</v>
      </c>
      <c r="I6021" t="s">
        <v>423</v>
      </c>
      <c r="J6021" t="s">
        <v>2056</v>
      </c>
      <c r="K6021" t="s">
        <v>2057</v>
      </c>
      <c r="L6021" t="s">
        <v>2058</v>
      </c>
      <c r="M6021">
        <v>19</v>
      </c>
      <c r="N6021">
        <v>24.87</v>
      </c>
      <c r="O6021">
        <v>2807.08</v>
      </c>
      <c r="P6021">
        <v>0</v>
      </c>
      <c r="Q6021">
        <v>2807.08</v>
      </c>
      <c r="R6021">
        <v>449.13</v>
      </c>
      <c r="S6021">
        <v>112.28</v>
      </c>
      <c r="T6021">
        <v>3143.93</v>
      </c>
      <c r="U6021" t="s">
        <v>2073</v>
      </c>
      <c r="V6021" t="s">
        <v>9408</v>
      </c>
      <c r="W6021" t="s">
        <v>423</v>
      </c>
    </row>
    <row r="6022" spans="1:23" hidden="1" x14ac:dyDescent="0.2">
      <c r="A6022">
        <v>2012</v>
      </c>
      <c r="B6022" t="s">
        <v>304</v>
      </c>
      <c r="C6022" s="733">
        <v>40949.647685185184</v>
      </c>
      <c r="D60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22" t="s">
        <v>485</v>
      </c>
      <c r="F6022" t="s">
        <v>3450</v>
      </c>
      <c r="G6022" t="s">
        <v>4603</v>
      </c>
      <c r="H6022">
        <v>41692</v>
      </c>
      <c r="I6022" t="s">
        <v>2821</v>
      </c>
      <c r="J6022" t="s">
        <v>4604</v>
      </c>
      <c r="K6022" t="s">
        <v>3453</v>
      </c>
      <c r="L6022" t="s">
        <v>3454</v>
      </c>
      <c r="M6022">
        <v>720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V6022" t="s">
        <v>9408</v>
      </c>
      <c r="W6022" t="s">
        <v>2821</v>
      </c>
    </row>
    <row r="6023" spans="1:23" hidden="1" x14ac:dyDescent="0.2">
      <c r="A6023">
        <v>2012</v>
      </c>
      <c r="B6023" t="s">
        <v>305</v>
      </c>
      <c r="C6023" s="733">
        <v>40970.530439814815</v>
      </c>
      <c r="D6023" s="733" t="str">
        <f>CHOOSE(MONTH(Tabla_sqldatos_bonampakdb_Bon_v_ingresos2012[[#This Row],[fecha_guia]]),"Enero","Febrero","Marzo","Abril","Mayo","Junio","Julio","Agosto","Septiembre","Octubre","Noviembre","Diciembre")</f>
        <v>Marzo</v>
      </c>
      <c r="E6023" t="s">
        <v>485</v>
      </c>
      <c r="F6023" t="s">
        <v>2054</v>
      </c>
      <c r="G6023" t="s">
        <v>9753</v>
      </c>
      <c r="H6023">
        <v>10631</v>
      </c>
      <c r="I6023" t="s">
        <v>423</v>
      </c>
      <c r="J6023" t="s">
        <v>2056</v>
      </c>
      <c r="K6023" t="s">
        <v>2057</v>
      </c>
      <c r="L6023" t="s">
        <v>2058</v>
      </c>
      <c r="M6023">
        <v>19</v>
      </c>
      <c r="N6023">
        <v>24.29</v>
      </c>
      <c r="O6023">
        <v>2741.61</v>
      </c>
      <c r="P6023">
        <v>0</v>
      </c>
      <c r="Q6023">
        <v>2741.61</v>
      </c>
      <c r="R6023">
        <v>301.58</v>
      </c>
      <c r="S6023">
        <v>109.66</v>
      </c>
      <c r="T6023">
        <v>2933.53</v>
      </c>
      <c r="V6023" t="s">
        <v>9408</v>
      </c>
      <c r="W6023" t="s">
        <v>423</v>
      </c>
    </row>
    <row r="6024" spans="1:23" hidden="1" x14ac:dyDescent="0.2">
      <c r="A6024">
        <v>2012</v>
      </c>
      <c r="B6024" t="s">
        <v>304</v>
      </c>
      <c r="C6024" s="733">
        <v>40954</v>
      </c>
      <c r="D60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24" t="s">
        <v>478</v>
      </c>
      <c r="F6024" t="s">
        <v>2622</v>
      </c>
      <c r="G6024" t="s">
        <v>7794</v>
      </c>
      <c r="H6024">
        <v>35589</v>
      </c>
      <c r="I6024" t="s">
        <v>423</v>
      </c>
      <c r="J6024" t="s">
        <v>2662</v>
      </c>
      <c r="K6024" t="s">
        <v>2625</v>
      </c>
      <c r="L6024" t="s">
        <v>2626</v>
      </c>
      <c r="M6024">
        <v>66</v>
      </c>
      <c r="N6024">
        <v>26.55</v>
      </c>
      <c r="O6024">
        <v>3125.73</v>
      </c>
      <c r="P6024">
        <v>0</v>
      </c>
      <c r="Q6024">
        <v>3125.73</v>
      </c>
      <c r="R6024">
        <v>500.12</v>
      </c>
      <c r="S6024">
        <v>125.03</v>
      </c>
      <c r="T6024">
        <v>3500.82</v>
      </c>
      <c r="U6024" t="s">
        <v>7548</v>
      </c>
      <c r="V6024" t="s">
        <v>9408</v>
      </c>
      <c r="W6024" t="s">
        <v>423</v>
      </c>
    </row>
    <row r="6025" spans="1:23" hidden="1" x14ac:dyDescent="0.2">
      <c r="A6025">
        <v>2012</v>
      </c>
      <c r="B6025" t="s">
        <v>304</v>
      </c>
      <c r="C6025" s="733">
        <v>40967.439722222225</v>
      </c>
      <c r="D60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25" t="s">
        <v>478</v>
      </c>
      <c r="F6025" t="s">
        <v>2622</v>
      </c>
      <c r="G6025" t="s">
        <v>9307</v>
      </c>
      <c r="H6025">
        <v>36118</v>
      </c>
      <c r="I6025" t="s">
        <v>423</v>
      </c>
      <c r="J6025" t="s">
        <v>2662</v>
      </c>
      <c r="K6025" t="s">
        <v>2625</v>
      </c>
      <c r="L6025" t="s">
        <v>2626</v>
      </c>
      <c r="M6025">
        <v>66</v>
      </c>
      <c r="N6025">
        <v>23.89</v>
      </c>
      <c r="O6025">
        <v>2786.53</v>
      </c>
      <c r="P6025">
        <v>0</v>
      </c>
      <c r="Q6025">
        <v>2786.53</v>
      </c>
      <c r="R6025">
        <v>445.84</v>
      </c>
      <c r="S6025">
        <v>111.46</v>
      </c>
      <c r="T6025">
        <v>3120.91</v>
      </c>
      <c r="U6025" t="s">
        <v>9428</v>
      </c>
      <c r="V6025" t="s">
        <v>9408</v>
      </c>
      <c r="W6025" t="s">
        <v>423</v>
      </c>
    </row>
    <row r="6026" spans="1:23" hidden="1" x14ac:dyDescent="0.2">
      <c r="A6026">
        <v>2012</v>
      </c>
      <c r="B6026" t="s">
        <v>304</v>
      </c>
      <c r="C6026" s="733">
        <v>40947.413587962961</v>
      </c>
      <c r="D60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26" t="s">
        <v>478</v>
      </c>
      <c r="F6026" t="s">
        <v>2622</v>
      </c>
      <c r="G6026" t="s">
        <v>4592</v>
      </c>
      <c r="H6026">
        <v>35423</v>
      </c>
      <c r="I6026" t="s">
        <v>423</v>
      </c>
      <c r="J6026" t="s">
        <v>2662</v>
      </c>
      <c r="K6026" t="s">
        <v>2625</v>
      </c>
      <c r="L6026" t="s">
        <v>2626</v>
      </c>
      <c r="M6026">
        <v>66</v>
      </c>
      <c r="N6026">
        <v>22.98</v>
      </c>
      <c r="O6026">
        <v>2705.44</v>
      </c>
      <c r="P6026">
        <v>0</v>
      </c>
      <c r="Q6026">
        <v>2705.44</v>
      </c>
      <c r="R6026">
        <v>432.87</v>
      </c>
      <c r="S6026">
        <v>108.22</v>
      </c>
      <c r="T6026">
        <v>3030.09</v>
      </c>
      <c r="U6026" t="s">
        <v>2630</v>
      </c>
      <c r="V6026" t="s">
        <v>9408</v>
      </c>
      <c r="W6026" t="s">
        <v>423</v>
      </c>
    </row>
    <row r="6027" spans="1:23" hidden="1" x14ac:dyDescent="0.2">
      <c r="A6027">
        <v>2012</v>
      </c>
      <c r="B6027" t="s">
        <v>304</v>
      </c>
      <c r="C6027" s="733">
        <v>40967.440995370373</v>
      </c>
      <c r="D60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27" t="s">
        <v>478</v>
      </c>
      <c r="F6027" t="s">
        <v>2622</v>
      </c>
      <c r="G6027" t="s">
        <v>9309</v>
      </c>
      <c r="H6027">
        <v>36121</v>
      </c>
      <c r="I6027" t="s">
        <v>423</v>
      </c>
      <c r="J6027" t="s">
        <v>2662</v>
      </c>
      <c r="K6027" t="s">
        <v>2625</v>
      </c>
      <c r="L6027" t="s">
        <v>2626</v>
      </c>
      <c r="M6027">
        <v>66</v>
      </c>
      <c r="N6027">
        <v>22.4</v>
      </c>
      <c r="O6027">
        <v>2637.15</v>
      </c>
      <c r="P6027">
        <v>0</v>
      </c>
      <c r="Q6027">
        <v>2637.15</v>
      </c>
      <c r="R6027">
        <v>421.94</v>
      </c>
      <c r="S6027">
        <v>105.49</v>
      </c>
      <c r="T6027">
        <v>2953.6</v>
      </c>
      <c r="U6027" t="s">
        <v>9428</v>
      </c>
      <c r="V6027" t="s">
        <v>9408</v>
      </c>
      <c r="W6027" t="s">
        <v>423</v>
      </c>
    </row>
    <row r="6028" spans="1:23" hidden="1" x14ac:dyDescent="0.2">
      <c r="A6028">
        <v>2012</v>
      </c>
      <c r="B6028" t="s">
        <v>303</v>
      </c>
      <c r="C6028" s="733">
        <v>40919</v>
      </c>
      <c r="D60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28" t="s">
        <v>485</v>
      </c>
      <c r="F6028" t="s">
        <v>2054</v>
      </c>
      <c r="G6028" t="s">
        <v>5058</v>
      </c>
      <c r="H6028">
        <v>9956</v>
      </c>
      <c r="I6028" t="s">
        <v>423</v>
      </c>
      <c r="J6028" t="s">
        <v>4078</v>
      </c>
      <c r="K6028" t="s">
        <v>2057</v>
      </c>
      <c r="L6028" t="s">
        <v>2058</v>
      </c>
      <c r="M6028">
        <v>154</v>
      </c>
      <c r="N6028">
        <v>22.19</v>
      </c>
      <c r="O6028">
        <v>3739.46</v>
      </c>
      <c r="P6028">
        <v>0</v>
      </c>
      <c r="Q6028">
        <v>3739.46</v>
      </c>
      <c r="R6028">
        <v>598.30999999999995</v>
      </c>
      <c r="S6028">
        <v>149.58000000000001</v>
      </c>
      <c r="T6028">
        <v>4188.1899999999996</v>
      </c>
      <c r="U6028" t="s">
        <v>2070</v>
      </c>
      <c r="V6028" t="s">
        <v>9408</v>
      </c>
      <c r="W6028" t="s">
        <v>423</v>
      </c>
    </row>
    <row r="6029" spans="1:23" hidden="1" x14ac:dyDescent="0.2">
      <c r="A6029">
        <v>2012</v>
      </c>
      <c r="B6029" t="s">
        <v>303</v>
      </c>
      <c r="C6029" s="733">
        <v>40933.650821759256</v>
      </c>
      <c r="D60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29" t="s">
        <v>485</v>
      </c>
      <c r="F6029" t="s">
        <v>2054</v>
      </c>
      <c r="G6029" t="s">
        <v>5059</v>
      </c>
      <c r="H6029">
        <v>10206</v>
      </c>
      <c r="I6029" t="s">
        <v>423</v>
      </c>
      <c r="J6029" t="s">
        <v>4078</v>
      </c>
      <c r="K6029" t="s">
        <v>2057</v>
      </c>
      <c r="L6029" t="s">
        <v>2058</v>
      </c>
      <c r="M6029">
        <v>154</v>
      </c>
      <c r="N6029">
        <v>23.52</v>
      </c>
      <c r="O6029">
        <v>3963.59</v>
      </c>
      <c r="P6029">
        <v>0</v>
      </c>
      <c r="Q6029">
        <v>3963.59</v>
      </c>
      <c r="R6029">
        <v>634.16999999999996</v>
      </c>
      <c r="S6029">
        <v>158.54</v>
      </c>
      <c r="T6029">
        <v>4439.22</v>
      </c>
      <c r="U6029" t="s">
        <v>2073</v>
      </c>
      <c r="V6029" t="s">
        <v>9408</v>
      </c>
      <c r="W6029" t="s">
        <v>423</v>
      </c>
    </row>
    <row r="6030" spans="1:23" hidden="1" x14ac:dyDescent="0.2">
      <c r="A6030">
        <v>2012</v>
      </c>
      <c r="B6030" t="s">
        <v>304</v>
      </c>
      <c r="C6030" s="733">
        <v>40966.539652777778</v>
      </c>
      <c r="D60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30" t="s">
        <v>485</v>
      </c>
      <c r="F6030" t="s">
        <v>2054</v>
      </c>
      <c r="G6030" t="s">
        <v>9310</v>
      </c>
      <c r="H6030">
        <v>10567</v>
      </c>
      <c r="I6030" t="s">
        <v>423</v>
      </c>
      <c r="J6030" t="s">
        <v>4078</v>
      </c>
      <c r="K6030" t="s">
        <v>2057</v>
      </c>
      <c r="L6030" t="s">
        <v>2058</v>
      </c>
      <c r="M6030">
        <v>154</v>
      </c>
      <c r="N6030">
        <v>29.03</v>
      </c>
      <c r="O6030">
        <v>4892.1400000000003</v>
      </c>
      <c r="P6030">
        <v>0</v>
      </c>
      <c r="Q6030">
        <v>4892.1400000000003</v>
      </c>
      <c r="R6030">
        <v>538.13</v>
      </c>
      <c r="S6030">
        <v>195.69</v>
      </c>
      <c r="T6030">
        <v>5234.58</v>
      </c>
      <c r="U6030" t="s">
        <v>8864</v>
      </c>
      <c r="V6030" t="s">
        <v>9408</v>
      </c>
      <c r="W6030" t="s">
        <v>423</v>
      </c>
    </row>
    <row r="6031" spans="1:23" hidden="1" x14ac:dyDescent="0.2">
      <c r="A6031">
        <v>2012</v>
      </c>
      <c r="B6031" t="s">
        <v>303</v>
      </c>
      <c r="C6031" s="733">
        <v>40929.889710648145</v>
      </c>
      <c r="D60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31" t="s">
        <v>478</v>
      </c>
      <c r="F6031" t="s">
        <v>2622</v>
      </c>
      <c r="G6031" t="s">
        <v>4221</v>
      </c>
      <c r="H6031">
        <v>34826</v>
      </c>
      <c r="I6031" t="s">
        <v>423</v>
      </c>
      <c r="J6031" t="s">
        <v>2662</v>
      </c>
      <c r="K6031" t="s">
        <v>2625</v>
      </c>
      <c r="L6031" t="s">
        <v>2626</v>
      </c>
      <c r="M6031">
        <v>66</v>
      </c>
      <c r="N6031">
        <v>20.51</v>
      </c>
      <c r="O6031">
        <v>2414.64</v>
      </c>
      <c r="P6031">
        <v>0</v>
      </c>
      <c r="Q6031">
        <v>2414.64</v>
      </c>
      <c r="R6031">
        <v>386.34</v>
      </c>
      <c r="S6031">
        <v>96.59</v>
      </c>
      <c r="T6031">
        <v>2704.39</v>
      </c>
      <c r="U6031" t="s">
        <v>2633</v>
      </c>
      <c r="V6031" t="s">
        <v>9408</v>
      </c>
      <c r="W6031" t="s">
        <v>423</v>
      </c>
    </row>
    <row r="6032" spans="1:23" hidden="1" x14ac:dyDescent="0.2">
      <c r="A6032">
        <v>2012</v>
      </c>
      <c r="B6032" t="s">
        <v>304</v>
      </c>
      <c r="C6032" s="733">
        <v>40963.550775462965</v>
      </c>
      <c r="D60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32" t="s">
        <v>478</v>
      </c>
      <c r="F6032" t="s">
        <v>2622</v>
      </c>
      <c r="G6032" t="s">
        <v>9308</v>
      </c>
      <c r="H6032">
        <v>35988</v>
      </c>
      <c r="I6032" t="s">
        <v>423</v>
      </c>
      <c r="J6032" t="s">
        <v>2662</v>
      </c>
      <c r="K6032" t="s">
        <v>2625</v>
      </c>
      <c r="L6032" t="s">
        <v>2626</v>
      </c>
      <c r="M6032">
        <v>66</v>
      </c>
      <c r="N6032">
        <v>25.34</v>
      </c>
      <c r="O6032">
        <v>2983.28</v>
      </c>
      <c r="P6032">
        <v>0</v>
      </c>
      <c r="Q6032">
        <v>2983.28</v>
      </c>
      <c r="R6032">
        <v>477.32</v>
      </c>
      <c r="S6032">
        <v>119.33</v>
      </c>
      <c r="T6032">
        <v>3341.27</v>
      </c>
      <c r="U6032" t="s">
        <v>9428</v>
      </c>
      <c r="V6032" t="s">
        <v>9408</v>
      </c>
      <c r="W6032" t="s">
        <v>423</v>
      </c>
    </row>
    <row r="6033" spans="1:23" hidden="1" x14ac:dyDescent="0.2">
      <c r="A6033">
        <v>2012</v>
      </c>
      <c r="B6033" t="s">
        <v>304</v>
      </c>
      <c r="C6033" s="733">
        <v>40955</v>
      </c>
      <c r="D60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33" t="s">
        <v>478</v>
      </c>
      <c r="F6033" t="s">
        <v>2136</v>
      </c>
      <c r="G6033" t="s">
        <v>8040</v>
      </c>
      <c r="H6033">
        <v>35676</v>
      </c>
      <c r="I6033" t="s">
        <v>423</v>
      </c>
      <c r="J6033" t="s">
        <v>5684</v>
      </c>
      <c r="K6033" t="s">
        <v>425</v>
      </c>
      <c r="L6033" t="s">
        <v>2145</v>
      </c>
      <c r="M6033">
        <v>484</v>
      </c>
      <c r="N6033">
        <v>25.56</v>
      </c>
      <c r="O6033">
        <v>7711.2</v>
      </c>
      <c r="P6033">
        <v>0</v>
      </c>
      <c r="Q6033">
        <v>7711.2</v>
      </c>
      <c r="R6033">
        <v>1233.79</v>
      </c>
      <c r="S6033">
        <v>308.45</v>
      </c>
      <c r="T6033">
        <v>8636.5400000000009</v>
      </c>
      <c r="U6033" t="s">
        <v>7553</v>
      </c>
      <c r="V6033" t="s">
        <v>9408</v>
      </c>
      <c r="W6033" t="s">
        <v>423</v>
      </c>
    </row>
    <row r="6034" spans="1:23" hidden="1" x14ac:dyDescent="0.2">
      <c r="A6034">
        <v>2012</v>
      </c>
      <c r="B6034" t="s">
        <v>303</v>
      </c>
      <c r="C6034" s="733">
        <v>40924</v>
      </c>
      <c r="D60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34" t="s">
        <v>485</v>
      </c>
      <c r="F6034" t="s">
        <v>2065</v>
      </c>
      <c r="G6034" t="s">
        <v>6660</v>
      </c>
      <c r="H6034">
        <v>40044</v>
      </c>
      <c r="I6034" t="s">
        <v>423</v>
      </c>
      <c r="J6034" t="s">
        <v>2126</v>
      </c>
      <c r="K6034" t="s">
        <v>2102</v>
      </c>
      <c r="L6034" t="s">
        <v>2184</v>
      </c>
      <c r="M6034">
        <v>930</v>
      </c>
      <c r="N6034">
        <v>26.52</v>
      </c>
      <c r="O6034">
        <v>15569.36</v>
      </c>
      <c r="P6034">
        <v>0</v>
      </c>
      <c r="Q6034">
        <v>15569.36</v>
      </c>
      <c r="R6034">
        <v>2491.1</v>
      </c>
      <c r="S6034">
        <v>622.77</v>
      </c>
      <c r="T6034">
        <v>17437.689999999999</v>
      </c>
      <c r="U6034" t="s">
        <v>2106</v>
      </c>
      <c r="V6034" t="s">
        <v>9409</v>
      </c>
      <c r="W6034" t="s">
        <v>423</v>
      </c>
    </row>
    <row r="6035" spans="1:23" hidden="1" x14ac:dyDescent="0.2">
      <c r="A6035">
        <v>2012</v>
      </c>
      <c r="B6035" t="s">
        <v>303</v>
      </c>
      <c r="C6035" s="733">
        <v>40939</v>
      </c>
      <c r="D60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35" t="s">
        <v>485</v>
      </c>
      <c r="F6035" t="s">
        <v>2065</v>
      </c>
      <c r="G6035" t="s">
        <v>2572</v>
      </c>
      <c r="H6035">
        <v>41026</v>
      </c>
      <c r="I6035" t="s">
        <v>423</v>
      </c>
      <c r="J6035" t="s">
        <v>2126</v>
      </c>
      <c r="K6035" t="s">
        <v>2102</v>
      </c>
      <c r="L6035" t="s">
        <v>2115</v>
      </c>
      <c r="M6035">
        <v>930</v>
      </c>
      <c r="N6035">
        <v>51.24</v>
      </c>
      <c r="O6035">
        <v>30081.98</v>
      </c>
      <c r="P6035">
        <v>0</v>
      </c>
      <c r="Q6035">
        <v>30081.98</v>
      </c>
      <c r="R6035">
        <v>4813.12</v>
      </c>
      <c r="S6035">
        <v>1203.28</v>
      </c>
      <c r="T6035">
        <v>33691.82</v>
      </c>
      <c r="U6035" t="s">
        <v>2110</v>
      </c>
      <c r="V6035" t="s">
        <v>9409</v>
      </c>
      <c r="W6035" t="s">
        <v>423</v>
      </c>
    </row>
    <row r="6036" spans="1:23" hidden="1" x14ac:dyDescent="0.2">
      <c r="A6036">
        <v>2012</v>
      </c>
      <c r="B6036" t="s">
        <v>303</v>
      </c>
      <c r="C6036" s="733">
        <v>40932</v>
      </c>
      <c r="D60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36" t="s">
        <v>485</v>
      </c>
      <c r="F6036" t="s">
        <v>2065</v>
      </c>
      <c r="G6036" t="s">
        <v>6659</v>
      </c>
      <c r="H6036">
        <v>40672</v>
      </c>
      <c r="I6036" t="s">
        <v>423</v>
      </c>
      <c r="J6036" t="s">
        <v>3544</v>
      </c>
      <c r="K6036" t="s">
        <v>2102</v>
      </c>
      <c r="L6036" t="s">
        <v>2115</v>
      </c>
      <c r="M6036">
        <v>430</v>
      </c>
      <c r="N6036">
        <v>26.25</v>
      </c>
      <c r="O6036">
        <v>15410.85</v>
      </c>
      <c r="P6036">
        <v>0</v>
      </c>
      <c r="Q6036">
        <v>15410.85</v>
      </c>
      <c r="R6036">
        <v>2465.7399999999998</v>
      </c>
      <c r="S6036">
        <v>616.42999999999995</v>
      </c>
      <c r="T6036">
        <v>17260.16</v>
      </c>
      <c r="U6036" t="s">
        <v>2110</v>
      </c>
      <c r="V6036" t="s">
        <v>9408</v>
      </c>
      <c r="W6036" t="s">
        <v>423</v>
      </c>
    </row>
    <row r="6037" spans="1:23" hidden="1" x14ac:dyDescent="0.2">
      <c r="A6037">
        <v>2012</v>
      </c>
      <c r="B6037" t="s">
        <v>304</v>
      </c>
      <c r="C6037" s="733">
        <v>40942</v>
      </c>
      <c r="D60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37" t="s">
        <v>478</v>
      </c>
      <c r="F6037" t="s">
        <v>2136</v>
      </c>
      <c r="G6037" t="s">
        <v>6299</v>
      </c>
      <c r="H6037">
        <v>35305</v>
      </c>
      <c r="I6037" t="s">
        <v>423</v>
      </c>
      <c r="J6037" t="s">
        <v>3480</v>
      </c>
      <c r="K6037" t="s">
        <v>3481</v>
      </c>
      <c r="L6037" t="s">
        <v>3482</v>
      </c>
      <c r="M6037">
        <v>75</v>
      </c>
      <c r="N6037">
        <v>31.12</v>
      </c>
      <c r="O6037">
        <v>3512.51</v>
      </c>
      <c r="P6037">
        <v>0</v>
      </c>
      <c r="Q6037">
        <v>3512.51</v>
      </c>
      <c r="R6037">
        <v>562</v>
      </c>
      <c r="S6037">
        <v>140.5</v>
      </c>
      <c r="T6037">
        <v>3934.01</v>
      </c>
      <c r="U6037" t="s">
        <v>3483</v>
      </c>
      <c r="V6037" t="s">
        <v>9408</v>
      </c>
      <c r="W6037" t="s">
        <v>423</v>
      </c>
    </row>
    <row r="6038" spans="1:23" hidden="1" x14ac:dyDescent="0.2">
      <c r="A6038">
        <v>2012</v>
      </c>
      <c r="B6038" t="s">
        <v>304</v>
      </c>
      <c r="C6038" s="733">
        <v>40941</v>
      </c>
      <c r="D60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38" t="s">
        <v>485</v>
      </c>
      <c r="F6038" t="s">
        <v>2099</v>
      </c>
      <c r="G6038" t="s">
        <v>2590</v>
      </c>
      <c r="H6038">
        <v>40152</v>
      </c>
      <c r="I6038" t="s">
        <v>423</v>
      </c>
      <c r="J6038" t="s">
        <v>2101</v>
      </c>
      <c r="K6038" t="s">
        <v>2102</v>
      </c>
      <c r="L6038" t="s">
        <v>2103</v>
      </c>
      <c r="M6038">
        <v>119</v>
      </c>
      <c r="N6038">
        <v>24.79</v>
      </c>
      <c r="O6038">
        <v>4158.03</v>
      </c>
      <c r="P6038">
        <v>0</v>
      </c>
      <c r="Q6038">
        <v>4158.03</v>
      </c>
      <c r="R6038">
        <v>665.28</v>
      </c>
      <c r="S6038">
        <v>166.32</v>
      </c>
      <c r="T6038">
        <v>4656.99</v>
      </c>
      <c r="U6038" t="s">
        <v>2110</v>
      </c>
      <c r="V6038" t="s">
        <v>9408</v>
      </c>
      <c r="W6038" t="s">
        <v>423</v>
      </c>
    </row>
    <row r="6039" spans="1:23" hidden="1" x14ac:dyDescent="0.2">
      <c r="A6039">
        <v>2012</v>
      </c>
      <c r="B6039" t="s">
        <v>303</v>
      </c>
      <c r="C6039" s="733">
        <v>40926</v>
      </c>
      <c r="D60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39" t="s">
        <v>485</v>
      </c>
      <c r="F6039" t="s">
        <v>2099</v>
      </c>
      <c r="G6039" t="s">
        <v>2754</v>
      </c>
      <c r="H6039">
        <v>40504</v>
      </c>
      <c r="I6039" t="s">
        <v>423</v>
      </c>
      <c r="J6039" t="s">
        <v>2101</v>
      </c>
      <c r="K6039" t="s">
        <v>2102</v>
      </c>
      <c r="L6039" t="s">
        <v>2103</v>
      </c>
      <c r="M6039">
        <v>119</v>
      </c>
      <c r="N6039">
        <v>27.59</v>
      </c>
      <c r="O6039">
        <v>4627.67</v>
      </c>
      <c r="P6039">
        <v>0</v>
      </c>
      <c r="Q6039">
        <v>4627.67</v>
      </c>
      <c r="R6039">
        <v>740.43</v>
      </c>
      <c r="S6039">
        <v>185.11</v>
      </c>
      <c r="T6039">
        <v>5182.99</v>
      </c>
      <c r="U6039" t="s">
        <v>2106</v>
      </c>
      <c r="V6039" t="s">
        <v>9408</v>
      </c>
      <c r="W6039" t="s">
        <v>423</v>
      </c>
    </row>
    <row r="6040" spans="1:23" hidden="1" x14ac:dyDescent="0.2">
      <c r="A6040">
        <v>2012</v>
      </c>
      <c r="B6040" t="s">
        <v>303</v>
      </c>
      <c r="C6040" s="733">
        <v>40931</v>
      </c>
      <c r="D60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40" t="s">
        <v>485</v>
      </c>
      <c r="F6040" t="s">
        <v>2099</v>
      </c>
      <c r="G6040" t="s">
        <v>2562</v>
      </c>
      <c r="H6040">
        <v>40729</v>
      </c>
      <c r="I6040" t="s">
        <v>423</v>
      </c>
      <c r="J6040" t="s">
        <v>2101</v>
      </c>
      <c r="K6040" t="s">
        <v>2102</v>
      </c>
      <c r="L6040" t="s">
        <v>2103</v>
      </c>
      <c r="M6040">
        <v>119</v>
      </c>
      <c r="N6040">
        <v>24.53</v>
      </c>
      <c r="O6040">
        <v>4114.42</v>
      </c>
      <c r="P6040">
        <v>0</v>
      </c>
      <c r="Q6040">
        <v>4114.42</v>
      </c>
      <c r="R6040">
        <v>658.31</v>
      </c>
      <c r="S6040">
        <v>164.58</v>
      </c>
      <c r="T6040">
        <v>4608.1499999999996</v>
      </c>
      <c r="U6040" t="s">
        <v>2106</v>
      </c>
      <c r="V6040" t="s">
        <v>9408</v>
      </c>
      <c r="W6040" t="s">
        <v>423</v>
      </c>
    </row>
    <row r="6041" spans="1:23" hidden="1" x14ac:dyDescent="0.2">
      <c r="A6041">
        <v>2012</v>
      </c>
      <c r="B6041" t="s">
        <v>303</v>
      </c>
      <c r="C6041" s="733">
        <v>40924</v>
      </c>
      <c r="D60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41" t="s">
        <v>485</v>
      </c>
      <c r="F6041" t="s">
        <v>2054</v>
      </c>
      <c r="G6041" t="s">
        <v>6344</v>
      </c>
      <c r="H6041">
        <v>10082</v>
      </c>
      <c r="I6041" t="s">
        <v>423</v>
      </c>
      <c r="J6041" t="s">
        <v>2098</v>
      </c>
      <c r="K6041" t="s">
        <v>2057</v>
      </c>
      <c r="L6041" t="s">
        <v>2058</v>
      </c>
      <c r="M6041">
        <v>565</v>
      </c>
      <c r="N6041">
        <v>47.3</v>
      </c>
      <c r="O6041">
        <v>15988.35</v>
      </c>
      <c r="P6041">
        <v>0</v>
      </c>
      <c r="Q6041">
        <v>15988.35</v>
      </c>
      <c r="R6041">
        <v>2558.14</v>
      </c>
      <c r="S6041">
        <v>639.53</v>
      </c>
      <c r="T6041">
        <v>17906.96</v>
      </c>
      <c r="U6041" t="s">
        <v>2059</v>
      </c>
      <c r="V6041" t="s">
        <v>9409</v>
      </c>
      <c r="W6041" t="s">
        <v>423</v>
      </c>
    </row>
    <row r="6042" spans="1:23" hidden="1" x14ac:dyDescent="0.2">
      <c r="A6042">
        <v>2012</v>
      </c>
      <c r="B6042" t="s">
        <v>304</v>
      </c>
      <c r="C6042" s="733">
        <v>40952</v>
      </c>
      <c r="D60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42" t="s">
        <v>485</v>
      </c>
      <c r="F6042" t="s">
        <v>2054</v>
      </c>
      <c r="G6042" t="s">
        <v>5906</v>
      </c>
      <c r="H6042">
        <v>10380</v>
      </c>
      <c r="I6042" t="s">
        <v>423</v>
      </c>
      <c r="J6042" t="s">
        <v>2098</v>
      </c>
      <c r="K6042" t="s">
        <v>2057</v>
      </c>
      <c r="L6042" t="s">
        <v>2058</v>
      </c>
      <c r="M6042">
        <v>565</v>
      </c>
      <c r="N6042">
        <v>47.37</v>
      </c>
      <c r="O6042">
        <v>16012.01</v>
      </c>
      <c r="P6042">
        <v>0</v>
      </c>
      <c r="Q6042">
        <v>16012.01</v>
      </c>
      <c r="R6042">
        <v>1761.32</v>
      </c>
      <c r="S6042">
        <v>640.48</v>
      </c>
      <c r="T6042">
        <v>17132.849999999999</v>
      </c>
      <c r="U6042" t="s">
        <v>2082</v>
      </c>
      <c r="V6042" t="s">
        <v>9409</v>
      </c>
      <c r="W6042" t="s">
        <v>423</v>
      </c>
    </row>
    <row r="6043" spans="1:23" hidden="1" x14ac:dyDescent="0.2">
      <c r="A6043">
        <v>2012</v>
      </c>
      <c r="B6043" t="s">
        <v>304</v>
      </c>
      <c r="C6043" s="733">
        <v>40947</v>
      </c>
      <c r="D60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43" t="s">
        <v>485</v>
      </c>
      <c r="F6043" t="s">
        <v>2054</v>
      </c>
      <c r="G6043" t="s">
        <v>6096</v>
      </c>
      <c r="H6043">
        <v>10337</v>
      </c>
      <c r="I6043" t="s">
        <v>423</v>
      </c>
      <c r="J6043" t="s">
        <v>2098</v>
      </c>
      <c r="K6043" t="s">
        <v>2057</v>
      </c>
      <c r="L6043" t="s">
        <v>2058</v>
      </c>
      <c r="M6043">
        <v>565</v>
      </c>
      <c r="N6043">
        <v>46.8</v>
      </c>
      <c r="O6043">
        <v>15819.34</v>
      </c>
      <c r="P6043">
        <v>0</v>
      </c>
      <c r="Q6043">
        <v>15819.34</v>
      </c>
      <c r="R6043">
        <v>1740.13</v>
      </c>
      <c r="S6043">
        <v>632.77</v>
      </c>
      <c r="T6043">
        <v>16926.7</v>
      </c>
      <c r="U6043" t="s">
        <v>2082</v>
      </c>
      <c r="V6043" t="s">
        <v>9409</v>
      </c>
      <c r="W6043" t="s">
        <v>423</v>
      </c>
    </row>
    <row r="6044" spans="1:23" hidden="1" x14ac:dyDescent="0.2">
      <c r="A6044">
        <v>2012</v>
      </c>
      <c r="B6044" t="s">
        <v>304</v>
      </c>
      <c r="C6044" s="733">
        <v>40941</v>
      </c>
      <c r="D60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44" t="s">
        <v>485</v>
      </c>
      <c r="F6044" t="s">
        <v>2099</v>
      </c>
      <c r="G6044" t="s">
        <v>6864</v>
      </c>
      <c r="H6044">
        <v>39902</v>
      </c>
      <c r="I6044" t="s">
        <v>423</v>
      </c>
      <c r="J6044" t="s">
        <v>2101</v>
      </c>
      <c r="K6044" t="s">
        <v>2102</v>
      </c>
      <c r="L6044" t="s">
        <v>2103</v>
      </c>
      <c r="M6044">
        <v>119</v>
      </c>
      <c r="N6044">
        <v>25</v>
      </c>
      <c r="O6044">
        <v>4193.25</v>
      </c>
      <c r="P6044">
        <v>0</v>
      </c>
      <c r="Q6044">
        <v>4193.25</v>
      </c>
      <c r="R6044">
        <v>670.92</v>
      </c>
      <c r="S6044">
        <v>167.73</v>
      </c>
      <c r="T6044">
        <v>4696.4399999999996</v>
      </c>
      <c r="V6044" t="s">
        <v>9408</v>
      </c>
      <c r="W6044" t="s">
        <v>423</v>
      </c>
    </row>
    <row r="6045" spans="1:23" x14ac:dyDescent="0.2">
      <c r="A6045">
        <v>2012</v>
      </c>
      <c r="B6045" t="s">
        <v>304</v>
      </c>
      <c r="C6045" s="733">
        <v>40967</v>
      </c>
      <c r="D60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45" t="s">
        <v>485</v>
      </c>
      <c r="F6045" t="s">
        <v>2054</v>
      </c>
      <c r="G6045" t="s">
        <v>9389</v>
      </c>
      <c r="H6045">
        <v>10581</v>
      </c>
      <c r="I6045" t="s">
        <v>423</v>
      </c>
      <c r="J6045" t="s">
        <v>2098</v>
      </c>
      <c r="K6045" t="s">
        <v>2057</v>
      </c>
      <c r="L6045" t="s">
        <v>2058</v>
      </c>
      <c r="M6045">
        <v>565</v>
      </c>
      <c r="N6045">
        <v>45.62</v>
      </c>
      <c r="O6045">
        <v>15420.47</v>
      </c>
      <c r="P6045">
        <v>0</v>
      </c>
      <c r="Q6045">
        <v>15420.47</v>
      </c>
      <c r="R6045">
        <v>1696.25</v>
      </c>
      <c r="S6045">
        <v>616.82000000000005</v>
      </c>
      <c r="T6045">
        <v>16499.900000000001</v>
      </c>
      <c r="V6045" t="s">
        <v>9409</v>
      </c>
      <c r="W6045" t="s">
        <v>423</v>
      </c>
    </row>
    <row r="6046" spans="1:23" hidden="1" x14ac:dyDescent="0.2">
      <c r="A6046">
        <v>2012</v>
      </c>
      <c r="B6046" t="s">
        <v>305</v>
      </c>
      <c r="C6046" s="733">
        <v>40971.618425925924</v>
      </c>
      <c r="D6046" s="733" t="str">
        <f>CHOOSE(MONTH(Tabla_sqldatos_bonampakdb_Bon_v_ingresos2012[[#This Row],[fecha_guia]]),"Enero","Febrero","Marzo","Abril","Mayo","Junio","Julio","Agosto","Septiembre","Octubre","Noviembre","Diciembre")</f>
        <v>Marzo</v>
      </c>
      <c r="E6046" t="s">
        <v>485</v>
      </c>
      <c r="F6046" t="s">
        <v>2054</v>
      </c>
      <c r="G6046" t="s">
        <v>9754</v>
      </c>
      <c r="H6046">
        <v>10602</v>
      </c>
      <c r="I6046" t="s">
        <v>423</v>
      </c>
      <c r="J6046" t="s">
        <v>2072</v>
      </c>
      <c r="K6046" t="s">
        <v>2057</v>
      </c>
      <c r="L6046" t="s">
        <v>2058</v>
      </c>
      <c r="M6046">
        <v>406</v>
      </c>
      <c r="N6046">
        <v>45.97</v>
      </c>
      <c r="O6046">
        <v>15538.78</v>
      </c>
      <c r="P6046">
        <v>0</v>
      </c>
      <c r="Q6046">
        <v>15538.78</v>
      </c>
      <c r="R6046">
        <v>1709.27</v>
      </c>
      <c r="S6046">
        <v>621.54999999999995</v>
      </c>
      <c r="T6046">
        <v>16626.5</v>
      </c>
      <c r="V6046" t="s">
        <v>9409</v>
      </c>
      <c r="W6046" t="s">
        <v>423</v>
      </c>
    </row>
    <row r="6047" spans="1:23" hidden="1" x14ac:dyDescent="0.2">
      <c r="A6047">
        <v>2012</v>
      </c>
      <c r="B6047" t="s">
        <v>304</v>
      </c>
      <c r="C6047" s="733">
        <v>40954.709236111114</v>
      </c>
      <c r="D60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47" t="s">
        <v>485</v>
      </c>
      <c r="F6047" t="s">
        <v>2054</v>
      </c>
      <c r="G6047" t="s">
        <v>8026</v>
      </c>
      <c r="H6047">
        <v>10424</v>
      </c>
      <c r="I6047" t="s">
        <v>423</v>
      </c>
      <c r="J6047" t="s">
        <v>2098</v>
      </c>
      <c r="K6047" t="s">
        <v>2057</v>
      </c>
      <c r="L6047" t="s">
        <v>2058</v>
      </c>
      <c r="M6047">
        <v>565</v>
      </c>
      <c r="N6047">
        <v>24.71</v>
      </c>
      <c r="O6047">
        <v>8352.4699999999993</v>
      </c>
      <c r="P6047">
        <v>0</v>
      </c>
      <c r="Q6047">
        <v>8352.4699999999993</v>
      </c>
      <c r="R6047">
        <v>918.77</v>
      </c>
      <c r="S6047">
        <v>334.1</v>
      </c>
      <c r="T6047">
        <v>8937.14</v>
      </c>
      <c r="U6047" t="s">
        <v>8047</v>
      </c>
      <c r="V6047" t="s">
        <v>9408</v>
      </c>
      <c r="W6047" t="s">
        <v>423</v>
      </c>
    </row>
    <row r="6048" spans="1:23" hidden="1" x14ac:dyDescent="0.2">
      <c r="A6048">
        <v>2012</v>
      </c>
      <c r="B6048" t="s">
        <v>303</v>
      </c>
      <c r="C6048" s="733">
        <v>40929</v>
      </c>
      <c r="D60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48" t="s">
        <v>485</v>
      </c>
      <c r="F6048" t="s">
        <v>2054</v>
      </c>
      <c r="G6048" t="s">
        <v>6404</v>
      </c>
      <c r="H6048">
        <v>10155</v>
      </c>
      <c r="I6048" t="s">
        <v>423</v>
      </c>
      <c r="J6048" t="s">
        <v>2098</v>
      </c>
      <c r="K6048" t="s">
        <v>2057</v>
      </c>
      <c r="L6048" t="s">
        <v>2058</v>
      </c>
      <c r="M6048">
        <v>565</v>
      </c>
      <c r="N6048">
        <v>23.36</v>
      </c>
      <c r="O6048">
        <v>7896.15</v>
      </c>
      <c r="P6048">
        <v>0</v>
      </c>
      <c r="Q6048">
        <v>7896.15</v>
      </c>
      <c r="R6048">
        <v>1263.3800000000001</v>
      </c>
      <c r="S6048">
        <v>315.85000000000002</v>
      </c>
      <c r="T6048">
        <v>8843.68</v>
      </c>
      <c r="U6048" t="s">
        <v>2077</v>
      </c>
      <c r="V6048" t="s">
        <v>9408</v>
      </c>
      <c r="W6048" t="s">
        <v>423</v>
      </c>
    </row>
    <row r="6049" spans="1:23" hidden="1" x14ac:dyDescent="0.2">
      <c r="A6049">
        <v>2012</v>
      </c>
      <c r="B6049" t="s">
        <v>304</v>
      </c>
      <c r="C6049" s="733">
        <v>40955.56417824074</v>
      </c>
      <c r="D60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49" t="s">
        <v>485</v>
      </c>
      <c r="F6049" t="s">
        <v>2054</v>
      </c>
      <c r="G6049" t="s">
        <v>8031</v>
      </c>
      <c r="H6049">
        <v>10457</v>
      </c>
      <c r="I6049" t="s">
        <v>423</v>
      </c>
      <c r="J6049" t="s">
        <v>2098</v>
      </c>
      <c r="K6049" t="s">
        <v>2057</v>
      </c>
      <c r="L6049" t="s">
        <v>2058</v>
      </c>
      <c r="M6049">
        <v>565</v>
      </c>
      <c r="N6049">
        <v>31.1</v>
      </c>
      <c r="O6049">
        <v>10512.42</v>
      </c>
      <c r="P6049">
        <v>0</v>
      </c>
      <c r="Q6049">
        <v>10512.42</v>
      </c>
      <c r="R6049">
        <v>1156.3699999999999</v>
      </c>
      <c r="S6049">
        <v>420.5</v>
      </c>
      <c r="T6049">
        <v>11248.29</v>
      </c>
      <c r="U6049" t="s">
        <v>8864</v>
      </c>
      <c r="V6049" t="s">
        <v>9408</v>
      </c>
      <c r="W6049" t="s">
        <v>423</v>
      </c>
    </row>
    <row r="6050" spans="1:23" hidden="1" x14ac:dyDescent="0.2">
      <c r="A6050">
        <v>2012</v>
      </c>
      <c r="B6050" t="s">
        <v>304</v>
      </c>
      <c r="C6050" s="733">
        <v>40941</v>
      </c>
      <c r="D60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50" t="s">
        <v>485</v>
      </c>
      <c r="F6050" t="s">
        <v>2054</v>
      </c>
      <c r="G6050" t="s">
        <v>6097</v>
      </c>
      <c r="H6050">
        <v>10275</v>
      </c>
      <c r="I6050" t="s">
        <v>423</v>
      </c>
      <c r="J6050" t="s">
        <v>2098</v>
      </c>
      <c r="K6050" t="s">
        <v>2057</v>
      </c>
      <c r="L6050" t="s">
        <v>2058</v>
      </c>
      <c r="M6050">
        <v>565</v>
      </c>
      <c r="N6050">
        <v>47.86</v>
      </c>
      <c r="O6050">
        <v>16177.64</v>
      </c>
      <c r="P6050">
        <v>0</v>
      </c>
      <c r="Q6050">
        <v>16177.64</v>
      </c>
      <c r="R6050">
        <v>2588.42</v>
      </c>
      <c r="S6050">
        <v>647.11</v>
      </c>
      <c r="T6050">
        <v>18118.95</v>
      </c>
      <c r="U6050" t="s">
        <v>2075</v>
      </c>
      <c r="V6050" t="s">
        <v>9409</v>
      </c>
      <c r="W6050" t="s">
        <v>423</v>
      </c>
    </row>
    <row r="6051" spans="1:23" hidden="1" x14ac:dyDescent="0.2">
      <c r="A6051">
        <v>2012</v>
      </c>
      <c r="B6051" t="s">
        <v>305</v>
      </c>
      <c r="C6051" s="733">
        <v>40971</v>
      </c>
      <c r="D6051" s="733" t="str">
        <f>CHOOSE(MONTH(Tabla_sqldatos_bonampakdb_Bon_v_ingresos2012[[#This Row],[fecha_guia]]),"Enero","Febrero","Marzo","Abril","Mayo","Junio","Julio","Agosto","Septiembre","Octubre","Noviembre","Diciembre")</f>
        <v>Marzo</v>
      </c>
      <c r="E6051" t="s">
        <v>485</v>
      </c>
      <c r="F6051" t="s">
        <v>2054</v>
      </c>
      <c r="G6051" t="s">
        <v>9755</v>
      </c>
      <c r="H6051">
        <v>10636</v>
      </c>
      <c r="I6051" t="s">
        <v>423</v>
      </c>
      <c r="J6051" t="s">
        <v>4733</v>
      </c>
      <c r="K6051" t="s">
        <v>2057</v>
      </c>
      <c r="L6051" t="s">
        <v>2058</v>
      </c>
      <c r="M6051">
        <v>184</v>
      </c>
      <c r="N6051">
        <v>23.26</v>
      </c>
      <c r="O6051">
        <v>7862.35</v>
      </c>
      <c r="P6051">
        <v>0</v>
      </c>
      <c r="Q6051">
        <v>7862.35</v>
      </c>
      <c r="R6051">
        <v>864.86</v>
      </c>
      <c r="S6051">
        <v>314.49</v>
      </c>
      <c r="T6051">
        <v>8412.7199999999993</v>
      </c>
      <c r="V6051" t="s">
        <v>9408</v>
      </c>
      <c r="W6051" t="s">
        <v>423</v>
      </c>
    </row>
    <row r="6052" spans="1:23" hidden="1" x14ac:dyDescent="0.2">
      <c r="A6052">
        <v>2012</v>
      </c>
      <c r="B6052" t="s">
        <v>303</v>
      </c>
      <c r="C6052" s="733">
        <v>40926</v>
      </c>
      <c r="D60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52" t="s">
        <v>485</v>
      </c>
      <c r="F6052" t="s">
        <v>2099</v>
      </c>
      <c r="G6052" t="s">
        <v>2753</v>
      </c>
      <c r="H6052">
        <v>40501</v>
      </c>
      <c r="I6052" t="s">
        <v>423</v>
      </c>
      <c r="J6052" t="s">
        <v>2101</v>
      </c>
      <c r="K6052" t="s">
        <v>2102</v>
      </c>
      <c r="L6052" t="s">
        <v>2103</v>
      </c>
      <c r="M6052">
        <v>119</v>
      </c>
      <c r="N6052">
        <v>24.04</v>
      </c>
      <c r="O6052">
        <v>4032.23</v>
      </c>
      <c r="P6052">
        <v>0</v>
      </c>
      <c r="Q6052">
        <v>4032.23</v>
      </c>
      <c r="R6052">
        <v>645.16</v>
      </c>
      <c r="S6052">
        <v>161.29</v>
      </c>
      <c r="T6052">
        <v>4516.1000000000004</v>
      </c>
      <c r="U6052" t="s">
        <v>2106</v>
      </c>
      <c r="V6052" t="s">
        <v>9408</v>
      </c>
      <c r="W6052" t="s">
        <v>423</v>
      </c>
    </row>
    <row r="6053" spans="1:23" hidden="1" x14ac:dyDescent="0.2">
      <c r="A6053">
        <v>2012</v>
      </c>
      <c r="B6053" t="s">
        <v>304</v>
      </c>
      <c r="C6053" s="733">
        <v>40953</v>
      </c>
      <c r="D60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53" t="s">
        <v>478</v>
      </c>
      <c r="F6053" t="s">
        <v>2136</v>
      </c>
      <c r="G6053" t="s">
        <v>6863</v>
      </c>
      <c r="H6053">
        <v>35495</v>
      </c>
      <c r="I6053" t="s">
        <v>423</v>
      </c>
      <c r="J6053" t="s">
        <v>5384</v>
      </c>
      <c r="K6053" t="s">
        <v>425</v>
      </c>
      <c r="L6053" t="s">
        <v>2145</v>
      </c>
      <c r="M6053">
        <v>1472</v>
      </c>
      <c r="N6053">
        <v>26.39</v>
      </c>
      <c r="O6053">
        <v>18850.11</v>
      </c>
      <c r="P6053">
        <v>0</v>
      </c>
      <c r="Q6053">
        <v>18850.11</v>
      </c>
      <c r="R6053">
        <v>3016.02</v>
      </c>
      <c r="S6053">
        <v>754</v>
      </c>
      <c r="T6053">
        <v>21112.13</v>
      </c>
      <c r="U6053" t="s">
        <v>9430</v>
      </c>
      <c r="V6053" t="s">
        <v>9408</v>
      </c>
      <c r="W6053" t="s">
        <v>423</v>
      </c>
    </row>
    <row r="6054" spans="1:23" hidden="1" x14ac:dyDescent="0.2">
      <c r="A6054">
        <v>2012</v>
      </c>
      <c r="B6054" t="s">
        <v>303</v>
      </c>
      <c r="C6054" s="733">
        <v>40919</v>
      </c>
      <c r="D60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54" t="s">
        <v>485</v>
      </c>
      <c r="F6054" t="s">
        <v>2054</v>
      </c>
      <c r="G6054" t="s">
        <v>6345</v>
      </c>
      <c r="H6054">
        <v>9965</v>
      </c>
      <c r="I6054" t="s">
        <v>423</v>
      </c>
      <c r="J6054" t="s">
        <v>2098</v>
      </c>
      <c r="K6054" t="s">
        <v>2057</v>
      </c>
      <c r="L6054" t="s">
        <v>2058</v>
      </c>
      <c r="M6054">
        <v>565</v>
      </c>
      <c r="N6054">
        <v>30.13</v>
      </c>
      <c r="O6054">
        <v>10184.540000000001</v>
      </c>
      <c r="P6054">
        <v>0</v>
      </c>
      <c r="Q6054">
        <v>10184.540000000001</v>
      </c>
      <c r="R6054">
        <v>1629.53</v>
      </c>
      <c r="S6054">
        <v>407.38</v>
      </c>
      <c r="T6054">
        <v>11406.69</v>
      </c>
      <c r="U6054" t="s">
        <v>2070</v>
      </c>
      <c r="V6054" t="s">
        <v>9408</v>
      </c>
      <c r="W6054" t="s">
        <v>423</v>
      </c>
    </row>
    <row r="6055" spans="1:23" hidden="1" x14ac:dyDescent="0.2">
      <c r="A6055">
        <v>2012</v>
      </c>
      <c r="B6055" t="s">
        <v>304</v>
      </c>
      <c r="C6055" s="733">
        <v>40966</v>
      </c>
      <c r="D60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55" t="s">
        <v>485</v>
      </c>
      <c r="F6055" t="s">
        <v>2054</v>
      </c>
      <c r="G6055" t="s">
        <v>9390</v>
      </c>
      <c r="H6055">
        <v>10515</v>
      </c>
      <c r="I6055" t="s">
        <v>423</v>
      </c>
      <c r="J6055" t="s">
        <v>4045</v>
      </c>
      <c r="K6055" t="s">
        <v>2057</v>
      </c>
      <c r="L6055" t="s">
        <v>2058</v>
      </c>
      <c r="M6055">
        <v>0</v>
      </c>
      <c r="N6055">
        <v>23.7</v>
      </c>
      <c r="O6055">
        <v>8011.07</v>
      </c>
      <c r="P6055">
        <v>0</v>
      </c>
      <c r="Q6055">
        <v>8011.07</v>
      </c>
      <c r="R6055">
        <v>881.22</v>
      </c>
      <c r="S6055">
        <v>320.44</v>
      </c>
      <c r="T6055">
        <v>8571.85</v>
      </c>
      <c r="U6055" t="s">
        <v>8864</v>
      </c>
      <c r="V6055" t="s">
        <v>9408</v>
      </c>
      <c r="W6055" t="s">
        <v>423</v>
      </c>
    </row>
    <row r="6056" spans="1:23" hidden="1" x14ac:dyDescent="0.2">
      <c r="A6056">
        <v>2012</v>
      </c>
      <c r="B6056" t="s">
        <v>303</v>
      </c>
      <c r="C6056" s="733">
        <v>40919</v>
      </c>
      <c r="D60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56" t="s">
        <v>485</v>
      </c>
      <c r="F6056" t="s">
        <v>2054</v>
      </c>
      <c r="G6056" t="s">
        <v>6405</v>
      </c>
      <c r="H6056">
        <v>9959</v>
      </c>
      <c r="I6056" t="s">
        <v>423</v>
      </c>
      <c r="J6056" t="s">
        <v>4733</v>
      </c>
      <c r="K6056" t="s">
        <v>2057</v>
      </c>
      <c r="L6056" t="s">
        <v>2058</v>
      </c>
      <c r="M6056">
        <v>184</v>
      </c>
      <c r="N6056">
        <v>24.02</v>
      </c>
      <c r="O6056">
        <v>8119.24</v>
      </c>
      <c r="P6056">
        <v>0</v>
      </c>
      <c r="Q6056">
        <v>8119.24</v>
      </c>
      <c r="R6056">
        <v>1299.08</v>
      </c>
      <c r="S6056">
        <v>324.77</v>
      </c>
      <c r="T6056">
        <v>9093.5499999999993</v>
      </c>
      <c r="U6056" t="s">
        <v>2070</v>
      </c>
      <c r="V6056" t="s">
        <v>9408</v>
      </c>
      <c r="W6056" t="s">
        <v>423</v>
      </c>
    </row>
    <row r="6057" spans="1:23" hidden="1" x14ac:dyDescent="0.2">
      <c r="A6057">
        <v>2012</v>
      </c>
      <c r="B6057" t="s">
        <v>304</v>
      </c>
      <c r="C6057" s="733">
        <v>40959</v>
      </c>
      <c r="D60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57" t="s">
        <v>505</v>
      </c>
      <c r="F6057" t="s">
        <v>1915</v>
      </c>
      <c r="G6057" t="s">
        <v>8035</v>
      </c>
      <c r="H6057">
        <v>22805</v>
      </c>
      <c r="I6057" t="s">
        <v>1979</v>
      </c>
      <c r="J6057" t="s">
        <v>5363</v>
      </c>
      <c r="K6057" t="s">
        <v>1918</v>
      </c>
      <c r="L6057" t="s">
        <v>1919</v>
      </c>
      <c r="M6057">
        <v>856</v>
      </c>
      <c r="N6057">
        <v>26.92</v>
      </c>
      <c r="O6057">
        <v>13648.44</v>
      </c>
      <c r="P6057">
        <v>0</v>
      </c>
      <c r="Q6057">
        <v>13648.44</v>
      </c>
      <c r="R6057">
        <v>2183.75</v>
      </c>
      <c r="S6057">
        <v>545.94000000000005</v>
      </c>
      <c r="T6057">
        <v>15286.25</v>
      </c>
      <c r="U6057" t="s">
        <v>8491</v>
      </c>
      <c r="V6057" t="s">
        <v>9408</v>
      </c>
      <c r="W6057" t="s">
        <v>1979</v>
      </c>
    </row>
    <row r="6058" spans="1:23" hidden="1" x14ac:dyDescent="0.2">
      <c r="A6058">
        <v>2012</v>
      </c>
      <c r="B6058" t="s">
        <v>303</v>
      </c>
      <c r="C6058" s="733">
        <v>40926</v>
      </c>
      <c r="D60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58" t="s">
        <v>485</v>
      </c>
      <c r="F6058" t="s">
        <v>2084</v>
      </c>
      <c r="G6058" t="s">
        <v>6114</v>
      </c>
      <c r="H6058">
        <v>40266</v>
      </c>
      <c r="I6058" t="s">
        <v>423</v>
      </c>
      <c r="J6058" t="s">
        <v>2813</v>
      </c>
      <c r="K6058" t="s">
        <v>2814</v>
      </c>
      <c r="L6058" t="s">
        <v>2815</v>
      </c>
      <c r="M6058">
        <v>365</v>
      </c>
      <c r="N6058">
        <v>29.736999999999998</v>
      </c>
      <c r="O6058">
        <v>8004.61</v>
      </c>
      <c r="P6058">
        <v>0</v>
      </c>
      <c r="Q6058">
        <v>8004.61</v>
      </c>
      <c r="R6058">
        <v>1280.74</v>
      </c>
      <c r="S6058">
        <v>320.18</v>
      </c>
      <c r="T6058">
        <v>8965.17</v>
      </c>
      <c r="U6058" t="s">
        <v>2824</v>
      </c>
      <c r="V6058" t="s">
        <v>9408</v>
      </c>
      <c r="W6058" t="s">
        <v>423</v>
      </c>
    </row>
    <row r="6059" spans="1:23" x14ac:dyDescent="0.2">
      <c r="A6059">
        <v>2012</v>
      </c>
      <c r="B6059" t="s">
        <v>304</v>
      </c>
      <c r="C6059" s="733">
        <v>40968</v>
      </c>
      <c r="D60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59" t="s">
        <v>485</v>
      </c>
      <c r="F6059" t="s">
        <v>2084</v>
      </c>
      <c r="G6059" t="s">
        <v>9638</v>
      </c>
      <c r="H6059">
        <v>41819</v>
      </c>
      <c r="I6059" t="s">
        <v>423</v>
      </c>
      <c r="J6059" t="s">
        <v>2813</v>
      </c>
      <c r="K6059" t="s">
        <v>2814</v>
      </c>
      <c r="L6059" t="s">
        <v>2815</v>
      </c>
      <c r="M6059">
        <v>365</v>
      </c>
      <c r="N6059">
        <v>24.103999999999999</v>
      </c>
      <c r="O6059">
        <v>6488.31</v>
      </c>
      <c r="P6059">
        <v>0</v>
      </c>
      <c r="Q6059">
        <v>6488.31</v>
      </c>
      <c r="R6059">
        <v>713.71</v>
      </c>
      <c r="S6059">
        <v>259.52999999999997</v>
      </c>
      <c r="T6059">
        <v>6942.49</v>
      </c>
      <c r="V6059" t="s">
        <v>9408</v>
      </c>
      <c r="W6059" t="s">
        <v>423</v>
      </c>
    </row>
    <row r="6060" spans="1:23" hidden="1" x14ac:dyDescent="0.2">
      <c r="A6060">
        <v>2012</v>
      </c>
      <c r="B6060" t="s">
        <v>304</v>
      </c>
      <c r="C6060" s="733">
        <v>40962</v>
      </c>
      <c r="D60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60" t="s">
        <v>478</v>
      </c>
      <c r="F6060" t="s">
        <v>2136</v>
      </c>
      <c r="G6060" t="s">
        <v>8569</v>
      </c>
      <c r="H6060">
        <v>35804</v>
      </c>
      <c r="I6060" t="s">
        <v>423</v>
      </c>
      <c r="J6060" t="s">
        <v>4282</v>
      </c>
      <c r="K6060" t="s">
        <v>425</v>
      </c>
      <c r="L6060" t="s">
        <v>2145</v>
      </c>
      <c r="M6060">
        <v>1405</v>
      </c>
      <c r="N6060">
        <v>44.13</v>
      </c>
      <c r="O6060">
        <v>44545.7</v>
      </c>
      <c r="P6060">
        <v>0</v>
      </c>
      <c r="Q6060">
        <v>44545.7</v>
      </c>
      <c r="R6060">
        <v>7127.31</v>
      </c>
      <c r="S6060">
        <v>1781.83</v>
      </c>
      <c r="T6060">
        <v>49891.18</v>
      </c>
      <c r="U6060" t="s">
        <v>9430</v>
      </c>
      <c r="V6060" t="s">
        <v>9409</v>
      </c>
      <c r="W6060" t="s">
        <v>423</v>
      </c>
    </row>
    <row r="6061" spans="1:23" hidden="1" x14ac:dyDescent="0.2">
      <c r="A6061">
        <v>2012</v>
      </c>
      <c r="B6061" t="s">
        <v>304</v>
      </c>
      <c r="C6061" s="733">
        <v>40940</v>
      </c>
      <c r="D60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61" t="s">
        <v>485</v>
      </c>
      <c r="F6061" t="s">
        <v>2065</v>
      </c>
      <c r="G6061" t="s">
        <v>3127</v>
      </c>
      <c r="H6061">
        <v>41180</v>
      </c>
      <c r="I6061" t="s">
        <v>423</v>
      </c>
      <c r="J6061" t="s">
        <v>2186</v>
      </c>
      <c r="K6061" t="s">
        <v>2183</v>
      </c>
      <c r="L6061" t="s">
        <v>2184</v>
      </c>
      <c r="M6061">
        <v>19</v>
      </c>
      <c r="N6061">
        <v>16.54</v>
      </c>
      <c r="O6061">
        <v>1866.87</v>
      </c>
      <c r="P6061">
        <v>0</v>
      </c>
      <c r="Q6061">
        <v>1866.87</v>
      </c>
      <c r="R6061">
        <v>298.7</v>
      </c>
      <c r="S6061">
        <v>74.67</v>
      </c>
      <c r="T6061">
        <v>2090.9</v>
      </c>
      <c r="U6061" t="s">
        <v>2192</v>
      </c>
      <c r="V6061" t="s">
        <v>9408</v>
      </c>
      <c r="W6061" t="s">
        <v>423</v>
      </c>
    </row>
    <row r="6062" spans="1:23" hidden="1" x14ac:dyDescent="0.2">
      <c r="A6062">
        <v>2012</v>
      </c>
      <c r="B6062" t="s">
        <v>304</v>
      </c>
      <c r="C6062" s="733">
        <v>40961</v>
      </c>
      <c r="D60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62" t="s">
        <v>485</v>
      </c>
      <c r="F6062" t="s">
        <v>2065</v>
      </c>
      <c r="G6062" t="s">
        <v>8328</v>
      </c>
      <c r="H6062">
        <v>42370</v>
      </c>
      <c r="I6062" t="s">
        <v>423</v>
      </c>
      <c r="J6062" t="s">
        <v>2186</v>
      </c>
      <c r="K6062" t="s">
        <v>2183</v>
      </c>
      <c r="L6062" t="s">
        <v>2184</v>
      </c>
      <c r="M6062">
        <v>19</v>
      </c>
      <c r="N6062">
        <v>15.56</v>
      </c>
      <c r="O6062">
        <v>1756.26</v>
      </c>
      <c r="P6062">
        <v>0</v>
      </c>
      <c r="Q6062">
        <v>1756.26</v>
      </c>
      <c r="R6062">
        <v>281</v>
      </c>
      <c r="S6062">
        <v>70.25</v>
      </c>
      <c r="T6062">
        <v>1967.01</v>
      </c>
      <c r="U6062" t="s">
        <v>9411</v>
      </c>
      <c r="V6062" t="s">
        <v>9408</v>
      </c>
      <c r="W6062" t="s">
        <v>423</v>
      </c>
    </row>
    <row r="6063" spans="1:23" hidden="1" x14ac:dyDescent="0.2">
      <c r="A6063">
        <v>2012</v>
      </c>
      <c r="B6063" t="s">
        <v>304</v>
      </c>
      <c r="C6063" s="733">
        <v>40955</v>
      </c>
      <c r="D60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63" t="s">
        <v>478</v>
      </c>
      <c r="F6063" t="s">
        <v>3358</v>
      </c>
      <c r="G6063" t="s">
        <v>7779</v>
      </c>
      <c r="H6063">
        <v>35512</v>
      </c>
      <c r="I6063" t="s">
        <v>423</v>
      </c>
      <c r="J6063" t="s">
        <v>4661</v>
      </c>
      <c r="K6063" t="s">
        <v>4397</v>
      </c>
      <c r="L6063" t="s">
        <v>4398</v>
      </c>
      <c r="M6063">
        <v>241</v>
      </c>
      <c r="N6063">
        <v>23.06</v>
      </c>
      <c r="O6063">
        <v>4328.13</v>
      </c>
      <c r="P6063">
        <v>0</v>
      </c>
      <c r="Q6063">
        <v>4328.13</v>
      </c>
      <c r="R6063">
        <v>692.5</v>
      </c>
      <c r="S6063">
        <v>173.13</v>
      </c>
      <c r="T6063">
        <v>4847.5</v>
      </c>
      <c r="U6063" t="s">
        <v>7540</v>
      </c>
      <c r="V6063" t="s">
        <v>9408</v>
      </c>
      <c r="W6063" t="s">
        <v>423</v>
      </c>
    </row>
    <row r="6064" spans="1:23" hidden="1" x14ac:dyDescent="0.2">
      <c r="A6064">
        <v>2012</v>
      </c>
      <c r="B6064" t="s">
        <v>304</v>
      </c>
      <c r="C6064" s="733">
        <v>40953</v>
      </c>
      <c r="D60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64" t="s">
        <v>478</v>
      </c>
      <c r="F6064" t="s">
        <v>2136</v>
      </c>
      <c r="G6064" t="s">
        <v>7073</v>
      </c>
      <c r="H6064">
        <v>35565</v>
      </c>
      <c r="I6064" t="s">
        <v>423</v>
      </c>
      <c r="J6064" t="s">
        <v>4285</v>
      </c>
      <c r="K6064" t="s">
        <v>425</v>
      </c>
      <c r="L6064" t="s">
        <v>2145</v>
      </c>
      <c r="M6064">
        <v>110</v>
      </c>
      <c r="N6064">
        <v>19.89</v>
      </c>
      <c r="O6064">
        <v>3322.03</v>
      </c>
      <c r="P6064">
        <v>0</v>
      </c>
      <c r="Q6064">
        <v>3322.03</v>
      </c>
      <c r="R6064">
        <v>531.52</v>
      </c>
      <c r="S6064">
        <v>132.88</v>
      </c>
      <c r="T6064">
        <v>3720.67</v>
      </c>
      <c r="U6064" t="s">
        <v>7523</v>
      </c>
      <c r="V6064" t="s">
        <v>9409</v>
      </c>
      <c r="W6064" t="s">
        <v>423</v>
      </c>
    </row>
    <row r="6065" spans="1:23" hidden="1" x14ac:dyDescent="0.2">
      <c r="A6065">
        <v>2012</v>
      </c>
      <c r="B6065" t="s">
        <v>303</v>
      </c>
      <c r="C6065" s="733">
        <v>40918</v>
      </c>
      <c r="D60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65" t="s">
        <v>478</v>
      </c>
      <c r="F6065" t="s">
        <v>2136</v>
      </c>
      <c r="G6065" t="s">
        <v>2349</v>
      </c>
      <c r="H6065">
        <v>34247</v>
      </c>
      <c r="I6065" t="s">
        <v>423</v>
      </c>
      <c r="J6065" t="s">
        <v>2144</v>
      </c>
      <c r="K6065" t="s">
        <v>425</v>
      </c>
      <c r="L6065" t="s">
        <v>2145</v>
      </c>
      <c r="M6065">
        <v>1354</v>
      </c>
      <c r="N6065">
        <v>51.47</v>
      </c>
      <c r="O6065">
        <v>46672.480000000003</v>
      </c>
      <c r="P6065">
        <v>0</v>
      </c>
      <c r="Q6065">
        <v>46672.480000000003</v>
      </c>
      <c r="R6065">
        <v>7467.6</v>
      </c>
      <c r="S6065">
        <v>1866.9</v>
      </c>
      <c r="T6065">
        <v>52273.18</v>
      </c>
      <c r="U6065" t="s">
        <v>2350</v>
      </c>
      <c r="V6065" t="s">
        <v>9409</v>
      </c>
      <c r="W6065" t="s">
        <v>423</v>
      </c>
    </row>
    <row r="6066" spans="1:23" hidden="1" x14ac:dyDescent="0.2">
      <c r="A6066">
        <v>2012</v>
      </c>
      <c r="B6066" t="s">
        <v>303</v>
      </c>
      <c r="C6066" s="733">
        <v>40927</v>
      </c>
      <c r="D60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66" t="s">
        <v>478</v>
      </c>
      <c r="F6066" t="s">
        <v>2136</v>
      </c>
      <c r="G6066" t="s">
        <v>7061</v>
      </c>
      <c r="H6066">
        <v>34518</v>
      </c>
      <c r="I6066" t="s">
        <v>423</v>
      </c>
      <c r="J6066" t="s">
        <v>2144</v>
      </c>
      <c r="K6066" t="s">
        <v>425</v>
      </c>
      <c r="L6066" t="s">
        <v>2145</v>
      </c>
      <c r="M6066">
        <v>1354</v>
      </c>
      <c r="N6066">
        <v>43.95</v>
      </c>
      <c r="O6066">
        <v>39853.42</v>
      </c>
      <c r="P6066">
        <v>0</v>
      </c>
      <c r="Q6066">
        <v>39853.42</v>
      </c>
      <c r="R6066">
        <v>6376.55</v>
      </c>
      <c r="S6066">
        <v>1594.14</v>
      </c>
      <c r="T6066">
        <v>44635.83</v>
      </c>
      <c r="U6066" t="s">
        <v>2146</v>
      </c>
      <c r="V6066" t="s">
        <v>9409</v>
      </c>
      <c r="W6066" t="s">
        <v>423</v>
      </c>
    </row>
    <row r="6067" spans="1:23" hidden="1" x14ac:dyDescent="0.2">
      <c r="A6067">
        <v>2012</v>
      </c>
      <c r="B6067" t="s">
        <v>304</v>
      </c>
      <c r="C6067" s="733">
        <v>40963</v>
      </c>
      <c r="D60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67" t="s">
        <v>478</v>
      </c>
      <c r="F6067" t="s">
        <v>2622</v>
      </c>
      <c r="G6067" t="s">
        <v>9192</v>
      </c>
      <c r="H6067">
        <v>35896</v>
      </c>
      <c r="I6067" t="s">
        <v>423</v>
      </c>
      <c r="J6067" t="s">
        <v>2624</v>
      </c>
      <c r="K6067" t="s">
        <v>2625</v>
      </c>
      <c r="L6067" t="s">
        <v>2626</v>
      </c>
      <c r="M6067">
        <v>10</v>
      </c>
      <c r="N6067">
        <v>24.31</v>
      </c>
      <c r="O6067">
        <v>2743.38</v>
      </c>
      <c r="P6067">
        <v>0</v>
      </c>
      <c r="Q6067">
        <v>2743.38</v>
      </c>
      <c r="R6067">
        <v>438.94</v>
      </c>
      <c r="S6067">
        <v>109.74</v>
      </c>
      <c r="T6067">
        <v>3072.58</v>
      </c>
      <c r="U6067" t="s">
        <v>9428</v>
      </c>
      <c r="V6067" t="s">
        <v>9408</v>
      </c>
      <c r="W6067" t="s">
        <v>423</v>
      </c>
    </row>
    <row r="6068" spans="1:23" hidden="1" x14ac:dyDescent="0.2">
      <c r="A6068">
        <v>2012</v>
      </c>
      <c r="B6068" t="s">
        <v>303</v>
      </c>
      <c r="C6068" s="733">
        <v>40939.461597222224</v>
      </c>
      <c r="D60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68" t="s">
        <v>478</v>
      </c>
      <c r="F6068" t="s">
        <v>2622</v>
      </c>
      <c r="G6068" t="s">
        <v>6355</v>
      </c>
      <c r="H6068">
        <v>35100</v>
      </c>
      <c r="I6068" t="s">
        <v>423</v>
      </c>
      <c r="J6068" t="s">
        <v>2624</v>
      </c>
      <c r="K6068" t="s">
        <v>2625</v>
      </c>
      <c r="L6068" t="s">
        <v>2626</v>
      </c>
      <c r="M6068">
        <v>10</v>
      </c>
      <c r="N6068">
        <v>26.01</v>
      </c>
      <c r="O6068">
        <v>2935.23</v>
      </c>
      <c r="P6068">
        <v>0</v>
      </c>
      <c r="Q6068">
        <v>2935.23</v>
      </c>
      <c r="R6068">
        <v>469.64</v>
      </c>
      <c r="S6068">
        <v>117.41</v>
      </c>
      <c r="T6068">
        <v>3287.46</v>
      </c>
      <c r="U6068" t="s">
        <v>2648</v>
      </c>
      <c r="V6068" t="s">
        <v>9408</v>
      </c>
      <c r="W6068" t="s">
        <v>423</v>
      </c>
    </row>
    <row r="6069" spans="1:23" hidden="1" x14ac:dyDescent="0.2">
      <c r="A6069">
        <v>2012</v>
      </c>
      <c r="B6069" t="s">
        <v>303</v>
      </c>
      <c r="C6069" s="733">
        <v>40939.465648148151</v>
      </c>
      <c r="D60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69" t="s">
        <v>478</v>
      </c>
      <c r="F6069" t="s">
        <v>2622</v>
      </c>
      <c r="G6069" t="s">
        <v>6356</v>
      </c>
      <c r="H6069">
        <v>35103</v>
      </c>
      <c r="I6069" t="s">
        <v>423</v>
      </c>
      <c r="J6069" t="s">
        <v>2624</v>
      </c>
      <c r="K6069" t="s">
        <v>2625</v>
      </c>
      <c r="L6069" t="s">
        <v>2626</v>
      </c>
      <c r="M6069">
        <v>10</v>
      </c>
      <c r="N6069">
        <v>24.91</v>
      </c>
      <c r="O6069">
        <v>2811.09</v>
      </c>
      <c r="P6069">
        <v>0</v>
      </c>
      <c r="Q6069">
        <v>2811.09</v>
      </c>
      <c r="R6069">
        <v>449.77</v>
      </c>
      <c r="S6069">
        <v>112.44</v>
      </c>
      <c r="T6069">
        <v>3148.42</v>
      </c>
      <c r="U6069" t="s">
        <v>2630</v>
      </c>
      <c r="V6069" t="s">
        <v>9408</v>
      </c>
      <c r="W6069" t="s">
        <v>423</v>
      </c>
    </row>
    <row r="6070" spans="1:23" hidden="1" x14ac:dyDescent="0.2">
      <c r="A6070">
        <v>2012</v>
      </c>
      <c r="B6070" t="s">
        <v>303</v>
      </c>
      <c r="C6070" s="733">
        <v>40939.455555555556</v>
      </c>
      <c r="D60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70" t="s">
        <v>478</v>
      </c>
      <c r="F6070" t="s">
        <v>2622</v>
      </c>
      <c r="G6070" t="s">
        <v>6351</v>
      </c>
      <c r="H6070">
        <v>35097</v>
      </c>
      <c r="I6070" t="s">
        <v>423</v>
      </c>
      <c r="J6070" t="s">
        <v>2624</v>
      </c>
      <c r="K6070" t="s">
        <v>2625</v>
      </c>
      <c r="L6070" t="s">
        <v>2626</v>
      </c>
      <c r="M6070">
        <v>10</v>
      </c>
      <c r="N6070">
        <v>25.33</v>
      </c>
      <c r="O6070">
        <v>2858.49</v>
      </c>
      <c r="P6070">
        <v>0</v>
      </c>
      <c r="Q6070">
        <v>2858.49</v>
      </c>
      <c r="R6070">
        <v>457.36</v>
      </c>
      <c r="S6070">
        <v>114.34</v>
      </c>
      <c r="T6070">
        <v>3201.51</v>
      </c>
      <c r="U6070" t="s">
        <v>2648</v>
      </c>
      <c r="V6070" t="s">
        <v>9408</v>
      </c>
      <c r="W6070" t="s">
        <v>423</v>
      </c>
    </row>
    <row r="6071" spans="1:23" hidden="1" x14ac:dyDescent="0.2">
      <c r="A6071">
        <v>2012</v>
      </c>
      <c r="B6071" t="s">
        <v>304</v>
      </c>
      <c r="C6071" s="733">
        <v>40963.407326388886</v>
      </c>
      <c r="D60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71" t="s">
        <v>478</v>
      </c>
      <c r="F6071" t="s">
        <v>2622</v>
      </c>
      <c r="G6071" t="s">
        <v>9196</v>
      </c>
      <c r="H6071">
        <v>35984</v>
      </c>
      <c r="I6071" t="s">
        <v>423</v>
      </c>
      <c r="J6071" t="s">
        <v>2668</v>
      </c>
      <c r="K6071" t="s">
        <v>2625</v>
      </c>
      <c r="L6071" t="s">
        <v>2626</v>
      </c>
      <c r="M6071">
        <v>76</v>
      </c>
      <c r="N6071">
        <v>24.61</v>
      </c>
      <c r="O6071">
        <v>2777.24</v>
      </c>
      <c r="P6071">
        <v>0</v>
      </c>
      <c r="Q6071">
        <v>2777.24</v>
      </c>
      <c r="R6071">
        <v>444.36</v>
      </c>
      <c r="S6071">
        <v>111.09</v>
      </c>
      <c r="T6071">
        <v>3110.51</v>
      </c>
      <c r="U6071" t="s">
        <v>9428</v>
      </c>
      <c r="V6071" t="s">
        <v>9408</v>
      </c>
      <c r="W6071" t="s">
        <v>423</v>
      </c>
    </row>
    <row r="6072" spans="1:23" hidden="1" x14ac:dyDescent="0.2">
      <c r="A6072">
        <v>2012</v>
      </c>
      <c r="B6072" t="s">
        <v>303</v>
      </c>
      <c r="C6072" s="733">
        <v>40924.948298611111</v>
      </c>
      <c r="D60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72" t="s">
        <v>478</v>
      </c>
      <c r="F6072" t="s">
        <v>2622</v>
      </c>
      <c r="G6072" t="s">
        <v>6378</v>
      </c>
      <c r="H6072">
        <v>34582</v>
      </c>
      <c r="I6072" t="s">
        <v>423</v>
      </c>
      <c r="J6072" t="s">
        <v>2668</v>
      </c>
      <c r="K6072" t="s">
        <v>2625</v>
      </c>
      <c r="L6072" t="s">
        <v>2626</v>
      </c>
      <c r="M6072">
        <v>76</v>
      </c>
      <c r="N6072">
        <v>26.04</v>
      </c>
      <c r="O6072">
        <v>2938.61</v>
      </c>
      <c r="P6072">
        <v>0</v>
      </c>
      <c r="Q6072">
        <v>2938.61</v>
      </c>
      <c r="R6072">
        <v>470.18</v>
      </c>
      <c r="S6072">
        <v>117.54</v>
      </c>
      <c r="T6072">
        <v>3291.25</v>
      </c>
      <c r="U6072" t="s">
        <v>2627</v>
      </c>
      <c r="V6072" t="s">
        <v>9408</v>
      </c>
      <c r="W6072" t="s">
        <v>423</v>
      </c>
    </row>
    <row r="6073" spans="1:23" hidden="1" x14ac:dyDescent="0.2">
      <c r="A6073">
        <v>2012</v>
      </c>
      <c r="B6073" t="s">
        <v>303</v>
      </c>
      <c r="C6073" s="733">
        <v>40910</v>
      </c>
      <c r="D60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73" t="s">
        <v>478</v>
      </c>
      <c r="F6073" t="s">
        <v>2142</v>
      </c>
      <c r="G6073" t="s">
        <v>6358</v>
      </c>
      <c r="H6073">
        <v>33905</v>
      </c>
      <c r="I6073" t="s">
        <v>423</v>
      </c>
      <c r="J6073" t="s">
        <v>2639</v>
      </c>
      <c r="K6073" t="s">
        <v>2640</v>
      </c>
      <c r="L6073" t="s">
        <v>2641</v>
      </c>
      <c r="M6073">
        <v>274</v>
      </c>
      <c r="N6073">
        <v>49.37</v>
      </c>
      <c r="O6073">
        <v>2671.9</v>
      </c>
      <c r="P6073">
        <v>3008.2654910000001</v>
      </c>
      <c r="Q6073">
        <v>5680.1654909999997</v>
      </c>
      <c r="R6073">
        <v>908.82647899999995</v>
      </c>
      <c r="S6073">
        <v>227.20661999999999</v>
      </c>
      <c r="T6073">
        <v>6361.7853500000001</v>
      </c>
      <c r="U6073" t="s">
        <v>4102</v>
      </c>
      <c r="V6073" t="s">
        <v>9409</v>
      </c>
      <c r="W6073" t="s">
        <v>423</v>
      </c>
    </row>
    <row r="6074" spans="1:23" hidden="1" x14ac:dyDescent="0.2">
      <c r="A6074">
        <v>2012</v>
      </c>
      <c r="B6074" t="s">
        <v>303</v>
      </c>
      <c r="C6074" s="733">
        <v>40939</v>
      </c>
      <c r="D60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74" t="s">
        <v>478</v>
      </c>
      <c r="F6074" t="s">
        <v>2142</v>
      </c>
      <c r="G6074" t="s">
        <v>6359</v>
      </c>
      <c r="H6074">
        <v>34927</v>
      </c>
      <c r="I6074" t="s">
        <v>423</v>
      </c>
      <c r="J6074" t="s">
        <v>2639</v>
      </c>
      <c r="K6074" t="s">
        <v>2640</v>
      </c>
      <c r="L6074" t="s">
        <v>2641</v>
      </c>
      <c r="M6074">
        <v>274</v>
      </c>
      <c r="N6074">
        <v>48.29</v>
      </c>
      <c r="O6074">
        <v>6207.2</v>
      </c>
      <c r="P6074">
        <v>0</v>
      </c>
      <c r="Q6074">
        <v>6207.2</v>
      </c>
      <c r="R6074">
        <v>993.15</v>
      </c>
      <c r="S6074">
        <v>248.29</v>
      </c>
      <c r="T6074">
        <v>6952.06</v>
      </c>
      <c r="U6074" t="s">
        <v>2990</v>
      </c>
      <c r="V6074" t="s">
        <v>9409</v>
      </c>
      <c r="W6074" t="s">
        <v>423</v>
      </c>
    </row>
    <row r="6075" spans="1:23" hidden="1" x14ac:dyDescent="0.2">
      <c r="A6075">
        <v>2012</v>
      </c>
      <c r="B6075" t="s">
        <v>303</v>
      </c>
      <c r="C6075" s="733">
        <v>40918</v>
      </c>
      <c r="D60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75" t="s">
        <v>478</v>
      </c>
      <c r="F6075" t="s">
        <v>2142</v>
      </c>
      <c r="G6075" t="s">
        <v>6377</v>
      </c>
      <c r="H6075">
        <v>34077</v>
      </c>
      <c r="I6075" t="s">
        <v>423</v>
      </c>
      <c r="J6075" t="s">
        <v>2639</v>
      </c>
      <c r="K6075" t="s">
        <v>2640</v>
      </c>
      <c r="L6075" t="s">
        <v>2641</v>
      </c>
      <c r="M6075">
        <v>274</v>
      </c>
      <c r="N6075">
        <v>46.16</v>
      </c>
      <c r="O6075">
        <v>2498.1799999999998</v>
      </c>
      <c r="P6075">
        <v>2812.6758799999998</v>
      </c>
      <c r="Q6075">
        <v>5310.8558800000001</v>
      </c>
      <c r="R6075">
        <v>849.736941</v>
      </c>
      <c r="S6075">
        <v>212.434235</v>
      </c>
      <c r="T6075">
        <v>5948.1585859999996</v>
      </c>
      <c r="U6075" t="s">
        <v>4102</v>
      </c>
      <c r="V6075" t="s">
        <v>9409</v>
      </c>
      <c r="W6075" t="s">
        <v>423</v>
      </c>
    </row>
    <row r="6076" spans="1:23" hidden="1" x14ac:dyDescent="0.2">
      <c r="A6076">
        <v>2012</v>
      </c>
      <c r="B6076" t="s">
        <v>305</v>
      </c>
      <c r="C6076" s="733">
        <v>40970.942650462966</v>
      </c>
      <c r="D6076" s="733" t="str">
        <f>CHOOSE(MONTH(Tabla_sqldatos_bonampakdb_Bon_v_ingresos2012[[#This Row],[fecha_guia]]),"Enero","Febrero","Marzo","Abril","Mayo","Junio","Julio","Agosto","Septiembre","Octubre","Noviembre","Diciembre")</f>
        <v>Marzo</v>
      </c>
      <c r="E6076" t="s">
        <v>478</v>
      </c>
      <c r="F6076" t="s">
        <v>2622</v>
      </c>
      <c r="G6076" t="s">
        <v>9756</v>
      </c>
      <c r="H6076">
        <v>36264</v>
      </c>
      <c r="I6076" t="s">
        <v>423</v>
      </c>
      <c r="J6076" t="s">
        <v>2624</v>
      </c>
      <c r="K6076" t="s">
        <v>2625</v>
      </c>
      <c r="L6076" t="s">
        <v>2626</v>
      </c>
      <c r="M6076">
        <v>10</v>
      </c>
      <c r="N6076">
        <v>22.18</v>
      </c>
      <c r="O6076">
        <v>2503.0100000000002</v>
      </c>
      <c r="P6076">
        <v>0</v>
      </c>
      <c r="Q6076">
        <v>2503.0100000000002</v>
      </c>
      <c r="R6076">
        <v>400.48</v>
      </c>
      <c r="S6076">
        <v>100.12</v>
      </c>
      <c r="T6076">
        <v>2803.37</v>
      </c>
      <c r="V6076" t="s">
        <v>9408</v>
      </c>
      <c r="W6076" t="s">
        <v>423</v>
      </c>
    </row>
    <row r="6077" spans="1:23" hidden="1" x14ac:dyDescent="0.2">
      <c r="A6077">
        <v>2012</v>
      </c>
      <c r="B6077" t="s">
        <v>303</v>
      </c>
      <c r="C6077" s="733">
        <v>40910</v>
      </c>
      <c r="D60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77" t="s">
        <v>478</v>
      </c>
      <c r="F6077" t="s">
        <v>2622</v>
      </c>
      <c r="G6077" t="s">
        <v>6354</v>
      </c>
      <c r="H6077">
        <v>34188</v>
      </c>
      <c r="I6077" t="s">
        <v>423</v>
      </c>
      <c r="J6077" t="s">
        <v>2624</v>
      </c>
      <c r="K6077" t="s">
        <v>2625</v>
      </c>
      <c r="L6077" t="s">
        <v>2626</v>
      </c>
      <c r="M6077">
        <v>10</v>
      </c>
      <c r="N6077">
        <v>24.19</v>
      </c>
      <c r="O6077">
        <v>1149.51</v>
      </c>
      <c r="P6077">
        <v>1294.0034069999999</v>
      </c>
      <c r="Q6077">
        <v>2443.5134069999999</v>
      </c>
      <c r="R6077">
        <v>390.96214500000002</v>
      </c>
      <c r="S6077">
        <v>97.740536000000006</v>
      </c>
      <c r="T6077">
        <v>2736.7350160000001</v>
      </c>
      <c r="U6077" t="s">
        <v>2660</v>
      </c>
      <c r="V6077" t="s">
        <v>9408</v>
      </c>
      <c r="W6077" t="s">
        <v>423</v>
      </c>
    </row>
    <row r="6078" spans="1:23" hidden="1" x14ac:dyDescent="0.2">
      <c r="A6078">
        <v>2012</v>
      </c>
      <c r="B6078" t="s">
        <v>303</v>
      </c>
      <c r="C6078" s="733">
        <v>40910</v>
      </c>
      <c r="D60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78" t="s">
        <v>478</v>
      </c>
      <c r="F6078" t="s">
        <v>2622</v>
      </c>
      <c r="G6078" t="s">
        <v>6353</v>
      </c>
      <c r="H6078">
        <v>34185</v>
      </c>
      <c r="I6078" t="s">
        <v>423</v>
      </c>
      <c r="J6078" t="s">
        <v>2624</v>
      </c>
      <c r="K6078" t="s">
        <v>2625</v>
      </c>
      <c r="L6078" t="s">
        <v>2626</v>
      </c>
      <c r="M6078">
        <v>10</v>
      </c>
      <c r="N6078">
        <v>24.72</v>
      </c>
      <c r="O6078">
        <v>1174.69</v>
      </c>
      <c r="P6078">
        <v>1322.3485330000001</v>
      </c>
      <c r="Q6078">
        <v>2497.0385329999999</v>
      </c>
      <c r="R6078">
        <v>399.52616499999999</v>
      </c>
      <c r="S6078">
        <v>99.881540999999999</v>
      </c>
      <c r="T6078">
        <v>2796.6831569999999</v>
      </c>
      <c r="U6078" t="s">
        <v>2660</v>
      </c>
      <c r="V6078" t="s">
        <v>9408</v>
      </c>
      <c r="W6078" t="s">
        <v>423</v>
      </c>
    </row>
    <row r="6079" spans="1:23" hidden="1" x14ac:dyDescent="0.2">
      <c r="A6079">
        <v>2012</v>
      </c>
      <c r="B6079" t="s">
        <v>303</v>
      </c>
      <c r="C6079" s="733">
        <v>40939</v>
      </c>
      <c r="D60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79" t="s">
        <v>478</v>
      </c>
      <c r="F6079" t="s">
        <v>2622</v>
      </c>
      <c r="G6079" t="s">
        <v>6352</v>
      </c>
      <c r="H6079">
        <v>35106</v>
      </c>
      <c r="I6079" t="s">
        <v>423</v>
      </c>
      <c r="J6079" t="s">
        <v>2624</v>
      </c>
      <c r="K6079" t="s">
        <v>2625</v>
      </c>
      <c r="L6079" t="s">
        <v>2626</v>
      </c>
      <c r="M6079">
        <v>10</v>
      </c>
      <c r="N6079">
        <v>25.04</v>
      </c>
      <c r="O6079">
        <v>2825.76</v>
      </c>
      <c r="P6079">
        <v>0</v>
      </c>
      <c r="Q6079">
        <v>2825.76</v>
      </c>
      <c r="R6079">
        <v>452.12</v>
      </c>
      <c r="S6079">
        <v>113.03</v>
      </c>
      <c r="T6079">
        <v>3164.85</v>
      </c>
      <c r="U6079" t="s">
        <v>2652</v>
      </c>
      <c r="V6079" t="s">
        <v>9408</v>
      </c>
      <c r="W6079" t="s">
        <v>423</v>
      </c>
    </row>
    <row r="6080" spans="1:23" hidden="1" x14ac:dyDescent="0.2">
      <c r="A6080">
        <v>2012</v>
      </c>
      <c r="B6080" t="s">
        <v>303</v>
      </c>
      <c r="C6080" s="733">
        <v>40926</v>
      </c>
      <c r="D60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80" t="s">
        <v>478</v>
      </c>
      <c r="F6080" t="s">
        <v>2622</v>
      </c>
      <c r="G6080" t="s">
        <v>6357</v>
      </c>
      <c r="H6080">
        <v>34588</v>
      </c>
      <c r="I6080" t="s">
        <v>423</v>
      </c>
      <c r="J6080" t="s">
        <v>2624</v>
      </c>
      <c r="K6080" t="s">
        <v>2625</v>
      </c>
      <c r="L6080" t="s">
        <v>2626</v>
      </c>
      <c r="M6080">
        <v>10</v>
      </c>
      <c r="N6080">
        <v>25.76</v>
      </c>
      <c r="O6080">
        <v>2907.02</v>
      </c>
      <c r="P6080">
        <v>0</v>
      </c>
      <c r="Q6080">
        <v>2907.02</v>
      </c>
      <c r="R6080">
        <v>465.12</v>
      </c>
      <c r="S6080">
        <v>116.28</v>
      </c>
      <c r="T6080">
        <v>3255.86</v>
      </c>
      <c r="U6080" t="s">
        <v>2635</v>
      </c>
      <c r="V6080" t="s">
        <v>9408</v>
      </c>
      <c r="W6080" t="s">
        <v>423</v>
      </c>
    </row>
    <row r="6081" spans="1:23" hidden="1" x14ac:dyDescent="0.2">
      <c r="A6081">
        <v>2012</v>
      </c>
      <c r="B6081" t="s">
        <v>303</v>
      </c>
      <c r="C6081" s="733">
        <v>40926</v>
      </c>
      <c r="D60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81" t="s">
        <v>478</v>
      </c>
      <c r="F6081" t="s">
        <v>2142</v>
      </c>
      <c r="G6081" t="s">
        <v>6376</v>
      </c>
      <c r="H6081">
        <v>34467</v>
      </c>
      <c r="I6081" t="s">
        <v>423</v>
      </c>
      <c r="J6081" t="s">
        <v>2639</v>
      </c>
      <c r="K6081" t="s">
        <v>2640</v>
      </c>
      <c r="L6081" t="s">
        <v>2641</v>
      </c>
      <c r="M6081">
        <v>274</v>
      </c>
      <c r="N6081">
        <v>52.59</v>
      </c>
      <c r="O6081">
        <v>6759.92</v>
      </c>
      <c r="P6081">
        <v>0</v>
      </c>
      <c r="Q6081">
        <v>6759.92</v>
      </c>
      <c r="R6081">
        <v>1081.5899999999999</v>
      </c>
      <c r="S6081">
        <v>270.39999999999998</v>
      </c>
      <c r="T6081">
        <v>7571.11</v>
      </c>
      <c r="U6081" t="s">
        <v>2992</v>
      </c>
      <c r="V6081" t="s">
        <v>9409</v>
      </c>
      <c r="W6081" t="s">
        <v>423</v>
      </c>
    </row>
    <row r="6082" spans="1:23" hidden="1" x14ac:dyDescent="0.2">
      <c r="A6082">
        <v>2012</v>
      </c>
      <c r="B6082" t="s">
        <v>304</v>
      </c>
      <c r="C6082" s="733">
        <v>40967</v>
      </c>
      <c r="D60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82" t="s">
        <v>478</v>
      </c>
      <c r="F6082" t="s">
        <v>2142</v>
      </c>
      <c r="G6082" t="s">
        <v>9197</v>
      </c>
      <c r="H6082">
        <v>35923</v>
      </c>
      <c r="I6082" t="s">
        <v>423</v>
      </c>
      <c r="J6082" t="s">
        <v>2639</v>
      </c>
      <c r="K6082" t="s">
        <v>2640</v>
      </c>
      <c r="L6082" t="s">
        <v>2641</v>
      </c>
      <c r="M6082">
        <v>274</v>
      </c>
      <c r="N6082">
        <v>50.09</v>
      </c>
      <c r="O6082">
        <v>6438.57</v>
      </c>
      <c r="P6082">
        <v>0</v>
      </c>
      <c r="Q6082">
        <v>6438.57</v>
      </c>
      <c r="R6082">
        <v>1030.17</v>
      </c>
      <c r="S6082">
        <v>257.54000000000002</v>
      </c>
      <c r="T6082">
        <v>7211.2</v>
      </c>
      <c r="U6082" t="s">
        <v>9475</v>
      </c>
      <c r="V6082" t="s">
        <v>9409</v>
      </c>
      <c r="W6082" t="s">
        <v>423</v>
      </c>
    </row>
    <row r="6083" spans="1:23" hidden="1" x14ac:dyDescent="0.2">
      <c r="A6083">
        <v>2012</v>
      </c>
      <c r="B6083" t="s">
        <v>304</v>
      </c>
      <c r="C6083" s="733">
        <v>40947</v>
      </c>
      <c r="D60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83" t="s">
        <v>478</v>
      </c>
      <c r="F6083" t="s">
        <v>2142</v>
      </c>
      <c r="G6083" t="s">
        <v>6375</v>
      </c>
      <c r="H6083">
        <v>35225</v>
      </c>
      <c r="I6083" t="s">
        <v>423</v>
      </c>
      <c r="J6083" t="s">
        <v>2639</v>
      </c>
      <c r="K6083" t="s">
        <v>2640</v>
      </c>
      <c r="L6083" t="s">
        <v>2641</v>
      </c>
      <c r="M6083">
        <v>274</v>
      </c>
      <c r="N6083">
        <v>52.77</v>
      </c>
      <c r="O6083">
        <v>6783.06</v>
      </c>
      <c r="P6083">
        <v>0</v>
      </c>
      <c r="Q6083">
        <v>6783.06</v>
      </c>
      <c r="R6083">
        <v>1085.29</v>
      </c>
      <c r="S6083">
        <v>271.32</v>
      </c>
      <c r="T6083">
        <v>7597.03</v>
      </c>
      <c r="U6083" t="s">
        <v>2887</v>
      </c>
      <c r="V6083" t="s">
        <v>9409</v>
      </c>
      <c r="W6083" t="s">
        <v>423</v>
      </c>
    </row>
    <row r="6084" spans="1:23" hidden="1" x14ac:dyDescent="0.2">
      <c r="A6084">
        <v>2012</v>
      </c>
      <c r="B6084" t="s">
        <v>303</v>
      </c>
      <c r="C6084" s="733">
        <v>40939</v>
      </c>
      <c r="D60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84" t="s">
        <v>478</v>
      </c>
      <c r="F6084" t="s">
        <v>2142</v>
      </c>
      <c r="G6084" t="s">
        <v>6360</v>
      </c>
      <c r="H6084">
        <v>34937</v>
      </c>
      <c r="I6084" t="s">
        <v>423</v>
      </c>
      <c r="J6084" t="s">
        <v>2639</v>
      </c>
      <c r="K6084" t="s">
        <v>2640</v>
      </c>
      <c r="L6084" t="s">
        <v>2641</v>
      </c>
      <c r="M6084">
        <v>274</v>
      </c>
      <c r="N6084">
        <v>56.81</v>
      </c>
      <c r="O6084">
        <v>7302.36</v>
      </c>
      <c r="P6084">
        <v>0</v>
      </c>
      <c r="Q6084">
        <v>7302.36</v>
      </c>
      <c r="R6084">
        <v>1168.3800000000001</v>
      </c>
      <c r="S6084">
        <v>292.08999999999997</v>
      </c>
      <c r="T6084">
        <v>8178.65</v>
      </c>
      <c r="U6084" t="s">
        <v>2990</v>
      </c>
      <c r="V6084" t="s">
        <v>9409</v>
      </c>
      <c r="W6084" t="s">
        <v>423</v>
      </c>
    </row>
    <row r="6085" spans="1:23" hidden="1" x14ac:dyDescent="0.2">
      <c r="A6085">
        <v>2012</v>
      </c>
      <c r="B6085" t="s">
        <v>304</v>
      </c>
      <c r="C6085" s="733">
        <v>40946.735659722224</v>
      </c>
      <c r="D60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85" t="s">
        <v>478</v>
      </c>
      <c r="F6085" t="s">
        <v>2622</v>
      </c>
      <c r="G6085" t="s">
        <v>6366</v>
      </c>
      <c r="H6085">
        <v>35378</v>
      </c>
      <c r="I6085" t="s">
        <v>423</v>
      </c>
      <c r="J6085" t="s">
        <v>2668</v>
      </c>
      <c r="K6085" t="s">
        <v>2625</v>
      </c>
      <c r="L6085" t="s">
        <v>2626</v>
      </c>
      <c r="M6085">
        <v>76</v>
      </c>
      <c r="N6085">
        <v>23.4</v>
      </c>
      <c r="O6085">
        <v>2640.69</v>
      </c>
      <c r="P6085">
        <v>0</v>
      </c>
      <c r="Q6085">
        <v>2640.69</v>
      </c>
      <c r="R6085">
        <v>422.51</v>
      </c>
      <c r="S6085">
        <v>105.63</v>
      </c>
      <c r="T6085">
        <v>2957.57</v>
      </c>
      <c r="U6085" t="s">
        <v>2652</v>
      </c>
      <c r="V6085" t="s">
        <v>9408</v>
      </c>
      <c r="W6085" t="s">
        <v>423</v>
      </c>
    </row>
    <row r="6086" spans="1:23" hidden="1" x14ac:dyDescent="0.2">
      <c r="A6086">
        <v>2012</v>
      </c>
      <c r="B6086" t="s">
        <v>303</v>
      </c>
      <c r="C6086" s="733">
        <v>40926.83320601852</v>
      </c>
      <c r="D60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86" t="s">
        <v>478</v>
      </c>
      <c r="F6086" t="s">
        <v>2622</v>
      </c>
      <c r="G6086" t="s">
        <v>6368</v>
      </c>
      <c r="H6086">
        <v>34700</v>
      </c>
      <c r="I6086" t="s">
        <v>423</v>
      </c>
      <c r="J6086" t="s">
        <v>2668</v>
      </c>
      <c r="K6086" t="s">
        <v>2625</v>
      </c>
      <c r="L6086" t="s">
        <v>2626</v>
      </c>
      <c r="M6086">
        <v>76</v>
      </c>
      <c r="N6086">
        <v>25</v>
      </c>
      <c r="O6086">
        <v>2821.25</v>
      </c>
      <c r="P6086">
        <v>0</v>
      </c>
      <c r="Q6086">
        <v>2821.25</v>
      </c>
      <c r="R6086">
        <v>451.4</v>
      </c>
      <c r="S6086">
        <v>112.85</v>
      </c>
      <c r="T6086">
        <v>3159.8</v>
      </c>
      <c r="U6086" t="s">
        <v>2635</v>
      </c>
      <c r="V6086" t="s">
        <v>9408</v>
      </c>
      <c r="W6086" t="s">
        <v>423</v>
      </c>
    </row>
    <row r="6087" spans="1:23" x14ac:dyDescent="0.2">
      <c r="A6087">
        <v>2012</v>
      </c>
      <c r="B6087" t="s">
        <v>304</v>
      </c>
      <c r="C6087" s="733">
        <v>40968.447187500002</v>
      </c>
      <c r="D60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87" t="s">
        <v>485</v>
      </c>
      <c r="F6087" t="s">
        <v>2054</v>
      </c>
      <c r="G6087" t="s">
        <v>9530</v>
      </c>
      <c r="H6087">
        <v>10608</v>
      </c>
      <c r="I6087" t="s">
        <v>423</v>
      </c>
      <c r="J6087" t="s">
        <v>2072</v>
      </c>
      <c r="K6087" t="s">
        <v>2057</v>
      </c>
      <c r="L6087" t="s">
        <v>2058</v>
      </c>
      <c r="M6087">
        <v>406</v>
      </c>
      <c r="N6087">
        <v>44.55</v>
      </c>
      <c r="O6087">
        <v>12174.62</v>
      </c>
      <c r="P6087">
        <v>0</v>
      </c>
      <c r="Q6087">
        <v>12174.62</v>
      </c>
      <c r="R6087">
        <v>1339.21</v>
      </c>
      <c r="S6087">
        <v>486.98</v>
      </c>
      <c r="T6087">
        <v>13026.85</v>
      </c>
      <c r="V6087" t="s">
        <v>9409</v>
      </c>
      <c r="W6087" t="s">
        <v>423</v>
      </c>
    </row>
    <row r="6088" spans="1:23" hidden="1" x14ac:dyDescent="0.2">
      <c r="A6088">
        <v>2012</v>
      </c>
      <c r="B6088" t="s">
        <v>303</v>
      </c>
      <c r="C6088" s="733">
        <v>40932.483252314814</v>
      </c>
      <c r="D60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88" t="s">
        <v>485</v>
      </c>
      <c r="F6088" t="s">
        <v>2054</v>
      </c>
      <c r="G6088" t="s">
        <v>2401</v>
      </c>
      <c r="H6088">
        <v>10193</v>
      </c>
      <c r="I6088" t="s">
        <v>423</v>
      </c>
      <c r="J6088" t="s">
        <v>2072</v>
      </c>
      <c r="K6088" t="s">
        <v>2057</v>
      </c>
      <c r="L6088" t="s">
        <v>2058</v>
      </c>
      <c r="M6088">
        <v>406</v>
      </c>
      <c r="N6088">
        <v>48.06</v>
      </c>
      <c r="O6088">
        <v>13133.84</v>
      </c>
      <c r="P6088">
        <v>0</v>
      </c>
      <c r="Q6088">
        <v>13133.84</v>
      </c>
      <c r="R6088">
        <v>2101.41</v>
      </c>
      <c r="S6088">
        <v>525.35</v>
      </c>
      <c r="T6088">
        <v>14709.9</v>
      </c>
      <c r="U6088" t="s">
        <v>2073</v>
      </c>
      <c r="V6088" t="s">
        <v>9409</v>
      </c>
      <c r="W6088" t="s">
        <v>423</v>
      </c>
    </row>
    <row r="6089" spans="1:23" x14ac:dyDescent="0.2">
      <c r="A6089">
        <v>2012</v>
      </c>
      <c r="B6089" t="s">
        <v>304</v>
      </c>
      <c r="C6089" s="733">
        <v>40967</v>
      </c>
      <c r="D60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89" t="s">
        <v>485</v>
      </c>
      <c r="F6089" t="s">
        <v>2065</v>
      </c>
      <c r="G6089" t="s">
        <v>9137</v>
      </c>
      <c r="H6089">
        <v>42014</v>
      </c>
      <c r="I6089" t="s">
        <v>423</v>
      </c>
      <c r="J6089" t="s">
        <v>4091</v>
      </c>
      <c r="K6089" t="s">
        <v>2051</v>
      </c>
      <c r="L6089" t="s">
        <v>2052</v>
      </c>
      <c r="M6089">
        <v>966</v>
      </c>
      <c r="N6089">
        <v>52.45</v>
      </c>
      <c r="O6089">
        <v>30604.58</v>
      </c>
      <c r="P6089">
        <v>0</v>
      </c>
      <c r="Q6089">
        <v>30604.58</v>
      </c>
      <c r="R6089">
        <v>4896.7299999999996</v>
      </c>
      <c r="S6089">
        <v>1224.18</v>
      </c>
      <c r="T6089">
        <v>34277.129999999997</v>
      </c>
      <c r="U6089" t="s">
        <v>8780</v>
      </c>
      <c r="V6089" t="s">
        <v>9409</v>
      </c>
      <c r="W6089" t="s">
        <v>423</v>
      </c>
    </row>
    <row r="6090" spans="1:23" hidden="1" x14ac:dyDescent="0.2">
      <c r="A6090">
        <v>2012</v>
      </c>
      <c r="B6090" t="s">
        <v>304</v>
      </c>
      <c r="C6090" s="733">
        <v>40946</v>
      </c>
      <c r="D60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90" t="s">
        <v>485</v>
      </c>
      <c r="F6090" t="s">
        <v>2054</v>
      </c>
      <c r="G6090" t="s">
        <v>5711</v>
      </c>
      <c r="H6090">
        <v>10306</v>
      </c>
      <c r="I6090" t="s">
        <v>423</v>
      </c>
      <c r="J6090" t="s">
        <v>4045</v>
      </c>
      <c r="K6090" t="s">
        <v>2057</v>
      </c>
      <c r="L6090" t="s">
        <v>2058</v>
      </c>
      <c r="M6090">
        <v>0</v>
      </c>
      <c r="N6090">
        <v>23.68</v>
      </c>
      <c r="O6090">
        <v>6471.27</v>
      </c>
      <c r="P6090">
        <v>0</v>
      </c>
      <c r="Q6090">
        <v>6471.27</v>
      </c>
      <c r="R6090">
        <v>1035.4000000000001</v>
      </c>
      <c r="S6090">
        <v>258.85000000000002</v>
      </c>
      <c r="T6090">
        <v>7247.82</v>
      </c>
      <c r="U6090" t="s">
        <v>2075</v>
      </c>
      <c r="V6090" t="s">
        <v>9408</v>
      </c>
      <c r="W6090" t="s">
        <v>423</v>
      </c>
    </row>
    <row r="6091" spans="1:23" hidden="1" x14ac:dyDescent="0.2">
      <c r="A6091">
        <v>2012</v>
      </c>
      <c r="B6091" t="s">
        <v>304</v>
      </c>
      <c r="C6091" s="733">
        <v>40961</v>
      </c>
      <c r="D60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91" t="s">
        <v>485</v>
      </c>
      <c r="F6091" t="s">
        <v>2065</v>
      </c>
      <c r="G6091" t="s">
        <v>8295</v>
      </c>
      <c r="H6091">
        <v>42355</v>
      </c>
      <c r="I6091" t="s">
        <v>423</v>
      </c>
      <c r="J6091" t="s">
        <v>3972</v>
      </c>
      <c r="K6091" t="s">
        <v>2183</v>
      </c>
      <c r="L6091" t="s">
        <v>2184</v>
      </c>
      <c r="M6091">
        <v>184</v>
      </c>
      <c r="N6091">
        <v>24.02</v>
      </c>
      <c r="O6091">
        <v>4273.6400000000003</v>
      </c>
      <c r="P6091">
        <v>0</v>
      </c>
      <c r="Q6091">
        <v>4273.6400000000003</v>
      </c>
      <c r="R6091">
        <v>683.78</v>
      </c>
      <c r="S6091">
        <v>170.95</v>
      </c>
      <c r="T6091">
        <v>4786.47</v>
      </c>
      <c r="U6091" t="s">
        <v>9411</v>
      </c>
      <c r="V6091" t="s">
        <v>9408</v>
      </c>
      <c r="W6091" t="s">
        <v>423</v>
      </c>
    </row>
    <row r="6092" spans="1:23" hidden="1" x14ac:dyDescent="0.2">
      <c r="A6092">
        <v>2012</v>
      </c>
      <c r="B6092" t="s">
        <v>304</v>
      </c>
      <c r="C6092" s="733">
        <v>40947</v>
      </c>
      <c r="D60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92" t="s">
        <v>485</v>
      </c>
      <c r="F6092" t="s">
        <v>2065</v>
      </c>
      <c r="G6092" t="s">
        <v>5472</v>
      </c>
      <c r="H6092">
        <v>41547</v>
      </c>
      <c r="I6092" t="s">
        <v>423</v>
      </c>
      <c r="J6092" t="s">
        <v>3972</v>
      </c>
      <c r="K6092" t="s">
        <v>2183</v>
      </c>
      <c r="L6092" t="s">
        <v>2184</v>
      </c>
      <c r="M6092">
        <v>184</v>
      </c>
      <c r="N6092">
        <v>52.84</v>
      </c>
      <c r="O6092">
        <v>9401.2900000000009</v>
      </c>
      <c r="P6092">
        <v>0</v>
      </c>
      <c r="Q6092">
        <v>9401.2900000000009</v>
      </c>
      <c r="R6092">
        <v>1504.21</v>
      </c>
      <c r="S6092">
        <v>376.05</v>
      </c>
      <c r="T6092">
        <v>10529.45</v>
      </c>
      <c r="U6092" t="s">
        <v>2192</v>
      </c>
      <c r="V6092" t="s">
        <v>9409</v>
      </c>
      <c r="W6092" t="s">
        <v>423</v>
      </c>
    </row>
    <row r="6093" spans="1:23" hidden="1" x14ac:dyDescent="0.2">
      <c r="A6093">
        <v>2012</v>
      </c>
      <c r="B6093" t="s">
        <v>304</v>
      </c>
      <c r="C6093" s="733">
        <v>40949</v>
      </c>
      <c r="D60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93" t="s">
        <v>505</v>
      </c>
      <c r="F6093" t="s">
        <v>1915</v>
      </c>
      <c r="G6093" t="s">
        <v>3835</v>
      </c>
      <c r="H6093">
        <v>22392</v>
      </c>
      <c r="I6093" t="s">
        <v>423</v>
      </c>
      <c r="J6093" t="s">
        <v>1943</v>
      </c>
      <c r="K6093" t="s">
        <v>1918</v>
      </c>
      <c r="L6093" t="s">
        <v>1919</v>
      </c>
      <c r="M6093">
        <v>319</v>
      </c>
      <c r="N6093">
        <v>53.97</v>
      </c>
      <c r="O6093">
        <v>15826.16</v>
      </c>
      <c r="P6093">
        <v>0</v>
      </c>
      <c r="Q6093">
        <v>15826.16</v>
      </c>
      <c r="R6093">
        <v>2532.19</v>
      </c>
      <c r="S6093">
        <v>633.04999999999995</v>
      </c>
      <c r="T6093">
        <v>17725.3</v>
      </c>
      <c r="U6093" t="s">
        <v>7522</v>
      </c>
      <c r="V6093" t="s">
        <v>9409</v>
      </c>
      <c r="W6093" t="s">
        <v>423</v>
      </c>
    </row>
    <row r="6094" spans="1:23" hidden="1" x14ac:dyDescent="0.2">
      <c r="A6094">
        <v>2012</v>
      </c>
      <c r="B6094" t="s">
        <v>304</v>
      </c>
      <c r="C6094" s="733">
        <v>40949</v>
      </c>
      <c r="D60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94" t="s">
        <v>505</v>
      </c>
      <c r="F6094" t="s">
        <v>1915</v>
      </c>
      <c r="G6094" t="s">
        <v>3821</v>
      </c>
      <c r="H6094">
        <v>22561</v>
      </c>
      <c r="I6094" t="s">
        <v>423</v>
      </c>
      <c r="J6094" t="s">
        <v>1943</v>
      </c>
      <c r="K6094" t="s">
        <v>1918</v>
      </c>
      <c r="L6094" t="s">
        <v>1919</v>
      </c>
      <c r="M6094">
        <v>319</v>
      </c>
      <c r="N6094">
        <v>27.07</v>
      </c>
      <c r="O6094">
        <v>7938.01</v>
      </c>
      <c r="P6094">
        <v>0</v>
      </c>
      <c r="Q6094">
        <v>7938.01</v>
      </c>
      <c r="R6094">
        <v>1270.08</v>
      </c>
      <c r="S6094">
        <v>317.52</v>
      </c>
      <c r="T6094">
        <v>8890.57</v>
      </c>
      <c r="U6094" t="s">
        <v>7522</v>
      </c>
      <c r="V6094" t="s">
        <v>9408</v>
      </c>
      <c r="W6094" t="s">
        <v>423</v>
      </c>
    </row>
    <row r="6095" spans="1:23" hidden="1" x14ac:dyDescent="0.2">
      <c r="A6095">
        <v>2012</v>
      </c>
      <c r="B6095" t="s">
        <v>303</v>
      </c>
      <c r="C6095" s="733">
        <v>40929</v>
      </c>
      <c r="D60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95" t="s">
        <v>505</v>
      </c>
      <c r="F6095" t="s">
        <v>1915</v>
      </c>
      <c r="G6095" t="s">
        <v>3823</v>
      </c>
      <c r="H6095">
        <v>22157</v>
      </c>
      <c r="I6095" t="s">
        <v>423</v>
      </c>
      <c r="J6095" t="s">
        <v>1943</v>
      </c>
      <c r="K6095" t="s">
        <v>1918</v>
      </c>
      <c r="L6095" t="s">
        <v>1919</v>
      </c>
      <c r="M6095">
        <v>319</v>
      </c>
      <c r="N6095">
        <v>53.5</v>
      </c>
      <c r="O6095">
        <v>15688.34</v>
      </c>
      <c r="P6095">
        <v>0</v>
      </c>
      <c r="Q6095">
        <v>15688.34</v>
      </c>
      <c r="R6095">
        <v>2510.13</v>
      </c>
      <c r="S6095">
        <v>627.53</v>
      </c>
      <c r="T6095">
        <v>17570.939999999999</v>
      </c>
      <c r="U6095" t="s">
        <v>1936</v>
      </c>
      <c r="V6095" t="s">
        <v>9409</v>
      </c>
      <c r="W6095" t="s">
        <v>423</v>
      </c>
    </row>
    <row r="6096" spans="1:23" hidden="1" x14ac:dyDescent="0.2">
      <c r="A6096">
        <v>2012</v>
      </c>
      <c r="B6096" t="s">
        <v>303</v>
      </c>
      <c r="C6096" s="733">
        <v>40929</v>
      </c>
      <c r="D60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96" t="s">
        <v>505</v>
      </c>
      <c r="F6096" t="s">
        <v>1915</v>
      </c>
      <c r="G6096" t="s">
        <v>3822</v>
      </c>
      <c r="H6096">
        <v>22148</v>
      </c>
      <c r="I6096" t="s">
        <v>423</v>
      </c>
      <c r="J6096" t="s">
        <v>1943</v>
      </c>
      <c r="K6096" t="s">
        <v>1918</v>
      </c>
      <c r="L6096" t="s">
        <v>1919</v>
      </c>
      <c r="M6096">
        <v>319</v>
      </c>
      <c r="N6096">
        <v>53.44</v>
      </c>
      <c r="O6096">
        <v>15670.75</v>
      </c>
      <c r="P6096">
        <v>0</v>
      </c>
      <c r="Q6096">
        <v>15670.75</v>
      </c>
      <c r="R6096">
        <v>2507.3200000000002</v>
      </c>
      <c r="S6096">
        <v>626.83000000000004</v>
      </c>
      <c r="T6096">
        <v>17551.240000000002</v>
      </c>
      <c r="U6096" t="s">
        <v>1936</v>
      </c>
      <c r="V6096" t="s">
        <v>9409</v>
      </c>
      <c r="W6096" t="s">
        <v>423</v>
      </c>
    </row>
    <row r="6097" spans="1:23" hidden="1" x14ac:dyDescent="0.2">
      <c r="A6097">
        <v>2012</v>
      </c>
      <c r="B6097" t="s">
        <v>304</v>
      </c>
      <c r="C6097" s="733">
        <v>40954</v>
      </c>
      <c r="D60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97" t="s">
        <v>505</v>
      </c>
      <c r="F6097" t="s">
        <v>1915</v>
      </c>
      <c r="G6097" t="s">
        <v>7991</v>
      </c>
      <c r="H6097">
        <v>22734</v>
      </c>
      <c r="I6097" t="s">
        <v>423</v>
      </c>
      <c r="J6097" t="s">
        <v>1943</v>
      </c>
      <c r="K6097" t="s">
        <v>1918</v>
      </c>
      <c r="L6097" t="s">
        <v>1919</v>
      </c>
      <c r="M6097">
        <v>319</v>
      </c>
      <c r="N6097">
        <v>54.12</v>
      </c>
      <c r="O6097">
        <v>15870.15</v>
      </c>
      <c r="P6097">
        <v>0</v>
      </c>
      <c r="Q6097">
        <v>15870.15</v>
      </c>
      <c r="R6097">
        <v>2539.2199999999998</v>
      </c>
      <c r="S6097">
        <v>634.80999999999995</v>
      </c>
      <c r="T6097">
        <v>17774.560000000001</v>
      </c>
      <c r="V6097" t="s">
        <v>9409</v>
      </c>
      <c r="W6097" t="s">
        <v>423</v>
      </c>
    </row>
    <row r="6098" spans="1:23" hidden="1" x14ac:dyDescent="0.2">
      <c r="A6098">
        <v>2012</v>
      </c>
      <c r="B6098" t="s">
        <v>304</v>
      </c>
      <c r="C6098" s="733">
        <v>40966</v>
      </c>
      <c r="D60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098" t="s">
        <v>505</v>
      </c>
      <c r="F6098" t="s">
        <v>1915</v>
      </c>
      <c r="G6098" t="s">
        <v>9139</v>
      </c>
      <c r="H6098">
        <v>23032</v>
      </c>
      <c r="I6098" t="s">
        <v>423</v>
      </c>
      <c r="J6098" t="s">
        <v>1943</v>
      </c>
      <c r="K6098" t="s">
        <v>1918</v>
      </c>
      <c r="L6098" t="s">
        <v>1919</v>
      </c>
      <c r="M6098">
        <v>319</v>
      </c>
      <c r="N6098">
        <v>52.87</v>
      </c>
      <c r="O6098">
        <v>15503.6</v>
      </c>
      <c r="P6098">
        <v>0</v>
      </c>
      <c r="Q6098">
        <v>15503.6</v>
      </c>
      <c r="R6098">
        <v>2480.58</v>
      </c>
      <c r="S6098">
        <v>620.14</v>
      </c>
      <c r="T6098">
        <v>17364.04</v>
      </c>
      <c r="U6098" t="s">
        <v>9415</v>
      </c>
      <c r="V6098" t="s">
        <v>9409</v>
      </c>
      <c r="W6098" t="s">
        <v>423</v>
      </c>
    </row>
    <row r="6099" spans="1:23" hidden="1" x14ac:dyDescent="0.2">
      <c r="A6099">
        <v>2012</v>
      </c>
      <c r="B6099" t="s">
        <v>303</v>
      </c>
      <c r="C6099" s="733">
        <v>40926</v>
      </c>
      <c r="D60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099" t="s">
        <v>485</v>
      </c>
      <c r="F6099" t="s">
        <v>2065</v>
      </c>
      <c r="G6099" t="s">
        <v>2915</v>
      </c>
      <c r="H6099">
        <v>40425</v>
      </c>
      <c r="I6099" t="s">
        <v>423</v>
      </c>
      <c r="J6099" t="s">
        <v>2126</v>
      </c>
      <c r="K6099" t="s">
        <v>2102</v>
      </c>
      <c r="L6099" t="s">
        <v>2115</v>
      </c>
      <c r="M6099">
        <v>930</v>
      </c>
      <c r="N6099">
        <v>52.02</v>
      </c>
      <c r="O6099">
        <v>30539.9</v>
      </c>
      <c r="P6099">
        <v>0</v>
      </c>
      <c r="Q6099">
        <v>30539.9</v>
      </c>
      <c r="R6099">
        <v>4886.38</v>
      </c>
      <c r="S6099">
        <v>1221.5999999999999</v>
      </c>
      <c r="T6099">
        <v>34204.68</v>
      </c>
      <c r="U6099" t="s">
        <v>2106</v>
      </c>
      <c r="V6099" t="s">
        <v>9409</v>
      </c>
      <c r="W6099" t="s">
        <v>423</v>
      </c>
    </row>
    <row r="6100" spans="1:23" hidden="1" x14ac:dyDescent="0.2">
      <c r="A6100">
        <v>2012</v>
      </c>
      <c r="B6100" t="s">
        <v>303</v>
      </c>
      <c r="C6100" s="733">
        <v>40932</v>
      </c>
      <c r="D61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00" t="s">
        <v>478</v>
      </c>
      <c r="F6100" t="s">
        <v>2136</v>
      </c>
      <c r="G6100" t="s">
        <v>6692</v>
      </c>
      <c r="H6100">
        <v>34916</v>
      </c>
      <c r="I6100" t="s">
        <v>423</v>
      </c>
      <c r="J6100" t="s">
        <v>5684</v>
      </c>
      <c r="K6100" t="s">
        <v>425</v>
      </c>
      <c r="L6100" t="s">
        <v>2145</v>
      </c>
      <c r="M6100">
        <v>484</v>
      </c>
      <c r="N6100">
        <v>24.88</v>
      </c>
      <c r="O6100">
        <v>7506.05</v>
      </c>
      <c r="P6100">
        <v>0</v>
      </c>
      <c r="Q6100">
        <v>7506.05</v>
      </c>
      <c r="R6100">
        <v>1200.97</v>
      </c>
      <c r="S6100">
        <v>300.24</v>
      </c>
      <c r="T6100">
        <v>8406.7800000000007</v>
      </c>
      <c r="U6100" t="s">
        <v>2355</v>
      </c>
      <c r="V6100" t="s">
        <v>9408</v>
      </c>
      <c r="W6100" t="s">
        <v>423</v>
      </c>
    </row>
    <row r="6101" spans="1:23" hidden="1" x14ac:dyDescent="0.2">
      <c r="A6101">
        <v>2012</v>
      </c>
      <c r="B6101" t="s">
        <v>304</v>
      </c>
      <c r="C6101" s="733">
        <v>40967.388703703706</v>
      </c>
      <c r="D61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01" t="s">
        <v>478</v>
      </c>
      <c r="F6101" t="s">
        <v>2136</v>
      </c>
      <c r="G6101" t="s">
        <v>8990</v>
      </c>
      <c r="H6101">
        <v>36093</v>
      </c>
      <c r="I6101" t="s">
        <v>423</v>
      </c>
      <c r="J6101" t="s">
        <v>3480</v>
      </c>
      <c r="K6101" t="s">
        <v>3481</v>
      </c>
      <c r="L6101" t="s">
        <v>3482</v>
      </c>
      <c r="M6101">
        <v>75</v>
      </c>
      <c r="N6101">
        <v>30.175000000000001</v>
      </c>
      <c r="O6101">
        <v>3405.85</v>
      </c>
      <c r="P6101">
        <v>0</v>
      </c>
      <c r="Q6101">
        <v>3405.85</v>
      </c>
      <c r="R6101">
        <v>544.94000000000005</v>
      </c>
      <c r="S6101">
        <v>136.22999999999999</v>
      </c>
      <c r="T6101">
        <v>3814.56</v>
      </c>
      <c r="U6101" t="s">
        <v>9462</v>
      </c>
      <c r="V6101" t="s">
        <v>9408</v>
      </c>
      <c r="W6101" t="s">
        <v>423</v>
      </c>
    </row>
    <row r="6102" spans="1:23" hidden="1" x14ac:dyDescent="0.2">
      <c r="A6102">
        <v>2012</v>
      </c>
      <c r="B6102" t="s">
        <v>304</v>
      </c>
      <c r="C6102" s="733">
        <v>40942.6877662037</v>
      </c>
      <c r="D61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02" t="s">
        <v>478</v>
      </c>
      <c r="F6102" t="s">
        <v>3787</v>
      </c>
      <c r="G6102" t="s">
        <v>5101</v>
      </c>
      <c r="H6102">
        <v>35298</v>
      </c>
      <c r="I6102" t="s">
        <v>423</v>
      </c>
      <c r="J6102" t="s">
        <v>3480</v>
      </c>
      <c r="K6102" t="s">
        <v>3481</v>
      </c>
      <c r="L6102" t="s">
        <v>3482</v>
      </c>
      <c r="M6102">
        <v>75</v>
      </c>
      <c r="N6102">
        <v>28.645</v>
      </c>
      <c r="O6102">
        <v>3233.16</v>
      </c>
      <c r="P6102">
        <v>0</v>
      </c>
      <c r="Q6102">
        <v>3233.16</v>
      </c>
      <c r="R6102">
        <v>517.30999999999995</v>
      </c>
      <c r="S6102">
        <v>129.33000000000001</v>
      </c>
      <c r="T6102">
        <v>3621.14</v>
      </c>
      <c r="U6102" t="s">
        <v>3483</v>
      </c>
      <c r="V6102" t="s">
        <v>9408</v>
      </c>
      <c r="W6102" t="s">
        <v>423</v>
      </c>
    </row>
    <row r="6103" spans="1:23" hidden="1" x14ac:dyDescent="0.2">
      <c r="A6103">
        <v>2012</v>
      </c>
      <c r="B6103" t="s">
        <v>303</v>
      </c>
      <c r="C6103" s="733">
        <v>40939.588113425925</v>
      </c>
      <c r="D61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03" t="s">
        <v>478</v>
      </c>
      <c r="F6103" t="s">
        <v>2136</v>
      </c>
      <c r="G6103" t="s">
        <v>5093</v>
      </c>
      <c r="H6103">
        <v>35170</v>
      </c>
      <c r="I6103" t="s">
        <v>423</v>
      </c>
      <c r="J6103" t="s">
        <v>3480</v>
      </c>
      <c r="K6103" t="s">
        <v>3481</v>
      </c>
      <c r="L6103" t="s">
        <v>3482</v>
      </c>
      <c r="M6103">
        <v>75</v>
      </c>
      <c r="N6103">
        <v>30.68</v>
      </c>
      <c r="O6103">
        <v>3462.85</v>
      </c>
      <c r="P6103">
        <v>0</v>
      </c>
      <c r="Q6103">
        <v>3462.85</v>
      </c>
      <c r="R6103">
        <v>554.05999999999995</v>
      </c>
      <c r="S6103">
        <v>138.51</v>
      </c>
      <c r="T6103">
        <v>3878.4</v>
      </c>
      <c r="U6103" t="s">
        <v>3794</v>
      </c>
      <c r="V6103" t="s">
        <v>9408</v>
      </c>
      <c r="W6103" t="s">
        <v>423</v>
      </c>
    </row>
    <row r="6104" spans="1:23" hidden="1" x14ac:dyDescent="0.2">
      <c r="A6104">
        <v>2012</v>
      </c>
      <c r="B6104" t="s">
        <v>303</v>
      </c>
      <c r="C6104" s="733">
        <v>40939</v>
      </c>
      <c r="D61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04" t="s">
        <v>485</v>
      </c>
      <c r="F6104" t="s">
        <v>3450</v>
      </c>
      <c r="G6104" t="s">
        <v>4454</v>
      </c>
      <c r="H6104">
        <v>40971</v>
      </c>
      <c r="I6104" t="s">
        <v>423</v>
      </c>
      <c r="J6104" t="s">
        <v>3462</v>
      </c>
      <c r="K6104" t="s">
        <v>3453</v>
      </c>
      <c r="L6104" t="s">
        <v>3454</v>
      </c>
      <c r="M6104">
        <v>425</v>
      </c>
      <c r="N6104">
        <v>26.87</v>
      </c>
      <c r="O6104">
        <v>7497.8</v>
      </c>
      <c r="P6104">
        <v>0</v>
      </c>
      <c r="Q6104">
        <v>7497.8</v>
      </c>
      <c r="R6104">
        <v>1199.6500000000001</v>
      </c>
      <c r="S6104">
        <v>299.91000000000003</v>
      </c>
      <c r="T6104">
        <v>8397.5400000000009</v>
      </c>
      <c r="U6104" t="s">
        <v>3640</v>
      </c>
      <c r="V6104" t="s">
        <v>9408</v>
      </c>
      <c r="W6104" t="s">
        <v>423</v>
      </c>
    </row>
    <row r="6105" spans="1:23" hidden="1" x14ac:dyDescent="0.2">
      <c r="A6105">
        <v>2012</v>
      </c>
      <c r="B6105" t="s">
        <v>304</v>
      </c>
      <c r="C6105" s="733">
        <v>40960</v>
      </c>
      <c r="D61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05" t="s">
        <v>485</v>
      </c>
      <c r="F6105" t="s">
        <v>3450</v>
      </c>
      <c r="G6105" t="s">
        <v>8279</v>
      </c>
      <c r="H6105">
        <v>42243</v>
      </c>
      <c r="I6105" t="s">
        <v>423</v>
      </c>
      <c r="J6105" t="s">
        <v>3462</v>
      </c>
      <c r="K6105" t="s">
        <v>3453</v>
      </c>
      <c r="L6105" t="s">
        <v>3454</v>
      </c>
      <c r="M6105">
        <v>425</v>
      </c>
      <c r="N6105">
        <v>24.92</v>
      </c>
      <c r="O6105">
        <v>6953.68</v>
      </c>
      <c r="P6105">
        <v>0</v>
      </c>
      <c r="Q6105">
        <v>6953.68</v>
      </c>
      <c r="R6105">
        <v>1112.5899999999999</v>
      </c>
      <c r="S6105">
        <v>278.14999999999998</v>
      </c>
      <c r="T6105">
        <v>7788.12</v>
      </c>
      <c r="U6105" t="s">
        <v>8991</v>
      </c>
      <c r="V6105" t="s">
        <v>9408</v>
      </c>
      <c r="W6105" t="s">
        <v>423</v>
      </c>
    </row>
    <row r="6106" spans="1:23" hidden="1" x14ac:dyDescent="0.2">
      <c r="A6106">
        <v>2012</v>
      </c>
      <c r="B6106" t="s">
        <v>304</v>
      </c>
      <c r="C6106" s="733">
        <v>40952</v>
      </c>
      <c r="D61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06" t="s">
        <v>485</v>
      </c>
      <c r="F6106" t="s">
        <v>2065</v>
      </c>
      <c r="G6106" t="s">
        <v>3810</v>
      </c>
      <c r="H6106">
        <v>41661</v>
      </c>
      <c r="I6106" t="s">
        <v>423</v>
      </c>
      <c r="J6106" t="s">
        <v>2126</v>
      </c>
      <c r="K6106" t="s">
        <v>2102</v>
      </c>
      <c r="L6106" t="s">
        <v>2115</v>
      </c>
      <c r="M6106">
        <v>930</v>
      </c>
      <c r="N6106">
        <v>26.14</v>
      </c>
      <c r="O6106">
        <v>15346.27</v>
      </c>
      <c r="P6106">
        <v>0</v>
      </c>
      <c r="Q6106">
        <v>15346.27</v>
      </c>
      <c r="R6106">
        <v>2455.4</v>
      </c>
      <c r="S6106">
        <v>613.85</v>
      </c>
      <c r="T6106">
        <v>17187.82</v>
      </c>
      <c r="U6106" t="s">
        <v>8051</v>
      </c>
      <c r="V6106" t="s">
        <v>9409</v>
      </c>
      <c r="W6106" t="s">
        <v>423</v>
      </c>
    </row>
    <row r="6107" spans="1:23" hidden="1" x14ac:dyDescent="0.2">
      <c r="A6107">
        <v>2012</v>
      </c>
      <c r="B6107" t="s">
        <v>304</v>
      </c>
      <c r="C6107" s="733">
        <v>40961</v>
      </c>
      <c r="D61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07" t="s">
        <v>485</v>
      </c>
      <c r="F6107" t="s">
        <v>2065</v>
      </c>
      <c r="G6107" t="s">
        <v>8280</v>
      </c>
      <c r="H6107">
        <v>42320</v>
      </c>
      <c r="I6107" t="s">
        <v>423</v>
      </c>
      <c r="J6107" t="s">
        <v>8281</v>
      </c>
      <c r="K6107" t="s">
        <v>2102</v>
      </c>
      <c r="L6107" t="s">
        <v>2115</v>
      </c>
      <c r="M6107">
        <v>1234</v>
      </c>
      <c r="N6107">
        <v>25.91</v>
      </c>
      <c r="O6107">
        <v>17343.38</v>
      </c>
      <c r="P6107">
        <v>0</v>
      </c>
      <c r="Q6107">
        <v>17343.38</v>
      </c>
      <c r="R6107">
        <v>2774.94</v>
      </c>
      <c r="S6107">
        <v>693.74</v>
      </c>
      <c r="T6107">
        <v>19424.580000000002</v>
      </c>
      <c r="U6107" t="s">
        <v>8883</v>
      </c>
      <c r="V6107" t="s">
        <v>9408</v>
      </c>
      <c r="W6107" t="s">
        <v>423</v>
      </c>
    </row>
    <row r="6108" spans="1:23" hidden="1" x14ac:dyDescent="0.2">
      <c r="A6108">
        <v>2012</v>
      </c>
      <c r="B6108" t="s">
        <v>304</v>
      </c>
      <c r="C6108" s="733">
        <v>40954</v>
      </c>
      <c r="D61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08" t="s">
        <v>485</v>
      </c>
      <c r="F6108" t="s">
        <v>2065</v>
      </c>
      <c r="G6108" t="s">
        <v>7502</v>
      </c>
      <c r="H6108">
        <v>41396</v>
      </c>
      <c r="I6108" t="s">
        <v>423</v>
      </c>
      <c r="J6108" t="s">
        <v>2126</v>
      </c>
      <c r="K6108" t="s">
        <v>2102</v>
      </c>
      <c r="L6108" t="s">
        <v>2115</v>
      </c>
      <c r="M6108">
        <v>930</v>
      </c>
      <c r="N6108">
        <v>51.62</v>
      </c>
      <c r="O6108">
        <v>30305.07</v>
      </c>
      <c r="P6108">
        <v>0</v>
      </c>
      <c r="Q6108">
        <v>30305.07</v>
      </c>
      <c r="R6108">
        <v>4848.8100000000004</v>
      </c>
      <c r="S6108">
        <v>1212.2</v>
      </c>
      <c r="T6108">
        <v>33941.68</v>
      </c>
      <c r="U6108" t="s">
        <v>8051</v>
      </c>
      <c r="V6108" t="s">
        <v>9409</v>
      </c>
      <c r="W6108" t="s">
        <v>423</v>
      </c>
    </row>
    <row r="6109" spans="1:23" hidden="1" x14ac:dyDescent="0.2">
      <c r="A6109">
        <v>2012</v>
      </c>
      <c r="B6109" t="s">
        <v>303</v>
      </c>
      <c r="C6109" s="733">
        <v>40939</v>
      </c>
      <c r="D61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09" t="s">
        <v>478</v>
      </c>
      <c r="F6109" t="s">
        <v>2136</v>
      </c>
      <c r="G6109" t="s">
        <v>2913</v>
      </c>
      <c r="H6109">
        <v>34813</v>
      </c>
      <c r="I6109" t="s">
        <v>423</v>
      </c>
      <c r="J6109" t="s">
        <v>2793</v>
      </c>
      <c r="K6109" t="s">
        <v>425</v>
      </c>
      <c r="L6109" t="s">
        <v>2145</v>
      </c>
      <c r="M6109">
        <v>1147</v>
      </c>
      <c r="N6109">
        <v>25.12</v>
      </c>
      <c r="O6109">
        <v>11589.87</v>
      </c>
      <c r="P6109">
        <v>0</v>
      </c>
      <c r="Q6109">
        <v>11589.87</v>
      </c>
      <c r="R6109">
        <v>1854.38</v>
      </c>
      <c r="S6109">
        <v>463.59</v>
      </c>
      <c r="T6109">
        <v>12980.66</v>
      </c>
      <c r="U6109" t="s">
        <v>2914</v>
      </c>
      <c r="V6109" t="s">
        <v>9408</v>
      </c>
      <c r="W6109" t="s">
        <v>423</v>
      </c>
    </row>
    <row r="6110" spans="1:23" hidden="1" x14ac:dyDescent="0.2">
      <c r="A6110">
        <v>2012</v>
      </c>
      <c r="B6110" t="s">
        <v>303</v>
      </c>
      <c r="C6110" s="733">
        <v>40935</v>
      </c>
      <c r="D61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10" t="s">
        <v>485</v>
      </c>
      <c r="F6110" t="s">
        <v>2065</v>
      </c>
      <c r="G6110" t="s">
        <v>6489</v>
      </c>
      <c r="H6110">
        <v>40851</v>
      </c>
      <c r="I6110" t="s">
        <v>423</v>
      </c>
      <c r="J6110" t="s">
        <v>2124</v>
      </c>
      <c r="K6110" t="s">
        <v>2102</v>
      </c>
      <c r="L6110" t="s">
        <v>2115</v>
      </c>
      <c r="M6110">
        <v>981</v>
      </c>
      <c r="N6110">
        <v>25.97</v>
      </c>
      <c r="O6110">
        <v>15246.47</v>
      </c>
      <c r="P6110">
        <v>0</v>
      </c>
      <c r="Q6110">
        <v>15246.47</v>
      </c>
      <c r="R6110">
        <v>2439.4299999999998</v>
      </c>
      <c r="S6110">
        <v>609.86</v>
      </c>
      <c r="T6110">
        <v>17076.04</v>
      </c>
      <c r="U6110" t="s">
        <v>2110</v>
      </c>
      <c r="V6110" t="s">
        <v>9409</v>
      </c>
      <c r="W6110" t="s">
        <v>423</v>
      </c>
    </row>
    <row r="6111" spans="1:23" hidden="1" x14ac:dyDescent="0.2">
      <c r="A6111">
        <v>2012</v>
      </c>
      <c r="B6111" t="s">
        <v>304</v>
      </c>
      <c r="C6111" s="733">
        <v>40942</v>
      </c>
      <c r="D61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11" t="s">
        <v>478</v>
      </c>
      <c r="F6111" t="s">
        <v>2136</v>
      </c>
      <c r="G6111" t="s">
        <v>6490</v>
      </c>
      <c r="H6111">
        <v>35053</v>
      </c>
      <c r="I6111" t="s">
        <v>423</v>
      </c>
      <c r="J6111" t="s">
        <v>2793</v>
      </c>
      <c r="K6111" t="s">
        <v>425</v>
      </c>
      <c r="L6111" t="s">
        <v>2145</v>
      </c>
      <c r="M6111">
        <v>1147</v>
      </c>
      <c r="N6111">
        <v>30.52</v>
      </c>
      <c r="O6111">
        <v>14081.32</v>
      </c>
      <c r="P6111">
        <v>0</v>
      </c>
      <c r="Q6111">
        <v>14081.32</v>
      </c>
      <c r="R6111">
        <v>2253.0100000000002</v>
      </c>
      <c r="S6111">
        <v>563.25</v>
      </c>
      <c r="T6111">
        <v>15771.08</v>
      </c>
      <c r="U6111" t="s">
        <v>3115</v>
      </c>
      <c r="V6111" t="s">
        <v>9408</v>
      </c>
      <c r="W6111" t="s">
        <v>423</v>
      </c>
    </row>
    <row r="6112" spans="1:23" hidden="1" x14ac:dyDescent="0.2">
      <c r="A6112">
        <v>2012</v>
      </c>
      <c r="B6112" t="s">
        <v>303</v>
      </c>
      <c r="C6112" s="733">
        <v>40939.580405092594</v>
      </c>
      <c r="D61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12" t="s">
        <v>478</v>
      </c>
      <c r="F6112" t="s">
        <v>2136</v>
      </c>
      <c r="G6112" t="s">
        <v>5094</v>
      </c>
      <c r="H6112">
        <v>35167</v>
      </c>
      <c r="I6112" t="s">
        <v>423</v>
      </c>
      <c r="J6112" t="s">
        <v>3480</v>
      </c>
      <c r="K6112" t="s">
        <v>3481</v>
      </c>
      <c r="L6112" t="s">
        <v>3482</v>
      </c>
      <c r="M6112">
        <v>75</v>
      </c>
      <c r="N6112">
        <v>26.14</v>
      </c>
      <c r="O6112">
        <v>2950.42</v>
      </c>
      <c r="P6112">
        <v>0</v>
      </c>
      <c r="Q6112">
        <v>2950.42</v>
      </c>
      <c r="R6112">
        <v>472.07</v>
      </c>
      <c r="S6112">
        <v>118.02</v>
      </c>
      <c r="T6112">
        <v>3304.47</v>
      </c>
      <c r="U6112" t="s">
        <v>3794</v>
      </c>
      <c r="V6112" t="s">
        <v>9408</v>
      </c>
      <c r="W6112" t="s">
        <v>423</v>
      </c>
    </row>
    <row r="6113" spans="1:23" hidden="1" x14ac:dyDescent="0.2">
      <c r="A6113">
        <v>2012</v>
      </c>
      <c r="B6113" t="s">
        <v>303</v>
      </c>
      <c r="C6113" s="733">
        <v>40939.603379629632</v>
      </c>
      <c r="D61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13" t="s">
        <v>478</v>
      </c>
      <c r="F6113" t="s">
        <v>2136</v>
      </c>
      <c r="G6113" t="s">
        <v>5095</v>
      </c>
      <c r="H6113">
        <v>35172</v>
      </c>
      <c r="I6113" t="s">
        <v>423</v>
      </c>
      <c r="J6113" t="s">
        <v>3480</v>
      </c>
      <c r="K6113" t="s">
        <v>3481</v>
      </c>
      <c r="L6113" t="s">
        <v>3482</v>
      </c>
      <c r="M6113">
        <v>75</v>
      </c>
      <c r="N6113">
        <v>21.84</v>
      </c>
      <c r="O6113">
        <v>2465.08</v>
      </c>
      <c r="P6113">
        <v>0</v>
      </c>
      <c r="Q6113">
        <v>2465.08</v>
      </c>
      <c r="R6113">
        <v>394.41</v>
      </c>
      <c r="S6113">
        <v>98.6</v>
      </c>
      <c r="T6113">
        <v>2760.89</v>
      </c>
      <c r="U6113" t="s">
        <v>3794</v>
      </c>
      <c r="V6113" t="s">
        <v>9408</v>
      </c>
      <c r="W6113" t="s">
        <v>423</v>
      </c>
    </row>
    <row r="6114" spans="1:23" hidden="1" x14ac:dyDescent="0.2">
      <c r="A6114">
        <v>2012</v>
      </c>
      <c r="B6114" t="s">
        <v>304</v>
      </c>
      <c r="C6114" s="733">
        <v>40946</v>
      </c>
      <c r="D61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14" t="s">
        <v>478</v>
      </c>
      <c r="F6114" t="s">
        <v>2622</v>
      </c>
      <c r="G6114" t="s">
        <v>6367</v>
      </c>
      <c r="H6114">
        <v>35335</v>
      </c>
      <c r="I6114" t="s">
        <v>423</v>
      </c>
      <c r="J6114" t="s">
        <v>2668</v>
      </c>
      <c r="K6114" t="s">
        <v>2625</v>
      </c>
      <c r="L6114" t="s">
        <v>2626</v>
      </c>
      <c r="M6114">
        <v>76</v>
      </c>
      <c r="N6114">
        <v>24.95</v>
      </c>
      <c r="O6114">
        <v>2815.61</v>
      </c>
      <c r="P6114">
        <v>0</v>
      </c>
      <c r="Q6114">
        <v>2815.61</v>
      </c>
      <c r="R6114">
        <v>450.5</v>
      </c>
      <c r="S6114">
        <v>112.62</v>
      </c>
      <c r="T6114">
        <v>3153.49</v>
      </c>
      <c r="U6114" t="s">
        <v>2652</v>
      </c>
      <c r="V6114" t="s">
        <v>9408</v>
      </c>
      <c r="W6114" t="s">
        <v>423</v>
      </c>
    </row>
    <row r="6115" spans="1:23" hidden="1" x14ac:dyDescent="0.2">
      <c r="A6115">
        <v>2012</v>
      </c>
      <c r="B6115" t="s">
        <v>305</v>
      </c>
      <c r="C6115" s="733">
        <v>40970</v>
      </c>
      <c r="D6115" s="733" t="str">
        <f>CHOOSE(MONTH(Tabla_sqldatos_bonampakdb_Bon_v_ingresos2012[[#This Row],[fecha_guia]]),"Enero","Febrero","Marzo","Abril","Mayo","Junio","Julio","Agosto","Septiembre","Octubre","Noviembre","Diciembre")</f>
        <v>Marzo</v>
      </c>
      <c r="E6115" t="s">
        <v>485</v>
      </c>
      <c r="F6115" t="s">
        <v>2054</v>
      </c>
      <c r="G6115" t="s">
        <v>9757</v>
      </c>
      <c r="H6115">
        <v>42928</v>
      </c>
      <c r="I6115" t="s">
        <v>423</v>
      </c>
      <c r="J6115" t="s">
        <v>4093</v>
      </c>
      <c r="K6115" t="s">
        <v>2051</v>
      </c>
      <c r="L6115" t="s">
        <v>2052</v>
      </c>
      <c r="M6115">
        <v>647</v>
      </c>
      <c r="N6115">
        <v>49.1</v>
      </c>
      <c r="O6115">
        <v>18576</v>
      </c>
      <c r="P6115">
        <v>0</v>
      </c>
      <c r="Q6115">
        <v>18576</v>
      </c>
      <c r="R6115">
        <v>2972.16</v>
      </c>
      <c r="S6115">
        <v>743.04</v>
      </c>
      <c r="T6115">
        <v>20805.12</v>
      </c>
      <c r="V6115" t="s">
        <v>9409</v>
      </c>
      <c r="W6115" t="s">
        <v>423</v>
      </c>
    </row>
    <row r="6116" spans="1:23" x14ac:dyDescent="0.2">
      <c r="A6116">
        <v>2012</v>
      </c>
      <c r="B6116" t="s">
        <v>304</v>
      </c>
      <c r="C6116" s="733">
        <v>40967</v>
      </c>
      <c r="D61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16" t="s">
        <v>485</v>
      </c>
      <c r="F6116" t="s">
        <v>2084</v>
      </c>
      <c r="G6116" t="s">
        <v>9198</v>
      </c>
      <c r="H6116">
        <v>42451</v>
      </c>
      <c r="I6116" t="s">
        <v>423</v>
      </c>
      <c r="J6116" t="s">
        <v>2848</v>
      </c>
      <c r="K6116" t="s">
        <v>2814</v>
      </c>
      <c r="L6116" t="s">
        <v>2815</v>
      </c>
      <c r="M6116">
        <v>708</v>
      </c>
      <c r="N6116">
        <v>24.422000000000001</v>
      </c>
      <c r="O6116">
        <v>10021.32</v>
      </c>
      <c r="P6116">
        <v>0</v>
      </c>
      <c r="Q6116">
        <v>10021.32</v>
      </c>
      <c r="R6116">
        <v>1102.3499999999999</v>
      </c>
      <c r="S6116">
        <v>400.85</v>
      </c>
      <c r="T6116">
        <v>10722.82</v>
      </c>
      <c r="U6116" t="s">
        <v>8877</v>
      </c>
      <c r="V6116" t="s">
        <v>9408</v>
      </c>
      <c r="W6116" t="s">
        <v>423</v>
      </c>
    </row>
    <row r="6117" spans="1:23" hidden="1" x14ac:dyDescent="0.2">
      <c r="A6117">
        <v>2012</v>
      </c>
      <c r="B6117" t="s">
        <v>304</v>
      </c>
      <c r="C6117" s="733">
        <v>40954</v>
      </c>
      <c r="D61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17" t="s">
        <v>478</v>
      </c>
      <c r="F6117" t="s">
        <v>2136</v>
      </c>
      <c r="G6117" t="s">
        <v>7618</v>
      </c>
      <c r="H6117">
        <v>35682</v>
      </c>
      <c r="I6117" t="s">
        <v>423</v>
      </c>
      <c r="J6117" t="s">
        <v>5620</v>
      </c>
      <c r="K6117" t="s">
        <v>425</v>
      </c>
      <c r="L6117" t="s">
        <v>2145</v>
      </c>
      <c r="M6117">
        <v>700</v>
      </c>
      <c r="N6117">
        <v>23.09</v>
      </c>
      <c r="O6117">
        <v>8463.41</v>
      </c>
      <c r="P6117">
        <v>0</v>
      </c>
      <c r="Q6117">
        <v>8463.41</v>
      </c>
      <c r="R6117">
        <v>1354.15</v>
      </c>
      <c r="S6117">
        <v>338.54</v>
      </c>
      <c r="T6117">
        <v>9479.02</v>
      </c>
      <c r="U6117" t="s">
        <v>7523</v>
      </c>
      <c r="V6117" t="s">
        <v>9408</v>
      </c>
      <c r="W6117" t="s">
        <v>423</v>
      </c>
    </row>
    <row r="6118" spans="1:23" hidden="1" x14ac:dyDescent="0.2">
      <c r="A6118">
        <v>2012</v>
      </c>
      <c r="B6118" t="s">
        <v>303</v>
      </c>
      <c r="C6118" s="733">
        <v>40938</v>
      </c>
      <c r="D61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18" t="s">
        <v>478</v>
      </c>
      <c r="F6118" t="s">
        <v>2136</v>
      </c>
      <c r="G6118" t="s">
        <v>6394</v>
      </c>
      <c r="H6118">
        <v>35054</v>
      </c>
      <c r="I6118" t="s">
        <v>423</v>
      </c>
      <c r="J6118" t="s">
        <v>2936</v>
      </c>
      <c r="K6118" t="s">
        <v>425</v>
      </c>
      <c r="L6118" t="s">
        <v>2145</v>
      </c>
      <c r="M6118">
        <v>604</v>
      </c>
      <c r="N6118">
        <v>51.87</v>
      </c>
      <c r="O6118">
        <v>16239.98</v>
      </c>
      <c r="P6118">
        <v>0</v>
      </c>
      <c r="Q6118">
        <v>16239.98</v>
      </c>
      <c r="R6118">
        <v>2598.4</v>
      </c>
      <c r="S6118">
        <v>649.6</v>
      </c>
      <c r="T6118">
        <v>18188.78</v>
      </c>
      <c r="U6118" t="s">
        <v>2580</v>
      </c>
      <c r="V6118" t="s">
        <v>9409</v>
      </c>
      <c r="W6118" t="s">
        <v>423</v>
      </c>
    </row>
    <row r="6119" spans="1:23" hidden="1" x14ac:dyDescent="0.2">
      <c r="A6119">
        <v>2012</v>
      </c>
      <c r="B6119" t="s">
        <v>304</v>
      </c>
      <c r="C6119" s="733">
        <v>40961</v>
      </c>
      <c r="D61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19" t="s">
        <v>478</v>
      </c>
      <c r="F6119" t="s">
        <v>2136</v>
      </c>
      <c r="G6119" t="s">
        <v>8308</v>
      </c>
      <c r="H6119">
        <v>35921</v>
      </c>
      <c r="I6119" t="s">
        <v>423</v>
      </c>
      <c r="J6119" t="s">
        <v>2936</v>
      </c>
      <c r="K6119" t="s">
        <v>425</v>
      </c>
      <c r="L6119" t="s">
        <v>2145</v>
      </c>
      <c r="M6119">
        <v>604</v>
      </c>
      <c r="N6119">
        <v>21.61</v>
      </c>
      <c r="O6119">
        <v>6765.87</v>
      </c>
      <c r="P6119">
        <v>0</v>
      </c>
      <c r="Q6119">
        <v>6765.87</v>
      </c>
      <c r="R6119">
        <v>1082.54</v>
      </c>
      <c r="S6119">
        <v>270.63</v>
      </c>
      <c r="T6119">
        <v>7577.78</v>
      </c>
      <c r="U6119" t="s">
        <v>9457</v>
      </c>
      <c r="V6119" t="s">
        <v>9408</v>
      </c>
      <c r="W6119" t="s">
        <v>423</v>
      </c>
    </row>
    <row r="6120" spans="1:23" hidden="1" x14ac:dyDescent="0.2">
      <c r="A6120">
        <v>2012</v>
      </c>
      <c r="B6120" t="s">
        <v>303</v>
      </c>
      <c r="C6120" s="733">
        <v>40931</v>
      </c>
      <c r="D61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20" t="s">
        <v>478</v>
      </c>
      <c r="F6120" t="s">
        <v>2136</v>
      </c>
      <c r="G6120" t="s">
        <v>7066</v>
      </c>
      <c r="H6120">
        <v>34860</v>
      </c>
      <c r="I6120" t="s">
        <v>423</v>
      </c>
      <c r="J6120" t="s">
        <v>2936</v>
      </c>
      <c r="K6120" t="s">
        <v>425</v>
      </c>
      <c r="L6120" t="s">
        <v>2145</v>
      </c>
      <c r="M6120">
        <v>604</v>
      </c>
      <c r="N6120">
        <v>50.08</v>
      </c>
      <c r="O6120">
        <v>15679.55</v>
      </c>
      <c r="P6120">
        <v>0</v>
      </c>
      <c r="Q6120">
        <v>15679.55</v>
      </c>
      <c r="R6120">
        <v>2508.73</v>
      </c>
      <c r="S6120">
        <v>627.17999999999995</v>
      </c>
      <c r="T6120">
        <v>17561.099999999999</v>
      </c>
      <c r="U6120" t="s">
        <v>2355</v>
      </c>
      <c r="V6120" t="s">
        <v>9409</v>
      </c>
      <c r="W6120" t="s">
        <v>423</v>
      </c>
    </row>
    <row r="6121" spans="1:23" hidden="1" x14ac:dyDescent="0.2">
      <c r="A6121">
        <v>2012</v>
      </c>
      <c r="B6121" t="s">
        <v>304</v>
      </c>
      <c r="C6121" s="733">
        <v>40942.608587962961</v>
      </c>
      <c r="D61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21" t="s">
        <v>478</v>
      </c>
      <c r="F6121" t="s">
        <v>2622</v>
      </c>
      <c r="G6121" t="s">
        <v>7056</v>
      </c>
      <c r="H6121">
        <v>35280</v>
      </c>
      <c r="I6121" t="s">
        <v>423</v>
      </c>
      <c r="J6121" t="s">
        <v>2936</v>
      </c>
      <c r="K6121" t="s">
        <v>425</v>
      </c>
      <c r="L6121" t="s">
        <v>2145</v>
      </c>
      <c r="M6121">
        <v>604</v>
      </c>
      <c r="N6121">
        <v>24.52</v>
      </c>
      <c r="O6121">
        <v>7676.97</v>
      </c>
      <c r="P6121">
        <v>0</v>
      </c>
      <c r="Q6121">
        <v>7676.97</v>
      </c>
      <c r="R6121">
        <v>1228.31</v>
      </c>
      <c r="S6121">
        <v>307.08</v>
      </c>
      <c r="T6121">
        <v>8598.2000000000007</v>
      </c>
      <c r="U6121" t="s">
        <v>2938</v>
      </c>
      <c r="V6121" t="s">
        <v>9408</v>
      </c>
      <c r="W6121" t="s">
        <v>423</v>
      </c>
    </row>
    <row r="6122" spans="1:23" hidden="1" x14ac:dyDescent="0.2">
      <c r="A6122">
        <v>2012</v>
      </c>
      <c r="B6122" t="s">
        <v>303</v>
      </c>
      <c r="C6122" s="733">
        <v>40932</v>
      </c>
      <c r="D61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22" t="s">
        <v>478</v>
      </c>
      <c r="F6122" t="s">
        <v>2136</v>
      </c>
      <c r="G6122" t="s">
        <v>6607</v>
      </c>
      <c r="H6122">
        <v>34806</v>
      </c>
      <c r="I6122" t="s">
        <v>423</v>
      </c>
      <c r="J6122" t="s">
        <v>4270</v>
      </c>
      <c r="K6122" t="s">
        <v>425</v>
      </c>
      <c r="L6122" t="s">
        <v>2145</v>
      </c>
      <c r="M6122">
        <v>560</v>
      </c>
      <c r="N6122">
        <v>24.72</v>
      </c>
      <c r="O6122">
        <v>7898.04</v>
      </c>
      <c r="P6122">
        <v>0</v>
      </c>
      <c r="Q6122">
        <v>7898.04</v>
      </c>
      <c r="R6122">
        <v>1263.69</v>
      </c>
      <c r="S6122">
        <v>315.92</v>
      </c>
      <c r="T6122">
        <v>8845.81</v>
      </c>
      <c r="U6122" t="s">
        <v>2355</v>
      </c>
      <c r="V6122" t="s">
        <v>9409</v>
      </c>
      <c r="W6122" t="s">
        <v>423</v>
      </c>
    </row>
    <row r="6123" spans="1:23" hidden="1" x14ac:dyDescent="0.2">
      <c r="A6123">
        <v>2012</v>
      </c>
      <c r="B6123" t="s">
        <v>303</v>
      </c>
      <c r="C6123" s="733">
        <v>40933</v>
      </c>
      <c r="D61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23" t="s">
        <v>478</v>
      </c>
      <c r="F6123" t="s">
        <v>2136</v>
      </c>
      <c r="G6123" t="s">
        <v>7055</v>
      </c>
      <c r="H6123">
        <v>34875</v>
      </c>
      <c r="I6123" t="s">
        <v>423</v>
      </c>
      <c r="J6123" t="s">
        <v>5307</v>
      </c>
      <c r="K6123" t="s">
        <v>425</v>
      </c>
      <c r="L6123" t="s">
        <v>2145</v>
      </c>
      <c r="M6123">
        <v>1365</v>
      </c>
      <c r="N6123">
        <v>48.19</v>
      </c>
      <c r="O6123">
        <v>43698.21</v>
      </c>
      <c r="P6123">
        <v>0</v>
      </c>
      <c r="Q6123">
        <v>43698.21</v>
      </c>
      <c r="R6123">
        <v>6991.71</v>
      </c>
      <c r="S6123">
        <v>1747.93</v>
      </c>
      <c r="T6123">
        <v>48941.99</v>
      </c>
      <c r="U6123" t="s">
        <v>3234</v>
      </c>
      <c r="V6123" t="s">
        <v>9409</v>
      </c>
      <c r="W6123" t="s">
        <v>423</v>
      </c>
    </row>
    <row r="6124" spans="1:23" hidden="1" x14ac:dyDescent="0.2">
      <c r="A6124">
        <v>2012</v>
      </c>
      <c r="B6124" t="s">
        <v>303</v>
      </c>
      <c r="C6124" s="733">
        <v>40939</v>
      </c>
      <c r="D61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24" t="s">
        <v>478</v>
      </c>
      <c r="F6124" t="s">
        <v>2622</v>
      </c>
      <c r="G6124" t="s">
        <v>7054</v>
      </c>
      <c r="H6124">
        <v>35048</v>
      </c>
      <c r="I6124" t="s">
        <v>423</v>
      </c>
      <c r="J6124" t="s">
        <v>5307</v>
      </c>
      <c r="K6124" t="s">
        <v>425</v>
      </c>
      <c r="L6124" t="s">
        <v>2145</v>
      </c>
      <c r="M6124">
        <v>1365</v>
      </c>
      <c r="N6124">
        <v>25.95</v>
      </c>
      <c r="O6124">
        <v>23531.200000000001</v>
      </c>
      <c r="P6124">
        <v>0</v>
      </c>
      <c r="Q6124">
        <v>23531.200000000001</v>
      </c>
      <c r="R6124">
        <v>3764.99</v>
      </c>
      <c r="S6124">
        <v>941.25</v>
      </c>
      <c r="T6124">
        <v>26354.94</v>
      </c>
      <c r="U6124" t="s">
        <v>2914</v>
      </c>
      <c r="V6124" t="s">
        <v>9408</v>
      </c>
      <c r="W6124" t="s">
        <v>423</v>
      </c>
    </row>
    <row r="6125" spans="1:23" hidden="1" x14ac:dyDescent="0.2">
      <c r="A6125">
        <v>2012</v>
      </c>
      <c r="B6125" t="s">
        <v>305</v>
      </c>
      <c r="C6125" s="733">
        <v>40973</v>
      </c>
      <c r="D6125" s="733" t="str">
        <f>CHOOSE(MONTH(Tabla_sqldatos_bonampakdb_Bon_v_ingresos2012[[#This Row],[fecha_guia]]),"Enero","Febrero","Marzo","Abril","Mayo","Junio","Julio","Agosto","Septiembre","Octubre","Noviembre","Diciembre")</f>
        <v>Marzo</v>
      </c>
      <c r="E6125" t="s">
        <v>505</v>
      </c>
      <c r="F6125" t="s">
        <v>1915</v>
      </c>
      <c r="G6125" t="s">
        <v>9758</v>
      </c>
      <c r="H6125">
        <v>23144</v>
      </c>
      <c r="I6125" t="s">
        <v>1979</v>
      </c>
      <c r="J6125" t="s">
        <v>4254</v>
      </c>
      <c r="K6125" t="s">
        <v>1918</v>
      </c>
      <c r="L6125" t="s">
        <v>1919</v>
      </c>
      <c r="M6125">
        <v>2819</v>
      </c>
      <c r="N6125">
        <v>49.64</v>
      </c>
      <c r="O6125">
        <v>57850.95</v>
      </c>
      <c r="P6125">
        <v>0</v>
      </c>
      <c r="Q6125">
        <v>57850.95</v>
      </c>
      <c r="R6125">
        <v>9256.15</v>
      </c>
      <c r="S6125">
        <v>2314.04</v>
      </c>
      <c r="T6125">
        <v>64793.06</v>
      </c>
      <c r="V6125" t="s">
        <v>9409</v>
      </c>
      <c r="W6125" t="s">
        <v>1979</v>
      </c>
    </row>
    <row r="6126" spans="1:23" hidden="1" x14ac:dyDescent="0.2">
      <c r="A6126">
        <v>2012</v>
      </c>
      <c r="B6126" t="s">
        <v>303</v>
      </c>
      <c r="C6126" s="733">
        <v>40933</v>
      </c>
      <c r="D61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26" t="s">
        <v>478</v>
      </c>
      <c r="F6126" t="s">
        <v>2136</v>
      </c>
      <c r="G6126" t="s">
        <v>6385</v>
      </c>
      <c r="H6126">
        <v>34933</v>
      </c>
      <c r="I6126" t="s">
        <v>423</v>
      </c>
      <c r="J6126" t="s">
        <v>2936</v>
      </c>
      <c r="K6126" t="s">
        <v>425</v>
      </c>
      <c r="L6126" t="s">
        <v>2145</v>
      </c>
      <c r="M6126">
        <v>604</v>
      </c>
      <c r="N6126">
        <v>21.04</v>
      </c>
      <c r="O6126">
        <v>6587.41</v>
      </c>
      <c r="P6126">
        <v>0</v>
      </c>
      <c r="Q6126">
        <v>6587.41</v>
      </c>
      <c r="R6126">
        <v>1053.99</v>
      </c>
      <c r="S6126">
        <v>263.5</v>
      </c>
      <c r="T6126">
        <v>7377.9</v>
      </c>
      <c r="U6126" t="s">
        <v>3234</v>
      </c>
      <c r="V6126" t="s">
        <v>9408</v>
      </c>
      <c r="W6126" t="s">
        <v>423</v>
      </c>
    </row>
    <row r="6127" spans="1:23" hidden="1" x14ac:dyDescent="0.2">
      <c r="A6127">
        <v>2012</v>
      </c>
      <c r="B6127" t="s">
        <v>303</v>
      </c>
      <c r="C6127" s="733">
        <v>40931</v>
      </c>
      <c r="D61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27" t="s">
        <v>478</v>
      </c>
      <c r="F6127" t="s">
        <v>2136</v>
      </c>
      <c r="G6127" t="s">
        <v>7234</v>
      </c>
      <c r="H6127">
        <v>34470</v>
      </c>
      <c r="I6127" t="s">
        <v>423</v>
      </c>
      <c r="J6127" t="s">
        <v>5689</v>
      </c>
      <c r="K6127" t="s">
        <v>425</v>
      </c>
      <c r="L6127" t="s">
        <v>2145</v>
      </c>
      <c r="M6127">
        <v>764</v>
      </c>
      <c r="N6127">
        <v>48.89</v>
      </c>
      <c r="O6127">
        <v>15620.36</v>
      </c>
      <c r="P6127">
        <v>0</v>
      </c>
      <c r="Q6127">
        <v>15620.36</v>
      </c>
      <c r="R6127">
        <v>2499.2600000000002</v>
      </c>
      <c r="S6127">
        <v>624.80999999999995</v>
      </c>
      <c r="T6127">
        <v>17494.810000000001</v>
      </c>
      <c r="U6127" t="s">
        <v>2355</v>
      </c>
      <c r="V6127" t="s">
        <v>9409</v>
      </c>
      <c r="W6127" t="s">
        <v>423</v>
      </c>
    </row>
    <row r="6128" spans="1:23" hidden="1" x14ac:dyDescent="0.2">
      <c r="A6128">
        <v>2012</v>
      </c>
      <c r="B6128" t="s">
        <v>303</v>
      </c>
      <c r="C6128" s="733">
        <v>40938</v>
      </c>
      <c r="D61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28" t="s">
        <v>478</v>
      </c>
      <c r="F6128" t="s">
        <v>2136</v>
      </c>
      <c r="G6128" t="s">
        <v>7235</v>
      </c>
      <c r="H6128">
        <v>34998</v>
      </c>
      <c r="I6128" t="s">
        <v>423</v>
      </c>
      <c r="J6128" t="s">
        <v>5689</v>
      </c>
      <c r="K6128" t="s">
        <v>425</v>
      </c>
      <c r="L6128" t="s">
        <v>2145</v>
      </c>
      <c r="M6128">
        <v>764</v>
      </c>
      <c r="N6128">
        <v>49.45</v>
      </c>
      <c r="O6128">
        <v>15799.28</v>
      </c>
      <c r="P6128">
        <v>0</v>
      </c>
      <c r="Q6128">
        <v>15799.28</v>
      </c>
      <c r="R6128">
        <v>2527.88</v>
      </c>
      <c r="S6128">
        <v>631.97</v>
      </c>
      <c r="T6128">
        <v>17695.189999999999</v>
      </c>
      <c r="U6128" t="s">
        <v>2580</v>
      </c>
      <c r="V6128" t="s">
        <v>9409</v>
      </c>
      <c r="W6128" t="s">
        <v>423</v>
      </c>
    </row>
    <row r="6129" spans="1:23" hidden="1" x14ac:dyDescent="0.2">
      <c r="A6129">
        <v>2012</v>
      </c>
      <c r="B6129" t="s">
        <v>304</v>
      </c>
      <c r="C6129" s="733">
        <v>40963</v>
      </c>
      <c r="D61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29" t="s">
        <v>485</v>
      </c>
      <c r="F6129" t="s">
        <v>2065</v>
      </c>
      <c r="G6129" t="s">
        <v>8511</v>
      </c>
      <c r="H6129">
        <v>42532</v>
      </c>
      <c r="I6129" t="s">
        <v>423</v>
      </c>
      <c r="J6129" t="s">
        <v>5479</v>
      </c>
      <c r="K6129" t="s">
        <v>2102</v>
      </c>
      <c r="L6129" t="s">
        <v>2115</v>
      </c>
      <c r="M6129">
        <v>979</v>
      </c>
      <c r="N6129">
        <v>25.3</v>
      </c>
      <c r="O6129">
        <v>13564.09</v>
      </c>
      <c r="P6129">
        <v>0</v>
      </c>
      <c r="Q6129">
        <v>13564.09</v>
      </c>
      <c r="R6129">
        <v>2170.25</v>
      </c>
      <c r="S6129">
        <v>542.55999999999995</v>
      </c>
      <c r="T6129">
        <v>15191.78</v>
      </c>
      <c r="V6129" t="s">
        <v>9408</v>
      </c>
      <c r="W6129" t="s">
        <v>423</v>
      </c>
    </row>
    <row r="6130" spans="1:23" hidden="1" x14ac:dyDescent="0.2">
      <c r="A6130">
        <v>2012</v>
      </c>
      <c r="B6130" t="s">
        <v>303</v>
      </c>
      <c r="C6130" s="733">
        <v>40912</v>
      </c>
      <c r="D61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30" t="s">
        <v>485</v>
      </c>
      <c r="F6130" t="s">
        <v>2065</v>
      </c>
      <c r="G6130" t="s">
        <v>2339</v>
      </c>
      <c r="H6130">
        <v>39648</v>
      </c>
      <c r="I6130" t="s">
        <v>423</v>
      </c>
      <c r="J6130" t="s">
        <v>2114</v>
      </c>
      <c r="K6130" t="s">
        <v>2102</v>
      </c>
      <c r="L6130" t="s">
        <v>2115</v>
      </c>
      <c r="M6130">
        <v>500</v>
      </c>
      <c r="N6130">
        <v>51.36</v>
      </c>
      <c r="O6130">
        <v>7271.04</v>
      </c>
      <c r="P6130">
        <v>8186.3912259999997</v>
      </c>
      <c r="Q6130">
        <v>15457.431226000001</v>
      </c>
      <c r="R6130">
        <v>2473.1889959999999</v>
      </c>
      <c r="S6130">
        <v>618.29724899999997</v>
      </c>
      <c r="T6130">
        <v>17312.322972999998</v>
      </c>
      <c r="U6130" t="s">
        <v>2104</v>
      </c>
      <c r="V6130" t="s">
        <v>9409</v>
      </c>
      <c r="W6130" t="s">
        <v>423</v>
      </c>
    </row>
    <row r="6131" spans="1:23" hidden="1" x14ac:dyDescent="0.2">
      <c r="A6131">
        <v>2012</v>
      </c>
      <c r="B6131" t="s">
        <v>303</v>
      </c>
      <c r="C6131" s="733">
        <v>40932</v>
      </c>
      <c r="D61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31" t="s">
        <v>485</v>
      </c>
      <c r="F6131" t="s">
        <v>2065</v>
      </c>
      <c r="G6131" t="s">
        <v>2358</v>
      </c>
      <c r="H6131">
        <v>40767</v>
      </c>
      <c r="I6131" t="s">
        <v>423</v>
      </c>
      <c r="J6131" t="s">
        <v>2114</v>
      </c>
      <c r="K6131" t="s">
        <v>2102</v>
      </c>
      <c r="L6131" t="s">
        <v>2115</v>
      </c>
      <c r="M6131">
        <v>500</v>
      </c>
      <c r="N6131">
        <v>39.15</v>
      </c>
      <c r="O6131">
        <v>13164.19</v>
      </c>
      <c r="P6131">
        <v>0</v>
      </c>
      <c r="Q6131">
        <v>13164.19</v>
      </c>
      <c r="R6131">
        <v>2106.27</v>
      </c>
      <c r="S6131">
        <v>526.57000000000005</v>
      </c>
      <c r="T6131">
        <v>14743.89</v>
      </c>
      <c r="U6131" t="s">
        <v>2108</v>
      </c>
      <c r="V6131" t="s">
        <v>9409</v>
      </c>
      <c r="W6131" t="s">
        <v>423</v>
      </c>
    </row>
    <row r="6132" spans="1:23" hidden="1" x14ac:dyDescent="0.2">
      <c r="A6132">
        <v>2012</v>
      </c>
      <c r="B6132" t="s">
        <v>304</v>
      </c>
      <c r="C6132" s="733">
        <v>40948</v>
      </c>
      <c r="D61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32" t="s">
        <v>505</v>
      </c>
      <c r="F6132" t="s">
        <v>1915</v>
      </c>
      <c r="G6132" t="s">
        <v>6796</v>
      </c>
      <c r="H6132">
        <v>22569</v>
      </c>
      <c r="I6132" t="s">
        <v>424</v>
      </c>
      <c r="J6132" t="s">
        <v>4155</v>
      </c>
      <c r="K6132" t="s">
        <v>1918</v>
      </c>
      <c r="L6132" t="s">
        <v>1919</v>
      </c>
      <c r="M6132">
        <v>650</v>
      </c>
      <c r="N6132">
        <v>30</v>
      </c>
      <c r="O6132">
        <v>5937.35</v>
      </c>
      <c r="P6132">
        <v>3412.1356719999999</v>
      </c>
      <c r="Q6132">
        <v>9349.4856720000007</v>
      </c>
      <c r="R6132">
        <v>1495.9177070000001</v>
      </c>
      <c r="S6132">
        <v>373.97942699999999</v>
      </c>
      <c r="T6132">
        <v>10471.423951999999</v>
      </c>
      <c r="U6132" t="s">
        <v>1924</v>
      </c>
      <c r="V6132" t="s">
        <v>9408</v>
      </c>
      <c r="W6132" t="s">
        <v>424</v>
      </c>
    </row>
    <row r="6133" spans="1:23" hidden="1" x14ac:dyDescent="0.2">
      <c r="A6133">
        <v>2012</v>
      </c>
      <c r="B6133" t="s">
        <v>304</v>
      </c>
      <c r="C6133" s="733">
        <v>40955.408113425925</v>
      </c>
      <c r="D61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33" t="s">
        <v>478</v>
      </c>
      <c r="F6133" t="s">
        <v>3358</v>
      </c>
      <c r="G6133" t="s">
        <v>7780</v>
      </c>
      <c r="H6133">
        <v>35695</v>
      </c>
      <c r="I6133" t="s">
        <v>423</v>
      </c>
      <c r="J6133" t="s">
        <v>4396</v>
      </c>
      <c r="K6133" t="s">
        <v>4397</v>
      </c>
      <c r="L6133" t="s">
        <v>4398</v>
      </c>
      <c r="M6133">
        <v>112</v>
      </c>
      <c r="N6133">
        <v>21.98</v>
      </c>
      <c r="O6133">
        <v>2480.88</v>
      </c>
      <c r="P6133">
        <v>0</v>
      </c>
      <c r="Q6133">
        <v>2480.88</v>
      </c>
      <c r="R6133">
        <v>396.94</v>
      </c>
      <c r="S6133">
        <v>99.24</v>
      </c>
      <c r="T6133">
        <v>2778.58</v>
      </c>
      <c r="U6133" t="s">
        <v>7540</v>
      </c>
      <c r="V6133" t="s">
        <v>9408</v>
      </c>
      <c r="W6133" t="s">
        <v>423</v>
      </c>
    </row>
    <row r="6134" spans="1:23" hidden="1" x14ac:dyDescent="0.2">
      <c r="A6134">
        <v>2012</v>
      </c>
      <c r="B6134" t="s">
        <v>304</v>
      </c>
      <c r="C6134" s="733">
        <v>40953</v>
      </c>
      <c r="D61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34" t="s">
        <v>505</v>
      </c>
      <c r="F6134" t="s">
        <v>1915</v>
      </c>
      <c r="G6134" t="s">
        <v>6791</v>
      </c>
      <c r="H6134">
        <v>22677</v>
      </c>
      <c r="I6134" t="s">
        <v>423</v>
      </c>
      <c r="J6134" t="s">
        <v>4153</v>
      </c>
      <c r="K6134" t="s">
        <v>1918</v>
      </c>
      <c r="L6134" t="s">
        <v>1919</v>
      </c>
      <c r="M6134">
        <v>850</v>
      </c>
      <c r="N6134">
        <v>50.14</v>
      </c>
      <c r="O6134">
        <v>31330.48</v>
      </c>
      <c r="P6134">
        <v>0</v>
      </c>
      <c r="Q6134">
        <v>31330.48</v>
      </c>
      <c r="R6134">
        <v>5012.88</v>
      </c>
      <c r="S6134">
        <v>1253.22</v>
      </c>
      <c r="T6134">
        <v>35090.14</v>
      </c>
      <c r="U6134" t="s">
        <v>7529</v>
      </c>
      <c r="V6134" t="s">
        <v>9409</v>
      </c>
      <c r="W6134" t="s">
        <v>423</v>
      </c>
    </row>
    <row r="6135" spans="1:23" hidden="1" x14ac:dyDescent="0.2">
      <c r="A6135">
        <v>2012</v>
      </c>
      <c r="B6135" t="s">
        <v>303</v>
      </c>
      <c r="C6135" s="733">
        <v>40932</v>
      </c>
      <c r="D61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35" t="s">
        <v>505</v>
      </c>
      <c r="F6135" t="s">
        <v>1915</v>
      </c>
      <c r="G6135" t="s">
        <v>6792</v>
      </c>
      <c r="H6135">
        <v>22149</v>
      </c>
      <c r="I6135" t="s">
        <v>423</v>
      </c>
      <c r="J6135" t="s">
        <v>4153</v>
      </c>
      <c r="K6135" t="s">
        <v>1918</v>
      </c>
      <c r="L6135" t="s">
        <v>1919</v>
      </c>
      <c r="M6135">
        <v>850</v>
      </c>
      <c r="N6135">
        <v>49.42</v>
      </c>
      <c r="O6135">
        <v>30880.58</v>
      </c>
      <c r="P6135">
        <v>0</v>
      </c>
      <c r="Q6135">
        <v>30880.58</v>
      </c>
      <c r="R6135">
        <v>4940.8900000000003</v>
      </c>
      <c r="S6135">
        <v>1235.22</v>
      </c>
      <c r="T6135">
        <v>34586.25</v>
      </c>
      <c r="U6135" t="s">
        <v>1936</v>
      </c>
      <c r="V6135" t="s">
        <v>9409</v>
      </c>
      <c r="W6135" t="s">
        <v>423</v>
      </c>
    </row>
    <row r="6136" spans="1:23" hidden="1" x14ac:dyDescent="0.2">
      <c r="A6136">
        <v>2012</v>
      </c>
      <c r="B6136" t="s">
        <v>304</v>
      </c>
      <c r="C6136" s="733">
        <v>40949</v>
      </c>
      <c r="D61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36" t="s">
        <v>505</v>
      </c>
      <c r="F6136" t="s">
        <v>2065</v>
      </c>
      <c r="G6136" t="s">
        <v>6794</v>
      </c>
      <c r="H6136">
        <v>22619</v>
      </c>
      <c r="I6136" t="s">
        <v>424</v>
      </c>
      <c r="J6136" t="s">
        <v>6795</v>
      </c>
      <c r="K6136" t="s">
        <v>1918</v>
      </c>
      <c r="L6136" t="s">
        <v>1919</v>
      </c>
      <c r="M6136">
        <v>520</v>
      </c>
      <c r="N6136">
        <v>30</v>
      </c>
      <c r="O6136">
        <v>5386.86</v>
      </c>
      <c r="P6136">
        <v>3095.7745730000001</v>
      </c>
      <c r="Q6136">
        <v>8482.6345729999994</v>
      </c>
      <c r="R6136">
        <v>1357.221532</v>
      </c>
      <c r="S6136">
        <v>339.30538300000001</v>
      </c>
      <c r="T6136">
        <v>9500.550722</v>
      </c>
      <c r="U6136" t="s">
        <v>1924</v>
      </c>
      <c r="V6136" t="s">
        <v>9408</v>
      </c>
      <c r="W6136" t="s">
        <v>424</v>
      </c>
    </row>
    <row r="6137" spans="1:23" hidden="1" x14ac:dyDescent="0.2">
      <c r="A6137">
        <v>2012</v>
      </c>
      <c r="B6137" t="s">
        <v>304</v>
      </c>
      <c r="C6137" s="733">
        <v>40949</v>
      </c>
      <c r="D61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37" t="s">
        <v>505</v>
      </c>
      <c r="F6137" t="s">
        <v>1915</v>
      </c>
      <c r="G6137" t="s">
        <v>6793</v>
      </c>
      <c r="H6137">
        <v>22558</v>
      </c>
      <c r="I6137" t="s">
        <v>423</v>
      </c>
      <c r="J6137" t="s">
        <v>4153</v>
      </c>
      <c r="K6137" t="s">
        <v>1918</v>
      </c>
      <c r="L6137" t="s">
        <v>1919</v>
      </c>
      <c r="M6137">
        <v>850</v>
      </c>
      <c r="N6137">
        <v>49.84</v>
      </c>
      <c r="O6137">
        <v>31143.02</v>
      </c>
      <c r="P6137">
        <v>0</v>
      </c>
      <c r="Q6137">
        <v>31143.02</v>
      </c>
      <c r="R6137">
        <v>4982.88</v>
      </c>
      <c r="S6137">
        <v>1245.72</v>
      </c>
      <c r="T6137">
        <v>34880.18</v>
      </c>
      <c r="U6137" t="s">
        <v>7522</v>
      </c>
      <c r="V6137" t="s">
        <v>9409</v>
      </c>
      <c r="W6137" t="s">
        <v>423</v>
      </c>
    </row>
    <row r="6138" spans="1:23" hidden="1" x14ac:dyDescent="0.2">
      <c r="A6138">
        <v>2012</v>
      </c>
      <c r="B6138" t="s">
        <v>304</v>
      </c>
      <c r="C6138" s="733">
        <v>40942</v>
      </c>
      <c r="D61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38" t="s">
        <v>505</v>
      </c>
      <c r="F6138" t="s">
        <v>1915</v>
      </c>
      <c r="G6138" t="s">
        <v>6691</v>
      </c>
      <c r="H6138">
        <v>22435</v>
      </c>
      <c r="I6138" t="s">
        <v>423</v>
      </c>
      <c r="J6138" t="s">
        <v>4153</v>
      </c>
      <c r="K6138" t="s">
        <v>1918</v>
      </c>
      <c r="L6138" t="s">
        <v>1919</v>
      </c>
      <c r="M6138">
        <v>850</v>
      </c>
      <c r="N6138">
        <v>50.02</v>
      </c>
      <c r="O6138">
        <v>31255.5</v>
      </c>
      <c r="P6138">
        <v>0</v>
      </c>
      <c r="Q6138">
        <v>31255.5</v>
      </c>
      <c r="R6138">
        <v>5000.88</v>
      </c>
      <c r="S6138">
        <v>1250.22</v>
      </c>
      <c r="T6138">
        <v>35006.160000000003</v>
      </c>
      <c r="U6138" t="s">
        <v>1924</v>
      </c>
      <c r="V6138" t="s">
        <v>9409</v>
      </c>
      <c r="W6138" t="s">
        <v>423</v>
      </c>
    </row>
    <row r="6139" spans="1:23" hidden="1" x14ac:dyDescent="0.2">
      <c r="A6139">
        <v>2012</v>
      </c>
      <c r="B6139" t="s">
        <v>303</v>
      </c>
      <c r="C6139" s="733">
        <v>40914.733993055554</v>
      </c>
      <c r="D61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39" t="s">
        <v>505</v>
      </c>
      <c r="F6139" t="s">
        <v>1915</v>
      </c>
      <c r="G6139" t="s">
        <v>6803</v>
      </c>
      <c r="H6139">
        <v>21783</v>
      </c>
      <c r="I6139" t="s">
        <v>423</v>
      </c>
      <c r="J6139" t="s">
        <v>4153</v>
      </c>
      <c r="K6139" t="s">
        <v>1918</v>
      </c>
      <c r="L6139" t="s">
        <v>1919</v>
      </c>
      <c r="M6139">
        <v>850</v>
      </c>
      <c r="N6139">
        <v>24.19</v>
      </c>
      <c r="O6139">
        <v>15115.36</v>
      </c>
      <c r="P6139">
        <v>0</v>
      </c>
      <c r="Q6139">
        <v>15115.36</v>
      </c>
      <c r="R6139">
        <v>2418.46</v>
      </c>
      <c r="S6139">
        <v>604.61</v>
      </c>
      <c r="T6139">
        <v>16929.21</v>
      </c>
      <c r="U6139" t="s">
        <v>1920</v>
      </c>
      <c r="V6139" t="s">
        <v>9408</v>
      </c>
      <c r="W6139" t="s">
        <v>423</v>
      </c>
    </row>
    <row r="6140" spans="1:23" hidden="1" x14ac:dyDescent="0.2">
      <c r="A6140">
        <v>2012</v>
      </c>
      <c r="B6140" t="s">
        <v>304</v>
      </c>
      <c r="C6140" s="733">
        <v>40953</v>
      </c>
      <c r="D61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40" t="s">
        <v>505</v>
      </c>
      <c r="F6140" t="s">
        <v>1915</v>
      </c>
      <c r="G6140" t="s">
        <v>6790</v>
      </c>
      <c r="H6140">
        <v>22668</v>
      </c>
      <c r="I6140" t="s">
        <v>423</v>
      </c>
      <c r="J6140" t="s">
        <v>4153</v>
      </c>
      <c r="K6140" t="s">
        <v>1918</v>
      </c>
      <c r="L6140" t="s">
        <v>1919</v>
      </c>
      <c r="M6140">
        <v>850</v>
      </c>
      <c r="N6140">
        <v>49.91</v>
      </c>
      <c r="O6140">
        <v>31186.76</v>
      </c>
      <c r="P6140">
        <v>0</v>
      </c>
      <c r="Q6140">
        <v>31186.76</v>
      </c>
      <c r="R6140">
        <v>4989.88</v>
      </c>
      <c r="S6140">
        <v>1247.47</v>
      </c>
      <c r="T6140">
        <v>34929.17</v>
      </c>
      <c r="U6140" t="s">
        <v>7529</v>
      </c>
      <c r="V6140" t="s">
        <v>9409</v>
      </c>
      <c r="W6140" t="s">
        <v>423</v>
      </c>
    </row>
    <row r="6141" spans="1:23" hidden="1" x14ac:dyDescent="0.2">
      <c r="A6141">
        <v>2012</v>
      </c>
      <c r="B6141" t="s">
        <v>305</v>
      </c>
      <c r="C6141" s="733">
        <v>40970</v>
      </c>
      <c r="D6141" s="733" t="str">
        <f>CHOOSE(MONTH(Tabla_sqldatos_bonampakdb_Bon_v_ingresos2012[[#This Row],[fecha_guia]]),"Enero","Febrero","Marzo","Abril","Mayo","Junio","Julio","Agosto","Septiembre","Octubre","Noviembre","Diciembre")</f>
        <v>Marzo</v>
      </c>
      <c r="E6141" t="s">
        <v>478</v>
      </c>
      <c r="F6141" t="s">
        <v>2136</v>
      </c>
      <c r="G6141" t="s">
        <v>9759</v>
      </c>
      <c r="H6141">
        <v>36293</v>
      </c>
      <c r="I6141" t="s">
        <v>423</v>
      </c>
      <c r="J6141" t="s">
        <v>2662</v>
      </c>
      <c r="K6141" t="s">
        <v>2625</v>
      </c>
      <c r="L6141" t="s">
        <v>2626</v>
      </c>
      <c r="M6141">
        <v>66</v>
      </c>
      <c r="N6141">
        <v>22.51</v>
      </c>
      <c r="O6141">
        <v>2650.1</v>
      </c>
      <c r="P6141">
        <v>0</v>
      </c>
      <c r="Q6141">
        <v>2650.1</v>
      </c>
      <c r="R6141">
        <v>424.02</v>
      </c>
      <c r="S6141">
        <v>106</v>
      </c>
      <c r="T6141">
        <v>2968.12</v>
      </c>
      <c r="V6141" t="s">
        <v>9408</v>
      </c>
      <c r="W6141" t="s">
        <v>423</v>
      </c>
    </row>
    <row r="6142" spans="1:23" hidden="1" x14ac:dyDescent="0.2">
      <c r="A6142">
        <v>2012</v>
      </c>
      <c r="B6142" t="s">
        <v>303</v>
      </c>
      <c r="C6142" s="733">
        <v>40934</v>
      </c>
      <c r="D61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42" t="s">
        <v>478</v>
      </c>
      <c r="F6142" t="s">
        <v>2136</v>
      </c>
      <c r="G6142" t="s">
        <v>5076</v>
      </c>
      <c r="H6142">
        <v>34959</v>
      </c>
      <c r="I6142" t="s">
        <v>423</v>
      </c>
      <c r="J6142" t="s">
        <v>5077</v>
      </c>
      <c r="K6142" t="s">
        <v>425</v>
      </c>
      <c r="L6142" t="s">
        <v>2145</v>
      </c>
      <c r="M6142">
        <v>876</v>
      </c>
      <c r="N6142">
        <v>29.74</v>
      </c>
      <c r="O6142">
        <v>12892.88</v>
      </c>
      <c r="P6142">
        <v>0</v>
      </c>
      <c r="Q6142">
        <v>12892.88</v>
      </c>
      <c r="R6142">
        <v>2062.86</v>
      </c>
      <c r="S6142">
        <v>515.72</v>
      </c>
      <c r="T6142">
        <v>14440.02</v>
      </c>
      <c r="U6142" t="s">
        <v>2355</v>
      </c>
      <c r="V6142" t="s">
        <v>9408</v>
      </c>
      <c r="W6142" t="s">
        <v>423</v>
      </c>
    </row>
    <row r="6143" spans="1:23" hidden="1" x14ac:dyDescent="0.2">
      <c r="A6143">
        <v>2012</v>
      </c>
      <c r="B6143" t="s">
        <v>303</v>
      </c>
      <c r="C6143" s="733">
        <v>40938.771018518521</v>
      </c>
      <c r="D61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43" t="s">
        <v>478</v>
      </c>
      <c r="F6143" t="s">
        <v>2622</v>
      </c>
      <c r="G6143" t="s">
        <v>4214</v>
      </c>
      <c r="H6143">
        <v>35066</v>
      </c>
      <c r="I6143" t="s">
        <v>423</v>
      </c>
      <c r="J6143" t="s">
        <v>2662</v>
      </c>
      <c r="K6143" t="s">
        <v>2625</v>
      </c>
      <c r="L6143" t="s">
        <v>2626</v>
      </c>
      <c r="M6143">
        <v>66</v>
      </c>
      <c r="N6143">
        <v>24.27</v>
      </c>
      <c r="O6143">
        <v>2857.31</v>
      </c>
      <c r="P6143">
        <v>0</v>
      </c>
      <c r="Q6143">
        <v>2857.31</v>
      </c>
      <c r="R6143">
        <v>457.17</v>
      </c>
      <c r="S6143">
        <v>114.29</v>
      </c>
      <c r="T6143">
        <v>3200.19</v>
      </c>
      <c r="U6143" t="s">
        <v>2648</v>
      </c>
      <c r="V6143" t="s">
        <v>9408</v>
      </c>
      <c r="W6143" t="s">
        <v>423</v>
      </c>
    </row>
    <row r="6144" spans="1:23" hidden="1" x14ac:dyDescent="0.2">
      <c r="A6144">
        <v>2012</v>
      </c>
      <c r="B6144" t="s">
        <v>304</v>
      </c>
      <c r="C6144" s="733">
        <v>40943.643391203703</v>
      </c>
      <c r="D61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44" t="s">
        <v>485</v>
      </c>
      <c r="F6144" t="s">
        <v>2054</v>
      </c>
      <c r="G6144" t="s">
        <v>5060</v>
      </c>
      <c r="H6144">
        <v>10317</v>
      </c>
      <c r="I6144" t="s">
        <v>423</v>
      </c>
      <c r="J6144" t="s">
        <v>4078</v>
      </c>
      <c r="K6144" t="s">
        <v>2057</v>
      </c>
      <c r="L6144" t="s">
        <v>2058</v>
      </c>
      <c r="M6144">
        <v>154</v>
      </c>
      <c r="N6144">
        <v>22.55</v>
      </c>
      <c r="O6144">
        <v>3800.13</v>
      </c>
      <c r="P6144">
        <v>0</v>
      </c>
      <c r="Q6144">
        <v>3800.13</v>
      </c>
      <c r="R6144">
        <v>608.02</v>
      </c>
      <c r="S6144">
        <v>152.01</v>
      </c>
      <c r="T6144">
        <v>4256.1400000000003</v>
      </c>
      <c r="U6144" t="s">
        <v>2075</v>
      </c>
      <c r="V6144" t="s">
        <v>9408</v>
      </c>
      <c r="W6144" t="s">
        <v>423</v>
      </c>
    </row>
    <row r="6145" spans="1:23" hidden="1" x14ac:dyDescent="0.2">
      <c r="A6145">
        <v>2012</v>
      </c>
      <c r="B6145" t="s">
        <v>304</v>
      </c>
      <c r="C6145" s="733">
        <v>40952</v>
      </c>
      <c r="D61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45" t="s">
        <v>505</v>
      </c>
      <c r="F6145" t="s">
        <v>1915</v>
      </c>
      <c r="G6145" t="s">
        <v>5549</v>
      </c>
      <c r="H6145">
        <v>22624</v>
      </c>
      <c r="I6145" t="s">
        <v>1979</v>
      </c>
      <c r="J6145" t="s">
        <v>1980</v>
      </c>
      <c r="K6145" t="s">
        <v>1918</v>
      </c>
      <c r="L6145" t="s">
        <v>1919</v>
      </c>
      <c r="M6145">
        <v>732</v>
      </c>
      <c r="N6145">
        <v>50.52</v>
      </c>
      <c r="O6145">
        <v>22158.07</v>
      </c>
      <c r="P6145">
        <v>0</v>
      </c>
      <c r="Q6145">
        <v>22158.07</v>
      </c>
      <c r="R6145">
        <v>3545.29</v>
      </c>
      <c r="S6145">
        <v>886.32</v>
      </c>
      <c r="T6145">
        <v>24817.040000000001</v>
      </c>
      <c r="U6145" t="s">
        <v>7522</v>
      </c>
      <c r="V6145" t="s">
        <v>9409</v>
      </c>
      <c r="W6145" t="s">
        <v>1979</v>
      </c>
    </row>
    <row r="6146" spans="1:23" hidden="1" x14ac:dyDescent="0.2">
      <c r="A6146">
        <v>2012</v>
      </c>
      <c r="B6146" t="s">
        <v>304</v>
      </c>
      <c r="C6146" s="733">
        <v>40946</v>
      </c>
      <c r="D61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46" t="s">
        <v>505</v>
      </c>
      <c r="F6146" t="s">
        <v>1915</v>
      </c>
      <c r="G6146" t="s">
        <v>3405</v>
      </c>
      <c r="H6146">
        <v>22503</v>
      </c>
      <c r="I6146" t="s">
        <v>1979</v>
      </c>
      <c r="J6146" t="s">
        <v>1980</v>
      </c>
      <c r="K6146" t="s">
        <v>1918</v>
      </c>
      <c r="L6146" t="s">
        <v>1919</v>
      </c>
      <c r="M6146">
        <v>732</v>
      </c>
      <c r="N6146">
        <v>49.89</v>
      </c>
      <c r="O6146">
        <v>23587.99</v>
      </c>
      <c r="P6146">
        <v>0</v>
      </c>
      <c r="Q6146">
        <v>23587.99</v>
      </c>
      <c r="R6146">
        <v>3774.08</v>
      </c>
      <c r="S6146">
        <v>943.52</v>
      </c>
      <c r="T6146">
        <v>26418.55</v>
      </c>
      <c r="U6146" t="s">
        <v>1924</v>
      </c>
      <c r="V6146" t="s">
        <v>9409</v>
      </c>
      <c r="W6146" t="s">
        <v>1979</v>
      </c>
    </row>
    <row r="6147" spans="1:23" hidden="1" x14ac:dyDescent="0.2">
      <c r="A6147">
        <v>2012</v>
      </c>
      <c r="B6147" t="s">
        <v>304</v>
      </c>
      <c r="C6147" s="733">
        <v>40960.453287037039</v>
      </c>
      <c r="D61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47" t="s">
        <v>478</v>
      </c>
      <c r="F6147" t="s">
        <v>2622</v>
      </c>
      <c r="G6147" t="s">
        <v>8458</v>
      </c>
      <c r="H6147">
        <v>35835</v>
      </c>
      <c r="I6147" t="s">
        <v>423</v>
      </c>
      <c r="J6147" t="s">
        <v>2662</v>
      </c>
      <c r="K6147" t="s">
        <v>2625</v>
      </c>
      <c r="L6147" t="s">
        <v>2626</v>
      </c>
      <c r="M6147">
        <v>66</v>
      </c>
      <c r="N6147">
        <v>24.19</v>
      </c>
      <c r="O6147">
        <v>2847.89</v>
      </c>
      <c r="P6147">
        <v>0</v>
      </c>
      <c r="Q6147">
        <v>2847.89</v>
      </c>
      <c r="R6147">
        <v>455.66</v>
      </c>
      <c r="S6147">
        <v>113.92</v>
      </c>
      <c r="T6147">
        <v>3189.63</v>
      </c>
      <c r="U6147" t="s">
        <v>8267</v>
      </c>
      <c r="V6147" t="s">
        <v>9408</v>
      </c>
      <c r="W6147" t="s">
        <v>423</v>
      </c>
    </row>
    <row r="6148" spans="1:23" hidden="1" x14ac:dyDescent="0.2">
      <c r="A6148">
        <v>2012</v>
      </c>
      <c r="B6148" t="s">
        <v>303</v>
      </c>
      <c r="C6148" s="733">
        <v>40921.693078703705</v>
      </c>
      <c r="D61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48" t="s">
        <v>478</v>
      </c>
      <c r="F6148" t="s">
        <v>2622</v>
      </c>
      <c r="G6148" t="s">
        <v>5075</v>
      </c>
      <c r="H6148">
        <v>34510</v>
      </c>
      <c r="I6148" t="s">
        <v>423</v>
      </c>
      <c r="J6148" t="s">
        <v>4780</v>
      </c>
      <c r="K6148" t="s">
        <v>425</v>
      </c>
      <c r="L6148" t="s">
        <v>2145</v>
      </c>
      <c r="M6148">
        <v>196</v>
      </c>
      <c r="N6148">
        <v>25.51</v>
      </c>
      <c r="O6148">
        <v>4533.38</v>
      </c>
      <c r="P6148">
        <v>0</v>
      </c>
      <c r="Q6148">
        <v>4533.38</v>
      </c>
      <c r="R6148">
        <v>725.34</v>
      </c>
      <c r="S6148">
        <v>181.34</v>
      </c>
      <c r="T6148">
        <v>5077.38</v>
      </c>
      <c r="U6148" t="s">
        <v>2627</v>
      </c>
      <c r="V6148" t="s">
        <v>9408</v>
      </c>
      <c r="W6148" t="s">
        <v>423</v>
      </c>
    </row>
    <row r="6149" spans="1:23" hidden="1" x14ac:dyDescent="0.2">
      <c r="A6149">
        <v>2012</v>
      </c>
      <c r="B6149" t="s">
        <v>304</v>
      </c>
      <c r="C6149" s="733">
        <v>40942.879062499997</v>
      </c>
      <c r="D61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49" t="s">
        <v>478</v>
      </c>
      <c r="F6149" t="s">
        <v>2142</v>
      </c>
      <c r="G6149" t="s">
        <v>5687</v>
      </c>
      <c r="H6149">
        <v>35292</v>
      </c>
      <c r="I6149" t="s">
        <v>423</v>
      </c>
      <c r="J6149" t="s">
        <v>3636</v>
      </c>
      <c r="K6149" t="s">
        <v>425</v>
      </c>
      <c r="L6149" t="s">
        <v>2145</v>
      </c>
      <c r="M6149">
        <v>244</v>
      </c>
      <c r="N6149">
        <v>23.36</v>
      </c>
      <c r="O6149">
        <v>3901.59</v>
      </c>
      <c r="P6149">
        <v>0</v>
      </c>
      <c r="Q6149">
        <v>3901.59</v>
      </c>
      <c r="R6149">
        <v>624.25</v>
      </c>
      <c r="S6149">
        <v>156.06</v>
      </c>
      <c r="T6149">
        <v>4369.78</v>
      </c>
      <c r="U6149" t="s">
        <v>3115</v>
      </c>
      <c r="V6149" t="s">
        <v>9408</v>
      </c>
      <c r="W6149" t="s">
        <v>423</v>
      </c>
    </row>
    <row r="6150" spans="1:23" hidden="1" x14ac:dyDescent="0.2">
      <c r="A6150">
        <v>2012</v>
      </c>
      <c r="B6150" t="s">
        <v>303</v>
      </c>
      <c r="C6150" s="733">
        <v>40928.725312499999</v>
      </c>
      <c r="D61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50" t="s">
        <v>478</v>
      </c>
      <c r="F6150" t="s">
        <v>2136</v>
      </c>
      <c r="G6150" t="s">
        <v>5078</v>
      </c>
      <c r="H6150">
        <v>34756</v>
      </c>
      <c r="I6150" t="s">
        <v>423</v>
      </c>
      <c r="J6150" t="s">
        <v>3636</v>
      </c>
      <c r="K6150" t="s">
        <v>425</v>
      </c>
      <c r="L6150" t="s">
        <v>2145</v>
      </c>
      <c r="M6150">
        <v>244</v>
      </c>
      <c r="N6150">
        <v>26.2</v>
      </c>
      <c r="O6150">
        <v>4375.92</v>
      </c>
      <c r="P6150">
        <v>0</v>
      </c>
      <c r="Q6150">
        <v>4375.92</v>
      </c>
      <c r="R6150">
        <v>700.15</v>
      </c>
      <c r="S6150">
        <v>175.04</v>
      </c>
      <c r="T6150">
        <v>4901.03</v>
      </c>
      <c r="U6150" t="s">
        <v>3234</v>
      </c>
      <c r="V6150" t="s">
        <v>9409</v>
      </c>
      <c r="W6150" t="s">
        <v>423</v>
      </c>
    </row>
    <row r="6151" spans="1:23" hidden="1" x14ac:dyDescent="0.2">
      <c r="A6151">
        <v>2012</v>
      </c>
      <c r="B6151" t="s">
        <v>305</v>
      </c>
      <c r="C6151" s="733">
        <v>40969</v>
      </c>
      <c r="D6151" s="733" t="str">
        <f>CHOOSE(MONTH(Tabla_sqldatos_bonampakdb_Bon_v_ingresos2012[[#This Row],[fecha_guia]]),"Enero","Febrero","Marzo","Abril","Mayo","Junio","Julio","Agosto","Septiembre","Octubre","Noviembre","Diciembre")</f>
        <v>Marzo</v>
      </c>
      <c r="E6151" t="s">
        <v>505</v>
      </c>
      <c r="F6151" t="s">
        <v>1915</v>
      </c>
      <c r="G6151" t="s">
        <v>9624</v>
      </c>
      <c r="H6151">
        <v>23091</v>
      </c>
      <c r="I6151" t="s">
        <v>1979</v>
      </c>
      <c r="J6151" t="s">
        <v>1980</v>
      </c>
      <c r="K6151" t="s">
        <v>1918</v>
      </c>
      <c r="L6151" t="s">
        <v>1919</v>
      </c>
      <c r="M6151">
        <v>732</v>
      </c>
      <c r="N6151">
        <v>50.16</v>
      </c>
      <c r="O6151">
        <v>22000.18</v>
      </c>
      <c r="P6151">
        <v>0</v>
      </c>
      <c r="Q6151">
        <v>22000.18</v>
      </c>
      <c r="R6151">
        <v>3520.03</v>
      </c>
      <c r="S6151">
        <v>880.01</v>
      </c>
      <c r="T6151">
        <v>24640.2</v>
      </c>
      <c r="V6151" t="s">
        <v>9409</v>
      </c>
      <c r="W6151" t="s">
        <v>1979</v>
      </c>
    </row>
    <row r="6152" spans="1:23" hidden="1" x14ac:dyDescent="0.2">
      <c r="A6152">
        <v>2012</v>
      </c>
      <c r="B6152" t="s">
        <v>305</v>
      </c>
      <c r="C6152" s="733">
        <v>40971</v>
      </c>
      <c r="D6152" s="733" t="str">
        <f>CHOOSE(MONTH(Tabla_sqldatos_bonampakdb_Bon_v_ingresos2012[[#This Row],[fecha_guia]]),"Enero","Febrero","Marzo","Abril","Mayo","Junio","Julio","Agosto","Septiembre","Octubre","Noviembre","Diciembre")</f>
        <v>Marzo</v>
      </c>
      <c r="E6152" t="s">
        <v>505</v>
      </c>
      <c r="F6152" t="s">
        <v>1915</v>
      </c>
      <c r="G6152" t="s">
        <v>9760</v>
      </c>
      <c r="H6152">
        <v>23145</v>
      </c>
      <c r="I6152" t="s">
        <v>1979</v>
      </c>
      <c r="J6152" t="s">
        <v>1980</v>
      </c>
      <c r="K6152" t="s">
        <v>1918</v>
      </c>
      <c r="L6152" t="s">
        <v>1919</v>
      </c>
      <c r="M6152">
        <v>732</v>
      </c>
      <c r="N6152">
        <v>49.6</v>
      </c>
      <c r="O6152">
        <v>21754.560000000001</v>
      </c>
      <c r="P6152">
        <v>0</v>
      </c>
      <c r="Q6152">
        <v>21754.560000000001</v>
      </c>
      <c r="R6152">
        <v>3480.73</v>
      </c>
      <c r="S6152">
        <v>870.18</v>
      </c>
      <c r="T6152">
        <v>24365.11</v>
      </c>
      <c r="V6152" t="s">
        <v>9409</v>
      </c>
      <c r="W6152" t="s">
        <v>1979</v>
      </c>
    </row>
    <row r="6153" spans="1:23" hidden="1" x14ac:dyDescent="0.2">
      <c r="A6153">
        <v>2012</v>
      </c>
      <c r="B6153" t="s">
        <v>303</v>
      </c>
      <c r="C6153" s="733">
        <v>40938</v>
      </c>
      <c r="D61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53" t="s">
        <v>505</v>
      </c>
      <c r="F6153" t="s">
        <v>1915</v>
      </c>
      <c r="G6153" t="s">
        <v>5291</v>
      </c>
      <c r="H6153">
        <v>22324</v>
      </c>
      <c r="I6153" t="s">
        <v>1979</v>
      </c>
      <c r="J6153" t="s">
        <v>1980</v>
      </c>
      <c r="K6153" t="s">
        <v>1918</v>
      </c>
      <c r="L6153" t="s">
        <v>1919</v>
      </c>
      <c r="M6153">
        <v>732</v>
      </c>
      <c r="N6153">
        <v>50.13</v>
      </c>
      <c r="O6153">
        <v>21987.02</v>
      </c>
      <c r="P6153">
        <v>0</v>
      </c>
      <c r="Q6153">
        <v>21987.02</v>
      </c>
      <c r="R6153">
        <v>3517.92</v>
      </c>
      <c r="S6153">
        <v>879.48</v>
      </c>
      <c r="T6153">
        <v>24625.46</v>
      </c>
      <c r="U6153" t="s">
        <v>1936</v>
      </c>
      <c r="V6153" t="s">
        <v>9409</v>
      </c>
      <c r="W6153" t="s">
        <v>1979</v>
      </c>
    </row>
    <row r="6154" spans="1:23" hidden="1" x14ac:dyDescent="0.2">
      <c r="A6154">
        <v>2012</v>
      </c>
      <c r="B6154" t="s">
        <v>304</v>
      </c>
      <c r="C6154" s="733">
        <v>40962</v>
      </c>
      <c r="D61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54" t="s">
        <v>505</v>
      </c>
      <c r="F6154" t="s">
        <v>1915</v>
      </c>
      <c r="G6154" t="s">
        <v>8457</v>
      </c>
      <c r="H6154">
        <v>22910</v>
      </c>
      <c r="I6154" t="s">
        <v>1979</v>
      </c>
      <c r="J6154" t="s">
        <v>1980</v>
      </c>
      <c r="K6154" t="s">
        <v>1918</v>
      </c>
      <c r="L6154" t="s">
        <v>1919</v>
      </c>
      <c r="M6154">
        <v>732</v>
      </c>
      <c r="N6154">
        <v>49.72</v>
      </c>
      <c r="O6154">
        <v>21807.19</v>
      </c>
      <c r="P6154">
        <v>0</v>
      </c>
      <c r="Q6154">
        <v>21807.19</v>
      </c>
      <c r="R6154">
        <v>3489.15</v>
      </c>
      <c r="S6154">
        <v>872.29</v>
      </c>
      <c r="T6154">
        <v>24424.05</v>
      </c>
      <c r="U6154" t="s">
        <v>8778</v>
      </c>
      <c r="V6154" t="s">
        <v>9409</v>
      </c>
      <c r="W6154" t="s">
        <v>1979</v>
      </c>
    </row>
    <row r="6155" spans="1:23" hidden="1" x14ac:dyDescent="0.2">
      <c r="A6155">
        <v>2012</v>
      </c>
      <c r="B6155" t="s">
        <v>304</v>
      </c>
      <c r="C6155" s="733">
        <v>40966</v>
      </c>
      <c r="D61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55" t="s">
        <v>505</v>
      </c>
      <c r="F6155" t="s">
        <v>1915</v>
      </c>
      <c r="G6155" t="s">
        <v>8839</v>
      </c>
      <c r="H6155">
        <v>23027</v>
      </c>
      <c r="I6155" t="s">
        <v>423</v>
      </c>
      <c r="J6155" t="s">
        <v>1945</v>
      </c>
      <c r="K6155" t="s">
        <v>1918</v>
      </c>
      <c r="L6155" t="s">
        <v>1919</v>
      </c>
      <c r="M6155">
        <v>949</v>
      </c>
      <c r="N6155">
        <v>53.19</v>
      </c>
      <c r="O6155">
        <v>30606.06</v>
      </c>
      <c r="P6155">
        <v>0</v>
      </c>
      <c r="Q6155">
        <v>30606.06</v>
      </c>
      <c r="R6155">
        <v>4896.97</v>
      </c>
      <c r="S6155">
        <v>1224.24</v>
      </c>
      <c r="T6155">
        <v>34278.79</v>
      </c>
      <c r="U6155" t="s">
        <v>9415</v>
      </c>
      <c r="V6155" t="s">
        <v>9409</v>
      </c>
      <c r="W6155" t="s">
        <v>423</v>
      </c>
    </row>
    <row r="6156" spans="1:23" hidden="1" x14ac:dyDescent="0.2">
      <c r="A6156">
        <v>2012</v>
      </c>
      <c r="B6156" t="s">
        <v>303</v>
      </c>
      <c r="C6156" s="733">
        <v>40913</v>
      </c>
      <c r="D61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56" t="s">
        <v>505</v>
      </c>
      <c r="F6156" t="s">
        <v>1915</v>
      </c>
      <c r="G6156" t="s">
        <v>3404</v>
      </c>
      <c r="H6156">
        <v>21608</v>
      </c>
      <c r="I6156" t="s">
        <v>423</v>
      </c>
      <c r="J6156" t="s">
        <v>1945</v>
      </c>
      <c r="K6156" t="s">
        <v>1918</v>
      </c>
      <c r="L6156" t="s">
        <v>1919</v>
      </c>
      <c r="M6156">
        <v>949</v>
      </c>
      <c r="N6156">
        <v>54.29</v>
      </c>
      <c r="O6156">
        <v>13152.3</v>
      </c>
      <c r="P6156">
        <v>14808.043046999999</v>
      </c>
      <c r="Q6156">
        <v>27960.343046999998</v>
      </c>
      <c r="R6156">
        <v>4473.654888</v>
      </c>
      <c r="S6156">
        <v>1118.413722</v>
      </c>
      <c r="T6156">
        <v>31315.584212999998</v>
      </c>
      <c r="U6156" t="s">
        <v>1984</v>
      </c>
      <c r="V6156" t="s">
        <v>9409</v>
      </c>
      <c r="W6156" t="s">
        <v>423</v>
      </c>
    </row>
    <row r="6157" spans="1:23" hidden="1" x14ac:dyDescent="0.2">
      <c r="A6157">
        <v>2012</v>
      </c>
      <c r="B6157" t="s">
        <v>303</v>
      </c>
      <c r="C6157" s="733">
        <v>40918.47351851852</v>
      </c>
      <c r="D61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57" t="s">
        <v>478</v>
      </c>
      <c r="F6157" t="s">
        <v>2622</v>
      </c>
      <c r="G6157" t="s">
        <v>4209</v>
      </c>
      <c r="H6157">
        <v>34384</v>
      </c>
      <c r="I6157" t="s">
        <v>423</v>
      </c>
      <c r="J6157" t="s">
        <v>2644</v>
      </c>
      <c r="K6157" t="s">
        <v>2625</v>
      </c>
      <c r="L6157" t="s">
        <v>2626</v>
      </c>
      <c r="M6157">
        <v>52</v>
      </c>
      <c r="N6157">
        <v>25.29</v>
      </c>
      <c r="O6157">
        <v>2977.39</v>
      </c>
      <c r="P6157">
        <v>0</v>
      </c>
      <c r="Q6157">
        <v>2977.39</v>
      </c>
      <c r="R6157">
        <v>476.38</v>
      </c>
      <c r="S6157">
        <v>119.1</v>
      </c>
      <c r="T6157">
        <v>3334.67</v>
      </c>
      <c r="U6157" t="s">
        <v>2627</v>
      </c>
      <c r="V6157" t="s">
        <v>9408</v>
      </c>
      <c r="W6157" t="s">
        <v>423</v>
      </c>
    </row>
    <row r="6158" spans="1:23" hidden="1" x14ac:dyDescent="0.2">
      <c r="A6158">
        <v>2012</v>
      </c>
      <c r="B6158" t="s">
        <v>304</v>
      </c>
      <c r="C6158" s="733">
        <v>40955.705914351849</v>
      </c>
      <c r="D61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58" t="s">
        <v>478</v>
      </c>
      <c r="F6158" t="s">
        <v>2136</v>
      </c>
      <c r="G6158" t="s">
        <v>7669</v>
      </c>
      <c r="H6158">
        <v>35718</v>
      </c>
      <c r="I6158" t="s">
        <v>423</v>
      </c>
      <c r="J6158" t="s">
        <v>2644</v>
      </c>
      <c r="K6158" t="s">
        <v>2625</v>
      </c>
      <c r="L6158" t="s">
        <v>2145</v>
      </c>
      <c r="M6158">
        <v>52</v>
      </c>
      <c r="N6158">
        <v>21.93</v>
      </c>
      <c r="O6158">
        <v>2581.8200000000002</v>
      </c>
      <c r="P6158">
        <v>0</v>
      </c>
      <c r="Q6158">
        <v>2581.8200000000002</v>
      </c>
      <c r="R6158">
        <v>413.09</v>
      </c>
      <c r="S6158">
        <v>103.27</v>
      </c>
      <c r="T6158">
        <v>2891.64</v>
      </c>
      <c r="U6158" t="s">
        <v>7548</v>
      </c>
      <c r="V6158" t="s">
        <v>9408</v>
      </c>
      <c r="W6158" t="s">
        <v>423</v>
      </c>
    </row>
    <row r="6159" spans="1:23" hidden="1" x14ac:dyDescent="0.2">
      <c r="A6159">
        <v>2012</v>
      </c>
      <c r="B6159" t="s">
        <v>304</v>
      </c>
      <c r="C6159" s="733">
        <v>40942</v>
      </c>
      <c r="D61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59" t="s">
        <v>478</v>
      </c>
      <c r="F6159" t="s">
        <v>2136</v>
      </c>
      <c r="G6159" t="s">
        <v>4593</v>
      </c>
      <c r="H6159">
        <v>35316</v>
      </c>
      <c r="I6159" t="s">
        <v>423</v>
      </c>
      <c r="J6159" t="s">
        <v>2644</v>
      </c>
      <c r="K6159" t="s">
        <v>2625</v>
      </c>
      <c r="L6159" t="s">
        <v>2626</v>
      </c>
      <c r="M6159">
        <v>52</v>
      </c>
      <c r="N6159">
        <v>23.74</v>
      </c>
      <c r="O6159">
        <v>2794.91</v>
      </c>
      <c r="P6159">
        <v>0</v>
      </c>
      <c r="Q6159">
        <v>2794.91</v>
      </c>
      <c r="R6159">
        <v>447.19</v>
      </c>
      <c r="S6159">
        <v>111.8</v>
      </c>
      <c r="T6159">
        <v>3130.3</v>
      </c>
      <c r="U6159" t="s">
        <v>2652</v>
      </c>
      <c r="V6159" t="s">
        <v>9408</v>
      </c>
      <c r="W6159" t="s">
        <v>423</v>
      </c>
    </row>
    <row r="6160" spans="1:23" hidden="1" x14ac:dyDescent="0.2">
      <c r="A6160">
        <v>2012</v>
      </c>
      <c r="B6160" t="s">
        <v>305</v>
      </c>
      <c r="C6160" s="733">
        <v>40970</v>
      </c>
      <c r="D6160" s="733" t="str">
        <f>CHOOSE(MONTH(Tabla_sqldatos_bonampakdb_Bon_v_ingresos2012[[#This Row],[fecha_guia]]),"Enero","Febrero","Marzo","Abril","Mayo","Junio","Julio","Agosto","Septiembre","Octubre","Noviembre","Diciembre")</f>
        <v>Marzo</v>
      </c>
      <c r="E6160" t="s">
        <v>478</v>
      </c>
      <c r="F6160" t="s">
        <v>2136</v>
      </c>
      <c r="G6160" t="s">
        <v>9761</v>
      </c>
      <c r="H6160">
        <v>36296</v>
      </c>
      <c r="I6160" t="s">
        <v>423</v>
      </c>
      <c r="J6160" t="s">
        <v>2644</v>
      </c>
      <c r="K6160" t="s">
        <v>2625</v>
      </c>
      <c r="L6160" t="s">
        <v>2626</v>
      </c>
      <c r="M6160">
        <v>52</v>
      </c>
      <c r="N6160">
        <v>22.71</v>
      </c>
      <c r="O6160">
        <v>2673.65</v>
      </c>
      <c r="P6160">
        <v>0</v>
      </c>
      <c r="Q6160">
        <v>2673.65</v>
      </c>
      <c r="R6160">
        <v>427.78</v>
      </c>
      <c r="S6160">
        <v>106.95</v>
      </c>
      <c r="T6160">
        <v>2994.48</v>
      </c>
      <c r="V6160" t="s">
        <v>9408</v>
      </c>
      <c r="W6160" t="s">
        <v>423</v>
      </c>
    </row>
    <row r="6161" spans="1:23" hidden="1" x14ac:dyDescent="0.2">
      <c r="A6161">
        <v>2012</v>
      </c>
      <c r="B6161" t="s">
        <v>304</v>
      </c>
      <c r="C6161" s="733">
        <v>40960</v>
      </c>
      <c r="D61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61" t="s">
        <v>478</v>
      </c>
      <c r="F6161" t="s">
        <v>2136</v>
      </c>
      <c r="G6161" t="s">
        <v>8460</v>
      </c>
      <c r="H6161">
        <v>35866</v>
      </c>
      <c r="I6161" t="s">
        <v>423</v>
      </c>
      <c r="J6161" t="s">
        <v>2644</v>
      </c>
      <c r="K6161" t="s">
        <v>2625</v>
      </c>
      <c r="L6161" t="s">
        <v>2626</v>
      </c>
      <c r="M6161">
        <v>52</v>
      </c>
      <c r="N6161">
        <v>22.97</v>
      </c>
      <c r="O6161">
        <v>2704.26</v>
      </c>
      <c r="P6161">
        <v>0</v>
      </c>
      <c r="Q6161">
        <v>2704.26</v>
      </c>
      <c r="R6161">
        <v>432.68</v>
      </c>
      <c r="S6161">
        <v>108.17</v>
      </c>
      <c r="T6161">
        <v>3028.77</v>
      </c>
      <c r="U6161" t="s">
        <v>8267</v>
      </c>
      <c r="V6161" t="s">
        <v>9408</v>
      </c>
      <c r="W6161" t="s">
        <v>423</v>
      </c>
    </row>
    <row r="6162" spans="1:23" hidden="1" x14ac:dyDescent="0.2">
      <c r="A6162">
        <v>2012</v>
      </c>
      <c r="B6162" t="s">
        <v>304</v>
      </c>
      <c r="C6162" s="733">
        <v>40946.620763888888</v>
      </c>
      <c r="D61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62" t="s">
        <v>478</v>
      </c>
      <c r="F6162" t="s">
        <v>2622</v>
      </c>
      <c r="G6162" t="s">
        <v>4594</v>
      </c>
      <c r="H6162">
        <v>35390</v>
      </c>
      <c r="I6162" t="s">
        <v>423</v>
      </c>
      <c r="J6162" t="s">
        <v>2644</v>
      </c>
      <c r="K6162" t="s">
        <v>2625</v>
      </c>
      <c r="L6162" t="s">
        <v>2626</v>
      </c>
      <c r="M6162">
        <v>52</v>
      </c>
      <c r="N6162">
        <v>23.77</v>
      </c>
      <c r="O6162">
        <v>2798.44</v>
      </c>
      <c r="P6162">
        <v>0</v>
      </c>
      <c r="Q6162">
        <v>2798.44</v>
      </c>
      <c r="R6162">
        <v>447.75</v>
      </c>
      <c r="S6162">
        <v>111.94</v>
      </c>
      <c r="T6162">
        <v>3134.25</v>
      </c>
      <c r="U6162" t="s">
        <v>2652</v>
      </c>
      <c r="V6162" t="s">
        <v>9408</v>
      </c>
      <c r="W6162" t="s">
        <v>423</v>
      </c>
    </row>
    <row r="6163" spans="1:23" hidden="1" x14ac:dyDescent="0.2">
      <c r="A6163">
        <v>2012</v>
      </c>
      <c r="B6163" t="s">
        <v>304</v>
      </c>
      <c r="C6163" s="733">
        <v>40962</v>
      </c>
      <c r="D61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63" t="s">
        <v>478</v>
      </c>
      <c r="F6163" t="s">
        <v>2136</v>
      </c>
      <c r="G6163" t="s">
        <v>8647</v>
      </c>
      <c r="H6163">
        <v>35809</v>
      </c>
      <c r="I6163" t="s">
        <v>423</v>
      </c>
      <c r="J6163" t="s">
        <v>3638</v>
      </c>
      <c r="K6163" t="s">
        <v>425</v>
      </c>
      <c r="L6163" t="s">
        <v>2145</v>
      </c>
      <c r="M6163">
        <v>1416</v>
      </c>
      <c r="N6163">
        <v>43.16</v>
      </c>
      <c r="O6163">
        <v>39137.06</v>
      </c>
      <c r="P6163">
        <v>0</v>
      </c>
      <c r="Q6163">
        <v>39137.06</v>
      </c>
      <c r="R6163">
        <v>6261.93</v>
      </c>
      <c r="S6163">
        <v>1565.48</v>
      </c>
      <c r="T6163">
        <v>43833.51</v>
      </c>
      <c r="U6163" t="s">
        <v>9430</v>
      </c>
      <c r="V6163" t="s">
        <v>9409</v>
      </c>
      <c r="W6163" t="s">
        <v>423</v>
      </c>
    </row>
    <row r="6164" spans="1:23" hidden="1" x14ac:dyDescent="0.2">
      <c r="A6164">
        <v>2012</v>
      </c>
      <c r="B6164" t="s">
        <v>304</v>
      </c>
      <c r="C6164" s="733">
        <v>40962</v>
      </c>
      <c r="D61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64" t="s">
        <v>478</v>
      </c>
      <c r="F6164" t="s">
        <v>2142</v>
      </c>
      <c r="G6164" t="s">
        <v>8646</v>
      </c>
      <c r="H6164">
        <v>35810</v>
      </c>
      <c r="I6164" t="s">
        <v>423</v>
      </c>
      <c r="J6164" t="s">
        <v>3638</v>
      </c>
      <c r="K6164" t="s">
        <v>425</v>
      </c>
      <c r="L6164" t="s">
        <v>2145</v>
      </c>
      <c r="M6164">
        <v>1416</v>
      </c>
      <c r="N6164">
        <v>46.18</v>
      </c>
      <c r="O6164">
        <v>41875.56</v>
      </c>
      <c r="P6164">
        <v>0</v>
      </c>
      <c r="Q6164">
        <v>41875.56</v>
      </c>
      <c r="R6164">
        <v>6700.09</v>
      </c>
      <c r="S6164">
        <v>1675.02</v>
      </c>
      <c r="T6164">
        <v>46900.63</v>
      </c>
      <c r="U6164" t="s">
        <v>9430</v>
      </c>
      <c r="V6164" t="s">
        <v>9409</v>
      </c>
      <c r="W6164" t="s">
        <v>423</v>
      </c>
    </row>
    <row r="6165" spans="1:23" hidden="1" x14ac:dyDescent="0.2">
      <c r="A6165">
        <v>2012</v>
      </c>
      <c r="B6165" t="s">
        <v>303</v>
      </c>
      <c r="C6165" s="733">
        <v>40928</v>
      </c>
      <c r="D61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65" t="s">
        <v>485</v>
      </c>
      <c r="F6165" t="s">
        <v>2048</v>
      </c>
      <c r="G6165" t="s">
        <v>4931</v>
      </c>
      <c r="H6165">
        <v>40663</v>
      </c>
      <c r="I6165" t="s">
        <v>423</v>
      </c>
      <c r="J6165" t="s">
        <v>2274</v>
      </c>
      <c r="K6165" t="s">
        <v>2051</v>
      </c>
      <c r="L6165" t="s">
        <v>2052</v>
      </c>
      <c r="M6165">
        <v>573</v>
      </c>
      <c r="N6165">
        <v>24.7</v>
      </c>
      <c r="O6165">
        <v>8015.15</v>
      </c>
      <c r="P6165">
        <v>0</v>
      </c>
      <c r="Q6165">
        <v>8015.15</v>
      </c>
      <c r="R6165">
        <v>1282.42</v>
      </c>
      <c r="S6165">
        <v>320.61</v>
      </c>
      <c r="T6165">
        <v>8976.9599999999991</v>
      </c>
      <c r="U6165" t="s">
        <v>2053</v>
      </c>
      <c r="V6165" t="s">
        <v>9408</v>
      </c>
      <c r="W6165" t="s">
        <v>423</v>
      </c>
    </row>
    <row r="6166" spans="1:23" hidden="1" x14ac:dyDescent="0.2">
      <c r="A6166">
        <v>2012</v>
      </c>
      <c r="B6166" t="s">
        <v>304</v>
      </c>
      <c r="C6166" s="733">
        <v>40955</v>
      </c>
      <c r="D61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66" t="s">
        <v>478</v>
      </c>
      <c r="F6166" t="s">
        <v>2136</v>
      </c>
      <c r="G6166" t="s">
        <v>7654</v>
      </c>
      <c r="H6166">
        <v>35529</v>
      </c>
      <c r="I6166" t="s">
        <v>423</v>
      </c>
      <c r="J6166" t="s">
        <v>3638</v>
      </c>
      <c r="K6166" t="s">
        <v>425</v>
      </c>
      <c r="L6166" t="s">
        <v>2145</v>
      </c>
      <c r="M6166">
        <v>1416</v>
      </c>
      <c r="N6166">
        <v>42.95</v>
      </c>
      <c r="O6166">
        <v>38946.629999999997</v>
      </c>
      <c r="P6166">
        <v>0</v>
      </c>
      <c r="Q6166">
        <v>38946.629999999997</v>
      </c>
      <c r="R6166">
        <v>6231.46</v>
      </c>
      <c r="S6166">
        <v>1557.87</v>
      </c>
      <c r="T6166">
        <v>43620.22</v>
      </c>
      <c r="U6166" t="s">
        <v>7523</v>
      </c>
      <c r="V6166" t="s">
        <v>9409</v>
      </c>
      <c r="W6166" t="s">
        <v>423</v>
      </c>
    </row>
    <row r="6167" spans="1:23" hidden="1" x14ac:dyDescent="0.2">
      <c r="A6167">
        <v>2012</v>
      </c>
      <c r="B6167" t="s">
        <v>304</v>
      </c>
      <c r="C6167" s="733">
        <v>40942.851527777777</v>
      </c>
      <c r="D61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67" t="s">
        <v>478</v>
      </c>
      <c r="F6167" t="s">
        <v>2136</v>
      </c>
      <c r="G6167" t="s">
        <v>5275</v>
      </c>
      <c r="H6167">
        <v>35290</v>
      </c>
      <c r="I6167" t="s">
        <v>423</v>
      </c>
      <c r="J6167" t="s">
        <v>4291</v>
      </c>
      <c r="K6167" t="s">
        <v>425</v>
      </c>
      <c r="L6167" t="s">
        <v>2145</v>
      </c>
      <c r="M6167">
        <v>163</v>
      </c>
      <c r="N6167">
        <v>24.02</v>
      </c>
      <c r="O6167">
        <v>4268.59</v>
      </c>
      <c r="P6167">
        <v>0</v>
      </c>
      <c r="Q6167">
        <v>4268.59</v>
      </c>
      <c r="R6167">
        <v>682.98</v>
      </c>
      <c r="S6167">
        <v>170.74</v>
      </c>
      <c r="T6167">
        <v>4780.83</v>
      </c>
      <c r="U6167" t="s">
        <v>2938</v>
      </c>
      <c r="V6167" t="s">
        <v>9408</v>
      </c>
      <c r="W6167" t="s">
        <v>423</v>
      </c>
    </row>
    <row r="6168" spans="1:23" hidden="1" x14ac:dyDescent="0.2">
      <c r="A6168">
        <v>2012</v>
      </c>
      <c r="B6168" t="s">
        <v>303</v>
      </c>
      <c r="C6168" s="733">
        <v>40920</v>
      </c>
      <c r="D61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68" t="s">
        <v>505</v>
      </c>
      <c r="F6168" t="s">
        <v>1915</v>
      </c>
      <c r="G6168" t="s">
        <v>5356</v>
      </c>
      <c r="H6168">
        <v>21899</v>
      </c>
      <c r="I6168" t="s">
        <v>423</v>
      </c>
      <c r="J6168" t="s">
        <v>4153</v>
      </c>
      <c r="K6168" t="s">
        <v>1918</v>
      </c>
      <c r="L6168" t="s">
        <v>1919</v>
      </c>
      <c r="M6168">
        <v>850</v>
      </c>
      <c r="N6168">
        <v>24.73</v>
      </c>
      <c r="O6168">
        <v>15452.79</v>
      </c>
      <c r="P6168">
        <v>0</v>
      </c>
      <c r="Q6168">
        <v>15452.79</v>
      </c>
      <c r="R6168">
        <v>2472.4499999999998</v>
      </c>
      <c r="S6168">
        <v>618.11</v>
      </c>
      <c r="T6168">
        <v>17307.13</v>
      </c>
      <c r="U6168" t="s">
        <v>1931</v>
      </c>
      <c r="V6168" t="s">
        <v>9408</v>
      </c>
      <c r="W6168" t="s">
        <v>423</v>
      </c>
    </row>
    <row r="6169" spans="1:23" hidden="1" x14ac:dyDescent="0.2">
      <c r="A6169">
        <v>2012</v>
      </c>
      <c r="B6169" t="s">
        <v>303</v>
      </c>
      <c r="C6169" s="733">
        <v>40921</v>
      </c>
      <c r="D61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69" t="s">
        <v>478</v>
      </c>
      <c r="F6169" t="s">
        <v>2136</v>
      </c>
      <c r="G6169" t="s">
        <v>5529</v>
      </c>
      <c r="H6169">
        <v>34376</v>
      </c>
      <c r="I6169" t="s">
        <v>423</v>
      </c>
      <c r="J6169" t="s">
        <v>4289</v>
      </c>
      <c r="K6169" t="s">
        <v>425</v>
      </c>
      <c r="L6169" t="s">
        <v>2145</v>
      </c>
      <c r="M6169">
        <v>775</v>
      </c>
      <c r="N6169">
        <v>25.85</v>
      </c>
      <c r="O6169">
        <v>9898.74</v>
      </c>
      <c r="P6169">
        <v>0</v>
      </c>
      <c r="Q6169">
        <v>9898.74</v>
      </c>
      <c r="R6169">
        <v>1583.8</v>
      </c>
      <c r="S6169">
        <v>395.95</v>
      </c>
      <c r="T6169">
        <v>11086.59</v>
      </c>
      <c r="U6169" t="s">
        <v>2352</v>
      </c>
      <c r="V6169" t="s">
        <v>9408</v>
      </c>
      <c r="W6169" t="s">
        <v>423</v>
      </c>
    </row>
    <row r="6170" spans="1:23" hidden="1" x14ac:dyDescent="0.2">
      <c r="A6170">
        <v>2012</v>
      </c>
      <c r="B6170" t="s">
        <v>304</v>
      </c>
      <c r="C6170" s="733">
        <v>40949</v>
      </c>
      <c r="D61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70" t="s">
        <v>478</v>
      </c>
      <c r="F6170" t="s">
        <v>2136</v>
      </c>
      <c r="G6170" t="s">
        <v>5523</v>
      </c>
      <c r="H6170">
        <v>35478</v>
      </c>
      <c r="I6170" t="s">
        <v>423</v>
      </c>
      <c r="J6170" t="s">
        <v>4294</v>
      </c>
      <c r="K6170" t="s">
        <v>425</v>
      </c>
      <c r="L6170" t="s">
        <v>2145</v>
      </c>
      <c r="M6170">
        <v>1089</v>
      </c>
      <c r="N6170">
        <v>42.85</v>
      </c>
      <c r="O6170">
        <v>21629.39</v>
      </c>
      <c r="P6170">
        <v>0</v>
      </c>
      <c r="Q6170">
        <v>21629.39</v>
      </c>
      <c r="R6170">
        <v>3460.7</v>
      </c>
      <c r="S6170">
        <v>865.18</v>
      </c>
      <c r="T6170">
        <v>24224.91</v>
      </c>
      <c r="U6170" t="s">
        <v>7523</v>
      </c>
      <c r="V6170" t="s">
        <v>9409</v>
      </c>
      <c r="W6170" t="s">
        <v>423</v>
      </c>
    </row>
    <row r="6171" spans="1:23" hidden="1" x14ac:dyDescent="0.2">
      <c r="A6171">
        <v>2012</v>
      </c>
      <c r="B6171" t="s">
        <v>304</v>
      </c>
      <c r="C6171" s="733">
        <v>40956</v>
      </c>
      <c r="D61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71" t="s">
        <v>478</v>
      </c>
      <c r="F6171" t="s">
        <v>2136</v>
      </c>
      <c r="G6171" t="s">
        <v>7695</v>
      </c>
      <c r="H6171">
        <v>35712</v>
      </c>
      <c r="I6171" t="s">
        <v>423</v>
      </c>
      <c r="J6171" t="s">
        <v>4294</v>
      </c>
      <c r="K6171" t="s">
        <v>425</v>
      </c>
      <c r="L6171" t="s">
        <v>2145</v>
      </c>
      <c r="M6171">
        <v>1089</v>
      </c>
      <c r="N6171">
        <v>45.12</v>
      </c>
      <c r="O6171">
        <v>22775.22</v>
      </c>
      <c r="P6171">
        <v>0</v>
      </c>
      <c r="Q6171">
        <v>22775.22</v>
      </c>
      <c r="R6171">
        <v>3644.04</v>
      </c>
      <c r="S6171">
        <v>911.01</v>
      </c>
      <c r="T6171">
        <v>25508.25</v>
      </c>
      <c r="U6171" t="s">
        <v>9455</v>
      </c>
      <c r="V6171" t="s">
        <v>9409</v>
      </c>
      <c r="W6171" t="s">
        <v>423</v>
      </c>
    </row>
    <row r="6172" spans="1:23" hidden="1" x14ac:dyDescent="0.2">
      <c r="A6172">
        <v>2012</v>
      </c>
      <c r="B6172" t="s">
        <v>303</v>
      </c>
      <c r="C6172" s="733">
        <v>40926</v>
      </c>
      <c r="D61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72" t="s">
        <v>485</v>
      </c>
      <c r="F6172" t="s">
        <v>2065</v>
      </c>
      <c r="G6172" t="s">
        <v>4014</v>
      </c>
      <c r="H6172">
        <v>40190</v>
      </c>
      <c r="I6172" t="s">
        <v>423</v>
      </c>
      <c r="J6172" t="s">
        <v>3355</v>
      </c>
      <c r="K6172" t="s">
        <v>2814</v>
      </c>
      <c r="L6172" t="s">
        <v>2815</v>
      </c>
      <c r="M6172">
        <v>417</v>
      </c>
      <c r="N6172">
        <v>23.414000000000001</v>
      </c>
      <c r="O6172">
        <v>6496.68</v>
      </c>
      <c r="P6172">
        <v>0</v>
      </c>
      <c r="Q6172">
        <v>6496.68</v>
      </c>
      <c r="R6172">
        <v>1039.47</v>
      </c>
      <c r="S6172">
        <v>259.87</v>
      </c>
      <c r="T6172">
        <v>7276.28</v>
      </c>
      <c r="U6172" t="s">
        <v>2826</v>
      </c>
      <c r="V6172" t="s">
        <v>9408</v>
      </c>
      <c r="W6172" t="s">
        <v>423</v>
      </c>
    </row>
    <row r="6173" spans="1:23" hidden="1" x14ac:dyDescent="0.2">
      <c r="A6173">
        <v>2012</v>
      </c>
      <c r="B6173" t="s">
        <v>303</v>
      </c>
      <c r="C6173" s="733">
        <v>40912</v>
      </c>
      <c r="D61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73" t="s">
        <v>485</v>
      </c>
      <c r="F6173" t="s">
        <v>2084</v>
      </c>
      <c r="G6173" t="s">
        <v>4013</v>
      </c>
      <c r="H6173">
        <v>39427</v>
      </c>
      <c r="I6173" t="s">
        <v>423</v>
      </c>
      <c r="J6173" t="s">
        <v>3355</v>
      </c>
      <c r="K6173" t="s">
        <v>2814</v>
      </c>
      <c r="L6173" t="s">
        <v>2815</v>
      </c>
      <c r="M6173">
        <v>417</v>
      </c>
      <c r="N6173">
        <v>24.279</v>
      </c>
      <c r="O6173">
        <v>2836.27</v>
      </c>
      <c r="P6173">
        <v>3193.3280300000001</v>
      </c>
      <c r="Q6173">
        <v>6029.5980300000001</v>
      </c>
      <c r="R6173">
        <v>964.73568499999999</v>
      </c>
      <c r="S6173">
        <v>241.183921</v>
      </c>
      <c r="T6173">
        <v>6753.1497939999999</v>
      </c>
      <c r="U6173" t="s">
        <v>2846</v>
      </c>
      <c r="V6173" t="s">
        <v>9408</v>
      </c>
      <c r="W6173" t="s">
        <v>423</v>
      </c>
    </row>
    <row r="6174" spans="1:23" hidden="1" x14ac:dyDescent="0.2">
      <c r="A6174">
        <v>2012</v>
      </c>
      <c r="B6174" t="s">
        <v>304</v>
      </c>
      <c r="C6174" s="733">
        <v>40967</v>
      </c>
      <c r="D61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74" t="s">
        <v>478</v>
      </c>
      <c r="F6174" t="s">
        <v>4128</v>
      </c>
      <c r="G6174" t="s">
        <v>9091</v>
      </c>
      <c r="H6174">
        <v>36178</v>
      </c>
      <c r="I6174" t="s">
        <v>423</v>
      </c>
      <c r="J6174" t="s">
        <v>4396</v>
      </c>
      <c r="K6174" t="s">
        <v>4397</v>
      </c>
      <c r="L6174" t="s">
        <v>4398</v>
      </c>
      <c r="M6174">
        <v>112</v>
      </c>
      <c r="N6174">
        <v>27.475000000000001</v>
      </c>
      <c r="O6174">
        <v>3101.1</v>
      </c>
      <c r="P6174">
        <v>0</v>
      </c>
      <c r="Q6174">
        <v>3101.1</v>
      </c>
      <c r="R6174">
        <v>496.18</v>
      </c>
      <c r="S6174">
        <v>124.04</v>
      </c>
      <c r="T6174">
        <v>3473.24</v>
      </c>
      <c r="U6174" t="s">
        <v>8982</v>
      </c>
      <c r="V6174" t="s">
        <v>9408</v>
      </c>
      <c r="W6174" t="s">
        <v>423</v>
      </c>
    </row>
    <row r="6175" spans="1:23" hidden="1" x14ac:dyDescent="0.2">
      <c r="A6175">
        <v>2012</v>
      </c>
      <c r="B6175" t="s">
        <v>303</v>
      </c>
      <c r="C6175" s="733">
        <v>40935</v>
      </c>
      <c r="D61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75" t="s">
        <v>478</v>
      </c>
      <c r="F6175" t="s">
        <v>2136</v>
      </c>
      <c r="G6175" t="s">
        <v>5521</v>
      </c>
      <c r="H6175">
        <v>34957</v>
      </c>
      <c r="I6175" t="s">
        <v>423</v>
      </c>
      <c r="J6175" t="s">
        <v>5522</v>
      </c>
      <c r="K6175" t="s">
        <v>425</v>
      </c>
      <c r="L6175" t="s">
        <v>2145</v>
      </c>
      <c r="M6175">
        <v>1413</v>
      </c>
      <c r="N6175">
        <v>29.61</v>
      </c>
      <c r="O6175">
        <v>18955.14</v>
      </c>
      <c r="P6175">
        <v>0</v>
      </c>
      <c r="Q6175">
        <v>18955.14</v>
      </c>
      <c r="R6175">
        <v>3032.82</v>
      </c>
      <c r="S6175">
        <v>758.21</v>
      </c>
      <c r="T6175">
        <v>21229.75</v>
      </c>
      <c r="U6175" t="s">
        <v>2580</v>
      </c>
      <c r="V6175" t="s">
        <v>9408</v>
      </c>
      <c r="W6175" t="s">
        <v>423</v>
      </c>
    </row>
    <row r="6176" spans="1:23" hidden="1" x14ac:dyDescent="0.2">
      <c r="A6176">
        <v>2012</v>
      </c>
      <c r="B6176" t="s">
        <v>303</v>
      </c>
      <c r="C6176" s="733">
        <v>40918</v>
      </c>
      <c r="D61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76" t="s">
        <v>485</v>
      </c>
      <c r="F6176" t="s">
        <v>2065</v>
      </c>
      <c r="G6176" t="s">
        <v>4532</v>
      </c>
      <c r="H6176">
        <v>39949</v>
      </c>
      <c r="I6176" t="s">
        <v>423</v>
      </c>
      <c r="J6176" t="s">
        <v>4533</v>
      </c>
      <c r="K6176" t="s">
        <v>2183</v>
      </c>
      <c r="L6176" t="s">
        <v>2184</v>
      </c>
      <c r="M6176">
        <v>253</v>
      </c>
      <c r="N6176">
        <v>24.9</v>
      </c>
      <c r="O6176">
        <v>5230.49</v>
      </c>
      <c r="P6176">
        <v>0</v>
      </c>
      <c r="Q6176">
        <v>5230.49</v>
      </c>
      <c r="R6176">
        <v>836.88</v>
      </c>
      <c r="S6176">
        <v>209.22</v>
      </c>
      <c r="T6176">
        <v>5858.15</v>
      </c>
      <c r="U6176" t="s">
        <v>7520</v>
      </c>
      <c r="V6176" t="s">
        <v>9408</v>
      </c>
      <c r="W6176" t="s">
        <v>423</v>
      </c>
    </row>
    <row r="6177" spans="1:23" hidden="1" x14ac:dyDescent="0.2">
      <c r="A6177">
        <v>2012</v>
      </c>
      <c r="B6177" t="s">
        <v>304</v>
      </c>
      <c r="C6177" s="733">
        <v>40940</v>
      </c>
      <c r="D61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77" t="s">
        <v>485</v>
      </c>
      <c r="F6177" t="s">
        <v>2065</v>
      </c>
      <c r="G6177" t="s">
        <v>4534</v>
      </c>
      <c r="H6177">
        <v>40958</v>
      </c>
      <c r="I6177" t="s">
        <v>423</v>
      </c>
      <c r="J6177" t="s">
        <v>4533</v>
      </c>
      <c r="K6177" t="s">
        <v>2183</v>
      </c>
      <c r="L6177" t="s">
        <v>2184</v>
      </c>
      <c r="M6177">
        <v>253</v>
      </c>
      <c r="N6177">
        <v>27.59</v>
      </c>
      <c r="O6177">
        <v>5795.56</v>
      </c>
      <c r="P6177">
        <v>0</v>
      </c>
      <c r="Q6177">
        <v>5795.56</v>
      </c>
      <c r="R6177">
        <v>927.29</v>
      </c>
      <c r="S6177">
        <v>231.82</v>
      </c>
      <c r="T6177">
        <v>6491.03</v>
      </c>
      <c r="U6177" t="s">
        <v>2187</v>
      </c>
      <c r="V6177" t="s">
        <v>9408</v>
      </c>
      <c r="W6177" t="s">
        <v>423</v>
      </c>
    </row>
    <row r="6178" spans="1:23" hidden="1" x14ac:dyDescent="0.2">
      <c r="A6178">
        <v>2012</v>
      </c>
      <c r="B6178" t="s">
        <v>304</v>
      </c>
      <c r="C6178" s="733">
        <v>40967</v>
      </c>
      <c r="D61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78" t="s">
        <v>478</v>
      </c>
      <c r="F6178" t="s">
        <v>4128</v>
      </c>
      <c r="G6178" t="s">
        <v>9068</v>
      </c>
      <c r="H6178">
        <v>36173</v>
      </c>
      <c r="I6178" t="s">
        <v>423</v>
      </c>
      <c r="J6178" t="s">
        <v>4396</v>
      </c>
      <c r="K6178" t="s">
        <v>4397</v>
      </c>
      <c r="L6178" t="s">
        <v>4398</v>
      </c>
      <c r="M6178">
        <v>112</v>
      </c>
      <c r="N6178">
        <v>22.65</v>
      </c>
      <c r="O6178">
        <v>2556.5100000000002</v>
      </c>
      <c r="P6178">
        <v>0</v>
      </c>
      <c r="Q6178">
        <v>2556.5100000000002</v>
      </c>
      <c r="R6178">
        <v>409.04</v>
      </c>
      <c r="S6178">
        <v>102.26</v>
      </c>
      <c r="T6178">
        <v>2863.29</v>
      </c>
      <c r="U6178" t="s">
        <v>8982</v>
      </c>
      <c r="V6178" t="s">
        <v>9408</v>
      </c>
      <c r="W6178" t="s">
        <v>423</v>
      </c>
    </row>
    <row r="6179" spans="1:23" hidden="1" x14ac:dyDescent="0.2">
      <c r="A6179">
        <v>2012</v>
      </c>
      <c r="B6179" t="s">
        <v>304</v>
      </c>
      <c r="C6179" s="733">
        <v>40967</v>
      </c>
      <c r="D61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79" t="s">
        <v>478</v>
      </c>
      <c r="F6179" t="s">
        <v>4128</v>
      </c>
      <c r="G6179" t="s">
        <v>9069</v>
      </c>
      <c r="H6179">
        <v>36177</v>
      </c>
      <c r="I6179" t="s">
        <v>423</v>
      </c>
      <c r="J6179" t="s">
        <v>4396</v>
      </c>
      <c r="K6179" t="s">
        <v>4397</v>
      </c>
      <c r="L6179" t="s">
        <v>4398</v>
      </c>
      <c r="M6179">
        <v>112</v>
      </c>
      <c r="N6179">
        <v>29.875</v>
      </c>
      <c r="O6179">
        <v>3371.99</v>
      </c>
      <c r="P6179">
        <v>0</v>
      </c>
      <c r="Q6179">
        <v>3371.99</v>
      </c>
      <c r="R6179">
        <v>539.52</v>
      </c>
      <c r="S6179">
        <v>134.88</v>
      </c>
      <c r="T6179">
        <v>3776.63</v>
      </c>
      <c r="U6179" t="s">
        <v>8982</v>
      </c>
      <c r="V6179" t="s">
        <v>9408</v>
      </c>
      <c r="W6179" t="s">
        <v>423</v>
      </c>
    </row>
    <row r="6180" spans="1:23" hidden="1" x14ac:dyDescent="0.2">
      <c r="A6180">
        <v>2012</v>
      </c>
      <c r="B6180" t="s">
        <v>303</v>
      </c>
      <c r="C6180" s="733">
        <v>40927</v>
      </c>
      <c r="D61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80" t="s">
        <v>478</v>
      </c>
      <c r="F6180" t="s">
        <v>3358</v>
      </c>
      <c r="G6180" t="s">
        <v>4395</v>
      </c>
      <c r="H6180">
        <v>34667</v>
      </c>
      <c r="I6180" t="s">
        <v>423</v>
      </c>
      <c r="J6180" t="s">
        <v>4396</v>
      </c>
      <c r="K6180" t="s">
        <v>4397</v>
      </c>
      <c r="L6180" t="s">
        <v>4398</v>
      </c>
      <c r="M6180">
        <v>112</v>
      </c>
      <c r="N6180">
        <v>24.46</v>
      </c>
      <c r="O6180">
        <v>2760.8</v>
      </c>
      <c r="P6180">
        <v>0</v>
      </c>
      <c r="Q6180">
        <v>2760.8</v>
      </c>
      <c r="R6180">
        <v>441.73</v>
      </c>
      <c r="S6180">
        <v>110.43</v>
      </c>
      <c r="T6180">
        <v>3092.1</v>
      </c>
      <c r="U6180" t="s">
        <v>4399</v>
      </c>
      <c r="V6180" t="s">
        <v>9408</v>
      </c>
      <c r="W6180" t="s">
        <v>423</v>
      </c>
    </row>
    <row r="6181" spans="1:23" hidden="1" x14ac:dyDescent="0.2">
      <c r="A6181">
        <v>2012</v>
      </c>
      <c r="B6181" t="s">
        <v>304</v>
      </c>
      <c r="C6181" s="733">
        <v>40963</v>
      </c>
      <c r="D61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81" t="s">
        <v>478</v>
      </c>
      <c r="F6181" t="s">
        <v>2136</v>
      </c>
      <c r="G6181" t="s">
        <v>8534</v>
      </c>
      <c r="H6181">
        <v>34723</v>
      </c>
      <c r="I6181" t="s">
        <v>424</v>
      </c>
      <c r="J6181" t="s">
        <v>8535</v>
      </c>
      <c r="K6181" t="s">
        <v>425</v>
      </c>
      <c r="L6181" t="s">
        <v>2145</v>
      </c>
      <c r="M6181">
        <v>1742</v>
      </c>
      <c r="N6181">
        <v>29.25</v>
      </c>
      <c r="O6181">
        <v>18522.560000000001</v>
      </c>
      <c r="P6181">
        <v>0</v>
      </c>
      <c r="Q6181">
        <v>18522.560000000001</v>
      </c>
      <c r="R6181">
        <v>2963.61</v>
      </c>
      <c r="S6181">
        <v>740.9</v>
      </c>
      <c r="T6181">
        <v>20745.27</v>
      </c>
      <c r="U6181" t="s">
        <v>8510</v>
      </c>
      <c r="V6181" t="s">
        <v>9408</v>
      </c>
      <c r="W6181" t="s">
        <v>424</v>
      </c>
    </row>
    <row r="6182" spans="1:23" hidden="1" x14ac:dyDescent="0.2">
      <c r="A6182">
        <v>2012</v>
      </c>
      <c r="B6182" t="s">
        <v>305</v>
      </c>
      <c r="C6182" s="733">
        <v>40971</v>
      </c>
      <c r="D6182" s="733" t="str">
        <f>CHOOSE(MONTH(Tabla_sqldatos_bonampakdb_Bon_v_ingresos2012[[#This Row],[fecha_guia]]),"Enero","Febrero","Marzo","Abril","Mayo","Junio","Julio","Agosto","Septiembre","Octubre","Noviembre","Diciembre")</f>
        <v>Marzo</v>
      </c>
      <c r="E6182" t="s">
        <v>505</v>
      </c>
      <c r="F6182" t="s">
        <v>1915</v>
      </c>
      <c r="G6182" t="s">
        <v>9762</v>
      </c>
      <c r="H6182">
        <v>23137</v>
      </c>
      <c r="I6182" t="s">
        <v>423</v>
      </c>
      <c r="J6182" t="s">
        <v>4153</v>
      </c>
      <c r="K6182" t="s">
        <v>1918</v>
      </c>
      <c r="L6182" t="s">
        <v>1919</v>
      </c>
      <c r="M6182">
        <v>850</v>
      </c>
      <c r="N6182">
        <v>49.99</v>
      </c>
      <c r="O6182">
        <v>31236.75</v>
      </c>
      <c r="P6182">
        <v>0</v>
      </c>
      <c r="Q6182">
        <v>31236.75</v>
      </c>
      <c r="R6182">
        <v>4997.88</v>
      </c>
      <c r="S6182">
        <v>1249.47</v>
      </c>
      <c r="T6182">
        <v>34985.160000000003</v>
      </c>
      <c r="V6182" t="s">
        <v>9409</v>
      </c>
      <c r="W6182" t="s">
        <v>423</v>
      </c>
    </row>
    <row r="6183" spans="1:23" hidden="1" x14ac:dyDescent="0.2">
      <c r="A6183">
        <v>2012</v>
      </c>
      <c r="B6183" t="s">
        <v>303</v>
      </c>
      <c r="C6183" s="733">
        <v>40932</v>
      </c>
      <c r="D61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83" t="s">
        <v>485</v>
      </c>
      <c r="F6183" t="s">
        <v>2065</v>
      </c>
      <c r="G6183" t="s">
        <v>3224</v>
      </c>
      <c r="H6183">
        <v>40593</v>
      </c>
      <c r="I6183" t="s">
        <v>423</v>
      </c>
      <c r="J6183" t="s">
        <v>2139</v>
      </c>
      <c r="K6183" t="s">
        <v>2102</v>
      </c>
      <c r="L6183" t="s">
        <v>2115</v>
      </c>
      <c r="M6183">
        <v>543</v>
      </c>
      <c r="N6183">
        <v>51.8</v>
      </c>
      <c r="O6183">
        <v>17417.75</v>
      </c>
      <c r="P6183">
        <v>0</v>
      </c>
      <c r="Q6183">
        <v>17417.75</v>
      </c>
      <c r="R6183">
        <v>2786.84</v>
      </c>
      <c r="S6183">
        <v>696.71</v>
      </c>
      <c r="T6183">
        <v>19507.88</v>
      </c>
      <c r="V6183" t="s">
        <v>9409</v>
      </c>
      <c r="W6183" t="s">
        <v>423</v>
      </c>
    </row>
    <row r="6184" spans="1:23" hidden="1" x14ac:dyDescent="0.2">
      <c r="A6184">
        <v>2012</v>
      </c>
      <c r="B6184" t="s">
        <v>303</v>
      </c>
      <c r="C6184" s="733">
        <v>40926</v>
      </c>
      <c r="D61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84" t="s">
        <v>485</v>
      </c>
      <c r="F6184" t="s">
        <v>2065</v>
      </c>
      <c r="G6184" t="s">
        <v>4786</v>
      </c>
      <c r="H6184">
        <v>40420</v>
      </c>
      <c r="I6184" t="s">
        <v>423</v>
      </c>
      <c r="J6184" t="s">
        <v>2139</v>
      </c>
      <c r="K6184" t="s">
        <v>2102</v>
      </c>
      <c r="L6184" t="s">
        <v>2115</v>
      </c>
      <c r="M6184">
        <v>543</v>
      </c>
      <c r="N6184">
        <v>49.94</v>
      </c>
      <c r="O6184">
        <v>16792.32</v>
      </c>
      <c r="P6184">
        <v>0</v>
      </c>
      <c r="Q6184">
        <v>16792.32</v>
      </c>
      <c r="R6184">
        <v>2686.77</v>
      </c>
      <c r="S6184">
        <v>671.69</v>
      </c>
      <c r="T6184">
        <v>18807.400000000001</v>
      </c>
      <c r="U6184" t="s">
        <v>2108</v>
      </c>
      <c r="V6184" t="s">
        <v>9409</v>
      </c>
      <c r="W6184" t="s">
        <v>423</v>
      </c>
    </row>
    <row r="6185" spans="1:23" hidden="1" x14ac:dyDescent="0.2">
      <c r="A6185">
        <v>2012</v>
      </c>
      <c r="B6185" t="s">
        <v>303</v>
      </c>
      <c r="C6185" s="733">
        <v>40935</v>
      </c>
      <c r="D61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85" t="s">
        <v>485</v>
      </c>
      <c r="F6185" t="s">
        <v>2065</v>
      </c>
      <c r="G6185" t="s">
        <v>3581</v>
      </c>
      <c r="H6185">
        <v>40963</v>
      </c>
      <c r="I6185" t="s">
        <v>423</v>
      </c>
      <c r="J6185" t="s">
        <v>2196</v>
      </c>
      <c r="K6185" t="s">
        <v>2183</v>
      </c>
      <c r="L6185" t="s">
        <v>2184</v>
      </c>
      <c r="M6185">
        <v>10</v>
      </c>
      <c r="N6185">
        <v>46.78</v>
      </c>
      <c r="O6185">
        <v>5280.06</v>
      </c>
      <c r="P6185">
        <v>0</v>
      </c>
      <c r="Q6185">
        <v>5280.06</v>
      </c>
      <c r="R6185">
        <v>844.81</v>
      </c>
      <c r="S6185">
        <v>211.2</v>
      </c>
      <c r="T6185">
        <v>5913.67</v>
      </c>
      <c r="U6185" t="s">
        <v>2187</v>
      </c>
      <c r="V6185" t="s">
        <v>9409</v>
      </c>
      <c r="W6185" t="s">
        <v>423</v>
      </c>
    </row>
    <row r="6186" spans="1:23" hidden="1" x14ac:dyDescent="0.2">
      <c r="A6186">
        <v>2012</v>
      </c>
      <c r="B6186" t="s">
        <v>303</v>
      </c>
      <c r="C6186" s="733">
        <v>40925</v>
      </c>
      <c r="D61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86" t="s">
        <v>478</v>
      </c>
      <c r="F6186" t="s">
        <v>2136</v>
      </c>
      <c r="G6186" t="s">
        <v>4790</v>
      </c>
      <c r="H6186">
        <v>34487</v>
      </c>
      <c r="I6186" t="s">
        <v>423</v>
      </c>
      <c r="J6186" t="s">
        <v>4791</v>
      </c>
      <c r="K6186" t="s">
        <v>425</v>
      </c>
      <c r="L6186" t="s">
        <v>2145</v>
      </c>
      <c r="M6186">
        <v>139</v>
      </c>
      <c r="N6186">
        <v>22.37</v>
      </c>
      <c r="O6186">
        <v>3640.72</v>
      </c>
      <c r="P6186">
        <v>0</v>
      </c>
      <c r="Q6186">
        <v>3640.72</v>
      </c>
      <c r="R6186">
        <v>582.51</v>
      </c>
      <c r="S6186">
        <v>145.63</v>
      </c>
      <c r="T6186">
        <v>4077.6</v>
      </c>
      <c r="U6186" t="s">
        <v>2146</v>
      </c>
      <c r="V6186" t="s">
        <v>9409</v>
      </c>
      <c r="W6186" t="s">
        <v>423</v>
      </c>
    </row>
    <row r="6187" spans="1:23" hidden="1" x14ac:dyDescent="0.2">
      <c r="A6187">
        <v>2012</v>
      </c>
      <c r="B6187" t="s">
        <v>304</v>
      </c>
      <c r="C6187" s="733">
        <v>40956</v>
      </c>
      <c r="D61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87" t="s">
        <v>478</v>
      </c>
      <c r="F6187" t="s">
        <v>2136</v>
      </c>
      <c r="G6187" t="s">
        <v>7724</v>
      </c>
      <c r="H6187">
        <v>35526</v>
      </c>
      <c r="I6187" t="s">
        <v>423</v>
      </c>
      <c r="J6187" t="s">
        <v>4285</v>
      </c>
      <c r="K6187" t="s">
        <v>425</v>
      </c>
      <c r="L6187" t="s">
        <v>2626</v>
      </c>
      <c r="M6187">
        <v>110</v>
      </c>
      <c r="N6187">
        <v>26.03</v>
      </c>
      <c r="O6187">
        <v>4236.38</v>
      </c>
      <c r="P6187">
        <v>0</v>
      </c>
      <c r="Q6187">
        <v>4236.38</v>
      </c>
      <c r="R6187">
        <v>677.82</v>
      </c>
      <c r="S6187">
        <v>169.46</v>
      </c>
      <c r="T6187">
        <v>4744.74</v>
      </c>
      <c r="V6187" t="s">
        <v>9408</v>
      </c>
      <c r="W6187" t="s">
        <v>423</v>
      </c>
    </row>
    <row r="6188" spans="1:23" hidden="1" x14ac:dyDescent="0.2">
      <c r="A6188">
        <v>2012</v>
      </c>
      <c r="B6188" t="s">
        <v>303</v>
      </c>
      <c r="C6188" s="733">
        <v>40925</v>
      </c>
      <c r="D61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88" t="s">
        <v>478</v>
      </c>
      <c r="F6188" t="s">
        <v>2136</v>
      </c>
      <c r="G6188" t="s">
        <v>4888</v>
      </c>
      <c r="H6188">
        <v>34649</v>
      </c>
      <c r="I6188" t="s">
        <v>423</v>
      </c>
      <c r="J6188" t="s">
        <v>4285</v>
      </c>
      <c r="K6188" t="s">
        <v>425</v>
      </c>
      <c r="L6188" t="s">
        <v>2145</v>
      </c>
      <c r="M6188">
        <v>110</v>
      </c>
      <c r="N6188">
        <v>24.51</v>
      </c>
      <c r="O6188">
        <v>3989</v>
      </c>
      <c r="P6188">
        <v>0</v>
      </c>
      <c r="Q6188">
        <v>3989</v>
      </c>
      <c r="R6188">
        <v>638.24</v>
      </c>
      <c r="S6188">
        <v>159.56</v>
      </c>
      <c r="T6188">
        <v>4467.68</v>
      </c>
      <c r="U6188" t="s">
        <v>2146</v>
      </c>
      <c r="V6188" t="s">
        <v>9408</v>
      </c>
      <c r="W6188" t="s">
        <v>423</v>
      </c>
    </row>
    <row r="6189" spans="1:23" hidden="1" x14ac:dyDescent="0.2">
      <c r="A6189">
        <v>2012</v>
      </c>
      <c r="B6189" t="s">
        <v>305</v>
      </c>
      <c r="C6189" s="733">
        <v>40969</v>
      </c>
      <c r="D6189" s="733" t="str">
        <f>CHOOSE(MONTH(Tabla_sqldatos_bonampakdb_Bon_v_ingresos2012[[#This Row],[fecha_guia]]),"Enero","Febrero","Marzo","Abril","Mayo","Junio","Julio","Agosto","Septiembre","Octubre","Noviembre","Diciembre")</f>
        <v>Marzo</v>
      </c>
      <c r="E6189" t="s">
        <v>485</v>
      </c>
      <c r="F6189" t="s">
        <v>2065</v>
      </c>
      <c r="G6189" t="s">
        <v>9564</v>
      </c>
      <c r="H6189">
        <v>42812</v>
      </c>
      <c r="I6189" t="s">
        <v>423</v>
      </c>
      <c r="J6189" t="s">
        <v>2196</v>
      </c>
      <c r="K6189" t="s">
        <v>2183</v>
      </c>
      <c r="L6189" t="s">
        <v>2184</v>
      </c>
      <c r="M6189">
        <v>10</v>
      </c>
      <c r="N6189">
        <v>28.07</v>
      </c>
      <c r="O6189">
        <v>3168.26</v>
      </c>
      <c r="P6189">
        <v>0</v>
      </c>
      <c r="Q6189">
        <v>3168.26</v>
      </c>
      <c r="R6189">
        <v>506.92</v>
      </c>
      <c r="S6189">
        <v>126.73</v>
      </c>
      <c r="T6189">
        <v>3548.45</v>
      </c>
      <c r="V6189" t="s">
        <v>9408</v>
      </c>
      <c r="W6189" t="s">
        <v>423</v>
      </c>
    </row>
    <row r="6190" spans="1:23" hidden="1" x14ac:dyDescent="0.2">
      <c r="A6190">
        <v>2012</v>
      </c>
      <c r="B6190" t="s">
        <v>303</v>
      </c>
      <c r="C6190" s="733">
        <v>40938.553726851853</v>
      </c>
      <c r="D61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90" t="s">
        <v>485</v>
      </c>
      <c r="F6190" t="s">
        <v>2065</v>
      </c>
      <c r="G6190" t="s">
        <v>3596</v>
      </c>
      <c r="H6190">
        <v>41101</v>
      </c>
      <c r="I6190" t="s">
        <v>423</v>
      </c>
      <c r="J6190" t="s">
        <v>2196</v>
      </c>
      <c r="K6190" t="s">
        <v>2183</v>
      </c>
      <c r="L6190" t="s">
        <v>2184</v>
      </c>
      <c r="M6190">
        <v>10</v>
      </c>
      <c r="N6190">
        <v>24.56</v>
      </c>
      <c r="O6190">
        <v>2772.09</v>
      </c>
      <c r="P6190">
        <v>0</v>
      </c>
      <c r="Q6190">
        <v>2772.09</v>
      </c>
      <c r="R6190">
        <v>443.53</v>
      </c>
      <c r="S6190">
        <v>110.88</v>
      </c>
      <c r="T6190">
        <v>3104.74</v>
      </c>
      <c r="U6190" t="s">
        <v>2187</v>
      </c>
      <c r="V6190" t="s">
        <v>9408</v>
      </c>
      <c r="W6190" t="s">
        <v>423</v>
      </c>
    </row>
    <row r="6191" spans="1:23" hidden="1" x14ac:dyDescent="0.2">
      <c r="A6191">
        <v>2012</v>
      </c>
      <c r="B6191" t="s">
        <v>303</v>
      </c>
      <c r="C6191" s="733">
        <v>40934</v>
      </c>
      <c r="D61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91" t="s">
        <v>485</v>
      </c>
      <c r="F6191" t="s">
        <v>2065</v>
      </c>
      <c r="G6191" t="s">
        <v>3595</v>
      </c>
      <c r="H6191">
        <v>40824</v>
      </c>
      <c r="I6191" t="s">
        <v>423</v>
      </c>
      <c r="J6191" t="s">
        <v>2196</v>
      </c>
      <c r="K6191" t="s">
        <v>2183</v>
      </c>
      <c r="L6191" t="s">
        <v>2184</v>
      </c>
      <c r="M6191">
        <v>10</v>
      </c>
      <c r="N6191">
        <v>52.17</v>
      </c>
      <c r="O6191">
        <v>5888.43</v>
      </c>
      <c r="P6191">
        <v>0</v>
      </c>
      <c r="Q6191">
        <v>5888.43</v>
      </c>
      <c r="R6191">
        <v>942.15</v>
      </c>
      <c r="S6191">
        <v>235.54</v>
      </c>
      <c r="T6191">
        <v>6595.04</v>
      </c>
      <c r="U6191" t="s">
        <v>2187</v>
      </c>
      <c r="V6191" t="s">
        <v>9409</v>
      </c>
      <c r="W6191" t="s">
        <v>423</v>
      </c>
    </row>
    <row r="6192" spans="1:23" hidden="1" x14ac:dyDescent="0.2">
      <c r="A6192">
        <v>2012</v>
      </c>
      <c r="B6192" t="s">
        <v>304</v>
      </c>
      <c r="C6192" s="733">
        <v>40948</v>
      </c>
      <c r="D61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92" t="s">
        <v>485</v>
      </c>
      <c r="F6192" t="s">
        <v>2065</v>
      </c>
      <c r="G6192" t="s">
        <v>3227</v>
      </c>
      <c r="H6192">
        <v>41543</v>
      </c>
      <c r="I6192" t="s">
        <v>423</v>
      </c>
      <c r="J6192" t="s">
        <v>2139</v>
      </c>
      <c r="K6192" t="s">
        <v>2102</v>
      </c>
      <c r="L6192" t="s">
        <v>2115</v>
      </c>
      <c r="M6192">
        <v>543</v>
      </c>
      <c r="N6192">
        <v>49.85</v>
      </c>
      <c r="O6192">
        <v>16762.060000000001</v>
      </c>
      <c r="P6192">
        <v>0</v>
      </c>
      <c r="Q6192">
        <v>16762.060000000001</v>
      </c>
      <c r="R6192">
        <v>2681.93</v>
      </c>
      <c r="S6192">
        <v>670.48</v>
      </c>
      <c r="T6192">
        <v>18773.509999999998</v>
      </c>
      <c r="U6192" t="s">
        <v>7462</v>
      </c>
      <c r="V6192" t="s">
        <v>9409</v>
      </c>
      <c r="W6192" t="s">
        <v>423</v>
      </c>
    </row>
    <row r="6193" spans="1:23" hidden="1" x14ac:dyDescent="0.2">
      <c r="A6193">
        <v>2012</v>
      </c>
      <c r="B6193" t="s">
        <v>303</v>
      </c>
      <c r="C6193" s="733">
        <v>40926</v>
      </c>
      <c r="D61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93" t="s">
        <v>485</v>
      </c>
      <c r="F6193" t="s">
        <v>2065</v>
      </c>
      <c r="G6193" t="s">
        <v>4787</v>
      </c>
      <c r="H6193">
        <v>39788</v>
      </c>
      <c r="I6193" t="s">
        <v>423</v>
      </c>
      <c r="J6193" t="s">
        <v>2114</v>
      </c>
      <c r="K6193" t="s">
        <v>2102</v>
      </c>
      <c r="L6193" t="s">
        <v>2115</v>
      </c>
      <c r="M6193">
        <v>500</v>
      </c>
      <c r="N6193">
        <v>51.69</v>
      </c>
      <c r="O6193">
        <v>17380.759999999998</v>
      </c>
      <c r="P6193">
        <v>0</v>
      </c>
      <c r="Q6193">
        <v>17380.759999999998</v>
      </c>
      <c r="R6193">
        <v>2780.92</v>
      </c>
      <c r="S6193">
        <v>695.23</v>
      </c>
      <c r="T6193">
        <v>19466.45</v>
      </c>
      <c r="U6193" t="s">
        <v>2106</v>
      </c>
      <c r="V6193" t="s">
        <v>9409</v>
      </c>
      <c r="W6193" t="s">
        <v>423</v>
      </c>
    </row>
    <row r="6194" spans="1:23" hidden="1" x14ac:dyDescent="0.2">
      <c r="A6194">
        <v>2012</v>
      </c>
      <c r="B6194" t="s">
        <v>304</v>
      </c>
      <c r="C6194" s="733">
        <v>40948</v>
      </c>
      <c r="D61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94" t="s">
        <v>485</v>
      </c>
      <c r="F6194" t="s">
        <v>2065</v>
      </c>
      <c r="G6194" t="s">
        <v>3225</v>
      </c>
      <c r="H6194">
        <v>41590</v>
      </c>
      <c r="I6194" t="s">
        <v>423</v>
      </c>
      <c r="J6194" t="s">
        <v>2139</v>
      </c>
      <c r="K6194" t="s">
        <v>2102</v>
      </c>
      <c r="L6194" t="s">
        <v>2115</v>
      </c>
      <c r="M6194">
        <v>543</v>
      </c>
      <c r="N6194">
        <v>49.74</v>
      </c>
      <c r="O6194">
        <v>16725.080000000002</v>
      </c>
      <c r="P6194">
        <v>0</v>
      </c>
      <c r="Q6194">
        <v>16725.080000000002</v>
      </c>
      <c r="R6194">
        <v>2676.01</v>
      </c>
      <c r="S6194">
        <v>669</v>
      </c>
      <c r="T6194">
        <v>18732.09</v>
      </c>
      <c r="U6194" t="s">
        <v>7462</v>
      </c>
      <c r="V6194" t="s">
        <v>9409</v>
      </c>
      <c r="W6194" t="s">
        <v>423</v>
      </c>
    </row>
    <row r="6195" spans="1:23" hidden="1" x14ac:dyDescent="0.2">
      <c r="A6195">
        <v>2012</v>
      </c>
      <c r="B6195" t="s">
        <v>303</v>
      </c>
      <c r="C6195" s="733">
        <v>40918</v>
      </c>
      <c r="D61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95" t="s">
        <v>505</v>
      </c>
      <c r="F6195" t="s">
        <v>1915</v>
      </c>
      <c r="G6195" t="s">
        <v>6816</v>
      </c>
      <c r="H6195">
        <v>21843</v>
      </c>
      <c r="I6195" t="s">
        <v>423</v>
      </c>
      <c r="J6195" t="s">
        <v>4153</v>
      </c>
      <c r="K6195" t="s">
        <v>1918</v>
      </c>
      <c r="L6195" t="s">
        <v>1919</v>
      </c>
      <c r="M6195">
        <v>850</v>
      </c>
      <c r="N6195">
        <v>24.91</v>
      </c>
      <c r="O6195">
        <v>15565.26</v>
      </c>
      <c r="P6195">
        <v>0</v>
      </c>
      <c r="Q6195">
        <v>15565.26</v>
      </c>
      <c r="R6195">
        <v>2490.44</v>
      </c>
      <c r="S6195">
        <v>622.61</v>
      </c>
      <c r="T6195">
        <v>17433.09</v>
      </c>
      <c r="U6195" t="s">
        <v>1931</v>
      </c>
      <c r="V6195" t="s">
        <v>9408</v>
      </c>
      <c r="W6195" t="s">
        <v>423</v>
      </c>
    </row>
    <row r="6196" spans="1:23" hidden="1" x14ac:dyDescent="0.2">
      <c r="A6196">
        <v>2012</v>
      </c>
      <c r="B6196" t="s">
        <v>303</v>
      </c>
      <c r="C6196" s="733">
        <v>40914.769270833334</v>
      </c>
      <c r="D61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96" t="s">
        <v>505</v>
      </c>
      <c r="F6196" t="s">
        <v>1915</v>
      </c>
      <c r="G6196" t="s">
        <v>6800</v>
      </c>
      <c r="H6196">
        <v>21786</v>
      </c>
      <c r="I6196" t="s">
        <v>423</v>
      </c>
      <c r="J6196" t="s">
        <v>4153</v>
      </c>
      <c r="K6196" t="s">
        <v>1918</v>
      </c>
      <c r="L6196" t="s">
        <v>1919</v>
      </c>
      <c r="M6196">
        <v>850</v>
      </c>
      <c r="N6196">
        <v>24.7</v>
      </c>
      <c r="O6196">
        <v>11889.34</v>
      </c>
      <c r="P6196">
        <v>0</v>
      </c>
      <c r="Q6196">
        <v>11889.34</v>
      </c>
      <c r="R6196">
        <v>1902.3</v>
      </c>
      <c r="S6196">
        <v>475.57</v>
      </c>
      <c r="T6196">
        <v>13316.07</v>
      </c>
      <c r="U6196" t="s">
        <v>1931</v>
      </c>
      <c r="V6196" t="s">
        <v>9408</v>
      </c>
      <c r="W6196" t="s">
        <v>423</v>
      </c>
    </row>
    <row r="6197" spans="1:23" hidden="1" x14ac:dyDescent="0.2">
      <c r="A6197">
        <v>2012</v>
      </c>
      <c r="B6197" t="s">
        <v>304</v>
      </c>
      <c r="C6197" s="733">
        <v>40941</v>
      </c>
      <c r="D61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197" t="s">
        <v>478</v>
      </c>
      <c r="F6197" t="s">
        <v>2136</v>
      </c>
      <c r="G6197" t="s">
        <v>7222</v>
      </c>
      <c r="H6197">
        <v>35228</v>
      </c>
      <c r="I6197" t="s">
        <v>423</v>
      </c>
      <c r="J6197" t="s">
        <v>4294</v>
      </c>
      <c r="K6197" t="s">
        <v>425</v>
      </c>
      <c r="L6197" t="s">
        <v>2145</v>
      </c>
      <c r="M6197">
        <v>1089</v>
      </c>
      <c r="N6197">
        <v>56.12</v>
      </c>
      <c r="O6197">
        <v>28327.69</v>
      </c>
      <c r="P6197">
        <v>0</v>
      </c>
      <c r="Q6197">
        <v>28327.69</v>
      </c>
      <c r="R6197">
        <v>4532.43</v>
      </c>
      <c r="S6197">
        <v>1133.1099999999999</v>
      </c>
      <c r="T6197">
        <v>31727.01</v>
      </c>
      <c r="U6197" t="s">
        <v>2914</v>
      </c>
      <c r="V6197" t="s">
        <v>9409</v>
      </c>
      <c r="W6197" t="s">
        <v>423</v>
      </c>
    </row>
    <row r="6198" spans="1:23" hidden="1" x14ac:dyDescent="0.2">
      <c r="A6198">
        <v>2012</v>
      </c>
      <c r="B6198" t="s">
        <v>303</v>
      </c>
      <c r="C6198" s="733">
        <v>40938</v>
      </c>
      <c r="D61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98" t="s">
        <v>485</v>
      </c>
      <c r="F6198" t="s">
        <v>2084</v>
      </c>
      <c r="G6198" t="s">
        <v>6346</v>
      </c>
      <c r="H6198">
        <v>39936</v>
      </c>
      <c r="I6198" t="s">
        <v>423</v>
      </c>
      <c r="J6198" t="s">
        <v>3355</v>
      </c>
      <c r="K6198" t="s">
        <v>2814</v>
      </c>
      <c r="L6198" t="s">
        <v>2815</v>
      </c>
      <c r="M6198">
        <v>417</v>
      </c>
      <c r="N6198">
        <v>23.728999999999999</v>
      </c>
      <c r="O6198">
        <v>6584.09</v>
      </c>
      <c r="P6198">
        <v>0</v>
      </c>
      <c r="Q6198">
        <v>6584.09</v>
      </c>
      <c r="R6198">
        <v>1053.45</v>
      </c>
      <c r="S6198">
        <v>263.36</v>
      </c>
      <c r="T6198">
        <v>7374.18</v>
      </c>
      <c r="U6198" t="s">
        <v>2826</v>
      </c>
      <c r="V6198" t="s">
        <v>9408</v>
      </c>
      <c r="W6198" t="s">
        <v>423</v>
      </c>
    </row>
    <row r="6199" spans="1:23" hidden="1" x14ac:dyDescent="0.2">
      <c r="A6199">
        <v>2012</v>
      </c>
      <c r="B6199" t="s">
        <v>303</v>
      </c>
      <c r="C6199" s="733">
        <v>40931</v>
      </c>
      <c r="D61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199" t="s">
        <v>485</v>
      </c>
      <c r="F6199" t="s">
        <v>3450</v>
      </c>
      <c r="G6199" t="s">
        <v>6383</v>
      </c>
      <c r="H6199">
        <v>40128</v>
      </c>
      <c r="I6199" t="s">
        <v>423</v>
      </c>
      <c r="J6199" t="s">
        <v>3952</v>
      </c>
      <c r="K6199" t="s">
        <v>3953</v>
      </c>
      <c r="L6199" t="s">
        <v>3454</v>
      </c>
      <c r="M6199">
        <v>54</v>
      </c>
      <c r="N6199">
        <v>28</v>
      </c>
      <c r="O6199">
        <v>3160.36</v>
      </c>
      <c r="P6199">
        <v>0</v>
      </c>
      <c r="Q6199">
        <v>3160.36</v>
      </c>
      <c r="R6199">
        <v>505.66</v>
      </c>
      <c r="S6199">
        <v>126.41</v>
      </c>
      <c r="T6199">
        <v>3539.61</v>
      </c>
      <c r="U6199" t="s">
        <v>3459</v>
      </c>
      <c r="V6199" t="s">
        <v>9408</v>
      </c>
      <c r="W6199" t="s">
        <v>423</v>
      </c>
    </row>
    <row r="6200" spans="1:23" hidden="1" x14ac:dyDescent="0.2">
      <c r="A6200">
        <v>2012</v>
      </c>
      <c r="B6200" t="s">
        <v>303</v>
      </c>
      <c r="C6200" s="733">
        <v>40926</v>
      </c>
      <c r="D62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00" t="s">
        <v>485</v>
      </c>
      <c r="F6200" t="s">
        <v>3450</v>
      </c>
      <c r="G6200" t="s">
        <v>6382</v>
      </c>
      <c r="H6200">
        <v>40131</v>
      </c>
      <c r="I6200" t="s">
        <v>423</v>
      </c>
      <c r="J6200" t="s">
        <v>3952</v>
      </c>
      <c r="K6200" t="s">
        <v>3953</v>
      </c>
      <c r="L6200" t="s">
        <v>3454</v>
      </c>
      <c r="M6200">
        <v>54</v>
      </c>
      <c r="N6200">
        <v>28.35</v>
      </c>
      <c r="O6200">
        <v>3199.86</v>
      </c>
      <c r="P6200">
        <v>0</v>
      </c>
      <c r="Q6200">
        <v>3199.86</v>
      </c>
      <c r="R6200">
        <v>511.98</v>
      </c>
      <c r="S6200">
        <v>127.99</v>
      </c>
      <c r="T6200">
        <v>3583.85</v>
      </c>
      <c r="U6200" t="s">
        <v>3459</v>
      </c>
      <c r="V6200" t="s">
        <v>9408</v>
      </c>
      <c r="W6200" t="s">
        <v>423</v>
      </c>
    </row>
    <row r="6201" spans="1:23" hidden="1" x14ac:dyDescent="0.2">
      <c r="A6201">
        <v>2012</v>
      </c>
      <c r="B6201" t="s">
        <v>303</v>
      </c>
      <c r="C6201" s="733">
        <v>40927</v>
      </c>
      <c r="D62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01" t="s">
        <v>478</v>
      </c>
      <c r="F6201" t="s">
        <v>2136</v>
      </c>
      <c r="G6201" t="s">
        <v>7075</v>
      </c>
      <c r="H6201">
        <v>34642</v>
      </c>
      <c r="I6201" t="s">
        <v>423</v>
      </c>
      <c r="J6201" t="s">
        <v>5522</v>
      </c>
      <c r="K6201" t="s">
        <v>425</v>
      </c>
      <c r="L6201" t="s">
        <v>2145</v>
      </c>
      <c r="M6201">
        <v>1413</v>
      </c>
      <c r="N6201">
        <v>28.66</v>
      </c>
      <c r="O6201">
        <v>18346.990000000002</v>
      </c>
      <c r="P6201">
        <v>0</v>
      </c>
      <c r="Q6201">
        <v>18346.990000000002</v>
      </c>
      <c r="R6201">
        <v>2935.52</v>
      </c>
      <c r="S6201">
        <v>733.88</v>
      </c>
      <c r="T6201">
        <v>20548.63</v>
      </c>
      <c r="U6201" t="s">
        <v>2355</v>
      </c>
      <c r="V6201" t="s">
        <v>9408</v>
      </c>
      <c r="W6201" t="s">
        <v>423</v>
      </c>
    </row>
    <row r="6202" spans="1:23" hidden="1" x14ac:dyDescent="0.2">
      <c r="A6202">
        <v>2012</v>
      </c>
      <c r="B6202" t="s">
        <v>304</v>
      </c>
      <c r="C6202" s="733">
        <v>40961</v>
      </c>
      <c r="D62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02" t="s">
        <v>478</v>
      </c>
      <c r="F6202" t="s">
        <v>2142</v>
      </c>
      <c r="G6202" t="s">
        <v>8393</v>
      </c>
      <c r="H6202">
        <v>35689</v>
      </c>
      <c r="I6202" t="s">
        <v>423</v>
      </c>
      <c r="J6202" t="s">
        <v>4294</v>
      </c>
      <c r="K6202" t="s">
        <v>425</v>
      </c>
      <c r="L6202" t="s">
        <v>2145</v>
      </c>
      <c r="M6202">
        <v>1089</v>
      </c>
      <c r="N6202">
        <v>40.94</v>
      </c>
      <c r="O6202">
        <v>20665.28</v>
      </c>
      <c r="P6202">
        <v>0</v>
      </c>
      <c r="Q6202">
        <v>20665.28</v>
      </c>
      <c r="R6202">
        <v>3306.45</v>
      </c>
      <c r="S6202">
        <v>826.61</v>
      </c>
      <c r="T6202">
        <v>23145.119999999999</v>
      </c>
      <c r="U6202" t="s">
        <v>9455</v>
      </c>
      <c r="V6202" t="s">
        <v>9409</v>
      </c>
      <c r="W6202" t="s">
        <v>423</v>
      </c>
    </row>
    <row r="6203" spans="1:23" hidden="1" x14ac:dyDescent="0.2">
      <c r="A6203">
        <v>2012</v>
      </c>
      <c r="B6203" t="s">
        <v>304</v>
      </c>
      <c r="C6203" s="733">
        <v>40952</v>
      </c>
      <c r="D62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03" t="s">
        <v>478</v>
      </c>
      <c r="F6203" t="s">
        <v>2136</v>
      </c>
      <c r="G6203" t="s">
        <v>7076</v>
      </c>
      <c r="H6203">
        <v>35506</v>
      </c>
      <c r="I6203" t="s">
        <v>423</v>
      </c>
      <c r="J6203" t="s">
        <v>4294</v>
      </c>
      <c r="K6203" t="s">
        <v>425</v>
      </c>
      <c r="L6203" t="s">
        <v>2145</v>
      </c>
      <c r="M6203">
        <v>1089</v>
      </c>
      <c r="N6203">
        <v>41.14</v>
      </c>
      <c r="O6203">
        <v>20766.240000000002</v>
      </c>
      <c r="P6203">
        <v>0</v>
      </c>
      <c r="Q6203">
        <v>20766.240000000002</v>
      </c>
      <c r="R6203">
        <v>3322.6</v>
      </c>
      <c r="S6203">
        <v>830.65</v>
      </c>
      <c r="T6203">
        <v>23258.19</v>
      </c>
      <c r="U6203" t="s">
        <v>7523</v>
      </c>
      <c r="V6203" t="s">
        <v>9409</v>
      </c>
      <c r="W6203" t="s">
        <v>423</v>
      </c>
    </row>
    <row r="6204" spans="1:23" hidden="1" x14ac:dyDescent="0.2">
      <c r="A6204">
        <v>2012</v>
      </c>
      <c r="B6204" t="s">
        <v>303</v>
      </c>
      <c r="C6204" s="733">
        <v>40931</v>
      </c>
      <c r="D62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04" t="s">
        <v>478</v>
      </c>
      <c r="F6204" t="s">
        <v>2136</v>
      </c>
      <c r="G6204" t="s">
        <v>7077</v>
      </c>
      <c r="H6204">
        <v>34873</v>
      </c>
      <c r="I6204" t="s">
        <v>423</v>
      </c>
      <c r="J6204" t="s">
        <v>4294</v>
      </c>
      <c r="K6204" t="s">
        <v>425</v>
      </c>
      <c r="L6204" t="s">
        <v>2145</v>
      </c>
      <c r="M6204">
        <v>1089</v>
      </c>
      <c r="N6204">
        <v>47.69</v>
      </c>
      <c r="O6204">
        <v>24072.48</v>
      </c>
      <c r="P6204">
        <v>0</v>
      </c>
      <c r="Q6204">
        <v>24072.48</v>
      </c>
      <c r="R6204">
        <v>3851.6</v>
      </c>
      <c r="S6204">
        <v>962.9</v>
      </c>
      <c r="T6204">
        <v>26961.18</v>
      </c>
      <c r="U6204" t="s">
        <v>3234</v>
      </c>
      <c r="V6204" t="s">
        <v>9409</v>
      </c>
      <c r="W6204" t="s">
        <v>423</v>
      </c>
    </row>
    <row r="6205" spans="1:23" hidden="1" x14ac:dyDescent="0.2">
      <c r="A6205">
        <v>2012</v>
      </c>
      <c r="B6205" t="s">
        <v>303</v>
      </c>
      <c r="C6205" s="733">
        <v>40927</v>
      </c>
      <c r="D62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05" t="s">
        <v>478</v>
      </c>
      <c r="F6205" t="s">
        <v>2142</v>
      </c>
      <c r="G6205" t="s">
        <v>7223</v>
      </c>
      <c r="H6205">
        <v>34645</v>
      </c>
      <c r="I6205" t="s">
        <v>423</v>
      </c>
      <c r="J6205" t="s">
        <v>4294</v>
      </c>
      <c r="K6205" t="s">
        <v>425</v>
      </c>
      <c r="L6205" t="s">
        <v>2145</v>
      </c>
      <c r="M6205">
        <v>1089</v>
      </c>
      <c r="N6205">
        <v>50.28</v>
      </c>
      <c r="O6205">
        <v>25379.84</v>
      </c>
      <c r="P6205">
        <v>0</v>
      </c>
      <c r="Q6205">
        <v>25379.84</v>
      </c>
      <c r="R6205">
        <v>4060.77</v>
      </c>
      <c r="S6205">
        <v>1015.19</v>
      </c>
      <c r="T6205">
        <v>28425.42</v>
      </c>
      <c r="U6205" t="s">
        <v>2146</v>
      </c>
      <c r="V6205" t="s">
        <v>9409</v>
      </c>
      <c r="W6205" t="s">
        <v>423</v>
      </c>
    </row>
    <row r="6206" spans="1:23" hidden="1" x14ac:dyDescent="0.2">
      <c r="A6206">
        <v>2012</v>
      </c>
      <c r="B6206" t="s">
        <v>303</v>
      </c>
      <c r="C6206" s="733">
        <v>40920</v>
      </c>
      <c r="D62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06" t="s">
        <v>485</v>
      </c>
      <c r="F6206" t="s">
        <v>2065</v>
      </c>
      <c r="G6206" t="s">
        <v>6624</v>
      </c>
      <c r="H6206">
        <v>40176</v>
      </c>
      <c r="I6206" t="s">
        <v>423</v>
      </c>
      <c r="J6206" t="s">
        <v>4533</v>
      </c>
      <c r="K6206" t="s">
        <v>2183</v>
      </c>
      <c r="L6206" t="s">
        <v>2184</v>
      </c>
      <c r="M6206">
        <v>253</v>
      </c>
      <c r="N6206">
        <v>24.22</v>
      </c>
      <c r="O6206">
        <v>5087.6499999999996</v>
      </c>
      <c r="P6206">
        <v>0</v>
      </c>
      <c r="Q6206">
        <v>5087.6499999999996</v>
      </c>
      <c r="R6206">
        <v>814.02</v>
      </c>
      <c r="S6206">
        <v>203.51</v>
      </c>
      <c r="T6206">
        <v>5698.16</v>
      </c>
      <c r="U6206" t="s">
        <v>7520</v>
      </c>
      <c r="V6206" t="s">
        <v>9408</v>
      </c>
      <c r="W6206" t="s">
        <v>423</v>
      </c>
    </row>
    <row r="6207" spans="1:23" x14ac:dyDescent="0.2">
      <c r="A6207">
        <v>2012</v>
      </c>
      <c r="B6207" t="s">
        <v>304</v>
      </c>
      <c r="C6207" s="733">
        <v>40967</v>
      </c>
      <c r="D62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07" t="s">
        <v>485</v>
      </c>
      <c r="F6207" t="s">
        <v>2065</v>
      </c>
      <c r="G6207" t="s">
        <v>9165</v>
      </c>
      <c r="H6207">
        <v>42762</v>
      </c>
      <c r="I6207" t="s">
        <v>423</v>
      </c>
      <c r="J6207" t="s">
        <v>4533</v>
      </c>
      <c r="K6207" t="s">
        <v>2183</v>
      </c>
      <c r="L6207" t="s">
        <v>2184</v>
      </c>
      <c r="M6207">
        <v>253</v>
      </c>
      <c r="N6207">
        <v>48.31</v>
      </c>
      <c r="O6207">
        <v>10148</v>
      </c>
      <c r="P6207">
        <v>0</v>
      </c>
      <c r="Q6207">
        <v>10148</v>
      </c>
      <c r="R6207">
        <v>1623.68</v>
      </c>
      <c r="S6207">
        <v>405.92</v>
      </c>
      <c r="T6207">
        <v>11365.76</v>
      </c>
      <c r="V6207" t="s">
        <v>9409</v>
      </c>
      <c r="W6207" t="s">
        <v>423</v>
      </c>
    </row>
    <row r="6208" spans="1:23" hidden="1" x14ac:dyDescent="0.2">
      <c r="A6208">
        <v>2012</v>
      </c>
      <c r="B6208" t="s">
        <v>304</v>
      </c>
      <c r="C6208" s="733">
        <v>40963</v>
      </c>
      <c r="D62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08" t="s">
        <v>478</v>
      </c>
      <c r="F6208" t="s">
        <v>2136</v>
      </c>
      <c r="G6208" t="s">
        <v>9158</v>
      </c>
      <c r="H6208">
        <v>35800</v>
      </c>
      <c r="I6208" t="s">
        <v>423</v>
      </c>
      <c r="J6208" t="s">
        <v>4396</v>
      </c>
      <c r="K6208" t="s">
        <v>4397</v>
      </c>
      <c r="L6208" t="s">
        <v>4398</v>
      </c>
      <c r="M6208">
        <v>112</v>
      </c>
      <c r="N6208">
        <v>30.94</v>
      </c>
      <c r="O6208">
        <v>3492.2</v>
      </c>
      <c r="P6208">
        <v>0</v>
      </c>
      <c r="Q6208">
        <v>3492.2</v>
      </c>
      <c r="R6208">
        <v>558.75</v>
      </c>
      <c r="S6208">
        <v>139.69</v>
      </c>
      <c r="T6208">
        <v>3911.26</v>
      </c>
      <c r="U6208" t="s">
        <v>8982</v>
      </c>
      <c r="V6208" t="s">
        <v>9408</v>
      </c>
      <c r="W6208" t="s">
        <v>423</v>
      </c>
    </row>
    <row r="6209" spans="1:23" hidden="1" x14ac:dyDescent="0.2">
      <c r="A6209">
        <v>2012</v>
      </c>
      <c r="B6209" t="s">
        <v>303</v>
      </c>
      <c r="C6209" s="733">
        <v>40914</v>
      </c>
      <c r="D62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09" t="s">
        <v>478</v>
      </c>
      <c r="F6209" t="s">
        <v>2136</v>
      </c>
      <c r="G6209" t="s">
        <v>7233</v>
      </c>
      <c r="H6209">
        <v>34250</v>
      </c>
      <c r="I6209" t="s">
        <v>423</v>
      </c>
      <c r="J6209" t="s">
        <v>4289</v>
      </c>
      <c r="K6209" t="s">
        <v>425</v>
      </c>
      <c r="L6209" t="s">
        <v>2145</v>
      </c>
      <c r="M6209">
        <v>775</v>
      </c>
      <c r="N6209">
        <v>25.39</v>
      </c>
      <c r="O6209">
        <v>9722.59</v>
      </c>
      <c r="P6209">
        <v>0</v>
      </c>
      <c r="Q6209">
        <v>9722.59</v>
      </c>
      <c r="R6209">
        <v>1555.61</v>
      </c>
      <c r="S6209">
        <v>388.9</v>
      </c>
      <c r="T6209">
        <v>10889.3</v>
      </c>
      <c r="U6209" t="s">
        <v>2352</v>
      </c>
      <c r="V6209" t="s">
        <v>9408</v>
      </c>
      <c r="W6209" t="s">
        <v>423</v>
      </c>
    </row>
    <row r="6210" spans="1:23" hidden="1" x14ac:dyDescent="0.2">
      <c r="A6210">
        <v>2012</v>
      </c>
      <c r="B6210" t="s">
        <v>303</v>
      </c>
      <c r="C6210" s="733">
        <v>40921</v>
      </c>
      <c r="D62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10" t="s">
        <v>505</v>
      </c>
      <c r="F6210" t="s">
        <v>1915</v>
      </c>
      <c r="G6210" t="s">
        <v>6804</v>
      </c>
      <c r="H6210">
        <v>21903</v>
      </c>
      <c r="I6210" t="s">
        <v>423</v>
      </c>
      <c r="J6210" t="s">
        <v>4153</v>
      </c>
      <c r="K6210" t="s">
        <v>1918</v>
      </c>
      <c r="L6210" t="s">
        <v>1919</v>
      </c>
      <c r="M6210">
        <v>850</v>
      </c>
      <c r="N6210">
        <v>24.9</v>
      </c>
      <c r="O6210">
        <v>15559.01</v>
      </c>
      <c r="P6210">
        <v>0</v>
      </c>
      <c r="Q6210">
        <v>15559.01</v>
      </c>
      <c r="R6210">
        <v>2489.44</v>
      </c>
      <c r="S6210">
        <v>622.36</v>
      </c>
      <c r="T6210">
        <v>17426.09</v>
      </c>
      <c r="U6210" t="s">
        <v>1931</v>
      </c>
      <c r="V6210" t="s">
        <v>9408</v>
      </c>
      <c r="W6210" t="s">
        <v>423</v>
      </c>
    </row>
    <row r="6211" spans="1:23" hidden="1" x14ac:dyDescent="0.2">
      <c r="A6211">
        <v>2012</v>
      </c>
      <c r="B6211" t="s">
        <v>304</v>
      </c>
      <c r="C6211" s="733">
        <v>40947</v>
      </c>
      <c r="D62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11" t="s">
        <v>505</v>
      </c>
      <c r="F6211" t="s">
        <v>1915</v>
      </c>
      <c r="G6211" t="s">
        <v>6802</v>
      </c>
      <c r="H6211">
        <v>22499</v>
      </c>
      <c r="I6211" t="s">
        <v>423</v>
      </c>
      <c r="J6211" t="s">
        <v>4153</v>
      </c>
      <c r="K6211" t="s">
        <v>1918</v>
      </c>
      <c r="L6211" t="s">
        <v>1919</v>
      </c>
      <c r="M6211">
        <v>850</v>
      </c>
      <c r="N6211">
        <v>49.99</v>
      </c>
      <c r="O6211">
        <v>31236.75</v>
      </c>
      <c r="P6211">
        <v>0</v>
      </c>
      <c r="Q6211">
        <v>31236.75</v>
      </c>
      <c r="R6211">
        <v>4997.88</v>
      </c>
      <c r="S6211">
        <v>1249.47</v>
      </c>
      <c r="T6211">
        <v>34985.160000000003</v>
      </c>
      <c r="U6211" t="s">
        <v>1924</v>
      </c>
      <c r="V6211" t="s">
        <v>9409</v>
      </c>
      <c r="W6211" t="s">
        <v>423</v>
      </c>
    </row>
    <row r="6212" spans="1:23" hidden="1" x14ac:dyDescent="0.2">
      <c r="A6212">
        <v>2012</v>
      </c>
      <c r="B6212" t="s">
        <v>303</v>
      </c>
      <c r="C6212" s="733">
        <v>40915</v>
      </c>
      <c r="D62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12" t="s">
        <v>505</v>
      </c>
      <c r="F6212" t="s">
        <v>1915</v>
      </c>
      <c r="G6212" t="s">
        <v>6801</v>
      </c>
      <c r="H6212">
        <v>21727</v>
      </c>
      <c r="I6212" t="s">
        <v>423</v>
      </c>
      <c r="J6212" t="s">
        <v>4153</v>
      </c>
      <c r="K6212" t="s">
        <v>1918</v>
      </c>
      <c r="L6212" t="s">
        <v>1919</v>
      </c>
      <c r="M6212">
        <v>850</v>
      </c>
      <c r="N6212">
        <v>24.95</v>
      </c>
      <c r="O6212">
        <v>15590.26</v>
      </c>
      <c r="P6212">
        <v>0</v>
      </c>
      <c r="Q6212">
        <v>15590.26</v>
      </c>
      <c r="R6212">
        <v>2494.44</v>
      </c>
      <c r="S6212">
        <v>623.61</v>
      </c>
      <c r="T6212">
        <v>17461.09</v>
      </c>
      <c r="U6212" t="s">
        <v>7529</v>
      </c>
      <c r="V6212" t="s">
        <v>9408</v>
      </c>
      <c r="W6212" t="s">
        <v>423</v>
      </c>
    </row>
    <row r="6213" spans="1:23" hidden="1" x14ac:dyDescent="0.2">
      <c r="A6213">
        <v>2012</v>
      </c>
      <c r="B6213" t="s">
        <v>303</v>
      </c>
      <c r="C6213" s="733">
        <v>40939</v>
      </c>
      <c r="D62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13" t="s">
        <v>485</v>
      </c>
      <c r="F6213" t="s">
        <v>2054</v>
      </c>
      <c r="G6213" t="s">
        <v>6687</v>
      </c>
      <c r="H6213">
        <v>9992</v>
      </c>
      <c r="I6213" t="s">
        <v>423</v>
      </c>
      <c r="J6213" t="s">
        <v>4545</v>
      </c>
      <c r="K6213" t="s">
        <v>2057</v>
      </c>
      <c r="L6213" t="s">
        <v>2058</v>
      </c>
      <c r="M6213">
        <v>144</v>
      </c>
      <c r="N6213">
        <v>24.58</v>
      </c>
      <c r="O6213">
        <v>3930.1</v>
      </c>
      <c r="P6213">
        <v>0</v>
      </c>
      <c r="Q6213">
        <v>3930.1</v>
      </c>
      <c r="R6213">
        <v>628.82000000000005</v>
      </c>
      <c r="S6213">
        <v>157.19999999999999</v>
      </c>
      <c r="T6213">
        <v>4401.72</v>
      </c>
      <c r="U6213" t="s">
        <v>2073</v>
      </c>
      <c r="V6213" t="s">
        <v>9408</v>
      </c>
      <c r="W6213" t="s">
        <v>423</v>
      </c>
    </row>
    <row r="6214" spans="1:23" hidden="1" x14ac:dyDescent="0.2">
      <c r="A6214">
        <v>2012</v>
      </c>
      <c r="B6214" t="s">
        <v>303</v>
      </c>
      <c r="C6214" s="733">
        <v>40919</v>
      </c>
      <c r="D62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14" t="s">
        <v>478</v>
      </c>
      <c r="F6214" t="s">
        <v>2136</v>
      </c>
      <c r="G6214" t="s">
        <v>2351</v>
      </c>
      <c r="H6214">
        <v>34350</v>
      </c>
      <c r="I6214" t="s">
        <v>423</v>
      </c>
      <c r="J6214" t="s">
        <v>2148</v>
      </c>
      <c r="K6214" t="s">
        <v>425</v>
      </c>
      <c r="L6214" t="s">
        <v>2145</v>
      </c>
      <c r="M6214">
        <v>205</v>
      </c>
      <c r="N6214">
        <v>23.31</v>
      </c>
      <c r="O6214">
        <v>4624</v>
      </c>
      <c r="P6214">
        <v>0</v>
      </c>
      <c r="Q6214">
        <v>4624</v>
      </c>
      <c r="R6214">
        <v>739.84</v>
      </c>
      <c r="S6214">
        <v>184.96</v>
      </c>
      <c r="T6214">
        <v>5178.88</v>
      </c>
      <c r="U6214" t="s">
        <v>2352</v>
      </c>
      <c r="V6214" t="s">
        <v>9408</v>
      </c>
      <c r="W6214" t="s">
        <v>423</v>
      </c>
    </row>
    <row r="6215" spans="1:23" hidden="1" x14ac:dyDescent="0.2">
      <c r="A6215">
        <v>2012</v>
      </c>
      <c r="B6215" t="s">
        <v>303</v>
      </c>
      <c r="C6215" s="733">
        <v>40924</v>
      </c>
      <c r="D62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15" t="s">
        <v>478</v>
      </c>
      <c r="F6215" t="s">
        <v>2136</v>
      </c>
      <c r="G6215" t="s">
        <v>7065</v>
      </c>
      <c r="H6215">
        <v>34524</v>
      </c>
      <c r="I6215" t="s">
        <v>423</v>
      </c>
      <c r="J6215" t="s">
        <v>4285</v>
      </c>
      <c r="K6215" t="s">
        <v>425</v>
      </c>
      <c r="L6215" t="s">
        <v>2145</v>
      </c>
      <c r="M6215">
        <v>110</v>
      </c>
      <c r="N6215">
        <v>24.86</v>
      </c>
      <c r="O6215">
        <v>4045.96</v>
      </c>
      <c r="P6215">
        <v>0</v>
      </c>
      <c r="Q6215">
        <v>4045.96</v>
      </c>
      <c r="R6215">
        <v>647.35</v>
      </c>
      <c r="S6215">
        <v>161.84</v>
      </c>
      <c r="T6215">
        <v>4531.47</v>
      </c>
      <c r="U6215" t="s">
        <v>2927</v>
      </c>
      <c r="V6215" t="s">
        <v>9409</v>
      </c>
      <c r="W6215" t="s">
        <v>423</v>
      </c>
    </row>
    <row r="6216" spans="1:23" hidden="1" x14ac:dyDescent="0.2">
      <c r="A6216">
        <v>2012</v>
      </c>
      <c r="B6216" t="s">
        <v>303</v>
      </c>
      <c r="C6216" s="733">
        <v>40939</v>
      </c>
      <c r="D62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16" t="s">
        <v>505</v>
      </c>
      <c r="F6216" t="s">
        <v>1915</v>
      </c>
      <c r="G6216" t="s">
        <v>6810</v>
      </c>
      <c r="H6216">
        <v>21659</v>
      </c>
      <c r="I6216" t="s">
        <v>1979</v>
      </c>
      <c r="J6216" t="s">
        <v>5365</v>
      </c>
      <c r="K6216" t="s">
        <v>1918</v>
      </c>
      <c r="L6216" t="s">
        <v>1919</v>
      </c>
      <c r="M6216">
        <v>376</v>
      </c>
      <c r="N6216">
        <v>51.62</v>
      </c>
      <c r="O6216">
        <v>11606.24</v>
      </c>
      <c r="P6216">
        <v>0</v>
      </c>
      <c r="Q6216">
        <v>11606.24</v>
      </c>
      <c r="R6216">
        <v>1857</v>
      </c>
      <c r="S6216">
        <v>464.25</v>
      </c>
      <c r="T6216">
        <v>12998.99</v>
      </c>
      <c r="U6216" t="s">
        <v>1936</v>
      </c>
      <c r="V6216" t="s">
        <v>9409</v>
      </c>
      <c r="W6216" t="s">
        <v>1979</v>
      </c>
    </row>
    <row r="6217" spans="1:23" hidden="1" x14ac:dyDescent="0.2">
      <c r="A6217">
        <v>2012</v>
      </c>
      <c r="B6217" t="s">
        <v>303</v>
      </c>
      <c r="C6217" s="733">
        <v>40926</v>
      </c>
      <c r="D62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17" t="s">
        <v>485</v>
      </c>
      <c r="F6217" t="s">
        <v>3450</v>
      </c>
      <c r="G6217" t="s">
        <v>6012</v>
      </c>
      <c r="H6217">
        <v>40134</v>
      </c>
      <c r="I6217" t="s">
        <v>423</v>
      </c>
      <c r="J6217" t="s">
        <v>3452</v>
      </c>
      <c r="K6217" t="s">
        <v>3453</v>
      </c>
      <c r="L6217" t="s">
        <v>3454</v>
      </c>
      <c r="M6217">
        <v>19</v>
      </c>
      <c r="N6217">
        <v>24.8</v>
      </c>
      <c r="O6217">
        <v>2799.18</v>
      </c>
      <c r="P6217">
        <v>0</v>
      </c>
      <c r="Q6217">
        <v>2799.18</v>
      </c>
      <c r="R6217">
        <v>447.87</v>
      </c>
      <c r="S6217">
        <v>111.97</v>
      </c>
      <c r="T6217">
        <v>3135.08</v>
      </c>
      <c r="U6217" t="s">
        <v>3459</v>
      </c>
      <c r="V6217" t="s">
        <v>9408</v>
      </c>
      <c r="W6217" t="s">
        <v>423</v>
      </c>
    </row>
    <row r="6218" spans="1:23" hidden="1" x14ac:dyDescent="0.2">
      <c r="A6218">
        <v>2012</v>
      </c>
      <c r="B6218" t="s">
        <v>304</v>
      </c>
      <c r="C6218" s="733">
        <v>40962</v>
      </c>
      <c r="D62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18" t="s">
        <v>478</v>
      </c>
      <c r="F6218" t="s">
        <v>2136</v>
      </c>
      <c r="G6218" t="s">
        <v>8562</v>
      </c>
      <c r="H6218">
        <v>35459</v>
      </c>
      <c r="I6218" t="s">
        <v>423</v>
      </c>
      <c r="J6218" t="s">
        <v>5241</v>
      </c>
      <c r="K6218" t="s">
        <v>425</v>
      </c>
      <c r="L6218" t="s">
        <v>4398</v>
      </c>
      <c r="M6218">
        <v>1330</v>
      </c>
      <c r="N6218">
        <v>22.87</v>
      </c>
      <c r="O6218">
        <v>13499.7</v>
      </c>
      <c r="P6218">
        <v>0</v>
      </c>
      <c r="Q6218">
        <v>13499.7</v>
      </c>
      <c r="R6218">
        <v>2159.9499999999998</v>
      </c>
      <c r="S6218">
        <v>539.99</v>
      </c>
      <c r="T6218">
        <v>15119.66</v>
      </c>
      <c r="U6218" t="s">
        <v>8510</v>
      </c>
      <c r="V6218" t="s">
        <v>9408</v>
      </c>
      <c r="W6218" t="s">
        <v>423</v>
      </c>
    </row>
    <row r="6219" spans="1:23" hidden="1" x14ac:dyDescent="0.2">
      <c r="A6219">
        <v>2012</v>
      </c>
      <c r="B6219" t="s">
        <v>304</v>
      </c>
      <c r="C6219" s="733">
        <v>40941</v>
      </c>
      <c r="D62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19" t="s">
        <v>478</v>
      </c>
      <c r="F6219" t="s">
        <v>2136</v>
      </c>
      <c r="G6219" t="s">
        <v>7057</v>
      </c>
      <c r="H6219">
        <v>35220</v>
      </c>
      <c r="I6219" t="s">
        <v>423</v>
      </c>
      <c r="J6219" t="s">
        <v>4279</v>
      </c>
      <c r="K6219" t="s">
        <v>425</v>
      </c>
      <c r="L6219" t="s">
        <v>2145</v>
      </c>
      <c r="M6219">
        <v>381</v>
      </c>
      <c r="N6219">
        <v>54.13</v>
      </c>
      <c r="O6219">
        <v>13553.61</v>
      </c>
      <c r="P6219">
        <v>0</v>
      </c>
      <c r="Q6219">
        <v>13553.61</v>
      </c>
      <c r="R6219">
        <v>2168.58</v>
      </c>
      <c r="S6219">
        <v>542.14</v>
      </c>
      <c r="T6219">
        <v>15180.05</v>
      </c>
      <c r="U6219" t="s">
        <v>2914</v>
      </c>
      <c r="V6219" t="s">
        <v>9409</v>
      </c>
      <c r="W6219" t="s">
        <v>423</v>
      </c>
    </row>
    <row r="6220" spans="1:23" hidden="1" x14ac:dyDescent="0.2">
      <c r="A6220">
        <v>2012</v>
      </c>
      <c r="B6220" t="s">
        <v>304</v>
      </c>
      <c r="C6220" s="733">
        <v>40941</v>
      </c>
      <c r="D62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20" t="s">
        <v>478</v>
      </c>
      <c r="F6220" t="s">
        <v>2136</v>
      </c>
      <c r="G6220" t="s">
        <v>7059</v>
      </c>
      <c r="H6220">
        <v>35003</v>
      </c>
      <c r="I6220" t="s">
        <v>423</v>
      </c>
      <c r="J6220" t="s">
        <v>7060</v>
      </c>
      <c r="K6220" t="s">
        <v>425</v>
      </c>
      <c r="L6220" t="s">
        <v>2145</v>
      </c>
      <c r="M6220">
        <v>842</v>
      </c>
      <c r="N6220">
        <v>21.92</v>
      </c>
      <c r="O6220">
        <v>3672.04</v>
      </c>
      <c r="P6220">
        <v>0</v>
      </c>
      <c r="Q6220">
        <v>3672.04</v>
      </c>
      <c r="R6220">
        <v>587.53</v>
      </c>
      <c r="S6220">
        <v>146.88</v>
      </c>
      <c r="T6220">
        <v>4112.6899999999996</v>
      </c>
      <c r="U6220" t="s">
        <v>2580</v>
      </c>
      <c r="V6220" t="s">
        <v>9408</v>
      </c>
      <c r="W6220" t="s">
        <v>423</v>
      </c>
    </row>
    <row r="6221" spans="1:23" hidden="1" x14ac:dyDescent="0.2">
      <c r="A6221">
        <v>2012</v>
      </c>
      <c r="B6221" t="s">
        <v>303</v>
      </c>
      <c r="C6221" s="733">
        <v>40926</v>
      </c>
      <c r="D62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21" t="s">
        <v>485</v>
      </c>
      <c r="F6221" t="s">
        <v>3450</v>
      </c>
      <c r="G6221" t="s">
        <v>6014</v>
      </c>
      <c r="H6221">
        <v>40185</v>
      </c>
      <c r="I6221" t="s">
        <v>423</v>
      </c>
      <c r="J6221" t="s">
        <v>3452</v>
      </c>
      <c r="K6221" t="s">
        <v>3453</v>
      </c>
      <c r="L6221" t="s">
        <v>3454</v>
      </c>
      <c r="M6221">
        <v>19</v>
      </c>
      <c r="N6221">
        <v>28.43</v>
      </c>
      <c r="O6221">
        <v>3208.89</v>
      </c>
      <c r="P6221">
        <v>0</v>
      </c>
      <c r="Q6221">
        <v>3208.89</v>
      </c>
      <c r="R6221">
        <v>513.41999999999996</v>
      </c>
      <c r="S6221">
        <v>128.36000000000001</v>
      </c>
      <c r="T6221">
        <v>3593.95</v>
      </c>
      <c r="U6221" t="s">
        <v>3459</v>
      </c>
      <c r="V6221" t="s">
        <v>9408</v>
      </c>
      <c r="W6221" t="s">
        <v>423</v>
      </c>
    </row>
    <row r="6222" spans="1:23" hidden="1" x14ac:dyDescent="0.2">
      <c r="A6222">
        <v>2012</v>
      </c>
      <c r="B6222" t="s">
        <v>303</v>
      </c>
      <c r="C6222" s="733">
        <v>40921.590578703705</v>
      </c>
      <c r="D62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22" t="s">
        <v>478</v>
      </c>
      <c r="F6222" t="s">
        <v>2622</v>
      </c>
      <c r="G6222" t="s">
        <v>4595</v>
      </c>
      <c r="H6222">
        <v>34494</v>
      </c>
      <c r="I6222" t="s">
        <v>423</v>
      </c>
      <c r="J6222" t="s">
        <v>2644</v>
      </c>
      <c r="K6222" t="s">
        <v>2625</v>
      </c>
      <c r="L6222" t="s">
        <v>2626</v>
      </c>
      <c r="M6222">
        <v>52</v>
      </c>
      <c r="N6222">
        <v>24.4</v>
      </c>
      <c r="O6222">
        <v>2872.61</v>
      </c>
      <c r="P6222">
        <v>0</v>
      </c>
      <c r="Q6222">
        <v>2872.61</v>
      </c>
      <c r="R6222">
        <v>459.62</v>
      </c>
      <c r="S6222">
        <v>114.9</v>
      </c>
      <c r="T6222">
        <v>3217.33</v>
      </c>
      <c r="U6222" t="s">
        <v>2627</v>
      </c>
      <c r="V6222" t="s">
        <v>9408</v>
      </c>
      <c r="W6222" t="s">
        <v>423</v>
      </c>
    </row>
    <row r="6223" spans="1:23" hidden="1" x14ac:dyDescent="0.2">
      <c r="A6223">
        <v>2012</v>
      </c>
      <c r="B6223" t="s">
        <v>304</v>
      </c>
      <c r="C6223" s="733">
        <v>40961.818854166668</v>
      </c>
      <c r="D62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23" t="s">
        <v>478</v>
      </c>
      <c r="F6223" t="s">
        <v>2136</v>
      </c>
      <c r="G6223" t="s">
        <v>8459</v>
      </c>
      <c r="H6223">
        <v>35940</v>
      </c>
      <c r="I6223" t="s">
        <v>423</v>
      </c>
      <c r="J6223" t="s">
        <v>2644</v>
      </c>
      <c r="K6223" t="s">
        <v>2625</v>
      </c>
      <c r="L6223" t="s">
        <v>2626</v>
      </c>
      <c r="M6223">
        <v>52</v>
      </c>
      <c r="N6223">
        <v>22.52</v>
      </c>
      <c r="O6223">
        <v>2651.28</v>
      </c>
      <c r="P6223">
        <v>0</v>
      </c>
      <c r="Q6223">
        <v>2651.28</v>
      </c>
      <c r="R6223">
        <v>424.2</v>
      </c>
      <c r="S6223">
        <v>106.05</v>
      </c>
      <c r="T6223">
        <v>2969.43</v>
      </c>
      <c r="U6223" t="s">
        <v>9428</v>
      </c>
      <c r="V6223" t="s">
        <v>9408</v>
      </c>
      <c r="W6223" t="s">
        <v>423</v>
      </c>
    </row>
    <row r="6224" spans="1:23" hidden="1" x14ac:dyDescent="0.2">
      <c r="A6224">
        <v>2012</v>
      </c>
      <c r="B6224" t="s">
        <v>303</v>
      </c>
      <c r="C6224" s="733">
        <v>40939.512060185189</v>
      </c>
      <c r="D62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24" t="s">
        <v>478</v>
      </c>
      <c r="F6224" t="s">
        <v>2136</v>
      </c>
      <c r="G6224" t="s">
        <v>4210</v>
      </c>
      <c r="H6224">
        <v>35129</v>
      </c>
      <c r="I6224" t="s">
        <v>423</v>
      </c>
      <c r="J6224" t="s">
        <v>2644</v>
      </c>
      <c r="K6224" t="s">
        <v>2625</v>
      </c>
      <c r="L6224" t="s">
        <v>2626</v>
      </c>
      <c r="M6224">
        <v>52</v>
      </c>
      <c r="N6224">
        <v>22.58</v>
      </c>
      <c r="O6224">
        <v>2658.34</v>
      </c>
      <c r="P6224">
        <v>0</v>
      </c>
      <c r="Q6224">
        <v>2658.34</v>
      </c>
      <c r="R6224">
        <v>425.33</v>
      </c>
      <c r="S6224">
        <v>106.33</v>
      </c>
      <c r="T6224">
        <v>2977.34</v>
      </c>
      <c r="U6224" t="s">
        <v>2630</v>
      </c>
      <c r="V6224" t="s">
        <v>9408</v>
      </c>
      <c r="W6224" t="s">
        <v>423</v>
      </c>
    </row>
    <row r="6225" spans="1:23" hidden="1" x14ac:dyDescent="0.2">
      <c r="A6225">
        <v>2012</v>
      </c>
      <c r="B6225" t="s">
        <v>304</v>
      </c>
      <c r="C6225" s="733">
        <v>40960.452187499999</v>
      </c>
      <c r="D62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25" t="s">
        <v>478</v>
      </c>
      <c r="F6225" t="s">
        <v>2622</v>
      </c>
      <c r="G6225" t="s">
        <v>8461</v>
      </c>
      <c r="H6225">
        <v>35832</v>
      </c>
      <c r="I6225" t="s">
        <v>423</v>
      </c>
      <c r="J6225" t="s">
        <v>2644</v>
      </c>
      <c r="K6225" t="s">
        <v>2625</v>
      </c>
      <c r="L6225" t="s">
        <v>2145</v>
      </c>
      <c r="M6225">
        <v>52</v>
      </c>
      <c r="N6225">
        <v>22.67</v>
      </c>
      <c r="O6225">
        <v>2668.94</v>
      </c>
      <c r="P6225">
        <v>0</v>
      </c>
      <c r="Q6225">
        <v>2668.94</v>
      </c>
      <c r="R6225">
        <v>427.03</v>
      </c>
      <c r="S6225">
        <v>106.76</v>
      </c>
      <c r="T6225">
        <v>2989.21</v>
      </c>
      <c r="U6225" t="s">
        <v>8267</v>
      </c>
      <c r="V6225" t="s">
        <v>9408</v>
      </c>
      <c r="W6225" t="s">
        <v>423</v>
      </c>
    </row>
    <row r="6226" spans="1:23" hidden="1" x14ac:dyDescent="0.2">
      <c r="A6226">
        <v>2012</v>
      </c>
      <c r="B6226" t="s">
        <v>303</v>
      </c>
      <c r="C6226" s="733">
        <v>40927</v>
      </c>
      <c r="D62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26" t="s">
        <v>485</v>
      </c>
      <c r="F6226" t="s">
        <v>2065</v>
      </c>
      <c r="G6226" t="s">
        <v>5276</v>
      </c>
      <c r="H6226">
        <v>40416</v>
      </c>
      <c r="I6226" t="s">
        <v>423</v>
      </c>
      <c r="J6226" t="s">
        <v>5277</v>
      </c>
      <c r="K6226" t="s">
        <v>2102</v>
      </c>
      <c r="L6226" t="s">
        <v>2115</v>
      </c>
      <c r="M6226">
        <v>1156</v>
      </c>
      <c r="N6226">
        <v>24.71</v>
      </c>
      <c r="O6226">
        <v>17586.11</v>
      </c>
      <c r="P6226">
        <v>0</v>
      </c>
      <c r="Q6226">
        <v>17586.11</v>
      </c>
      <c r="R6226">
        <v>2813.78</v>
      </c>
      <c r="S6226">
        <v>703.44</v>
      </c>
      <c r="T6226">
        <v>19696.45</v>
      </c>
      <c r="V6226" t="s">
        <v>9408</v>
      </c>
      <c r="W6226" t="s">
        <v>423</v>
      </c>
    </row>
    <row r="6227" spans="1:23" hidden="1" x14ac:dyDescent="0.2">
      <c r="A6227">
        <v>2012</v>
      </c>
      <c r="B6227" t="s">
        <v>303</v>
      </c>
      <c r="C6227" s="733">
        <v>40927</v>
      </c>
      <c r="D62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27" t="s">
        <v>478</v>
      </c>
      <c r="F6227" t="s">
        <v>2136</v>
      </c>
      <c r="G6227" t="s">
        <v>5562</v>
      </c>
      <c r="H6227">
        <v>34501</v>
      </c>
      <c r="I6227" t="s">
        <v>423</v>
      </c>
      <c r="J6227" t="s">
        <v>3638</v>
      </c>
      <c r="K6227" t="s">
        <v>425</v>
      </c>
      <c r="L6227" t="s">
        <v>2145</v>
      </c>
      <c r="M6227">
        <v>1416</v>
      </c>
      <c r="N6227">
        <v>49.8</v>
      </c>
      <c r="O6227">
        <v>45158.14</v>
      </c>
      <c r="P6227">
        <v>0</v>
      </c>
      <c r="Q6227">
        <v>45158.14</v>
      </c>
      <c r="R6227">
        <v>7225.3</v>
      </c>
      <c r="S6227">
        <v>1806.33</v>
      </c>
      <c r="T6227">
        <v>50577.11</v>
      </c>
      <c r="U6227" t="s">
        <v>2146</v>
      </c>
      <c r="V6227" t="s">
        <v>9409</v>
      </c>
      <c r="W6227" t="s">
        <v>423</v>
      </c>
    </row>
    <row r="6228" spans="1:23" hidden="1" x14ac:dyDescent="0.2">
      <c r="A6228">
        <v>2012</v>
      </c>
      <c r="B6228" t="s">
        <v>304</v>
      </c>
      <c r="C6228" s="733">
        <v>40948</v>
      </c>
      <c r="D62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28" t="s">
        <v>485</v>
      </c>
      <c r="F6228" t="s">
        <v>2065</v>
      </c>
      <c r="G6228" t="s">
        <v>4930</v>
      </c>
      <c r="H6228">
        <v>41649</v>
      </c>
      <c r="I6228" t="s">
        <v>423</v>
      </c>
      <c r="J6228" t="s">
        <v>2274</v>
      </c>
      <c r="K6228" t="s">
        <v>2051</v>
      </c>
      <c r="L6228" t="s">
        <v>2052</v>
      </c>
      <c r="M6228">
        <v>573</v>
      </c>
      <c r="N6228">
        <v>48.05</v>
      </c>
      <c r="O6228">
        <v>15592.22</v>
      </c>
      <c r="P6228">
        <v>0</v>
      </c>
      <c r="Q6228">
        <v>15592.22</v>
      </c>
      <c r="R6228">
        <v>2494.7600000000002</v>
      </c>
      <c r="S6228">
        <v>623.69000000000005</v>
      </c>
      <c r="T6228">
        <v>17463.29</v>
      </c>
      <c r="U6228" t="s">
        <v>7568</v>
      </c>
      <c r="V6228" t="s">
        <v>9409</v>
      </c>
      <c r="W6228" t="s">
        <v>423</v>
      </c>
    </row>
    <row r="6229" spans="1:23" hidden="1" x14ac:dyDescent="0.2">
      <c r="A6229">
        <v>2012</v>
      </c>
      <c r="B6229" t="s">
        <v>304</v>
      </c>
      <c r="C6229" s="733">
        <v>40953</v>
      </c>
      <c r="D62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29" t="s">
        <v>485</v>
      </c>
      <c r="F6229" t="s">
        <v>2048</v>
      </c>
      <c r="G6229" t="s">
        <v>5068</v>
      </c>
      <c r="H6229">
        <v>41876</v>
      </c>
      <c r="I6229" t="s">
        <v>423</v>
      </c>
      <c r="J6229" t="s">
        <v>2274</v>
      </c>
      <c r="K6229" t="s">
        <v>2051</v>
      </c>
      <c r="L6229" t="s">
        <v>2052</v>
      </c>
      <c r="M6229">
        <v>573</v>
      </c>
      <c r="N6229">
        <v>29.85</v>
      </c>
      <c r="O6229">
        <v>9686.32</v>
      </c>
      <c r="P6229">
        <v>0</v>
      </c>
      <c r="Q6229">
        <v>9686.32</v>
      </c>
      <c r="R6229">
        <v>1549.81</v>
      </c>
      <c r="S6229">
        <v>387.45</v>
      </c>
      <c r="T6229">
        <v>10848.68</v>
      </c>
      <c r="U6229" t="s">
        <v>8257</v>
      </c>
      <c r="V6229" t="s">
        <v>9408</v>
      </c>
      <c r="W6229" t="s">
        <v>423</v>
      </c>
    </row>
    <row r="6230" spans="1:23" hidden="1" x14ac:dyDescent="0.2">
      <c r="A6230">
        <v>2012</v>
      </c>
      <c r="B6230" t="s">
        <v>304</v>
      </c>
      <c r="C6230" s="733">
        <v>40948</v>
      </c>
      <c r="D62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30" t="s">
        <v>485</v>
      </c>
      <c r="F6230" t="s">
        <v>2048</v>
      </c>
      <c r="G6230" t="s">
        <v>5069</v>
      </c>
      <c r="H6230">
        <v>41643</v>
      </c>
      <c r="I6230" t="s">
        <v>423</v>
      </c>
      <c r="J6230" t="s">
        <v>2274</v>
      </c>
      <c r="K6230" t="s">
        <v>2051</v>
      </c>
      <c r="L6230" t="s">
        <v>2052</v>
      </c>
      <c r="M6230">
        <v>573</v>
      </c>
      <c r="N6230">
        <v>23.8</v>
      </c>
      <c r="O6230">
        <v>7723.1</v>
      </c>
      <c r="P6230">
        <v>0</v>
      </c>
      <c r="Q6230">
        <v>7723.1</v>
      </c>
      <c r="R6230">
        <v>1235.7</v>
      </c>
      <c r="S6230">
        <v>308.92</v>
      </c>
      <c r="T6230">
        <v>8649.8799999999992</v>
      </c>
      <c r="U6230" t="s">
        <v>7568</v>
      </c>
      <c r="V6230" t="s">
        <v>9408</v>
      </c>
      <c r="W6230" t="s">
        <v>423</v>
      </c>
    </row>
    <row r="6231" spans="1:23" hidden="1" x14ac:dyDescent="0.2">
      <c r="A6231">
        <v>2012</v>
      </c>
      <c r="B6231" t="s">
        <v>303</v>
      </c>
      <c r="C6231" s="733">
        <v>40922</v>
      </c>
      <c r="D62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31" t="s">
        <v>478</v>
      </c>
      <c r="F6231" t="s">
        <v>2136</v>
      </c>
      <c r="G6231" t="s">
        <v>5079</v>
      </c>
      <c r="H6231">
        <v>34425</v>
      </c>
      <c r="I6231" t="s">
        <v>423</v>
      </c>
      <c r="J6231" t="s">
        <v>3638</v>
      </c>
      <c r="K6231" t="s">
        <v>425</v>
      </c>
      <c r="L6231" t="s">
        <v>2145</v>
      </c>
      <c r="M6231">
        <v>1416</v>
      </c>
      <c r="N6231">
        <v>51.95</v>
      </c>
      <c r="O6231">
        <v>47107.74</v>
      </c>
      <c r="P6231">
        <v>0</v>
      </c>
      <c r="Q6231">
        <v>47107.74</v>
      </c>
      <c r="R6231">
        <v>7537.24</v>
      </c>
      <c r="S6231">
        <v>1884.31</v>
      </c>
      <c r="T6231">
        <v>52760.67</v>
      </c>
      <c r="U6231" t="s">
        <v>2146</v>
      </c>
      <c r="V6231" t="s">
        <v>9409</v>
      </c>
      <c r="W6231" t="s">
        <v>423</v>
      </c>
    </row>
    <row r="6232" spans="1:23" hidden="1" x14ac:dyDescent="0.2">
      <c r="A6232">
        <v>2012</v>
      </c>
      <c r="B6232" t="s">
        <v>304</v>
      </c>
      <c r="C6232" s="733">
        <v>40968</v>
      </c>
      <c r="D62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32" t="s">
        <v>478</v>
      </c>
      <c r="F6232" t="s">
        <v>2136</v>
      </c>
      <c r="G6232" t="s">
        <v>9619</v>
      </c>
      <c r="H6232">
        <v>36203</v>
      </c>
      <c r="I6232" t="s">
        <v>423</v>
      </c>
      <c r="J6232" t="s">
        <v>3638</v>
      </c>
      <c r="K6232" t="s">
        <v>425</v>
      </c>
      <c r="L6232" t="s">
        <v>2145</v>
      </c>
      <c r="M6232">
        <v>1416</v>
      </c>
      <c r="N6232">
        <v>38.21</v>
      </c>
      <c r="O6232">
        <v>34648.449999999997</v>
      </c>
      <c r="P6232">
        <v>0</v>
      </c>
      <c r="Q6232">
        <v>34648.449999999997</v>
      </c>
      <c r="R6232">
        <v>5543.75</v>
      </c>
      <c r="S6232">
        <v>1385.94</v>
      </c>
      <c r="T6232">
        <v>38806.26</v>
      </c>
      <c r="U6232" t="s">
        <v>9430</v>
      </c>
      <c r="V6232" t="s">
        <v>9409</v>
      </c>
      <c r="W6232" t="s">
        <v>423</v>
      </c>
    </row>
    <row r="6233" spans="1:23" hidden="1" x14ac:dyDescent="0.2">
      <c r="A6233">
        <v>2012</v>
      </c>
      <c r="B6233" t="s">
        <v>303</v>
      </c>
      <c r="C6233" s="733">
        <v>40918</v>
      </c>
      <c r="D62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33" t="s">
        <v>478</v>
      </c>
      <c r="F6233" t="s">
        <v>2136</v>
      </c>
      <c r="G6233" t="s">
        <v>5680</v>
      </c>
      <c r="H6233">
        <v>34273</v>
      </c>
      <c r="I6233" t="s">
        <v>423</v>
      </c>
      <c r="J6233" t="s">
        <v>3638</v>
      </c>
      <c r="K6233" t="s">
        <v>425</v>
      </c>
      <c r="L6233" t="s">
        <v>2145</v>
      </c>
      <c r="M6233">
        <v>1416</v>
      </c>
      <c r="N6233">
        <v>46.98</v>
      </c>
      <c r="O6233">
        <v>42600.99</v>
      </c>
      <c r="P6233">
        <v>0</v>
      </c>
      <c r="Q6233">
        <v>42600.99</v>
      </c>
      <c r="R6233">
        <v>6816.16</v>
      </c>
      <c r="S6233">
        <v>1704.04</v>
      </c>
      <c r="T6233">
        <v>47713.11</v>
      </c>
      <c r="U6233" t="s">
        <v>2350</v>
      </c>
      <c r="V6233" t="s">
        <v>9409</v>
      </c>
      <c r="W6233" t="s">
        <v>423</v>
      </c>
    </row>
    <row r="6234" spans="1:23" hidden="1" x14ac:dyDescent="0.2">
      <c r="A6234">
        <v>2012</v>
      </c>
      <c r="B6234" t="s">
        <v>304</v>
      </c>
      <c r="C6234" s="733">
        <v>40964</v>
      </c>
      <c r="D62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34" t="s">
        <v>505</v>
      </c>
      <c r="F6234" t="s">
        <v>1915</v>
      </c>
      <c r="G6234" t="s">
        <v>8744</v>
      </c>
      <c r="H6234">
        <v>22975</v>
      </c>
      <c r="I6234" t="s">
        <v>423</v>
      </c>
      <c r="J6234" t="s">
        <v>4140</v>
      </c>
      <c r="K6234" t="s">
        <v>1918</v>
      </c>
      <c r="L6234" t="s">
        <v>1919</v>
      </c>
      <c r="M6234">
        <v>1</v>
      </c>
      <c r="N6234">
        <v>25.16</v>
      </c>
      <c r="O6234">
        <v>2429.9499999999998</v>
      </c>
      <c r="P6234">
        <v>0</v>
      </c>
      <c r="Q6234">
        <v>2429.9499999999998</v>
      </c>
      <c r="R6234">
        <v>388.79</v>
      </c>
      <c r="S6234">
        <v>97.2</v>
      </c>
      <c r="T6234">
        <v>2721.54</v>
      </c>
      <c r="U6234" t="s">
        <v>9415</v>
      </c>
      <c r="V6234" t="s">
        <v>9408</v>
      </c>
      <c r="W6234" t="s">
        <v>423</v>
      </c>
    </row>
    <row r="6235" spans="1:23" hidden="1" x14ac:dyDescent="0.2">
      <c r="A6235">
        <v>2012</v>
      </c>
      <c r="B6235" t="s">
        <v>303</v>
      </c>
      <c r="C6235" s="733">
        <v>40917</v>
      </c>
      <c r="D62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35" t="s">
        <v>505</v>
      </c>
      <c r="F6235" t="s">
        <v>1915</v>
      </c>
      <c r="G6235" t="s">
        <v>5284</v>
      </c>
      <c r="H6235">
        <v>21844</v>
      </c>
      <c r="I6235" t="s">
        <v>423</v>
      </c>
      <c r="J6235" t="s">
        <v>5285</v>
      </c>
      <c r="K6235" t="s">
        <v>1918</v>
      </c>
      <c r="L6235" t="s">
        <v>1919</v>
      </c>
      <c r="M6235">
        <v>433</v>
      </c>
      <c r="N6235">
        <v>24.84</v>
      </c>
      <c r="O6235">
        <v>7848.94</v>
      </c>
      <c r="P6235">
        <v>0</v>
      </c>
      <c r="Q6235">
        <v>7848.94</v>
      </c>
      <c r="R6235">
        <v>1255.83</v>
      </c>
      <c r="S6235">
        <v>313.95999999999998</v>
      </c>
      <c r="T6235">
        <v>8790.81</v>
      </c>
      <c r="U6235" t="s">
        <v>1931</v>
      </c>
      <c r="V6235" t="s">
        <v>9408</v>
      </c>
      <c r="W6235" t="s">
        <v>423</v>
      </c>
    </row>
    <row r="6236" spans="1:23" hidden="1" x14ac:dyDescent="0.2">
      <c r="A6236">
        <v>2012</v>
      </c>
      <c r="B6236" t="s">
        <v>303</v>
      </c>
      <c r="C6236" s="733">
        <v>40928</v>
      </c>
      <c r="D62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36" t="s">
        <v>485</v>
      </c>
      <c r="F6236" t="s">
        <v>2065</v>
      </c>
      <c r="G6236" t="s">
        <v>4925</v>
      </c>
      <c r="H6236">
        <v>40595</v>
      </c>
      <c r="I6236" t="s">
        <v>423</v>
      </c>
      <c r="J6236" t="s">
        <v>4828</v>
      </c>
      <c r="K6236" t="s">
        <v>2183</v>
      </c>
      <c r="L6236" t="s">
        <v>2184</v>
      </c>
      <c r="M6236">
        <v>134</v>
      </c>
      <c r="N6236">
        <v>26.43</v>
      </c>
      <c r="O6236">
        <v>5261.68</v>
      </c>
      <c r="P6236">
        <v>0</v>
      </c>
      <c r="Q6236">
        <v>5261.68</v>
      </c>
      <c r="R6236">
        <v>841.87</v>
      </c>
      <c r="S6236">
        <v>210.47</v>
      </c>
      <c r="T6236">
        <v>5893.08</v>
      </c>
      <c r="U6236" t="s">
        <v>2187</v>
      </c>
      <c r="V6236" t="s">
        <v>9408</v>
      </c>
      <c r="W6236" t="s">
        <v>423</v>
      </c>
    </row>
    <row r="6237" spans="1:23" hidden="1" x14ac:dyDescent="0.2">
      <c r="A6237">
        <v>2012</v>
      </c>
      <c r="B6237" t="s">
        <v>304</v>
      </c>
      <c r="C6237" s="733">
        <v>40960</v>
      </c>
      <c r="D62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37" t="s">
        <v>485</v>
      </c>
      <c r="F6237" t="s">
        <v>2084</v>
      </c>
      <c r="G6237" t="s">
        <v>8131</v>
      </c>
      <c r="H6237">
        <v>42026</v>
      </c>
      <c r="I6237" t="s">
        <v>423</v>
      </c>
      <c r="J6237" t="s">
        <v>2813</v>
      </c>
      <c r="K6237" t="s">
        <v>2814</v>
      </c>
      <c r="L6237" t="s">
        <v>2815</v>
      </c>
      <c r="M6237">
        <v>365</v>
      </c>
      <c r="N6237">
        <v>24.568000000000001</v>
      </c>
      <c r="O6237">
        <v>6613.21</v>
      </c>
      <c r="P6237">
        <v>0</v>
      </c>
      <c r="Q6237">
        <v>6613.21</v>
      </c>
      <c r="R6237">
        <v>727.45</v>
      </c>
      <c r="S6237">
        <v>264.52999999999997</v>
      </c>
      <c r="T6237">
        <v>7076.13</v>
      </c>
      <c r="U6237" t="s">
        <v>8877</v>
      </c>
      <c r="V6237" t="s">
        <v>9408</v>
      </c>
      <c r="W6237" t="s">
        <v>423</v>
      </c>
    </row>
    <row r="6238" spans="1:23" hidden="1" x14ac:dyDescent="0.2">
      <c r="A6238">
        <v>2012</v>
      </c>
      <c r="B6238" t="s">
        <v>303</v>
      </c>
      <c r="C6238" s="733">
        <v>40926</v>
      </c>
      <c r="D62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38" t="s">
        <v>485</v>
      </c>
      <c r="F6238" t="s">
        <v>2084</v>
      </c>
      <c r="G6238" t="s">
        <v>4795</v>
      </c>
      <c r="H6238">
        <v>40117</v>
      </c>
      <c r="I6238" t="s">
        <v>423</v>
      </c>
      <c r="J6238" t="s">
        <v>2813</v>
      </c>
      <c r="K6238" t="s">
        <v>2814</v>
      </c>
      <c r="L6238" t="s">
        <v>2815</v>
      </c>
      <c r="M6238">
        <v>365</v>
      </c>
      <c r="N6238">
        <v>23.484999999999999</v>
      </c>
      <c r="O6238">
        <v>6321.69</v>
      </c>
      <c r="P6238">
        <v>0</v>
      </c>
      <c r="Q6238">
        <v>6321.69</v>
      </c>
      <c r="R6238">
        <v>1011.47</v>
      </c>
      <c r="S6238">
        <v>252.87</v>
      </c>
      <c r="T6238">
        <v>7080.29</v>
      </c>
      <c r="U6238" t="s">
        <v>2826</v>
      </c>
      <c r="V6238" t="s">
        <v>9408</v>
      </c>
      <c r="W6238" t="s">
        <v>423</v>
      </c>
    </row>
    <row r="6239" spans="1:23" hidden="1" x14ac:dyDescent="0.2">
      <c r="A6239">
        <v>2012</v>
      </c>
      <c r="B6239" t="s">
        <v>304</v>
      </c>
      <c r="C6239" s="733">
        <v>40954</v>
      </c>
      <c r="D62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39" t="s">
        <v>505</v>
      </c>
      <c r="F6239" t="s">
        <v>1915</v>
      </c>
      <c r="G6239" t="s">
        <v>7795</v>
      </c>
      <c r="H6239">
        <v>22736</v>
      </c>
      <c r="I6239" t="s">
        <v>423</v>
      </c>
      <c r="J6239" t="s">
        <v>4140</v>
      </c>
      <c r="K6239" t="s">
        <v>1918</v>
      </c>
      <c r="L6239" t="s">
        <v>1919</v>
      </c>
      <c r="M6239">
        <v>1</v>
      </c>
      <c r="N6239">
        <v>24.61</v>
      </c>
      <c r="O6239">
        <v>2376.83</v>
      </c>
      <c r="P6239">
        <v>0</v>
      </c>
      <c r="Q6239">
        <v>2376.83</v>
      </c>
      <c r="R6239">
        <v>380.29</v>
      </c>
      <c r="S6239">
        <v>95.07</v>
      </c>
      <c r="T6239">
        <v>2662.05</v>
      </c>
      <c r="U6239" t="s">
        <v>7529</v>
      </c>
      <c r="V6239" t="s">
        <v>9408</v>
      </c>
      <c r="W6239" t="s">
        <v>423</v>
      </c>
    </row>
    <row r="6240" spans="1:23" x14ac:dyDescent="0.2">
      <c r="A6240">
        <v>2012</v>
      </c>
      <c r="B6240" t="s">
        <v>304</v>
      </c>
      <c r="C6240" s="733">
        <v>40967</v>
      </c>
      <c r="D62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40" t="s">
        <v>485</v>
      </c>
      <c r="F6240" t="s">
        <v>2084</v>
      </c>
      <c r="G6240" t="s">
        <v>9386</v>
      </c>
      <c r="H6240">
        <v>42127</v>
      </c>
      <c r="I6240" t="s">
        <v>423</v>
      </c>
      <c r="J6240" t="s">
        <v>2813</v>
      </c>
      <c r="K6240" t="s">
        <v>2814</v>
      </c>
      <c r="L6240" t="s">
        <v>2815</v>
      </c>
      <c r="M6240">
        <v>365</v>
      </c>
      <c r="N6240">
        <v>23.797000000000001</v>
      </c>
      <c r="O6240">
        <v>6405.68</v>
      </c>
      <c r="P6240">
        <v>0</v>
      </c>
      <c r="Q6240">
        <v>6405.68</v>
      </c>
      <c r="R6240">
        <v>704.62</v>
      </c>
      <c r="S6240">
        <v>256.23</v>
      </c>
      <c r="T6240">
        <v>6854.07</v>
      </c>
      <c r="V6240" t="s">
        <v>9408</v>
      </c>
      <c r="W6240" t="s">
        <v>423</v>
      </c>
    </row>
    <row r="6241" spans="1:23" x14ac:dyDescent="0.2">
      <c r="A6241">
        <v>2012</v>
      </c>
      <c r="B6241" t="s">
        <v>304</v>
      </c>
      <c r="C6241" s="733">
        <v>40968</v>
      </c>
      <c r="D62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41" t="s">
        <v>485</v>
      </c>
      <c r="F6241" t="s">
        <v>2084</v>
      </c>
      <c r="G6241" t="s">
        <v>9639</v>
      </c>
      <c r="H6241">
        <v>41804</v>
      </c>
      <c r="I6241" t="s">
        <v>423</v>
      </c>
      <c r="J6241" t="s">
        <v>2813</v>
      </c>
      <c r="K6241" t="s">
        <v>2814</v>
      </c>
      <c r="L6241" t="s">
        <v>2815</v>
      </c>
      <c r="M6241">
        <v>365</v>
      </c>
      <c r="N6241">
        <v>24.407</v>
      </c>
      <c r="O6241">
        <v>6569.88</v>
      </c>
      <c r="P6241">
        <v>0</v>
      </c>
      <c r="Q6241">
        <v>6569.88</v>
      </c>
      <c r="R6241">
        <v>722.69</v>
      </c>
      <c r="S6241">
        <v>262.8</v>
      </c>
      <c r="T6241">
        <v>7029.77</v>
      </c>
      <c r="V6241" t="s">
        <v>9408</v>
      </c>
      <c r="W6241" t="s">
        <v>423</v>
      </c>
    </row>
    <row r="6242" spans="1:23" hidden="1" x14ac:dyDescent="0.2">
      <c r="A6242">
        <v>2012</v>
      </c>
      <c r="B6242" t="s">
        <v>303</v>
      </c>
      <c r="C6242" s="733">
        <v>40926</v>
      </c>
      <c r="D62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42" t="s">
        <v>485</v>
      </c>
      <c r="F6242" t="s">
        <v>2084</v>
      </c>
      <c r="G6242" t="s">
        <v>6111</v>
      </c>
      <c r="H6242">
        <v>40319</v>
      </c>
      <c r="I6242" t="s">
        <v>423</v>
      </c>
      <c r="J6242" t="s">
        <v>2813</v>
      </c>
      <c r="K6242" t="s">
        <v>2814</v>
      </c>
      <c r="L6242" t="s">
        <v>2815</v>
      </c>
      <c r="M6242">
        <v>365</v>
      </c>
      <c r="N6242">
        <v>29.914999999999999</v>
      </c>
      <c r="O6242">
        <v>8052.52</v>
      </c>
      <c r="P6242">
        <v>0</v>
      </c>
      <c r="Q6242">
        <v>8052.52</v>
      </c>
      <c r="R6242">
        <v>1288.4000000000001</v>
      </c>
      <c r="S6242">
        <v>322.10000000000002</v>
      </c>
      <c r="T6242">
        <v>9018.82</v>
      </c>
      <c r="U6242" t="s">
        <v>2824</v>
      </c>
      <c r="V6242" t="s">
        <v>9408</v>
      </c>
      <c r="W6242" t="s">
        <v>423</v>
      </c>
    </row>
    <row r="6243" spans="1:23" hidden="1" x14ac:dyDescent="0.2">
      <c r="A6243">
        <v>2012</v>
      </c>
      <c r="B6243" t="s">
        <v>304</v>
      </c>
      <c r="C6243" s="733">
        <v>40940</v>
      </c>
      <c r="D62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43" t="s">
        <v>485</v>
      </c>
      <c r="F6243" t="s">
        <v>2084</v>
      </c>
      <c r="G6243" t="s">
        <v>6105</v>
      </c>
      <c r="H6243">
        <v>40915</v>
      </c>
      <c r="I6243" t="s">
        <v>423</v>
      </c>
      <c r="J6243" t="s">
        <v>2813</v>
      </c>
      <c r="K6243" t="s">
        <v>2814</v>
      </c>
      <c r="L6243" t="s">
        <v>2815</v>
      </c>
      <c r="M6243">
        <v>365</v>
      </c>
      <c r="N6243">
        <v>23.885999999999999</v>
      </c>
      <c r="O6243">
        <v>6429.63</v>
      </c>
      <c r="P6243">
        <v>0</v>
      </c>
      <c r="Q6243">
        <v>6429.63</v>
      </c>
      <c r="R6243">
        <v>1028.74</v>
      </c>
      <c r="S6243">
        <v>257.19</v>
      </c>
      <c r="T6243">
        <v>7201.18</v>
      </c>
      <c r="U6243" t="s">
        <v>2826</v>
      </c>
      <c r="V6243" t="s">
        <v>9408</v>
      </c>
      <c r="W6243" t="s">
        <v>423</v>
      </c>
    </row>
    <row r="6244" spans="1:23" hidden="1" x14ac:dyDescent="0.2">
      <c r="A6244">
        <v>2012</v>
      </c>
      <c r="B6244" t="s">
        <v>304</v>
      </c>
      <c r="C6244" s="733">
        <v>40953</v>
      </c>
      <c r="D62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44" t="s">
        <v>485</v>
      </c>
      <c r="F6244" t="s">
        <v>2084</v>
      </c>
      <c r="G6244" t="s">
        <v>6112</v>
      </c>
      <c r="H6244">
        <v>41427</v>
      </c>
      <c r="I6244" t="s">
        <v>423</v>
      </c>
      <c r="J6244" t="s">
        <v>2813</v>
      </c>
      <c r="K6244" t="s">
        <v>2814</v>
      </c>
      <c r="L6244" t="s">
        <v>2815</v>
      </c>
      <c r="M6244">
        <v>365</v>
      </c>
      <c r="N6244">
        <v>30.262</v>
      </c>
      <c r="O6244">
        <v>8145.93</v>
      </c>
      <c r="P6244">
        <v>0</v>
      </c>
      <c r="Q6244">
        <v>8145.93</v>
      </c>
      <c r="R6244">
        <v>896.05</v>
      </c>
      <c r="S6244">
        <v>325.83999999999997</v>
      </c>
      <c r="T6244">
        <v>8716.14</v>
      </c>
      <c r="U6244" t="s">
        <v>7527</v>
      </c>
      <c r="V6244" t="s">
        <v>9408</v>
      </c>
      <c r="W6244" t="s">
        <v>423</v>
      </c>
    </row>
    <row r="6245" spans="1:23" hidden="1" x14ac:dyDescent="0.2">
      <c r="A6245">
        <v>2012</v>
      </c>
      <c r="B6245" t="s">
        <v>303</v>
      </c>
      <c r="C6245" s="733">
        <v>40912</v>
      </c>
      <c r="D62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45" t="s">
        <v>485</v>
      </c>
      <c r="F6245" t="s">
        <v>2084</v>
      </c>
      <c r="G6245" t="s">
        <v>6104</v>
      </c>
      <c r="H6245">
        <v>39607</v>
      </c>
      <c r="I6245" t="s">
        <v>423</v>
      </c>
      <c r="J6245" t="s">
        <v>2813</v>
      </c>
      <c r="K6245" t="s">
        <v>2814</v>
      </c>
      <c r="L6245" t="s">
        <v>2815</v>
      </c>
      <c r="M6245">
        <v>365</v>
      </c>
      <c r="N6245">
        <v>26.783000000000001</v>
      </c>
      <c r="O6245">
        <v>3035.32</v>
      </c>
      <c r="P6245">
        <v>3417.4364350000001</v>
      </c>
      <c r="Q6245">
        <v>6452.7564350000002</v>
      </c>
      <c r="R6245">
        <v>1032.44103</v>
      </c>
      <c r="S6245">
        <v>258.11025699999999</v>
      </c>
      <c r="T6245">
        <v>7227.0872079999999</v>
      </c>
      <c r="U6245" t="s">
        <v>2846</v>
      </c>
      <c r="V6245" t="s">
        <v>9408</v>
      </c>
      <c r="W6245" t="s">
        <v>423</v>
      </c>
    </row>
    <row r="6246" spans="1:23" hidden="1" x14ac:dyDescent="0.2">
      <c r="A6246">
        <v>2012</v>
      </c>
      <c r="B6246" t="s">
        <v>303</v>
      </c>
      <c r="C6246" s="733">
        <v>40932</v>
      </c>
      <c r="D62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46" t="s">
        <v>485</v>
      </c>
      <c r="F6246" t="s">
        <v>2084</v>
      </c>
      <c r="G6246" t="s">
        <v>6107</v>
      </c>
      <c r="H6246">
        <v>40560</v>
      </c>
      <c r="I6246" t="s">
        <v>423</v>
      </c>
      <c r="J6246" t="s">
        <v>2813</v>
      </c>
      <c r="K6246" t="s">
        <v>2814</v>
      </c>
      <c r="L6246" t="s">
        <v>2815</v>
      </c>
      <c r="M6246">
        <v>365</v>
      </c>
      <c r="N6246">
        <v>23.972999999999999</v>
      </c>
      <c r="O6246">
        <v>6453.05</v>
      </c>
      <c r="P6246">
        <v>0</v>
      </c>
      <c r="Q6246">
        <v>6453.05</v>
      </c>
      <c r="R6246">
        <v>1032.49</v>
      </c>
      <c r="S6246">
        <v>258.12</v>
      </c>
      <c r="T6246">
        <v>7227.42</v>
      </c>
      <c r="U6246" t="s">
        <v>8522</v>
      </c>
      <c r="V6246" t="s">
        <v>9408</v>
      </c>
      <c r="W6246" t="s">
        <v>423</v>
      </c>
    </row>
    <row r="6247" spans="1:23" hidden="1" x14ac:dyDescent="0.2">
      <c r="A6247">
        <v>2012</v>
      </c>
      <c r="B6247" t="s">
        <v>304</v>
      </c>
      <c r="C6247" s="733">
        <v>40949</v>
      </c>
      <c r="D62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47" t="s">
        <v>485</v>
      </c>
      <c r="F6247" t="s">
        <v>2084</v>
      </c>
      <c r="G6247" t="s">
        <v>6106</v>
      </c>
      <c r="H6247">
        <v>41374</v>
      </c>
      <c r="I6247" t="s">
        <v>423</v>
      </c>
      <c r="J6247" t="s">
        <v>2813</v>
      </c>
      <c r="K6247" t="s">
        <v>2814</v>
      </c>
      <c r="L6247" t="s">
        <v>2815</v>
      </c>
      <c r="M6247">
        <v>365</v>
      </c>
      <c r="N6247">
        <v>24.364000000000001</v>
      </c>
      <c r="O6247">
        <v>6558.3</v>
      </c>
      <c r="P6247">
        <v>0</v>
      </c>
      <c r="Q6247">
        <v>6558.3</v>
      </c>
      <c r="R6247">
        <v>721.41</v>
      </c>
      <c r="S6247">
        <v>262.33</v>
      </c>
      <c r="T6247">
        <v>7017.38</v>
      </c>
      <c r="U6247" t="s">
        <v>7527</v>
      </c>
      <c r="V6247" t="s">
        <v>9408</v>
      </c>
      <c r="W6247" t="s">
        <v>423</v>
      </c>
    </row>
    <row r="6248" spans="1:23" x14ac:dyDescent="0.2">
      <c r="A6248">
        <v>2012</v>
      </c>
      <c r="B6248" t="s">
        <v>304</v>
      </c>
      <c r="C6248" s="733">
        <v>40967</v>
      </c>
      <c r="D62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48" t="s">
        <v>485</v>
      </c>
      <c r="F6248" t="s">
        <v>2084</v>
      </c>
      <c r="G6248" t="s">
        <v>9387</v>
      </c>
      <c r="H6248">
        <v>42130</v>
      </c>
      <c r="I6248" t="s">
        <v>423</v>
      </c>
      <c r="J6248" t="s">
        <v>2813</v>
      </c>
      <c r="K6248" t="s">
        <v>2814</v>
      </c>
      <c r="L6248" t="s">
        <v>2815</v>
      </c>
      <c r="M6248">
        <v>365</v>
      </c>
      <c r="N6248">
        <v>23.838999999999999</v>
      </c>
      <c r="O6248">
        <v>6416.98</v>
      </c>
      <c r="P6248">
        <v>0</v>
      </c>
      <c r="Q6248">
        <v>6416.98</v>
      </c>
      <c r="R6248">
        <v>705.87</v>
      </c>
      <c r="S6248">
        <v>256.68</v>
      </c>
      <c r="T6248">
        <v>6866.17</v>
      </c>
      <c r="U6248" t="s">
        <v>8877</v>
      </c>
      <c r="V6248" t="s">
        <v>9408</v>
      </c>
      <c r="W6248" t="s">
        <v>423</v>
      </c>
    </row>
    <row r="6249" spans="1:23" hidden="1" x14ac:dyDescent="0.2">
      <c r="A6249">
        <v>2012</v>
      </c>
      <c r="B6249" t="s">
        <v>304</v>
      </c>
      <c r="C6249" s="733">
        <v>40948</v>
      </c>
      <c r="D62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49" t="s">
        <v>485</v>
      </c>
      <c r="F6249" t="s">
        <v>2084</v>
      </c>
      <c r="G6249" t="s">
        <v>6115</v>
      </c>
      <c r="H6249">
        <v>41372</v>
      </c>
      <c r="I6249" t="s">
        <v>423</v>
      </c>
      <c r="J6249" t="s">
        <v>2813</v>
      </c>
      <c r="K6249" t="s">
        <v>2814</v>
      </c>
      <c r="L6249" t="s">
        <v>2815</v>
      </c>
      <c r="M6249">
        <v>365</v>
      </c>
      <c r="N6249">
        <v>23.783999999999999</v>
      </c>
      <c r="O6249">
        <v>6402.18</v>
      </c>
      <c r="P6249">
        <v>0</v>
      </c>
      <c r="Q6249">
        <v>6402.18</v>
      </c>
      <c r="R6249">
        <v>704.24</v>
      </c>
      <c r="S6249">
        <v>256.08999999999997</v>
      </c>
      <c r="T6249">
        <v>6850.33</v>
      </c>
      <c r="U6249" t="s">
        <v>7527</v>
      </c>
      <c r="V6249" t="s">
        <v>9408</v>
      </c>
      <c r="W6249" t="s">
        <v>423</v>
      </c>
    </row>
    <row r="6250" spans="1:23" x14ac:dyDescent="0.2">
      <c r="A6250">
        <v>2012</v>
      </c>
      <c r="B6250" t="s">
        <v>304</v>
      </c>
      <c r="C6250" s="733">
        <v>40967</v>
      </c>
      <c r="D62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50" t="s">
        <v>485</v>
      </c>
      <c r="F6250" t="s">
        <v>2084</v>
      </c>
      <c r="G6250" t="s">
        <v>9388</v>
      </c>
      <c r="H6250">
        <v>42412</v>
      </c>
      <c r="I6250" t="s">
        <v>423</v>
      </c>
      <c r="J6250" t="s">
        <v>2813</v>
      </c>
      <c r="K6250" t="s">
        <v>2814</v>
      </c>
      <c r="L6250" t="s">
        <v>2815</v>
      </c>
      <c r="M6250">
        <v>365</v>
      </c>
      <c r="N6250">
        <v>25.698</v>
      </c>
      <c r="O6250">
        <v>6917.39</v>
      </c>
      <c r="P6250">
        <v>0</v>
      </c>
      <c r="Q6250">
        <v>6917.39</v>
      </c>
      <c r="R6250">
        <v>760.91</v>
      </c>
      <c r="S6250">
        <v>276.7</v>
      </c>
      <c r="T6250">
        <v>7401.6</v>
      </c>
      <c r="U6250" t="s">
        <v>8877</v>
      </c>
      <c r="V6250" t="s">
        <v>9408</v>
      </c>
      <c r="W6250" t="s">
        <v>423</v>
      </c>
    </row>
    <row r="6251" spans="1:23" hidden="1" x14ac:dyDescent="0.2">
      <c r="A6251">
        <v>2012</v>
      </c>
      <c r="B6251" t="s">
        <v>303</v>
      </c>
      <c r="C6251" s="733">
        <v>40932</v>
      </c>
      <c r="D62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51" t="s">
        <v>485</v>
      </c>
      <c r="F6251" t="s">
        <v>2084</v>
      </c>
      <c r="G6251" t="s">
        <v>6110</v>
      </c>
      <c r="H6251">
        <v>40621</v>
      </c>
      <c r="I6251" t="s">
        <v>423</v>
      </c>
      <c r="J6251" t="s">
        <v>2813</v>
      </c>
      <c r="K6251" t="s">
        <v>2814</v>
      </c>
      <c r="L6251" t="s">
        <v>2815</v>
      </c>
      <c r="M6251">
        <v>365</v>
      </c>
      <c r="N6251">
        <v>23.553000000000001</v>
      </c>
      <c r="O6251">
        <v>6340</v>
      </c>
      <c r="P6251">
        <v>0</v>
      </c>
      <c r="Q6251">
        <v>6340</v>
      </c>
      <c r="R6251">
        <v>1014.4</v>
      </c>
      <c r="S6251">
        <v>253.6</v>
      </c>
      <c r="T6251">
        <v>7100.8</v>
      </c>
      <c r="U6251" t="s">
        <v>2826</v>
      </c>
      <c r="V6251" t="s">
        <v>9408</v>
      </c>
      <c r="W6251" t="s">
        <v>423</v>
      </c>
    </row>
    <row r="6252" spans="1:23" hidden="1" x14ac:dyDescent="0.2">
      <c r="A6252">
        <v>2012</v>
      </c>
      <c r="B6252" t="s">
        <v>304</v>
      </c>
      <c r="C6252" s="733">
        <v>40959</v>
      </c>
      <c r="D62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52" t="s">
        <v>485</v>
      </c>
      <c r="F6252" t="s">
        <v>2065</v>
      </c>
      <c r="G6252" t="s">
        <v>8018</v>
      </c>
      <c r="H6252">
        <v>42214</v>
      </c>
      <c r="I6252" t="s">
        <v>423</v>
      </c>
      <c r="J6252" t="s">
        <v>5260</v>
      </c>
      <c r="K6252" t="s">
        <v>2102</v>
      </c>
      <c r="L6252" t="s">
        <v>2115</v>
      </c>
      <c r="M6252">
        <v>832</v>
      </c>
      <c r="N6252">
        <v>48.43</v>
      </c>
      <c r="O6252">
        <v>24165.119999999999</v>
      </c>
      <c r="P6252">
        <v>0</v>
      </c>
      <c r="Q6252">
        <v>24165.119999999999</v>
      </c>
      <c r="R6252">
        <v>3866.42</v>
      </c>
      <c r="S6252">
        <v>966.6</v>
      </c>
      <c r="T6252">
        <v>27064.94</v>
      </c>
      <c r="U6252" t="s">
        <v>8883</v>
      </c>
      <c r="V6252" t="s">
        <v>9409</v>
      </c>
      <c r="W6252" t="s">
        <v>423</v>
      </c>
    </row>
    <row r="6253" spans="1:23" hidden="1" x14ac:dyDescent="0.2">
      <c r="A6253">
        <v>2012</v>
      </c>
      <c r="B6253" t="s">
        <v>304</v>
      </c>
      <c r="C6253" s="733">
        <v>40961</v>
      </c>
      <c r="D62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53" t="s">
        <v>485</v>
      </c>
      <c r="F6253" t="s">
        <v>2065</v>
      </c>
      <c r="G6253" t="s">
        <v>8483</v>
      </c>
      <c r="H6253">
        <v>42316</v>
      </c>
      <c r="I6253" t="s">
        <v>423</v>
      </c>
      <c r="J6253" t="s">
        <v>5260</v>
      </c>
      <c r="K6253" t="s">
        <v>2102</v>
      </c>
      <c r="L6253" t="s">
        <v>2115</v>
      </c>
      <c r="M6253">
        <v>832</v>
      </c>
      <c r="N6253">
        <v>51.87</v>
      </c>
      <c r="O6253">
        <v>25881.57</v>
      </c>
      <c r="P6253">
        <v>0</v>
      </c>
      <c r="Q6253">
        <v>25881.57</v>
      </c>
      <c r="R6253">
        <v>4141.05</v>
      </c>
      <c r="S6253">
        <v>1035.26</v>
      </c>
      <c r="T6253">
        <v>28987.360000000001</v>
      </c>
      <c r="U6253" t="s">
        <v>8883</v>
      </c>
      <c r="V6253" t="s">
        <v>9409</v>
      </c>
      <c r="W6253" t="s">
        <v>423</v>
      </c>
    </row>
    <row r="6254" spans="1:23" hidden="1" x14ac:dyDescent="0.2">
      <c r="A6254">
        <v>2012</v>
      </c>
      <c r="B6254" t="s">
        <v>304</v>
      </c>
      <c r="C6254" s="733">
        <v>40956</v>
      </c>
      <c r="D62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54" t="s">
        <v>478</v>
      </c>
      <c r="F6254" t="s">
        <v>2136</v>
      </c>
      <c r="G6254" t="s">
        <v>8012</v>
      </c>
      <c r="H6254">
        <v>35646</v>
      </c>
      <c r="I6254" t="s">
        <v>423</v>
      </c>
      <c r="J6254" t="s">
        <v>3636</v>
      </c>
      <c r="K6254" t="s">
        <v>425</v>
      </c>
      <c r="L6254" t="s">
        <v>2145</v>
      </c>
      <c r="M6254">
        <v>244</v>
      </c>
      <c r="N6254">
        <v>23.11</v>
      </c>
      <c r="O6254">
        <v>3102.52</v>
      </c>
      <c r="P6254">
        <v>0</v>
      </c>
      <c r="Q6254">
        <v>3102.52</v>
      </c>
      <c r="R6254">
        <v>496.4</v>
      </c>
      <c r="S6254">
        <v>124.1</v>
      </c>
      <c r="T6254">
        <v>3474.82</v>
      </c>
      <c r="U6254" t="s">
        <v>9455</v>
      </c>
      <c r="V6254" t="s">
        <v>9408</v>
      </c>
      <c r="W6254" t="s">
        <v>423</v>
      </c>
    </row>
    <row r="6255" spans="1:23" hidden="1" x14ac:dyDescent="0.2">
      <c r="A6255">
        <v>2012</v>
      </c>
      <c r="B6255" t="s">
        <v>303</v>
      </c>
      <c r="C6255" s="733">
        <v>40912.41097222222</v>
      </c>
      <c r="D62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55" t="s">
        <v>478</v>
      </c>
      <c r="F6255" t="s">
        <v>2136</v>
      </c>
      <c r="G6255" t="s">
        <v>6658</v>
      </c>
      <c r="H6255">
        <v>34224</v>
      </c>
      <c r="I6255" t="s">
        <v>423</v>
      </c>
      <c r="J6255" t="s">
        <v>3029</v>
      </c>
      <c r="K6255" t="s">
        <v>425</v>
      </c>
      <c r="L6255" t="s">
        <v>2145</v>
      </c>
      <c r="M6255">
        <v>35</v>
      </c>
      <c r="N6255">
        <v>25.73</v>
      </c>
      <c r="O6255">
        <v>1454.26</v>
      </c>
      <c r="P6255">
        <v>1637.3367909999999</v>
      </c>
      <c r="Q6255">
        <v>3091.5967909999999</v>
      </c>
      <c r="R6255">
        <v>494.65548699999999</v>
      </c>
      <c r="S6255">
        <v>123.663872</v>
      </c>
      <c r="T6255">
        <v>3462.5884059999998</v>
      </c>
      <c r="U6255" t="s">
        <v>3118</v>
      </c>
      <c r="V6255" t="s">
        <v>9408</v>
      </c>
      <c r="W6255" t="s">
        <v>423</v>
      </c>
    </row>
    <row r="6256" spans="1:23" hidden="1" x14ac:dyDescent="0.2">
      <c r="A6256">
        <v>2012</v>
      </c>
      <c r="B6256" t="s">
        <v>304</v>
      </c>
      <c r="C6256" s="733">
        <v>40953</v>
      </c>
      <c r="D62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56" t="s">
        <v>485</v>
      </c>
      <c r="F6256" t="s">
        <v>2065</v>
      </c>
      <c r="G6256" t="s">
        <v>6108</v>
      </c>
      <c r="H6256">
        <v>41735</v>
      </c>
      <c r="I6256" t="s">
        <v>423</v>
      </c>
      <c r="J6256" t="s">
        <v>2813</v>
      </c>
      <c r="K6256" t="s">
        <v>2814</v>
      </c>
      <c r="L6256" t="s">
        <v>2815</v>
      </c>
      <c r="M6256">
        <v>365</v>
      </c>
      <c r="N6256">
        <v>26.227</v>
      </c>
      <c r="O6256">
        <v>7059.78</v>
      </c>
      <c r="P6256">
        <v>0</v>
      </c>
      <c r="Q6256">
        <v>7059.78</v>
      </c>
      <c r="R6256">
        <v>776.58</v>
      </c>
      <c r="S6256">
        <v>282.39</v>
      </c>
      <c r="T6256">
        <v>7553.97</v>
      </c>
      <c r="V6256" t="s">
        <v>9408</v>
      </c>
      <c r="W6256" t="s">
        <v>423</v>
      </c>
    </row>
    <row r="6257" spans="1:23" hidden="1" x14ac:dyDescent="0.2">
      <c r="A6257">
        <v>2012</v>
      </c>
      <c r="B6257" t="s">
        <v>304</v>
      </c>
      <c r="C6257" s="733">
        <v>40949</v>
      </c>
      <c r="D62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57" t="s">
        <v>485</v>
      </c>
      <c r="F6257" t="s">
        <v>2065</v>
      </c>
      <c r="G6257" t="s">
        <v>6109</v>
      </c>
      <c r="H6257">
        <v>41369</v>
      </c>
      <c r="I6257" t="s">
        <v>423</v>
      </c>
      <c r="J6257" t="s">
        <v>2813</v>
      </c>
      <c r="K6257" t="s">
        <v>2814</v>
      </c>
      <c r="L6257" t="s">
        <v>2815</v>
      </c>
      <c r="M6257">
        <v>365</v>
      </c>
      <c r="N6257">
        <v>24.321000000000002</v>
      </c>
      <c r="O6257">
        <v>6546.73</v>
      </c>
      <c r="P6257">
        <v>0</v>
      </c>
      <c r="Q6257">
        <v>6546.73</v>
      </c>
      <c r="R6257">
        <v>720.14</v>
      </c>
      <c r="S6257">
        <v>261.87</v>
      </c>
      <c r="T6257">
        <v>7005</v>
      </c>
      <c r="U6257" t="s">
        <v>7527</v>
      </c>
      <c r="V6257" t="s">
        <v>9408</v>
      </c>
      <c r="W6257" t="s">
        <v>423</v>
      </c>
    </row>
    <row r="6258" spans="1:23" hidden="1" x14ac:dyDescent="0.2">
      <c r="A6258">
        <v>2012</v>
      </c>
      <c r="B6258" t="s">
        <v>304</v>
      </c>
      <c r="C6258" s="733">
        <v>40960</v>
      </c>
      <c r="D62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58" t="s">
        <v>485</v>
      </c>
      <c r="F6258" t="s">
        <v>2065</v>
      </c>
      <c r="G6258" t="s">
        <v>8217</v>
      </c>
      <c r="H6258">
        <v>41816</v>
      </c>
      <c r="I6258" t="s">
        <v>423</v>
      </c>
      <c r="J6258" t="s">
        <v>2813</v>
      </c>
      <c r="K6258" t="s">
        <v>2814</v>
      </c>
      <c r="L6258" t="s">
        <v>2815</v>
      </c>
      <c r="M6258">
        <v>365</v>
      </c>
      <c r="N6258">
        <v>24.053999999999998</v>
      </c>
      <c r="O6258">
        <v>6474.86</v>
      </c>
      <c r="P6258">
        <v>0</v>
      </c>
      <c r="Q6258">
        <v>6474.86</v>
      </c>
      <c r="R6258">
        <v>712.23</v>
      </c>
      <c r="S6258">
        <v>258.99</v>
      </c>
      <c r="T6258">
        <v>6928.1</v>
      </c>
      <c r="U6258" t="s">
        <v>8877</v>
      </c>
      <c r="V6258" t="s">
        <v>9408</v>
      </c>
      <c r="W6258" t="s">
        <v>423</v>
      </c>
    </row>
    <row r="6259" spans="1:23" hidden="1" x14ac:dyDescent="0.2">
      <c r="A6259">
        <v>2012</v>
      </c>
      <c r="B6259" t="s">
        <v>304</v>
      </c>
      <c r="C6259" s="733">
        <v>40947</v>
      </c>
      <c r="D62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59" t="s">
        <v>478</v>
      </c>
      <c r="F6259" t="s">
        <v>2136</v>
      </c>
      <c r="G6259" t="s">
        <v>6656</v>
      </c>
      <c r="H6259">
        <v>35308</v>
      </c>
      <c r="I6259" t="s">
        <v>423</v>
      </c>
      <c r="J6259" t="s">
        <v>3029</v>
      </c>
      <c r="K6259" t="s">
        <v>425</v>
      </c>
      <c r="L6259" t="s">
        <v>2145</v>
      </c>
      <c r="M6259">
        <v>35</v>
      </c>
      <c r="N6259">
        <v>34.39</v>
      </c>
      <c r="O6259">
        <v>4616.8599999999997</v>
      </c>
      <c r="P6259">
        <v>0</v>
      </c>
      <c r="Q6259">
        <v>4616.8599999999997</v>
      </c>
      <c r="R6259">
        <v>738.7</v>
      </c>
      <c r="S6259">
        <v>184.67</v>
      </c>
      <c r="T6259">
        <v>5170.8900000000003</v>
      </c>
      <c r="U6259" t="s">
        <v>3115</v>
      </c>
      <c r="V6259" t="s">
        <v>9408</v>
      </c>
      <c r="W6259" t="s">
        <v>423</v>
      </c>
    </row>
    <row r="6260" spans="1:23" hidden="1" x14ac:dyDescent="0.2">
      <c r="A6260">
        <v>2012</v>
      </c>
      <c r="B6260" t="s">
        <v>303</v>
      </c>
      <c r="C6260" s="733">
        <v>40934</v>
      </c>
      <c r="D62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60" t="s">
        <v>478</v>
      </c>
      <c r="F6260" t="s">
        <v>2136</v>
      </c>
      <c r="G6260" t="s">
        <v>6655</v>
      </c>
      <c r="H6260">
        <v>34963</v>
      </c>
      <c r="I6260" t="s">
        <v>423</v>
      </c>
      <c r="J6260" t="s">
        <v>3029</v>
      </c>
      <c r="K6260" t="s">
        <v>425</v>
      </c>
      <c r="L6260" t="s">
        <v>2145</v>
      </c>
      <c r="M6260">
        <v>35</v>
      </c>
      <c r="N6260">
        <v>23.68</v>
      </c>
      <c r="O6260">
        <v>3179.04</v>
      </c>
      <c r="P6260">
        <v>0</v>
      </c>
      <c r="Q6260">
        <v>3179.04</v>
      </c>
      <c r="R6260">
        <v>508.65</v>
      </c>
      <c r="S6260">
        <v>127.16</v>
      </c>
      <c r="T6260">
        <v>3560.53</v>
      </c>
      <c r="U6260" t="s">
        <v>3234</v>
      </c>
      <c r="V6260" t="s">
        <v>9408</v>
      </c>
      <c r="W6260" t="s">
        <v>423</v>
      </c>
    </row>
    <row r="6261" spans="1:23" hidden="1" x14ac:dyDescent="0.2">
      <c r="A6261">
        <v>2012</v>
      </c>
      <c r="B6261" t="s">
        <v>303</v>
      </c>
      <c r="C6261" s="733">
        <v>40939</v>
      </c>
      <c r="D62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61" t="s">
        <v>485</v>
      </c>
      <c r="F6261" t="s">
        <v>2065</v>
      </c>
      <c r="G6261" t="s">
        <v>6868</v>
      </c>
      <c r="H6261">
        <v>40584</v>
      </c>
      <c r="I6261" t="s">
        <v>423</v>
      </c>
      <c r="J6261" t="s">
        <v>2124</v>
      </c>
      <c r="K6261" t="s">
        <v>2102</v>
      </c>
      <c r="L6261" t="s">
        <v>2115</v>
      </c>
      <c r="M6261">
        <v>981</v>
      </c>
      <c r="N6261">
        <v>25.25</v>
      </c>
      <c r="O6261">
        <v>16466.03</v>
      </c>
      <c r="P6261">
        <v>0</v>
      </c>
      <c r="Q6261">
        <v>16466.03</v>
      </c>
      <c r="R6261">
        <v>2634.56</v>
      </c>
      <c r="S6261">
        <v>658.64</v>
      </c>
      <c r="T6261">
        <v>18441.95</v>
      </c>
      <c r="U6261" t="s">
        <v>2110</v>
      </c>
      <c r="V6261" t="s">
        <v>9409</v>
      </c>
      <c r="W6261" t="s">
        <v>423</v>
      </c>
    </row>
    <row r="6262" spans="1:23" hidden="1" x14ac:dyDescent="0.2">
      <c r="A6262">
        <v>2012</v>
      </c>
      <c r="B6262" t="s">
        <v>303</v>
      </c>
      <c r="C6262" s="733">
        <v>40920</v>
      </c>
      <c r="D62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62" t="s">
        <v>478</v>
      </c>
      <c r="F6262" t="s">
        <v>2622</v>
      </c>
      <c r="G6262" t="s">
        <v>6867</v>
      </c>
      <c r="H6262">
        <v>34391</v>
      </c>
      <c r="I6262" t="s">
        <v>423</v>
      </c>
      <c r="J6262" t="s">
        <v>4699</v>
      </c>
      <c r="K6262" t="s">
        <v>425</v>
      </c>
      <c r="L6262" t="s">
        <v>2145</v>
      </c>
      <c r="M6262">
        <v>555</v>
      </c>
      <c r="N6262">
        <v>56.05</v>
      </c>
      <c r="O6262">
        <v>17907.98</v>
      </c>
      <c r="P6262">
        <v>0</v>
      </c>
      <c r="Q6262">
        <v>17907.98</v>
      </c>
      <c r="R6262">
        <v>2865.28</v>
      </c>
      <c r="S6262">
        <v>716.32</v>
      </c>
      <c r="T6262">
        <v>20056.939999999999</v>
      </c>
      <c r="U6262" t="s">
        <v>2355</v>
      </c>
      <c r="V6262" t="s">
        <v>9409</v>
      </c>
      <c r="W6262" t="s">
        <v>423</v>
      </c>
    </row>
    <row r="6263" spans="1:23" hidden="1" x14ac:dyDescent="0.2">
      <c r="A6263">
        <v>2012</v>
      </c>
      <c r="B6263" t="s">
        <v>303</v>
      </c>
      <c r="C6263" s="733">
        <v>40929</v>
      </c>
      <c r="D62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63" t="s">
        <v>505</v>
      </c>
      <c r="F6263" t="s">
        <v>1915</v>
      </c>
      <c r="G6263" t="s">
        <v>6649</v>
      </c>
      <c r="H6263">
        <v>22155</v>
      </c>
      <c r="I6263" t="s">
        <v>423</v>
      </c>
      <c r="J6263" t="s">
        <v>4259</v>
      </c>
      <c r="K6263" t="s">
        <v>1918</v>
      </c>
      <c r="L6263" t="s">
        <v>1919</v>
      </c>
      <c r="M6263">
        <v>467</v>
      </c>
      <c r="N6263">
        <v>26.97</v>
      </c>
      <c r="O6263">
        <v>8369.8700000000008</v>
      </c>
      <c r="P6263">
        <v>0</v>
      </c>
      <c r="Q6263">
        <v>8369.8700000000008</v>
      </c>
      <c r="R6263">
        <v>1339.18</v>
      </c>
      <c r="S6263">
        <v>334.79</v>
      </c>
      <c r="T6263">
        <v>9374.26</v>
      </c>
      <c r="U6263" t="s">
        <v>8778</v>
      </c>
      <c r="V6263" t="s">
        <v>9408</v>
      </c>
      <c r="W6263" t="s">
        <v>423</v>
      </c>
    </row>
    <row r="6264" spans="1:23" hidden="1" x14ac:dyDescent="0.2">
      <c r="A6264">
        <v>2012</v>
      </c>
      <c r="B6264" t="s">
        <v>304</v>
      </c>
      <c r="C6264" s="733">
        <v>40942</v>
      </c>
      <c r="D62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64" t="s">
        <v>478</v>
      </c>
      <c r="F6264" t="s">
        <v>2136</v>
      </c>
      <c r="G6264" t="s">
        <v>6657</v>
      </c>
      <c r="H6264">
        <v>35195</v>
      </c>
      <c r="I6264" t="s">
        <v>423</v>
      </c>
      <c r="J6264" t="s">
        <v>3029</v>
      </c>
      <c r="K6264" t="s">
        <v>425</v>
      </c>
      <c r="L6264" t="s">
        <v>2145</v>
      </c>
      <c r="M6264">
        <v>35</v>
      </c>
      <c r="N6264">
        <v>24.92</v>
      </c>
      <c r="O6264">
        <v>3345.51</v>
      </c>
      <c r="P6264">
        <v>0</v>
      </c>
      <c r="Q6264">
        <v>3345.51</v>
      </c>
      <c r="R6264">
        <v>535.28</v>
      </c>
      <c r="S6264">
        <v>133.82</v>
      </c>
      <c r="T6264">
        <v>3746.97</v>
      </c>
      <c r="U6264" t="s">
        <v>3115</v>
      </c>
      <c r="V6264" t="s">
        <v>9408</v>
      </c>
      <c r="W6264" t="s">
        <v>423</v>
      </c>
    </row>
    <row r="6265" spans="1:23" hidden="1" x14ac:dyDescent="0.2">
      <c r="A6265">
        <v>2012</v>
      </c>
      <c r="B6265" t="s">
        <v>304</v>
      </c>
      <c r="C6265" s="733">
        <v>40949.510104166664</v>
      </c>
      <c r="D62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65" t="s">
        <v>505</v>
      </c>
      <c r="F6265" t="s">
        <v>1915</v>
      </c>
      <c r="G6265" t="s">
        <v>6648</v>
      </c>
      <c r="H6265">
        <v>22459</v>
      </c>
      <c r="I6265" t="s">
        <v>423</v>
      </c>
      <c r="J6265" t="s">
        <v>4259</v>
      </c>
      <c r="K6265" t="s">
        <v>1918</v>
      </c>
      <c r="L6265" t="s">
        <v>1919</v>
      </c>
      <c r="M6265">
        <v>467</v>
      </c>
      <c r="N6265">
        <v>24.81</v>
      </c>
      <c r="O6265">
        <v>7699.54</v>
      </c>
      <c r="P6265">
        <v>0</v>
      </c>
      <c r="Q6265">
        <v>7699.54</v>
      </c>
      <c r="R6265">
        <v>1231.93</v>
      </c>
      <c r="S6265">
        <v>307.98</v>
      </c>
      <c r="T6265">
        <v>8623.49</v>
      </c>
      <c r="U6265" t="s">
        <v>7522</v>
      </c>
      <c r="V6265" t="s">
        <v>9409</v>
      </c>
      <c r="W6265" t="s">
        <v>423</v>
      </c>
    </row>
    <row r="6266" spans="1:23" hidden="1" x14ac:dyDescent="0.2">
      <c r="A6266">
        <v>2012</v>
      </c>
      <c r="B6266" t="s">
        <v>303</v>
      </c>
      <c r="C6266" s="733">
        <v>40932</v>
      </c>
      <c r="D62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66" t="s">
        <v>485</v>
      </c>
      <c r="F6266" t="s">
        <v>2084</v>
      </c>
      <c r="G6266" t="s">
        <v>6338</v>
      </c>
      <c r="H6266">
        <v>39841</v>
      </c>
      <c r="I6266" t="s">
        <v>423</v>
      </c>
      <c r="J6266" t="s">
        <v>4073</v>
      </c>
      <c r="K6266" t="s">
        <v>2051</v>
      </c>
      <c r="L6266" t="s">
        <v>2052</v>
      </c>
      <c r="M6266">
        <v>610</v>
      </c>
      <c r="N6266">
        <v>55.05</v>
      </c>
      <c r="O6266">
        <v>19514.669999999998</v>
      </c>
      <c r="P6266">
        <v>0</v>
      </c>
      <c r="Q6266">
        <v>19514.669999999998</v>
      </c>
      <c r="R6266">
        <v>3122.35</v>
      </c>
      <c r="S6266">
        <v>780.59</v>
      </c>
      <c r="T6266">
        <v>21856.43</v>
      </c>
      <c r="U6266" t="s">
        <v>2053</v>
      </c>
      <c r="V6266" t="s">
        <v>9409</v>
      </c>
      <c r="W6266" t="s">
        <v>423</v>
      </c>
    </row>
    <row r="6267" spans="1:23" hidden="1" x14ac:dyDescent="0.2">
      <c r="A6267">
        <v>2012</v>
      </c>
      <c r="B6267" t="s">
        <v>303</v>
      </c>
      <c r="C6267" s="733">
        <v>40933</v>
      </c>
      <c r="D62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67" t="s">
        <v>485</v>
      </c>
      <c r="F6267" t="s">
        <v>2084</v>
      </c>
      <c r="G6267" t="s">
        <v>6748</v>
      </c>
      <c r="H6267">
        <v>40865</v>
      </c>
      <c r="I6267" t="s">
        <v>423</v>
      </c>
      <c r="J6267" t="s">
        <v>4091</v>
      </c>
      <c r="K6267" t="s">
        <v>2051</v>
      </c>
      <c r="L6267" t="s">
        <v>2052</v>
      </c>
      <c r="M6267">
        <v>1092</v>
      </c>
      <c r="N6267">
        <v>25.95</v>
      </c>
      <c r="O6267">
        <v>15141.82</v>
      </c>
      <c r="P6267">
        <v>0</v>
      </c>
      <c r="Q6267">
        <v>15141.82</v>
      </c>
      <c r="R6267">
        <v>2422.69</v>
      </c>
      <c r="S6267">
        <v>605.66999999999996</v>
      </c>
      <c r="T6267">
        <v>16958.84</v>
      </c>
      <c r="U6267" t="s">
        <v>2053</v>
      </c>
      <c r="V6267" t="s">
        <v>9408</v>
      </c>
      <c r="W6267" t="s">
        <v>423</v>
      </c>
    </row>
    <row r="6268" spans="1:23" hidden="1" x14ac:dyDescent="0.2">
      <c r="A6268">
        <v>2012</v>
      </c>
      <c r="B6268" t="s">
        <v>304</v>
      </c>
      <c r="C6268" s="733">
        <v>40952</v>
      </c>
      <c r="D62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68" t="s">
        <v>485</v>
      </c>
      <c r="F6268" t="s">
        <v>2048</v>
      </c>
      <c r="G6268" t="s">
        <v>6750</v>
      </c>
      <c r="H6268">
        <v>41798</v>
      </c>
      <c r="I6268" t="s">
        <v>423</v>
      </c>
      <c r="J6268" t="s">
        <v>4091</v>
      </c>
      <c r="K6268" t="s">
        <v>2051</v>
      </c>
      <c r="L6268" t="s">
        <v>2052</v>
      </c>
      <c r="M6268">
        <v>1092</v>
      </c>
      <c r="N6268">
        <v>24.15</v>
      </c>
      <c r="O6268">
        <v>14091.52</v>
      </c>
      <c r="P6268">
        <v>0</v>
      </c>
      <c r="Q6268">
        <v>14091.52</v>
      </c>
      <c r="R6268">
        <v>2254.64</v>
      </c>
      <c r="S6268">
        <v>563.66</v>
      </c>
      <c r="T6268">
        <v>15782.5</v>
      </c>
      <c r="U6268" t="s">
        <v>7568</v>
      </c>
      <c r="V6268" t="s">
        <v>9409</v>
      </c>
      <c r="W6268" t="s">
        <v>423</v>
      </c>
    </row>
    <row r="6269" spans="1:23" hidden="1" x14ac:dyDescent="0.2">
      <c r="A6269">
        <v>2012</v>
      </c>
      <c r="B6269" t="s">
        <v>304</v>
      </c>
      <c r="C6269" s="733">
        <v>40946</v>
      </c>
      <c r="D62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69" t="s">
        <v>485</v>
      </c>
      <c r="F6269" t="s">
        <v>2065</v>
      </c>
      <c r="G6269" t="s">
        <v>6751</v>
      </c>
      <c r="H6269">
        <v>41497</v>
      </c>
      <c r="I6269" t="s">
        <v>423</v>
      </c>
      <c r="J6269" t="s">
        <v>4091</v>
      </c>
      <c r="K6269" t="s">
        <v>2051</v>
      </c>
      <c r="L6269" t="s">
        <v>2052</v>
      </c>
      <c r="M6269">
        <v>1092</v>
      </c>
      <c r="N6269">
        <v>60</v>
      </c>
      <c r="O6269">
        <v>35010</v>
      </c>
      <c r="P6269">
        <v>0</v>
      </c>
      <c r="Q6269">
        <v>35010</v>
      </c>
      <c r="R6269">
        <v>5601.6</v>
      </c>
      <c r="S6269">
        <v>1400.4</v>
      </c>
      <c r="T6269">
        <v>39211.199999999997</v>
      </c>
      <c r="U6269" t="s">
        <v>7568</v>
      </c>
      <c r="V6269" t="s">
        <v>9409</v>
      </c>
      <c r="W6269" t="s">
        <v>423</v>
      </c>
    </row>
    <row r="6270" spans="1:23" hidden="1" x14ac:dyDescent="0.2">
      <c r="A6270">
        <v>2012</v>
      </c>
      <c r="B6270" t="s">
        <v>304</v>
      </c>
      <c r="C6270" s="733">
        <v>40959</v>
      </c>
      <c r="D62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70" t="s">
        <v>485</v>
      </c>
      <c r="F6270" t="s">
        <v>2054</v>
      </c>
      <c r="G6270" t="s">
        <v>8201</v>
      </c>
      <c r="H6270">
        <v>10144</v>
      </c>
      <c r="I6270" t="s">
        <v>423</v>
      </c>
      <c r="J6270" t="s">
        <v>4045</v>
      </c>
      <c r="K6270" t="s">
        <v>2057</v>
      </c>
      <c r="L6270" t="s">
        <v>2058</v>
      </c>
      <c r="M6270">
        <v>0</v>
      </c>
      <c r="N6270">
        <v>22.84</v>
      </c>
      <c r="O6270">
        <v>6241.72</v>
      </c>
      <c r="P6270">
        <v>0</v>
      </c>
      <c r="Q6270">
        <v>6241.72</v>
      </c>
      <c r="R6270">
        <v>686.59</v>
      </c>
      <c r="S6270">
        <v>249.67</v>
      </c>
      <c r="T6270">
        <v>6678.64</v>
      </c>
      <c r="U6270" t="s">
        <v>8047</v>
      </c>
      <c r="V6270" t="s">
        <v>9408</v>
      </c>
      <c r="W6270" t="s">
        <v>423</v>
      </c>
    </row>
    <row r="6271" spans="1:23" hidden="1" x14ac:dyDescent="0.2">
      <c r="A6271">
        <v>2012</v>
      </c>
      <c r="B6271" t="s">
        <v>304</v>
      </c>
      <c r="C6271" s="733">
        <v>40952.543981481482</v>
      </c>
      <c r="D62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71" t="s">
        <v>485</v>
      </c>
      <c r="F6271" t="s">
        <v>2065</v>
      </c>
      <c r="G6271" t="s">
        <v>6450</v>
      </c>
      <c r="H6271">
        <v>41710</v>
      </c>
      <c r="I6271" t="s">
        <v>423</v>
      </c>
      <c r="J6271" t="s">
        <v>4520</v>
      </c>
      <c r="K6271" t="s">
        <v>2183</v>
      </c>
      <c r="L6271" t="s">
        <v>2184</v>
      </c>
      <c r="M6271">
        <v>346</v>
      </c>
      <c r="N6271">
        <v>26.37</v>
      </c>
      <c r="O6271">
        <v>4691.75</v>
      </c>
      <c r="P6271">
        <v>0</v>
      </c>
      <c r="Q6271">
        <v>4691.75</v>
      </c>
      <c r="R6271">
        <v>750.68</v>
      </c>
      <c r="S6271">
        <v>187.67</v>
      </c>
      <c r="T6271">
        <v>5254.76</v>
      </c>
      <c r="U6271" t="s">
        <v>8048</v>
      </c>
      <c r="V6271" t="s">
        <v>9409</v>
      </c>
      <c r="W6271" t="s">
        <v>423</v>
      </c>
    </row>
    <row r="6272" spans="1:23" hidden="1" x14ac:dyDescent="0.2">
      <c r="A6272">
        <v>2012</v>
      </c>
      <c r="B6272" t="s">
        <v>304</v>
      </c>
      <c r="C6272" s="733">
        <v>40963</v>
      </c>
      <c r="D62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72" t="s">
        <v>485</v>
      </c>
      <c r="F6272" t="s">
        <v>2065</v>
      </c>
      <c r="G6272" t="s">
        <v>8578</v>
      </c>
      <c r="H6272">
        <v>42426</v>
      </c>
      <c r="I6272" t="s">
        <v>423</v>
      </c>
      <c r="J6272" t="s">
        <v>3972</v>
      </c>
      <c r="K6272" t="s">
        <v>2183</v>
      </c>
      <c r="L6272" t="s">
        <v>2184</v>
      </c>
      <c r="M6272">
        <v>184</v>
      </c>
      <c r="N6272">
        <v>23.57</v>
      </c>
      <c r="O6272">
        <v>4193.57</v>
      </c>
      <c r="P6272">
        <v>0</v>
      </c>
      <c r="Q6272">
        <v>4193.57</v>
      </c>
      <c r="R6272">
        <v>670.97</v>
      </c>
      <c r="S6272">
        <v>167.74</v>
      </c>
      <c r="T6272">
        <v>4696.8</v>
      </c>
      <c r="U6272" t="s">
        <v>9411</v>
      </c>
      <c r="V6272" t="s">
        <v>9408</v>
      </c>
      <c r="W6272" t="s">
        <v>423</v>
      </c>
    </row>
    <row r="6273" spans="1:23" hidden="1" x14ac:dyDescent="0.2">
      <c r="A6273">
        <v>2012</v>
      </c>
      <c r="B6273" t="s">
        <v>303</v>
      </c>
      <c r="C6273" s="733">
        <v>40938</v>
      </c>
      <c r="D62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73" t="s">
        <v>505</v>
      </c>
      <c r="F6273" t="s">
        <v>1915</v>
      </c>
      <c r="G6273" t="s">
        <v>2442</v>
      </c>
      <c r="H6273">
        <v>22351</v>
      </c>
      <c r="I6273" t="s">
        <v>423</v>
      </c>
      <c r="J6273" t="s">
        <v>1943</v>
      </c>
      <c r="K6273" t="s">
        <v>1918</v>
      </c>
      <c r="L6273" t="s">
        <v>1919</v>
      </c>
      <c r="M6273">
        <v>319</v>
      </c>
      <c r="N6273">
        <v>27.01</v>
      </c>
      <c r="O6273">
        <v>7920.41</v>
      </c>
      <c r="P6273">
        <v>0</v>
      </c>
      <c r="Q6273">
        <v>7920.41</v>
      </c>
      <c r="R6273">
        <v>1267.27</v>
      </c>
      <c r="S6273">
        <v>316.82</v>
      </c>
      <c r="T6273">
        <v>8870.86</v>
      </c>
      <c r="U6273" t="s">
        <v>1936</v>
      </c>
      <c r="V6273" t="s">
        <v>9408</v>
      </c>
      <c r="W6273" t="s">
        <v>423</v>
      </c>
    </row>
    <row r="6274" spans="1:23" hidden="1" x14ac:dyDescent="0.2">
      <c r="A6274">
        <v>2012</v>
      </c>
      <c r="B6274" t="s">
        <v>305</v>
      </c>
      <c r="C6274" s="733">
        <v>40971</v>
      </c>
      <c r="D6274" s="733" t="str">
        <f>CHOOSE(MONTH(Tabla_sqldatos_bonampakdb_Bon_v_ingresos2012[[#This Row],[fecha_guia]]),"Enero","Febrero","Marzo","Abril","Mayo","Junio","Julio","Agosto","Septiembre","Octubre","Noviembre","Diciembre")</f>
        <v>Marzo</v>
      </c>
      <c r="E6274" t="s">
        <v>505</v>
      </c>
      <c r="F6274" t="s">
        <v>1915</v>
      </c>
      <c r="G6274" t="s">
        <v>9763</v>
      </c>
      <c r="H6274">
        <v>23165</v>
      </c>
      <c r="I6274" t="s">
        <v>423</v>
      </c>
      <c r="J6274" t="s">
        <v>1943</v>
      </c>
      <c r="K6274" t="s">
        <v>1918</v>
      </c>
      <c r="L6274" t="s">
        <v>1919</v>
      </c>
      <c r="M6274">
        <v>319</v>
      </c>
      <c r="N6274">
        <v>54.02</v>
      </c>
      <c r="O6274">
        <v>15840.82</v>
      </c>
      <c r="P6274">
        <v>0</v>
      </c>
      <c r="Q6274">
        <v>15840.82</v>
      </c>
      <c r="R6274">
        <v>2534.5300000000002</v>
      </c>
      <c r="S6274">
        <v>633.63</v>
      </c>
      <c r="T6274">
        <v>17741.72</v>
      </c>
      <c r="V6274" t="s">
        <v>9409</v>
      </c>
      <c r="W6274" t="s">
        <v>423</v>
      </c>
    </row>
    <row r="6275" spans="1:23" hidden="1" x14ac:dyDescent="0.2">
      <c r="A6275">
        <v>2012</v>
      </c>
      <c r="B6275" t="s">
        <v>303</v>
      </c>
      <c r="C6275" s="733">
        <v>40938</v>
      </c>
      <c r="D62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75" t="s">
        <v>505</v>
      </c>
      <c r="F6275" t="s">
        <v>1915</v>
      </c>
      <c r="G6275" t="s">
        <v>2941</v>
      </c>
      <c r="H6275">
        <v>22345</v>
      </c>
      <c r="I6275" t="s">
        <v>423</v>
      </c>
      <c r="J6275" t="s">
        <v>1943</v>
      </c>
      <c r="K6275" t="s">
        <v>1918</v>
      </c>
      <c r="L6275" t="s">
        <v>1919</v>
      </c>
      <c r="M6275">
        <v>319</v>
      </c>
      <c r="N6275">
        <v>53.89</v>
      </c>
      <c r="O6275">
        <v>15802.7</v>
      </c>
      <c r="P6275">
        <v>0</v>
      </c>
      <c r="Q6275">
        <v>15802.7</v>
      </c>
      <c r="R6275">
        <v>2528.4299999999998</v>
      </c>
      <c r="S6275">
        <v>632.11</v>
      </c>
      <c r="T6275">
        <v>17699.02</v>
      </c>
      <c r="U6275" t="s">
        <v>1936</v>
      </c>
      <c r="V6275" t="s">
        <v>9409</v>
      </c>
      <c r="W6275" t="s">
        <v>423</v>
      </c>
    </row>
    <row r="6276" spans="1:23" hidden="1" x14ac:dyDescent="0.2">
      <c r="A6276">
        <v>2012</v>
      </c>
      <c r="B6276" t="s">
        <v>304</v>
      </c>
      <c r="C6276" s="733">
        <v>40949.689456018517</v>
      </c>
      <c r="D62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76" t="s">
        <v>505</v>
      </c>
      <c r="F6276" t="s">
        <v>1915</v>
      </c>
      <c r="G6276" t="s">
        <v>7039</v>
      </c>
      <c r="H6276">
        <v>22641</v>
      </c>
      <c r="I6276" t="s">
        <v>423</v>
      </c>
      <c r="J6276" t="s">
        <v>1943</v>
      </c>
      <c r="K6276" t="s">
        <v>1918</v>
      </c>
      <c r="L6276" t="s">
        <v>1919</v>
      </c>
      <c r="M6276">
        <v>319</v>
      </c>
      <c r="N6276">
        <v>27.37</v>
      </c>
      <c r="O6276">
        <v>8025.98</v>
      </c>
      <c r="P6276">
        <v>0</v>
      </c>
      <c r="Q6276">
        <v>8025.98</v>
      </c>
      <c r="R6276">
        <v>1284.1600000000001</v>
      </c>
      <c r="S6276">
        <v>321.04000000000002</v>
      </c>
      <c r="T6276">
        <v>8989.1</v>
      </c>
      <c r="U6276" t="s">
        <v>7522</v>
      </c>
      <c r="V6276" t="s">
        <v>9408</v>
      </c>
      <c r="W6276" t="s">
        <v>423</v>
      </c>
    </row>
    <row r="6277" spans="1:23" hidden="1" x14ac:dyDescent="0.2">
      <c r="A6277">
        <v>2012</v>
      </c>
      <c r="B6277" t="s">
        <v>303</v>
      </c>
      <c r="C6277" s="733">
        <v>40915</v>
      </c>
      <c r="D62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77" t="s">
        <v>505</v>
      </c>
      <c r="F6277" t="s">
        <v>1915</v>
      </c>
      <c r="G6277" t="s">
        <v>2942</v>
      </c>
      <c r="H6277">
        <v>21745</v>
      </c>
      <c r="I6277" t="s">
        <v>423</v>
      </c>
      <c r="J6277" t="s">
        <v>1943</v>
      </c>
      <c r="K6277" t="s">
        <v>1918</v>
      </c>
      <c r="L6277" t="s">
        <v>1919</v>
      </c>
      <c r="M6277">
        <v>319</v>
      </c>
      <c r="N6277">
        <v>53.56</v>
      </c>
      <c r="O6277">
        <v>15705.93</v>
      </c>
      <c r="P6277">
        <v>0</v>
      </c>
      <c r="Q6277">
        <v>15705.93</v>
      </c>
      <c r="R6277">
        <v>2512.9499999999998</v>
      </c>
      <c r="S6277">
        <v>628.24</v>
      </c>
      <c r="T6277">
        <v>17590.64</v>
      </c>
      <c r="U6277" t="s">
        <v>1920</v>
      </c>
      <c r="V6277" t="s">
        <v>9409</v>
      </c>
      <c r="W6277" t="s">
        <v>423</v>
      </c>
    </row>
    <row r="6278" spans="1:23" hidden="1" x14ac:dyDescent="0.2">
      <c r="A6278">
        <v>2012</v>
      </c>
      <c r="B6278" t="s">
        <v>304</v>
      </c>
      <c r="C6278" s="733">
        <v>40954</v>
      </c>
      <c r="D62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78" t="s">
        <v>505</v>
      </c>
      <c r="F6278" t="s">
        <v>1915</v>
      </c>
      <c r="G6278" t="s">
        <v>7494</v>
      </c>
      <c r="H6278">
        <v>22692</v>
      </c>
      <c r="I6278" t="s">
        <v>423</v>
      </c>
      <c r="J6278" t="s">
        <v>1943</v>
      </c>
      <c r="K6278" t="s">
        <v>1918</v>
      </c>
      <c r="L6278" t="s">
        <v>1919</v>
      </c>
      <c r="M6278">
        <v>319</v>
      </c>
      <c r="N6278">
        <v>53.69</v>
      </c>
      <c r="O6278">
        <v>15744.06</v>
      </c>
      <c r="P6278">
        <v>0</v>
      </c>
      <c r="Q6278">
        <v>15744.06</v>
      </c>
      <c r="R6278">
        <v>2519.0500000000002</v>
      </c>
      <c r="S6278">
        <v>629.76</v>
      </c>
      <c r="T6278">
        <v>17633.349999999999</v>
      </c>
      <c r="U6278" t="s">
        <v>7529</v>
      </c>
      <c r="V6278" t="s">
        <v>9409</v>
      </c>
      <c r="W6278" t="s">
        <v>423</v>
      </c>
    </row>
    <row r="6279" spans="1:23" hidden="1" x14ac:dyDescent="0.2">
      <c r="A6279">
        <v>2012</v>
      </c>
      <c r="B6279" t="s">
        <v>304</v>
      </c>
      <c r="C6279" s="733">
        <v>40949</v>
      </c>
      <c r="D62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79" t="s">
        <v>485</v>
      </c>
      <c r="F6279" t="s">
        <v>2065</v>
      </c>
      <c r="G6279" t="s">
        <v>4179</v>
      </c>
      <c r="H6279">
        <v>41580</v>
      </c>
      <c r="I6279" t="s">
        <v>423</v>
      </c>
      <c r="J6279" t="s">
        <v>2126</v>
      </c>
      <c r="K6279" t="s">
        <v>2102</v>
      </c>
      <c r="L6279" t="s">
        <v>2115</v>
      </c>
      <c r="M6279">
        <v>930</v>
      </c>
      <c r="N6279">
        <v>48.54</v>
      </c>
      <c r="O6279">
        <v>28496.86</v>
      </c>
      <c r="P6279">
        <v>0</v>
      </c>
      <c r="Q6279">
        <v>28496.86</v>
      </c>
      <c r="R6279">
        <v>4559.5</v>
      </c>
      <c r="S6279">
        <v>1139.8699999999999</v>
      </c>
      <c r="T6279">
        <v>31916.49</v>
      </c>
      <c r="U6279" t="s">
        <v>8051</v>
      </c>
      <c r="V6279" t="s">
        <v>9409</v>
      </c>
      <c r="W6279" t="s">
        <v>423</v>
      </c>
    </row>
    <row r="6280" spans="1:23" x14ac:dyDescent="0.2">
      <c r="A6280">
        <v>2012</v>
      </c>
      <c r="B6280" t="s">
        <v>304</v>
      </c>
      <c r="C6280" s="733">
        <v>40967</v>
      </c>
      <c r="D62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80" t="s">
        <v>485</v>
      </c>
      <c r="F6280" t="s">
        <v>2065</v>
      </c>
      <c r="G6280" t="s">
        <v>9026</v>
      </c>
      <c r="H6280">
        <v>42652</v>
      </c>
      <c r="I6280" t="s">
        <v>423</v>
      </c>
      <c r="J6280" t="s">
        <v>2126</v>
      </c>
      <c r="K6280" t="s">
        <v>2102</v>
      </c>
      <c r="L6280" t="s">
        <v>2115</v>
      </c>
      <c r="M6280">
        <v>930</v>
      </c>
      <c r="N6280">
        <v>53.09</v>
      </c>
      <c r="O6280">
        <v>31168.080000000002</v>
      </c>
      <c r="P6280">
        <v>0</v>
      </c>
      <c r="Q6280">
        <v>31168.080000000002</v>
      </c>
      <c r="R6280">
        <v>4986.8900000000003</v>
      </c>
      <c r="S6280">
        <v>1246.72</v>
      </c>
      <c r="T6280">
        <v>34908.25</v>
      </c>
      <c r="V6280" t="s">
        <v>9409</v>
      </c>
      <c r="W6280" t="s">
        <v>423</v>
      </c>
    </row>
    <row r="6281" spans="1:23" hidden="1" x14ac:dyDescent="0.2">
      <c r="A6281">
        <v>2012</v>
      </c>
      <c r="B6281" t="s">
        <v>303</v>
      </c>
      <c r="C6281" s="733">
        <v>40932</v>
      </c>
      <c r="D62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81" t="s">
        <v>485</v>
      </c>
      <c r="F6281" t="s">
        <v>2065</v>
      </c>
      <c r="G6281" t="s">
        <v>7150</v>
      </c>
      <c r="H6281">
        <v>40705</v>
      </c>
      <c r="I6281" t="s">
        <v>423</v>
      </c>
      <c r="J6281" t="s">
        <v>2126</v>
      </c>
      <c r="K6281" t="s">
        <v>2102</v>
      </c>
      <c r="L6281" t="s">
        <v>2115</v>
      </c>
      <c r="M6281">
        <v>930</v>
      </c>
      <c r="N6281">
        <v>27.23</v>
      </c>
      <c r="O6281">
        <v>15986.19</v>
      </c>
      <c r="P6281">
        <v>0</v>
      </c>
      <c r="Q6281">
        <v>15986.19</v>
      </c>
      <c r="R6281">
        <v>2557.79</v>
      </c>
      <c r="S6281">
        <v>639.45000000000005</v>
      </c>
      <c r="T6281">
        <v>17904.53</v>
      </c>
      <c r="U6281" t="s">
        <v>2108</v>
      </c>
      <c r="V6281" t="s">
        <v>9408</v>
      </c>
      <c r="W6281" t="s">
        <v>423</v>
      </c>
    </row>
    <row r="6282" spans="1:23" hidden="1" x14ac:dyDescent="0.2">
      <c r="A6282">
        <v>2012</v>
      </c>
      <c r="B6282" t="s">
        <v>304</v>
      </c>
      <c r="C6282" s="733">
        <v>40942</v>
      </c>
      <c r="D62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82" t="s">
        <v>485</v>
      </c>
      <c r="F6282" t="s">
        <v>2065</v>
      </c>
      <c r="G6282" t="s">
        <v>5922</v>
      </c>
      <c r="H6282">
        <v>41241</v>
      </c>
      <c r="I6282" t="s">
        <v>423</v>
      </c>
      <c r="J6282" t="s">
        <v>2126</v>
      </c>
      <c r="K6282" t="s">
        <v>2102</v>
      </c>
      <c r="L6282" t="s">
        <v>2115</v>
      </c>
      <c r="M6282">
        <v>930</v>
      </c>
      <c r="N6282">
        <v>25.42</v>
      </c>
      <c r="O6282">
        <v>14923.57</v>
      </c>
      <c r="P6282">
        <v>0</v>
      </c>
      <c r="Q6282">
        <v>14923.57</v>
      </c>
      <c r="R6282">
        <v>2387.77</v>
      </c>
      <c r="S6282">
        <v>596.94000000000005</v>
      </c>
      <c r="T6282">
        <v>16714.400000000001</v>
      </c>
      <c r="U6282" t="s">
        <v>7462</v>
      </c>
      <c r="V6282" t="s">
        <v>9409</v>
      </c>
      <c r="W6282" t="s">
        <v>423</v>
      </c>
    </row>
    <row r="6283" spans="1:23" hidden="1" x14ac:dyDescent="0.2">
      <c r="A6283">
        <v>2012</v>
      </c>
      <c r="B6283" t="s">
        <v>303</v>
      </c>
      <c r="C6283" s="733">
        <v>40936</v>
      </c>
      <c r="D62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83" t="s">
        <v>478</v>
      </c>
      <c r="F6283" t="s">
        <v>2136</v>
      </c>
      <c r="G6283" t="s">
        <v>5960</v>
      </c>
      <c r="H6283">
        <v>34730</v>
      </c>
      <c r="I6283" t="s">
        <v>423</v>
      </c>
      <c r="J6283" t="s">
        <v>3480</v>
      </c>
      <c r="K6283" t="s">
        <v>3481</v>
      </c>
      <c r="L6283" t="s">
        <v>3482</v>
      </c>
      <c r="M6283">
        <v>75</v>
      </c>
      <c r="N6283">
        <v>31.99</v>
      </c>
      <c r="O6283">
        <v>3610.71</v>
      </c>
      <c r="P6283">
        <v>0</v>
      </c>
      <c r="Q6283">
        <v>3610.71</v>
      </c>
      <c r="R6283">
        <v>577.71</v>
      </c>
      <c r="S6283">
        <v>144.43</v>
      </c>
      <c r="T6283">
        <v>4043.99</v>
      </c>
      <c r="U6283" t="s">
        <v>3784</v>
      </c>
      <c r="V6283" t="s">
        <v>9408</v>
      </c>
      <c r="W6283" t="s">
        <v>423</v>
      </c>
    </row>
    <row r="6284" spans="1:23" hidden="1" x14ac:dyDescent="0.2">
      <c r="A6284">
        <v>2012</v>
      </c>
      <c r="B6284" t="s">
        <v>303</v>
      </c>
      <c r="C6284" s="733">
        <v>40936</v>
      </c>
      <c r="D62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84" t="s">
        <v>478</v>
      </c>
      <c r="F6284" t="s">
        <v>3787</v>
      </c>
      <c r="G6284" t="s">
        <v>5964</v>
      </c>
      <c r="H6284">
        <v>35022</v>
      </c>
      <c r="I6284" t="s">
        <v>423</v>
      </c>
      <c r="J6284" t="s">
        <v>3480</v>
      </c>
      <c r="K6284" t="s">
        <v>3481</v>
      </c>
      <c r="L6284" t="s">
        <v>3482</v>
      </c>
      <c r="M6284">
        <v>75</v>
      </c>
      <c r="N6284">
        <v>26.305</v>
      </c>
      <c r="O6284">
        <v>2969.05</v>
      </c>
      <c r="P6284">
        <v>0</v>
      </c>
      <c r="Q6284">
        <v>2969.05</v>
      </c>
      <c r="R6284">
        <v>475.05</v>
      </c>
      <c r="S6284">
        <v>118.76</v>
      </c>
      <c r="T6284">
        <v>3325.34</v>
      </c>
      <c r="U6284" t="s">
        <v>3784</v>
      </c>
      <c r="V6284" t="s">
        <v>9408</v>
      </c>
      <c r="W6284" t="s">
        <v>423</v>
      </c>
    </row>
    <row r="6285" spans="1:23" hidden="1" x14ac:dyDescent="0.2">
      <c r="A6285">
        <v>2012</v>
      </c>
      <c r="B6285" t="s">
        <v>304</v>
      </c>
      <c r="C6285" s="733">
        <v>40952</v>
      </c>
      <c r="D62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85" t="s">
        <v>478</v>
      </c>
      <c r="F6285" t="s">
        <v>3787</v>
      </c>
      <c r="G6285" t="s">
        <v>5966</v>
      </c>
      <c r="H6285">
        <v>34321</v>
      </c>
      <c r="I6285" t="s">
        <v>423</v>
      </c>
      <c r="J6285" t="s">
        <v>3480</v>
      </c>
      <c r="K6285" t="s">
        <v>3481</v>
      </c>
      <c r="L6285" t="s">
        <v>3482</v>
      </c>
      <c r="M6285">
        <v>75</v>
      </c>
      <c r="N6285">
        <v>24.704999999999998</v>
      </c>
      <c r="O6285">
        <v>2788.45</v>
      </c>
      <c r="P6285">
        <v>0</v>
      </c>
      <c r="Q6285">
        <v>2788.45</v>
      </c>
      <c r="R6285">
        <v>446.15</v>
      </c>
      <c r="S6285">
        <v>111.54</v>
      </c>
      <c r="T6285">
        <v>3123.06</v>
      </c>
      <c r="U6285" t="s">
        <v>3483</v>
      </c>
      <c r="V6285" t="s">
        <v>9408</v>
      </c>
      <c r="W6285" t="s">
        <v>423</v>
      </c>
    </row>
    <row r="6286" spans="1:23" hidden="1" x14ac:dyDescent="0.2">
      <c r="A6286">
        <v>2012</v>
      </c>
      <c r="B6286" t="s">
        <v>303</v>
      </c>
      <c r="C6286" s="733">
        <v>40936</v>
      </c>
      <c r="D62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86" t="s">
        <v>478</v>
      </c>
      <c r="F6286" t="s">
        <v>3787</v>
      </c>
      <c r="G6286" t="s">
        <v>5965</v>
      </c>
      <c r="H6286">
        <v>35016</v>
      </c>
      <c r="I6286" t="s">
        <v>423</v>
      </c>
      <c r="J6286" t="s">
        <v>3480</v>
      </c>
      <c r="K6286" t="s">
        <v>3481</v>
      </c>
      <c r="L6286" t="s">
        <v>3482</v>
      </c>
      <c r="M6286">
        <v>75</v>
      </c>
      <c r="N6286">
        <v>27.555</v>
      </c>
      <c r="O6286">
        <v>3109.58</v>
      </c>
      <c r="P6286">
        <v>0</v>
      </c>
      <c r="Q6286">
        <v>3109.58</v>
      </c>
      <c r="R6286">
        <v>497.53</v>
      </c>
      <c r="S6286">
        <v>124.38</v>
      </c>
      <c r="T6286">
        <v>3482.73</v>
      </c>
      <c r="U6286" t="s">
        <v>3784</v>
      </c>
      <c r="V6286" t="s">
        <v>9408</v>
      </c>
      <c r="W6286" t="s">
        <v>423</v>
      </c>
    </row>
    <row r="6287" spans="1:23" hidden="1" x14ac:dyDescent="0.2">
      <c r="A6287">
        <v>2012</v>
      </c>
      <c r="B6287" t="s">
        <v>304</v>
      </c>
      <c r="C6287" s="733">
        <v>40960</v>
      </c>
      <c r="D62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87" t="s">
        <v>478</v>
      </c>
      <c r="F6287" t="s">
        <v>2136</v>
      </c>
      <c r="G6287" t="s">
        <v>8300</v>
      </c>
      <c r="H6287">
        <v>35528</v>
      </c>
      <c r="I6287" t="s">
        <v>423</v>
      </c>
      <c r="J6287" t="s">
        <v>2793</v>
      </c>
      <c r="K6287" t="s">
        <v>425</v>
      </c>
      <c r="L6287" t="s">
        <v>2145</v>
      </c>
      <c r="M6287">
        <v>1147</v>
      </c>
      <c r="N6287">
        <v>27.08</v>
      </c>
      <c r="O6287">
        <v>12494.17</v>
      </c>
      <c r="P6287">
        <v>0</v>
      </c>
      <c r="Q6287">
        <v>12494.17</v>
      </c>
      <c r="R6287">
        <v>1999.07</v>
      </c>
      <c r="S6287">
        <v>499.77</v>
      </c>
      <c r="T6287">
        <v>13993.47</v>
      </c>
      <c r="U6287" t="s">
        <v>8252</v>
      </c>
      <c r="V6287" t="s">
        <v>9408</v>
      </c>
      <c r="W6287" t="s">
        <v>423</v>
      </c>
    </row>
    <row r="6288" spans="1:23" x14ac:dyDescent="0.2">
      <c r="A6288">
        <v>2012</v>
      </c>
      <c r="B6288" t="s">
        <v>304</v>
      </c>
      <c r="C6288" s="733">
        <v>40968.443981481483</v>
      </c>
      <c r="D62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88" t="s">
        <v>485</v>
      </c>
      <c r="F6288" t="s">
        <v>2065</v>
      </c>
      <c r="G6288" t="s">
        <v>9025</v>
      </c>
      <c r="H6288">
        <v>42753</v>
      </c>
      <c r="I6288" t="s">
        <v>423</v>
      </c>
      <c r="J6288" t="s">
        <v>2126</v>
      </c>
      <c r="K6288" t="s">
        <v>2102</v>
      </c>
      <c r="L6288" t="s">
        <v>2115</v>
      </c>
      <c r="M6288">
        <v>930</v>
      </c>
      <c r="N6288">
        <v>24.6</v>
      </c>
      <c r="O6288">
        <v>14442.17</v>
      </c>
      <c r="P6288">
        <v>0</v>
      </c>
      <c r="Q6288">
        <v>14442.17</v>
      </c>
      <c r="R6288">
        <v>2310.75</v>
      </c>
      <c r="S6288">
        <v>577.69000000000005</v>
      </c>
      <c r="T6288">
        <v>16175.23</v>
      </c>
      <c r="V6288" t="s">
        <v>9409</v>
      </c>
      <c r="W6288" t="s">
        <v>423</v>
      </c>
    </row>
    <row r="6289" spans="1:23" hidden="1" x14ac:dyDescent="0.2">
      <c r="A6289">
        <v>2012</v>
      </c>
      <c r="B6289" t="s">
        <v>304</v>
      </c>
      <c r="C6289" s="733">
        <v>40960</v>
      </c>
      <c r="D62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89" t="s">
        <v>485</v>
      </c>
      <c r="F6289" t="s">
        <v>3450</v>
      </c>
      <c r="G6289" t="s">
        <v>8299</v>
      </c>
      <c r="H6289">
        <v>42139</v>
      </c>
      <c r="I6289" t="s">
        <v>423</v>
      </c>
      <c r="J6289" t="s">
        <v>3462</v>
      </c>
      <c r="K6289" t="s">
        <v>3453</v>
      </c>
      <c r="L6289" t="s">
        <v>3454</v>
      </c>
      <c r="M6289">
        <v>425</v>
      </c>
      <c r="N6289">
        <v>55.83</v>
      </c>
      <c r="O6289">
        <v>15578.8</v>
      </c>
      <c r="P6289">
        <v>0</v>
      </c>
      <c r="Q6289">
        <v>15578.8</v>
      </c>
      <c r="R6289">
        <v>2492.61</v>
      </c>
      <c r="S6289">
        <v>623.15</v>
      </c>
      <c r="T6289">
        <v>17448.259999999998</v>
      </c>
      <c r="U6289" t="s">
        <v>8991</v>
      </c>
      <c r="V6289" t="s">
        <v>9409</v>
      </c>
      <c r="W6289" t="s">
        <v>423</v>
      </c>
    </row>
    <row r="6290" spans="1:23" hidden="1" x14ac:dyDescent="0.2">
      <c r="A6290">
        <v>2012</v>
      </c>
      <c r="B6290" t="s">
        <v>303</v>
      </c>
      <c r="C6290" s="733">
        <v>40926</v>
      </c>
      <c r="D62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90" t="s">
        <v>485</v>
      </c>
      <c r="F6290" t="s">
        <v>3450</v>
      </c>
      <c r="G6290" t="s">
        <v>5931</v>
      </c>
      <c r="H6290">
        <v>40349</v>
      </c>
      <c r="I6290" t="s">
        <v>423</v>
      </c>
      <c r="J6290" t="s">
        <v>3462</v>
      </c>
      <c r="K6290" t="s">
        <v>3453</v>
      </c>
      <c r="L6290" t="s">
        <v>3454</v>
      </c>
      <c r="M6290">
        <v>425</v>
      </c>
      <c r="N6290">
        <v>53.56</v>
      </c>
      <c r="O6290">
        <v>14945.38</v>
      </c>
      <c r="P6290">
        <v>0</v>
      </c>
      <c r="Q6290">
        <v>14945.38</v>
      </c>
      <c r="R6290">
        <v>2391.2600000000002</v>
      </c>
      <c r="S6290">
        <v>597.82000000000005</v>
      </c>
      <c r="T6290">
        <v>16738.82</v>
      </c>
      <c r="U6290" t="s">
        <v>3459</v>
      </c>
      <c r="V6290" t="s">
        <v>9409</v>
      </c>
      <c r="W6290" t="s">
        <v>423</v>
      </c>
    </row>
    <row r="6291" spans="1:23" hidden="1" x14ac:dyDescent="0.2">
      <c r="A6291">
        <v>2012</v>
      </c>
      <c r="B6291" t="s">
        <v>304</v>
      </c>
      <c r="C6291" s="733">
        <v>40953</v>
      </c>
      <c r="D62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91" t="s">
        <v>485</v>
      </c>
      <c r="F6291" t="s">
        <v>2065</v>
      </c>
      <c r="G6291" t="s">
        <v>7216</v>
      </c>
      <c r="H6291">
        <v>41761</v>
      </c>
      <c r="I6291" t="s">
        <v>423</v>
      </c>
      <c r="J6291" t="s">
        <v>2126</v>
      </c>
      <c r="K6291" t="s">
        <v>2102</v>
      </c>
      <c r="L6291" t="s">
        <v>2184</v>
      </c>
      <c r="M6291">
        <v>930</v>
      </c>
      <c r="N6291">
        <v>50.94</v>
      </c>
      <c r="O6291">
        <v>29905.86</v>
      </c>
      <c r="P6291">
        <v>0</v>
      </c>
      <c r="Q6291">
        <v>29905.86</v>
      </c>
      <c r="R6291">
        <v>4784.9399999999996</v>
      </c>
      <c r="S6291">
        <v>1196.23</v>
      </c>
      <c r="T6291">
        <v>33494.57</v>
      </c>
      <c r="U6291" t="s">
        <v>8051</v>
      </c>
      <c r="V6291" t="s">
        <v>9409</v>
      </c>
      <c r="W6291" t="s">
        <v>423</v>
      </c>
    </row>
    <row r="6292" spans="1:23" hidden="1" x14ac:dyDescent="0.2">
      <c r="A6292">
        <v>2012</v>
      </c>
      <c r="B6292" t="s">
        <v>303</v>
      </c>
      <c r="C6292" s="733">
        <v>40936</v>
      </c>
      <c r="D62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92" t="s">
        <v>478</v>
      </c>
      <c r="F6292" t="s">
        <v>2136</v>
      </c>
      <c r="G6292" t="s">
        <v>5961</v>
      </c>
      <c r="H6292">
        <v>34727</v>
      </c>
      <c r="I6292" t="s">
        <v>423</v>
      </c>
      <c r="J6292" t="s">
        <v>3480</v>
      </c>
      <c r="K6292" t="s">
        <v>3481</v>
      </c>
      <c r="L6292" t="s">
        <v>3482</v>
      </c>
      <c r="M6292">
        <v>75</v>
      </c>
      <c r="N6292">
        <v>24.135000000000002</v>
      </c>
      <c r="O6292">
        <v>2724.12</v>
      </c>
      <c r="P6292">
        <v>0</v>
      </c>
      <c r="Q6292">
        <v>2724.12</v>
      </c>
      <c r="R6292">
        <v>435.86</v>
      </c>
      <c r="S6292">
        <v>108.96</v>
      </c>
      <c r="T6292">
        <v>3051.02</v>
      </c>
      <c r="U6292" t="s">
        <v>3784</v>
      </c>
      <c r="V6292" t="s">
        <v>9408</v>
      </c>
      <c r="W6292" t="s">
        <v>423</v>
      </c>
    </row>
    <row r="6293" spans="1:23" hidden="1" x14ac:dyDescent="0.2">
      <c r="A6293">
        <v>2012</v>
      </c>
      <c r="B6293" t="s">
        <v>304</v>
      </c>
      <c r="C6293" s="733">
        <v>40952</v>
      </c>
      <c r="D62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93" t="s">
        <v>485</v>
      </c>
      <c r="F6293" t="s">
        <v>2099</v>
      </c>
      <c r="G6293" t="s">
        <v>4189</v>
      </c>
      <c r="H6293">
        <v>41855</v>
      </c>
      <c r="I6293" t="s">
        <v>423</v>
      </c>
      <c r="J6293" t="s">
        <v>2101</v>
      </c>
      <c r="K6293" t="s">
        <v>2102</v>
      </c>
      <c r="L6293" t="s">
        <v>2103</v>
      </c>
      <c r="M6293">
        <v>119</v>
      </c>
      <c r="N6293">
        <v>25.48</v>
      </c>
      <c r="O6293">
        <v>4273.76</v>
      </c>
      <c r="P6293">
        <v>0</v>
      </c>
      <c r="Q6293">
        <v>4273.76</v>
      </c>
      <c r="R6293">
        <v>683.8</v>
      </c>
      <c r="S6293">
        <v>170.95</v>
      </c>
      <c r="T6293">
        <v>4786.6099999999997</v>
      </c>
      <c r="U6293" t="s">
        <v>7462</v>
      </c>
      <c r="V6293" t="s">
        <v>9408</v>
      </c>
      <c r="W6293" t="s">
        <v>423</v>
      </c>
    </row>
    <row r="6294" spans="1:23" hidden="1" x14ac:dyDescent="0.2">
      <c r="A6294">
        <v>2012</v>
      </c>
      <c r="B6294" t="s">
        <v>304</v>
      </c>
      <c r="C6294" s="733">
        <v>40940</v>
      </c>
      <c r="D62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294" t="s">
        <v>485</v>
      </c>
      <c r="F6294" t="s">
        <v>2065</v>
      </c>
      <c r="G6294" t="s">
        <v>3582</v>
      </c>
      <c r="H6294">
        <v>39985</v>
      </c>
      <c r="I6294" t="s">
        <v>423</v>
      </c>
      <c r="J6294" t="s">
        <v>2196</v>
      </c>
      <c r="K6294" t="s">
        <v>2183</v>
      </c>
      <c r="L6294" t="s">
        <v>2184</v>
      </c>
      <c r="M6294">
        <v>10</v>
      </c>
      <c r="N6294">
        <v>16.32</v>
      </c>
      <c r="O6294">
        <v>1842.04</v>
      </c>
      <c r="P6294">
        <v>0</v>
      </c>
      <c r="Q6294">
        <v>1842.04</v>
      </c>
      <c r="R6294">
        <v>294.73</v>
      </c>
      <c r="S6294">
        <v>73.680000000000007</v>
      </c>
      <c r="T6294">
        <v>2063.09</v>
      </c>
      <c r="U6294" t="s">
        <v>9411</v>
      </c>
      <c r="V6294" t="s">
        <v>9408</v>
      </c>
      <c r="W6294" t="s">
        <v>423</v>
      </c>
    </row>
    <row r="6295" spans="1:23" hidden="1" x14ac:dyDescent="0.2">
      <c r="A6295">
        <v>2012</v>
      </c>
      <c r="B6295" t="s">
        <v>305</v>
      </c>
      <c r="C6295" s="733">
        <v>40970.424120370371</v>
      </c>
      <c r="D6295" s="733" t="str">
        <f>CHOOSE(MONTH(Tabla_sqldatos_bonampakdb_Bon_v_ingresos2012[[#This Row],[fecha_guia]]),"Enero","Febrero","Marzo","Abril","Mayo","Junio","Julio","Agosto","Septiembre","Octubre","Noviembre","Diciembre")</f>
        <v>Marzo</v>
      </c>
      <c r="E6295" t="s">
        <v>485</v>
      </c>
      <c r="F6295" t="s">
        <v>2065</v>
      </c>
      <c r="G6295" t="s">
        <v>9563</v>
      </c>
      <c r="H6295">
        <v>43006</v>
      </c>
      <c r="I6295" t="s">
        <v>423</v>
      </c>
      <c r="J6295" t="s">
        <v>2196</v>
      </c>
      <c r="K6295" t="s">
        <v>2183</v>
      </c>
      <c r="L6295" t="s">
        <v>2184</v>
      </c>
      <c r="M6295">
        <v>10</v>
      </c>
      <c r="N6295">
        <v>15.03</v>
      </c>
      <c r="O6295">
        <v>1696.44</v>
      </c>
      <c r="P6295">
        <v>0</v>
      </c>
      <c r="Q6295">
        <v>1696.44</v>
      </c>
      <c r="R6295">
        <v>271.43</v>
      </c>
      <c r="S6295">
        <v>67.86</v>
      </c>
      <c r="T6295">
        <v>1900.01</v>
      </c>
      <c r="V6295" t="s">
        <v>9408</v>
      </c>
      <c r="W6295" t="s">
        <v>423</v>
      </c>
    </row>
    <row r="6296" spans="1:23" hidden="1" x14ac:dyDescent="0.2">
      <c r="A6296">
        <v>2012</v>
      </c>
      <c r="B6296" t="s">
        <v>303</v>
      </c>
      <c r="C6296" s="733">
        <v>40925</v>
      </c>
      <c r="D62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96" t="s">
        <v>485</v>
      </c>
      <c r="F6296" t="s">
        <v>2065</v>
      </c>
      <c r="G6296" t="s">
        <v>3226</v>
      </c>
      <c r="H6296">
        <v>40423</v>
      </c>
      <c r="I6296" t="s">
        <v>423</v>
      </c>
      <c r="J6296" t="s">
        <v>2139</v>
      </c>
      <c r="K6296" t="s">
        <v>2102</v>
      </c>
      <c r="L6296" t="s">
        <v>2115</v>
      </c>
      <c r="M6296">
        <v>543</v>
      </c>
      <c r="N6296">
        <v>50.29</v>
      </c>
      <c r="O6296">
        <v>16910.009999999998</v>
      </c>
      <c r="P6296">
        <v>0</v>
      </c>
      <c r="Q6296">
        <v>16910.009999999998</v>
      </c>
      <c r="R6296">
        <v>2705.6</v>
      </c>
      <c r="S6296">
        <v>676.4</v>
      </c>
      <c r="T6296">
        <v>18939.21</v>
      </c>
      <c r="U6296" t="s">
        <v>2106</v>
      </c>
      <c r="V6296" t="s">
        <v>9409</v>
      </c>
      <c r="W6296" t="s">
        <v>423</v>
      </c>
    </row>
    <row r="6297" spans="1:23" hidden="1" x14ac:dyDescent="0.2">
      <c r="A6297">
        <v>2012</v>
      </c>
      <c r="B6297" t="s">
        <v>303</v>
      </c>
      <c r="C6297" s="733">
        <v>40927.480474537035</v>
      </c>
      <c r="D62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97" t="s">
        <v>478</v>
      </c>
      <c r="F6297" t="s">
        <v>2136</v>
      </c>
      <c r="G6297" t="s">
        <v>4889</v>
      </c>
      <c r="H6297">
        <v>34721</v>
      </c>
      <c r="I6297" t="s">
        <v>423</v>
      </c>
      <c r="J6297" t="s">
        <v>4285</v>
      </c>
      <c r="K6297" t="s">
        <v>425</v>
      </c>
      <c r="L6297" t="s">
        <v>2145</v>
      </c>
      <c r="M6297">
        <v>110</v>
      </c>
      <c r="N6297">
        <v>25.78</v>
      </c>
      <c r="O6297">
        <v>4195.7</v>
      </c>
      <c r="P6297">
        <v>0</v>
      </c>
      <c r="Q6297">
        <v>4195.7</v>
      </c>
      <c r="R6297">
        <v>671.31</v>
      </c>
      <c r="S6297">
        <v>167.83</v>
      </c>
      <c r="T6297">
        <v>4699.18</v>
      </c>
      <c r="U6297" t="s">
        <v>2146</v>
      </c>
      <c r="V6297" t="s">
        <v>9409</v>
      </c>
      <c r="W6297" t="s">
        <v>423</v>
      </c>
    </row>
    <row r="6298" spans="1:23" hidden="1" x14ac:dyDescent="0.2">
      <c r="A6298">
        <v>2012</v>
      </c>
      <c r="B6298" t="s">
        <v>303</v>
      </c>
      <c r="C6298" s="733">
        <v>40912</v>
      </c>
      <c r="D62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98" t="s">
        <v>478</v>
      </c>
      <c r="F6298" t="s">
        <v>2136</v>
      </c>
      <c r="G6298" t="s">
        <v>4890</v>
      </c>
      <c r="H6298">
        <v>34142</v>
      </c>
      <c r="I6298" t="s">
        <v>423</v>
      </c>
      <c r="J6298" t="s">
        <v>4285</v>
      </c>
      <c r="K6298" t="s">
        <v>425</v>
      </c>
      <c r="L6298" t="s">
        <v>2145</v>
      </c>
      <c r="M6298">
        <v>110</v>
      </c>
      <c r="N6298">
        <v>25.89</v>
      </c>
      <c r="O6298">
        <v>1773.98</v>
      </c>
      <c r="P6298">
        <v>1997.3063420000001</v>
      </c>
      <c r="Q6298">
        <v>3771.2863419999999</v>
      </c>
      <c r="R6298">
        <v>603.40581499999996</v>
      </c>
      <c r="S6298">
        <v>150.85145399999999</v>
      </c>
      <c r="T6298">
        <v>4223.8407029999998</v>
      </c>
      <c r="U6298" t="s">
        <v>2150</v>
      </c>
      <c r="V6298" t="s">
        <v>9408</v>
      </c>
      <c r="W6298" t="s">
        <v>423</v>
      </c>
    </row>
    <row r="6299" spans="1:23" hidden="1" x14ac:dyDescent="0.2">
      <c r="A6299">
        <v>2012</v>
      </c>
      <c r="B6299" t="s">
        <v>303</v>
      </c>
      <c r="C6299" s="733">
        <v>40918</v>
      </c>
      <c r="D62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299" t="s">
        <v>485</v>
      </c>
      <c r="F6299" t="s">
        <v>2065</v>
      </c>
      <c r="G6299" t="s">
        <v>3597</v>
      </c>
      <c r="H6299">
        <v>39974</v>
      </c>
      <c r="I6299" t="s">
        <v>423</v>
      </c>
      <c r="J6299" t="s">
        <v>2196</v>
      </c>
      <c r="K6299" t="s">
        <v>2183</v>
      </c>
      <c r="L6299" t="s">
        <v>2184</v>
      </c>
      <c r="M6299">
        <v>10</v>
      </c>
      <c r="N6299">
        <v>51.83</v>
      </c>
      <c r="O6299">
        <v>5850.05</v>
      </c>
      <c r="P6299">
        <v>0</v>
      </c>
      <c r="Q6299">
        <v>5850.05</v>
      </c>
      <c r="R6299">
        <v>936.01</v>
      </c>
      <c r="S6299">
        <v>234</v>
      </c>
      <c r="T6299">
        <v>6552.06</v>
      </c>
      <c r="U6299" t="s">
        <v>7587</v>
      </c>
      <c r="V6299" t="s">
        <v>9409</v>
      </c>
      <c r="W6299" t="s">
        <v>423</v>
      </c>
    </row>
    <row r="6300" spans="1:23" hidden="1" x14ac:dyDescent="0.2">
      <c r="A6300">
        <v>2012</v>
      </c>
      <c r="B6300" t="s">
        <v>303</v>
      </c>
      <c r="C6300" s="733">
        <v>40932.568680555552</v>
      </c>
      <c r="D63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00" t="s">
        <v>485</v>
      </c>
      <c r="F6300" t="s">
        <v>2054</v>
      </c>
      <c r="G6300" t="s">
        <v>4762</v>
      </c>
      <c r="H6300">
        <v>10196</v>
      </c>
      <c r="I6300" t="s">
        <v>423</v>
      </c>
      <c r="J6300" t="s">
        <v>4545</v>
      </c>
      <c r="K6300" t="s">
        <v>2057</v>
      </c>
      <c r="L6300" t="s">
        <v>2058</v>
      </c>
      <c r="M6300">
        <v>144</v>
      </c>
      <c r="N6300">
        <v>22.7</v>
      </c>
      <c r="O6300">
        <v>3629.5</v>
      </c>
      <c r="P6300">
        <v>0</v>
      </c>
      <c r="Q6300">
        <v>3629.5</v>
      </c>
      <c r="R6300">
        <v>580.72</v>
      </c>
      <c r="S6300">
        <v>145.18</v>
      </c>
      <c r="T6300">
        <v>4065.04</v>
      </c>
      <c r="U6300" t="s">
        <v>2077</v>
      </c>
      <c r="V6300" t="s">
        <v>9408</v>
      </c>
      <c r="W6300" t="s">
        <v>423</v>
      </c>
    </row>
    <row r="6301" spans="1:23" hidden="1" x14ac:dyDescent="0.2">
      <c r="A6301">
        <v>2012</v>
      </c>
      <c r="B6301" t="s">
        <v>304</v>
      </c>
      <c r="C6301" s="733">
        <v>40963</v>
      </c>
      <c r="D63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01" t="s">
        <v>478</v>
      </c>
      <c r="F6301" t="s">
        <v>2136</v>
      </c>
      <c r="G6301" t="s">
        <v>8616</v>
      </c>
      <c r="H6301">
        <v>35288</v>
      </c>
      <c r="I6301" t="s">
        <v>423</v>
      </c>
      <c r="J6301" t="s">
        <v>4273</v>
      </c>
      <c r="K6301" t="s">
        <v>425</v>
      </c>
      <c r="L6301" t="s">
        <v>2145</v>
      </c>
      <c r="M6301">
        <v>797</v>
      </c>
      <c r="N6301">
        <v>25.1</v>
      </c>
      <c r="O6301">
        <v>9611.5400000000009</v>
      </c>
      <c r="P6301">
        <v>0</v>
      </c>
      <c r="Q6301">
        <v>9611.5400000000009</v>
      </c>
      <c r="R6301">
        <v>1537.85</v>
      </c>
      <c r="S6301">
        <v>384.46</v>
      </c>
      <c r="T6301">
        <v>10764.93</v>
      </c>
      <c r="U6301" t="s">
        <v>8510</v>
      </c>
      <c r="V6301" t="s">
        <v>9408</v>
      </c>
      <c r="W6301" t="s">
        <v>423</v>
      </c>
    </row>
    <row r="6302" spans="1:23" hidden="1" x14ac:dyDescent="0.2">
      <c r="A6302">
        <v>2012</v>
      </c>
      <c r="B6302" t="s">
        <v>304</v>
      </c>
      <c r="C6302" s="733">
        <v>40962</v>
      </c>
      <c r="D63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02" t="s">
        <v>478</v>
      </c>
      <c r="F6302" t="s">
        <v>2622</v>
      </c>
      <c r="G6302" t="s">
        <v>8617</v>
      </c>
      <c r="H6302">
        <v>35841</v>
      </c>
      <c r="I6302" t="s">
        <v>423</v>
      </c>
      <c r="J6302" t="s">
        <v>2668</v>
      </c>
      <c r="K6302" t="s">
        <v>425</v>
      </c>
      <c r="L6302" t="s">
        <v>2626</v>
      </c>
      <c r="M6302">
        <v>76</v>
      </c>
      <c r="N6302">
        <v>24.04</v>
      </c>
      <c r="O6302">
        <v>3912.51</v>
      </c>
      <c r="P6302">
        <v>0</v>
      </c>
      <c r="Q6302">
        <v>3912.51</v>
      </c>
      <c r="R6302">
        <v>626</v>
      </c>
      <c r="S6302">
        <v>156.5</v>
      </c>
      <c r="T6302">
        <v>4382.01</v>
      </c>
      <c r="U6302" t="s">
        <v>9430</v>
      </c>
      <c r="V6302" t="s">
        <v>9408</v>
      </c>
      <c r="W6302" t="s">
        <v>423</v>
      </c>
    </row>
    <row r="6303" spans="1:23" hidden="1" x14ac:dyDescent="0.2">
      <c r="A6303">
        <v>2012</v>
      </c>
      <c r="B6303" t="s">
        <v>303</v>
      </c>
      <c r="C6303" s="733">
        <v>40926</v>
      </c>
      <c r="D63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03" t="s">
        <v>485</v>
      </c>
      <c r="F6303" t="s">
        <v>2065</v>
      </c>
      <c r="G6303" t="s">
        <v>4789</v>
      </c>
      <c r="H6303">
        <v>39745</v>
      </c>
      <c r="I6303" t="s">
        <v>423</v>
      </c>
      <c r="J6303" t="s">
        <v>2114</v>
      </c>
      <c r="K6303" t="s">
        <v>2102</v>
      </c>
      <c r="L6303" t="s">
        <v>2115</v>
      </c>
      <c r="M6303">
        <v>500</v>
      </c>
      <c r="N6303">
        <v>49.81</v>
      </c>
      <c r="O6303">
        <v>16748.61</v>
      </c>
      <c r="P6303">
        <v>0</v>
      </c>
      <c r="Q6303">
        <v>16748.61</v>
      </c>
      <c r="R6303">
        <v>2679.78</v>
      </c>
      <c r="S6303">
        <v>669.94</v>
      </c>
      <c r="T6303">
        <v>18758.45</v>
      </c>
      <c r="U6303" t="s">
        <v>2106</v>
      </c>
      <c r="V6303" t="s">
        <v>9409</v>
      </c>
      <c r="W6303" t="s">
        <v>423</v>
      </c>
    </row>
    <row r="6304" spans="1:23" hidden="1" x14ac:dyDescent="0.2">
      <c r="A6304">
        <v>2012</v>
      </c>
      <c r="B6304" t="s">
        <v>303</v>
      </c>
      <c r="C6304" s="733">
        <v>40926</v>
      </c>
      <c r="D63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04" t="s">
        <v>485</v>
      </c>
      <c r="F6304" t="s">
        <v>2065</v>
      </c>
      <c r="G6304" t="s">
        <v>4788</v>
      </c>
      <c r="H6304">
        <v>39782</v>
      </c>
      <c r="I6304" t="s">
        <v>423</v>
      </c>
      <c r="J6304" t="s">
        <v>2114</v>
      </c>
      <c r="K6304" t="s">
        <v>2102</v>
      </c>
      <c r="L6304" t="s">
        <v>2115</v>
      </c>
      <c r="M6304">
        <v>500</v>
      </c>
      <c r="N6304">
        <v>53.19</v>
      </c>
      <c r="O6304">
        <v>17885.14</v>
      </c>
      <c r="P6304">
        <v>0</v>
      </c>
      <c r="Q6304">
        <v>17885.14</v>
      </c>
      <c r="R6304">
        <v>2861.62</v>
      </c>
      <c r="S6304">
        <v>715.41</v>
      </c>
      <c r="T6304">
        <v>20031.349999999999</v>
      </c>
      <c r="U6304" t="s">
        <v>2106</v>
      </c>
      <c r="V6304" t="s">
        <v>9409</v>
      </c>
      <c r="W6304" t="s">
        <v>423</v>
      </c>
    </row>
    <row r="6305" spans="1:23" hidden="1" x14ac:dyDescent="0.2">
      <c r="A6305">
        <v>2012</v>
      </c>
      <c r="B6305" t="s">
        <v>303</v>
      </c>
      <c r="C6305" s="733">
        <v>40939</v>
      </c>
      <c r="D63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05" t="s">
        <v>505</v>
      </c>
      <c r="F6305" t="s">
        <v>1915</v>
      </c>
      <c r="G6305" t="s">
        <v>5364</v>
      </c>
      <c r="H6305">
        <v>21660</v>
      </c>
      <c r="I6305" t="s">
        <v>1979</v>
      </c>
      <c r="J6305" t="s">
        <v>5365</v>
      </c>
      <c r="K6305" t="s">
        <v>1918</v>
      </c>
      <c r="L6305" t="s">
        <v>1919</v>
      </c>
      <c r="M6305">
        <v>376</v>
      </c>
      <c r="N6305">
        <v>53.97</v>
      </c>
      <c r="O6305">
        <v>12134.61</v>
      </c>
      <c r="P6305">
        <v>0</v>
      </c>
      <c r="Q6305">
        <v>12134.61</v>
      </c>
      <c r="R6305">
        <v>1941.54</v>
      </c>
      <c r="S6305">
        <v>485.38</v>
      </c>
      <c r="T6305">
        <v>13590.77</v>
      </c>
      <c r="U6305" t="s">
        <v>1936</v>
      </c>
      <c r="V6305" t="s">
        <v>9409</v>
      </c>
      <c r="W6305" t="s">
        <v>1979</v>
      </c>
    </row>
    <row r="6306" spans="1:23" hidden="1" x14ac:dyDescent="0.2">
      <c r="A6306">
        <v>2012</v>
      </c>
      <c r="B6306" t="s">
        <v>303</v>
      </c>
      <c r="C6306" s="733">
        <v>40939</v>
      </c>
      <c r="D63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06" t="s">
        <v>485</v>
      </c>
      <c r="F6306" t="s">
        <v>3450</v>
      </c>
      <c r="G6306" t="s">
        <v>3694</v>
      </c>
      <c r="H6306">
        <v>40785</v>
      </c>
      <c r="I6306" t="s">
        <v>423</v>
      </c>
      <c r="J6306" t="s">
        <v>3452</v>
      </c>
      <c r="K6306" t="s">
        <v>3453</v>
      </c>
      <c r="L6306" t="s">
        <v>3454</v>
      </c>
      <c r="M6306">
        <v>19</v>
      </c>
      <c r="N6306">
        <v>25.52</v>
      </c>
      <c r="O6306">
        <v>2880.44</v>
      </c>
      <c r="P6306">
        <v>0</v>
      </c>
      <c r="Q6306">
        <v>2880.44</v>
      </c>
      <c r="R6306">
        <v>460.87</v>
      </c>
      <c r="S6306">
        <v>115.22</v>
      </c>
      <c r="T6306">
        <v>3226.09</v>
      </c>
      <c r="U6306" t="s">
        <v>3640</v>
      </c>
      <c r="V6306" t="s">
        <v>9408</v>
      </c>
      <c r="W6306" t="s">
        <v>423</v>
      </c>
    </row>
    <row r="6307" spans="1:23" hidden="1" x14ac:dyDescent="0.2">
      <c r="A6307">
        <v>2012</v>
      </c>
      <c r="B6307" t="s">
        <v>304</v>
      </c>
      <c r="C6307" s="733">
        <v>40949</v>
      </c>
      <c r="D63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07" t="s">
        <v>478</v>
      </c>
      <c r="F6307" t="s">
        <v>2136</v>
      </c>
      <c r="G6307" t="s">
        <v>4883</v>
      </c>
      <c r="H6307">
        <v>35480</v>
      </c>
      <c r="I6307" t="s">
        <v>423</v>
      </c>
      <c r="J6307" t="s">
        <v>4279</v>
      </c>
      <c r="K6307" t="s">
        <v>425</v>
      </c>
      <c r="L6307" t="s">
        <v>2145</v>
      </c>
      <c r="M6307">
        <v>381</v>
      </c>
      <c r="N6307">
        <v>36.28</v>
      </c>
      <c r="O6307">
        <v>9084.15</v>
      </c>
      <c r="P6307">
        <v>0</v>
      </c>
      <c r="Q6307">
        <v>9084.15</v>
      </c>
      <c r="R6307">
        <v>1453.46</v>
      </c>
      <c r="S6307">
        <v>363.37</v>
      </c>
      <c r="T6307">
        <v>10174.24</v>
      </c>
      <c r="U6307" t="s">
        <v>7523</v>
      </c>
      <c r="V6307" t="s">
        <v>9408</v>
      </c>
      <c r="W6307" t="s">
        <v>423</v>
      </c>
    </row>
    <row r="6308" spans="1:23" hidden="1" x14ac:dyDescent="0.2">
      <c r="A6308">
        <v>2012</v>
      </c>
      <c r="B6308" t="s">
        <v>304</v>
      </c>
      <c r="C6308" s="733">
        <v>40942</v>
      </c>
      <c r="D63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08" t="s">
        <v>478</v>
      </c>
      <c r="F6308" t="s">
        <v>2136</v>
      </c>
      <c r="G6308" t="s">
        <v>4884</v>
      </c>
      <c r="H6308">
        <v>35184</v>
      </c>
      <c r="I6308" t="s">
        <v>423</v>
      </c>
      <c r="J6308" t="s">
        <v>4279</v>
      </c>
      <c r="K6308" t="s">
        <v>425</v>
      </c>
      <c r="L6308" t="s">
        <v>2145</v>
      </c>
      <c r="M6308">
        <v>381</v>
      </c>
      <c r="N6308">
        <v>48.99</v>
      </c>
      <c r="O6308">
        <v>12266.61</v>
      </c>
      <c r="P6308">
        <v>0</v>
      </c>
      <c r="Q6308">
        <v>12266.61</v>
      </c>
      <c r="R6308">
        <v>1962.66</v>
      </c>
      <c r="S6308">
        <v>490.66</v>
      </c>
      <c r="T6308">
        <v>13738.61</v>
      </c>
      <c r="U6308" t="s">
        <v>3115</v>
      </c>
      <c r="V6308" t="s">
        <v>9409</v>
      </c>
      <c r="W6308" t="s">
        <v>423</v>
      </c>
    </row>
    <row r="6309" spans="1:23" hidden="1" x14ac:dyDescent="0.2">
      <c r="A6309">
        <v>2012</v>
      </c>
      <c r="B6309" t="s">
        <v>303</v>
      </c>
      <c r="C6309" s="733">
        <v>40911</v>
      </c>
      <c r="D63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09" t="s">
        <v>485</v>
      </c>
      <c r="F6309" t="s">
        <v>3450</v>
      </c>
      <c r="G6309" t="s">
        <v>3696</v>
      </c>
      <c r="H6309">
        <v>39600</v>
      </c>
      <c r="I6309" t="s">
        <v>423</v>
      </c>
      <c r="J6309" t="s">
        <v>3452</v>
      </c>
      <c r="K6309" t="s">
        <v>3453</v>
      </c>
      <c r="L6309" t="s">
        <v>3454</v>
      </c>
      <c r="M6309">
        <v>19</v>
      </c>
      <c r="N6309">
        <v>28.35</v>
      </c>
      <c r="O6309">
        <v>1347.19</v>
      </c>
      <c r="P6309">
        <v>1516.7877490000001</v>
      </c>
      <c r="Q6309">
        <v>2863.9777490000001</v>
      </c>
      <c r="R6309">
        <v>458.23644000000002</v>
      </c>
      <c r="S6309">
        <v>114.55911</v>
      </c>
      <c r="T6309">
        <v>3207.6550790000001</v>
      </c>
      <c r="U6309" t="s">
        <v>3697</v>
      </c>
      <c r="V6309" t="s">
        <v>9408</v>
      </c>
      <c r="W6309" t="s">
        <v>423</v>
      </c>
    </row>
    <row r="6310" spans="1:23" hidden="1" x14ac:dyDescent="0.2">
      <c r="A6310">
        <v>2012</v>
      </c>
      <c r="B6310" t="s">
        <v>304</v>
      </c>
      <c r="C6310" s="733">
        <v>40960</v>
      </c>
      <c r="D63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10" t="s">
        <v>485</v>
      </c>
      <c r="F6310" t="s">
        <v>3450</v>
      </c>
      <c r="G6310" t="s">
        <v>8416</v>
      </c>
      <c r="H6310">
        <v>42238</v>
      </c>
      <c r="I6310" t="s">
        <v>423</v>
      </c>
      <c r="J6310" t="s">
        <v>3452</v>
      </c>
      <c r="K6310" t="s">
        <v>3453</v>
      </c>
      <c r="L6310" t="s">
        <v>3454</v>
      </c>
      <c r="M6310">
        <v>19</v>
      </c>
      <c r="N6310">
        <v>24.19</v>
      </c>
      <c r="O6310">
        <v>2730.33</v>
      </c>
      <c r="P6310">
        <v>0</v>
      </c>
      <c r="Q6310">
        <v>2730.33</v>
      </c>
      <c r="R6310">
        <v>436.85</v>
      </c>
      <c r="S6310">
        <v>109.21</v>
      </c>
      <c r="T6310">
        <v>3057.97</v>
      </c>
      <c r="V6310" t="s">
        <v>9408</v>
      </c>
      <c r="W6310" t="s">
        <v>423</v>
      </c>
    </row>
    <row r="6311" spans="1:23" x14ac:dyDescent="0.2">
      <c r="A6311">
        <v>2012</v>
      </c>
      <c r="B6311" t="s">
        <v>304</v>
      </c>
      <c r="C6311" s="733">
        <v>40968</v>
      </c>
      <c r="D63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11" t="s">
        <v>485</v>
      </c>
      <c r="F6311" t="s">
        <v>3450</v>
      </c>
      <c r="G6311" t="s">
        <v>9546</v>
      </c>
      <c r="H6311">
        <v>42476</v>
      </c>
      <c r="I6311" t="s">
        <v>423</v>
      </c>
      <c r="J6311" t="s">
        <v>3452</v>
      </c>
      <c r="K6311" t="s">
        <v>3453</v>
      </c>
      <c r="L6311" t="s">
        <v>3454</v>
      </c>
      <c r="M6311">
        <v>19</v>
      </c>
      <c r="N6311">
        <v>29.54</v>
      </c>
      <c r="O6311">
        <v>3334.18</v>
      </c>
      <c r="P6311">
        <v>0</v>
      </c>
      <c r="Q6311">
        <v>3334.18</v>
      </c>
      <c r="R6311">
        <v>533.47</v>
      </c>
      <c r="S6311">
        <v>133.37</v>
      </c>
      <c r="T6311">
        <v>3734.28</v>
      </c>
      <c r="V6311" t="s">
        <v>9408</v>
      </c>
      <c r="W6311" t="s">
        <v>423</v>
      </c>
    </row>
    <row r="6312" spans="1:23" hidden="1" x14ac:dyDescent="0.2">
      <c r="A6312">
        <v>2012</v>
      </c>
      <c r="B6312" t="s">
        <v>303</v>
      </c>
      <c r="C6312" s="733">
        <v>40914</v>
      </c>
      <c r="D63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12" t="s">
        <v>478</v>
      </c>
      <c r="F6312" t="s">
        <v>2136</v>
      </c>
      <c r="G6312" t="s">
        <v>4882</v>
      </c>
      <c r="H6312">
        <v>34265</v>
      </c>
      <c r="I6312" t="s">
        <v>423</v>
      </c>
      <c r="J6312" t="s">
        <v>4279</v>
      </c>
      <c r="K6312" t="s">
        <v>425</v>
      </c>
      <c r="L6312" t="s">
        <v>2145</v>
      </c>
      <c r="M6312">
        <v>381</v>
      </c>
      <c r="N6312">
        <v>50.55</v>
      </c>
      <c r="O6312">
        <v>12657.21</v>
      </c>
      <c r="P6312">
        <v>0</v>
      </c>
      <c r="Q6312">
        <v>12657.21</v>
      </c>
      <c r="R6312">
        <v>2025.15</v>
      </c>
      <c r="S6312">
        <v>506.29</v>
      </c>
      <c r="T6312">
        <v>14176.07</v>
      </c>
      <c r="U6312" t="s">
        <v>2350</v>
      </c>
      <c r="V6312" t="s">
        <v>9409</v>
      </c>
      <c r="W6312" t="s">
        <v>423</v>
      </c>
    </row>
    <row r="6313" spans="1:23" hidden="1" x14ac:dyDescent="0.2">
      <c r="A6313">
        <v>2012</v>
      </c>
      <c r="B6313" t="s">
        <v>304</v>
      </c>
      <c r="C6313" s="733">
        <v>40941</v>
      </c>
      <c r="D63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13" t="s">
        <v>478</v>
      </c>
      <c r="F6313" t="s">
        <v>2142</v>
      </c>
      <c r="G6313" t="s">
        <v>4885</v>
      </c>
      <c r="H6313">
        <v>35188</v>
      </c>
      <c r="I6313" t="s">
        <v>423</v>
      </c>
      <c r="J6313" t="s">
        <v>4279</v>
      </c>
      <c r="K6313" t="s">
        <v>425</v>
      </c>
      <c r="L6313" t="s">
        <v>2145</v>
      </c>
      <c r="M6313">
        <v>381</v>
      </c>
      <c r="N6313">
        <v>51.35</v>
      </c>
      <c r="O6313">
        <v>12857.53</v>
      </c>
      <c r="P6313">
        <v>0</v>
      </c>
      <c r="Q6313">
        <v>12857.53</v>
      </c>
      <c r="R6313">
        <v>2057.1999999999998</v>
      </c>
      <c r="S6313">
        <v>514.29999999999995</v>
      </c>
      <c r="T6313">
        <v>14400.43</v>
      </c>
      <c r="U6313" t="s">
        <v>2914</v>
      </c>
      <c r="V6313" t="s">
        <v>9409</v>
      </c>
      <c r="W6313" t="s">
        <v>423</v>
      </c>
    </row>
    <row r="6314" spans="1:23" hidden="1" x14ac:dyDescent="0.2">
      <c r="A6314">
        <v>2012</v>
      </c>
      <c r="B6314" t="s">
        <v>304</v>
      </c>
      <c r="C6314" s="733">
        <v>40953</v>
      </c>
      <c r="D63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14" t="s">
        <v>485</v>
      </c>
      <c r="F6314" t="s">
        <v>3450</v>
      </c>
      <c r="G6314" t="s">
        <v>3695</v>
      </c>
      <c r="H6314">
        <v>41813</v>
      </c>
      <c r="I6314" t="s">
        <v>423</v>
      </c>
      <c r="J6314" t="s">
        <v>3457</v>
      </c>
      <c r="K6314" t="s">
        <v>3453</v>
      </c>
      <c r="L6314" t="s">
        <v>3454</v>
      </c>
      <c r="M6314">
        <v>29</v>
      </c>
      <c r="N6314">
        <v>26.55</v>
      </c>
      <c r="O6314">
        <v>2996.7</v>
      </c>
      <c r="P6314">
        <v>0</v>
      </c>
      <c r="Q6314">
        <v>2996.7</v>
      </c>
      <c r="R6314">
        <v>479.47</v>
      </c>
      <c r="S6314">
        <v>119.87</v>
      </c>
      <c r="T6314">
        <v>3356.3</v>
      </c>
      <c r="U6314" t="s">
        <v>7533</v>
      </c>
      <c r="V6314" t="s">
        <v>9408</v>
      </c>
      <c r="W6314" t="s">
        <v>423</v>
      </c>
    </row>
    <row r="6315" spans="1:23" hidden="1" x14ac:dyDescent="0.2">
      <c r="A6315">
        <v>2012</v>
      </c>
      <c r="B6315" t="s">
        <v>304</v>
      </c>
      <c r="C6315" s="733">
        <v>40955.41202546296</v>
      </c>
      <c r="D63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15" t="s">
        <v>478</v>
      </c>
      <c r="F6315" t="s">
        <v>3358</v>
      </c>
      <c r="G6315" t="s">
        <v>7702</v>
      </c>
      <c r="H6315">
        <v>35707</v>
      </c>
      <c r="I6315" t="s">
        <v>423</v>
      </c>
      <c r="J6315" t="s">
        <v>4509</v>
      </c>
      <c r="K6315" t="s">
        <v>4397</v>
      </c>
      <c r="L6315" t="s">
        <v>4398</v>
      </c>
      <c r="M6315">
        <v>183</v>
      </c>
      <c r="N6315">
        <v>25.594999999999999</v>
      </c>
      <c r="O6315">
        <v>4420.7700000000004</v>
      </c>
      <c r="P6315">
        <v>0</v>
      </c>
      <c r="Q6315">
        <v>4420.7700000000004</v>
      </c>
      <c r="R6315">
        <v>707.32</v>
      </c>
      <c r="S6315">
        <v>176.83</v>
      </c>
      <c r="T6315">
        <v>4951.26</v>
      </c>
      <c r="U6315" t="s">
        <v>7540</v>
      </c>
      <c r="V6315" t="s">
        <v>9408</v>
      </c>
      <c r="W6315" t="s">
        <v>423</v>
      </c>
    </row>
    <row r="6316" spans="1:23" hidden="1" x14ac:dyDescent="0.2">
      <c r="A6316">
        <v>2012</v>
      </c>
      <c r="B6316" t="s">
        <v>304</v>
      </c>
      <c r="C6316" s="733">
        <v>40955.413877314815</v>
      </c>
      <c r="D63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16" t="s">
        <v>478</v>
      </c>
      <c r="F6316" t="s">
        <v>3358</v>
      </c>
      <c r="G6316" t="s">
        <v>7704</v>
      </c>
      <c r="H6316">
        <v>35710</v>
      </c>
      <c r="I6316" t="s">
        <v>423</v>
      </c>
      <c r="J6316" t="s">
        <v>4509</v>
      </c>
      <c r="K6316" t="s">
        <v>4397</v>
      </c>
      <c r="L6316" t="s">
        <v>4398</v>
      </c>
      <c r="M6316">
        <v>183</v>
      </c>
      <c r="N6316">
        <v>26.565000000000001</v>
      </c>
      <c r="O6316">
        <v>4588.3100000000004</v>
      </c>
      <c r="P6316">
        <v>0</v>
      </c>
      <c r="Q6316">
        <v>4588.3100000000004</v>
      </c>
      <c r="R6316">
        <v>734.13</v>
      </c>
      <c r="S6316">
        <v>183.53</v>
      </c>
      <c r="T6316">
        <v>5138.91</v>
      </c>
      <c r="U6316" t="s">
        <v>7540</v>
      </c>
      <c r="V6316" t="s">
        <v>9408</v>
      </c>
      <c r="W6316" t="s">
        <v>423</v>
      </c>
    </row>
    <row r="6317" spans="1:23" hidden="1" x14ac:dyDescent="0.2">
      <c r="A6317">
        <v>2012</v>
      </c>
      <c r="B6317" t="s">
        <v>303</v>
      </c>
      <c r="C6317" s="733">
        <v>40925</v>
      </c>
      <c r="D63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17" t="s">
        <v>505</v>
      </c>
      <c r="F6317" t="s">
        <v>1915</v>
      </c>
      <c r="G6317" t="s">
        <v>5361</v>
      </c>
      <c r="H6317">
        <v>22025</v>
      </c>
      <c r="I6317" t="s">
        <v>423</v>
      </c>
      <c r="J6317" t="s">
        <v>5253</v>
      </c>
      <c r="K6317" t="s">
        <v>1918</v>
      </c>
      <c r="L6317" t="s">
        <v>1919</v>
      </c>
      <c r="M6317">
        <v>88</v>
      </c>
      <c r="N6317">
        <v>24.13</v>
      </c>
      <c r="O6317">
        <v>3361.79</v>
      </c>
      <c r="P6317">
        <v>0</v>
      </c>
      <c r="Q6317">
        <v>3361.79</v>
      </c>
      <c r="R6317">
        <v>537.89</v>
      </c>
      <c r="S6317">
        <v>134.47</v>
      </c>
      <c r="T6317">
        <v>3765.21</v>
      </c>
      <c r="U6317" t="s">
        <v>1936</v>
      </c>
      <c r="V6317" t="s">
        <v>9408</v>
      </c>
      <c r="W6317" t="s">
        <v>423</v>
      </c>
    </row>
    <row r="6318" spans="1:23" hidden="1" x14ac:dyDescent="0.2">
      <c r="A6318">
        <v>2012</v>
      </c>
      <c r="B6318" t="s">
        <v>303</v>
      </c>
      <c r="C6318" s="733">
        <v>40919</v>
      </c>
      <c r="D63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18" t="s">
        <v>505</v>
      </c>
      <c r="F6318" t="s">
        <v>1915</v>
      </c>
      <c r="G6318" t="s">
        <v>5359</v>
      </c>
      <c r="H6318">
        <v>21752</v>
      </c>
      <c r="I6318" t="s">
        <v>423</v>
      </c>
      <c r="J6318" t="s">
        <v>5360</v>
      </c>
      <c r="K6318" t="s">
        <v>1918</v>
      </c>
      <c r="L6318" t="s">
        <v>1919</v>
      </c>
      <c r="M6318">
        <v>964</v>
      </c>
      <c r="N6318">
        <v>27.16</v>
      </c>
      <c r="O6318">
        <v>16324.79</v>
      </c>
      <c r="P6318">
        <v>0</v>
      </c>
      <c r="Q6318">
        <v>16324.79</v>
      </c>
      <c r="R6318">
        <v>2611.9699999999998</v>
      </c>
      <c r="S6318">
        <v>652.99</v>
      </c>
      <c r="T6318">
        <v>18283.77</v>
      </c>
      <c r="U6318" t="s">
        <v>1984</v>
      </c>
      <c r="V6318" t="s">
        <v>9408</v>
      </c>
      <c r="W6318" t="s">
        <v>423</v>
      </c>
    </row>
    <row r="6319" spans="1:23" hidden="1" x14ac:dyDescent="0.2">
      <c r="A6319">
        <v>2012</v>
      </c>
      <c r="B6319" t="s">
        <v>303</v>
      </c>
      <c r="C6319" s="733">
        <v>40932</v>
      </c>
      <c r="D63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19" t="s">
        <v>485</v>
      </c>
      <c r="F6319" t="s">
        <v>2048</v>
      </c>
      <c r="G6319" t="s">
        <v>4554</v>
      </c>
      <c r="H6319">
        <v>40069</v>
      </c>
      <c r="I6319" t="s">
        <v>423</v>
      </c>
      <c r="J6319" t="s">
        <v>4086</v>
      </c>
      <c r="K6319" t="s">
        <v>2051</v>
      </c>
      <c r="L6319" t="s">
        <v>2052</v>
      </c>
      <c r="M6319">
        <v>341</v>
      </c>
      <c r="N6319">
        <v>24.85</v>
      </c>
      <c r="O6319">
        <v>6077.07</v>
      </c>
      <c r="P6319">
        <v>0</v>
      </c>
      <c r="Q6319">
        <v>6077.07</v>
      </c>
      <c r="R6319">
        <v>972.33</v>
      </c>
      <c r="S6319">
        <v>243.08</v>
      </c>
      <c r="T6319">
        <v>6806.32</v>
      </c>
      <c r="U6319" t="s">
        <v>2053</v>
      </c>
      <c r="V6319" t="s">
        <v>9408</v>
      </c>
      <c r="W6319" t="s">
        <v>423</v>
      </c>
    </row>
    <row r="6320" spans="1:23" hidden="1" x14ac:dyDescent="0.2">
      <c r="A6320">
        <v>2012</v>
      </c>
      <c r="B6320" t="s">
        <v>304</v>
      </c>
      <c r="C6320" s="733">
        <v>40941</v>
      </c>
      <c r="D63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20" t="s">
        <v>485</v>
      </c>
      <c r="F6320" t="s">
        <v>2048</v>
      </c>
      <c r="G6320" t="s">
        <v>4555</v>
      </c>
      <c r="H6320">
        <v>41306</v>
      </c>
      <c r="I6320" t="s">
        <v>423</v>
      </c>
      <c r="J6320" t="s">
        <v>4086</v>
      </c>
      <c r="K6320" t="s">
        <v>2051</v>
      </c>
      <c r="L6320" t="s">
        <v>2052</v>
      </c>
      <c r="M6320">
        <v>341</v>
      </c>
      <c r="N6320">
        <v>24.6</v>
      </c>
      <c r="O6320">
        <v>6015.93</v>
      </c>
      <c r="P6320">
        <v>0</v>
      </c>
      <c r="Q6320">
        <v>6015.93</v>
      </c>
      <c r="R6320">
        <v>962.55</v>
      </c>
      <c r="S6320">
        <v>240.64</v>
      </c>
      <c r="T6320">
        <v>6737.84</v>
      </c>
      <c r="U6320" t="s">
        <v>2067</v>
      </c>
      <c r="V6320" t="s">
        <v>9408</v>
      </c>
      <c r="W6320" t="s">
        <v>423</v>
      </c>
    </row>
    <row r="6321" spans="1:23" hidden="1" x14ac:dyDescent="0.2">
      <c r="A6321">
        <v>2012</v>
      </c>
      <c r="B6321" t="s">
        <v>304</v>
      </c>
      <c r="C6321" s="733">
        <v>40968</v>
      </c>
      <c r="D63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21" t="s">
        <v>478</v>
      </c>
      <c r="F6321" t="s">
        <v>2136</v>
      </c>
      <c r="G6321" t="s">
        <v>9488</v>
      </c>
      <c r="H6321">
        <v>36157</v>
      </c>
      <c r="I6321" t="s">
        <v>423</v>
      </c>
      <c r="J6321" t="s">
        <v>4279</v>
      </c>
      <c r="K6321" t="s">
        <v>425</v>
      </c>
      <c r="L6321" t="s">
        <v>2145</v>
      </c>
      <c r="M6321">
        <v>381</v>
      </c>
      <c r="N6321">
        <v>37.78</v>
      </c>
      <c r="O6321">
        <v>9459.73</v>
      </c>
      <c r="P6321">
        <v>0</v>
      </c>
      <c r="Q6321">
        <v>9459.73</v>
      </c>
      <c r="R6321">
        <v>1513.56</v>
      </c>
      <c r="S6321">
        <v>378.39</v>
      </c>
      <c r="T6321">
        <v>10594.9</v>
      </c>
      <c r="U6321" t="s">
        <v>9430</v>
      </c>
      <c r="V6321" t="s">
        <v>9409</v>
      </c>
      <c r="W6321" t="s">
        <v>423</v>
      </c>
    </row>
    <row r="6322" spans="1:23" hidden="1" x14ac:dyDescent="0.2">
      <c r="A6322">
        <v>2012</v>
      </c>
      <c r="B6322" t="s">
        <v>304</v>
      </c>
      <c r="C6322" s="733">
        <v>40947</v>
      </c>
      <c r="D63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22" t="s">
        <v>478</v>
      </c>
      <c r="F6322" t="s">
        <v>2136</v>
      </c>
      <c r="G6322" t="s">
        <v>7058</v>
      </c>
      <c r="H6322">
        <v>35402</v>
      </c>
      <c r="I6322" t="s">
        <v>423</v>
      </c>
      <c r="J6322" t="s">
        <v>4279</v>
      </c>
      <c r="K6322" t="s">
        <v>425</v>
      </c>
      <c r="L6322" t="s">
        <v>2145</v>
      </c>
      <c r="M6322">
        <v>381</v>
      </c>
      <c r="N6322">
        <v>24.41</v>
      </c>
      <c r="O6322">
        <v>6112.02</v>
      </c>
      <c r="P6322">
        <v>0</v>
      </c>
      <c r="Q6322">
        <v>6112.02</v>
      </c>
      <c r="R6322">
        <v>977.92</v>
      </c>
      <c r="S6322">
        <v>244.48</v>
      </c>
      <c r="T6322">
        <v>6845.46</v>
      </c>
      <c r="U6322" t="s">
        <v>3115</v>
      </c>
      <c r="V6322" t="s">
        <v>9408</v>
      </c>
      <c r="W6322" t="s">
        <v>423</v>
      </c>
    </row>
    <row r="6323" spans="1:23" hidden="1" x14ac:dyDescent="0.2">
      <c r="A6323">
        <v>2012</v>
      </c>
      <c r="B6323" t="s">
        <v>304</v>
      </c>
      <c r="C6323" s="733">
        <v>40953</v>
      </c>
      <c r="D63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23" t="s">
        <v>485</v>
      </c>
      <c r="F6323" t="s">
        <v>3450</v>
      </c>
      <c r="G6323" t="s">
        <v>6013</v>
      </c>
      <c r="H6323">
        <v>41810</v>
      </c>
      <c r="I6323" t="s">
        <v>423</v>
      </c>
      <c r="J6323" t="s">
        <v>3457</v>
      </c>
      <c r="K6323" t="s">
        <v>3453</v>
      </c>
      <c r="L6323" t="s">
        <v>3454</v>
      </c>
      <c r="M6323">
        <v>29</v>
      </c>
      <c r="N6323">
        <v>26.49</v>
      </c>
      <c r="O6323">
        <v>2989.93</v>
      </c>
      <c r="P6323">
        <v>0</v>
      </c>
      <c r="Q6323">
        <v>2989.93</v>
      </c>
      <c r="R6323">
        <v>478.39</v>
      </c>
      <c r="S6323">
        <v>119.6</v>
      </c>
      <c r="T6323">
        <v>3348.72</v>
      </c>
      <c r="U6323" t="s">
        <v>7533</v>
      </c>
      <c r="V6323" t="s">
        <v>9408</v>
      </c>
      <c r="W6323" t="s">
        <v>423</v>
      </c>
    </row>
    <row r="6324" spans="1:23" hidden="1" x14ac:dyDescent="0.2">
      <c r="A6324">
        <v>2012</v>
      </c>
      <c r="B6324" t="s">
        <v>303</v>
      </c>
      <c r="C6324" s="733">
        <v>40934</v>
      </c>
      <c r="D63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24" t="s">
        <v>505</v>
      </c>
      <c r="F6324" t="s">
        <v>1915</v>
      </c>
      <c r="G6324" t="s">
        <v>6807</v>
      </c>
      <c r="H6324">
        <v>22252</v>
      </c>
      <c r="I6324" t="s">
        <v>423</v>
      </c>
      <c r="J6324" t="s">
        <v>5253</v>
      </c>
      <c r="K6324" t="s">
        <v>1918</v>
      </c>
      <c r="L6324" t="s">
        <v>1919</v>
      </c>
      <c r="M6324">
        <v>88</v>
      </c>
      <c r="N6324">
        <v>27.21</v>
      </c>
      <c r="O6324">
        <v>3790.9</v>
      </c>
      <c r="P6324">
        <v>0</v>
      </c>
      <c r="Q6324">
        <v>3790.9</v>
      </c>
      <c r="R6324">
        <v>606.54</v>
      </c>
      <c r="S6324">
        <v>151.63999999999999</v>
      </c>
      <c r="T6324">
        <v>4245.8</v>
      </c>
      <c r="U6324" t="s">
        <v>1926</v>
      </c>
      <c r="V6324" t="s">
        <v>9408</v>
      </c>
      <c r="W6324" t="s">
        <v>423</v>
      </c>
    </row>
    <row r="6325" spans="1:23" hidden="1" x14ac:dyDescent="0.2">
      <c r="A6325">
        <v>2012</v>
      </c>
      <c r="B6325" t="s">
        <v>303</v>
      </c>
      <c r="C6325" s="733">
        <v>40919</v>
      </c>
      <c r="D63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25" t="s">
        <v>505</v>
      </c>
      <c r="F6325" t="s">
        <v>1915</v>
      </c>
      <c r="G6325" t="s">
        <v>6808</v>
      </c>
      <c r="H6325">
        <v>21912</v>
      </c>
      <c r="I6325" t="s">
        <v>423</v>
      </c>
      <c r="J6325" t="s">
        <v>5253</v>
      </c>
      <c r="K6325" t="s">
        <v>1918</v>
      </c>
      <c r="L6325" t="s">
        <v>1919</v>
      </c>
      <c r="M6325">
        <v>88</v>
      </c>
      <c r="N6325">
        <v>52.82</v>
      </c>
      <c r="O6325">
        <v>7358.88</v>
      </c>
      <c r="P6325">
        <v>0</v>
      </c>
      <c r="Q6325">
        <v>7358.88</v>
      </c>
      <c r="R6325">
        <v>1177.42</v>
      </c>
      <c r="S6325">
        <v>294.36</v>
      </c>
      <c r="T6325">
        <v>8241.94</v>
      </c>
      <c r="U6325" t="s">
        <v>1931</v>
      </c>
      <c r="V6325" t="s">
        <v>9409</v>
      </c>
      <c r="W6325" t="s">
        <v>423</v>
      </c>
    </row>
    <row r="6326" spans="1:23" hidden="1" x14ac:dyDescent="0.2">
      <c r="A6326">
        <v>2012</v>
      </c>
      <c r="B6326" t="s">
        <v>303</v>
      </c>
      <c r="C6326" s="733">
        <v>40935</v>
      </c>
      <c r="D63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26" t="s">
        <v>505</v>
      </c>
      <c r="F6326" t="s">
        <v>1915</v>
      </c>
      <c r="G6326" t="s">
        <v>6809</v>
      </c>
      <c r="H6326">
        <v>22318</v>
      </c>
      <c r="I6326" t="s">
        <v>423</v>
      </c>
      <c r="J6326" t="s">
        <v>5253</v>
      </c>
      <c r="K6326" t="s">
        <v>1918</v>
      </c>
      <c r="L6326" t="s">
        <v>1919</v>
      </c>
      <c r="M6326">
        <v>88</v>
      </c>
      <c r="N6326">
        <v>24.93</v>
      </c>
      <c r="O6326">
        <v>3473.25</v>
      </c>
      <c r="P6326">
        <v>0</v>
      </c>
      <c r="Q6326">
        <v>3473.25</v>
      </c>
      <c r="R6326">
        <v>555.72</v>
      </c>
      <c r="S6326">
        <v>138.93</v>
      </c>
      <c r="T6326">
        <v>3890.04</v>
      </c>
      <c r="U6326" t="s">
        <v>1926</v>
      </c>
      <c r="V6326" t="s">
        <v>9408</v>
      </c>
      <c r="W6326" t="s">
        <v>423</v>
      </c>
    </row>
    <row r="6327" spans="1:23" hidden="1" x14ac:dyDescent="0.2">
      <c r="A6327">
        <v>2012</v>
      </c>
      <c r="B6327" t="s">
        <v>304</v>
      </c>
      <c r="C6327" s="733">
        <v>40953</v>
      </c>
      <c r="D63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27" t="s">
        <v>485</v>
      </c>
      <c r="F6327" t="s">
        <v>2048</v>
      </c>
      <c r="G6327" t="s">
        <v>6682</v>
      </c>
      <c r="H6327">
        <v>41872</v>
      </c>
      <c r="I6327" t="s">
        <v>423</v>
      </c>
      <c r="J6327" t="s">
        <v>4086</v>
      </c>
      <c r="K6327" t="s">
        <v>2051</v>
      </c>
      <c r="L6327" t="s">
        <v>2052</v>
      </c>
      <c r="M6327">
        <v>341</v>
      </c>
      <c r="N6327">
        <v>28.75</v>
      </c>
      <c r="O6327">
        <v>7030.81</v>
      </c>
      <c r="P6327">
        <v>0</v>
      </c>
      <c r="Q6327">
        <v>7030.81</v>
      </c>
      <c r="R6327">
        <v>1124.93</v>
      </c>
      <c r="S6327">
        <v>281.23</v>
      </c>
      <c r="T6327">
        <v>7874.51</v>
      </c>
      <c r="U6327" t="s">
        <v>7568</v>
      </c>
      <c r="V6327" t="s">
        <v>9408</v>
      </c>
      <c r="W6327" t="s">
        <v>423</v>
      </c>
    </row>
    <row r="6328" spans="1:23" hidden="1" x14ac:dyDescent="0.2">
      <c r="A6328">
        <v>2012</v>
      </c>
      <c r="B6328" t="s">
        <v>305</v>
      </c>
      <c r="C6328" s="733">
        <v>40970</v>
      </c>
      <c r="D6328" s="733" t="str">
        <f>CHOOSE(MONTH(Tabla_sqldatos_bonampakdb_Bon_v_ingresos2012[[#This Row],[fecha_guia]]),"Enero","Febrero","Marzo","Abril","Mayo","Junio","Julio","Agosto","Septiembre","Octubre","Noviembre","Diciembre")</f>
        <v>Marzo</v>
      </c>
      <c r="E6328" t="s">
        <v>485</v>
      </c>
      <c r="F6328" t="s">
        <v>2048</v>
      </c>
      <c r="G6328" t="s">
        <v>9764</v>
      </c>
      <c r="H6328">
        <v>42931</v>
      </c>
      <c r="I6328" t="s">
        <v>423</v>
      </c>
      <c r="J6328" t="s">
        <v>4086</v>
      </c>
      <c r="K6328" t="s">
        <v>2051</v>
      </c>
      <c r="L6328" t="s">
        <v>2052</v>
      </c>
      <c r="M6328">
        <v>341</v>
      </c>
      <c r="N6328">
        <v>61.7</v>
      </c>
      <c r="O6328">
        <v>15088.74</v>
      </c>
      <c r="P6328">
        <v>0</v>
      </c>
      <c r="Q6328">
        <v>15088.74</v>
      </c>
      <c r="R6328">
        <v>2414.1999999999998</v>
      </c>
      <c r="S6328">
        <v>603.54999999999995</v>
      </c>
      <c r="T6328">
        <v>16899.39</v>
      </c>
      <c r="V6328" t="s">
        <v>9409</v>
      </c>
      <c r="W6328" t="s">
        <v>423</v>
      </c>
    </row>
    <row r="6329" spans="1:23" hidden="1" x14ac:dyDescent="0.2">
      <c r="A6329">
        <v>2012</v>
      </c>
      <c r="B6329" t="s">
        <v>304</v>
      </c>
      <c r="C6329" s="733">
        <v>40946</v>
      </c>
      <c r="D63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29" t="s">
        <v>485</v>
      </c>
      <c r="F6329" t="s">
        <v>2048</v>
      </c>
      <c r="G6329" t="s">
        <v>6683</v>
      </c>
      <c r="H6329">
        <v>41517</v>
      </c>
      <c r="I6329" t="s">
        <v>423</v>
      </c>
      <c r="J6329" t="s">
        <v>4086</v>
      </c>
      <c r="K6329" t="s">
        <v>2051</v>
      </c>
      <c r="L6329" t="s">
        <v>2052</v>
      </c>
      <c r="M6329">
        <v>341</v>
      </c>
      <c r="N6329">
        <v>30.85</v>
      </c>
      <c r="O6329">
        <v>7544.37</v>
      </c>
      <c r="P6329">
        <v>0</v>
      </c>
      <c r="Q6329">
        <v>7544.37</v>
      </c>
      <c r="R6329">
        <v>1207.0999999999999</v>
      </c>
      <c r="S6329">
        <v>301.77</v>
      </c>
      <c r="T6329">
        <v>8449.7000000000007</v>
      </c>
      <c r="U6329" t="s">
        <v>7568</v>
      </c>
      <c r="V6329" t="s">
        <v>9408</v>
      </c>
      <c r="W6329" t="s">
        <v>423</v>
      </c>
    </row>
    <row r="6330" spans="1:23" hidden="1" x14ac:dyDescent="0.2">
      <c r="A6330">
        <v>2012</v>
      </c>
      <c r="B6330" t="s">
        <v>305</v>
      </c>
      <c r="C6330" s="733">
        <v>40970</v>
      </c>
      <c r="D6330" s="733" t="str">
        <f>CHOOSE(MONTH(Tabla_sqldatos_bonampakdb_Bon_v_ingresos2012[[#This Row],[fecha_guia]]),"Enero","Febrero","Marzo","Abril","Mayo","Junio","Julio","Agosto","Septiembre","Octubre","Noviembre","Diciembre")</f>
        <v>Marzo</v>
      </c>
      <c r="E6330" t="s">
        <v>505</v>
      </c>
      <c r="F6330" t="s">
        <v>1915</v>
      </c>
      <c r="G6330" t="s">
        <v>9765</v>
      </c>
      <c r="H6330">
        <v>23146</v>
      </c>
      <c r="I6330" t="s">
        <v>423</v>
      </c>
      <c r="J6330" t="s">
        <v>4158</v>
      </c>
      <c r="K6330" t="s">
        <v>1918</v>
      </c>
      <c r="L6330" t="s">
        <v>1919</v>
      </c>
      <c r="M6330">
        <v>274</v>
      </c>
      <c r="N6330">
        <v>27.39</v>
      </c>
      <c r="O6330">
        <v>7562.38</v>
      </c>
      <c r="P6330">
        <v>0</v>
      </c>
      <c r="Q6330">
        <v>7562.38</v>
      </c>
      <c r="R6330">
        <v>1209.98</v>
      </c>
      <c r="S6330">
        <v>302.5</v>
      </c>
      <c r="T6330">
        <v>8469.86</v>
      </c>
      <c r="V6330" t="s">
        <v>9408</v>
      </c>
      <c r="W6330" t="s">
        <v>423</v>
      </c>
    </row>
    <row r="6331" spans="1:23" hidden="1" x14ac:dyDescent="0.2">
      <c r="A6331">
        <v>2012</v>
      </c>
      <c r="B6331" t="s">
        <v>304</v>
      </c>
      <c r="C6331" s="733">
        <v>40941</v>
      </c>
      <c r="D63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31" t="s">
        <v>505</v>
      </c>
      <c r="F6331" t="s">
        <v>1915</v>
      </c>
      <c r="G6331" t="s">
        <v>6799</v>
      </c>
      <c r="H6331">
        <v>22438</v>
      </c>
      <c r="I6331" t="s">
        <v>423</v>
      </c>
      <c r="J6331" t="s">
        <v>4158</v>
      </c>
      <c r="K6331" t="s">
        <v>1918</v>
      </c>
      <c r="L6331" t="s">
        <v>1919</v>
      </c>
      <c r="M6331">
        <v>274</v>
      </c>
      <c r="N6331">
        <v>27.02</v>
      </c>
      <c r="O6331">
        <v>7460.22</v>
      </c>
      <c r="P6331">
        <v>0</v>
      </c>
      <c r="Q6331">
        <v>7460.22</v>
      </c>
      <c r="R6331">
        <v>1193.6400000000001</v>
      </c>
      <c r="S6331">
        <v>298.41000000000003</v>
      </c>
      <c r="T6331">
        <v>8355.4500000000007</v>
      </c>
      <c r="U6331" t="s">
        <v>1926</v>
      </c>
      <c r="V6331" t="s">
        <v>9408</v>
      </c>
      <c r="W6331" t="s">
        <v>423</v>
      </c>
    </row>
    <row r="6332" spans="1:23" hidden="1" x14ac:dyDescent="0.2">
      <c r="A6332">
        <v>2012</v>
      </c>
      <c r="B6332" t="s">
        <v>303</v>
      </c>
      <c r="C6332" s="733">
        <v>40939</v>
      </c>
      <c r="D63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32" t="s">
        <v>505</v>
      </c>
      <c r="F6332" t="s">
        <v>1915</v>
      </c>
      <c r="G6332" t="s">
        <v>6798</v>
      </c>
      <c r="H6332">
        <v>21730</v>
      </c>
      <c r="I6332" t="s">
        <v>423</v>
      </c>
      <c r="J6332" t="s">
        <v>4158</v>
      </c>
      <c r="K6332" t="s">
        <v>1918</v>
      </c>
      <c r="L6332" t="s">
        <v>1919</v>
      </c>
      <c r="M6332">
        <v>274</v>
      </c>
      <c r="N6332">
        <v>26.78</v>
      </c>
      <c r="O6332">
        <v>3128.53</v>
      </c>
      <c r="P6332">
        <v>3522.3806420000001</v>
      </c>
      <c r="Q6332">
        <v>6650.9106419999998</v>
      </c>
      <c r="R6332">
        <v>1064.1457029999999</v>
      </c>
      <c r="S6332">
        <v>266.03642600000001</v>
      </c>
      <c r="T6332">
        <v>7449.0199190000003</v>
      </c>
      <c r="U6332" t="s">
        <v>1936</v>
      </c>
      <c r="V6332" t="s">
        <v>9408</v>
      </c>
      <c r="W6332" t="s">
        <v>423</v>
      </c>
    </row>
    <row r="6333" spans="1:23" hidden="1" x14ac:dyDescent="0.2">
      <c r="A6333">
        <v>2012</v>
      </c>
      <c r="B6333" t="s">
        <v>303</v>
      </c>
      <c r="C6333" s="733">
        <v>40928.449537037035</v>
      </c>
      <c r="D63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33" t="s">
        <v>478</v>
      </c>
      <c r="F6333" t="s">
        <v>2136</v>
      </c>
      <c r="G6333" t="s">
        <v>6616</v>
      </c>
      <c r="H6333">
        <v>34764</v>
      </c>
      <c r="I6333" t="s">
        <v>423</v>
      </c>
      <c r="J6333" t="s">
        <v>4276</v>
      </c>
      <c r="K6333" t="s">
        <v>425</v>
      </c>
      <c r="L6333" t="s">
        <v>2145</v>
      </c>
      <c r="M6333">
        <v>60</v>
      </c>
      <c r="N6333">
        <v>26.03</v>
      </c>
      <c r="O6333">
        <v>3494.53</v>
      </c>
      <c r="P6333">
        <v>0</v>
      </c>
      <c r="Q6333">
        <v>3494.53</v>
      </c>
      <c r="R6333">
        <v>559.12</v>
      </c>
      <c r="S6333">
        <v>139.78</v>
      </c>
      <c r="T6333">
        <v>3913.87</v>
      </c>
      <c r="U6333" t="s">
        <v>2355</v>
      </c>
      <c r="V6333" t="s">
        <v>9408</v>
      </c>
      <c r="W6333" t="s">
        <v>423</v>
      </c>
    </row>
    <row r="6334" spans="1:23" hidden="1" x14ac:dyDescent="0.2">
      <c r="A6334">
        <v>2012</v>
      </c>
      <c r="B6334" t="s">
        <v>304</v>
      </c>
      <c r="C6334" s="733">
        <v>40953</v>
      </c>
      <c r="D63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34" t="s">
        <v>485</v>
      </c>
      <c r="F6334" t="s">
        <v>2084</v>
      </c>
      <c r="G6334" t="s">
        <v>6664</v>
      </c>
      <c r="H6334">
        <v>41878</v>
      </c>
      <c r="I6334" t="s">
        <v>423</v>
      </c>
      <c r="J6334" t="s">
        <v>2972</v>
      </c>
      <c r="K6334" t="s">
        <v>2051</v>
      </c>
      <c r="L6334" t="s">
        <v>2052</v>
      </c>
      <c r="M6334">
        <v>398</v>
      </c>
      <c r="N6334">
        <v>26.05</v>
      </c>
      <c r="O6334">
        <v>7204.65</v>
      </c>
      <c r="P6334">
        <v>0</v>
      </c>
      <c r="Q6334">
        <v>7204.65</v>
      </c>
      <c r="R6334">
        <v>1152.74</v>
      </c>
      <c r="S6334">
        <v>288.19</v>
      </c>
      <c r="T6334">
        <v>8069.2</v>
      </c>
      <c r="U6334" t="s">
        <v>8257</v>
      </c>
      <c r="V6334" t="s">
        <v>9409</v>
      </c>
      <c r="W6334" t="s">
        <v>423</v>
      </c>
    </row>
    <row r="6335" spans="1:23" hidden="1" x14ac:dyDescent="0.2">
      <c r="A6335">
        <v>2012</v>
      </c>
      <c r="B6335" t="s">
        <v>304</v>
      </c>
      <c r="C6335" s="733">
        <v>40946</v>
      </c>
      <c r="D63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35" t="s">
        <v>485</v>
      </c>
      <c r="F6335" t="s">
        <v>2065</v>
      </c>
      <c r="G6335" t="s">
        <v>6618</v>
      </c>
      <c r="H6335">
        <v>41407</v>
      </c>
      <c r="I6335" t="s">
        <v>423</v>
      </c>
      <c r="J6335" t="s">
        <v>3965</v>
      </c>
      <c r="K6335" t="s">
        <v>2183</v>
      </c>
      <c r="L6335" t="s">
        <v>2184</v>
      </c>
      <c r="M6335">
        <v>696</v>
      </c>
      <c r="N6335">
        <v>26.93</v>
      </c>
      <c r="O6335">
        <v>10914.46</v>
      </c>
      <c r="P6335">
        <v>0</v>
      </c>
      <c r="Q6335">
        <v>10914.46</v>
      </c>
      <c r="R6335">
        <v>1746.31</v>
      </c>
      <c r="S6335">
        <v>436.58</v>
      </c>
      <c r="T6335">
        <v>12224.19</v>
      </c>
      <c r="U6335" t="s">
        <v>2192</v>
      </c>
      <c r="V6335" t="s">
        <v>9408</v>
      </c>
      <c r="W6335" t="s">
        <v>423</v>
      </c>
    </row>
    <row r="6336" spans="1:23" hidden="1" x14ac:dyDescent="0.2">
      <c r="A6336">
        <v>2012</v>
      </c>
      <c r="B6336" t="s">
        <v>304</v>
      </c>
      <c r="C6336" s="733">
        <v>40962</v>
      </c>
      <c r="D63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36" t="s">
        <v>485</v>
      </c>
      <c r="F6336" t="s">
        <v>2065</v>
      </c>
      <c r="G6336" t="s">
        <v>8596</v>
      </c>
      <c r="H6336">
        <v>42506</v>
      </c>
      <c r="I6336" t="s">
        <v>423</v>
      </c>
      <c r="J6336" t="s">
        <v>2972</v>
      </c>
      <c r="K6336" t="s">
        <v>2051</v>
      </c>
      <c r="L6336" t="s">
        <v>2052</v>
      </c>
      <c r="M6336">
        <v>398</v>
      </c>
      <c r="N6336">
        <v>50</v>
      </c>
      <c r="O6336">
        <v>13828.5</v>
      </c>
      <c r="P6336">
        <v>0</v>
      </c>
      <c r="Q6336">
        <v>13828.5</v>
      </c>
      <c r="R6336">
        <v>2212.56</v>
      </c>
      <c r="S6336">
        <v>553.14</v>
      </c>
      <c r="T6336">
        <v>15487.92</v>
      </c>
      <c r="V6336" t="s">
        <v>9409</v>
      </c>
      <c r="W6336" t="s">
        <v>423</v>
      </c>
    </row>
    <row r="6337" spans="1:23" hidden="1" x14ac:dyDescent="0.2">
      <c r="A6337">
        <v>2012</v>
      </c>
      <c r="B6337" t="s">
        <v>304</v>
      </c>
      <c r="C6337" s="733">
        <v>40948</v>
      </c>
      <c r="D63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37" t="s">
        <v>485</v>
      </c>
      <c r="F6337" t="s">
        <v>2048</v>
      </c>
      <c r="G6337" t="s">
        <v>6684</v>
      </c>
      <c r="H6337">
        <v>41642</v>
      </c>
      <c r="I6337" t="s">
        <v>423</v>
      </c>
      <c r="J6337" t="s">
        <v>3570</v>
      </c>
      <c r="K6337" t="s">
        <v>2051</v>
      </c>
      <c r="L6337" t="s">
        <v>2052</v>
      </c>
      <c r="M6337">
        <v>678</v>
      </c>
      <c r="N6337">
        <v>27</v>
      </c>
      <c r="O6337">
        <v>9883.08</v>
      </c>
      <c r="P6337">
        <v>0</v>
      </c>
      <c r="Q6337">
        <v>9883.08</v>
      </c>
      <c r="R6337">
        <v>1581.29</v>
      </c>
      <c r="S6337">
        <v>395.32</v>
      </c>
      <c r="T6337">
        <v>11069.05</v>
      </c>
      <c r="U6337" t="s">
        <v>7568</v>
      </c>
      <c r="V6337" t="s">
        <v>9408</v>
      </c>
      <c r="W6337" t="s">
        <v>423</v>
      </c>
    </row>
    <row r="6338" spans="1:23" hidden="1" x14ac:dyDescent="0.2">
      <c r="A6338">
        <v>2012</v>
      </c>
      <c r="B6338" t="s">
        <v>304</v>
      </c>
      <c r="C6338" s="733">
        <v>40946</v>
      </c>
      <c r="D63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38" t="s">
        <v>485</v>
      </c>
      <c r="F6338" t="s">
        <v>2065</v>
      </c>
      <c r="G6338" t="s">
        <v>6619</v>
      </c>
      <c r="H6338">
        <v>41412</v>
      </c>
      <c r="I6338" t="s">
        <v>423</v>
      </c>
      <c r="J6338" t="s">
        <v>3965</v>
      </c>
      <c r="K6338" t="s">
        <v>2183</v>
      </c>
      <c r="L6338" t="s">
        <v>2184</v>
      </c>
      <c r="M6338">
        <v>696</v>
      </c>
      <c r="N6338">
        <v>24.46</v>
      </c>
      <c r="O6338">
        <v>9913.39</v>
      </c>
      <c r="P6338">
        <v>0</v>
      </c>
      <c r="Q6338">
        <v>9913.39</v>
      </c>
      <c r="R6338">
        <v>1586.14</v>
      </c>
      <c r="S6338">
        <v>396.54</v>
      </c>
      <c r="T6338">
        <v>11102.99</v>
      </c>
      <c r="U6338" t="s">
        <v>2192</v>
      </c>
      <c r="V6338" t="s">
        <v>9408</v>
      </c>
      <c r="W6338" t="s">
        <v>423</v>
      </c>
    </row>
    <row r="6339" spans="1:23" hidden="1" x14ac:dyDescent="0.2">
      <c r="A6339">
        <v>2012</v>
      </c>
      <c r="B6339" t="s">
        <v>303</v>
      </c>
      <c r="C6339" s="733">
        <v>40924</v>
      </c>
      <c r="D63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39" t="s">
        <v>485</v>
      </c>
      <c r="F6339" t="s">
        <v>2065</v>
      </c>
      <c r="G6339" t="s">
        <v>6620</v>
      </c>
      <c r="H6339">
        <v>40243</v>
      </c>
      <c r="I6339" t="s">
        <v>423</v>
      </c>
      <c r="J6339" t="s">
        <v>3965</v>
      </c>
      <c r="K6339" t="s">
        <v>2183</v>
      </c>
      <c r="L6339" t="s">
        <v>2184</v>
      </c>
      <c r="M6339">
        <v>696</v>
      </c>
      <c r="N6339">
        <v>24.45</v>
      </c>
      <c r="O6339">
        <v>9909.34</v>
      </c>
      <c r="P6339">
        <v>0</v>
      </c>
      <c r="Q6339">
        <v>9909.34</v>
      </c>
      <c r="R6339">
        <v>1585.49</v>
      </c>
      <c r="S6339">
        <v>396.37</v>
      </c>
      <c r="T6339">
        <v>11098.46</v>
      </c>
      <c r="U6339" t="s">
        <v>7520</v>
      </c>
      <c r="V6339" t="s">
        <v>9408</v>
      </c>
      <c r="W6339" t="s">
        <v>423</v>
      </c>
    </row>
    <row r="6340" spans="1:23" hidden="1" x14ac:dyDescent="0.2">
      <c r="A6340">
        <v>2012</v>
      </c>
      <c r="B6340" t="s">
        <v>304</v>
      </c>
      <c r="C6340" s="733">
        <v>40966</v>
      </c>
      <c r="D63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40" t="s">
        <v>485</v>
      </c>
      <c r="F6340" t="s">
        <v>2065</v>
      </c>
      <c r="G6340" t="s">
        <v>8826</v>
      </c>
      <c r="H6340">
        <v>42626</v>
      </c>
      <c r="I6340" t="s">
        <v>423</v>
      </c>
      <c r="J6340" t="s">
        <v>3965</v>
      </c>
      <c r="K6340" t="s">
        <v>2183</v>
      </c>
      <c r="L6340" t="s">
        <v>2184</v>
      </c>
      <c r="M6340">
        <v>696</v>
      </c>
      <c r="N6340">
        <v>25.73</v>
      </c>
      <c r="O6340">
        <v>10428.11</v>
      </c>
      <c r="P6340">
        <v>0</v>
      </c>
      <c r="Q6340">
        <v>10428.11</v>
      </c>
      <c r="R6340">
        <v>1668.5</v>
      </c>
      <c r="S6340">
        <v>417.12</v>
      </c>
      <c r="T6340">
        <v>11679.49</v>
      </c>
      <c r="V6340" t="s">
        <v>9408</v>
      </c>
      <c r="W6340" t="s">
        <v>423</v>
      </c>
    </row>
    <row r="6341" spans="1:23" hidden="1" x14ac:dyDescent="0.2">
      <c r="A6341">
        <v>2012</v>
      </c>
      <c r="B6341" t="s">
        <v>304</v>
      </c>
      <c r="C6341" s="733">
        <v>40946</v>
      </c>
      <c r="D63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41" t="s">
        <v>485</v>
      </c>
      <c r="F6341" t="s">
        <v>2065</v>
      </c>
      <c r="G6341" t="s">
        <v>6617</v>
      </c>
      <c r="H6341">
        <v>41406</v>
      </c>
      <c r="I6341" t="s">
        <v>423</v>
      </c>
      <c r="J6341" t="s">
        <v>3965</v>
      </c>
      <c r="K6341" t="s">
        <v>2183</v>
      </c>
      <c r="L6341" t="s">
        <v>2184</v>
      </c>
      <c r="M6341">
        <v>696</v>
      </c>
      <c r="N6341">
        <v>26.67</v>
      </c>
      <c r="O6341">
        <v>10809.08</v>
      </c>
      <c r="P6341">
        <v>0</v>
      </c>
      <c r="Q6341">
        <v>10809.08</v>
      </c>
      <c r="R6341">
        <v>1729.45</v>
      </c>
      <c r="S6341">
        <v>432.36</v>
      </c>
      <c r="T6341">
        <v>12106.17</v>
      </c>
      <c r="U6341" t="s">
        <v>2192</v>
      </c>
      <c r="V6341" t="s">
        <v>9408</v>
      </c>
      <c r="W6341" t="s">
        <v>423</v>
      </c>
    </row>
    <row r="6342" spans="1:23" hidden="1" x14ac:dyDescent="0.2">
      <c r="A6342">
        <v>2012</v>
      </c>
      <c r="B6342" t="s">
        <v>304</v>
      </c>
      <c r="C6342" s="733">
        <v>40956</v>
      </c>
      <c r="D63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42" t="s">
        <v>485</v>
      </c>
      <c r="F6342" t="s">
        <v>2065</v>
      </c>
      <c r="G6342" t="s">
        <v>7565</v>
      </c>
      <c r="H6342">
        <v>42041</v>
      </c>
      <c r="I6342" t="s">
        <v>423</v>
      </c>
      <c r="J6342" t="s">
        <v>3965</v>
      </c>
      <c r="K6342" t="s">
        <v>2183</v>
      </c>
      <c r="L6342" t="s">
        <v>2184</v>
      </c>
      <c r="M6342">
        <v>696</v>
      </c>
      <c r="N6342">
        <v>25.54</v>
      </c>
      <c r="O6342">
        <v>10351.11</v>
      </c>
      <c r="P6342">
        <v>0</v>
      </c>
      <c r="Q6342">
        <v>10351.11</v>
      </c>
      <c r="R6342">
        <v>1656.18</v>
      </c>
      <c r="S6342">
        <v>414.04</v>
      </c>
      <c r="T6342">
        <v>11593.25</v>
      </c>
      <c r="U6342" t="s">
        <v>8048</v>
      </c>
      <c r="V6342" t="s">
        <v>9408</v>
      </c>
      <c r="W6342" t="s">
        <v>423</v>
      </c>
    </row>
    <row r="6343" spans="1:23" hidden="1" x14ac:dyDescent="0.2">
      <c r="A6343">
        <v>2012</v>
      </c>
      <c r="B6343" t="s">
        <v>303</v>
      </c>
      <c r="C6343" s="733">
        <v>40928</v>
      </c>
      <c r="D63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43" t="s">
        <v>505</v>
      </c>
      <c r="F6343" t="s">
        <v>1915</v>
      </c>
      <c r="G6343" t="s">
        <v>3429</v>
      </c>
      <c r="H6343">
        <v>22023</v>
      </c>
      <c r="I6343" t="s">
        <v>423</v>
      </c>
      <c r="J6343" t="s">
        <v>1947</v>
      </c>
      <c r="K6343" t="s">
        <v>1918</v>
      </c>
      <c r="L6343" t="s">
        <v>1919</v>
      </c>
      <c r="M6343">
        <v>973</v>
      </c>
      <c r="N6343">
        <v>50.16</v>
      </c>
      <c r="O6343">
        <v>29291.43</v>
      </c>
      <c r="P6343">
        <v>0</v>
      </c>
      <c r="Q6343">
        <v>29291.43</v>
      </c>
      <c r="R6343">
        <v>4686.63</v>
      </c>
      <c r="S6343">
        <v>1171.6600000000001</v>
      </c>
      <c r="T6343">
        <v>32806.400000000001</v>
      </c>
      <c r="U6343" t="s">
        <v>8778</v>
      </c>
      <c r="V6343" t="s">
        <v>9409</v>
      </c>
      <c r="W6343" t="s">
        <v>423</v>
      </c>
    </row>
    <row r="6344" spans="1:23" hidden="1" x14ac:dyDescent="0.2">
      <c r="A6344">
        <v>2012</v>
      </c>
      <c r="B6344" t="s">
        <v>304</v>
      </c>
      <c r="C6344" s="733">
        <v>40947</v>
      </c>
      <c r="D63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44" t="s">
        <v>505</v>
      </c>
      <c r="F6344" t="s">
        <v>1915</v>
      </c>
      <c r="G6344" t="s">
        <v>6805</v>
      </c>
      <c r="H6344">
        <v>22552</v>
      </c>
      <c r="I6344" t="s">
        <v>423</v>
      </c>
      <c r="J6344" t="s">
        <v>4163</v>
      </c>
      <c r="K6344" t="s">
        <v>1918</v>
      </c>
      <c r="L6344" t="s">
        <v>1919</v>
      </c>
      <c r="M6344">
        <v>250</v>
      </c>
      <c r="N6344">
        <v>27.28</v>
      </c>
      <c r="O6344">
        <v>6133.64</v>
      </c>
      <c r="P6344">
        <v>0</v>
      </c>
      <c r="Q6344">
        <v>6133.64</v>
      </c>
      <c r="R6344">
        <v>981.38</v>
      </c>
      <c r="S6344">
        <v>245.35</v>
      </c>
      <c r="T6344">
        <v>6869.67</v>
      </c>
      <c r="U6344" t="s">
        <v>1924</v>
      </c>
      <c r="V6344" t="s">
        <v>9408</v>
      </c>
      <c r="W6344" t="s">
        <v>423</v>
      </c>
    </row>
    <row r="6345" spans="1:23" hidden="1" x14ac:dyDescent="0.2">
      <c r="A6345">
        <v>2012</v>
      </c>
      <c r="B6345" t="s">
        <v>303</v>
      </c>
      <c r="C6345" s="733">
        <v>40935</v>
      </c>
      <c r="D63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45" t="s">
        <v>485</v>
      </c>
      <c r="F6345" t="s">
        <v>2048</v>
      </c>
      <c r="G6345" t="s">
        <v>6634</v>
      </c>
      <c r="H6345">
        <v>41004</v>
      </c>
      <c r="I6345" t="s">
        <v>423</v>
      </c>
      <c r="J6345" t="s">
        <v>3570</v>
      </c>
      <c r="K6345" t="s">
        <v>2051</v>
      </c>
      <c r="L6345" t="s">
        <v>2052</v>
      </c>
      <c r="M6345">
        <v>678</v>
      </c>
      <c r="N6345">
        <v>25</v>
      </c>
      <c r="O6345">
        <v>9151</v>
      </c>
      <c r="P6345">
        <v>0</v>
      </c>
      <c r="Q6345">
        <v>9151</v>
      </c>
      <c r="R6345">
        <v>1464.16</v>
      </c>
      <c r="S6345">
        <v>366.04</v>
      </c>
      <c r="T6345">
        <v>10249.120000000001</v>
      </c>
      <c r="U6345" t="s">
        <v>2053</v>
      </c>
      <c r="V6345" t="s">
        <v>9408</v>
      </c>
      <c r="W6345" t="s">
        <v>423</v>
      </c>
    </row>
    <row r="6346" spans="1:23" hidden="1" x14ac:dyDescent="0.2">
      <c r="A6346">
        <v>2012</v>
      </c>
      <c r="B6346" t="s">
        <v>304</v>
      </c>
      <c r="C6346" s="733">
        <v>40955</v>
      </c>
      <c r="D63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46" t="s">
        <v>478</v>
      </c>
      <c r="F6346" t="s">
        <v>2136</v>
      </c>
      <c r="G6346" t="s">
        <v>7776</v>
      </c>
      <c r="H6346">
        <v>35686</v>
      </c>
      <c r="I6346" t="s">
        <v>423</v>
      </c>
      <c r="J6346" t="s">
        <v>4276</v>
      </c>
      <c r="K6346" t="s">
        <v>425</v>
      </c>
      <c r="L6346" t="s">
        <v>2145</v>
      </c>
      <c r="M6346">
        <v>60</v>
      </c>
      <c r="N6346">
        <v>42.71</v>
      </c>
      <c r="O6346">
        <v>5733.82</v>
      </c>
      <c r="P6346">
        <v>0</v>
      </c>
      <c r="Q6346">
        <v>5733.82</v>
      </c>
      <c r="R6346">
        <v>917.41</v>
      </c>
      <c r="S6346">
        <v>229.35</v>
      </c>
      <c r="T6346">
        <v>6421.88</v>
      </c>
      <c r="U6346" t="s">
        <v>7523</v>
      </c>
      <c r="V6346" t="s">
        <v>9409</v>
      </c>
      <c r="W6346" t="s">
        <v>423</v>
      </c>
    </row>
    <row r="6347" spans="1:23" hidden="1" x14ac:dyDescent="0.2">
      <c r="A6347">
        <v>2012</v>
      </c>
      <c r="B6347" t="s">
        <v>305</v>
      </c>
      <c r="C6347" s="733">
        <v>40970</v>
      </c>
      <c r="D6347" s="733" t="str">
        <f>CHOOSE(MONTH(Tabla_sqldatos_bonampakdb_Bon_v_ingresos2012[[#This Row],[fecha_guia]]),"Enero","Febrero","Marzo","Abril","Mayo","Junio","Julio","Agosto","Septiembre","Octubre","Noviembre","Diciembre")</f>
        <v>Marzo</v>
      </c>
      <c r="E6347" t="s">
        <v>505</v>
      </c>
      <c r="F6347" t="s">
        <v>1915</v>
      </c>
      <c r="G6347" t="s">
        <v>9525</v>
      </c>
      <c r="H6347">
        <v>23141</v>
      </c>
      <c r="I6347" t="s">
        <v>423</v>
      </c>
      <c r="J6347" t="s">
        <v>4163</v>
      </c>
      <c r="K6347" t="s">
        <v>1918</v>
      </c>
      <c r="L6347" t="s">
        <v>1919</v>
      </c>
      <c r="M6347">
        <v>250</v>
      </c>
      <c r="N6347">
        <v>26.93</v>
      </c>
      <c r="O6347">
        <v>6054.94</v>
      </c>
      <c r="P6347">
        <v>0</v>
      </c>
      <c r="Q6347">
        <v>6054.94</v>
      </c>
      <c r="R6347">
        <v>968.79</v>
      </c>
      <c r="S6347">
        <v>242.2</v>
      </c>
      <c r="T6347">
        <v>6781.53</v>
      </c>
      <c r="V6347" t="s">
        <v>9408</v>
      </c>
      <c r="W6347" t="s">
        <v>423</v>
      </c>
    </row>
    <row r="6348" spans="1:23" hidden="1" x14ac:dyDescent="0.2">
      <c r="A6348">
        <v>2012</v>
      </c>
      <c r="B6348" t="s">
        <v>303</v>
      </c>
      <c r="C6348" s="733">
        <v>40939.609965277778</v>
      </c>
      <c r="D63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48" t="s">
        <v>478</v>
      </c>
      <c r="F6348" t="s">
        <v>2136</v>
      </c>
      <c r="G6348" t="s">
        <v>5096</v>
      </c>
      <c r="H6348">
        <v>35175</v>
      </c>
      <c r="I6348" t="s">
        <v>423</v>
      </c>
      <c r="J6348" t="s">
        <v>3480</v>
      </c>
      <c r="K6348" t="s">
        <v>3481</v>
      </c>
      <c r="L6348" t="s">
        <v>3482</v>
      </c>
      <c r="M6348">
        <v>75</v>
      </c>
      <c r="N6348">
        <v>23.01</v>
      </c>
      <c r="O6348">
        <v>2597.14</v>
      </c>
      <c r="P6348">
        <v>0</v>
      </c>
      <c r="Q6348">
        <v>2597.14</v>
      </c>
      <c r="R6348">
        <v>415.54</v>
      </c>
      <c r="S6348">
        <v>103.89</v>
      </c>
      <c r="T6348">
        <v>2908.79</v>
      </c>
      <c r="U6348" t="s">
        <v>3483</v>
      </c>
      <c r="V6348" t="s">
        <v>9408</v>
      </c>
      <c r="W6348" t="s">
        <v>423</v>
      </c>
    </row>
    <row r="6349" spans="1:23" hidden="1" x14ac:dyDescent="0.2">
      <c r="A6349">
        <v>2012</v>
      </c>
      <c r="B6349" t="s">
        <v>303</v>
      </c>
      <c r="C6349" s="733">
        <v>40939</v>
      </c>
      <c r="D63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49" t="s">
        <v>505</v>
      </c>
      <c r="F6349" t="s">
        <v>1915</v>
      </c>
      <c r="G6349" t="s">
        <v>6469</v>
      </c>
      <c r="H6349">
        <v>22211</v>
      </c>
      <c r="I6349" t="s">
        <v>423</v>
      </c>
      <c r="J6349" t="s">
        <v>6470</v>
      </c>
      <c r="K6349" t="s">
        <v>1918</v>
      </c>
      <c r="L6349" t="s">
        <v>1919</v>
      </c>
      <c r="M6349">
        <v>318</v>
      </c>
      <c r="N6349">
        <v>24.79</v>
      </c>
      <c r="O6349">
        <v>6845.51</v>
      </c>
      <c r="P6349">
        <v>0</v>
      </c>
      <c r="Q6349">
        <v>6845.51</v>
      </c>
      <c r="R6349">
        <v>1095.28</v>
      </c>
      <c r="S6349">
        <v>273.82</v>
      </c>
      <c r="T6349">
        <v>7666.97</v>
      </c>
      <c r="U6349" t="s">
        <v>1926</v>
      </c>
      <c r="V6349" t="s">
        <v>9408</v>
      </c>
      <c r="W6349" t="s">
        <v>423</v>
      </c>
    </row>
    <row r="6350" spans="1:23" hidden="1" x14ac:dyDescent="0.2">
      <c r="A6350">
        <v>2012</v>
      </c>
      <c r="B6350" t="s">
        <v>303</v>
      </c>
      <c r="C6350" s="733">
        <v>40926</v>
      </c>
      <c r="D63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50" t="s">
        <v>485</v>
      </c>
      <c r="F6350" t="s">
        <v>2099</v>
      </c>
      <c r="G6350" t="s">
        <v>6182</v>
      </c>
      <c r="H6350">
        <v>40500</v>
      </c>
      <c r="I6350" t="s">
        <v>423</v>
      </c>
      <c r="J6350" t="s">
        <v>2101</v>
      </c>
      <c r="K6350" t="s">
        <v>2102</v>
      </c>
      <c r="L6350" t="s">
        <v>2103</v>
      </c>
      <c r="M6350">
        <v>119</v>
      </c>
      <c r="N6350">
        <v>25.69</v>
      </c>
      <c r="O6350">
        <v>4308.9799999999996</v>
      </c>
      <c r="P6350">
        <v>0</v>
      </c>
      <c r="Q6350">
        <v>4308.9799999999996</v>
      </c>
      <c r="R6350">
        <v>689.44</v>
      </c>
      <c r="S6350">
        <v>172.36</v>
      </c>
      <c r="T6350">
        <v>4826.0600000000004</v>
      </c>
      <c r="U6350" t="s">
        <v>2106</v>
      </c>
      <c r="V6350" t="s">
        <v>9408</v>
      </c>
      <c r="W6350" t="s">
        <v>423</v>
      </c>
    </row>
    <row r="6351" spans="1:23" hidden="1" x14ac:dyDescent="0.2">
      <c r="A6351">
        <v>2012</v>
      </c>
      <c r="B6351" t="s">
        <v>304</v>
      </c>
      <c r="C6351" s="733">
        <v>40955</v>
      </c>
      <c r="D63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51" t="s">
        <v>485</v>
      </c>
      <c r="F6351" t="s">
        <v>2099</v>
      </c>
      <c r="G6351" t="s">
        <v>7790</v>
      </c>
      <c r="H6351">
        <v>41993</v>
      </c>
      <c r="I6351" t="s">
        <v>423</v>
      </c>
      <c r="J6351" t="s">
        <v>2101</v>
      </c>
      <c r="K6351" t="s">
        <v>2102</v>
      </c>
      <c r="L6351" t="s">
        <v>2103</v>
      </c>
      <c r="M6351">
        <v>119</v>
      </c>
      <c r="N6351">
        <v>25.17</v>
      </c>
      <c r="O6351">
        <v>4221.76</v>
      </c>
      <c r="P6351">
        <v>0</v>
      </c>
      <c r="Q6351">
        <v>4221.76</v>
      </c>
      <c r="R6351">
        <v>675.48</v>
      </c>
      <c r="S6351">
        <v>168.87</v>
      </c>
      <c r="T6351">
        <v>4728.37</v>
      </c>
      <c r="U6351" t="s">
        <v>8051</v>
      </c>
      <c r="V6351" t="s">
        <v>9408</v>
      </c>
      <c r="W6351" t="s">
        <v>423</v>
      </c>
    </row>
    <row r="6352" spans="1:23" hidden="1" x14ac:dyDescent="0.2">
      <c r="A6352">
        <v>2012</v>
      </c>
      <c r="B6352" t="s">
        <v>303</v>
      </c>
      <c r="C6352" s="733">
        <v>40919</v>
      </c>
      <c r="D63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52" t="s">
        <v>485</v>
      </c>
      <c r="F6352" t="s">
        <v>2099</v>
      </c>
      <c r="G6352" t="s">
        <v>2910</v>
      </c>
      <c r="H6352">
        <v>40151</v>
      </c>
      <c r="I6352" t="s">
        <v>423</v>
      </c>
      <c r="J6352" t="s">
        <v>2101</v>
      </c>
      <c r="K6352" t="s">
        <v>2102</v>
      </c>
      <c r="L6352" t="s">
        <v>2103</v>
      </c>
      <c r="M6352">
        <v>119</v>
      </c>
      <c r="N6352">
        <v>51.96</v>
      </c>
      <c r="O6352">
        <v>8715.25</v>
      </c>
      <c r="P6352">
        <v>0</v>
      </c>
      <c r="Q6352">
        <v>8715.25</v>
      </c>
      <c r="R6352">
        <v>1394.44</v>
      </c>
      <c r="S6352">
        <v>348.61</v>
      </c>
      <c r="T6352">
        <v>9761.08</v>
      </c>
      <c r="U6352" t="s">
        <v>2106</v>
      </c>
      <c r="V6352" t="s">
        <v>9409</v>
      </c>
      <c r="W6352" t="s">
        <v>423</v>
      </c>
    </row>
    <row r="6353" spans="1:23" hidden="1" x14ac:dyDescent="0.2">
      <c r="A6353">
        <v>2012</v>
      </c>
      <c r="B6353" t="s">
        <v>303</v>
      </c>
      <c r="C6353" s="733">
        <v>40938</v>
      </c>
      <c r="D63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53" t="s">
        <v>485</v>
      </c>
      <c r="F6353" t="s">
        <v>2084</v>
      </c>
      <c r="G6353" t="s">
        <v>5086</v>
      </c>
      <c r="H6353">
        <v>39941</v>
      </c>
      <c r="I6353" t="s">
        <v>423</v>
      </c>
      <c r="J6353" t="s">
        <v>2836</v>
      </c>
      <c r="K6353" t="s">
        <v>2814</v>
      </c>
      <c r="L6353" t="s">
        <v>2815</v>
      </c>
      <c r="M6353">
        <v>70</v>
      </c>
      <c r="N6353">
        <v>23.41</v>
      </c>
      <c r="O6353">
        <v>2642.29</v>
      </c>
      <c r="P6353">
        <v>0</v>
      </c>
      <c r="Q6353">
        <v>2642.29</v>
      </c>
      <c r="R6353">
        <v>422.77</v>
      </c>
      <c r="S6353">
        <v>105.69</v>
      </c>
      <c r="T6353">
        <v>2959.37</v>
      </c>
      <c r="U6353" t="s">
        <v>2826</v>
      </c>
      <c r="V6353" t="s">
        <v>9408</v>
      </c>
      <c r="W6353" t="s">
        <v>423</v>
      </c>
    </row>
    <row r="6354" spans="1:23" hidden="1" x14ac:dyDescent="0.2">
      <c r="A6354">
        <v>2012</v>
      </c>
      <c r="B6354" t="s">
        <v>303</v>
      </c>
      <c r="C6354" s="733">
        <v>40922</v>
      </c>
      <c r="D63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54" t="s">
        <v>485</v>
      </c>
      <c r="F6354" t="s">
        <v>2054</v>
      </c>
      <c r="G6354" t="s">
        <v>2412</v>
      </c>
      <c r="H6354">
        <v>10055</v>
      </c>
      <c r="I6354" t="s">
        <v>423</v>
      </c>
      <c r="J6354" t="s">
        <v>2098</v>
      </c>
      <c r="K6354" t="s">
        <v>2057</v>
      </c>
      <c r="L6354" t="s">
        <v>2058</v>
      </c>
      <c r="M6354">
        <v>565</v>
      </c>
      <c r="N6354">
        <v>48</v>
      </c>
      <c r="O6354">
        <v>16224.96</v>
      </c>
      <c r="P6354">
        <v>0</v>
      </c>
      <c r="Q6354">
        <v>16224.96</v>
      </c>
      <c r="R6354">
        <v>2595.9899999999998</v>
      </c>
      <c r="S6354">
        <v>649</v>
      </c>
      <c r="T6354">
        <v>18171.95</v>
      </c>
      <c r="U6354" t="s">
        <v>2059</v>
      </c>
      <c r="V6354" t="s">
        <v>9409</v>
      </c>
      <c r="W6354" t="s">
        <v>423</v>
      </c>
    </row>
    <row r="6355" spans="1:23" hidden="1" x14ac:dyDescent="0.2">
      <c r="A6355">
        <v>2012</v>
      </c>
      <c r="B6355" t="s">
        <v>303</v>
      </c>
      <c r="C6355" s="733">
        <v>40939</v>
      </c>
      <c r="D63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55" t="s">
        <v>485</v>
      </c>
      <c r="F6355" t="s">
        <v>2054</v>
      </c>
      <c r="G6355" t="s">
        <v>5721</v>
      </c>
      <c r="H6355">
        <v>9957</v>
      </c>
      <c r="I6355" t="s">
        <v>423</v>
      </c>
      <c r="J6355" t="s">
        <v>2098</v>
      </c>
      <c r="K6355" t="s">
        <v>2057</v>
      </c>
      <c r="L6355" t="s">
        <v>2058</v>
      </c>
      <c r="M6355">
        <v>565</v>
      </c>
      <c r="N6355">
        <v>47.29</v>
      </c>
      <c r="O6355">
        <v>15984.97</v>
      </c>
      <c r="P6355">
        <v>0</v>
      </c>
      <c r="Q6355">
        <v>15984.97</v>
      </c>
      <c r="R6355">
        <v>2557.59</v>
      </c>
      <c r="S6355">
        <v>639.4</v>
      </c>
      <c r="T6355">
        <v>17903.16</v>
      </c>
      <c r="U6355" t="s">
        <v>2073</v>
      </c>
      <c r="V6355" t="s">
        <v>9409</v>
      </c>
      <c r="W6355" t="s">
        <v>423</v>
      </c>
    </row>
    <row r="6356" spans="1:23" hidden="1" x14ac:dyDescent="0.2">
      <c r="A6356">
        <v>2012</v>
      </c>
      <c r="B6356" t="s">
        <v>304</v>
      </c>
      <c r="C6356" s="733">
        <v>40949.432430555556</v>
      </c>
      <c r="D63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56" t="s">
        <v>485</v>
      </c>
      <c r="F6356" t="s">
        <v>2054</v>
      </c>
      <c r="G6356" t="s">
        <v>5852</v>
      </c>
      <c r="H6356">
        <v>10368</v>
      </c>
      <c r="I6356" t="s">
        <v>423</v>
      </c>
      <c r="J6356" t="s">
        <v>2056</v>
      </c>
      <c r="K6356" t="s">
        <v>2057</v>
      </c>
      <c r="L6356" t="s">
        <v>2058</v>
      </c>
      <c r="M6356">
        <v>19</v>
      </c>
      <c r="N6356">
        <v>45</v>
      </c>
      <c r="O6356">
        <v>5079.1499999999996</v>
      </c>
      <c r="P6356">
        <v>0</v>
      </c>
      <c r="Q6356">
        <v>5079.1499999999996</v>
      </c>
      <c r="R6356">
        <v>558.71</v>
      </c>
      <c r="S6356">
        <v>203.17</v>
      </c>
      <c r="T6356">
        <v>5434.69</v>
      </c>
      <c r="U6356" t="s">
        <v>2082</v>
      </c>
      <c r="V6356" t="s">
        <v>9409</v>
      </c>
      <c r="W6356" t="s">
        <v>423</v>
      </c>
    </row>
    <row r="6357" spans="1:23" hidden="1" x14ac:dyDescent="0.2">
      <c r="A6357">
        <v>2012</v>
      </c>
      <c r="B6357" t="s">
        <v>304</v>
      </c>
      <c r="C6357" s="733">
        <v>40966</v>
      </c>
      <c r="D63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57" t="s">
        <v>485</v>
      </c>
      <c r="F6357" t="s">
        <v>2054</v>
      </c>
      <c r="G6357" t="s">
        <v>9114</v>
      </c>
      <c r="H6357">
        <v>10573</v>
      </c>
      <c r="I6357" t="s">
        <v>423</v>
      </c>
      <c r="J6357" t="s">
        <v>2098</v>
      </c>
      <c r="K6357" t="s">
        <v>2057</v>
      </c>
      <c r="L6357" t="s">
        <v>2058</v>
      </c>
      <c r="M6357">
        <v>565</v>
      </c>
      <c r="N6357">
        <v>47.17</v>
      </c>
      <c r="O6357">
        <v>15944.4</v>
      </c>
      <c r="P6357">
        <v>0</v>
      </c>
      <c r="Q6357">
        <v>15944.4</v>
      </c>
      <c r="R6357">
        <v>1753.88</v>
      </c>
      <c r="S6357">
        <v>637.78</v>
      </c>
      <c r="T6357">
        <v>17060.5</v>
      </c>
      <c r="U6357" t="s">
        <v>8864</v>
      </c>
      <c r="V6357" t="s">
        <v>9409</v>
      </c>
      <c r="W6357" t="s">
        <v>423</v>
      </c>
    </row>
    <row r="6358" spans="1:23" x14ac:dyDescent="0.2">
      <c r="A6358">
        <v>2012</v>
      </c>
      <c r="B6358" t="s">
        <v>304</v>
      </c>
      <c r="C6358" s="733">
        <v>40968.762106481481</v>
      </c>
      <c r="D63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58" t="s">
        <v>485</v>
      </c>
      <c r="F6358" t="s">
        <v>2054</v>
      </c>
      <c r="G6358" t="s">
        <v>9518</v>
      </c>
      <c r="H6358">
        <v>10611</v>
      </c>
      <c r="I6358" t="s">
        <v>423</v>
      </c>
      <c r="J6358" t="s">
        <v>4733</v>
      </c>
      <c r="K6358" t="s">
        <v>2057</v>
      </c>
      <c r="L6358" t="s">
        <v>2058</v>
      </c>
      <c r="M6358">
        <v>184</v>
      </c>
      <c r="N6358">
        <v>22.7</v>
      </c>
      <c r="O6358">
        <v>7673.05</v>
      </c>
      <c r="P6358">
        <v>0</v>
      </c>
      <c r="Q6358">
        <v>7673.05</v>
      </c>
      <c r="R6358">
        <v>844.04</v>
      </c>
      <c r="S6358">
        <v>306.92</v>
      </c>
      <c r="T6358">
        <v>8210.17</v>
      </c>
      <c r="V6358" t="s">
        <v>9408</v>
      </c>
      <c r="W6358" t="s">
        <v>423</v>
      </c>
    </row>
    <row r="6359" spans="1:23" hidden="1" x14ac:dyDescent="0.2">
      <c r="A6359">
        <v>2012</v>
      </c>
      <c r="B6359" t="s">
        <v>303</v>
      </c>
      <c r="C6359" s="733">
        <v>40927.445659722223</v>
      </c>
      <c r="D63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59" t="s">
        <v>485</v>
      </c>
      <c r="F6359" t="s">
        <v>2054</v>
      </c>
      <c r="G6359" t="s">
        <v>5722</v>
      </c>
      <c r="H6359">
        <v>10125</v>
      </c>
      <c r="I6359" t="s">
        <v>423</v>
      </c>
      <c r="J6359" t="s">
        <v>4733</v>
      </c>
      <c r="K6359" t="s">
        <v>2057</v>
      </c>
      <c r="L6359" t="s">
        <v>2058</v>
      </c>
      <c r="M6359">
        <v>184</v>
      </c>
      <c r="N6359">
        <v>25.1</v>
      </c>
      <c r="O6359">
        <v>8484.2999999999993</v>
      </c>
      <c r="P6359">
        <v>0</v>
      </c>
      <c r="Q6359">
        <v>8484.2999999999993</v>
      </c>
      <c r="R6359">
        <v>1357.49</v>
      </c>
      <c r="S6359">
        <v>339.37</v>
      </c>
      <c r="T6359">
        <v>9502.42</v>
      </c>
      <c r="U6359" t="s">
        <v>2077</v>
      </c>
      <c r="V6359" t="s">
        <v>9408</v>
      </c>
      <c r="W6359" t="s">
        <v>423</v>
      </c>
    </row>
    <row r="6360" spans="1:23" hidden="1" x14ac:dyDescent="0.2">
      <c r="A6360">
        <v>2012</v>
      </c>
      <c r="B6360" t="s">
        <v>303</v>
      </c>
      <c r="C6360" s="733">
        <v>40919</v>
      </c>
      <c r="D63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60" t="s">
        <v>485</v>
      </c>
      <c r="F6360" t="s">
        <v>2054</v>
      </c>
      <c r="G6360" t="s">
        <v>5725</v>
      </c>
      <c r="H6360">
        <v>10000</v>
      </c>
      <c r="I6360" t="s">
        <v>423</v>
      </c>
      <c r="J6360" t="s">
        <v>4560</v>
      </c>
      <c r="K6360" t="s">
        <v>2057</v>
      </c>
      <c r="L6360" t="s">
        <v>2058</v>
      </c>
      <c r="M6360">
        <v>403</v>
      </c>
      <c r="N6360">
        <v>30.15</v>
      </c>
      <c r="O6360">
        <v>8239.39</v>
      </c>
      <c r="P6360">
        <v>0</v>
      </c>
      <c r="Q6360">
        <v>8239.39</v>
      </c>
      <c r="R6360">
        <v>1318.3</v>
      </c>
      <c r="S6360">
        <v>329.58</v>
      </c>
      <c r="T6360">
        <v>9228.11</v>
      </c>
      <c r="U6360" t="s">
        <v>2070</v>
      </c>
      <c r="V6360" t="s">
        <v>9408</v>
      </c>
      <c r="W6360" t="s">
        <v>423</v>
      </c>
    </row>
    <row r="6361" spans="1:23" hidden="1" x14ac:dyDescent="0.2">
      <c r="A6361">
        <v>2012</v>
      </c>
      <c r="B6361" t="s">
        <v>303</v>
      </c>
      <c r="C6361" s="733">
        <v>40927</v>
      </c>
      <c r="D63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61" t="s">
        <v>478</v>
      </c>
      <c r="F6361" t="s">
        <v>2136</v>
      </c>
      <c r="G6361" t="s">
        <v>6181</v>
      </c>
      <c r="H6361">
        <v>34531</v>
      </c>
      <c r="I6361" t="s">
        <v>423</v>
      </c>
      <c r="J6361" t="s">
        <v>5384</v>
      </c>
      <c r="K6361" t="s">
        <v>425</v>
      </c>
      <c r="L6361" t="s">
        <v>2145</v>
      </c>
      <c r="M6361">
        <v>1472</v>
      </c>
      <c r="N6361">
        <v>49.67</v>
      </c>
      <c r="O6361">
        <v>35478.78</v>
      </c>
      <c r="P6361">
        <v>0</v>
      </c>
      <c r="Q6361">
        <v>35478.78</v>
      </c>
      <c r="R6361">
        <v>5676.61</v>
      </c>
      <c r="S6361">
        <v>1419.15</v>
      </c>
      <c r="T6361">
        <v>39736.239999999998</v>
      </c>
      <c r="U6361" t="s">
        <v>2150</v>
      </c>
      <c r="V6361" t="s">
        <v>9409</v>
      </c>
      <c r="W6361" t="s">
        <v>423</v>
      </c>
    </row>
    <row r="6362" spans="1:23" hidden="1" x14ac:dyDescent="0.2">
      <c r="A6362">
        <v>2012</v>
      </c>
      <c r="B6362" t="s">
        <v>303</v>
      </c>
      <c r="C6362" s="733">
        <v>40932</v>
      </c>
      <c r="D63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62" t="s">
        <v>485</v>
      </c>
      <c r="F6362" t="s">
        <v>2084</v>
      </c>
      <c r="G6362" t="s">
        <v>4460</v>
      </c>
      <c r="H6362">
        <v>40550</v>
      </c>
      <c r="I6362" t="s">
        <v>423</v>
      </c>
      <c r="J6362" t="s">
        <v>2813</v>
      </c>
      <c r="K6362" t="s">
        <v>2814</v>
      </c>
      <c r="L6362" t="s">
        <v>2815</v>
      </c>
      <c r="M6362">
        <v>365</v>
      </c>
      <c r="N6362">
        <v>29.818999999999999</v>
      </c>
      <c r="O6362">
        <v>8026.68</v>
      </c>
      <c r="P6362">
        <v>0</v>
      </c>
      <c r="Q6362">
        <v>8026.68</v>
      </c>
      <c r="R6362">
        <v>1284.27</v>
      </c>
      <c r="S6362">
        <v>321.07</v>
      </c>
      <c r="T6362">
        <v>8989.8799999999992</v>
      </c>
      <c r="U6362" t="s">
        <v>2826</v>
      </c>
      <c r="V6362" t="s">
        <v>9408</v>
      </c>
      <c r="W6362" t="s">
        <v>423</v>
      </c>
    </row>
    <row r="6363" spans="1:23" x14ac:dyDescent="0.2">
      <c r="A6363">
        <v>2012</v>
      </c>
      <c r="B6363" t="s">
        <v>304</v>
      </c>
      <c r="C6363" s="733">
        <v>40967</v>
      </c>
      <c r="D63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63" t="s">
        <v>485</v>
      </c>
      <c r="F6363" t="s">
        <v>2084</v>
      </c>
      <c r="G6363" t="s">
        <v>9074</v>
      </c>
      <c r="H6363">
        <v>42646</v>
      </c>
      <c r="I6363" t="s">
        <v>423</v>
      </c>
      <c r="J6363" t="s">
        <v>2813</v>
      </c>
      <c r="K6363" t="s">
        <v>2814</v>
      </c>
      <c r="L6363" t="s">
        <v>2815</v>
      </c>
      <c r="M6363">
        <v>365</v>
      </c>
      <c r="N6363">
        <v>23.890999999999998</v>
      </c>
      <c r="O6363">
        <v>6430.98</v>
      </c>
      <c r="P6363">
        <v>0</v>
      </c>
      <c r="Q6363">
        <v>6430.98</v>
      </c>
      <c r="R6363">
        <v>707.41</v>
      </c>
      <c r="S6363">
        <v>257.24</v>
      </c>
      <c r="T6363">
        <v>6881.15</v>
      </c>
      <c r="V6363" t="s">
        <v>9408</v>
      </c>
      <c r="W6363" t="s">
        <v>423</v>
      </c>
    </row>
    <row r="6364" spans="1:23" hidden="1" x14ac:dyDescent="0.2">
      <c r="A6364">
        <v>2012</v>
      </c>
      <c r="B6364" t="s">
        <v>304</v>
      </c>
      <c r="C6364" s="733">
        <v>40940</v>
      </c>
      <c r="D63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64" t="s">
        <v>485</v>
      </c>
      <c r="F6364" t="s">
        <v>2084</v>
      </c>
      <c r="G6364" t="s">
        <v>4459</v>
      </c>
      <c r="H6364">
        <v>41049</v>
      </c>
      <c r="I6364" t="s">
        <v>423</v>
      </c>
      <c r="J6364" t="s">
        <v>2813</v>
      </c>
      <c r="K6364" t="s">
        <v>2814</v>
      </c>
      <c r="L6364" t="s">
        <v>2815</v>
      </c>
      <c r="M6364">
        <v>365</v>
      </c>
      <c r="N6364">
        <v>23.957999999999998</v>
      </c>
      <c r="O6364">
        <v>6449.01</v>
      </c>
      <c r="P6364">
        <v>0</v>
      </c>
      <c r="Q6364">
        <v>6449.01</v>
      </c>
      <c r="R6364">
        <v>1031.8399999999999</v>
      </c>
      <c r="S6364">
        <v>257.95999999999998</v>
      </c>
      <c r="T6364">
        <v>7222.89</v>
      </c>
      <c r="U6364" t="s">
        <v>8522</v>
      </c>
      <c r="V6364" t="s">
        <v>9408</v>
      </c>
      <c r="W6364" t="s">
        <v>423</v>
      </c>
    </row>
    <row r="6365" spans="1:23" hidden="1" x14ac:dyDescent="0.2">
      <c r="A6365">
        <v>2012</v>
      </c>
      <c r="B6365" t="s">
        <v>304</v>
      </c>
      <c r="C6365" s="733">
        <v>40953</v>
      </c>
      <c r="D63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65" t="s">
        <v>485</v>
      </c>
      <c r="F6365" t="s">
        <v>2084</v>
      </c>
      <c r="G6365" t="s">
        <v>4466</v>
      </c>
      <c r="H6365">
        <v>41737</v>
      </c>
      <c r="I6365" t="s">
        <v>423</v>
      </c>
      <c r="J6365" t="s">
        <v>2813</v>
      </c>
      <c r="K6365" t="s">
        <v>2814</v>
      </c>
      <c r="L6365" t="s">
        <v>2815</v>
      </c>
      <c r="M6365">
        <v>365</v>
      </c>
      <c r="N6365">
        <v>24.151</v>
      </c>
      <c r="O6365">
        <v>6500.97</v>
      </c>
      <c r="P6365">
        <v>0</v>
      </c>
      <c r="Q6365">
        <v>6500.97</v>
      </c>
      <c r="R6365">
        <v>715.11</v>
      </c>
      <c r="S6365">
        <v>260.04000000000002</v>
      </c>
      <c r="T6365">
        <v>6956.04</v>
      </c>
      <c r="U6365" t="s">
        <v>8877</v>
      </c>
      <c r="V6365" t="s">
        <v>9408</v>
      </c>
      <c r="W6365" t="s">
        <v>423</v>
      </c>
    </row>
    <row r="6366" spans="1:23" hidden="1" x14ac:dyDescent="0.2">
      <c r="A6366">
        <v>2012</v>
      </c>
      <c r="B6366" t="s">
        <v>304</v>
      </c>
      <c r="C6366" s="733">
        <v>40953</v>
      </c>
      <c r="D63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66" t="s">
        <v>485</v>
      </c>
      <c r="F6366" t="s">
        <v>2084</v>
      </c>
      <c r="G6366" t="s">
        <v>4465</v>
      </c>
      <c r="H6366">
        <v>41716</v>
      </c>
      <c r="I6366" t="s">
        <v>423</v>
      </c>
      <c r="J6366" t="s">
        <v>2813</v>
      </c>
      <c r="K6366" t="s">
        <v>2814</v>
      </c>
      <c r="L6366" t="s">
        <v>2815</v>
      </c>
      <c r="M6366">
        <v>365</v>
      </c>
      <c r="N6366">
        <v>25.058</v>
      </c>
      <c r="O6366">
        <v>6745.11</v>
      </c>
      <c r="P6366">
        <v>0</v>
      </c>
      <c r="Q6366">
        <v>6745.11</v>
      </c>
      <c r="R6366">
        <v>741.96</v>
      </c>
      <c r="S6366">
        <v>269.8</v>
      </c>
      <c r="T6366">
        <v>7217.27</v>
      </c>
      <c r="U6366" t="s">
        <v>7527</v>
      </c>
      <c r="V6366" t="s">
        <v>9408</v>
      </c>
      <c r="W6366" t="s">
        <v>423</v>
      </c>
    </row>
    <row r="6367" spans="1:23" hidden="1" x14ac:dyDescent="0.2">
      <c r="A6367">
        <v>2012</v>
      </c>
      <c r="B6367" t="s">
        <v>303</v>
      </c>
      <c r="C6367" s="733">
        <v>40912</v>
      </c>
      <c r="D63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67" t="s">
        <v>485</v>
      </c>
      <c r="F6367" t="s">
        <v>2084</v>
      </c>
      <c r="G6367" t="s">
        <v>4461</v>
      </c>
      <c r="H6367">
        <v>39604</v>
      </c>
      <c r="I6367" t="s">
        <v>423</v>
      </c>
      <c r="J6367" t="s">
        <v>2813</v>
      </c>
      <c r="K6367" t="s">
        <v>2814</v>
      </c>
      <c r="L6367" t="s">
        <v>2815</v>
      </c>
      <c r="M6367">
        <v>365</v>
      </c>
      <c r="N6367">
        <v>24.488</v>
      </c>
      <c r="O6367">
        <v>2775.23</v>
      </c>
      <c r="P6367">
        <v>3124.603705</v>
      </c>
      <c r="Q6367">
        <v>5899.833705</v>
      </c>
      <c r="R6367">
        <v>943.97339299999999</v>
      </c>
      <c r="S6367">
        <v>235.993348</v>
      </c>
      <c r="T6367">
        <v>6607.8137500000003</v>
      </c>
      <c r="U6367" t="s">
        <v>2846</v>
      </c>
      <c r="V6367" t="s">
        <v>9408</v>
      </c>
      <c r="W6367" t="s">
        <v>423</v>
      </c>
    </row>
    <row r="6368" spans="1:23" hidden="1" x14ac:dyDescent="0.2">
      <c r="A6368">
        <v>2012</v>
      </c>
      <c r="B6368" t="s">
        <v>303</v>
      </c>
      <c r="C6368" s="733">
        <v>40932</v>
      </c>
      <c r="D63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68" t="s">
        <v>485</v>
      </c>
      <c r="F6368" t="s">
        <v>2084</v>
      </c>
      <c r="G6368" t="s">
        <v>4458</v>
      </c>
      <c r="H6368">
        <v>40552</v>
      </c>
      <c r="I6368" t="s">
        <v>423</v>
      </c>
      <c r="J6368" t="s">
        <v>2813</v>
      </c>
      <c r="K6368" t="s">
        <v>2814</v>
      </c>
      <c r="L6368" t="s">
        <v>2815</v>
      </c>
      <c r="M6368">
        <v>365</v>
      </c>
      <c r="N6368">
        <v>23.882999999999999</v>
      </c>
      <c r="O6368">
        <v>6428.83</v>
      </c>
      <c r="P6368">
        <v>0</v>
      </c>
      <c r="Q6368">
        <v>6428.83</v>
      </c>
      <c r="R6368">
        <v>1028.6099999999999</v>
      </c>
      <c r="S6368">
        <v>257.14999999999998</v>
      </c>
      <c r="T6368">
        <v>7200.29</v>
      </c>
      <c r="U6368" t="s">
        <v>2826</v>
      </c>
      <c r="V6368" t="s">
        <v>9408</v>
      </c>
      <c r="W6368" t="s">
        <v>423</v>
      </c>
    </row>
    <row r="6369" spans="1:23" x14ac:dyDescent="0.2">
      <c r="A6369">
        <v>2012</v>
      </c>
      <c r="B6369" t="s">
        <v>304</v>
      </c>
      <c r="C6369" s="733">
        <v>40967</v>
      </c>
      <c r="D63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69" t="s">
        <v>485</v>
      </c>
      <c r="F6369" t="s">
        <v>2084</v>
      </c>
      <c r="G6369" t="s">
        <v>9075</v>
      </c>
      <c r="H6369">
        <v>42175</v>
      </c>
      <c r="I6369" t="s">
        <v>423</v>
      </c>
      <c r="J6369" t="s">
        <v>2813</v>
      </c>
      <c r="K6369" t="s">
        <v>2814</v>
      </c>
      <c r="L6369" t="s">
        <v>2815</v>
      </c>
      <c r="M6369">
        <v>365</v>
      </c>
      <c r="N6369">
        <v>24.074000000000002</v>
      </c>
      <c r="O6369">
        <v>6480.24</v>
      </c>
      <c r="P6369">
        <v>0</v>
      </c>
      <c r="Q6369">
        <v>6480.24</v>
      </c>
      <c r="R6369">
        <v>712.83</v>
      </c>
      <c r="S6369">
        <v>259.20999999999998</v>
      </c>
      <c r="T6369">
        <v>6933.86</v>
      </c>
      <c r="U6369" t="s">
        <v>8877</v>
      </c>
      <c r="V6369" t="s">
        <v>9408</v>
      </c>
      <c r="W6369" t="s">
        <v>423</v>
      </c>
    </row>
    <row r="6370" spans="1:23" hidden="1" x14ac:dyDescent="0.2">
      <c r="A6370">
        <v>2012</v>
      </c>
      <c r="B6370" t="s">
        <v>303</v>
      </c>
      <c r="C6370" s="733">
        <v>40926</v>
      </c>
      <c r="D63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70" t="s">
        <v>485</v>
      </c>
      <c r="F6370" t="s">
        <v>2084</v>
      </c>
      <c r="G6370" t="s">
        <v>4468</v>
      </c>
      <c r="H6370">
        <v>40313</v>
      </c>
      <c r="I6370" t="s">
        <v>423</v>
      </c>
      <c r="J6370" t="s">
        <v>2813</v>
      </c>
      <c r="K6370" t="s">
        <v>2814</v>
      </c>
      <c r="L6370" t="s">
        <v>2815</v>
      </c>
      <c r="M6370">
        <v>365</v>
      </c>
      <c r="N6370">
        <v>24.105</v>
      </c>
      <c r="O6370">
        <v>6488.58</v>
      </c>
      <c r="P6370">
        <v>0</v>
      </c>
      <c r="Q6370">
        <v>6488.58</v>
      </c>
      <c r="R6370">
        <v>1038.17</v>
      </c>
      <c r="S6370">
        <v>259.54000000000002</v>
      </c>
      <c r="T6370">
        <v>7267.21</v>
      </c>
      <c r="U6370" t="s">
        <v>2824</v>
      </c>
      <c r="V6370" t="s">
        <v>9408</v>
      </c>
      <c r="W6370" t="s">
        <v>423</v>
      </c>
    </row>
    <row r="6371" spans="1:23" hidden="1" x14ac:dyDescent="0.2">
      <c r="A6371">
        <v>2012</v>
      </c>
      <c r="B6371" t="s">
        <v>304</v>
      </c>
      <c r="C6371" s="733">
        <v>40953</v>
      </c>
      <c r="D63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71" t="s">
        <v>485</v>
      </c>
      <c r="F6371" t="s">
        <v>2084</v>
      </c>
      <c r="G6371" t="s">
        <v>4463</v>
      </c>
      <c r="H6371">
        <v>41734</v>
      </c>
      <c r="I6371" t="s">
        <v>423</v>
      </c>
      <c r="J6371" t="s">
        <v>2813</v>
      </c>
      <c r="K6371" t="s">
        <v>2814</v>
      </c>
      <c r="L6371" t="s">
        <v>2815</v>
      </c>
      <c r="M6371">
        <v>365</v>
      </c>
      <c r="N6371">
        <v>24.021000000000001</v>
      </c>
      <c r="O6371">
        <v>6465.97</v>
      </c>
      <c r="P6371">
        <v>0</v>
      </c>
      <c r="Q6371">
        <v>6465.97</v>
      </c>
      <c r="R6371">
        <v>711.26</v>
      </c>
      <c r="S6371">
        <v>258.64</v>
      </c>
      <c r="T6371">
        <v>6918.59</v>
      </c>
      <c r="U6371" t="s">
        <v>7527</v>
      </c>
      <c r="V6371" t="s">
        <v>9408</v>
      </c>
      <c r="W6371" t="s">
        <v>423</v>
      </c>
    </row>
    <row r="6372" spans="1:23" hidden="1" x14ac:dyDescent="0.2">
      <c r="A6372">
        <v>2012</v>
      </c>
      <c r="B6372" t="s">
        <v>303</v>
      </c>
      <c r="C6372" s="733">
        <v>40932</v>
      </c>
      <c r="D63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72" t="s">
        <v>485</v>
      </c>
      <c r="F6372" t="s">
        <v>2084</v>
      </c>
      <c r="G6372" t="s">
        <v>4464</v>
      </c>
      <c r="H6372">
        <v>40556</v>
      </c>
      <c r="I6372" t="s">
        <v>423</v>
      </c>
      <c r="J6372" t="s">
        <v>2813</v>
      </c>
      <c r="K6372" t="s">
        <v>2814</v>
      </c>
      <c r="L6372" t="s">
        <v>2815</v>
      </c>
      <c r="M6372">
        <v>365</v>
      </c>
      <c r="N6372">
        <v>24.321000000000002</v>
      </c>
      <c r="O6372">
        <v>6546.73</v>
      </c>
      <c r="P6372">
        <v>0</v>
      </c>
      <c r="Q6372">
        <v>6546.73</v>
      </c>
      <c r="R6372">
        <v>1047.48</v>
      </c>
      <c r="S6372">
        <v>261.87</v>
      </c>
      <c r="T6372">
        <v>7332.34</v>
      </c>
      <c r="U6372" t="s">
        <v>8522</v>
      </c>
      <c r="V6372" t="s">
        <v>9408</v>
      </c>
      <c r="W6372" t="s">
        <v>423</v>
      </c>
    </row>
    <row r="6373" spans="1:23" hidden="1" x14ac:dyDescent="0.2">
      <c r="A6373">
        <v>2012</v>
      </c>
      <c r="B6373" t="s">
        <v>303</v>
      </c>
      <c r="C6373" s="733">
        <v>40926</v>
      </c>
      <c r="D63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73" t="s">
        <v>485</v>
      </c>
      <c r="F6373" t="s">
        <v>2084</v>
      </c>
      <c r="G6373" t="s">
        <v>4462</v>
      </c>
      <c r="H6373">
        <v>40265</v>
      </c>
      <c r="I6373" t="s">
        <v>423</v>
      </c>
      <c r="J6373" t="s">
        <v>2813</v>
      </c>
      <c r="K6373" t="s">
        <v>2814</v>
      </c>
      <c r="L6373" t="s">
        <v>2815</v>
      </c>
      <c r="M6373">
        <v>365</v>
      </c>
      <c r="N6373">
        <v>23.582999999999998</v>
      </c>
      <c r="O6373">
        <v>6348.07</v>
      </c>
      <c r="P6373">
        <v>0</v>
      </c>
      <c r="Q6373">
        <v>6348.07</v>
      </c>
      <c r="R6373">
        <v>1015.69</v>
      </c>
      <c r="S6373">
        <v>253.92</v>
      </c>
      <c r="T6373">
        <v>7109.84</v>
      </c>
      <c r="U6373" t="s">
        <v>2824</v>
      </c>
      <c r="V6373" t="s">
        <v>9408</v>
      </c>
      <c r="W6373" t="s">
        <v>423</v>
      </c>
    </row>
    <row r="6374" spans="1:23" hidden="1" x14ac:dyDescent="0.2">
      <c r="A6374">
        <v>2012</v>
      </c>
      <c r="B6374" t="s">
        <v>304</v>
      </c>
      <c r="C6374" s="733">
        <v>40940</v>
      </c>
      <c r="D63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74" t="s">
        <v>485</v>
      </c>
      <c r="F6374" t="s">
        <v>2084</v>
      </c>
      <c r="G6374" t="s">
        <v>4456</v>
      </c>
      <c r="H6374">
        <v>41052</v>
      </c>
      <c r="I6374" t="s">
        <v>423</v>
      </c>
      <c r="J6374" t="s">
        <v>2813</v>
      </c>
      <c r="K6374" t="s">
        <v>2814</v>
      </c>
      <c r="L6374" t="s">
        <v>2815</v>
      </c>
      <c r="M6374">
        <v>365</v>
      </c>
      <c r="N6374">
        <v>24.181000000000001</v>
      </c>
      <c r="O6374">
        <v>6509.04</v>
      </c>
      <c r="P6374">
        <v>0</v>
      </c>
      <c r="Q6374">
        <v>6509.04</v>
      </c>
      <c r="R6374">
        <v>1041.45</v>
      </c>
      <c r="S6374">
        <v>260.36</v>
      </c>
      <c r="T6374">
        <v>7290.13</v>
      </c>
      <c r="U6374" t="s">
        <v>8522</v>
      </c>
      <c r="V6374" t="s">
        <v>9408</v>
      </c>
      <c r="W6374" t="s">
        <v>423</v>
      </c>
    </row>
    <row r="6375" spans="1:23" hidden="1" x14ac:dyDescent="0.2">
      <c r="A6375">
        <v>2012</v>
      </c>
      <c r="B6375" t="s">
        <v>304</v>
      </c>
      <c r="C6375" s="733">
        <v>40941</v>
      </c>
      <c r="D63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75" t="s">
        <v>485</v>
      </c>
      <c r="F6375" t="s">
        <v>2065</v>
      </c>
      <c r="G6375" t="s">
        <v>6938</v>
      </c>
      <c r="H6375">
        <v>40925</v>
      </c>
      <c r="I6375" t="s">
        <v>423</v>
      </c>
      <c r="J6375" t="s">
        <v>4626</v>
      </c>
      <c r="K6375" t="s">
        <v>2102</v>
      </c>
      <c r="L6375" t="s">
        <v>2115</v>
      </c>
      <c r="M6375">
        <v>1457</v>
      </c>
      <c r="N6375">
        <v>53.87</v>
      </c>
      <c r="O6375">
        <v>39859.49</v>
      </c>
      <c r="P6375">
        <v>0</v>
      </c>
      <c r="Q6375">
        <v>39859.49</v>
      </c>
      <c r="R6375">
        <v>6377.52</v>
      </c>
      <c r="S6375">
        <v>1594.38</v>
      </c>
      <c r="T6375">
        <v>44642.63</v>
      </c>
      <c r="V6375" t="s">
        <v>9409</v>
      </c>
      <c r="W6375" t="s">
        <v>423</v>
      </c>
    </row>
    <row r="6376" spans="1:23" hidden="1" x14ac:dyDescent="0.2">
      <c r="A6376">
        <v>2012</v>
      </c>
      <c r="B6376" t="s">
        <v>304</v>
      </c>
      <c r="C6376" s="733">
        <v>40953</v>
      </c>
      <c r="D63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76" t="s">
        <v>485</v>
      </c>
      <c r="F6376" t="s">
        <v>2065</v>
      </c>
      <c r="G6376" t="s">
        <v>6946</v>
      </c>
      <c r="H6376">
        <v>41566</v>
      </c>
      <c r="I6376" t="s">
        <v>423</v>
      </c>
      <c r="J6376" t="s">
        <v>4626</v>
      </c>
      <c r="K6376" t="s">
        <v>2102</v>
      </c>
      <c r="L6376" t="s">
        <v>2184</v>
      </c>
      <c r="M6376">
        <v>1457</v>
      </c>
      <c r="N6376">
        <v>52.61</v>
      </c>
      <c r="O6376">
        <v>38927.19</v>
      </c>
      <c r="P6376">
        <v>0</v>
      </c>
      <c r="Q6376">
        <v>38927.19</v>
      </c>
      <c r="R6376">
        <v>6228.35</v>
      </c>
      <c r="S6376">
        <v>1557.09</v>
      </c>
      <c r="T6376">
        <v>43598.45</v>
      </c>
      <c r="U6376" t="s">
        <v>8051</v>
      </c>
      <c r="V6376" t="s">
        <v>9409</v>
      </c>
      <c r="W6376" t="s">
        <v>423</v>
      </c>
    </row>
    <row r="6377" spans="1:23" hidden="1" x14ac:dyDescent="0.2">
      <c r="A6377">
        <v>2012</v>
      </c>
      <c r="B6377" t="s">
        <v>303</v>
      </c>
      <c r="C6377" s="733">
        <v>40927</v>
      </c>
      <c r="D63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77" t="s">
        <v>485</v>
      </c>
      <c r="F6377" t="s">
        <v>2065</v>
      </c>
      <c r="G6377" t="s">
        <v>6937</v>
      </c>
      <c r="H6377">
        <v>40449</v>
      </c>
      <c r="I6377" t="s">
        <v>423</v>
      </c>
      <c r="J6377" t="s">
        <v>4626</v>
      </c>
      <c r="K6377" t="s">
        <v>2102</v>
      </c>
      <c r="L6377" t="s">
        <v>2115</v>
      </c>
      <c r="M6377">
        <v>1457</v>
      </c>
      <c r="N6377">
        <v>51.83</v>
      </c>
      <c r="O6377">
        <v>38350.050000000003</v>
      </c>
      <c r="P6377">
        <v>0</v>
      </c>
      <c r="Q6377">
        <v>38350.050000000003</v>
      </c>
      <c r="R6377">
        <v>6136.01</v>
      </c>
      <c r="S6377">
        <v>1534</v>
      </c>
      <c r="T6377">
        <v>42952.06</v>
      </c>
      <c r="U6377" t="s">
        <v>2108</v>
      </c>
      <c r="V6377" t="s">
        <v>9409</v>
      </c>
      <c r="W6377" t="s">
        <v>423</v>
      </c>
    </row>
    <row r="6378" spans="1:23" hidden="1" x14ac:dyDescent="0.2">
      <c r="A6378">
        <v>2012</v>
      </c>
      <c r="B6378" t="s">
        <v>303</v>
      </c>
      <c r="C6378" s="733">
        <v>40918</v>
      </c>
      <c r="D63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78" t="s">
        <v>478</v>
      </c>
      <c r="F6378" t="s">
        <v>2136</v>
      </c>
      <c r="G6378" t="s">
        <v>6945</v>
      </c>
      <c r="H6378">
        <v>34327</v>
      </c>
      <c r="I6378" t="s">
        <v>423</v>
      </c>
      <c r="J6378" t="s">
        <v>4270</v>
      </c>
      <c r="K6378" t="s">
        <v>425</v>
      </c>
      <c r="L6378" t="s">
        <v>2145</v>
      </c>
      <c r="M6378">
        <v>560</v>
      </c>
      <c r="N6378">
        <v>25.28</v>
      </c>
      <c r="O6378">
        <v>8076.96</v>
      </c>
      <c r="P6378">
        <v>0</v>
      </c>
      <c r="Q6378">
        <v>8076.96</v>
      </c>
      <c r="R6378">
        <v>1292.31</v>
      </c>
      <c r="S6378">
        <v>323.08</v>
      </c>
      <c r="T6378">
        <v>9046.19</v>
      </c>
      <c r="U6378" t="s">
        <v>2146</v>
      </c>
      <c r="V6378" t="s">
        <v>9409</v>
      </c>
      <c r="W6378" t="s">
        <v>423</v>
      </c>
    </row>
    <row r="6379" spans="1:23" hidden="1" x14ac:dyDescent="0.2">
      <c r="A6379">
        <v>2012</v>
      </c>
      <c r="B6379" t="s">
        <v>303</v>
      </c>
      <c r="C6379" s="733">
        <v>40920.490567129629</v>
      </c>
      <c r="D63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79" t="s">
        <v>485</v>
      </c>
      <c r="F6379" t="s">
        <v>2048</v>
      </c>
      <c r="G6379" t="s">
        <v>6419</v>
      </c>
      <c r="H6379">
        <v>40202</v>
      </c>
      <c r="I6379" t="s">
        <v>423</v>
      </c>
      <c r="J6379" t="s">
        <v>4770</v>
      </c>
      <c r="K6379" t="s">
        <v>2051</v>
      </c>
      <c r="L6379" t="s">
        <v>2052</v>
      </c>
      <c r="M6379">
        <v>599</v>
      </c>
      <c r="N6379">
        <v>28.3</v>
      </c>
      <c r="O6379">
        <v>9871.0400000000009</v>
      </c>
      <c r="P6379">
        <v>0</v>
      </c>
      <c r="Q6379">
        <v>9871.0400000000009</v>
      </c>
      <c r="R6379">
        <v>1579.37</v>
      </c>
      <c r="S6379">
        <v>394.84</v>
      </c>
      <c r="T6379">
        <v>11055.57</v>
      </c>
      <c r="U6379" t="s">
        <v>2062</v>
      </c>
      <c r="V6379" t="s">
        <v>9408</v>
      </c>
      <c r="W6379" t="s">
        <v>423</v>
      </c>
    </row>
    <row r="6380" spans="1:23" x14ac:dyDescent="0.2">
      <c r="A6380">
        <v>2012</v>
      </c>
      <c r="B6380" t="s">
        <v>304</v>
      </c>
      <c r="C6380" s="733">
        <v>40967</v>
      </c>
      <c r="D63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80" t="s">
        <v>485</v>
      </c>
      <c r="F6380" t="s">
        <v>2065</v>
      </c>
      <c r="G6380" t="s">
        <v>8860</v>
      </c>
      <c r="H6380">
        <v>42606</v>
      </c>
      <c r="I6380" t="s">
        <v>423</v>
      </c>
      <c r="J6380" t="s">
        <v>4770</v>
      </c>
      <c r="K6380" t="s">
        <v>2051</v>
      </c>
      <c r="L6380" t="s">
        <v>2052</v>
      </c>
      <c r="M6380">
        <v>599</v>
      </c>
      <c r="N6380">
        <v>25</v>
      </c>
      <c r="O6380">
        <v>8720</v>
      </c>
      <c r="P6380">
        <v>0</v>
      </c>
      <c r="Q6380">
        <v>8720</v>
      </c>
      <c r="R6380">
        <v>1395.2</v>
      </c>
      <c r="S6380">
        <v>348.8</v>
      </c>
      <c r="T6380">
        <v>9766.4</v>
      </c>
      <c r="V6380" t="s">
        <v>9408</v>
      </c>
      <c r="W6380" t="s">
        <v>423</v>
      </c>
    </row>
    <row r="6381" spans="1:23" hidden="1" x14ac:dyDescent="0.2">
      <c r="A6381">
        <v>2012</v>
      </c>
      <c r="B6381" t="s">
        <v>303</v>
      </c>
      <c r="C6381" s="733">
        <v>40924</v>
      </c>
      <c r="D63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81" t="s">
        <v>485</v>
      </c>
      <c r="F6381" t="s">
        <v>2054</v>
      </c>
      <c r="G6381" t="s">
        <v>6339</v>
      </c>
      <c r="H6381">
        <v>40400</v>
      </c>
      <c r="I6381" t="s">
        <v>423</v>
      </c>
      <c r="J6381" t="s">
        <v>4073</v>
      </c>
      <c r="K6381" t="s">
        <v>2051</v>
      </c>
      <c r="L6381" t="s">
        <v>2052</v>
      </c>
      <c r="M6381">
        <v>610</v>
      </c>
      <c r="N6381">
        <v>28.75</v>
      </c>
      <c r="O6381">
        <v>10191.59</v>
      </c>
      <c r="P6381">
        <v>0</v>
      </c>
      <c r="Q6381">
        <v>10191.59</v>
      </c>
      <c r="R6381">
        <v>1630.65</v>
      </c>
      <c r="S6381">
        <v>407.66</v>
      </c>
      <c r="T6381">
        <v>11414.58</v>
      </c>
      <c r="U6381" t="s">
        <v>2062</v>
      </c>
      <c r="V6381" t="s">
        <v>9408</v>
      </c>
      <c r="W6381" t="s">
        <v>423</v>
      </c>
    </row>
    <row r="6382" spans="1:23" hidden="1" x14ac:dyDescent="0.2">
      <c r="A6382">
        <v>2012</v>
      </c>
      <c r="B6382" t="s">
        <v>304</v>
      </c>
      <c r="C6382" s="733">
        <v>40968</v>
      </c>
      <c r="D63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82" t="s">
        <v>478</v>
      </c>
      <c r="F6382" t="s">
        <v>2136</v>
      </c>
      <c r="G6382" t="s">
        <v>9648</v>
      </c>
      <c r="H6382">
        <v>36064</v>
      </c>
      <c r="I6382" t="s">
        <v>423</v>
      </c>
      <c r="J6382" t="s">
        <v>4632</v>
      </c>
      <c r="K6382" t="s">
        <v>425</v>
      </c>
      <c r="L6382" t="s">
        <v>2145</v>
      </c>
      <c r="M6382">
        <v>1395</v>
      </c>
      <c r="N6382">
        <v>39.549999999999997</v>
      </c>
      <c r="O6382">
        <v>35863.54</v>
      </c>
      <c r="P6382">
        <v>0</v>
      </c>
      <c r="Q6382">
        <v>35863.54</v>
      </c>
      <c r="R6382">
        <v>5738.17</v>
      </c>
      <c r="S6382">
        <v>1434.54</v>
      </c>
      <c r="T6382">
        <v>40167.17</v>
      </c>
      <c r="U6382" t="s">
        <v>9430</v>
      </c>
      <c r="V6382" t="s">
        <v>9409</v>
      </c>
      <c r="W6382" t="s">
        <v>423</v>
      </c>
    </row>
    <row r="6383" spans="1:23" hidden="1" x14ac:dyDescent="0.2">
      <c r="A6383">
        <v>2012</v>
      </c>
      <c r="B6383" t="s">
        <v>303</v>
      </c>
      <c r="C6383" s="733">
        <v>40920</v>
      </c>
      <c r="D63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83" t="s">
        <v>478</v>
      </c>
      <c r="F6383" t="s">
        <v>2136</v>
      </c>
      <c r="G6383" t="s">
        <v>6944</v>
      </c>
      <c r="H6383">
        <v>34332</v>
      </c>
      <c r="I6383" t="s">
        <v>423</v>
      </c>
      <c r="J6383" t="s">
        <v>4632</v>
      </c>
      <c r="K6383" t="s">
        <v>425</v>
      </c>
      <c r="L6383" t="s">
        <v>2145</v>
      </c>
      <c r="M6383">
        <v>1395</v>
      </c>
      <c r="N6383">
        <v>52.1</v>
      </c>
      <c r="O6383">
        <v>47243.76</v>
      </c>
      <c r="P6383">
        <v>0</v>
      </c>
      <c r="Q6383">
        <v>47243.76</v>
      </c>
      <c r="R6383">
        <v>7559</v>
      </c>
      <c r="S6383">
        <v>1889.75</v>
      </c>
      <c r="T6383">
        <v>52913.01</v>
      </c>
      <c r="U6383" t="s">
        <v>2350</v>
      </c>
      <c r="V6383" t="s">
        <v>9409</v>
      </c>
      <c r="W6383" t="s">
        <v>423</v>
      </c>
    </row>
    <row r="6384" spans="1:23" hidden="1" x14ac:dyDescent="0.2">
      <c r="A6384">
        <v>2012</v>
      </c>
      <c r="B6384" t="s">
        <v>303</v>
      </c>
      <c r="C6384" s="733">
        <v>40915</v>
      </c>
      <c r="D63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84" t="s">
        <v>505</v>
      </c>
      <c r="F6384" t="s">
        <v>1915</v>
      </c>
      <c r="G6384" t="s">
        <v>6652</v>
      </c>
      <c r="H6384">
        <v>21739</v>
      </c>
      <c r="I6384" t="s">
        <v>423</v>
      </c>
      <c r="J6384" t="s">
        <v>4760</v>
      </c>
      <c r="K6384" t="s">
        <v>1918</v>
      </c>
      <c r="L6384" t="s">
        <v>1919</v>
      </c>
      <c r="M6384">
        <v>444</v>
      </c>
      <c r="N6384">
        <v>52.69</v>
      </c>
      <c r="O6384">
        <v>16351.81</v>
      </c>
      <c r="P6384">
        <v>0</v>
      </c>
      <c r="Q6384">
        <v>16351.81</v>
      </c>
      <c r="R6384">
        <v>2616.29</v>
      </c>
      <c r="S6384">
        <v>654.07000000000005</v>
      </c>
      <c r="T6384">
        <v>18314.03</v>
      </c>
      <c r="U6384" t="s">
        <v>1920</v>
      </c>
      <c r="V6384" t="s">
        <v>9409</v>
      </c>
      <c r="W6384" t="s">
        <v>423</v>
      </c>
    </row>
    <row r="6385" spans="1:23" hidden="1" x14ac:dyDescent="0.2">
      <c r="A6385">
        <v>2012</v>
      </c>
      <c r="B6385" t="s">
        <v>303</v>
      </c>
      <c r="C6385" s="733">
        <v>40921</v>
      </c>
      <c r="D63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85" t="s">
        <v>485</v>
      </c>
      <c r="F6385" t="s">
        <v>2065</v>
      </c>
      <c r="G6385" t="s">
        <v>6329</v>
      </c>
      <c r="H6385">
        <v>40033</v>
      </c>
      <c r="I6385" t="s">
        <v>423</v>
      </c>
      <c r="J6385" t="s">
        <v>4518</v>
      </c>
      <c r="K6385" t="s">
        <v>2183</v>
      </c>
      <c r="L6385" t="s">
        <v>2184</v>
      </c>
      <c r="M6385">
        <v>337</v>
      </c>
      <c r="N6385">
        <v>26.33</v>
      </c>
      <c r="O6385">
        <v>5840.52</v>
      </c>
      <c r="P6385">
        <v>0</v>
      </c>
      <c r="Q6385">
        <v>5840.52</v>
      </c>
      <c r="R6385">
        <v>934.48</v>
      </c>
      <c r="S6385">
        <v>233.62</v>
      </c>
      <c r="T6385">
        <v>6541.38</v>
      </c>
      <c r="U6385" t="s">
        <v>2187</v>
      </c>
      <c r="V6385" t="s">
        <v>9409</v>
      </c>
      <c r="W6385" t="s">
        <v>423</v>
      </c>
    </row>
    <row r="6386" spans="1:23" hidden="1" x14ac:dyDescent="0.2">
      <c r="A6386">
        <v>2012</v>
      </c>
      <c r="B6386" t="s">
        <v>303</v>
      </c>
      <c r="C6386" s="733">
        <v>40939</v>
      </c>
      <c r="D63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86" t="s">
        <v>485</v>
      </c>
      <c r="F6386" t="s">
        <v>2065</v>
      </c>
      <c r="G6386" t="s">
        <v>6330</v>
      </c>
      <c r="H6386">
        <v>40842</v>
      </c>
      <c r="I6386" t="s">
        <v>423</v>
      </c>
      <c r="J6386" t="s">
        <v>3054</v>
      </c>
      <c r="K6386" t="s">
        <v>2183</v>
      </c>
      <c r="L6386" t="s">
        <v>2184</v>
      </c>
      <c r="M6386">
        <v>43</v>
      </c>
      <c r="N6386">
        <v>15.65</v>
      </c>
      <c r="O6386">
        <v>1766.42</v>
      </c>
      <c r="P6386">
        <v>0</v>
      </c>
      <c r="Q6386">
        <v>1766.42</v>
      </c>
      <c r="R6386">
        <v>282.63</v>
      </c>
      <c r="S6386">
        <v>70.66</v>
      </c>
      <c r="T6386">
        <v>1978.39</v>
      </c>
      <c r="U6386" t="s">
        <v>2192</v>
      </c>
      <c r="V6386" t="s">
        <v>9408</v>
      </c>
      <c r="W6386" t="s">
        <v>423</v>
      </c>
    </row>
    <row r="6387" spans="1:23" hidden="1" x14ac:dyDescent="0.2">
      <c r="A6387">
        <v>2012</v>
      </c>
      <c r="B6387" t="s">
        <v>303</v>
      </c>
      <c r="C6387" s="733">
        <v>40924</v>
      </c>
      <c r="D63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87" t="s">
        <v>505</v>
      </c>
      <c r="F6387" t="s">
        <v>1915</v>
      </c>
      <c r="G6387" t="s">
        <v>6426</v>
      </c>
      <c r="H6387">
        <v>22005</v>
      </c>
      <c r="I6387" t="s">
        <v>423</v>
      </c>
      <c r="J6387" t="s">
        <v>4760</v>
      </c>
      <c r="K6387" t="s">
        <v>1918</v>
      </c>
      <c r="L6387" t="s">
        <v>1919</v>
      </c>
      <c r="M6387">
        <v>444</v>
      </c>
      <c r="N6387">
        <v>26.44</v>
      </c>
      <c r="O6387">
        <v>8205.39</v>
      </c>
      <c r="P6387">
        <v>0</v>
      </c>
      <c r="Q6387">
        <v>8205.39</v>
      </c>
      <c r="R6387">
        <v>1312.86</v>
      </c>
      <c r="S6387">
        <v>328.22</v>
      </c>
      <c r="T6387">
        <v>9190.0300000000007</v>
      </c>
      <c r="U6387" t="s">
        <v>1931</v>
      </c>
      <c r="V6387" t="s">
        <v>9408</v>
      </c>
      <c r="W6387" t="s">
        <v>423</v>
      </c>
    </row>
    <row r="6388" spans="1:23" hidden="1" x14ac:dyDescent="0.2">
      <c r="A6388">
        <v>2012</v>
      </c>
      <c r="B6388" t="s">
        <v>303</v>
      </c>
      <c r="C6388" s="733">
        <v>40915</v>
      </c>
      <c r="D63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88" t="s">
        <v>505</v>
      </c>
      <c r="F6388" t="s">
        <v>1915</v>
      </c>
      <c r="G6388" t="s">
        <v>2780</v>
      </c>
      <c r="H6388">
        <v>21798</v>
      </c>
      <c r="I6388" t="s">
        <v>424</v>
      </c>
      <c r="J6388" t="s">
        <v>1954</v>
      </c>
      <c r="K6388" t="s">
        <v>1918</v>
      </c>
      <c r="L6388" t="s">
        <v>1919</v>
      </c>
      <c r="M6388">
        <v>303</v>
      </c>
      <c r="N6388">
        <v>30</v>
      </c>
      <c r="O6388">
        <v>2314.83</v>
      </c>
      <c r="P6388">
        <v>1330.309653</v>
      </c>
      <c r="Q6388">
        <v>3645.1396530000002</v>
      </c>
      <c r="R6388">
        <v>583.22234400000002</v>
      </c>
      <c r="S6388">
        <v>145.80558600000001</v>
      </c>
      <c r="T6388">
        <v>4082.556411</v>
      </c>
      <c r="U6388" t="s">
        <v>1920</v>
      </c>
      <c r="V6388" t="s">
        <v>9408</v>
      </c>
      <c r="W6388" t="s">
        <v>424</v>
      </c>
    </row>
    <row r="6389" spans="1:23" hidden="1" x14ac:dyDescent="0.2">
      <c r="A6389">
        <v>2012</v>
      </c>
      <c r="B6389" t="s">
        <v>303</v>
      </c>
      <c r="C6389" s="733">
        <v>40928</v>
      </c>
      <c r="D63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89" t="s">
        <v>485</v>
      </c>
      <c r="F6389" t="s">
        <v>2065</v>
      </c>
      <c r="G6389" t="s">
        <v>6947</v>
      </c>
      <c r="H6389">
        <v>40518</v>
      </c>
      <c r="I6389" t="s">
        <v>423</v>
      </c>
      <c r="J6389" t="s">
        <v>4626</v>
      </c>
      <c r="K6389" t="s">
        <v>2102</v>
      </c>
      <c r="L6389" t="s">
        <v>2115</v>
      </c>
      <c r="M6389">
        <v>1457</v>
      </c>
      <c r="N6389">
        <v>25.62</v>
      </c>
      <c r="O6389">
        <v>18956.75</v>
      </c>
      <c r="P6389">
        <v>0</v>
      </c>
      <c r="Q6389">
        <v>18956.75</v>
      </c>
      <c r="R6389">
        <v>3033.08</v>
      </c>
      <c r="S6389">
        <v>758.27</v>
      </c>
      <c r="T6389">
        <v>21231.56</v>
      </c>
      <c r="U6389" t="s">
        <v>2108</v>
      </c>
      <c r="V6389" t="s">
        <v>9409</v>
      </c>
      <c r="W6389" t="s">
        <v>423</v>
      </c>
    </row>
    <row r="6390" spans="1:23" hidden="1" x14ac:dyDescent="0.2">
      <c r="A6390">
        <v>2012</v>
      </c>
      <c r="B6390" t="s">
        <v>303</v>
      </c>
      <c r="C6390" s="733">
        <v>40915</v>
      </c>
      <c r="D63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90" t="s">
        <v>505</v>
      </c>
      <c r="F6390" t="s">
        <v>1915</v>
      </c>
      <c r="G6390" t="s">
        <v>2763</v>
      </c>
      <c r="H6390">
        <v>21795</v>
      </c>
      <c r="I6390" t="s">
        <v>424</v>
      </c>
      <c r="J6390" t="s">
        <v>1917</v>
      </c>
      <c r="K6390" t="s">
        <v>1918</v>
      </c>
      <c r="L6390" t="s">
        <v>1919</v>
      </c>
      <c r="M6390">
        <v>267</v>
      </c>
      <c r="N6390">
        <v>30</v>
      </c>
      <c r="O6390">
        <v>2929.97</v>
      </c>
      <c r="P6390">
        <v>1683.8244589999999</v>
      </c>
      <c r="Q6390">
        <v>4613.7944589999997</v>
      </c>
      <c r="R6390">
        <v>738.20711300000005</v>
      </c>
      <c r="S6390">
        <v>184.55177800000001</v>
      </c>
      <c r="T6390">
        <v>5167.4497940000001</v>
      </c>
      <c r="U6390" t="s">
        <v>1920</v>
      </c>
      <c r="V6390" t="s">
        <v>9408</v>
      </c>
      <c r="W6390" t="s">
        <v>424</v>
      </c>
    </row>
    <row r="6391" spans="1:23" hidden="1" x14ac:dyDescent="0.2">
      <c r="A6391">
        <v>2012</v>
      </c>
      <c r="B6391" t="s">
        <v>304</v>
      </c>
      <c r="C6391" s="733">
        <v>40946</v>
      </c>
      <c r="D63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91" t="s">
        <v>505</v>
      </c>
      <c r="F6391" t="s">
        <v>1915</v>
      </c>
      <c r="G6391" t="s">
        <v>2764</v>
      </c>
      <c r="H6391">
        <v>22507</v>
      </c>
      <c r="I6391" t="s">
        <v>424</v>
      </c>
      <c r="J6391" t="s">
        <v>1917</v>
      </c>
      <c r="K6391" t="s">
        <v>1918</v>
      </c>
      <c r="L6391" t="s">
        <v>1919</v>
      </c>
      <c r="M6391">
        <v>267</v>
      </c>
      <c r="N6391">
        <v>30</v>
      </c>
      <c r="O6391">
        <v>2929.97</v>
      </c>
      <c r="P6391">
        <v>1683.8244589999999</v>
      </c>
      <c r="Q6391">
        <v>4613.7944589999997</v>
      </c>
      <c r="R6391">
        <v>738.20711300000005</v>
      </c>
      <c r="S6391">
        <v>184.55177800000001</v>
      </c>
      <c r="T6391">
        <v>5167.4497940000001</v>
      </c>
      <c r="U6391" t="s">
        <v>1924</v>
      </c>
      <c r="V6391" t="s">
        <v>9408</v>
      </c>
      <c r="W6391" t="s">
        <v>424</v>
      </c>
    </row>
    <row r="6392" spans="1:23" hidden="1" x14ac:dyDescent="0.2">
      <c r="A6392">
        <v>2012</v>
      </c>
      <c r="B6392" t="s">
        <v>304</v>
      </c>
      <c r="C6392" s="733">
        <v>40959</v>
      </c>
      <c r="D63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92" t="s">
        <v>505</v>
      </c>
      <c r="F6392" t="s">
        <v>1915</v>
      </c>
      <c r="G6392" t="s">
        <v>8043</v>
      </c>
      <c r="H6392">
        <v>22861</v>
      </c>
      <c r="I6392" t="s">
        <v>424</v>
      </c>
      <c r="J6392" t="s">
        <v>1917</v>
      </c>
      <c r="K6392" t="s">
        <v>1918</v>
      </c>
      <c r="L6392" t="s">
        <v>1919</v>
      </c>
      <c r="M6392">
        <v>267</v>
      </c>
      <c r="N6392">
        <v>30</v>
      </c>
      <c r="O6392">
        <v>2929.97</v>
      </c>
      <c r="P6392">
        <v>1683.8244589999999</v>
      </c>
      <c r="Q6392">
        <v>4613.7944589999997</v>
      </c>
      <c r="R6392">
        <v>738.20711300000005</v>
      </c>
      <c r="S6392">
        <v>184.55177800000001</v>
      </c>
      <c r="T6392">
        <v>5167.4497940000001</v>
      </c>
      <c r="V6392" t="s">
        <v>9408</v>
      </c>
      <c r="W6392" t="s">
        <v>424</v>
      </c>
    </row>
    <row r="6393" spans="1:23" hidden="1" x14ac:dyDescent="0.2">
      <c r="A6393">
        <v>2012</v>
      </c>
      <c r="B6393" t="s">
        <v>303</v>
      </c>
      <c r="C6393" s="733">
        <v>40935</v>
      </c>
      <c r="D63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93" t="s">
        <v>485</v>
      </c>
      <c r="F6393" t="s">
        <v>2065</v>
      </c>
      <c r="G6393" t="s">
        <v>4983</v>
      </c>
      <c r="H6393">
        <v>39956</v>
      </c>
      <c r="I6393" t="s">
        <v>423</v>
      </c>
      <c r="J6393" t="s">
        <v>3054</v>
      </c>
      <c r="K6393" t="s">
        <v>2183</v>
      </c>
      <c r="L6393" t="s">
        <v>2184</v>
      </c>
      <c r="M6393">
        <v>43</v>
      </c>
      <c r="N6393">
        <v>14.7</v>
      </c>
      <c r="O6393">
        <v>1659.19</v>
      </c>
      <c r="P6393">
        <v>0</v>
      </c>
      <c r="Q6393">
        <v>1659.19</v>
      </c>
      <c r="R6393">
        <v>265.47000000000003</v>
      </c>
      <c r="S6393">
        <v>66.37</v>
      </c>
      <c r="T6393">
        <v>1858.29</v>
      </c>
      <c r="U6393" t="s">
        <v>2187</v>
      </c>
      <c r="V6393" t="s">
        <v>9408</v>
      </c>
      <c r="W6393" t="s">
        <v>423</v>
      </c>
    </row>
    <row r="6394" spans="1:23" hidden="1" x14ac:dyDescent="0.2">
      <c r="A6394">
        <v>2012</v>
      </c>
      <c r="B6394" t="s">
        <v>304</v>
      </c>
      <c r="C6394" s="733">
        <v>40956</v>
      </c>
      <c r="D63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94" t="s">
        <v>505</v>
      </c>
      <c r="F6394" t="s">
        <v>2065</v>
      </c>
      <c r="G6394" t="s">
        <v>8037</v>
      </c>
      <c r="H6394">
        <v>22801</v>
      </c>
      <c r="I6394" t="s">
        <v>424</v>
      </c>
      <c r="J6394" t="s">
        <v>1917</v>
      </c>
      <c r="K6394" t="s">
        <v>1918</v>
      </c>
      <c r="L6394" t="s">
        <v>1919</v>
      </c>
      <c r="M6394">
        <v>267</v>
      </c>
      <c r="N6394">
        <v>30</v>
      </c>
      <c r="O6394">
        <v>2929.97</v>
      </c>
      <c r="P6394">
        <v>1683.8244589999999</v>
      </c>
      <c r="Q6394">
        <v>4613.7944589999997</v>
      </c>
      <c r="R6394">
        <v>738.20711300000005</v>
      </c>
      <c r="S6394">
        <v>184.55177800000001</v>
      </c>
      <c r="T6394">
        <v>5167.4497940000001</v>
      </c>
      <c r="U6394" t="s">
        <v>7529</v>
      </c>
      <c r="V6394" t="s">
        <v>9408</v>
      </c>
      <c r="W6394" t="s">
        <v>424</v>
      </c>
    </row>
    <row r="6395" spans="1:23" hidden="1" x14ac:dyDescent="0.2">
      <c r="A6395">
        <v>2012</v>
      </c>
      <c r="B6395" t="s">
        <v>303</v>
      </c>
      <c r="C6395" s="733">
        <v>40915</v>
      </c>
      <c r="D63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95" t="s">
        <v>505</v>
      </c>
      <c r="F6395" t="s">
        <v>2065</v>
      </c>
      <c r="G6395" t="s">
        <v>6874</v>
      </c>
      <c r="H6395">
        <v>21733</v>
      </c>
      <c r="I6395" t="s">
        <v>424</v>
      </c>
      <c r="J6395" t="s">
        <v>1917</v>
      </c>
      <c r="K6395" t="s">
        <v>1918</v>
      </c>
      <c r="L6395" t="s">
        <v>1919</v>
      </c>
      <c r="M6395">
        <v>267</v>
      </c>
      <c r="N6395">
        <v>30</v>
      </c>
      <c r="O6395">
        <v>2929.97</v>
      </c>
      <c r="P6395">
        <v>1683.8244589999999</v>
      </c>
      <c r="Q6395">
        <v>4613.7944589999997</v>
      </c>
      <c r="R6395">
        <v>738.20711300000005</v>
      </c>
      <c r="S6395">
        <v>184.55177800000001</v>
      </c>
      <c r="T6395">
        <v>5167.4497940000001</v>
      </c>
      <c r="U6395" t="s">
        <v>1920</v>
      </c>
      <c r="V6395" t="s">
        <v>9408</v>
      </c>
      <c r="W6395" t="s">
        <v>424</v>
      </c>
    </row>
    <row r="6396" spans="1:23" hidden="1" x14ac:dyDescent="0.2">
      <c r="A6396">
        <v>2012</v>
      </c>
      <c r="B6396" t="s">
        <v>303</v>
      </c>
      <c r="C6396" s="733">
        <v>40928.494143518517</v>
      </c>
      <c r="D63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396" t="s">
        <v>485</v>
      </c>
      <c r="F6396" t="s">
        <v>2065</v>
      </c>
      <c r="G6396" t="s">
        <v>6332</v>
      </c>
      <c r="H6396">
        <v>40638</v>
      </c>
      <c r="I6396" t="s">
        <v>423</v>
      </c>
      <c r="J6396" t="s">
        <v>2186</v>
      </c>
      <c r="K6396" t="s">
        <v>4524</v>
      </c>
      <c r="L6396" t="s">
        <v>2184</v>
      </c>
      <c r="M6396">
        <v>19</v>
      </c>
      <c r="N6396">
        <v>15.97</v>
      </c>
      <c r="O6396">
        <v>1802.53</v>
      </c>
      <c r="P6396">
        <v>0</v>
      </c>
      <c r="Q6396">
        <v>1802.53</v>
      </c>
      <c r="R6396">
        <v>288.41000000000003</v>
      </c>
      <c r="S6396">
        <v>72.099999999999994</v>
      </c>
      <c r="T6396">
        <v>2018.84</v>
      </c>
      <c r="U6396" t="s">
        <v>2187</v>
      </c>
      <c r="V6396" t="s">
        <v>9408</v>
      </c>
      <c r="W6396" t="s">
        <v>423</v>
      </c>
    </row>
    <row r="6397" spans="1:23" hidden="1" x14ac:dyDescent="0.2">
      <c r="A6397">
        <v>2012</v>
      </c>
      <c r="B6397" t="s">
        <v>304</v>
      </c>
      <c r="C6397" s="733">
        <v>40952</v>
      </c>
      <c r="D63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97" t="s">
        <v>478</v>
      </c>
      <c r="F6397" t="s">
        <v>2142</v>
      </c>
      <c r="G6397" t="s">
        <v>6943</v>
      </c>
      <c r="H6397">
        <v>35485</v>
      </c>
      <c r="I6397" t="s">
        <v>423</v>
      </c>
      <c r="J6397" t="s">
        <v>4632</v>
      </c>
      <c r="K6397" t="s">
        <v>425</v>
      </c>
      <c r="L6397" t="s">
        <v>2145</v>
      </c>
      <c r="M6397">
        <v>1395</v>
      </c>
      <c r="N6397">
        <v>48.44</v>
      </c>
      <c r="O6397">
        <v>43924.91</v>
      </c>
      <c r="P6397">
        <v>0</v>
      </c>
      <c r="Q6397">
        <v>43924.91</v>
      </c>
      <c r="R6397">
        <v>7027.99</v>
      </c>
      <c r="S6397">
        <v>1757</v>
      </c>
      <c r="T6397">
        <v>49195.9</v>
      </c>
      <c r="U6397" t="s">
        <v>7523</v>
      </c>
      <c r="V6397" t="s">
        <v>9409</v>
      </c>
      <c r="W6397" t="s">
        <v>423</v>
      </c>
    </row>
    <row r="6398" spans="1:23" hidden="1" x14ac:dyDescent="0.2">
      <c r="A6398">
        <v>2012</v>
      </c>
      <c r="B6398" t="s">
        <v>304</v>
      </c>
      <c r="C6398" s="733">
        <v>40960</v>
      </c>
      <c r="D63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98" t="s">
        <v>505</v>
      </c>
      <c r="F6398" t="s">
        <v>1915</v>
      </c>
      <c r="G6398" t="s">
        <v>8061</v>
      </c>
      <c r="H6398">
        <v>22867</v>
      </c>
      <c r="I6398" t="s">
        <v>1979</v>
      </c>
      <c r="J6398" t="s">
        <v>1917</v>
      </c>
      <c r="K6398" t="s">
        <v>1918</v>
      </c>
      <c r="L6398" t="s">
        <v>1919</v>
      </c>
      <c r="M6398">
        <v>267</v>
      </c>
      <c r="N6398">
        <v>49.99</v>
      </c>
      <c r="O6398">
        <v>11239.75</v>
      </c>
      <c r="P6398">
        <v>0</v>
      </c>
      <c r="Q6398">
        <v>11239.75</v>
      </c>
      <c r="R6398">
        <v>1798.36</v>
      </c>
      <c r="S6398">
        <v>449.59</v>
      </c>
      <c r="T6398">
        <v>12588.52</v>
      </c>
      <c r="U6398" t="s">
        <v>8491</v>
      </c>
      <c r="V6398" t="s">
        <v>9409</v>
      </c>
      <c r="W6398" t="s">
        <v>1979</v>
      </c>
    </row>
    <row r="6399" spans="1:23" hidden="1" x14ac:dyDescent="0.2">
      <c r="A6399">
        <v>2012</v>
      </c>
      <c r="B6399" t="s">
        <v>304</v>
      </c>
      <c r="C6399" s="733">
        <v>40949</v>
      </c>
      <c r="D63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399" t="s">
        <v>505</v>
      </c>
      <c r="F6399" t="s">
        <v>1915</v>
      </c>
      <c r="G6399" t="s">
        <v>2760</v>
      </c>
      <c r="H6399">
        <v>22626</v>
      </c>
      <c r="I6399" t="s">
        <v>423</v>
      </c>
      <c r="J6399" t="s">
        <v>1917</v>
      </c>
      <c r="K6399" t="s">
        <v>1918</v>
      </c>
      <c r="L6399" t="s">
        <v>1919</v>
      </c>
      <c r="M6399">
        <v>267</v>
      </c>
      <c r="N6399">
        <v>49.75</v>
      </c>
      <c r="O6399">
        <v>11185.79</v>
      </c>
      <c r="P6399">
        <v>0</v>
      </c>
      <c r="Q6399">
        <v>11185.79</v>
      </c>
      <c r="R6399">
        <v>1789.73</v>
      </c>
      <c r="S6399">
        <v>447.43</v>
      </c>
      <c r="T6399">
        <v>12528.09</v>
      </c>
      <c r="U6399" t="s">
        <v>7522</v>
      </c>
      <c r="V6399" t="s">
        <v>9409</v>
      </c>
      <c r="W6399" t="s">
        <v>423</v>
      </c>
    </row>
    <row r="6400" spans="1:23" x14ac:dyDescent="0.2">
      <c r="A6400">
        <v>2012</v>
      </c>
      <c r="B6400" t="s">
        <v>304</v>
      </c>
      <c r="C6400" s="733">
        <v>40967</v>
      </c>
      <c r="D64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00" t="s">
        <v>485</v>
      </c>
      <c r="F6400" t="s">
        <v>2065</v>
      </c>
      <c r="G6400" t="s">
        <v>9391</v>
      </c>
      <c r="H6400">
        <v>42659</v>
      </c>
      <c r="I6400" t="s">
        <v>423</v>
      </c>
      <c r="J6400" t="s">
        <v>2189</v>
      </c>
      <c r="K6400" t="s">
        <v>2183</v>
      </c>
      <c r="L6400" t="s">
        <v>2184</v>
      </c>
      <c r="M6400">
        <v>720</v>
      </c>
      <c r="N6400">
        <v>26.16</v>
      </c>
      <c r="O6400">
        <v>11612.16</v>
      </c>
      <c r="P6400">
        <v>0</v>
      </c>
      <c r="Q6400">
        <v>11612.16</v>
      </c>
      <c r="R6400">
        <v>1857.95</v>
      </c>
      <c r="S6400">
        <v>464.49</v>
      </c>
      <c r="T6400">
        <v>13005.62</v>
      </c>
      <c r="V6400" t="s">
        <v>9408</v>
      </c>
      <c r="W6400" t="s">
        <v>423</v>
      </c>
    </row>
    <row r="6401" spans="1:23" hidden="1" x14ac:dyDescent="0.2">
      <c r="A6401">
        <v>2012</v>
      </c>
      <c r="B6401" t="s">
        <v>303</v>
      </c>
      <c r="C6401" s="733">
        <v>40918.475092592591</v>
      </c>
      <c r="D64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01" t="s">
        <v>478</v>
      </c>
      <c r="F6401" t="s">
        <v>2622</v>
      </c>
      <c r="G6401" t="s">
        <v>5579</v>
      </c>
      <c r="H6401">
        <v>34389</v>
      </c>
      <c r="I6401" t="s">
        <v>423</v>
      </c>
      <c r="J6401" t="s">
        <v>2629</v>
      </c>
      <c r="K6401" t="s">
        <v>2625</v>
      </c>
      <c r="L6401" t="s">
        <v>2626</v>
      </c>
      <c r="M6401">
        <v>33</v>
      </c>
      <c r="N6401">
        <v>25.34</v>
      </c>
      <c r="O6401">
        <v>2955.66</v>
      </c>
      <c r="P6401">
        <v>0</v>
      </c>
      <c r="Q6401">
        <v>2955.66</v>
      </c>
      <c r="R6401">
        <v>472.91</v>
      </c>
      <c r="S6401">
        <v>118.23</v>
      </c>
      <c r="T6401">
        <v>3310.34</v>
      </c>
      <c r="U6401" t="s">
        <v>2627</v>
      </c>
      <c r="V6401" t="s">
        <v>9408</v>
      </c>
      <c r="W6401" t="s">
        <v>423</v>
      </c>
    </row>
    <row r="6402" spans="1:23" hidden="1" x14ac:dyDescent="0.2">
      <c r="A6402">
        <v>2012</v>
      </c>
      <c r="B6402" t="s">
        <v>304</v>
      </c>
      <c r="C6402" s="733">
        <v>40952.594224537039</v>
      </c>
      <c r="D64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02" t="s">
        <v>485</v>
      </c>
      <c r="F6402" t="s">
        <v>2099</v>
      </c>
      <c r="G6402" t="s">
        <v>4188</v>
      </c>
      <c r="H6402">
        <v>41852</v>
      </c>
      <c r="I6402" t="s">
        <v>423</v>
      </c>
      <c r="J6402" t="s">
        <v>2101</v>
      </c>
      <c r="K6402" t="s">
        <v>2102</v>
      </c>
      <c r="L6402" t="s">
        <v>2103</v>
      </c>
      <c r="M6402">
        <v>119</v>
      </c>
      <c r="N6402">
        <v>24.38</v>
      </c>
      <c r="O6402">
        <v>4089.26</v>
      </c>
      <c r="P6402">
        <v>0</v>
      </c>
      <c r="Q6402">
        <v>4089.26</v>
      </c>
      <c r="R6402">
        <v>654.28</v>
      </c>
      <c r="S6402">
        <v>163.57</v>
      </c>
      <c r="T6402">
        <v>4579.97</v>
      </c>
      <c r="U6402" t="s">
        <v>7462</v>
      </c>
      <c r="V6402" t="s">
        <v>9408</v>
      </c>
      <c r="W6402" t="s">
        <v>423</v>
      </c>
    </row>
    <row r="6403" spans="1:23" hidden="1" x14ac:dyDescent="0.2">
      <c r="A6403">
        <v>2012</v>
      </c>
      <c r="B6403" t="s">
        <v>305</v>
      </c>
      <c r="C6403" s="733">
        <v>40970.524386574078</v>
      </c>
      <c r="D6403" s="733" t="str">
        <f>CHOOSE(MONTH(Tabla_sqldatos_bonampakdb_Bon_v_ingresos2012[[#This Row],[fecha_guia]]),"Enero","Febrero","Marzo","Abril","Mayo","Junio","Julio","Agosto","Septiembre","Octubre","Noviembre","Diciembre")</f>
        <v>Marzo</v>
      </c>
      <c r="E6403" t="s">
        <v>485</v>
      </c>
      <c r="F6403" t="s">
        <v>2054</v>
      </c>
      <c r="G6403" t="s">
        <v>9766</v>
      </c>
      <c r="H6403">
        <v>10627</v>
      </c>
      <c r="I6403" t="s">
        <v>423</v>
      </c>
      <c r="J6403" t="s">
        <v>2098</v>
      </c>
      <c r="K6403" t="s">
        <v>2057</v>
      </c>
      <c r="L6403" t="s">
        <v>2058</v>
      </c>
      <c r="M6403">
        <v>565</v>
      </c>
      <c r="N6403">
        <v>45.89</v>
      </c>
      <c r="O6403">
        <v>15511.74</v>
      </c>
      <c r="P6403">
        <v>0</v>
      </c>
      <c r="Q6403">
        <v>15511.74</v>
      </c>
      <c r="R6403">
        <v>1706.29</v>
      </c>
      <c r="S6403">
        <v>620.47</v>
      </c>
      <c r="T6403">
        <v>16597.560000000001</v>
      </c>
      <c r="V6403" t="s">
        <v>9409</v>
      </c>
      <c r="W6403" t="s">
        <v>423</v>
      </c>
    </row>
    <row r="6404" spans="1:23" hidden="1" x14ac:dyDescent="0.2">
      <c r="A6404">
        <v>2012</v>
      </c>
      <c r="B6404" t="s">
        <v>303</v>
      </c>
      <c r="C6404" s="733">
        <v>40932.500289351854</v>
      </c>
      <c r="D64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04" t="s">
        <v>485</v>
      </c>
      <c r="F6404" t="s">
        <v>2099</v>
      </c>
      <c r="G6404" t="s">
        <v>4172</v>
      </c>
      <c r="H6404">
        <v>40791</v>
      </c>
      <c r="I6404" t="s">
        <v>423</v>
      </c>
      <c r="J6404" t="s">
        <v>2101</v>
      </c>
      <c r="K6404" t="s">
        <v>2102</v>
      </c>
      <c r="L6404" t="s">
        <v>2103</v>
      </c>
      <c r="M6404">
        <v>119</v>
      </c>
      <c r="N6404">
        <v>25.65</v>
      </c>
      <c r="O6404">
        <v>4302.2700000000004</v>
      </c>
      <c r="P6404">
        <v>0</v>
      </c>
      <c r="Q6404">
        <v>4302.2700000000004</v>
      </c>
      <c r="R6404">
        <v>688.36</v>
      </c>
      <c r="S6404">
        <v>172.09</v>
      </c>
      <c r="T6404">
        <v>4818.54</v>
      </c>
      <c r="U6404" t="s">
        <v>2108</v>
      </c>
      <c r="V6404" t="s">
        <v>9408</v>
      </c>
      <c r="W6404" t="s">
        <v>423</v>
      </c>
    </row>
    <row r="6405" spans="1:23" hidden="1" x14ac:dyDescent="0.2">
      <c r="A6405">
        <v>2012</v>
      </c>
      <c r="B6405" t="s">
        <v>304</v>
      </c>
      <c r="C6405" s="733">
        <v>40949</v>
      </c>
      <c r="D64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05" t="s">
        <v>485</v>
      </c>
      <c r="F6405" t="s">
        <v>2084</v>
      </c>
      <c r="G6405" t="s">
        <v>5950</v>
      </c>
      <c r="H6405">
        <v>41447</v>
      </c>
      <c r="I6405" t="s">
        <v>423</v>
      </c>
      <c r="J6405" t="s">
        <v>2836</v>
      </c>
      <c r="K6405" t="s">
        <v>2814</v>
      </c>
      <c r="L6405" t="s">
        <v>2815</v>
      </c>
      <c r="M6405">
        <v>70</v>
      </c>
      <c r="N6405">
        <v>23.806999999999999</v>
      </c>
      <c r="O6405">
        <v>2687.1</v>
      </c>
      <c r="P6405">
        <v>0</v>
      </c>
      <c r="Q6405">
        <v>2687.1</v>
      </c>
      <c r="R6405">
        <v>295.58</v>
      </c>
      <c r="S6405">
        <v>107.48</v>
      </c>
      <c r="T6405">
        <v>2875.2</v>
      </c>
      <c r="U6405" t="s">
        <v>7527</v>
      </c>
      <c r="V6405" t="s">
        <v>9408</v>
      </c>
      <c r="W6405" t="s">
        <v>423</v>
      </c>
    </row>
    <row r="6406" spans="1:23" hidden="1" x14ac:dyDescent="0.2">
      <c r="A6406">
        <v>2012</v>
      </c>
      <c r="B6406" t="s">
        <v>303</v>
      </c>
      <c r="C6406" s="733">
        <v>40920</v>
      </c>
      <c r="D64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06" t="s">
        <v>485</v>
      </c>
      <c r="F6406" t="s">
        <v>2054</v>
      </c>
      <c r="G6406" t="s">
        <v>2326</v>
      </c>
      <c r="H6406">
        <v>10023</v>
      </c>
      <c r="I6406" t="s">
        <v>423</v>
      </c>
      <c r="J6406" t="s">
        <v>2098</v>
      </c>
      <c r="K6406" t="s">
        <v>2057</v>
      </c>
      <c r="L6406" t="s">
        <v>2058</v>
      </c>
      <c r="M6406">
        <v>565</v>
      </c>
      <c r="N6406">
        <v>23.93</v>
      </c>
      <c r="O6406">
        <v>8088.82</v>
      </c>
      <c r="P6406">
        <v>0</v>
      </c>
      <c r="Q6406">
        <v>8088.82</v>
      </c>
      <c r="R6406">
        <v>1294.21</v>
      </c>
      <c r="S6406">
        <v>323.55</v>
      </c>
      <c r="T6406">
        <v>9059.48</v>
      </c>
      <c r="U6406" t="s">
        <v>2059</v>
      </c>
      <c r="V6406" t="s">
        <v>9408</v>
      </c>
      <c r="W6406" t="s">
        <v>423</v>
      </c>
    </row>
    <row r="6407" spans="1:23" x14ac:dyDescent="0.2">
      <c r="A6407">
        <v>2012</v>
      </c>
      <c r="B6407" t="s">
        <v>304</v>
      </c>
      <c r="C6407" s="733">
        <v>40967</v>
      </c>
      <c r="D64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07" t="s">
        <v>485</v>
      </c>
      <c r="F6407" t="s">
        <v>2054</v>
      </c>
      <c r="G6407" t="s">
        <v>9085</v>
      </c>
      <c r="H6407">
        <v>10562</v>
      </c>
      <c r="I6407" t="s">
        <v>423</v>
      </c>
      <c r="J6407" t="s">
        <v>2098</v>
      </c>
      <c r="K6407" t="s">
        <v>2057</v>
      </c>
      <c r="L6407" t="s">
        <v>2058</v>
      </c>
      <c r="M6407">
        <v>565</v>
      </c>
      <c r="N6407">
        <v>46.5</v>
      </c>
      <c r="O6407">
        <v>15717.93</v>
      </c>
      <c r="P6407">
        <v>0</v>
      </c>
      <c r="Q6407">
        <v>15717.93</v>
      </c>
      <c r="R6407">
        <v>1728.97</v>
      </c>
      <c r="S6407">
        <v>628.72</v>
      </c>
      <c r="T6407">
        <v>16818.18</v>
      </c>
      <c r="V6407" t="s">
        <v>9409</v>
      </c>
      <c r="W6407" t="s">
        <v>423</v>
      </c>
    </row>
    <row r="6408" spans="1:23" hidden="1" x14ac:dyDescent="0.2">
      <c r="A6408">
        <v>2012</v>
      </c>
      <c r="B6408" t="s">
        <v>305</v>
      </c>
      <c r="C6408" s="733">
        <v>40970.538229166668</v>
      </c>
      <c r="D6408" s="733" t="str">
        <f>CHOOSE(MONTH(Tabla_sqldatos_bonampakdb_Bon_v_ingresos2012[[#This Row],[fecha_guia]]),"Enero","Febrero","Marzo","Abril","Mayo","Junio","Julio","Agosto","Septiembre","Octubre","Noviembre","Diciembre")</f>
        <v>Marzo</v>
      </c>
      <c r="E6408" t="s">
        <v>485</v>
      </c>
      <c r="F6408" t="s">
        <v>2054</v>
      </c>
      <c r="G6408" t="s">
        <v>9767</v>
      </c>
      <c r="H6408">
        <v>10629</v>
      </c>
      <c r="I6408" t="s">
        <v>423</v>
      </c>
      <c r="J6408" t="s">
        <v>2098</v>
      </c>
      <c r="K6408" t="s">
        <v>2057</v>
      </c>
      <c r="L6408" t="s">
        <v>2058</v>
      </c>
      <c r="M6408">
        <v>565</v>
      </c>
      <c r="N6408">
        <v>45.98</v>
      </c>
      <c r="O6408">
        <v>15542.16</v>
      </c>
      <c r="P6408">
        <v>0</v>
      </c>
      <c r="Q6408">
        <v>15542.16</v>
      </c>
      <c r="R6408">
        <v>1709.64</v>
      </c>
      <c r="S6408">
        <v>621.69000000000005</v>
      </c>
      <c r="T6408">
        <v>16630.11</v>
      </c>
      <c r="V6408" t="s">
        <v>9409</v>
      </c>
      <c r="W6408" t="s">
        <v>423</v>
      </c>
    </row>
    <row r="6409" spans="1:23" hidden="1" x14ac:dyDescent="0.2">
      <c r="A6409">
        <v>2012</v>
      </c>
      <c r="B6409" t="s">
        <v>303</v>
      </c>
      <c r="C6409" s="733">
        <v>40938.752997685187</v>
      </c>
      <c r="D64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09" t="s">
        <v>485</v>
      </c>
      <c r="F6409" t="s">
        <v>2054</v>
      </c>
      <c r="G6409" t="s">
        <v>6742</v>
      </c>
      <c r="H6409">
        <v>10101</v>
      </c>
      <c r="I6409" t="s">
        <v>423</v>
      </c>
      <c r="J6409" t="s">
        <v>2098</v>
      </c>
      <c r="K6409" t="s">
        <v>2057</v>
      </c>
      <c r="L6409" t="s">
        <v>2058</v>
      </c>
      <c r="M6409">
        <v>565</v>
      </c>
      <c r="N6409">
        <v>24.92</v>
      </c>
      <c r="O6409">
        <v>8423.4599999999991</v>
      </c>
      <c r="P6409">
        <v>0</v>
      </c>
      <c r="Q6409">
        <v>8423.4599999999991</v>
      </c>
      <c r="R6409">
        <v>1347.75</v>
      </c>
      <c r="S6409">
        <v>336.94</v>
      </c>
      <c r="T6409">
        <v>9434.27</v>
      </c>
      <c r="U6409" t="s">
        <v>2075</v>
      </c>
      <c r="V6409" t="s">
        <v>9408</v>
      </c>
      <c r="W6409" t="s">
        <v>423</v>
      </c>
    </row>
    <row r="6410" spans="1:23" hidden="1" x14ac:dyDescent="0.2">
      <c r="A6410">
        <v>2012</v>
      </c>
      <c r="B6410" t="s">
        <v>304</v>
      </c>
      <c r="C6410" s="733">
        <v>40950.442314814813</v>
      </c>
      <c r="D64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10" t="s">
        <v>485</v>
      </c>
      <c r="F6410" t="s">
        <v>2054</v>
      </c>
      <c r="G6410" t="s">
        <v>6743</v>
      </c>
      <c r="H6410">
        <v>10387</v>
      </c>
      <c r="I6410" t="s">
        <v>423</v>
      </c>
      <c r="J6410" t="s">
        <v>2098</v>
      </c>
      <c r="K6410" t="s">
        <v>2057</v>
      </c>
      <c r="L6410" t="s">
        <v>2058</v>
      </c>
      <c r="M6410">
        <v>565</v>
      </c>
      <c r="N6410">
        <v>48.49</v>
      </c>
      <c r="O6410">
        <v>16390.59</v>
      </c>
      <c r="P6410">
        <v>0</v>
      </c>
      <c r="Q6410">
        <v>16390.59</v>
      </c>
      <c r="R6410">
        <v>1802.96</v>
      </c>
      <c r="S6410">
        <v>655.62</v>
      </c>
      <c r="T6410">
        <v>17537.93</v>
      </c>
      <c r="U6410" t="s">
        <v>2082</v>
      </c>
      <c r="V6410" t="s">
        <v>9409</v>
      </c>
      <c r="W6410" t="s">
        <v>423</v>
      </c>
    </row>
    <row r="6411" spans="1:23" hidden="1" x14ac:dyDescent="0.2">
      <c r="A6411">
        <v>2012</v>
      </c>
      <c r="B6411" t="s">
        <v>304</v>
      </c>
      <c r="C6411" s="733">
        <v>40943.586226851854</v>
      </c>
      <c r="D64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11" t="s">
        <v>485</v>
      </c>
      <c r="F6411" t="s">
        <v>2054</v>
      </c>
      <c r="G6411" t="s">
        <v>6745</v>
      </c>
      <c r="H6411">
        <v>10323</v>
      </c>
      <c r="I6411" t="s">
        <v>423</v>
      </c>
      <c r="J6411" t="s">
        <v>2098</v>
      </c>
      <c r="K6411" t="s">
        <v>2057</v>
      </c>
      <c r="L6411" t="s">
        <v>2058</v>
      </c>
      <c r="M6411">
        <v>565</v>
      </c>
      <c r="N6411">
        <v>48.39</v>
      </c>
      <c r="O6411">
        <v>16356.79</v>
      </c>
      <c r="P6411">
        <v>0</v>
      </c>
      <c r="Q6411">
        <v>16356.79</v>
      </c>
      <c r="R6411">
        <v>2617.09</v>
      </c>
      <c r="S6411">
        <v>654.27</v>
      </c>
      <c r="T6411">
        <v>18319.61</v>
      </c>
      <c r="U6411" t="s">
        <v>2075</v>
      </c>
      <c r="V6411" t="s">
        <v>9409</v>
      </c>
      <c r="W6411" t="s">
        <v>423</v>
      </c>
    </row>
    <row r="6412" spans="1:23" hidden="1" x14ac:dyDescent="0.2">
      <c r="A6412">
        <v>2012</v>
      </c>
      <c r="B6412" t="s">
        <v>303</v>
      </c>
      <c r="C6412" s="733">
        <v>40933.642893518518</v>
      </c>
      <c r="D64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12" t="s">
        <v>485</v>
      </c>
      <c r="F6412" t="s">
        <v>2054</v>
      </c>
      <c r="G6412" t="s">
        <v>6744</v>
      </c>
      <c r="H6412">
        <v>10211</v>
      </c>
      <c r="I6412" t="s">
        <v>423</v>
      </c>
      <c r="J6412" t="s">
        <v>2098</v>
      </c>
      <c r="K6412" t="s">
        <v>2057</v>
      </c>
      <c r="L6412" t="s">
        <v>2058</v>
      </c>
      <c r="M6412">
        <v>565</v>
      </c>
      <c r="N6412">
        <v>46.17</v>
      </c>
      <c r="O6412">
        <v>15606.38</v>
      </c>
      <c r="P6412">
        <v>0</v>
      </c>
      <c r="Q6412">
        <v>15606.38</v>
      </c>
      <c r="R6412">
        <v>2497.02</v>
      </c>
      <c r="S6412">
        <v>624.26</v>
      </c>
      <c r="T6412">
        <v>17479.14</v>
      </c>
      <c r="U6412" t="s">
        <v>2073</v>
      </c>
      <c r="V6412" t="s">
        <v>9409</v>
      </c>
      <c r="W6412" t="s">
        <v>423</v>
      </c>
    </row>
    <row r="6413" spans="1:23" hidden="1" x14ac:dyDescent="0.2">
      <c r="A6413">
        <v>2012</v>
      </c>
      <c r="B6413" t="s">
        <v>304</v>
      </c>
      <c r="C6413" s="733">
        <v>40946</v>
      </c>
      <c r="D64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13" t="s">
        <v>485</v>
      </c>
      <c r="F6413" t="s">
        <v>2054</v>
      </c>
      <c r="G6413" t="s">
        <v>2325</v>
      </c>
      <c r="H6413">
        <v>10018</v>
      </c>
      <c r="I6413" t="s">
        <v>423</v>
      </c>
      <c r="J6413" t="s">
        <v>2098</v>
      </c>
      <c r="K6413" t="s">
        <v>2057</v>
      </c>
      <c r="L6413" t="s">
        <v>2058</v>
      </c>
      <c r="M6413">
        <v>565</v>
      </c>
      <c r="N6413">
        <v>23.08</v>
      </c>
      <c r="O6413">
        <v>7801.5</v>
      </c>
      <c r="P6413">
        <v>0</v>
      </c>
      <c r="Q6413">
        <v>7801.5</v>
      </c>
      <c r="R6413">
        <v>1248.24</v>
      </c>
      <c r="S6413">
        <v>312.06</v>
      </c>
      <c r="T6413">
        <v>8737.68</v>
      </c>
      <c r="U6413" t="s">
        <v>2075</v>
      </c>
      <c r="V6413" t="s">
        <v>9408</v>
      </c>
      <c r="W6413" t="s">
        <v>423</v>
      </c>
    </row>
    <row r="6414" spans="1:23" hidden="1" x14ac:dyDescent="0.2">
      <c r="A6414">
        <v>2012</v>
      </c>
      <c r="B6414" t="s">
        <v>304</v>
      </c>
      <c r="C6414" s="733">
        <v>40954.529965277776</v>
      </c>
      <c r="D64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14" t="s">
        <v>485</v>
      </c>
      <c r="F6414" t="s">
        <v>2054</v>
      </c>
      <c r="G6414" t="s">
        <v>7674</v>
      </c>
      <c r="H6414">
        <v>10442</v>
      </c>
      <c r="I6414" t="s">
        <v>423</v>
      </c>
      <c r="J6414" t="s">
        <v>2098</v>
      </c>
      <c r="K6414" t="s">
        <v>2057</v>
      </c>
      <c r="L6414" t="s">
        <v>2058</v>
      </c>
      <c r="M6414">
        <v>565</v>
      </c>
      <c r="N6414">
        <v>23.54</v>
      </c>
      <c r="O6414">
        <v>7956.99</v>
      </c>
      <c r="P6414">
        <v>0</v>
      </c>
      <c r="Q6414">
        <v>7956.99</v>
      </c>
      <c r="R6414">
        <v>875.27</v>
      </c>
      <c r="S6414">
        <v>318.27999999999997</v>
      </c>
      <c r="T6414">
        <v>8513.98</v>
      </c>
      <c r="U6414" t="s">
        <v>8047</v>
      </c>
      <c r="V6414" t="s">
        <v>9408</v>
      </c>
      <c r="W6414" t="s">
        <v>423</v>
      </c>
    </row>
    <row r="6415" spans="1:23" hidden="1" x14ac:dyDescent="0.2">
      <c r="A6415">
        <v>2012</v>
      </c>
      <c r="B6415" t="s">
        <v>304</v>
      </c>
      <c r="C6415" s="733">
        <v>40966.481840277775</v>
      </c>
      <c r="D64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15" t="s">
        <v>485</v>
      </c>
      <c r="F6415" t="s">
        <v>2054</v>
      </c>
      <c r="G6415" t="s">
        <v>9084</v>
      </c>
      <c r="H6415">
        <v>10557</v>
      </c>
      <c r="I6415" t="s">
        <v>423</v>
      </c>
      <c r="J6415" t="s">
        <v>2098</v>
      </c>
      <c r="K6415" t="s">
        <v>2057</v>
      </c>
      <c r="L6415" t="s">
        <v>2058</v>
      </c>
      <c r="M6415">
        <v>565</v>
      </c>
      <c r="N6415">
        <v>46.61</v>
      </c>
      <c r="O6415">
        <v>15755.11</v>
      </c>
      <c r="P6415">
        <v>0</v>
      </c>
      <c r="Q6415">
        <v>15755.11</v>
      </c>
      <c r="R6415">
        <v>1733.06</v>
      </c>
      <c r="S6415">
        <v>630.20000000000005</v>
      </c>
      <c r="T6415">
        <v>16857.97</v>
      </c>
      <c r="U6415" t="s">
        <v>8864</v>
      </c>
      <c r="V6415" t="s">
        <v>9409</v>
      </c>
      <c r="W6415" t="s">
        <v>423</v>
      </c>
    </row>
    <row r="6416" spans="1:23" hidden="1" x14ac:dyDescent="0.2">
      <c r="A6416">
        <v>2012</v>
      </c>
      <c r="B6416" t="s">
        <v>304</v>
      </c>
      <c r="C6416" s="733">
        <v>40959.628009259257</v>
      </c>
      <c r="D64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16" t="s">
        <v>485</v>
      </c>
      <c r="F6416" t="s">
        <v>2054</v>
      </c>
      <c r="G6416" t="s">
        <v>8136</v>
      </c>
      <c r="H6416">
        <v>10494</v>
      </c>
      <c r="I6416" t="s">
        <v>423</v>
      </c>
      <c r="J6416" t="s">
        <v>2098</v>
      </c>
      <c r="K6416" t="s">
        <v>2057</v>
      </c>
      <c r="L6416" t="s">
        <v>2058</v>
      </c>
      <c r="M6416">
        <v>565</v>
      </c>
      <c r="N6416">
        <v>45.98</v>
      </c>
      <c r="O6416">
        <v>15542.16</v>
      </c>
      <c r="P6416">
        <v>0</v>
      </c>
      <c r="Q6416">
        <v>15542.16</v>
      </c>
      <c r="R6416">
        <v>1709.64</v>
      </c>
      <c r="S6416">
        <v>621.69000000000005</v>
      </c>
      <c r="T6416">
        <v>16630.11</v>
      </c>
      <c r="U6416" t="s">
        <v>8864</v>
      </c>
      <c r="V6416" t="s">
        <v>9409</v>
      </c>
      <c r="W6416" t="s">
        <v>423</v>
      </c>
    </row>
    <row r="6417" spans="1:23" hidden="1" x14ac:dyDescent="0.2">
      <c r="A6417">
        <v>2012</v>
      </c>
      <c r="B6417" t="s">
        <v>303</v>
      </c>
      <c r="C6417" s="733">
        <v>40924</v>
      </c>
      <c r="D64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17" t="s">
        <v>485</v>
      </c>
      <c r="F6417" t="s">
        <v>2054</v>
      </c>
      <c r="G6417" t="s">
        <v>6734</v>
      </c>
      <c r="H6417">
        <v>9947</v>
      </c>
      <c r="I6417" t="s">
        <v>423</v>
      </c>
      <c r="J6417" t="s">
        <v>2098</v>
      </c>
      <c r="K6417" t="s">
        <v>2057</v>
      </c>
      <c r="L6417" t="s">
        <v>2058</v>
      </c>
      <c r="M6417">
        <v>565</v>
      </c>
      <c r="N6417">
        <v>25.06</v>
      </c>
      <c r="O6417">
        <v>8470.7800000000007</v>
      </c>
      <c r="P6417">
        <v>0</v>
      </c>
      <c r="Q6417">
        <v>8470.7800000000007</v>
      </c>
      <c r="R6417">
        <v>1355.32</v>
      </c>
      <c r="S6417">
        <v>338.83</v>
      </c>
      <c r="T6417">
        <v>9487.27</v>
      </c>
      <c r="U6417" t="s">
        <v>2059</v>
      </c>
      <c r="V6417" t="s">
        <v>9408</v>
      </c>
      <c r="W6417" t="s">
        <v>423</v>
      </c>
    </row>
    <row r="6418" spans="1:23" hidden="1" x14ac:dyDescent="0.2">
      <c r="A6418">
        <v>2012</v>
      </c>
      <c r="B6418" t="s">
        <v>305</v>
      </c>
      <c r="C6418" s="733">
        <v>40970</v>
      </c>
      <c r="D6418" s="733" t="str">
        <f>CHOOSE(MONTH(Tabla_sqldatos_bonampakdb_Bon_v_ingresos2012[[#This Row],[fecha_guia]]),"Enero","Febrero","Marzo","Abril","Mayo","Junio","Julio","Agosto","Septiembre","Octubre","Noviembre","Diciembre")</f>
        <v>Marzo</v>
      </c>
      <c r="E6418" t="s">
        <v>485</v>
      </c>
      <c r="F6418" t="s">
        <v>2054</v>
      </c>
      <c r="G6418" t="s">
        <v>9768</v>
      </c>
      <c r="H6418">
        <v>10606</v>
      </c>
      <c r="I6418" t="s">
        <v>423</v>
      </c>
      <c r="J6418" t="s">
        <v>4560</v>
      </c>
      <c r="K6418" t="s">
        <v>2057</v>
      </c>
      <c r="L6418" t="s">
        <v>2058</v>
      </c>
      <c r="M6418">
        <v>403</v>
      </c>
      <c r="N6418">
        <v>24.11</v>
      </c>
      <c r="O6418">
        <v>6588.78</v>
      </c>
      <c r="P6418">
        <v>0</v>
      </c>
      <c r="Q6418">
        <v>6588.78</v>
      </c>
      <c r="R6418">
        <v>724.77</v>
      </c>
      <c r="S6418">
        <v>263.55</v>
      </c>
      <c r="T6418">
        <v>7050</v>
      </c>
      <c r="V6418" t="s">
        <v>9408</v>
      </c>
      <c r="W6418" t="s">
        <v>423</v>
      </c>
    </row>
    <row r="6419" spans="1:23" hidden="1" x14ac:dyDescent="0.2">
      <c r="A6419">
        <v>2012</v>
      </c>
      <c r="B6419" t="s">
        <v>303</v>
      </c>
      <c r="C6419" s="733">
        <v>40919</v>
      </c>
      <c r="D64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19" t="s">
        <v>485</v>
      </c>
      <c r="F6419" t="s">
        <v>2054</v>
      </c>
      <c r="G6419" t="s">
        <v>6749</v>
      </c>
      <c r="H6419">
        <v>9962</v>
      </c>
      <c r="I6419" t="s">
        <v>423</v>
      </c>
      <c r="J6419" t="s">
        <v>4560</v>
      </c>
      <c r="K6419" t="s">
        <v>2057</v>
      </c>
      <c r="L6419" t="s">
        <v>2058</v>
      </c>
      <c r="M6419">
        <v>403</v>
      </c>
      <c r="N6419">
        <v>29.88</v>
      </c>
      <c r="O6419">
        <v>8165.61</v>
      </c>
      <c r="P6419">
        <v>0</v>
      </c>
      <c r="Q6419">
        <v>8165.61</v>
      </c>
      <c r="R6419">
        <v>1306.5</v>
      </c>
      <c r="S6419">
        <v>326.62</v>
      </c>
      <c r="T6419">
        <v>9145.49</v>
      </c>
      <c r="U6419" t="s">
        <v>2070</v>
      </c>
      <c r="V6419" t="s">
        <v>9408</v>
      </c>
      <c r="W6419" t="s">
        <v>423</v>
      </c>
    </row>
    <row r="6420" spans="1:23" hidden="1" x14ac:dyDescent="0.2">
      <c r="A6420">
        <v>2012</v>
      </c>
      <c r="B6420" t="s">
        <v>303</v>
      </c>
      <c r="C6420" s="733">
        <v>40919</v>
      </c>
      <c r="D64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20" t="s">
        <v>485</v>
      </c>
      <c r="F6420" t="s">
        <v>2054</v>
      </c>
      <c r="G6420" t="s">
        <v>6735</v>
      </c>
      <c r="H6420">
        <v>10022</v>
      </c>
      <c r="I6420" t="s">
        <v>423</v>
      </c>
      <c r="J6420" t="s">
        <v>2098</v>
      </c>
      <c r="K6420" t="s">
        <v>2057</v>
      </c>
      <c r="L6420" t="s">
        <v>2058</v>
      </c>
      <c r="M6420">
        <v>565</v>
      </c>
      <c r="N6420">
        <v>23.32</v>
      </c>
      <c r="O6420">
        <v>7882.63</v>
      </c>
      <c r="P6420">
        <v>0</v>
      </c>
      <c r="Q6420">
        <v>7882.63</v>
      </c>
      <c r="R6420">
        <v>1261.22</v>
      </c>
      <c r="S6420">
        <v>315.31</v>
      </c>
      <c r="T6420">
        <v>8828.5400000000009</v>
      </c>
      <c r="U6420" t="s">
        <v>2070</v>
      </c>
      <c r="V6420" t="s">
        <v>9409</v>
      </c>
      <c r="W6420" t="s">
        <v>423</v>
      </c>
    </row>
    <row r="6421" spans="1:23" hidden="1" x14ac:dyDescent="0.2">
      <c r="A6421">
        <v>2012</v>
      </c>
      <c r="B6421" t="s">
        <v>303</v>
      </c>
      <c r="C6421" s="733">
        <v>40921.34884259259</v>
      </c>
      <c r="D64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21" t="s">
        <v>485</v>
      </c>
      <c r="F6421" t="s">
        <v>2099</v>
      </c>
      <c r="G6421" t="s">
        <v>4171</v>
      </c>
      <c r="H6421">
        <v>40277</v>
      </c>
      <c r="I6421" t="s">
        <v>423</v>
      </c>
      <c r="J6421" t="s">
        <v>2101</v>
      </c>
      <c r="K6421" t="s">
        <v>2102</v>
      </c>
      <c r="L6421" t="s">
        <v>2103</v>
      </c>
      <c r="M6421">
        <v>119</v>
      </c>
      <c r="N6421">
        <v>51.61</v>
      </c>
      <c r="O6421">
        <v>8656.5499999999993</v>
      </c>
      <c r="P6421">
        <v>0</v>
      </c>
      <c r="Q6421">
        <v>8656.5499999999993</v>
      </c>
      <c r="R6421">
        <v>1385.05</v>
      </c>
      <c r="S6421">
        <v>346.26</v>
      </c>
      <c r="T6421">
        <v>9695.34</v>
      </c>
      <c r="U6421" t="s">
        <v>2106</v>
      </c>
      <c r="V6421" t="s">
        <v>9409</v>
      </c>
      <c r="W6421" t="s">
        <v>423</v>
      </c>
    </row>
    <row r="6422" spans="1:23" hidden="1" x14ac:dyDescent="0.2">
      <c r="A6422">
        <v>2012</v>
      </c>
      <c r="B6422" t="s">
        <v>304</v>
      </c>
      <c r="C6422" s="733">
        <v>40941</v>
      </c>
      <c r="D64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22" t="s">
        <v>485</v>
      </c>
      <c r="F6422" t="s">
        <v>2065</v>
      </c>
      <c r="G6422" t="s">
        <v>7146</v>
      </c>
      <c r="H6422">
        <v>41281</v>
      </c>
      <c r="I6422" t="s">
        <v>423</v>
      </c>
      <c r="J6422" t="s">
        <v>2101</v>
      </c>
      <c r="K6422" t="s">
        <v>2102</v>
      </c>
      <c r="L6422" t="s">
        <v>2103</v>
      </c>
      <c r="M6422">
        <v>119</v>
      </c>
      <c r="N6422">
        <v>31.62</v>
      </c>
      <c r="O6422">
        <v>5303.62</v>
      </c>
      <c r="P6422">
        <v>0</v>
      </c>
      <c r="Q6422">
        <v>5303.62</v>
      </c>
      <c r="R6422">
        <v>848.58</v>
      </c>
      <c r="S6422">
        <v>212.14</v>
      </c>
      <c r="T6422">
        <v>5940.06</v>
      </c>
      <c r="V6422" t="s">
        <v>9408</v>
      </c>
      <c r="W6422" t="s">
        <v>423</v>
      </c>
    </row>
    <row r="6423" spans="1:23" hidden="1" x14ac:dyDescent="0.2">
      <c r="A6423">
        <v>2012</v>
      </c>
      <c r="B6423" t="s">
        <v>304</v>
      </c>
      <c r="C6423" s="733">
        <v>40946</v>
      </c>
      <c r="D64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23" t="s">
        <v>478</v>
      </c>
      <c r="F6423" t="s">
        <v>2136</v>
      </c>
      <c r="G6423" t="s">
        <v>7144</v>
      </c>
      <c r="H6423">
        <v>35294</v>
      </c>
      <c r="I6423" t="s">
        <v>423</v>
      </c>
      <c r="J6423" t="s">
        <v>5384</v>
      </c>
      <c r="K6423" t="s">
        <v>425</v>
      </c>
      <c r="L6423" t="s">
        <v>2145</v>
      </c>
      <c r="M6423">
        <v>1472</v>
      </c>
      <c r="N6423">
        <v>23.15</v>
      </c>
      <c r="O6423">
        <v>16535.810000000001</v>
      </c>
      <c r="P6423">
        <v>0</v>
      </c>
      <c r="Q6423">
        <v>16535.810000000001</v>
      </c>
      <c r="R6423">
        <v>2645.73</v>
      </c>
      <c r="S6423">
        <v>661.43</v>
      </c>
      <c r="T6423">
        <v>18520.11</v>
      </c>
      <c r="U6423" t="s">
        <v>2938</v>
      </c>
      <c r="V6423" t="s">
        <v>9408</v>
      </c>
      <c r="W6423" t="s">
        <v>423</v>
      </c>
    </row>
    <row r="6424" spans="1:23" hidden="1" x14ac:dyDescent="0.2">
      <c r="A6424">
        <v>2012</v>
      </c>
      <c r="B6424" t="s">
        <v>304</v>
      </c>
      <c r="C6424" s="733">
        <v>40954.424375000002</v>
      </c>
      <c r="D64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24" t="s">
        <v>485</v>
      </c>
      <c r="F6424" t="s">
        <v>2065</v>
      </c>
      <c r="G6424" t="s">
        <v>7145</v>
      </c>
      <c r="H6424">
        <v>41954</v>
      </c>
      <c r="I6424" t="s">
        <v>423</v>
      </c>
      <c r="J6424" t="s">
        <v>2101</v>
      </c>
      <c r="K6424" t="s">
        <v>2102</v>
      </c>
      <c r="L6424" t="s">
        <v>2103</v>
      </c>
      <c r="M6424">
        <v>119</v>
      </c>
      <c r="N6424">
        <v>26.41</v>
      </c>
      <c r="O6424">
        <v>4429.75</v>
      </c>
      <c r="P6424">
        <v>0</v>
      </c>
      <c r="Q6424">
        <v>4429.75</v>
      </c>
      <c r="R6424">
        <v>708.76</v>
      </c>
      <c r="S6424">
        <v>177.19</v>
      </c>
      <c r="T6424">
        <v>4961.32</v>
      </c>
      <c r="U6424" t="s">
        <v>8051</v>
      </c>
      <c r="V6424" t="s">
        <v>9408</v>
      </c>
      <c r="W6424" t="s">
        <v>423</v>
      </c>
    </row>
    <row r="6425" spans="1:23" hidden="1" x14ac:dyDescent="0.2">
      <c r="A6425">
        <v>2012</v>
      </c>
      <c r="B6425" t="s">
        <v>303</v>
      </c>
      <c r="C6425" s="733">
        <v>40935</v>
      </c>
      <c r="D64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25" t="s">
        <v>505</v>
      </c>
      <c r="F6425" t="s">
        <v>1915</v>
      </c>
      <c r="G6425" t="s">
        <v>7045</v>
      </c>
      <c r="H6425">
        <v>22281</v>
      </c>
      <c r="I6425" t="s">
        <v>423</v>
      </c>
      <c r="J6425" t="s">
        <v>4259</v>
      </c>
      <c r="K6425" t="s">
        <v>1918</v>
      </c>
      <c r="L6425" t="s">
        <v>1919</v>
      </c>
      <c r="M6425">
        <v>467</v>
      </c>
      <c r="N6425">
        <v>54</v>
      </c>
      <c r="O6425">
        <v>16758.36</v>
      </c>
      <c r="P6425">
        <v>0</v>
      </c>
      <c r="Q6425">
        <v>16758.36</v>
      </c>
      <c r="R6425">
        <v>2681.34</v>
      </c>
      <c r="S6425">
        <v>670.33</v>
      </c>
      <c r="T6425">
        <v>18769.37</v>
      </c>
      <c r="U6425" t="s">
        <v>1926</v>
      </c>
      <c r="V6425" t="s">
        <v>9409</v>
      </c>
      <c r="W6425" t="s">
        <v>423</v>
      </c>
    </row>
    <row r="6426" spans="1:23" hidden="1" x14ac:dyDescent="0.2">
      <c r="A6426">
        <v>2012</v>
      </c>
      <c r="B6426" t="s">
        <v>303</v>
      </c>
      <c r="C6426" s="733">
        <v>40935</v>
      </c>
      <c r="D64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26" t="s">
        <v>505</v>
      </c>
      <c r="F6426" t="s">
        <v>1915</v>
      </c>
      <c r="G6426" t="s">
        <v>7043</v>
      </c>
      <c r="H6426">
        <v>22224</v>
      </c>
      <c r="I6426" t="s">
        <v>423</v>
      </c>
      <c r="J6426" t="s">
        <v>4259</v>
      </c>
      <c r="K6426" t="s">
        <v>1918</v>
      </c>
      <c r="L6426" t="s">
        <v>1919</v>
      </c>
      <c r="M6426">
        <v>467</v>
      </c>
      <c r="N6426">
        <v>24.73</v>
      </c>
      <c r="O6426">
        <v>7674.71</v>
      </c>
      <c r="P6426">
        <v>0</v>
      </c>
      <c r="Q6426">
        <v>7674.71</v>
      </c>
      <c r="R6426">
        <v>1227.95</v>
      </c>
      <c r="S6426">
        <v>306.99</v>
      </c>
      <c r="T6426">
        <v>8595.67</v>
      </c>
      <c r="U6426" t="s">
        <v>7529</v>
      </c>
      <c r="V6426" t="s">
        <v>9408</v>
      </c>
      <c r="W6426" t="s">
        <v>423</v>
      </c>
    </row>
    <row r="6427" spans="1:23" hidden="1" x14ac:dyDescent="0.2">
      <c r="A6427">
        <v>2012</v>
      </c>
      <c r="B6427" t="s">
        <v>304</v>
      </c>
      <c r="C6427" s="733">
        <v>40955</v>
      </c>
      <c r="D64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27" t="s">
        <v>505</v>
      </c>
      <c r="F6427" t="s">
        <v>1915</v>
      </c>
      <c r="G6427" t="s">
        <v>7750</v>
      </c>
      <c r="H6427">
        <v>22760</v>
      </c>
      <c r="I6427" t="s">
        <v>424</v>
      </c>
      <c r="J6427" t="s">
        <v>7751</v>
      </c>
      <c r="K6427" t="s">
        <v>1918</v>
      </c>
      <c r="L6427" t="s">
        <v>1919</v>
      </c>
      <c r="M6427">
        <v>340</v>
      </c>
      <c r="N6427">
        <v>30</v>
      </c>
      <c r="O6427">
        <v>6593.4</v>
      </c>
      <c r="P6427">
        <v>0</v>
      </c>
      <c r="Q6427">
        <v>6593.4</v>
      </c>
      <c r="R6427">
        <v>1054.94</v>
      </c>
      <c r="S6427">
        <v>263.74</v>
      </c>
      <c r="T6427">
        <v>7384.6</v>
      </c>
      <c r="V6427" t="s">
        <v>9408</v>
      </c>
      <c r="W6427" t="s">
        <v>424</v>
      </c>
    </row>
    <row r="6428" spans="1:23" hidden="1" x14ac:dyDescent="0.2">
      <c r="A6428">
        <v>2012</v>
      </c>
      <c r="B6428" t="s">
        <v>304</v>
      </c>
      <c r="C6428" s="733">
        <v>40949</v>
      </c>
      <c r="D64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28" t="s">
        <v>485</v>
      </c>
      <c r="F6428" t="s">
        <v>2065</v>
      </c>
      <c r="G6428" t="s">
        <v>5948</v>
      </c>
      <c r="H6428">
        <v>41377</v>
      </c>
      <c r="I6428" t="s">
        <v>423</v>
      </c>
      <c r="J6428" t="s">
        <v>2813</v>
      </c>
      <c r="K6428" t="s">
        <v>2814</v>
      </c>
      <c r="L6428" t="s">
        <v>2815</v>
      </c>
      <c r="M6428">
        <v>365</v>
      </c>
      <c r="N6428">
        <v>23.841000000000001</v>
      </c>
      <c r="O6428">
        <v>6417.52</v>
      </c>
      <c r="P6428">
        <v>0</v>
      </c>
      <c r="Q6428">
        <v>6417.52</v>
      </c>
      <c r="R6428">
        <v>705.93</v>
      </c>
      <c r="S6428">
        <v>256.7</v>
      </c>
      <c r="T6428">
        <v>6866.75</v>
      </c>
      <c r="U6428" t="s">
        <v>7527</v>
      </c>
      <c r="V6428" t="s">
        <v>9408</v>
      </c>
      <c r="W6428" t="s">
        <v>423</v>
      </c>
    </row>
    <row r="6429" spans="1:23" hidden="1" x14ac:dyDescent="0.2">
      <c r="A6429">
        <v>2012</v>
      </c>
      <c r="B6429" t="s">
        <v>304</v>
      </c>
      <c r="C6429" s="733">
        <v>40960</v>
      </c>
      <c r="D64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29" t="s">
        <v>485</v>
      </c>
      <c r="F6429" t="s">
        <v>2048</v>
      </c>
      <c r="G6429" t="s">
        <v>8168</v>
      </c>
      <c r="H6429">
        <v>42339</v>
      </c>
      <c r="I6429" t="s">
        <v>423</v>
      </c>
      <c r="J6429" t="s">
        <v>4086</v>
      </c>
      <c r="K6429" t="s">
        <v>2051</v>
      </c>
      <c r="L6429" t="s">
        <v>2052</v>
      </c>
      <c r="M6429">
        <v>341</v>
      </c>
      <c r="N6429">
        <v>57.35</v>
      </c>
      <c r="O6429">
        <v>14024.94</v>
      </c>
      <c r="P6429">
        <v>0</v>
      </c>
      <c r="Q6429">
        <v>14024.94</v>
      </c>
      <c r="R6429">
        <v>2243.9899999999998</v>
      </c>
      <c r="S6429">
        <v>561</v>
      </c>
      <c r="T6429">
        <v>15707.93</v>
      </c>
      <c r="U6429" t="s">
        <v>8780</v>
      </c>
      <c r="V6429" t="s">
        <v>9409</v>
      </c>
      <c r="W6429" t="s">
        <v>423</v>
      </c>
    </row>
    <row r="6430" spans="1:23" x14ac:dyDescent="0.2">
      <c r="A6430">
        <v>2012</v>
      </c>
      <c r="B6430" t="s">
        <v>304</v>
      </c>
      <c r="C6430" s="733">
        <v>40967</v>
      </c>
      <c r="D64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30" t="s">
        <v>485</v>
      </c>
      <c r="F6430" t="s">
        <v>2048</v>
      </c>
      <c r="G6430" t="s">
        <v>9052</v>
      </c>
      <c r="H6430">
        <v>42590</v>
      </c>
      <c r="I6430" t="s">
        <v>423</v>
      </c>
      <c r="J6430" t="s">
        <v>4086</v>
      </c>
      <c r="K6430" t="s">
        <v>2051</v>
      </c>
      <c r="L6430" t="s">
        <v>2052</v>
      </c>
      <c r="M6430">
        <v>341</v>
      </c>
      <c r="N6430">
        <v>25.75</v>
      </c>
      <c r="O6430">
        <v>6297.16</v>
      </c>
      <c r="P6430">
        <v>0</v>
      </c>
      <c r="Q6430">
        <v>6297.16</v>
      </c>
      <c r="R6430">
        <v>1007.55</v>
      </c>
      <c r="S6430">
        <v>251.89</v>
      </c>
      <c r="T6430">
        <v>7052.82</v>
      </c>
      <c r="V6430" t="s">
        <v>9408</v>
      </c>
      <c r="W6430" t="s">
        <v>423</v>
      </c>
    </row>
    <row r="6431" spans="1:23" hidden="1" x14ac:dyDescent="0.2">
      <c r="A6431">
        <v>2012</v>
      </c>
      <c r="B6431" t="s">
        <v>304</v>
      </c>
      <c r="C6431" s="733">
        <v>40960</v>
      </c>
      <c r="D64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31" t="s">
        <v>485</v>
      </c>
      <c r="F6431" t="s">
        <v>2048</v>
      </c>
      <c r="G6431" t="s">
        <v>8167</v>
      </c>
      <c r="H6431">
        <v>42336</v>
      </c>
      <c r="I6431" t="s">
        <v>423</v>
      </c>
      <c r="J6431" t="s">
        <v>4086</v>
      </c>
      <c r="K6431" t="s">
        <v>2051</v>
      </c>
      <c r="L6431" t="s">
        <v>2052</v>
      </c>
      <c r="M6431">
        <v>341</v>
      </c>
      <c r="N6431">
        <v>54.45</v>
      </c>
      <c r="O6431">
        <v>13315.75</v>
      </c>
      <c r="P6431">
        <v>0</v>
      </c>
      <c r="Q6431">
        <v>13315.75</v>
      </c>
      <c r="R6431">
        <v>2130.52</v>
      </c>
      <c r="S6431">
        <v>532.63</v>
      </c>
      <c r="T6431">
        <v>14913.64</v>
      </c>
      <c r="V6431" t="s">
        <v>9409</v>
      </c>
      <c r="W6431" t="s">
        <v>423</v>
      </c>
    </row>
    <row r="6432" spans="1:23" hidden="1" x14ac:dyDescent="0.2">
      <c r="A6432">
        <v>2012</v>
      </c>
      <c r="B6432" t="s">
        <v>304</v>
      </c>
      <c r="C6432" s="733">
        <v>40960</v>
      </c>
      <c r="D64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32" t="s">
        <v>505</v>
      </c>
      <c r="F6432" t="s">
        <v>1915</v>
      </c>
      <c r="G6432" t="s">
        <v>8195</v>
      </c>
      <c r="H6432">
        <v>22911</v>
      </c>
      <c r="I6432" t="s">
        <v>423</v>
      </c>
      <c r="J6432" t="s">
        <v>4158</v>
      </c>
      <c r="K6432" t="s">
        <v>1918</v>
      </c>
      <c r="L6432" t="s">
        <v>1919</v>
      </c>
      <c r="M6432">
        <v>274</v>
      </c>
      <c r="N6432">
        <v>27.9</v>
      </c>
      <c r="O6432">
        <v>7703.19</v>
      </c>
      <c r="P6432">
        <v>0</v>
      </c>
      <c r="Q6432">
        <v>7703.19</v>
      </c>
      <c r="R6432">
        <v>1232.51</v>
      </c>
      <c r="S6432">
        <v>308.13</v>
      </c>
      <c r="T6432">
        <v>8627.57</v>
      </c>
      <c r="U6432" t="s">
        <v>8491</v>
      </c>
      <c r="V6432" t="s">
        <v>9408</v>
      </c>
      <c r="W6432" t="s">
        <v>423</v>
      </c>
    </row>
    <row r="6433" spans="1:23" hidden="1" x14ac:dyDescent="0.2">
      <c r="A6433">
        <v>2012</v>
      </c>
      <c r="B6433" t="s">
        <v>304</v>
      </c>
      <c r="C6433" s="733">
        <v>40953</v>
      </c>
      <c r="D64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33" t="s">
        <v>505</v>
      </c>
      <c r="F6433" t="s">
        <v>1915</v>
      </c>
      <c r="G6433" t="s">
        <v>5354</v>
      </c>
      <c r="H6433">
        <v>22554</v>
      </c>
      <c r="I6433" t="s">
        <v>423</v>
      </c>
      <c r="J6433" t="s">
        <v>4158</v>
      </c>
      <c r="K6433" t="s">
        <v>1918</v>
      </c>
      <c r="L6433" t="s">
        <v>1919</v>
      </c>
      <c r="M6433">
        <v>274</v>
      </c>
      <c r="N6433">
        <v>26.8</v>
      </c>
      <c r="O6433">
        <v>7399.48</v>
      </c>
      <c r="P6433">
        <v>0</v>
      </c>
      <c r="Q6433">
        <v>7399.48</v>
      </c>
      <c r="R6433">
        <v>1183.92</v>
      </c>
      <c r="S6433">
        <v>295.98</v>
      </c>
      <c r="T6433">
        <v>8287.42</v>
      </c>
      <c r="U6433" t="s">
        <v>7529</v>
      </c>
      <c r="V6433" t="s">
        <v>9408</v>
      </c>
      <c r="W6433" t="s">
        <v>423</v>
      </c>
    </row>
    <row r="6434" spans="1:23" hidden="1" x14ac:dyDescent="0.2">
      <c r="A6434">
        <v>2012</v>
      </c>
      <c r="B6434" t="s">
        <v>303</v>
      </c>
      <c r="C6434" s="733">
        <v>40911</v>
      </c>
      <c r="D64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34" t="s">
        <v>485</v>
      </c>
      <c r="F6434" t="s">
        <v>2065</v>
      </c>
      <c r="G6434" t="s">
        <v>5379</v>
      </c>
      <c r="H6434">
        <v>32737</v>
      </c>
      <c r="I6434" t="s">
        <v>423</v>
      </c>
      <c r="J6434" t="s">
        <v>2189</v>
      </c>
      <c r="K6434" t="s">
        <v>2102</v>
      </c>
      <c r="L6434" t="s">
        <v>2184</v>
      </c>
      <c r="M6434">
        <v>720</v>
      </c>
      <c r="N6434">
        <v>24.74</v>
      </c>
      <c r="O6434">
        <v>4906.68</v>
      </c>
      <c r="P6434">
        <v>5524.3819450000001</v>
      </c>
      <c r="Q6434">
        <v>10431.061944999999</v>
      </c>
      <c r="R6434">
        <v>1668.9699109999999</v>
      </c>
      <c r="S6434">
        <v>417.24247800000001</v>
      </c>
      <c r="T6434">
        <v>11682.789377999999</v>
      </c>
      <c r="U6434" t="s">
        <v>2104</v>
      </c>
      <c r="V6434" t="s">
        <v>9408</v>
      </c>
      <c r="W6434" t="s">
        <v>423</v>
      </c>
    </row>
    <row r="6435" spans="1:23" hidden="1" x14ac:dyDescent="0.2">
      <c r="A6435">
        <v>2012</v>
      </c>
      <c r="B6435" t="s">
        <v>304</v>
      </c>
      <c r="C6435" s="733">
        <v>40954</v>
      </c>
      <c r="D64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35" t="s">
        <v>478</v>
      </c>
      <c r="F6435" t="s">
        <v>2142</v>
      </c>
      <c r="G6435" t="s">
        <v>7626</v>
      </c>
      <c r="H6435">
        <v>35638</v>
      </c>
      <c r="I6435" t="s">
        <v>423</v>
      </c>
      <c r="J6435" t="s">
        <v>4276</v>
      </c>
      <c r="K6435" t="s">
        <v>425</v>
      </c>
      <c r="L6435" t="s">
        <v>2145</v>
      </c>
      <c r="M6435">
        <v>60</v>
      </c>
      <c r="N6435">
        <v>46.22</v>
      </c>
      <c r="O6435">
        <v>6205.04</v>
      </c>
      <c r="P6435">
        <v>0</v>
      </c>
      <c r="Q6435">
        <v>6205.04</v>
      </c>
      <c r="R6435">
        <v>992.81</v>
      </c>
      <c r="S6435">
        <v>248.2</v>
      </c>
      <c r="T6435">
        <v>6949.65</v>
      </c>
      <c r="U6435" t="s">
        <v>7553</v>
      </c>
      <c r="V6435" t="s">
        <v>9409</v>
      </c>
      <c r="W6435" t="s">
        <v>423</v>
      </c>
    </row>
    <row r="6436" spans="1:23" hidden="1" x14ac:dyDescent="0.2">
      <c r="A6436">
        <v>2012</v>
      </c>
      <c r="B6436" t="s">
        <v>303</v>
      </c>
      <c r="C6436" s="733">
        <v>40928</v>
      </c>
      <c r="D64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36" t="s">
        <v>485</v>
      </c>
      <c r="F6436" t="s">
        <v>2048</v>
      </c>
      <c r="G6436" t="s">
        <v>3572</v>
      </c>
      <c r="H6436">
        <v>40662</v>
      </c>
      <c r="I6436" t="s">
        <v>423</v>
      </c>
      <c r="J6436" t="s">
        <v>2972</v>
      </c>
      <c r="K6436" t="s">
        <v>2051</v>
      </c>
      <c r="L6436" t="s">
        <v>2052</v>
      </c>
      <c r="M6436">
        <v>398</v>
      </c>
      <c r="N6436">
        <v>27.85</v>
      </c>
      <c r="O6436">
        <v>7702.47</v>
      </c>
      <c r="P6436">
        <v>0</v>
      </c>
      <c r="Q6436">
        <v>7702.47</v>
      </c>
      <c r="R6436">
        <v>1232.4000000000001</v>
      </c>
      <c r="S6436">
        <v>308.10000000000002</v>
      </c>
      <c r="T6436">
        <v>8626.77</v>
      </c>
      <c r="U6436" t="s">
        <v>2064</v>
      </c>
      <c r="V6436" t="s">
        <v>9408</v>
      </c>
      <c r="W6436" t="s">
        <v>423</v>
      </c>
    </row>
    <row r="6437" spans="1:23" hidden="1" x14ac:dyDescent="0.2">
      <c r="A6437">
        <v>2012</v>
      </c>
      <c r="B6437" t="s">
        <v>303</v>
      </c>
      <c r="C6437" s="733">
        <v>40925</v>
      </c>
      <c r="D64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37" t="s">
        <v>485</v>
      </c>
      <c r="F6437" t="s">
        <v>2065</v>
      </c>
      <c r="G6437" t="s">
        <v>4410</v>
      </c>
      <c r="H6437">
        <v>40250</v>
      </c>
      <c r="I6437" t="s">
        <v>423</v>
      </c>
      <c r="J6437" t="s">
        <v>2189</v>
      </c>
      <c r="K6437" t="s">
        <v>2183</v>
      </c>
      <c r="L6437" t="s">
        <v>2184</v>
      </c>
      <c r="M6437">
        <v>720</v>
      </c>
      <c r="N6437">
        <v>27.33</v>
      </c>
      <c r="O6437">
        <v>11076.82</v>
      </c>
      <c r="P6437">
        <v>0</v>
      </c>
      <c r="Q6437">
        <v>11076.82</v>
      </c>
      <c r="R6437">
        <v>1772.29</v>
      </c>
      <c r="S6437">
        <v>443.07</v>
      </c>
      <c r="T6437">
        <v>12406.04</v>
      </c>
      <c r="U6437" t="s">
        <v>7554</v>
      </c>
      <c r="V6437" t="s">
        <v>9408</v>
      </c>
      <c r="W6437" t="s">
        <v>423</v>
      </c>
    </row>
    <row r="6438" spans="1:23" hidden="1" x14ac:dyDescent="0.2">
      <c r="A6438">
        <v>2012</v>
      </c>
      <c r="B6438" t="s">
        <v>304</v>
      </c>
      <c r="C6438" s="733">
        <v>40955</v>
      </c>
      <c r="D64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38" t="s">
        <v>485</v>
      </c>
      <c r="F6438" t="s">
        <v>2065</v>
      </c>
      <c r="G6438" t="s">
        <v>7742</v>
      </c>
      <c r="H6438">
        <v>41960</v>
      </c>
      <c r="I6438" t="s">
        <v>423</v>
      </c>
      <c r="J6438" t="s">
        <v>2189</v>
      </c>
      <c r="K6438" t="s">
        <v>2183</v>
      </c>
      <c r="L6438" t="s">
        <v>2184</v>
      </c>
      <c r="M6438">
        <v>720</v>
      </c>
      <c r="N6438">
        <v>25.44</v>
      </c>
      <c r="O6438">
        <v>10310.58</v>
      </c>
      <c r="P6438">
        <v>0</v>
      </c>
      <c r="Q6438">
        <v>10310.58</v>
      </c>
      <c r="R6438">
        <v>1649.69</v>
      </c>
      <c r="S6438">
        <v>412.42</v>
      </c>
      <c r="T6438">
        <v>11547.85</v>
      </c>
      <c r="U6438" t="s">
        <v>8048</v>
      </c>
      <c r="V6438" t="s">
        <v>9408</v>
      </c>
      <c r="W6438" t="s">
        <v>423</v>
      </c>
    </row>
    <row r="6439" spans="1:23" hidden="1" x14ac:dyDescent="0.2">
      <c r="A6439">
        <v>2012</v>
      </c>
      <c r="B6439" t="s">
        <v>303</v>
      </c>
      <c r="C6439" s="733">
        <v>40938</v>
      </c>
      <c r="D64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39" t="s">
        <v>485</v>
      </c>
      <c r="F6439" t="s">
        <v>2065</v>
      </c>
      <c r="G6439" t="s">
        <v>4405</v>
      </c>
      <c r="H6439">
        <v>40952</v>
      </c>
      <c r="I6439" t="s">
        <v>423</v>
      </c>
      <c r="J6439" t="s">
        <v>3965</v>
      </c>
      <c r="K6439" t="s">
        <v>2183</v>
      </c>
      <c r="L6439" t="s">
        <v>2184</v>
      </c>
      <c r="M6439">
        <v>696</v>
      </c>
      <c r="N6439">
        <v>24.64</v>
      </c>
      <c r="O6439">
        <v>9986.35</v>
      </c>
      <c r="P6439">
        <v>0</v>
      </c>
      <c r="Q6439">
        <v>9986.35</v>
      </c>
      <c r="R6439">
        <v>1597.82</v>
      </c>
      <c r="S6439">
        <v>399.45</v>
      </c>
      <c r="T6439">
        <v>11184.72</v>
      </c>
      <c r="U6439" t="s">
        <v>2187</v>
      </c>
      <c r="V6439" t="s">
        <v>9408</v>
      </c>
      <c r="W6439" t="s">
        <v>423</v>
      </c>
    </row>
    <row r="6440" spans="1:23" hidden="1" x14ac:dyDescent="0.2">
      <c r="A6440">
        <v>2012</v>
      </c>
      <c r="B6440" t="s">
        <v>304</v>
      </c>
      <c r="C6440" s="733">
        <v>40960</v>
      </c>
      <c r="D64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40" t="s">
        <v>485</v>
      </c>
      <c r="F6440" t="s">
        <v>2048</v>
      </c>
      <c r="G6440" t="s">
        <v>8196</v>
      </c>
      <c r="H6440">
        <v>42342</v>
      </c>
      <c r="I6440" t="s">
        <v>423</v>
      </c>
      <c r="J6440" t="s">
        <v>2972</v>
      </c>
      <c r="K6440" t="s">
        <v>2051</v>
      </c>
      <c r="L6440" t="s">
        <v>2052</v>
      </c>
      <c r="M6440">
        <v>398</v>
      </c>
      <c r="N6440">
        <v>58.6</v>
      </c>
      <c r="O6440">
        <v>16207</v>
      </c>
      <c r="P6440">
        <v>0</v>
      </c>
      <c r="Q6440">
        <v>16207</v>
      </c>
      <c r="R6440">
        <v>2593.12</v>
      </c>
      <c r="S6440">
        <v>648.28</v>
      </c>
      <c r="T6440">
        <v>18151.84</v>
      </c>
      <c r="U6440" t="s">
        <v>8780</v>
      </c>
      <c r="V6440" t="s">
        <v>9409</v>
      </c>
      <c r="W6440" t="s">
        <v>423</v>
      </c>
    </row>
    <row r="6441" spans="1:23" hidden="1" x14ac:dyDescent="0.2">
      <c r="A6441">
        <v>2012</v>
      </c>
      <c r="B6441" t="s">
        <v>303</v>
      </c>
      <c r="C6441" s="733">
        <v>40924.536354166667</v>
      </c>
      <c r="D64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41" t="s">
        <v>485</v>
      </c>
      <c r="F6441" t="s">
        <v>2048</v>
      </c>
      <c r="G6441" t="s">
        <v>3569</v>
      </c>
      <c r="H6441">
        <v>40392</v>
      </c>
      <c r="I6441" t="s">
        <v>423</v>
      </c>
      <c r="J6441" t="s">
        <v>3570</v>
      </c>
      <c r="K6441" t="s">
        <v>2051</v>
      </c>
      <c r="L6441" t="s">
        <v>2052</v>
      </c>
      <c r="M6441">
        <v>678</v>
      </c>
      <c r="N6441">
        <v>28.75</v>
      </c>
      <c r="O6441">
        <v>10523.65</v>
      </c>
      <c r="P6441">
        <v>0</v>
      </c>
      <c r="Q6441">
        <v>10523.65</v>
      </c>
      <c r="R6441">
        <v>1683.78</v>
      </c>
      <c r="S6441">
        <v>420.95</v>
      </c>
      <c r="T6441">
        <v>11786.48</v>
      </c>
      <c r="U6441" t="s">
        <v>2062</v>
      </c>
      <c r="V6441" t="s">
        <v>9408</v>
      </c>
      <c r="W6441" t="s">
        <v>423</v>
      </c>
    </row>
    <row r="6442" spans="1:23" hidden="1" x14ac:dyDescent="0.2">
      <c r="A6442">
        <v>2012</v>
      </c>
      <c r="B6442" t="s">
        <v>304</v>
      </c>
      <c r="C6442" s="733">
        <v>40940</v>
      </c>
      <c r="D64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42" t="s">
        <v>485</v>
      </c>
      <c r="F6442" t="s">
        <v>2065</v>
      </c>
      <c r="G6442" t="s">
        <v>4406</v>
      </c>
      <c r="H6442">
        <v>39946</v>
      </c>
      <c r="I6442" t="s">
        <v>423</v>
      </c>
      <c r="J6442" t="s">
        <v>3965</v>
      </c>
      <c r="K6442" t="s">
        <v>2183</v>
      </c>
      <c r="L6442" t="s">
        <v>2184</v>
      </c>
      <c r="M6442">
        <v>696</v>
      </c>
      <c r="N6442">
        <v>25.84</v>
      </c>
      <c r="O6442">
        <v>10472.69</v>
      </c>
      <c r="P6442">
        <v>0</v>
      </c>
      <c r="Q6442">
        <v>10472.69</v>
      </c>
      <c r="R6442">
        <v>1675.63</v>
      </c>
      <c r="S6442">
        <v>418.91</v>
      </c>
      <c r="T6442">
        <v>11729.41</v>
      </c>
      <c r="U6442" t="s">
        <v>8048</v>
      </c>
      <c r="V6442" t="s">
        <v>9408</v>
      </c>
      <c r="W6442" t="s">
        <v>423</v>
      </c>
    </row>
    <row r="6443" spans="1:23" hidden="1" x14ac:dyDescent="0.2">
      <c r="A6443">
        <v>2012</v>
      </c>
      <c r="B6443" t="s">
        <v>304</v>
      </c>
      <c r="C6443" s="733">
        <v>40953</v>
      </c>
      <c r="D64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43" t="s">
        <v>485</v>
      </c>
      <c r="F6443" t="s">
        <v>2065</v>
      </c>
      <c r="G6443" t="s">
        <v>4407</v>
      </c>
      <c r="H6443">
        <v>41744</v>
      </c>
      <c r="I6443" t="s">
        <v>423</v>
      </c>
      <c r="J6443" t="s">
        <v>3965</v>
      </c>
      <c r="K6443" t="s">
        <v>2183</v>
      </c>
      <c r="L6443" t="s">
        <v>2184</v>
      </c>
      <c r="M6443">
        <v>696</v>
      </c>
      <c r="N6443">
        <v>26.57</v>
      </c>
      <c r="O6443">
        <v>10768.56</v>
      </c>
      <c r="P6443">
        <v>0</v>
      </c>
      <c r="Q6443">
        <v>10768.56</v>
      </c>
      <c r="R6443">
        <v>1722.97</v>
      </c>
      <c r="S6443">
        <v>430.74</v>
      </c>
      <c r="T6443">
        <v>12060.79</v>
      </c>
      <c r="U6443" t="s">
        <v>8048</v>
      </c>
      <c r="V6443" t="s">
        <v>9408</v>
      </c>
      <c r="W6443" t="s">
        <v>423</v>
      </c>
    </row>
    <row r="6444" spans="1:23" hidden="1" x14ac:dyDescent="0.2">
      <c r="A6444">
        <v>2012</v>
      </c>
      <c r="B6444" t="s">
        <v>303</v>
      </c>
      <c r="C6444" s="733">
        <v>40939</v>
      </c>
      <c r="D64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44" t="s">
        <v>485</v>
      </c>
      <c r="F6444" t="s">
        <v>2065</v>
      </c>
      <c r="G6444" t="s">
        <v>4408</v>
      </c>
      <c r="H6444">
        <v>41163</v>
      </c>
      <c r="I6444" t="s">
        <v>423</v>
      </c>
      <c r="J6444" t="s">
        <v>3965</v>
      </c>
      <c r="K6444" t="s">
        <v>2183</v>
      </c>
      <c r="L6444" t="s">
        <v>2184</v>
      </c>
      <c r="M6444">
        <v>696</v>
      </c>
      <c r="N6444">
        <v>24.27</v>
      </c>
      <c r="O6444">
        <v>9836.39</v>
      </c>
      <c r="P6444">
        <v>0</v>
      </c>
      <c r="Q6444">
        <v>9836.39</v>
      </c>
      <c r="R6444">
        <v>1573.82</v>
      </c>
      <c r="S6444">
        <v>393.46</v>
      </c>
      <c r="T6444">
        <v>11016.75</v>
      </c>
      <c r="U6444" t="s">
        <v>2192</v>
      </c>
      <c r="V6444" t="s">
        <v>9408</v>
      </c>
      <c r="W6444" t="s">
        <v>423</v>
      </c>
    </row>
    <row r="6445" spans="1:23" hidden="1" x14ac:dyDescent="0.2">
      <c r="A6445">
        <v>2012</v>
      </c>
      <c r="B6445" t="s">
        <v>303</v>
      </c>
      <c r="C6445" s="733">
        <v>40928</v>
      </c>
      <c r="D64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45" t="s">
        <v>485</v>
      </c>
      <c r="F6445" t="s">
        <v>2054</v>
      </c>
      <c r="G6445" t="s">
        <v>3571</v>
      </c>
      <c r="H6445">
        <v>40665</v>
      </c>
      <c r="I6445" t="s">
        <v>423</v>
      </c>
      <c r="J6445" t="s">
        <v>2972</v>
      </c>
      <c r="K6445" t="s">
        <v>2051</v>
      </c>
      <c r="L6445" t="s">
        <v>2052</v>
      </c>
      <c r="M6445">
        <v>398</v>
      </c>
      <c r="N6445">
        <v>51.2</v>
      </c>
      <c r="O6445">
        <v>14160.38</v>
      </c>
      <c r="P6445">
        <v>0</v>
      </c>
      <c r="Q6445">
        <v>14160.38</v>
      </c>
      <c r="R6445">
        <v>2265.66</v>
      </c>
      <c r="S6445">
        <v>566.41999999999996</v>
      </c>
      <c r="T6445">
        <v>15859.62</v>
      </c>
      <c r="U6445" t="s">
        <v>2062</v>
      </c>
      <c r="V6445" t="s">
        <v>9409</v>
      </c>
      <c r="W6445" t="s">
        <v>423</v>
      </c>
    </row>
    <row r="6446" spans="1:23" hidden="1" x14ac:dyDescent="0.2">
      <c r="A6446">
        <v>2012</v>
      </c>
      <c r="B6446" t="s">
        <v>305</v>
      </c>
      <c r="C6446" s="733">
        <v>40970</v>
      </c>
      <c r="D6446" s="733" t="str">
        <f>CHOOSE(MONTH(Tabla_sqldatos_bonampakdb_Bon_v_ingresos2012[[#This Row],[fecha_guia]]),"Enero","Febrero","Marzo","Abril","Mayo","Junio","Julio","Agosto","Septiembre","Octubre","Noviembre","Diciembre")</f>
        <v>Marzo</v>
      </c>
      <c r="E6446" t="s">
        <v>485</v>
      </c>
      <c r="F6446" t="s">
        <v>2065</v>
      </c>
      <c r="G6446" t="s">
        <v>9769</v>
      </c>
      <c r="H6446">
        <v>42943</v>
      </c>
      <c r="I6446" t="s">
        <v>423</v>
      </c>
      <c r="J6446" t="s">
        <v>2972</v>
      </c>
      <c r="K6446" t="s">
        <v>2051</v>
      </c>
      <c r="L6446" t="s">
        <v>2052</v>
      </c>
      <c r="M6446">
        <v>398</v>
      </c>
      <c r="N6446">
        <v>50.05</v>
      </c>
      <c r="O6446">
        <v>13842.33</v>
      </c>
      <c r="P6446">
        <v>0</v>
      </c>
      <c r="Q6446">
        <v>13842.33</v>
      </c>
      <c r="R6446">
        <v>2214.77</v>
      </c>
      <c r="S6446">
        <v>553.69000000000005</v>
      </c>
      <c r="T6446">
        <v>15503.41</v>
      </c>
      <c r="V6446" t="s">
        <v>9409</v>
      </c>
      <c r="W6446" t="s">
        <v>423</v>
      </c>
    </row>
    <row r="6447" spans="1:23" hidden="1" x14ac:dyDescent="0.2">
      <c r="A6447">
        <v>2012</v>
      </c>
      <c r="B6447" t="s">
        <v>303</v>
      </c>
      <c r="C6447" s="733">
        <v>40920</v>
      </c>
      <c r="D64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47" t="s">
        <v>478</v>
      </c>
      <c r="F6447" t="s">
        <v>2136</v>
      </c>
      <c r="G6447" t="s">
        <v>4792</v>
      </c>
      <c r="H6447">
        <v>34271</v>
      </c>
      <c r="I6447" t="s">
        <v>423</v>
      </c>
      <c r="J6447" t="s">
        <v>4276</v>
      </c>
      <c r="K6447" t="s">
        <v>425</v>
      </c>
      <c r="L6447" t="s">
        <v>2145</v>
      </c>
      <c r="M6447">
        <v>60</v>
      </c>
      <c r="N6447">
        <v>51.66</v>
      </c>
      <c r="O6447">
        <v>6935.36</v>
      </c>
      <c r="P6447">
        <v>0</v>
      </c>
      <c r="Q6447">
        <v>6935.36</v>
      </c>
      <c r="R6447">
        <v>1109.6600000000001</v>
      </c>
      <c r="S6447">
        <v>277.41000000000003</v>
      </c>
      <c r="T6447">
        <v>7767.61</v>
      </c>
      <c r="U6447" t="s">
        <v>2350</v>
      </c>
      <c r="V6447" t="s">
        <v>9409</v>
      </c>
      <c r="W6447" t="s">
        <v>423</v>
      </c>
    </row>
    <row r="6448" spans="1:23" hidden="1" x14ac:dyDescent="0.2">
      <c r="A6448">
        <v>2012</v>
      </c>
      <c r="B6448" t="s">
        <v>304</v>
      </c>
      <c r="C6448" s="733">
        <v>40962</v>
      </c>
      <c r="D64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48" t="s">
        <v>478</v>
      </c>
      <c r="F6448" t="s">
        <v>2136</v>
      </c>
      <c r="G6448" t="s">
        <v>8618</v>
      </c>
      <c r="H6448">
        <v>35773</v>
      </c>
      <c r="I6448" t="s">
        <v>423</v>
      </c>
      <c r="J6448" t="s">
        <v>8619</v>
      </c>
      <c r="K6448" t="s">
        <v>425</v>
      </c>
      <c r="L6448" t="s">
        <v>2145</v>
      </c>
      <c r="M6448">
        <v>1055</v>
      </c>
      <c r="N6448">
        <v>26.26</v>
      </c>
      <c r="O6448">
        <v>13255.26</v>
      </c>
      <c r="P6448">
        <v>0</v>
      </c>
      <c r="Q6448">
        <v>13255.26</v>
      </c>
      <c r="R6448">
        <v>2120.84</v>
      </c>
      <c r="S6448">
        <v>530.21</v>
      </c>
      <c r="T6448">
        <v>14845.89</v>
      </c>
      <c r="U6448" t="s">
        <v>8510</v>
      </c>
      <c r="V6448" t="s">
        <v>9408</v>
      </c>
      <c r="W6448" t="s">
        <v>423</v>
      </c>
    </row>
    <row r="6449" spans="1:23" hidden="1" x14ac:dyDescent="0.2">
      <c r="A6449">
        <v>2012</v>
      </c>
      <c r="B6449" t="s">
        <v>304</v>
      </c>
      <c r="C6449" s="733">
        <v>40967</v>
      </c>
      <c r="D64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49" t="s">
        <v>505</v>
      </c>
      <c r="F6449" t="s">
        <v>1915</v>
      </c>
      <c r="G6449" t="s">
        <v>9066</v>
      </c>
      <c r="H6449">
        <v>23058</v>
      </c>
      <c r="I6449" t="s">
        <v>423</v>
      </c>
      <c r="J6449" t="s">
        <v>4158</v>
      </c>
      <c r="K6449" t="s">
        <v>1918</v>
      </c>
      <c r="L6449" t="s">
        <v>1919</v>
      </c>
      <c r="M6449">
        <v>274</v>
      </c>
      <c r="N6449">
        <v>26.83</v>
      </c>
      <c r="O6449">
        <v>7407.76</v>
      </c>
      <c r="P6449">
        <v>0</v>
      </c>
      <c r="Q6449">
        <v>7407.76</v>
      </c>
      <c r="R6449">
        <v>1185.24</v>
      </c>
      <c r="S6449">
        <v>296.31</v>
      </c>
      <c r="T6449">
        <v>8296.69</v>
      </c>
      <c r="V6449" t="s">
        <v>9409</v>
      </c>
      <c r="W6449" t="s">
        <v>423</v>
      </c>
    </row>
    <row r="6450" spans="1:23" hidden="1" x14ac:dyDescent="0.2">
      <c r="A6450">
        <v>2012</v>
      </c>
      <c r="B6450" t="s">
        <v>304</v>
      </c>
      <c r="C6450" s="733">
        <v>40962</v>
      </c>
      <c r="D64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50" t="s">
        <v>505</v>
      </c>
      <c r="F6450" t="s">
        <v>1915</v>
      </c>
      <c r="G6450" t="s">
        <v>8622</v>
      </c>
      <c r="H6450">
        <v>22970</v>
      </c>
      <c r="I6450" t="s">
        <v>423</v>
      </c>
      <c r="J6450" t="s">
        <v>4158</v>
      </c>
      <c r="K6450" t="s">
        <v>1918</v>
      </c>
      <c r="L6450" t="s">
        <v>1919</v>
      </c>
      <c r="M6450">
        <v>274</v>
      </c>
      <c r="N6450">
        <v>25.92</v>
      </c>
      <c r="O6450">
        <v>7156.51</v>
      </c>
      <c r="P6450">
        <v>0</v>
      </c>
      <c r="Q6450">
        <v>7156.51</v>
      </c>
      <c r="R6450">
        <v>1145.04</v>
      </c>
      <c r="S6450">
        <v>286.26</v>
      </c>
      <c r="T6450">
        <v>8015.29</v>
      </c>
      <c r="U6450" t="s">
        <v>8778</v>
      </c>
      <c r="V6450" t="s">
        <v>9408</v>
      </c>
      <c r="W6450" t="s">
        <v>423</v>
      </c>
    </row>
    <row r="6451" spans="1:23" hidden="1" x14ac:dyDescent="0.2">
      <c r="A6451">
        <v>2012</v>
      </c>
      <c r="B6451" t="s">
        <v>303</v>
      </c>
      <c r="C6451" s="733">
        <v>40924.511400462965</v>
      </c>
      <c r="D64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51" t="s">
        <v>485</v>
      </c>
      <c r="F6451" t="s">
        <v>2054</v>
      </c>
      <c r="G6451" t="s">
        <v>4557</v>
      </c>
      <c r="H6451">
        <v>10072</v>
      </c>
      <c r="I6451" t="s">
        <v>423</v>
      </c>
      <c r="J6451" t="s">
        <v>2056</v>
      </c>
      <c r="K6451" t="s">
        <v>2057</v>
      </c>
      <c r="L6451" t="s">
        <v>2058</v>
      </c>
      <c r="M6451">
        <v>19</v>
      </c>
      <c r="N6451">
        <v>22.17</v>
      </c>
      <c r="O6451">
        <v>2502.33</v>
      </c>
      <c r="P6451">
        <v>0</v>
      </c>
      <c r="Q6451">
        <v>2502.33</v>
      </c>
      <c r="R6451">
        <v>400.37</v>
      </c>
      <c r="S6451">
        <v>100.09</v>
      </c>
      <c r="T6451">
        <v>2802.61</v>
      </c>
      <c r="U6451" t="s">
        <v>2059</v>
      </c>
      <c r="V6451" t="s">
        <v>9408</v>
      </c>
      <c r="W6451" t="s">
        <v>423</v>
      </c>
    </row>
    <row r="6452" spans="1:23" hidden="1" x14ac:dyDescent="0.2">
      <c r="A6452">
        <v>2012</v>
      </c>
      <c r="B6452" t="s">
        <v>304</v>
      </c>
      <c r="C6452" s="733">
        <v>40953.602002314816</v>
      </c>
      <c r="D64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52" t="s">
        <v>485</v>
      </c>
      <c r="F6452" t="s">
        <v>2054</v>
      </c>
      <c r="G6452" t="s">
        <v>4556</v>
      </c>
      <c r="H6452">
        <v>10436</v>
      </c>
      <c r="I6452" t="s">
        <v>423</v>
      </c>
      <c r="J6452" t="s">
        <v>2056</v>
      </c>
      <c r="K6452" t="s">
        <v>2057</v>
      </c>
      <c r="L6452" t="s">
        <v>2058</v>
      </c>
      <c r="M6452">
        <v>19</v>
      </c>
      <c r="N6452">
        <v>22.68</v>
      </c>
      <c r="O6452">
        <v>2559.89</v>
      </c>
      <c r="P6452">
        <v>0</v>
      </c>
      <c r="Q6452">
        <v>2559.89</v>
      </c>
      <c r="R6452">
        <v>281.58999999999997</v>
      </c>
      <c r="S6452">
        <v>102.4</v>
      </c>
      <c r="T6452">
        <v>2739.08</v>
      </c>
      <c r="U6452" t="s">
        <v>8047</v>
      </c>
      <c r="V6452" t="s">
        <v>9408</v>
      </c>
      <c r="W6452" t="s">
        <v>423</v>
      </c>
    </row>
    <row r="6453" spans="1:23" hidden="1" x14ac:dyDescent="0.2">
      <c r="A6453">
        <v>2012</v>
      </c>
      <c r="B6453" t="s">
        <v>305</v>
      </c>
      <c r="C6453" s="733">
        <v>40969.487037037034</v>
      </c>
      <c r="D6453" s="733" t="str">
        <f>CHOOSE(MONTH(Tabla_sqldatos_bonampakdb_Bon_v_ingresos2012[[#This Row],[fecha_guia]]),"Enero","Febrero","Marzo","Abril","Mayo","Junio","Julio","Agosto","Septiembre","Octubre","Noviembre","Diciembre")</f>
        <v>Marzo</v>
      </c>
      <c r="E6453" t="s">
        <v>485</v>
      </c>
      <c r="F6453" t="s">
        <v>2054</v>
      </c>
      <c r="G6453" t="s">
        <v>9496</v>
      </c>
      <c r="H6453">
        <v>10619</v>
      </c>
      <c r="I6453" t="s">
        <v>423</v>
      </c>
      <c r="J6453" t="s">
        <v>2056</v>
      </c>
      <c r="K6453" t="s">
        <v>2057</v>
      </c>
      <c r="L6453" t="s">
        <v>2058</v>
      </c>
      <c r="M6453">
        <v>19</v>
      </c>
      <c r="N6453">
        <v>25</v>
      </c>
      <c r="O6453">
        <v>2821.75</v>
      </c>
      <c r="P6453">
        <v>0</v>
      </c>
      <c r="Q6453">
        <v>2821.75</v>
      </c>
      <c r="R6453">
        <v>310.39</v>
      </c>
      <c r="S6453">
        <v>112.87</v>
      </c>
      <c r="T6453">
        <v>3019.27</v>
      </c>
      <c r="V6453" t="s">
        <v>9408</v>
      </c>
      <c r="W6453" t="s">
        <v>423</v>
      </c>
    </row>
    <row r="6454" spans="1:23" hidden="1" x14ac:dyDescent="0.2">
      <c r="A6454">
        <v>2012</v>
      </c>
      <c r="B6454" t="s">
        <v>303</v>
      </c>
      <c r="C6454" s="733">
        <v>40926</v>
      </c>
      <c r="D64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54" t="s">
        <v>478</v>
      </c>
      <c r="F6454" t="s">
        <v>2622</v>
      </c>
      <c r="G6454" t="s">
        <v>4382</v>
      </c>
      <c r="H6454">
        <v>34599</v>
      </c>
      <c r="I6454" t="s">
        <v>423</v>
      </c>
      <c r="J6454" t="s">
        <v>2662</v>
      </c>
      <c r="K6454" t="s">
        <v>2625</v>
      </c>
      <c r="L6454" t="s">
        <v>2626</v>
      </c>
      <c r="M6454">
        <v>66</v>
      </c>
      <c r="N6454">
        <v>24.14</v>
      </c>
      <c r="O6454">
        <v>2842</v>
      </c>
      <c r="P6454">
        <v>0</v>
      </c>
      <c r="Q6454">
        <v>2842</v>
      </c>
      <c r="R6454">
        <v>454.72</v>
      </c>
      <c r="S6454">
        <v>113.68</v>
      </c>
      <c r="T6454">
        <v>3183.04</v>
      </c>
      <c r="U6454" t="s">
        <v>2627</v>
      </c>
      <c r="V6454" t="s">
        <v>9408</v>
      </c>
      <c r="W6454" t="s">
        <v>423</v>
      </c>
    </row>
    <row r="6455" spans="1:23" hidden="1" x14ac:dyDescent="0.2">
      <c r="A6455">
        <v>2012</v>
      </c>
      <c r="B6455" t="s">
        <v>304</v>
      </c>
      <c r="C6455" s="733">
        <v>40954</v>
      </c>
      <c r="D64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55" t="s">
        <v>478</v>
      </c>
      <c r="F6455" t="s">
        <v>2622</v>
      </c>
      <c r="G6455" t="s">
        <v>7625</v>
      </c>
      <c r="H6455">
        <v>35635</v>
      </c>
      <c r="I6455" t="s">
        <v>423</v>
      </c>
      <c r="J6455" t="s">
        <v>2662</v>
      </c>
      <c r="K6455" t="s">
        <v>2625</v>
      </c>
      <c r="L6455" t="s">
        <v>2626</v>
      </c>
      <c r="M6455">
        <v>66</v>
      </c>
      <c r="N6455">
        <v>23.98</v>
      </c>
      <c r="O6455">
        <v>2823.17</v>
      </c>
      <c r="P6455">
        <v>0</v>
      </c>
      <c r="Q6455">
        <v>2823.17</v>
      </c>
      <c r="R6455">
        <v>451.71</v>
      </c>
      <c r="S6455">
        <v>112.93</v>
      </c>
      <c r="T6455">
        <v>3161.95</v>
      </c>
      <c r="U6455" t="s">
        <v>7548</v>
      </c>
      <c r="V6455" t="s">
        <v>9408</v>
      </c>
      <c r="W6455" t="s">
        <v>423</v>
      </c>
    </row>
    <row r="6456" spans="1:23" hidden="1" x14ac:dyDescent="0.2">
      <c r="A6456">
        <v>2012</v>
      </c>
      <c r="B6456" t="s">
        <v>303</v>
      </c>
      <c r="C6456" s="733">
        <v>40933</v>
      </c>
      <c r="D64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56" t="s">
        <v>505</v>
      </c>
      <c r="F6456" t="s">
        <v>1915</v>
      </c>
      <c r="G6456" t="s">
        <v>6806</v>
      </c>
      <c r="H6456">
        <v>21611</v>
      </c>
      <c r="I6456" t="s">
        <v>424</v>
      </c>
      <c r="J6456" t="s">
        <v>6464</v>
      </c>
      <c r="K6456" t="s">
        <v>1918</v>
      </c>
      <c r="L6456" t="s">
        <v>1919</v>
      </c>
      <c r="M6456">
        <v>500</v>
      </c>
      <c r="N6456">
        <v>28</v>
      </c>
      <c r="O6456">
        <v>4832.37</v>
      </c>
      <c r="P6456">
        <v>2777.12</v>
      </c>
      <c r="Q6456">
        <v>7609.49</v>
      </c>
      <c r="R6456">
        <v>1217.52</v>
      </c>
      <c r="S6456">
        <v>304.38</v>
      </c>
      <c r="T6456">
        <v>8522.6299999999992</v>
      </c>
      <c r="V6456" t="s">
        <v>9408</v>
      </c>
      <c r="W6456" t="s">
        <v>424</v>
      </c>
    </row>
    <row r="6457" spans="1:23" hidden="1" x14ac:dyDescent="0.2">
      <c r="A6457">
        <v>2012</v>
      </c>
      <c r="B6457" t="s">
        <v>304</v>
      </c>
      <c r="C6457" s="733">
        <v>40952</v>
      </c>
      <c r="D64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57" t="s">
        <v>485</v>
      </c>
      <c r="F6457" t="s">
        <v>2048</v>
      </c>
      <c r="G6457" t="s">
        <v>2504</v>
      </c>
      <c r="H6457">
        <v>41848</v>
      </c>
      <c r="I6457" t="s">
        <v>423</v>
      </c>
      <c r="J6457" t="s">
        <v>2171</v>
      </c>
      <c r="K6457" t="s">
        <v>2051</v>
      </c>
      <c r="L6457" t="s">
        <v>2052</v>
      </c>
      <c r="M6457">
        <v>57</v>
      </c>
      <c r="N6457">
        <v>24.7</v>
      </c>
      <c r="O6457">
        <v>3465.66</v>
      </c>
      <c r="P6457">
        <v>0</v>
      </c>
      <c r="Q6457">
        <v>3465.66</v>
      </c>
      <c r="R6457">
        <v>554.51</v>
      </c>
      <c r="S6457">
        <v>138.63</v>
      </c>
      <c r="T6457">
        <v>3881.54</v>
      </c>
      <c r="U6457" t="s">
        <v>7568</v>
      </c>
      <c r="V6457" t="s">
        <v>9408</v>
      </c>
      <c r="W6457" t="s">
        <v>423</v>
      </c>
    </row>
    <row r="6458" spans="1:23" hidden="1" x14ac:dyDescent="0.2">
      <c r="A6458">
        <v>2012</v>
      </c>
      <c r="B6458" t="s">
        <v>303</v>
      </c>
      <c r="C6458" s="733">
        <v>40931.623240740744</v>
      </c>
      <c r="D64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58" t="s">
        <v>485</v>
      </c>
      <c r="F6458" t="s">
        <v>2054</v>
      </c>
      <c r="G6458" t="s">
        <v>6669</v>
      </c>
      <c r="H6458">
        <v>10183</v>
      </c>
      <c r="I6458" t="s">
        <v>423</v>
      </c>
      <c r="J6458" t="s">
        <v>4545</v>
      </c>
      <c r="K6458" t="s">
        <v>2057</v>
      </c>
      <c r="L6458" t="s">
        <v>2058</v>
      </c>
      <c r="M6458">
        <v>144</v>
      </c>
      <c r="N6458">
        <v>24.39</v>
      </c>
      <c r="O6458">
        <v>3899.72</v>
      </c>
      <c r="P6458">
        <v>0</v>
      </c>
      <c r="Q6458">
        <v>3899.72</v>
      </c>
      <c r="R6458">
        <v>623.95000000000005</v>
      </c>
      <c r="S6458">
        <v>155.99</v>
      </c>
      <c r="T6458">
        <v>4367.68</v>
      </c>
      <c r="U6458" t="s">
        <v>2077</v>
      </c>
      <c r="V6458" t="s">
        <v>9408</v>
      </c>
      <c r="W6458" t="s">
        <v>423</v>
      </c>
    </row>
    <row r="6459" spans="1:23" hidden="1" x14ac:dyDescent="0.2">
      <c r="A6459">
        <v>2012</v>
      </c>
      <c r="B6459" t="s">
        <v>304</v>
      </c>
      <c r="C6459" s="733">
        <v>40948</v>
      </c>
      <c r="D64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59" t="s">
        <v>485</v>
      </c>
      <c r="F6459" t="s">
        <v>2065</v>
      </c>
      <c r="G6459" t="s">
        <v>2490</v>
      </c>
      <c r="H6459">
        <v>41645</v>
      </c>
      <c r="I6459" t="s">
        <v>423</v>
      </c>
      <c r="J6459" t="s">
        <v>2050</v>
      </c>
      <c r="K6459" t="s">
        <v>2051</v>
      </c>
      <c r="L6459" t="s">
        <v>2052</v>
      </c>
      <c r="M6459">
        <v>90</v>
      </c>
      <c r="N6459">
        <v>29.8</v>
      </c>
      <c r="O6459">
        <v>4181.24</v>
      </c>
      <c r="P6459">
        <v>0</v>
      </c>
      <c r="Q6459">
        <v>4181.24</v>
      </c>
      <c r="R6459">
        <v>669</v>
      </c>
      <c r="S6459">
        <v>167.25</v>
      </c>
      <c r="T6459">
        <v>4682.99</v>
      </c>
      <c r="U6459" t="s">
        <v>7568</v>
      </c>
      <c r="V6459" t="s">
        <v>9408</v>
      </c>
      <c r="W6459" t="s">
        <v>423</v>
      </c>
    </row>
    <row r="6460" spans="1:23" hidden="1" x14ac:dyDescent="0.2">
      <c r="A6460">
        <v>2012</v>
      </c>
      <c r="B6460" t="s">
        <v>304</v>
      </c>
      <c r="C6460" s="733">
        <v>40956</v>
      </c>
      <c r="D64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60" t="s">
        <v>485</v>
      </c>
      <c r="F6460" t="s">
        <v>2054</v>
      </c>
      <c r="G6460" t="s">
        <v>7679</v>
      </c>
      <c r="H6460">
        <v>10481</v>
      </c>
      <c r="I6460" t="s">
        <v>423</v>
      </c>
      <c r="J6460" t="s">
        <v>2056</v>
      </c>
      <c r="K6460" t="s">
        <v>2057</v>
      </c>
      <c r="L6460" t="s">
        <v>2058</v>
      </c>
      <c r="M6460">
        <v>19</v>
      </c>
      <c r="N6460">
        <v>23.63</v>
      </c>
      <c r="O6460">
        <v>2667.12</v>
      </c>
      <c r="P6460">
        <v>0</v>
      </c>
      <c r="Q6460">
        <v>2667.12</v>
      </c>
      <c r="R6460">
        <v>293.38</v>
      </c>
      <c r="S6460">
        <v>106.68</v>
      </c>
      <c r="T6460">
        <v>2853.82</v>
      </c>
      <c r="U6460" t="s">
        <v>8864</v>
      </c>
      <c r="V6460" t="s">
        <v>9408</v>
      </c>
      <c r="W6460" t="s">
        <v>423</v>
      </c>
    </row>
    <row r="6461" spans="1:23" x14ac:dyDescent="0.2">
      <c r="A6461">
        <v>2012</v>
      </c>
      <c r="B6461" t="s">
        <v>304</v>
      </c>
      <c r="C6461" s="733">
        <v>40968</v>
      </c>
      <c r="D64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61" t="s">
        <v>485</v>
      </c>
      <c r="F6461" t="s">
        <v>2054</v>
      </c>
      <c r="G6461" t="s">
        <v>9489</v>
      </c>
      <c r="H6461">
        <v>10609</v>
      </c>
      <c r="I6461" t="s">
        <v>423</v>
      </c>
      <c r="J6461" t="s">
        <v>2056</v>
      </c>
      <c r="K6461" t="s">
        <v>2057</v>
      </c>
      <c r="L6461" t="s">
        <v>2058</v>
      </c>
      <c r="M6461">
        <v>19</v>
      </c>
      <c r="N6461">
        <v>46.27</v>
      </c>
      <c r="O6461">
        <v>5222.49</v>
      </c>
      <c r="P6461">
        <v>0</v>
      </c>
      <c r="Q6461">
        <v>5222.49</v>
      </c>
      <c r="R6461">
        <v>574.47</v>
      </c>
      <c r="S6461">
        <v>208.9</v>
      </c>
      <c r="T6461">
        <v>5588.06</v>
      </c>
      <c r="V6461" t="s">
        <v>9409</v>
      </c>
      <c r="W6461" t="s">
        <v>423</v>
      </c>
    </row>
    <row r="6462" spans="1:23" hidden="1" x14ac:dyDescent="0.2">
      <c r="A6462">
        <v>2012</v>
      </c>
      <c r="B6462" t="s">
        <v>304</v>
      </c>
      <c r="C6462" s="733">
        <v>40947</v>
      </c>
      <c r="D64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62" t="s">
        <v>485</v>
      </c>
      <c r="F6462" t="s">
        <v>2065</v>
      </c>
      <c r="G6462" t="s">
        <v>6631</v>
      </c>
      <c r="H6462">
        <v>41247</v>
      </c>
      <c r="I6462" t="s">
        <v>2821</v>
      </c>
      <c r="J6462" t="s">
        <v>5705</v>
      </c>
      <c r="K6462" t="s">
        <v>4524</v>
      </c>
      <c r="L6462" t="s">
        <v>2184</v>
      </c>
      <c r="M6462">
        <v>1467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V6462" t="s">
        <v>9409</v>
      </c>
      <c r="W6462" t="s">
        <v>2821</v>
      </c>
    </row>
    <row r="6463" spans="1:23" hidden="1" x14ac:dyDescent="0.2">
      <c r="A6463">
        <v>2012</v>
      </c>
      <c r="B6463" t="s">
        <v>303</v>
      </c>
      <c r="C6463" s="733">
        <v>40939.556261574071</v>
      </c>
      <c r="D64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63" t="s">
        <v>478</v>
      </c>
      <c r="F6463" t="s">
        <v>2622</v>
      </c>
      <c r="G6463" t="s">
        <v>6369</v>
      </c>
      <c r="H6463">
        <v>35162</v>
      </c>
      <c r="I6463" t="s">
        <v>423</v>
      </c>
      <c r="J6463" t="s">
        <v>2662</v>
      </c>
      <c r="K6463" t="s">
        <v>2625</v>
      </c>
      <c r="L6463" t="s">
        <v>2626</v>
      </c>
      <c r="M6463">
        <v>66</v>
      </c>
      <c r="N6463">
        <v>34.46</v>
      </c>
      <c r="O6463">
        <v>4056.98</v>
      </c>
      <c r="P6463">
        <v>0</v>
      </c>
      <c r="Q6463">
        <v>4056.98</v>
      </c>
      <c r="R6463">
        <v>649.12</v>
      </c>
      <c r="S6463">
        <v>162.28</v>
      </c>
      <c r="T6463">
        <v>4543.82</v>
      </c>
      <c r="U6463" t="s">
        <v>2648</v>
      </c>
      <c r="V6463" t="s">
        <v>9408</v>
      </c>
      <c r="W6463" t="s">
        <v>423</v>
      </c>
    </row>
    <row r="6464" spans="1:23" hidden="1" x14ac:dyDescent="0.2">
      <c r="A6464">
        <v>2012</v>
      </c>
      <c r="B6464" t="s">
        <v>305</v>
      </c>
      <c r="C6464" s="733">
        <v>40970.92564814815</v>
      </c>
      <c r="D6464" s="733" t="str">
        <f>CHOOSE(MONTH(Tabla_sqldatos_bonampakdb_Bon_v_ingresos2012[[#This Row],[fecha_guia]]),"Enero","Febrero","Marzo","Abril","Mayo","Junio","Julio","Agosto","Septiembre","Octubre","Noviembre","Diciembre")</f>
        <v>Marzo</v>
      </c>
      <c r="E6464" t="s">
        <v>478</v>
      </c>
      <c r="F6464" t="s">
        <v>2136</v>
      </c>
      <c r="G6464" t="s">
        <v>9770</v>
      </c>
      <c r="H6464">
        <v>36288</v>
      </c>
      <c r="I6464" t="s">
        <v>423</v>
      </c>
      <c r="J6464" t="s">
        <v>2662</v>
      </c>
      <c r="K6464" t="s">
        <v>2625</v>
      </c>
      <c r="L6464" t="s">
        <v>2626</v>
      </c>
      <c r="M6464">
        <v>66</v>
      </c>
      <c r="N6464">
        <v>22.84</v>
      </c>
      <c r="O6464">
        <v>2688.95</v>
      </c>
      <c r="P6464">
        <v>0</v>
      </c>
      <c r="Q6464">
        <v>2688.95</v>
      </c>
      <c r="R6464">
        <v>430.23</v>
      </c>
      <c r="S6464">
        <v>107.56</v>
      </c>
      <c r="T6464">
        <v>3011.62</v>
      </c>
      <c r="V6464" t="s">
        <v>9408</v>
      </c>
      <c r="W6464" t="s">
        <v>423</v>
      </c>
    </row>
    <row r="6465" spans="1:23" hidden="1" x14ac:dyDescent="0.2">
      <c r="A6465">
        <v>2012</v>
      </c>
      <c r="B6465" t="s">
        <v>305</v>
      </c>
      <c r="C6465" s="733">
        <v>40970.926678240743</v>
      </c>
      <c r="D6465" s="733" t="str">
        <f>CHOOSE(MONTH(Tabla_sqldatos_bonampakdb_Bon_v_ingresos2012[[#This Row],[fecha_guia]]),"Enero","Febrero","Marzo","Abril","Mayo","Junio","Julio","Agosto","Septiembre","Octubre","Noviembre","Diciembre")</f>
        <v>Marzo</v>
      </c>
      <c r="E6465" t="s">
        <v>478</v>
      </c>
      <c r="F6465" t="s">
        <v>2136</v>
      </c>
      <c r="G6465" t="s">
        <v>9771</v>
      </c>
      <c r="H6465">
        <v>36291</v>
      </c>
      <c r="I6465" t="s">
        <v>423</v>
      </c>
      <c r="J6465" t="s">
        <v>2662</v>
      </c>
      <c r="K6465" t="s">
        <v>2625</v>
      </c>
      <c r="L6465" t="s">
        <v>2626</v>
      </c>
      <c r="M6465">
        <v>66</v>
      </c>
      <c r="N6465">
        <v>33.21</v>
      </c>
      <c r="O6465">
        <v>3909.81</v>
      </c>
      <c r="P6465">
        <v>0</v>
      </c>
      <c r="Q6465">
        <v>3909.81</v>
      </c>
      <c r="R6465">
        <v>625.57000000000005</v>
      </c>
      <c r="S6465">
        <v>156.38999999999999</v>
      </c>
      <c r="T6465">
        <v>4378.99</v>
      </c>
      <c r="V6465" t="s">
        <v>9408</v>
      </c>
      <c r="W6465" t="s">
        <v>423</v>
      </c>
    </row>
    <row r="6466" spans="1:23" hidden="1" x14ac:dyDescent="0.2">
      <c r="A6466">
        <v>2012</v>
      </c>
      <c r="B6466" t="s">
        <v>303</v>
      </c>
      <c r="C6466" s="733">
        <v>40936.530439814815</v>
      </c>
      <c r="D64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66" t="s">
        <v>485</v>
      </c>
      <c r="F6466" t="s">
        <v>2054</v>
      </c>
      <c r="G6466" t="s">
        <v>6675</v>
      </c>
      <c r="H6466">
        <v>10252</v>
      </c>
      <c r="I6466" t="s">
        <v>423</v>
      </c>
      <c r="J6466" t="s">
        <v>4078</v>
      </c>
      <c r="K6466" t="s">
        <v>2057</v>
      </c>
      <c r="L6466" t="s">
        <v>2058</v>
      </c>
      <c r="M6466">
        <v>154</v>
      </c>
      <c r="N6466">
        <v>45.67</v>
      </c>
      <c r="O6466">
        <v>7696.31</v>
      </c>
      <c r="P6466">
        <v>0</v>
      </c>
      <c r="Q6466">
        <v>7696.31</v>
      </c>
      <c r="R6466">
        <v>1231.4100000000001</v>
      </c>
      <c r="S6466">
        <v>307.85000000000002</v>
      </c>
      <c r="T6466">
        <v>8619.8700000000008</v>
      </c>
      <c r="U6466" t="s">
        <v>2073</v>
      </c>
      <c r="V6466" t="s">
        <v>9409</v>
      </c>
      <c r="W6466" t="s">
        <v>423</v>
      </c>
    </row>
    <row r="6467" spans="1:23" hidden="1" x14ac:dyDescent="0.2">
      <c r="A6467">
        <v>2012</v>
      </c>
      <c r="B6467" t="s">
        <v>304</v>
      </c>
      <c r="C6467" s="733">
        <v>40962.913460648146</v>
      </c>
      <c r="D64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67" t="s">
        <v>478</v>
      </c>
      <c r="F6467" t="s">
        <v>2622</v>
      </c>
      <c r="G6467" t="s">
        <v>8566</v>
      </c>
      <c r="H6467">
        <v>35974</v>
      </c>
      <c r="I6467" t="s">
        <v>423</v>
      </c>
      <c r="J6467" t="s">
        <v>2662</v>
      </c>
      <c r="K6467" t="s">
        <v>2625</v>
      </c>
      <c r="L6467" t="s">
        <v>2626</v>
      </c>
      <c r="M6467">
        <v>66</v>
      </c>
      <c r="N6467">
        <v>23.78</v>
      </c>
      <c r="O6467">
        <v>2799.62</v>
      </c>
      <c r="P6467">
        <v>0</v>
      </c>
      <c r="Q6467">
        <v>2799.62</v>
      </c>
      <c r="R6467">
        <v>447.94</v>
      </c>
      <c r="S6467">
        <v>111.98</v>
      </c>
      <c r="T6467">
        <v>3135.58</v>
      </c>
      <c r="U6467" t="s">
        <v>9428</v>
      </c>
      <c r="V6467" t="s">
        <v>9408</v>
      </c>
      <c r="W6467" t="s">
        <v>423</v>
      </c>
    </row>
    <row r="6468" spans="1:23" hidden="1" x14ac:dyDescent="0.2">
      <c r="A6468">
        <v>2012</v>
      </c>
      <c r="B6468" t="s">
        <v>303</v>
      </c>
      <c r="C6468" s="733">
        <v>40924.949212962965</v>
      </c>
      <c r="D64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68" t="s">
        <v>478</v>
      </c>
      <c r="F6468" t="s">
        <v>2622</v>
      </c>
      <c r="G6468" t="s">
        <v>6379</v>
      </c>
      <c r="H6468">
        <v>34585</v>
      </c>
      <c r="I6468" t="s">
        <v>423</v>
      </c>
      <c r="J6468" t="s">
        <v>2662</v>
      </c>
      <c r="K6468" t="s">
        <v>2625</v>
      </c>
      <c r="L6468" t="s">
        <v>2626</v>
      </c>
      <c r="M6468">
        <v>66</v>
      </c>
      <c r="N6468">
        <v>24.05</v>
      </c>
      <c r="O6468">
        <v>2831.41</v>
      </c>
      <c r="P6468">
        <v>0</v>
      </c>
      <c r="Q6468">
        <v>2831.41</v>
      </c>
      <c r="R6468">
        <v>453.03</v>
      </c>
      <c r="S6468">
        <v>113.26</v>
      </c>
      <c r="T6468">
        <v>3171.18</v>
      </c>
      <c r="U6468" t="s">
        <v>2627</v>
      </c>
      <c r="V6468" t="s">
        <v>9408</v>
      </c>
      <c r="W6468" t="s">
        <v>423</v>
      </c>
    </row>
    <row r="6469" spans="1:23" hidden="1" x14ac:dyDescent="0.2">
      <c r="A6469">
        <v>2012</v>
      </c>
      <c r="B6469" t="s">
        <v>303</v>
      </c>
      <c r="C6469" s="733">
        <v>40933</v>
      </c>
      <c r="D64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69" t="s">
        <v>478</v>
      </c>
      <c r="F6469" t="s">
        <v>2136</v>
      </c>
      <c r="G6469" t="s">
        <v>6397</v>
      </c>
      <c r="H6469">
        <v>34762</v>
      </c>
      <c r="I6469" t="s">
        <v>423</v>
      </c>
      <c r="J6469" t="s">
        <v>3636</v>
      </c>
      <c r="K6469" t="s">
        <v>425</v>
      </c>
      <c r="L6469" t="s">
        <v>2145</v>
      </c>
      <c r="M6469">
        <v>244</v>
      </c>
      <c r="N6469">
        <v>51.25</v>
      </c>
      <c r="O6469">
        <v>8559.7800000000007</v>
      </c>
      <c r="P6469">
        <v>0</v>
      </c>
      <c r="Q6469">
        <v>8559.7800000000007</v>
      </c>
      <c r="R6469">
        <v>1369.56</v>
      </c>
      <c r="S6469">
        <v>342.39</v>
      </c>
      <c r="T6469">
        <v>9586.9500000000007</v>
      </c>
      <c r="U6469" t="s">
        <v>3234</v>
      </c>
      <c r="V6469" t="s">
        <v>9409</v>
      </c>
      <c r="W6469" t="s">
        <v>423</v>
      </c>
    </row>
    <row r="6470" spans="1:23" hidden="1" x14ac:dyDescent="0.2">
      <c r="A6470">
        <v>2012</v>
      </c>
      <c r="B6470" t="s">
        <v>303</v>
      </c>
      <c r="C6470" s="733">
        <v>40921</v>
      </c>
      <c r="D64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70" t="s">
        <v>478</v>
      </c>
      <c r="F6470" t="s">
        <v>2622</v>
      </c>
      <c r="G6470" t="s">
        <v>6396</v>
      </c>
      <c r="H6470">
        <v>34505</v>
      </c>
      <c r="I6470" t="s">
        <v>423</v>
      </c>
      <c r="J6470" t="s">
        <v>5077</v>
      </c>
      <c r="K6470" t="s">
        <v>425</v>
      </c>
      <c r="L6470" t="s">
        <v>2145</v>
      </c>
      <c r="M6470">
        <v>876</v>
      </c>
      <c r="N6470">
        <v>25.73</v>
      </c>
      <c r="O6470">
        <v>11154.47</v>
      </c>
      <c r="P6470">
        <v>0</v>
      </c>
      <c r="Q6470">
        <v>11154.47</v>
      </c>
      <c r="R6470">
        <v>1784.72</v>
      </c>
      <c r="S6470">
        <v>446.18</v>
      </c>
      <c r="T6470">
        <v>12493.01</v>
      </c>
      <c r="U6470" t="s">
        <v>2352</v>
      </c>
      <c r="V6470" t="s">
        <v>9408</v>
      </c>
      <c r="W6470" t="s">
        <v>423</v>
      </c>
    </row>
    <row r="6471" spans="1:23" hidden="1" x14ac:dyDescent="0.2">
      <c r="A6471">
        <v>2012</v>
      </c>
      <c r="B6471" t="s">
        <v>303</v>
      </c>
      <c r="C6471" s="733">
        <v>40918</v>
      </c>
      <c r="D64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71" t="s">
        <v>478</v>
      </c>
      <c r="F6471" t="s">
        <v>2136</v>
      </c>
      <c r="G6471" t="s">
        <v>6395</v>
      </c>
      <c r="H6471">
        <v>34303</v>
      </c>
      <c r="I6471" t="s">
        <v>423</v>
      </c>
      <c r="J6471" t="s">
        <v>5077</v>
      </c>
      <c r="K6471" t="s">
        <v>425</v>
      </c>
      <c r="L6471" t="s">
        <v>2145</v>
      </c>
      <c r="M6471">
        <v>876</v>
      </c>
      <c r="N6471">
        <v>26.32</v>
      </c>
      <c r="O6471">
        <v>11410.25</v>
      </c>
      <c r="P6471">
        <v>12846.686373</v>
      </c>
      <c r="Q6471">
        <v>24256.936373</v>
      </c>
      <c r="R6471">
        <v>3881.1098200000001</v>
      </c>
      <c r="S6471">
        <v>970.27745500000003</v>
      </c>
      <c r="T6471">
        <v>27167.768737999999</v>
      </c>
      <c r="U6471" t="s">
        <v>2150</v>
      </c>
      <c r="V6471" t="s">
        <v>9408</v>
      </c>
      <c r="W6471" t="s">
        <v>423</v>
      </c>
    </row>
    <row r="6472" spans="1:23" hidden="1" x14ac:dyDescent="0.2">
      <c r="A6472">
        <v>2012</v>
      </c>
      <c r="B6472" t="s">
        <v>304</v>
      </c>
      <c r="C6472" s="733">
        <v>40956.647337962961</v>
      </c>
      <c r="D64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72" t="s">
        <v>478</v>
      </c>
      <c r="F6472" t="s">
        <v>2622</v>
      </c>
      <c r="G6472" t="s">
        <v>7893</v>
      </c>
      <c r="H6472">
        <v>35756</v>
      </c>
      <c r="I6472" t="s">
        <v>423</v>
      </c>
      <c r="J6472" t="s">
        <v>2662</v>
      </c>
      <c r="K6472" t="s">
        <v>2625</v>
      </c>
      <c r="L6472" t="s">
        <v>2626</v>
      </c>
      <c r="M6472">
        <v>66</v>
      </c>
      <c r="N6472">
        <v>26.99</v>
      </c>
      <c r="O6472">
        <v>3177.53</v>
      </c>
      <c r="P6472">
        <v>0</v>
      </c>
      <c r="Q6472">
        <v>3177.53</v>
      </c>
      <c r="R6472">
        <v>508.41</v>
      </c>
      <c r="S6472">
        <v>127.1</v>
      </c>
      <c r="T6472">
        <v>3558.84</v>
      </c>
      <c r="U6472" t="s">
        <v>7548</v>
      </c>
      <c r="V6472" t="s">
        <v>9408</v>
      </c>
      <c r="W6472" t="s">
        <v>423</v>
      </c>
    </row>
    <row r="6473" spans="1:23" hidden="1" x14ac:dyDescent="0.2">
      <c r="A6473">
        <v>2012</v>
      </c>
      <c r="B6473" t="s">
        <v>304</v>
      </c>
      <c r="C6473" s="733">
        <v>40943</v>
      </c>
      <c r="D64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73" t="s">
        <v>485</v>
      </c>
      <c r="F6473" t="s">
        <v>2054</v>
      </c>
      <c r="G6473" t="s">
        <v>6674</v>
      </c>
      <c r="H6473">
        <v>10321</v>
      </c>
      <c r="I6473" t="s">
        <v>423</v>
      </c>
      <c r="J6473" t="s">
        <v>4078</v>
      </c>
      <c r="K6473" t="s">
        <v>2057</v>
      </c>
      <c r="L6473" t="s">
        <v>2058</v>
      </c>
      <c r="M6473">
        <v>154</v>
      </c>
      <c r="N6473">
        <v>24.36</v>
      </c>
      <c r="O6473">
        <v>4105.1499999999996</v>
      </c>
      <c r="P6473">
        <v>0</v>
      </c>
      <c r="Q6473">
        <v>4105.1499999999996</v>
      </c>
      <c r="R6473">
        <v>656.82</v>
      </c>
      <c r="S6473">
        <v>164.21</v>
      </c>
      <c r="T6473">
        <v>4597.76</v>
      </c>
      <c r="U6473" t="s">
        <v>2075</v>
      </c>
      <c r="V6473" t="s">
        <v>9408</v>
      </c>
      <c r="W6473" t="s">
        <v>423</v>
      </c>
    </row>
    <row r="6474" spans="1:23" hidden="1" x14ac:dyDescent="0.2">
      <c r="A6474">
        <v>2012</v>
      </c>
      <c r="B6474" t="s">
        <v>304</v>
      </c>
      <c r="C6474" s="733">
        <v>40963.487268518518</v>
      </c>
      <c r="D64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74" t="s">
        <v>485</v>
      </c>
      <c r="F6474" t="s">
        <v>2054</v>
      </c>
      <c r="G6474" t="s">
        <v>8762</v>
      </c>
      <c r="H6474">
        <v>10537</v>
      </c>
      <c r="I6474" t="s">
        <v>423</v>
      </c>
      <c r="J6474" t="s">
        <v>4078</v>
      </c>
      <c r="K6474" t="s">
        <v>2057</v>
      </c>
      <c r="L6474" t="s">
        <v>2058</v>
      </c>
      <c r="M6474">
        <v>154</v>
      </c>
      <c r="N6474">
        <v>23.29</v>
      </c>
      <c r="O6474">
        <v>3924.83</v>
      </c>
      <c r="P6474">
        <v>0</v>
      </c>
      <c r="Q6474">
        <v>3924.83</v>
      </c>
      <c r="R6474">
        <v>431.73</v>
      </c>
      <c r="S6474">
        <v>156.99</v>
      </c>
      <c r="T6474">
        <v>4199.57</v>
      </c>
      <c r="U6474" t="s">
        <v>8864</v>
      </c>
      <c r="V6474" t="s">
        <v>9408</v>
      </c>
      <c r="W6474" t="s">
        <v>423</v>
      </c>
    </row>
    <row r="6475" spans="1:23" hidden="1" x14ac:dyDescent="0.2">
      <c r="A6475">
        <v>2012</v>
      </c>
      <c r="B6475" t="s">
        <v>303</v>
      </c>
      <c r="C6475" s="733">
        <v>40922</v>
      </c>
      <c r="D64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75" t="s">
        <v>485</v>
      </c>
      <c r="F6475" t="s">
        <v>2054</v>
      </c>
      <c r="G6475" t="s">
        <v>6676</v>
      </c>
      <c r="H6475">
        <v>10062</v>
      </c>
      <c r="I6475" t="s">
        <v>423</v>
      </c>
      <c r="J6475" t="s">
        <v>4078</v>
      </c>
      <c r="K6475" t="s">
        <v>2057</v>
      </c>
      <c r="L6475" t="s">
        <v>2058</v>
      </c>
      <c r="M6475">
        <v>154</v>
      </c>
      <c r="N6475">
        <v>22.89</v>
      </c>
      <c r="O6475">
        <v>3857.42</v>
      </c>
      <c r="P6475">
        <v>0</v>
      </c>
      <c r="Q6475">
        <v>3857.42</v>
      </c>
      <c r="R6475">
        <v>617.19000000000005</v>
      </c>
      <c r="S6475">
        <v>154.30000000000001</v>
      </c>
      <c r="T6475">
        <v>4320.3100000000004</v>
      </c>
      <c r="U6475" t="s">
        <v>2059</v>
      </c>
      <c r="V6475" t="s">
        <v>9408</v>
      </c>
      <c r="W6475" t="s">
        <v>423</v>
      </c>
    </row>
    <row r="6476" spans="1:23" hidden="1" x14ac:dyDescent="0.2">
      <c r="A6476">
        <v>2012</v>
      </c>
      <c r="B6476" t="s">
        <v>304</v>
      </c>
      <c r="C6476" s="733">
        <v>40955</v>
      </c>
      <c r="D64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76" t="s">
        <v>505</v>
      </c>
      <c r="F6476" t="s">
        <v>1915</v>
      </c>
      <c r="G6476" t="s">
        <v>7590</v>
      </c>
      <c r="H6476">
        <v>22731</v>
      </c>
      <c r="I6476" t="s">
        <v>1979</v>
      </c>
      <c r="J6476" t="s">
        <v>1980</v>
      </c>
      <c r="K6476" t="s">
        <v>1918</v>
      </c>
      <c r="L6476" t="s">
        <v>1919</v>
      </c>
      <c r="M6476">
        <v>732</v>
      </c>
      <c r="N6476">
        <v>49.99</v>
      </c>
      <c r="O6476">
        <v>21925.61</v>
      </c>
      <c r="P6476">
        <v>0</v>
      </c>
      <c r="Q6476">
        <v>21925.61</v>
      </c>
      <c r="R6476">
        <v>3508.1</v>
      </c>
      <c r="S6476">
        <v>877.02</v>
      </c>
      <c r="T6476">
        <v>24556.69</v>
      </c>
      <c r="U6476" t="s">
        <v>7529</v>
      </c>
      <c r="V6476" t="s">
        <v>9409</v>
      </c>
      <c r="W6476" t="s">
        <v>1979</v>
      </c>
    </row>
    <row r="6477" spans="1:23" hidden="1" x14ac:dyDescent="0.2">
      <c r="A6477">
        <v>2012</v>
      </c>
      <c r="B6477" t="s">
        <v>303</v>
      </c>
      <c r="C6477" s="733">
        <v>40939</v>
      </c>
      <c r="D64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77" t="s">
        <v>505</v>
      </c>
      <c r="F6477" t="s">
        <v>1915</v>
      </c>
      <c r="G6477" t="s">
        <v>3427</v>
      </c>
      <c r="H6477">
        <v>22323</v>
      </c>
      <c r="I6477" t="s">
        <v>1979</v>
      </c>
      <c r="J6477" t="s">
        <v>1980</v>
      </c>
      <c r="K6477" t="s">
        <v>1918</v>
      </c>
      <c r="L6477" t="s">
        <v>1919</v>
      </c>
      <c r="M6477">
        <v>732</v>
      </c>
      <c r="N6477">
        <v>49.49</v>
      </c>
      <c r="O6477">
        <v>21706.31</v>
      </c>
      <c r="P6477">
        <v>0</v>
      </c>
      <c r="Q6477">
        <v>21706.31</v>
      </c>
      <c r="R6477">
        <v>3473.01</v>
      </c>
      <c r="S6477">
        <v>868.25</v>
      </c>
      <c r="T6477">
        <v>24311.07</v>
      </c>
      <c r="U6477" t="s">
        <v>1926</v>
      </c>
      <c r="V6477" t="s">
        <v>9409</v>
      </c>
      <c r="W6477" t="s">
        <v>1979</v>
      </c>
    </row>
    <row r="6478" spans="1:23" hidden="1" x14ac:dyDescent="0.2">
      <c r="A6478">
        <v>2012</v>
      </c>
      <c r="B6478" t="s">
        <v>304</v>
      </c>
      <c r="C6478" s="733">
        <v>40961</v>
      </c>
      <c r="D64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78" t="s">
        <v>505</v>
      </c>
      <c r="F6478" t="s">
        <v>1915</v>
      </c>
      <c r="G6478" t="s">
        <v>8400</v>
      </c>
      <c r="H6478">
        <v>22909</v>
      </c>
      <c r="I6478" t="s">
        <v>1979</v>
      </c>
      <c r="J6478" t="s">
        <v>1980</v>
      </c>
      <c r="K6478" t="s">
        <v>1918</v>
      </c>
      <c r="L6478" t="s">
        <v>1919</v>
      </c>
      <c r="M6478">
        <v>732</v>
      </c>
      <c r="N6478">
        <v>49.74</v>
      </c>
      <c r="O6478">
        <v>21815.96</v>
      </c>
      <c r="P6478">
        <v>0</v>
      </c>
      <c r="Q6478">
        <v>21815.96</v>
      </c>
      <c r="R6478">
        <v>3490.55</v>
      </c>
      <c r="S6478">
        <v>872.64</v>
      </c>
      <c r="T6478">
        <v>24433.87</v>
      </c>
      <c r="U6478" t="s">
        <v>8491</v>
      </c>
      <c r="V6478" t="s">
        <v>9409</v>
      </c>
      <c r="W6478" t="s">
        <v>1979</v>
      </c>
    </row>
    <row r="6479" spans="1:23" hidden="1" x14ac:dyDescent="0.2">
      <c r="A6479">
        <v>2012</v>
      </c>
      <c r="B6479" t="s">
        <v>303</v>
      </c>
      <c r="C6479" s="733">
        <v>40924</v>
      </c>
      <c r="D64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79" t="s">
        <v>505</v>
      </c>
      <c r="F6479" t="s">
        <v>1915</v>
      </c>
      <c r="G6479" t="s">
        <v>6815</v>
      </c>
      <c r="H6479">
        <v>21970</v>
      </c>
      <c r="I6479" t="s">
        <v>1979</v>
      </c>
      <c r="J6479" t="s">
        <v>1980</v>
      </c>
      <c r="K6479" t="s">
        <v>1918</v>
      </c>
      <c r="L6479" t="s">
        <v>1919</v>
      </c>
      <c r="M6479">
        <v>732</v>
      </c>
      <c r="N6479">
        <v>49.89</v>
      </c>
      <c r="O6479">
        <v>21881.75</v>
      </c>
      <c r="P6479">
        <v>0</v>
      </c>
      <c r="Q6479">
        <v>21881.75</v>
      </c>
      <c r="R6479">
        <v>3501.08</v>
      </c>
      <c r="S6479">
        <v>875.27</v>
      </c>
      <c r="T6479">
        <v>24507.56</v>
      </c>
      <c r="U6479" t="s">
        <v>1931</v>
      </c>
      <c r="V6479" t="s">
        <v>9409</v>
      </c>
      <c r="W6479" t="s">
        <v>1979</v>
      </c>
    </row>
    <row r="6480" spans="1:23" hidden="1" x14ac:dyDescent="0.2">
      <c r="A6480">
        <v>2012</v>
      </c>
      <c r="B6480" t="s">
        <v>303</v>
      </c>
      <c r="C6480" s="733">
        <v>40918</v>
      </c>
      <c r="D64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80" t="s">
        <v>505</v>
      </c>
      <c r="F6480" t="s">
        <v>1915</v>
      </c>
      <c r="G6480" t="s">
        <v>6690</v>
      </c>
      <c r="H6480">
        <v>21789</v>
      </c>
      <c r="I6480" t="s">
        <v>423</v>
      </c>
      <c r="J6480" t="s">
        <v>1980</v>
      </c>
      <c r="K6480" t="s">
        <v>1918</v>
      </c>
      <c r="L6480" t="s">
        <v>1919</v>
      </c>
      <c r="M6480">
        <v>732</v>
      </c>
      <c r="N6480">
        <v>54.21</v>
      </c>
      <c r="O6480">
        <v>23776.51</v>
      </c>
      <c r="P6480">
        <v>0</v>
      </c>
      <c r="Q6480">
        <v>23776.51</v>
      </c>
      <c r="R6480">
        <v>3804.24</v>
      </c>
      <c r="S6480">
        <v>951.06</v>
      </c>
      <c r="T6480">
        <v>26629.69</v>
      </c>
      <c r="U6480" t="s">
        <v>1931</v>
      </c>
      <c r="V6480" t="s">
        <v>9409</v>
      </c>
      <c r="W6480" t="s">
        <v>423</v>
      </c>
    </row>
    <row r="6481" spans="1:23" hidden="1" x14ac:dyDescent="0.2">
      <c r="A6481">
        <v>2012</v>
      </c>
      <c r="B6481" t="s">
        <v>303</v>
      </c>
      <c r="C6481" s="733">
        <v>40933</v>
      </c>
      <c r="D64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81" t="s">
        <v>505</v>
      </c>
      <c r="F6481" t="s">
        <v>1915</v>
      </c>
      <c r="G6481" t="s">
        <v>3428</v>
      </c>
      <c r="H6481">
        <v>22209</v>
      </c>
      <c r="I6481" t="s">
        <v>1979</v>
      </c>
      <c r="J6481" t="s">
        <v>1980</v>
      </c>
      <c r="K6481" t="s">
        <v>1918</v>
      </c>
      <c r="L6481" t="s">
        <v>1919</v>
      </c>
      <c r="M6481">
        <v>732</v>
      </c>
      <c r="N6481">
        <v>49.54</v>
      </c>
      <c r="O6481">
        <v>21728.240000000002</v>
      </c>
      <c r="P6481">
        <v>0</v>
      </c>
      <c r="Q6481">
        <v>21728.240000000002</v>
      </c>
      <c r="R6481">
        <v>3476.52</v>
      </c>
      <c r="S6481">
        <v>869.13</v>
      </c>
      <c r="T6481">
        <v>24335.63</v>
      </c>
      <c r="U6481" t="s">
        <v>1936</v>
      </c>
      <c r="V6481" t="s">
        <v>9409</v>
      </c>
      <c r="W6481" t="s">
        <v>1979</v>
      </c>
    </row>
    <row r="6482" spans="1:23" hidden="1" x14ac:dyDescent="0.2">
      <c r="A6482">
        <v>2012</v>
      </c>
      <c r="B6482" t="s">
        <v>304</v>
      </c>
      <c r="C6482" s="733">
        <v>40941</v>
      </c>
      <c r="D64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82" t="s">
        <v>505</v>
      </c>
      <c r="F6482" t="s">
        <v>1915</v>
      </c>
      <c r="G6482" t="s">
        <v>6689</v>
      </c>
      <c r="H6482">
        <v>22382</v>
      </c>
      <c r="I6482" t="s">
        <v>1979</v>
      </c>
      <c r="J6482" t="s">
        <v>1980</v>
      </c>
      <c r="K6482" t="s">
        <v>1918</v>
      </c>
      <c r="L6482" t="s">
        <v>1919</v>
      </c>
      <c r="M6482">
        <v>732</v>
      </c>
      <c r="N6482">
        <v>49.65</v>
      </c>
      <c r="O6482">
        <v>21776.49</v>
      </c>
      <c r="P6482">
        <v>0</v>
      </c>
      <c r="Q6482">
        <v>21776.49</v>
      </c>
      <c r="R6482">
        <v>3484.24</v>
      </c>
      <c r="S6482">
        <v>871.06</v>
      </c>
      <c r="T6482">
        <v>24389.67</v>
      </c>
      <c r="U6482" t="s">
        <v>1926</v>
      </c>
      <c r="V6482" t="s">
        <v>9409</v>
      </c>
      <c r="W6482" t="s">
        <v>1979</v>
      </c>
    </row>
    <row r="6483" spans="1:23" hidden="1" x14ac:dyDescent="0.2">
      <c r="A6483">
        <v>2012</v>
      </c>
      <c r="B6483" t="s">
        <v>304</v>
      </c>
      <c r="C6483" s="733">
        <v>40949</v>
      </c>
      <c r="D64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83" t="s">
        <v>485</v>
      </c>
      <c r="F6483" t="s">
        <v>2084</v>
      </c>
      <c r="G6483" t="s">
        <v>4457</v>
      </c>
      <c r="H6483">
        <v>41424</v>
      </c>
      <c r="I6483" t="s">
        <v>423</v>
      </c>
      <c r="J6483" t="s">
        <v>2813</v>
      </c>
      <c r="K6483" t="s">
        <v>2814</v>
      </c>
      <c r="L6483" t="s">
        <v>2815</v>
      </c>
      <c r="M6483">
        <v>365</v>
      </c>
      <c r="N6483">
        <v>23.882000000000001</v>
      </c>
      <c r="O6483">
        <v>6428.56</v>
      </c>
      <c r="P6483">
        <v>0</v>
      </c>
      <c r="Q6483">
        <v>6428.56</v>
      </c>
      <c r="R6483">
        <v>707.14</v>
      </c>
      <c r="S6483">
        <v>257.14</v>
      </c>
      <c r="T6483">
        <v>6878.56</v>
      </c>
      <c r="U6483" t="s">
        <v>7527</v>
      </c>
      <c r="V6483" t="s">
        <v>9408</v>
      </c>
      <c r="W6483" t="s">
        <v>423</v>
      </c>
    </row>
    <row r="6484" spans="1:23" hidden="1" x14ac:dyDescent="0.2">
      <c r="A6484">
        <v>2012</v>
      </c>
      <c r="B6484" t="s">
        <v>304</v>
      </c>
      <c r="C6484" s="733">
        <v>40949</v>
      </c>
      <c r="D64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84" t="s">
        <v>485</v>
      </c>
      <c r="F6484" t="s">
        <v>2084</v>
      </c>
      <c r="G6484" t="s">
        <v>4467</v>
      </c>
      <c r="H6484">
        <v>41371</v>
      </c>
      <c r="I6484" t="s">
        <v>423</v>
      </c>
      <c r="J6484" t="s">
        <v>2813</v>
      </c>
      <c r="K6484" t="s">
        <v>2814</v>
      </c>
      <c r="L6484" t="s">
        <v>2815</v>
      </c>
      <c r="M6484">
        <v>365</v>
      </c>
      <c r="N6484">
        <v>24.044</v>
      </c>
      <c r="O6484">
        <v>6472.16</v>
      </c>
      <c r="P6484">
        <v>0</v>
      </c>
      <c r="Q6484">
        <v>6472.16</v>
      </c>
      <c r="R6484">
        <v>711.94</v>
      </c>
      <c r="S6484">
        <v>258.89</v>
      </c>
      <c r="T6484">
        <v>6925.21</v>
      </c>
      <c r="U6484" t="s">
        <v>8877</v>
      </c>
      <c r="V6484" t="s">
        <v>9408</v>
      </c>
      <c r="W6484" t="s">
        <v>423</v>
      </c>
    </row>
    <row r="6485" spans="1:23" x14ac:dyDescent="0.2">
      <c r="A6485">
        <v>2012</v>
      </c>
      <c r="B6485" t="s">
        <v>304</v>
      </c>
      <c r="C6485" s="733">
        <v>40967</v>
      </c>
      <c r="D64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85" t="s">
        <v>485</v>
      </c>
      <c r="F6485" t="s">
        <v>2084</v>
      </c>
      <c r="G6485" t="s">
        <v>9103</v>
      </c>
      <c r="H6485">
        <v>42134</v>
      </c>
      <c r="I6485" t="s">
        <v>423</v>
      </c>
      <c r="J6485" t="s">
        <v>2813</v>
      </c>
      <c r="K6485" t="s">
        <v>2814</v>
      </c>
      <c r="L6485" t="s">
        <v>2815</v>
      </c>
      <c r="M6485">
        <v>365</v>
      </c>
      <c r="N6485">
        <v>24.530999999999999</v>
      </c>
      <c r="O6485">
        <v>6603.25</v>
      </c>
      <c r="P6485">
        <v>0</v>
      </c>
      <c r="Q6485">
        <v>6603.25</v>
      </c>
      <c r="R6485">
        <v>726.36</v>
      </c>
      <c r="S6485">
        <v>264.13</v>
      </c>
      <c r="T6485">
        <v>7065.48</v>
      </c>
      <c r="U6485" t="s">
        <v>8877</v>
      </c>
      <c r="V6485" t="s">
        <v>9408</v>
      </c>
      <c r="W6485" t="s">
        <v>423</v>
      </c>
    </row>
    <row r="6486" spans="1:23" hidden="1" x14ac:dyDescent="0.2">
      <c r="A6486">
        <v>2012</v>
      </c>
      <c r="B6486" t="s">
        <v>304</v>
      </c>
      <c r="C6486" s="733">
        <v>40940</v>
      </c>
      <c r="D64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86" t="s">
        <v>485</v>
      </c>
      <c r="F6486" t="s">
        <v>2065</v>
      </c>
      <c r="G6486" t="s">
        <v>6487</v>
      </c>
      <c r="H6486">
        <v>41097</v>
      </c>
      <c r="I6486" t="s">
        <v>423</v>
      </c>
      <c r="J6486" t="s">
        <v>5260</v>
      </c>
      <c r="K6486" t="s">
        <v>2102</v>
      </c>
      <c r="L6486" t="s">
        <v>2115</v>
      </c>
      <c r="M6486">
        <v>832</v>
      </c>
      <c r="N6486">
        <v>49.51</v>
      </c>
      <c r="O6486">
        <v>24704</v>
      </c>
      <c r="P6486">
        <v>0</v>
      </c>
      <c r="Q6486">
        <v>24704</v>
      </c>
      <c r="R6486">
        <v>3952.64</v>
      </c>
      <c r="S6486">
        <v>988.16</v>
      </c>
      <c r="T6486">
        <v>27668.48</v>
      </c>
      <c r="U6486" t="s">
        <v>2110</v>
      </c>
      <c r="V6486" t="s">
        <v>9409</v>
      </c>
      <c r="W6486" t="s">
        <v>423</v>
      </c>
    </row>
    <row r="6487" spans="1:23" hidden="1" x14ac:dyDescent="0.2">
      <c r="A6487">
        <v>2012</v>
      </c>
      <c r="B6487" t="s">
        <v>303</v>
      </c>
      <c r="C6487" s="733">
        <v>40932</v>
      </c>
      <c r="D64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87" t="s">
        <v>485</v>
      </c>
      <c r="F6487" t="s">
        <v>2084</v>
      </c>
      <c r="G6487" t="s">
        <v>4455</v>
      </c>
      <c r="H6487">
        <v>40430</v>
      </c>
      <c r="I6487" t="s">
        <v>423</v>
      </c>
      <c r="J6487" t="s">
        <v>2813</v>
      </c>
      <c r="K6487" t="s">
        <v>2814</v>
      </c>
      <c r="L6487" t="s">
        <v>2815</v>
      </c>
      <c r="M6487">
        <v>365</v>
      </c>
      <c r="N6487">
        <v>24.116</v>
      </c>
      <c r="O6487">
        <v>6491.54</v>
      </c>
      <c r="P6487">
        <v>0</v>
      </c>
      <c r="Q6487">
        <v>6491.54</v>
      </c>
      <c r="R6487">
        <v>1038.6500000000001</v>
      </c>
      <c r="S6487">
        <v>259.66000000000003</v>
      </c>
      <c r="T6487">
        <v>7270.53</v>
      </c>
      <c r="U6487" t="s">
        <v>2826</v>
      </c>
      <c r="V6487" t="s">
        <v>9408</v>
      </c>
      <c r="W6487" t="s">
        <v>423</v>
      </c>
    </row>
    <row r="6488" spans="1:23" hidden="1" x14ac:dyDescent="0.2">
      <c r="A6488">
        <v>2012</v>
      </c>
      <c r="B6488" t="s">
        <v>303</v>
      </c>
      <c r="C6488" s="733">
        <v>40932</v>
      </c>
      <c r="D64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88" t="s">
        <v>485</v>
      </c>
      <c r="F6488" t="s">
        <v>2084</v>
      </c>
      <c r="G6488" t="s">
        <v>4469</v>
      </c>
      <c r="H6488">
        <v>40620</v>
      </c>
      <c r="I6488" t="s">
        <v>423</v>
      </c>
      <c r="J6488" t="s">
        <v>2813</v>
      </c>
      <c r="K6488" t="s">
        <v>2814</v>
      </c>
      <c r="L6488" t="s">
        <v>2815</v>
      </c>
      <c r="M6488">
        <v>365</v>
      </c>
      <c r="N6488">
        <v>23.565000000000001</v>
      </c>
      <c r="O6488">
        <v>6343.23</v>
      </c>
      <c r="P6488">
        <v>0</v>
      </c>
      <c r="Q6488">
        <v>6343.23</v>
      </c>
      <c r="R6488">
        <v>1014.92</v>
      </c>
      <c r="S6488">
        <v>253.73</v>
      </c>
      <c r="T6488">
        <v>7104.42</v>
      </c>
      <c r="U6488" t="s">
        <v>2826</v>
      </c>
      <c r="V6488" t="s">
        <v>9408</v>
      </c>
      <c r="W6488" t="s">
        <v>423</v>
      </c>
    </row>
    <row r="6489" spans="1:23" hidden="1" x14ac:dyDescent="0.2">
      <c r="A6489">
        <v>2012</v>
      </c>
      <c r="B6489" t="s">
        <v>304</v>
      </c>
      <c r="C6489" s="733">
        <v>40960</v>
      </c>
      <c r="D64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89" t="s">
        <v>485</v>
      </c>
      <c r="F6489" t="s">
        <v>2084</v>
      </c>
      <c r="G6489" t="s">
        <v>8108</v>
      </c>
      <c r="H6489">
        <v>41809</v>
      </c>
      <c r="I6489" t="s">
        <v>423</v>
      </c>
      <c r="J6489" t="s">
        <v>2813</v>
      </c>
      <c r="K6489" t="s">
        <v>2814</v>
      </c>
      <c r="L6489" t="s">
        <v>2815</v>
      </c>
      <c r="M6489">
        <v>365</v>
      </c>
      <c r="N6489">
        <v>25.867000000000001</v>
      </c>
      <c r="O6489">
        <v>6962.88</v>
      </c>
      <c r="P6489">
        <v>0</v>
      </c>
      <c r="Q6489">
        <v>6962.88</v>
      </c>
      <c r="R6489">
        <v>765.92</v>
      </c>
      <c r="S6489">
        <v>278.52</v>
      </c>
      <c r="T6489">
        <v>7450.28</v>
      </c>
      <c r="U6489" t="s">
        <v>8877</v>
      </c>
      <c r="V6489" t="s">
        <v>9408</v>
      </c>
      <c r="W6489" t="s">
        <v>423</v>
      </c>
    </row>
    <row r="6490" spans="1:23" hidden="1" x14ac:dyDescent="0.2">
      <c r="A6490">
        <v>2012</v>
      </c>
      <c r="B6490" t="s">
        <v>303</v>
      </c>
      <c r="C6490" s="733">
        <v>40918</v>
      </c>
      <c r="D64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90" t="s">
        <v>478</v>
      </c>
      <c r="F6490" t="s">
        <v>2136</v>
      </c>
      <c r="G6490" t="s">
        <v>3808</v>
      </c>
      <c r="H6490">
        <v>34377</v>
      </c>
      <c r="I6490" t="s">
        <v>423</v>
      </c>
      <c r="J6490" t="s">
        <v>3029</v>
      </c>
      <c r="K6490" t="s">
        <v>425</v>
      </c>
      <c r="L6490" t="s">
        <v>2145</v>
      </c>
      <c r="M6490">
        <v>35</v>
      </c>
      <c r="N6490">
        <v>23.38</v>
      </c>
      <c r="O6490">
        <v>3138.76</v>
      </c>
      <c r="P6490">
        <v>0</v>
      </c>
      <c r="Q6490">
        <v>3138.76</v>
      </c>
      <c r="R6490">
        <v>502.2</v>
      </c>
      <c r="S6490">
        <v>125.55</v>
      </c>
      <c r="T6490">
        <v>3515.41</v>
      </c>
      <c r="U6490" t="s">
        <v>2350</v>
      </c>
      <c r="V6490" t="s">
        <v>9408</v>
      </c>
      <c r="W6490" t="s">
        <v>423</v>
      </c>
    </row>
    <row r="6491" spans="1:23" hidden="1" x14ac:dyDescent="0.2">
      <c r="A6491">
        <v>2012</v>
      </c>
      <c r="B6491" t="s">
        <v>304</v>
      </c>
      <c r="C6491" s="733">
        <v>40961.527094907404</v>
      </c>
      <c r="D64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91" t="s">
        <v>478</v>
      </c>
      <c r="F6491" t="s">
        <v>2136</v>
      </c>
      <c r="G6491" t="s">
        <v>8301</v>
      </c>
      <c r="H6491">
        <v>35929</v>
      </c>
      <c r="I6491" t="s">
        <v>423</v>
      </c>
      <c r="J6491" t="s">
        <v>3029</v>
      </c>
      <c r="K6491" t="s">
        <v>425</v>
      </c>
      <c r="L6491" t="s">
        <v>2145</v>
      </c>
      <c r="M6491">
        <v>35</v>
      </c>
      <c r="N6491">
        <v>21.51</v>
      </c>
      <c r="O6491">
        <v>2887.72</v>
      </c>
      <c r="P6491">
        <v>0</v>
      </c>
      <c r="Q6491">
        <v>2887.72</v>
      </c>
      <c r="R6491">
        <v>462.03</v>
      </c>
      <c r="S6491">
        <v>115.51</v>
      </c>
      <c r="T6491">
        <v>3234.24</v>
      </c>
      <c r="U6491" t="s">
        <v>9430</v>
      </c>
      <c r="V6491" t="s">
        <v>9408</v>
      </c>
      <c r="W6491" t="s">
        <v>423</v>
      </c>
    </row>
    <row r="6492" spans="1:23" hidden="1" x14ac:dyDescent="0.2">
      <c r="A6492">
        <v>2012</v>
      </c>
      <c r="B6492" t="s">
        <v>304</v>
      </c>
      <c r="C6492" s="733">
        <v>40966</v>
      </c>
      <c r="D64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92" t="s">
        <v>485</v>
      </c>
      <c r="F6492" t="s">
        <v>2065</v>
      </c>
      <c r="G6492" t="s">
        <v>8824</v>
      </c>
      <c r="H6492">
        <v>42510</v>
      </c>
      <c r="I6492" t="s">
        <v>423</v>
      </c>
      <c r="J6492" t="s">
        <v>5260</v>
      </c>
      <c r="K6492" t="s">
        <v>2102</v>
      </c>
      <c r="L6492" t="s">
        <v>2115</v>
      </c>
      <c r="M6492">
        <v>832</v>
      </c>
      <c r="N6492">
        <v>51.89</v>
      </c>
      <c r="O6492">
        <v>25891.55</v>
      </c>
      <c r="P6492">
        <v>0</v>
      </c>
      <c r="Q6492">
        <v>25891.55</v>
      </c>
      <c r="R6492">
        <v>4142.6499999999996</v>
      </c>
      <c r="S6492">
        <v>1035.6600000000001</v>
      </c>
      <c r="T6492">
        <v>28998.54</v>
      </c>
      <c r="V6492" t="s">
        <v>9409</v>
      </c>
      <c r="W6492" t="s">
        <v>423</v>
      </c>
    </row>
    <row r="6493" spans="1:23" hidden="1" x14ac:dyDescent="0.2">
      <c r="A6493">
        <v>2012</v>
      </c>
      <c r="B6493" t="s">
        <v>303</v>
      </c>
      <c r="C6493" s="733">
        <v>40931</v>
      </c>
      <c r="D64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93" t="s">
        <v>478</v>
      </c>
      <c r="F6493" t="s">
        <v>2136</v>
      </c>
      <c r="G6493" t="s">
        <v>6480</v>
      </c>
      <c r="H6493">
        <v>34815</v>
      </c>
      <c r="I6493" t="s">
        <v>423</v>
      </c>
      <c r="J6493" t="s">
        <v>4699</v>
      </c>
      <c r="K6493" t="s">
        <v>425</v>
      </c>
      <c r="L6493" t="s">
        <v>2145</v>
      </c>
      <c r="M6493">
        <v>555</v>
      </c>
      <c r="N6493">
        <v>26.26</v>
      </c>
      <c r="O6493">
        <v>8390.07</v>
      </c>
      <c r="P6493">
        <v>0</v>
      </c>
      <c r="Q6493">
        <v>8390.07</v>
      </c>
      <c r="R6493">
        <v>1342.41</v>
      </c>
      <c r="S6493">
        <v>335.6</v>
      </c>
      <c r="T6493">
        <v>9396.8799999999992</v>
      </c>
      <c r="U6493" t="s">
        <v>7553</v>
      </c>
      <c r="V6493" t="s">
        <v>9408</v>
      </c>
      <c r="W6493" t="s">
        <v>423</v>
      </c>
    </row>
    <row r="6494" spans="1:23" hidden="1" x14ac:dyDescent="0.2">
      <c r="A6494">
        <v>2012</v>
      </c>
      <c r="B6494" t="s">
        <v>303</v>
      </c>
      <c r="C6494" s="733">
        <v>40922</v>
      </c>
      <c r="D64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94" t="s">
        <v>505</v>
      </c>
      <c r="F6494" t="s">
        <v>1915</v>
      </c>
      <c r="G6494" t="s">
        <v>6468</v>
      </c>
      <c r="H6494">
        <v>21974</v>
      </c>
      <c r="I6494" t="s">
        <v>423</v>
      </c>
      <c r="J6494" t="s">
        <v>4259</v>
      </c>
      <c r="K6494" t="s">
        <v>1918</v>
      </c>
      <c r="L6494" t="s">
        <v>1919</v>
      </c>
      <c r="M6494">
        <v>467</v>
      </c>
      <c r="N6494">
        <v>26.08</v>
      </c>
      <c r="O6494">
        <v>8093.67</v>
      </c>
      <c r="P6494">
        <v>0</v>
      </c>
      <c r="Q6494">
        <v>8093.67</v>
      </c>
      <c r="R6494">
        <v>1294.99</v>
      </c>
      <c r="S6494">
        <v>323.75</v>
      </c>
      <c r="T6494">
        <v>9064.91</v>
      </c>
      <c r="U6494" t="s">
        <v>1931</v>
      </c>
      <c r="V6494" t="s">
        <v>9408</v>
      </c>
      <c r="W6494" t="s">
        <v>423</v>
      </c>
    </row>
    <row r="6495" spans="1:23" hidden="1" x14ac:dyDescent="0.2">
      <c r="A6495">
        <v>2012</v>
      </c>
      <c r="B6495" t="s">
        <v>303</v>
      </c>
      <c r="C6495" s="733">
        <v>40939</v>
      </c>
      <c r="D64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95" t="s">
        <v>478</v>
      </c>
      <c r="F6495" t="s">
        <v>2142</v>
      </c>
      <c r="G6495" t="s">
        <v>3809</v>
      </c>
      <c r="H6495">
        <v>35163</v>
      </c>
      <c r="I6495" t="s">
        <v>423</v>
      </c>
      <c r="J6495" t="s">
        <v>3029</v>
      </c>
      <c r="K6495" t="s">
        <v>425</v>
      </c>
      <c r="L6495" t="s">
        <v>2145</v>
      </c>
      <c r="M6495">
        <v>35</v>
      </c>
      <c r="N6495">
        <v>28.49</v>
      </c>
      <c r="O6495">
        <v>3824.78</v>
      </c>
      <c r="P6495">
        <v>0</v>
      </c>
      <c r="Q6495">
        <v>3824.78</v>
      </c>
      <c r="R6495">
        <v>611.97</v>
      </c>
      <c r="S6495">
        <v>152.99</v>
      </c>
      <c r="T6495">
        <v>4283.76</v>
      </c>
      <c r="U6495" t="s">
        <v>2914</v>
      </c>
      <c r="V6495" t="s">
        <v>9409</v>
      </c>
      <c r="W6495" t="s">
        <v>423</v>
      </c>
    </row>
    <row r="6496" spans="1:23" hidden="1" x14ac:dyDescent="0.2">
      <c r="A6496">
        <v>2012</v>
      </c>
      <c r="B6496" t="s">
        <v>303</v>
      </c>
      <c r="C6496" s="733">
        <v>40935</v>
      </c>
      <c r="D64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96" t="s">
        <v>505</v>
      </c>
      <c r="F6496" t="s">
        <v>1915</v>
      </c>
      <c r="G6496" t="s">
        <v>3828</v>
      </c>
      <c r="H6496">
        <v>22271</v>
      </c>
      <c r="I6496" t="s">
        <v>424</v>
      </c>
      <c r="J6496" t="s">
        <v>1954</v>
      </c>
      <c r="K6496" t="s">
        <v>1918</v>
      </c>
      <c r="L6496" t="s">
        <v>1919</v>
      </c>
      <c r="M6496">
        <v>303</v>
      </c>
      <c r="N6496">
        <v>30</v>
      </c>
      <c r="O6496">
        <v>2314.83</v>
      </c>
      <c r="P6496">
        <v>1330.309653</v>
      </c>
      <c r="Q6496">
        <v>3645.1396530000002</v>
      </c>
      <c r="R6496">
        <v>583.22234400000002</v>
      </c>
      <c r="S6496">
        <v>145.80558600000001</v>
      </c>
      <c r="T6496">
        <v>4082.556411</v>
      </c>
      <c r="U6496" t="s">
        <v>1926</v>
      </c>
      <c r="V6496" t="s">
        <v>9408</v>
      </c>
      <c r="W6496" t="s">
        <v>424</v>
      </c>
    </row>
    <row r="6497" spans="1:23" hidden="1" x14ac:dyDescent="0.2">
      <c r="A6497">
        <v>2012</v>
      </c>
      <c r="B6497" t="s">
        <v>303</v>
      </c>
      <c r="C6497" s="733">
        <v>40915</v>
      </c>
      <c r="D64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497" t="s">
        <v>505</v>
      </c>
      <c r="F6497" t="s">
        <v>1915</v>
      </c>
      <c r="G6497" t="s">
        <v>3829</v>
      </c>
      <c r="H6497">
        <v>21797</v>
      </c>
      <c r="I6497" t="s">
        <v>424</v>
      </c>
      <c r="J6497" t="s">
        <v>1954</v>
      </c>
      <c r="K6497" t="s">
        <v>1918</v>
      </c>
      <c r="L6497" t="s">
        <v>1919</v>
      </c>
      <c r="M6497">
        <v>303</v>
      </c>
      <c r="N6497">
        <v>30</v>
      </c>
      <c r="O6497">
        <v>2314.83</v>
      </c>
      <c r="P6497">
        <v>1330.309653</v>
      </c>
      <c r="Q6497">
        <v>3645.1396530000002</v>
      </c>
      <c r="R6497">
        <v>583.22234400000002</v>
      </c>
      <c r="S6497">
        <v>145.80558600000001</v>
      </c>
      <c r="T6497">
        <v>4082.556411</v>
      </c>
      <c r="U6497" t="s">
        <v>1920</v>
      </c>
      <c r="V6497" t="s">
        <v>9408</v>
      </c>
      <c r="W6497" t="s">
        <v>424</v>
      </c>
    </row>
    <row r="6498" spans="1:23" hidden="1" x14ac:dyDescent="0.2">
      <c r="A6498">
        <v>2012</v>
      </c>
      <c r="B6498" t="s">
        <v>304</v>
      </c>
      <c r="C6498" s="733">
        <v>40947</v>
      </c>
      <c r="D64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98" t="s">
        <v>505</v>
      </c>
      <c r="F6498" t="s">
        <v>1915</v>
      </c>
      <c r="G6498" t="s">
        <v>6186</v>
      </c>
      <c r="H6498">
        <v>22214</v>
      </c>
      <c r="I6498" t="s">
        <v>423</v>
      </c>
      <c r="J6498" t="s">
        <v>4146</v>
      </c>
      <c r="K6498" t="s">
        <v>1918</v>
      </c>
      <c r="L6498" t="s">
        <v>1919</v>
      </c>
      <c r="M6498">
        <v>243</v>
      </c>
      <c r="N6498">
        <v>25.09</v>
      </c>
      <c r="O6498">
        <v>7786.43</v>
      </c>
      <c r="P6498">
        <v>0</v>
      </c>
      <c r="Q6498">
        <v>7786.43</v>
      </c>
      <c r="R6498">
        <v>1245.83</v>
      </c>
      <c r="S6498">
        <v>311.45999999999998</v>
      </c>
      <c r="T6498">
        <v>8720.7999999999993</v>
      </c>
      <c r="U6498" t="s">
        <v>1924</v>
      </c>
      <c r="V6498" t="s">
        <v>9408</v>
      </c>
      <c r="W6498" t="s">
        <v>423</v>
      </c>
    </row>
    <row r="6499" spans="1:23" hidden="1" x14ac:dyDescent="0.2">
      <c r="A6499">
        <v>2012</v>
      </c>
      <c r="B6499" t="s">
        <v>304</v>
      </c>
      <c r="C6499" s="733">
        <v>40952</v>
      </c>
      <c r="D64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499" t="s">
        <v>485</v>
      </c>
      <c r="F6499" t="s">
        <v>2065</v>
      </c>
      <c r="G6499" t="s">
        <v>4306</v>
      </c>
      <c r="H6499">
        <v>41784</v>
      </c>
      <c r="I6499" t="s">
        <v>423</v>
      </c>
      <c r="J6499" t="s">
        <v>3054</v>
      </c>
      <c r="K6499" t="s">
        <v>2183</v>
      </c>
      <c r="L6499" t="s">
        <v>2184</v>
      </c>
      <c r="M6499">
        <v>43</v>
      </c>
      <c r="N6499">
        <v>15.21</v>
      </c>
      <c r="O6499">
        <v>1716.75</v>
      </c>
      <c r="P6499">
        <v>0</v>
      </c>
      <c r="Q6499">
        <v>1716.75</v>
      </c>
      <c r="R6499">
        <v>274.68</v>
      </c>
      <c r="S6499">
        <v>68.67</v>
      </c>
      <c r="T6499">
        <v>1922.76</v>
      </c>
      <c r="U6499" t="s">
        <v>8048</v>
      </c>
      <c r="V6499" t="s">
        <v>9408</v>
      </c>
      <c r="W6499" t="s">
        <v>423</v>
      </c>
    </row>
    <row r="6500" spans="1:23" hidden="1" x14ac:dyDescent="0.2">
      <c r="A6500">
        <v>2012</v>
      </c>
      <c r="B6500" t="s">
        <v>303</v>
      </c>
      <c r="C6500" s="733">
        <v>40911</v>
      </c>
      <c r="D65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00" t="s">
        <v>485</v>
      </c>
      <c r="F6500" t="s">
        <v>2048</v>
      </c>
      <c r="G6500" t="s">
        <v>5857</v>
      </c>
      <c r="H6500">
        <v>39729</v>
      </c>
      <c r="I6500" t="s">
        <v>423</v>
      </c>
      <c r="J6500" t="s">
        <v>4770</v>
      </c>
      <c r="K6500" t="s">
        <v>2051</v>
      </c>
      <c r="L6500" t="s">
        <v>2052</v>
      </c>
      <c r="M6500">
        <v>599</v>
      </c>
      <c r="N6500">
        <v>29.4</v>
      </c>
      <c r="O6500">
        <v>4317.3900000000003</v>
      </c>
      <c r="P6500">
        <v>4860.9062270000004</v>
      </c>
      <c r="Q6500">
        <v>9178.2962270000007</v>
      </c>
      <c r="R6500">
        <v>1468.527396</v>
      </c>
      <c r="S6500">
        <v>367.13184899999999</v>
      </c>
      <c r="T6500">
        <v>10279.691774000001</v>
      </c>
      <c r="U6500" t="s">
        <v>2089</v>
      </c>
      <c r="V6500" t="s">
        <v>9408</v>
      </c>
      <c r="W6500" t="s">
        <v>423</v>
      </c>
    </row>
    <row r="6501" spans="1:23" hidden="1" x14ac:dyDescent="0.2">
      <c r="A6501">
        <v>2012</v>
      </c>
      <c r="B6501" t="s">
        <v>303</v>
      </c>
      <c r="C6501" s="733">
        <v>40925</v>
      </c>
      <c r="D65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01" t="s">
        <v>505</v>
      </c>
      <c r="F6501" t="s">
        <v>1915</v>
      </c>
      <c r="G6501" t="s">
        <v>3818</v>
      </c>
      <c r="H6501">
        <v>22034</v>
      </c>
      <c r="I6501" t="s">
        <v>424</v>
      </c>
      <c r="J6501" t="s">
        <v>1917</v>
      </c>
      <c r="K6501" t="s">
        <v>1918</v>
      </c>
      <c r="L6501" t="s">
        <v>1919</v>
      </c>
      <c r="M6501">
        <v>267</v>
      </c>
      <c r="N6501">
        <v>30</v>
      </c>
      <c r="O6501">
        <v>2929.97</v>
      </c>
      <c r="P6501">
        <v>1683.8244589999999</v>
      </c>
      <c r="Q6501">
        <v>4613.7944589999997</v>
      </c>
      <c r="R6501">
        <v>738.20711300000005</v>
      </c>
      <c r="S6501">
        <v>184.55177800000001</v>
      </c>
      <c r="T6501">
        <v>5167.4497940000001</v>
      </c>
      <c r="U6501" t="s">
        <v>1931</v>
      </c>
      <c r="V6501" t="s">
        <v>9408</v>
      </c>
      <c r="W6501" t="s">
        <v>424</v>
      </c>
    </row>
    <row r="6502" spans="1:23" hidden="1" x14ac:dyDescent="0.2">
      <c r="A6502">
        <v>2012</v>
      </c>
      <c r="B6502" t="s">
        <v>303</v>
      </c>
      <c r="C6502" s="733">
        <v>40915</v>
      </c>
      <c r="D65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02" t="s">
        <v>505</v>
      </c>
      <c r="F6502" t="s">
        <v>2065</v>
      </c>
      <c r="G6502" t="s">
        <v>6475</v>
      </c>
      <c r="H6502">
        <v>21851</v>
      </c>
      <c r="I6502" t="s">
        <v>424</v>
      </c>
      <c r="J6502" t="s">
        <v>1917</v>
      </c>
      <c r="K6502" t="s">
        <v>1918</v>
      </c>
      <c r="L6502" t="s">
        <v>1919</v>
      </c>
      <c r="M6502">
        <v>267</v>
      </c>
      <c r="N6502">
        <v>30</v>
      </c>
      <c r="O6502">
        <v>2929.97</v>
      </c>
      <c r="P6502">
        <v>1683.8244589999999</v>
      </c>
      <c r="Q6502">
        <v>4613.7944589999997</v>
      </c>
      <c r="R6502">
        <v>738.20711300000005</v>
      </c>
      <c r="S6502">
        <v>184.55177800000001</v>
      </c>
      <c r="T6502">
        <v>5167.4497940000001</v>
      </c>
      <c r="U6502" t="s">
        <v>1920</v>
      </c>
      <c r="V6502" t="s">
        <v>9408</v>
      </c>
      <c r="W6502" t="s">
        <v>424</v>
      </c>
    </row>
    <row r="6503" spans="1:23" hidden="1" x14ac:dyDescent="0.2">
      <c r="A6503">
        <v>2012</v>
      </c>
      <c r="B6503" t="s">
        <v>303</v>
      </c>
      <c r="C6503" s="733">
        <v>40938</v>
      </c>
      <c r="D65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03" t="s">
        <v>505</v>
      </c>
      <c r="F6503" t="s">
        <v>1915</v>
      </c>
      <c r="G6503" t="s">
        <v>6472</v>
      </c>
      <c r="H6503">
        <v>22325</v>
      </c>
      <c r="I6503" t="s">
        <v>423</v>
      </c>
      <c r="J6503" t="s">
        <v>4760</v>
      </c>
      <c r="K6503" t="s">
        <v>1918</v>
      </c>
      <c r="L6503" t="s">
        <v>1919</v>
      </c>
      <c r="M6503">
        <v>444</v>
      </c>
      <c r="N6503">
        <v>25.36</v>
      </c>
      <c r="O6503">
        <v>7870.22</v>
      </c>
      <c r="P6503">
        <v>0</v>
      </c>
      <c r="Q6503">
        <v>7870.22</v>
      </c>
      <c r="R6503">
        <v>1259.24</v>
      </c>
      <c r="S6503">
        <v>314.81</v>
      </c>
      <c r="T6503">
        <v>8814.65</v>
      </c>
      <c r="U6503" t="s">
        <v>1936</v>
      </c>
      <c r="V6503" t="s">
        <v>9408</v>
      </c>
      <c r="W6503" t="s">
        <v>423</v>
      </c>
    </row>
    <row r="6504" spans="1:23" hidden="1" x14ac:dyDescent="0.2">
      <c r="A6504">
        <v>2012</v>
      </c>
      <c r="B6504" t="s">
        <v>303</v>
      </c>
      <c r="C6504" s="733">
        <v>40926</v>
      </c>
      <c r="D65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04" t="s">
        <v>478</v>
      </c>
      <c r="F6504" t="s">
        <v>2622</v>
      </c>
      <c r="G6504" t="s">
        <v>5106</v>
      </c>
      <c r="H6504">
        <v>34596</v>
      </c>
      <c r="I6504" t="s">
        <v>423</v>
      </c>
      <c r="J6504" t="s">
        <v>2629</v>
      </c>
      <c r="K6504" t="s">
        <v>2625</v>
      </c>
      <c r="L6504" t="s">
        <v>2626</v>
      </c>
      <c r="M6504">
        <v>33</v>
      </c>
      <c r="N6504">
        <v>25.49</v>
      </c>
      <c r="O6504">
        <v>2973.15</v>
      </c>
      <c r="P6504">
        <v>0</v>
      </c>
      <c r="Q6504">
        <v>2973.15</v>
      </c>
      <c r="R6504">
        <v>475.7</v>
      </c>
      <c r="S6504">
        <v>118.93</v>
      </c>
      <c r="T6504">
        <v>3329.92</v>
      </c>
      <c r="U6504" t="s">
        <v>2627</v>
      </c>
      <c r="V6504" t="s">
        <v>9408</v>
      </c>
      <c r="W6504" t="s">
        <v>423</v>
      </c>
    </row>
    <row r="6505" spans="1:23" hidden="1" x14ac:dyDescent="0.2">
      <c r="A6505">
        <v>2012</v>
      </c>
      <c r="B6505" t="s">
        <v>303</v>
      </c>
      <c r="C6505" s="733">
        <v>40932.446412037039</v>
      </c>
      <c r="D65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05" t="s">
        <v>478</v>
      </c>
      <c r="F6505" t="s">
        <v>2622</v>
      </c>
      <c r="G6505" t="s">
        <v>5449</v>
      </c>
      <c r="H6505">
        <v>34884</v>
      </c>
      <c r="I6505" t="s">
        <v>423</v>
      </c>
      <c r="J6505" t="s">
        <v>2629</v>
      </c>
      <c r="K6505" t="s">
        <v>2625</v>
      </c>
      <c r="L6505" t="s">
        <v>2626</v>
      </c>
      <c r="M6505">
        <v>33</v>
      </c>
      <c r="N6505">
        <v>28.35</v>
      </c>
      <c r="O6505">
        <v>3306.74</v>
      </c>
      <c r="P6505">
        <v>0</v>
      </c>
      <c r="Q6505">
        <v>3306.74</v>
      </c>
      <c r="R6505">
        <v>529.08000000000004</v>
      </c>
      <c r="S6505">
        <v>132.27000000000001</v>
      </c>
      <c r="T6505">
        <v>3703.55</v>
      </c>
      <c r="U6505" t="s">
        <v>2633</v>
      </c>
      <c r="V6505" t="s">
        <v>9408</v>
      </c>
      <c r="W6505" t="s">
        <v>423</v>
      </c>
    </row>
    <row r="6506" spans="1:23" hidden="1" x14ac:dyDescent="0.2">
      <c r="A6506">
        <v>2012</v>
      </c>
      <c r="B6506" t="s">
        <v>304</v>
      </c>
      <c r="C6506" s="733">
        <v>40941</v>
      </c>
      <c r="D65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06" t="s">
        <v>478</v>
      </c>
      <c r="F6506" t="s">
        <v>2136</v>
      </c>
      <c r="G6506" t="s">
        <v>6175</v>
      </c>
      <c r="H6506">
        <v>35069</v>
      </c>
      <c r="I6506" t="s">
        <v>423</v>
      </c>
      <c r="J6506" t="s">
        <v>2144</v>
      </c>
      <c r="K6506" t="s">
        <v>425</v>
      </c>
      <c r="L6506" t="s">
        <v>2145</v>
      </c>
      <c r="M6506">
        <v>1354</v>
      </c>
      <c r="N6506">
        <v>52.4</v>
      </c>
      <c r="O6506">
        <v>47515.8</v>
      </c>
      <c r="P6506">
        <v>0</v>
      </c>
      <c r="Q6506">
        <v>47515.8</v>
      </c>
      <c r="R6506">
        <v>7602.53</v>
      </c>
      <c r="S6506">
        <v>1900.63</v>
      </c>
      <c r="T6506">
        <v>53217.7</v>
      </c>
      <c r="U6506" t="s">
        <v>2914</v>
      </c>
      <c r="V6506" t="s">
        <v>9409</v>
      </c>
      <c r="W6506" t="s">
        <v>423</v>
      </c>
    </row>
    <row r="6507" spans="1:23" hidden="1" x14ac:dyDescent="0.2">
      <c r="A6507">
        <v>2012</v>
      </c>
      <c r="B6507" t="s">
        <v>304</v>
      </c>
      <c r="C6507" s="733">
        <v>40946</v>
      </c>
      <c r="D65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07" t="s">
        <v>485</v>
      </c>
      <c r="F6507" t="s">
        <v>2048</v>
      </c>
      <c r="G6507" t="s">
        <v>5855</v>
      </c>
      <c r="H6507">
        <v>41478</v>
      </c>
      <c r="I6507" t="s">
        <v>423</v>
      </c>
      <c r="J6507" t="s">
        <v>4093</v>
      </c>
      <c r="K6507" t="s">
        <v>2051</v>
      </c>
      <c r="L6507" t="s">
        <v>2052</v>
      </c>
      <c r="M6507">
        <v>647</v>
      </c>
      <c r="N6507">
        <v>54.1</v>
      </c>
      <c r="O6507">
        <v>20467.650000000001</v>
      </c>
      <c r="P6507">
        <v>0</v>
      </c>
      <c r="Q6507">
        <v>20467.650000000001</v>
      </c>
      <c r="R6507">
        <v>3274.82</v>
      </c>
      <c r="S6507">
        <v>818.71</v>
      </c>
      <c r="T6507">
        <v>22923.759999999998</v>
      </c>
      <c r="U6507" t="s">
        <v>7568</v>
      </c>
      <c r="V6507" t="s">
        <v>9409</v>
      </c>
      <c r="W6507" t="s">
        <v>423</v>
      </c>
    </row>
    <row r="6508" spans="1:23" x14ac:dyDescent="0.2">
      <c r="A6508">
        <v>2012</v>
      </c>
      <c r="B6508" t="s">
        <v>304</v>
      </c>
      <c r="C6508" s="733">
        <v>40967</v>
      </c>
      <c r="D65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08" t="s">
        <v>485</v>
      </c>
      <c r="F6508" t="s">
        <v>2054</v>
      </c>
      <c r="G6508" t="s">
        <v>8954</v>
      </c>
      <c r="H6508">
        <v>42602</v>
      </c>
      <c r="I6508" t="s">
        <v>423</v>
      </c>
      <c r="J6508" t="s">
        <v>4093</v>
      </c>
      <c r="K6508" t="s">
        <v>2051</v>
      </c>
      <c r="L6508" t="s">
        <v>2052</v>
      </c>
      <c r="M6508">
        <v>647</v>
      </c>
      <c r="N6508">
        <v>49</v>
      </c>
      <c r="O6508">
        <v>18538.169999999998</v>
      </c>
      <c r="P6508">
        <v>0</v>
      </c>
      <c r="Q6508">
        <v>18538.169999999998</v>
      </c>
      <c r="R6508">
        <v>2966.11</v>
      </c>
      <c r="S6508">
        <v>741.53</v>
      </c>
      <c r="T6508">
        <v>20762.75</v>
      </c>
      <c r="V6508" t="s">
        <v>9409</v>
      </c>
      <c r="W6508" t="s">
        <v>423</v>
      </c>
    </row>
    <row r="6509" spans="1:23" hidden="1" x14ac:dyDescent="0.2">
      <c r="A6509">
        <v>2012</v>
      </c>
      <c r="B6509" t="s">
        <v>303</v>
      </c>
      <c r="C6509" s="733">
        <v>40926</v>
      </c>
      <c r="D65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09" t="s">
        <v>485</v>
      </c>
      <c r="F6509" t="s">
        <v>2084</v>
      </c>
      <c r="G6509" t="s">
        <v>5089</v>
      </c>
      <c r="H6509">
        <v>40316</v>
      </c>
      <c r="I6509" t="s">
        <v>423</v>
      </c>
      <c r="J6509" t="s">
        <v>2848</v>
      </c>
      <c r="K6509" t="s">
        <v>2814</v>
      </c>
      <c r="L6509" t="s">
        <v>2815</v>
      </c>
      <c r="M6509">
        <v>708</v>
      </c>
      <c r="N6509">
        <v>23.771000000000001</v>
      </c>
      <c r="O6509">
        <v>9754.19</v>
      </c>
      <c r="P6509">
        <v>0</v>
      </c>
      <c r="Q6509">
        <v>9754.19</v>
      </c>
      <c r="R6509">
        <v>1560.67</v>
      </c>
      <c r="S6509">
        <v>390.17</v>
      </c>
      <c r="T6509">
        <v>10924.69</v>
      </c>
      <c r="U6509" t="s">
        <v>2824</v>
      </c>
      <c r="V6509" t="s">
        <v>9408</v>
      </c>
      <c r="W6509" t="s">
        <v>423</v>
      </c>
    </row>
    <row r="6510" spans="1:23" hidden="1" x14ac:dyDescent="0.2">
      <c r="A6510">
        <v>2012</v>
      </c>
      <c r="B6510" t="s">
        <v>304</v>
      </c>
      <c r="C6510" s="733">
        <v>40947</v>
      </c>
      <c r="D65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10" t="s">
        <v>485</v>
      </c>
      <c r="F6510" t="s">
        <v>2065</v>
      </c>
      <c r="G6510" t="s">
        <v>4986</v>
      </c>
      <c r="H6510">
        <v>41433</v>
      </c>
      <c r="I6510" t="s">
        <v>423</v>
      </c>
      <c r="J6510" t="s">
        <v>2189</v>
      </c>
      <c r="K6510" t="s">
        <v>2183</v>
      </c>
      <c r="L6510" t="s">
        <v>2184</v>
      </c>
      <c r="M6510">
        <v>720</v>
      </c>
      <c r="N6510">
        <v>26.52</v>
      </c>
      <c r="O6510">
        <v>11771.96</v>
      </c>
      <c r="P6510">
        <v>0</v>
      </c>
      <c r="Q6510">
        <v>11771.96</v>
      </c>
      <c r="R6510">
        <v>1883.51</v>
      </c>
      <c r="S6510">
        <v>470.88</v>
      </c>
      <c r="T6510">
        <v>13184.59</v>
      </c>
      <c r="U6510" t="s">
        <v>2192</v>
      </c>
      <c r="V6510" t="s">
        <v>9408</v>
      </c>
      <c r="W6510" t="s">
        <v>423</v>
      </c>
    </row>
    <row r="6511" spans="1:23" hidden="1" x14ac:dyDescent="0.2">
      <c r="A6511">
        <v>2012</v>
      </c>
      <c r="B6511" t="s">
        <v>304</v>
      </c>
      <c r="C6511" s="733">
        <v>40948</v>
      </c>
      <c r="D65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11" t="s">
        <v>485</v>
      </c>
      <c r="F6511" t="s">
        <v>2065</v>
      </c>
      <c r="G6511" t="s">
        <v>4987</v>
      </c>
      <c r="H6511">
        <v>41548</v>
      </c>
      <c r="I6511" t="s">
        <v>423</v>
      </c>
      <c r="J6511" t="s">
        <v>2189</v>
      </c>
      <c r="K6511" t="s">
        <v>2183</v>
      </c>
      <c r="L6511" t="s">
        <v>2184</v>
      </c>
      <c r="M6511">
        <v>720</v>
      </c>
      <c r="N6511">
        <v>25.82</v>
      </c>
      <c r="O6511">
        <v>11461.24</v>
      </c>
      <c r="P6511">
        <v>0</v>
      </c>
      <c r="Q6511">
        <v>11461.24</v>
      </c>
      <c r="R6511">
        <v>1833.8</v>
      </c>
      <c r="S6511">
        <v>458.45</v>
      </c>
      <c r="T6511">
        <v>12836.59</v>
      </c>
      <c r="U6511" t="s">
        <v>2192</v>
      </c>
      <c r="V6511" t="s">
        <v>9408</v>
      </c>
      <c r="W6511" t="s">
        <v>423</v>
      </c>
    </row>
    <row r="6512" spans="1:23" hidden="1" x14ac:dyDescent="0.2">
      <c r="A6512">
        <v>2012</v>
      </c>
      <c r="B6512" t="s">
        <v>304</v>
      </c>
      <c r="C6512" s="733">
        <v>40949</v>
      </c>
      <c r="D65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12" t="s">
        <v>485</v>
      </c>
      <c r="F6512" t="s">
        <v>2065</v>
      </c>
      <c r="G6512" t="s">
        <v>4985</v>
      </c>
      <c r="H6512">
        <v>41581</v>
      </c>
      <c r="I6512" t="s">
        <v>423</v>
      </c>
      <c r="J6512" t="s">
        <v>2189</v>
      </c>
      <c r="K6512" t="s">
        <v>2183</v>
      </c>
      <c r="L6512" t="s">
        <v>2184</v>
      </c>
      <c r="M6512">
        <v>720</v>
      </c>
      <c r="N6512">
        <v>25.95</v>
      </c>
      <c r="O6512">
        <v>11518.95</v>
      </c>
      <c r="P6512">
        <v>0</v>
      </c>
      <c r="Q6512">
        <v>11518.95</v>
      </c>
      <c r="R6512">
        <v>1843.03</v>
      </c>
      <c r="S6512">
        <v>460.76</v>
      </c>
      <c r="T6512">
        <v>12901.22</v>
      </c>
      <c r="U6512" t="s">
        <v>8048</v>
      </c>
      <c r="V6512" t="s">
        <v>9408</v>
      </c>
      <c r="W6512" t="s">
        <v>423</v>
      </c>
    </row>
    <row r="6513" spans="1:23" hidden="1" x14ac:dyDescent="0.2">
      <c r="A6513">
        <v>2012</v>
      </c>
      <c r="B6513" t="s">
        <v>304</v>
      </c>
      <c r="C6513" s="733">
        <v>40946</v>
      </c>
      <c r="D65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13" t="s">
        <v>485</v>
      </c>
      <c r="F6513" t="s">
        <v>2065</v>
      </c>
      <c r="G6513" t="s">
        <v>6326</v>
      </c>
      <c r="H6513">
        <v>41432</v>
      </c>
      <c r="I6513" t="s">
        <v>423</v>
      </c>
      <c r="J6513" t="s">
        <v>2189</v>
      </c>
      <c r="K6513" t="s">
        <v>2183</v>
      </c>
      <c r="L6513" t="s">
        <v>2184</v>
      </c>
      <c r="M6513">
        <v>720</v>
      </c>
      <c r="N6513">
        <v>27.11</v>
      </c>
      <c r="O6513">
        <v>12033.86</v>
      </c>
      <c r="P6513">
        <v>0</v>
      </c>
      <c r="Q6513">
        <v>12033.86</v>
      </c>
      <c r="R6513">
        <v>1925.42</v>
      </c>
      <c r="S6513">
        <v>481.35</v>
      </c>
      <c r="T6513">
        <v>13477.93</v>
      </c>
      <c r="U6513" t="s">
        <v>2192</v>
      </c>
      <c r="V6513" t="s">
        <v>9408</v>
      </c>
      <c r="W6513" t="s">
        <v>423</v>
      </c>
    </row>
    <row r="6514" spans="1:23" hidden="1" x14ac:dyDescent="0.2">
      <c r="A6514">
        <v>2012</v>
      </c>
      <c r="B6514" t="s">
        <v>304</v>
      </c>
      <c r="C6514" s="733">
        <v>40963</v>
      </c>
      <c r="D65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14" t="s">
        <v>485</v>
      </c>
      <c r="F6514" t="s">
        <v>2065</v>
      </c>
      <c r="G6514" t="s">
        <v>8774</v>
      </c>
      <c r="H6514">
        <v>42563</v>
      </c>
      <c r="I6514" t="s">
        <v>423</v>
      </c>
      <c r="J6514" t="s">
        <v>2189</v>
      </c>
      <c r="K6514" t="s">
        <v>2183</v>
      </c>
      <c r="L6514" t="s">
        <v>2184</v>
      </c>
      <c r="M6514">
        <v>720</v>
      </c>
      <c r="N6514">
        <v>25.24</v>
      </c>
      <c r="O6514">
        <v>11203.78</v>
      </c>
      <c r="P6514">
        <v>0</v>
      </c>
      <c r="Q6514">
        <v>11203.78</v>
      </c>
      <c r="R6514">
        <v>1792.61</v>
      </c>
      <c r="S6514">
        <v>448.15</v>
      </c>
      <c r="T6514">
        <v>12548.24</v>
      </c>
      <c r="U6514" t="s">
        <v>9411</v>
      </c>
      <c r="V6514" t="s">
        <v>9408</v>
      </c>
      <c r="W6514" t="s">
        <v>423</v>
      </c>
    </row>
    <row r="6515" spans="1:23" hidden="1" x14ac:dyDescent="0.2">
      <c r="A6515">
        <v>2012</v>
      </c>
      <c r="B6515" t="s">
        <v>304</v>
      </c>
      <c r="C6515" s="733">
        <v>40953</v>
      </c>
      <c r="D65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15" t="s">
        <v>478</v>
      </c>
      <c r="F6515" t="s">
        <v>2136</v>
      </c>
      <c r="G6515" t="s">
        <v>6866</v>
      </c>
      <c r="H6515">
        <v>35552</v>
      </c>
      <c r="I6515" t="s">
        <v>423</v>
      </c>
      <c r="J6515" t="s">
        <v>4791</v>
      </c>
      <c r="K6515" t="s">
        <v>425</v>
      </c>
      <c r="L6515" t="s">
        <v>2145</v>
      </c>
      <c r="M6515">
        <v>139</v>
      </c>
      <c r="N6515">
        <v>22.6</v>
      </c>
      <c r="O6515">
        <v>3774.65</v>
      </c>
      <c r="P6515">
        <v>0</v>
      </c>
      <c r="Q6515">
        <v>3774.65</v>
      </c>
      <c r="R6515">
        <v>603.94000000000005</v>
      </c>
      <c r="S6515">
        <v>150.99</v>
      </c>
      <c r="T6515">
        <v>4227.6000000000004</v>
      </c>
      <c r="U6515" t="s">
        <v>7523</v>
      </c>
      <c r="V6515" t="s">
        <v>9408</v>
      </c>
      <c r="W6515" t="s">
        <v>423</v>
      </c>
    </row>
    <row r="6516" spans="1:23" hidden="1" x14ac:dyDescent="0.2">
      <c r="A6516">
        <v>2012</v>
      </c>
      <c r="B6516" t="s">
        <v>303</v>
      </c>
      <c r="C6516" s="733">
        <v>40934</v>
      </c>
      <c r="D65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16" t="s">
        <v>478</v>
      </c>
      <c r="F6516" t="s">
        <v>2136</v>
      </c>
      <c r="G6516" t="s">
        <v>6855</v>
      </c>
      <c r="H6516">
        <v>34671</v>
      </c>
      <c r="I6516" t="s">
        <v>423</v>
      </c>
      <c r="J6516" t="s">
        <v>4282</v>
      </c>
      <c r="K6516" t="s">
        <v>425</v>
      </c>
      <c r="L6516" t="s">
        <v>2145</v>
      </c>
      <c r="M6516">
        <v>1405</v>
      </c>
      <c r="N6516">
        <v>48.81</v>
      </c>
      <c r="O6516">
        <v>49269.79</v>
      </c>
      <c r="P6516">
        <v>0</v>
      </c>
      <c r="Q6516">
        <v>49269.79</v>
      </c>
      <c r="R6516">
        <v>7883.17</v>
      </c>
      <c r="S6516">
        <v>1970.79</v>
      </c>
      <c r="T6516">
        <v>55182.17</v>
      </c>
      <c r="U6516" t="s">
        <v>3234</v>
      </c>
      <c r="V6516" t="s">
        <v>9409</v>
      </c>
      <c r="W6516" t="s">
        <v>423</v>
      </c>
    </row>
    <row r="6517" spans="1:23" hidden="1" x14ac:dyDescent="0.2">
      <c r="A6517">
        <v>2012</v>
      </c>
      <c r="B6517" t="s">
        <v>304</v>
      </c>
      <c r="C6517" s="733">
        <v>40940</v>
      </c>
      <c r="D65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17" t="s">
        <v>485</v>
      </c>
      <c r="F6517" t="s">
        <v>2065</v>
      </c>
      <c r="G6517" t="s">
        <v>4988</v>
      </c>
      <c r="H6517">
        <v>39962</v>
      </c>
      <c r="I6517" t="s">
        <v>423</v>
      </c>
      <c r="J6517" t="s">
        <v>2186</v>
      </c>
      <c r="K6517" t="s">
        <v>2183</v>
      </c>
      <c r="L6517" t="s">
        <v>2184</v>
      </c>
      <c r="M6517">
        <v>19</v>
      </c>
      <c r="N6517">
        <v>16.59</v>
      </c>
      <c r="O6517">
        <v>1872.51</v>
      </c>
      <c r="P6517">
        <v>0</v>
      </c>
      <c r="Q6517">
        <v>1872.51</v>
      </c>
      <c r="R6517">
        <v>299.60000000000002</v>
      </c>
      <c r="S6517">
        <v>74.900000000000006</v>
      </c>
      <c r="T6517">
        <v>2097.21</v>
      </c>
      <c r="U6517" t="s">
        <v>2187</v>
      </c>
      <c r="V6517" t="s">
        <v>9408</v>
      </c>
      <c r="W6517" t="s">
        <v>423</v>
      </c>
    </row>
    <row r="6518" spans="1:23" hidden="1" x14ac:dyDescent="0.2">
      <c r="A6518">
        <v>2012</v>
      </c>
      <c r="B6518" t="s">
        <v>304</v>
      </c>
      <c r="C6518" s="733">
        <v>40940</v>
      </c>
      <c r="D65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18" t="s">
        <v>485</v>
      </c>
      <c r="F6518" t="s">
        <v>2065</v>
      </c>
      <c r="G6518" t="s">
        <v>4974</v>
      </c>
      <c r="H6518">
        <v>40228</v>
      </c>
      <c r="I6518" t="s">
        <v>423</v>
      </c>
      <c r="J6518" t="s">
        <v>2186</v>
      </c>
      <c r="K6518" t="s">
        <v>2183</v>
      </c>
      <c r="L6518" t="s">
        <v>2184</v>
      </c>
      <c r="M6518">
        <v>19</v>
      </c>
      <c r="N6518">
        <v>15.55</v>
      </c>
      <c r="O6518">
        <v>1755.13</v>
      </c>
      <c r="P6518">
        <v>0</v>
      </c>
      <c r="Q6518">
        <v>1755.13</v>
      </c>
      <c r="R6518">
        <v>280.82</v>
      </c>
      <c r="S6518">
        <v>70.209999999999994</v>
      </c>
      <c r="T6518">
        <v>1965.74</v>
      </c>
      <c r="U6518" t="s">
        <v>2187</v>
      </c>
      <c r="V6518" t="s">
        <v>9408</v>
      </c>
      <c r="W6518" t="s">
        <v>423</v>
      </c>
    </row>
    <row r="6519" spans="1:23" x14ac:dyDescent="0.2">
      <c r="A6519">
        <v>2012</v>
      </c>
      <c r="B6519" t="s">
        <v>304</v>
      </c>
      <c r="C6519" s="733">
        <v>40968</v>
      </c>
      <c r="D65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19" t="s">
        <v>485</v>
      </c>
      <c r="F6519" t="s">
        <v>2065</v>
      </c>
      <c r="G6519" t="s">
        <v>9381</v>
      </c>
      <c r="H6519">
        <v>42845</v>
      </c>
      <c r="I6519" t="s">
        <v>423</v>
      </c>
      <c r="J6519" t="s">
        <v>2186</v>
      </c>
      <c r="K6519" t="s">
        <v>2183</v>
      </c>
      <c r="L6519" t="s">
        <v>2184</v>
      </c>
      <c r="M6519">
        <v>19</v>
      </c>
      <c r="N6519">
        <v>16.309999999999999</v>
      </c>
      <c r="O6519">
        <v>1840.91</v>
      </c>
      <c r="P6519">
        <v>0</v>
      </c>
      <c r="Q6519">
        <v>1840.91</v>
      </c>
      <c r="R6519">
        <v>294.55</v>
      </c>
      <c r="S6519">
        <v>73.64</v>
      </c>
      <c r="T6519">
        <v>2061.8200000000002</v>
      </c>
      <c r="V6519" t="s">
        <v>9408</v>
      </c>
      <c r="W6519" t="s">
        <v>423</v>
      </c>
    </row>
    <row r="6520" spans="1:23" hidden="1" x14ac:dyDescent="0.2">
      <c r="A6520">
        <v>2012</v>
      </c>
      <c r="B6520" t="s">
        <v>304</v>
      </c>
      <c r="C6520" s="733">
        <v>40952.539351851854</v>
      </c>
      <c r="D65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20" t="s">
        <v>478</v>
      </c>
      <c r="F6520" t="s">
        <v>3787</v>
      </c>
      <c r="G6520" t="s">
        <v>6297</v>
      </c>
      <c r="H6520">
        <v>35540</v>
      </c>
      <c r="I6520" t="s">
        <v>423</v>
      </c>
      <c r="J6520" t="s">
        <v>3789</v>
      </c>
      <c r="K6520" t="s">
        <v>3481</v>
      </c>
      <c r="L6520" t="s">
        <v>3482</v>
      </c>
      <c r="M6520">
        <v>27</v>
      </c>
      <c r="N6520">
        <v>28.614999999999998</v>
      </c>
      <c r="O6520">
        <v>3229.78</v>
      </c>
      <c r="P6520">
        <v>0</v>
      </c>
      <c r="Q6520">
        <v>3229.78</v>
      </c>
      <c r="R6520">
        <v>516.76</v>
      </c>
      <c r="S6520">
        <v>129.19</v>
      </c>
      <c r="T6520">
        <v>3617.35</v>
      </c>
      <c r="U6520" t="s">
        <v>3483</v>
      </c>
      <c r="V6520" t="s">
        <v>9408</v>
      </c>
      <c r="W6520" t="s">
        <v>423</v>
      </c>
    </row>
    <row r="6521" spans="1:23" hidden="1" x14ac:dyDescent="0.2">
      <c r="A6521">
        <v>2012</v>
      </c>
      <c r="B6521" t="s">
        <v>303</v>
      </c>
      <c r="C6521" s="733">
        <v>40936</v>
      </c>
      <c r="D65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21" t="s">
        <v>478</v>
      </c>
      <c r="F6521" t="s">
        <v>3787</v>
      </c>
      <c r="G6521" t="s">
        <v>6295</v>
      </c>
      <c r="H6521">
        <v>34551</v>
      </c>
      <c r="I6521" t="s">
        <v>423</v>
      </c>
      <c r="J6521" t="s">
        <v>3789</v>
      </c>
      <c r="K6521" t="s">
        <v>3481</v>
      </c>
      <c r="L6521" t="s">
        <v>3482</v>
      </c>
      <c r="M6521">
        <v>27</v>
      </c>
      <c r="N6521">
        <v>29.434999999999999</v>
      </c>
      <c r="O6521">
        <v>3322.03</v>
      </c>
      <c r="P6521">
        <v>0</v>
      </c>
      <c r="Q6521">
        <v>3322.03</v>
      </c>
      <c r="R6521">
        <v>531.53</v>
      </c>
      <c r="S6521">
        <v>132.88</v>
      </c>
      <c r="T6521">
        <v>3720.68</v>
      </c>
      <c r="U6521" t="s">
        <v>3784</v>
      </c>
      <c r="V6521" t="s">
        <v>9408</v>
      </c>
      <c r="W6521" t="s">
        <v>423</v>
      </c>
    </row>
    <row r="6522" spans="1:23" hidden="1" x14ac:dyDescent="0.2">
      <c r="A6522">
        <v>2012</v>
      </c>
      <c r="B6522" t="s">
        <v>303</v>
      </c>
      <c r="C6522" s="733">
        <v>40938</v>
      </c>
      <c r="D65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22" t="s">
        <v>478</v>
      </c>
      <c r="F6522" t="s">
        <v>3787</v>
      </c>
      <c r="G6522" t="s">
        <v>6296</v>
      </c>
      <c r="H6522">
        <v>34554</v>
      </c>
      <c r="I6522" t="s">
        <v>423</v>
      </c>
      <c r="J6522" t="s">
        <v>3789</v>
      </c>
      <c r="K6522" t="s">
        <v>3481</v>
      </c>
      <c r="L6522" t="s">
        <v>3482</v>
      </c>
      <c r="M6522">
        <v>27</v>
      </c>
      <c r="N6522">
        <v>27.614999999999998</v>
      </c>
      <c r="O6522">
        <v>3116.91</v>
      </c>
      <c r="P6522">
        <v>0</v>
      </c>
      <c r="Q6522">
        <v>3116.91</v>
      </c>
      <c r="R6522">
        <v>498.7</v>
      </c>
      <c r="S6522">
        <v>124.68</v>
      </c>
      <c r="T6522">
        <v>3490.93</v>
      </c>
      <c r="U6522" t="s">
        <v>3784</v>
      </c>
      <c r="V6522" t="s">
        <v>9408</v>
      </c>
      <c r="W6522" t="s">
        <v>423</v>
      </c>
    </row>
    <row r="6523" spans="1:23" hidden="1" x14ac:dyDescent="0.2">
      <c r="A6523">
        <v>2012</v>
      </c>
      <c r="B6523" t="s">
        <v>303</v>
      </c>
      <c r="C6523" s="733">
        <v>40936</v>
      </c>
      <c r="D65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23" t="s">
        <v>478</v>
      </c>
      <c r="F6523" t="s">
        <v>2136</v>
      </c>
      <c r="G6523" t="s">
        <v>6298</v>
      </c>
      <c r="H6523">
        <v>34840</v>
      </c>
      <c r="I6523" t="s">
        <v>423</v>
      </c>
      <c r="J6523" t="s">
        <v>3789</v>
      </c>
      <c r="K6523" t="s">
        <v>3481</v>
      </c>
      <c r="L6523" t="s">
        <v>3482</v>
      </c>
      <c r="M6523">
        <v>27</v>
      </c>
      <c r="N6523">
        <v>26.75</v>
      </c>
      <c r="O6523">
        <v>3019.27</v>
      </c>
      <c r="P6523">
        <v>0</v>
      </c>
      <c r="Q6523">
        <v>3019.27</v>
      </c>
      <c r="R6523">
        <v>483.08</v>
      </c>
      <c r="S6523">
        <v>120.77</v>
      </c>
      <c r="T6523">
        <v>3381.58</v>
      </c>
      <c r="U6523" t="s">
        <v>3784</v>
      </c>
      <c r="V6523" t="s">
        <v>9408</v>
      </c>
      <c r="W6523" t="s">
        <v>423</v>
      </c>
    </row>
    <row r="6524" spans="1:23" hidden="1" x14ac:dyDescent="0.2">
      <c r="A6524">
        <v>2012</v>
      </c>
      <c r="B6524" t="s">
        <v>303</v>
      </c>
      <c r="C6524" s="733">
        <v>40939.530219907407</v>
      </c>
      <c r="D65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24" t="s">
        <v>478</v>
      </c>
      <c r="F6524" t="s">
        <v>2622</v>
      </c>
      <c r="G6524" t="s">
        <v>5568</v>
      </c>
      <c r="H6524">
        <v>35138</v>
      </c>
      <c r="I6524" t="s">
        <v>423</v>
      </c>
      <c r="J6524" t="s">
        <v>2629</v>
      </c>
      <c r="K6524" t="s">
        <v>2625</v>
      </c>
      <c r="L6524" t="s">
        <v>2626</v>
      </c>
      <c r="M6524">
        <v>33</v>
      </c>
      <c r="N6524">
        <v>23.42</v>
      </c>
      <c r="O6524">
        <v>2731.71</v>
      </c>
      <c r="P6524">
        <v>0</v>
      </c>
      <c r="Q6524">
        <v>2731.71</v>
      </c>
      <c r="R6524">
        <v>437.07</v>
      </c>
      <c r="S6524">
        <v>109.27</v>
      </c>
      <c r="T6524">
        <v>3059.51</v>
      </c>
      <c r="U6524" t="s">
        <v>2630</v>
      </c>
      <c r="V6524" t="s">
        <v>9408</v>
      </c>
      <c r="W6524" t="s">
        <v>423</v>
      </c>
    </row>
    <row r="6525" spans="1:23" hidden="1" x14ac:dyDescent="0.2">
      <c r="A6525">
        <v>2012</v>
      </c>
      <c r="B6525" t="s">
        <v>304</v>
      </c>
      <c r="C6525" s="733">
        <v>40954</v>
      </c>
      <c r="D65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25" t="s">
        <v>478</v>
      </c>
      <c r="F6525" t="s">
        <v>2622</v>
      </c>
      <c r="G6525" t="s">
        <v>8023</v>
      </c>
      <c r="H6525">
        <v>35597</v>
      </c>
      <c r="I6525" t="s">
        <v>423</v>
      </c>
      <c r="J6525" t="s">
        <v>2629</v>
      </c>
      <c r="K6525" t="s">
        <v>2625</v>
      </c>
      <c r="L6525" t="s">
        <v>2626</v>
      </c>
      <c r="M6525">
        <v>33</v>
      </c>
      <c r="N6525">
        <v>25.61</v>
      </c>
      <c r="O6525">
        <v>2987.15</v>
      </c>
      <c r="P6525">
        <v>0</v>
      </c>
      <c r="Q6525">
        <v>2987.15</v>
      </c>
      <c r="R6525">
        <v>477.94</v>
      </c>
      <c r="S6525">
        <v>119.49</v>
      </c>
      <c r="T6525">
        <v>3345.6</v>
      </c>
      <c r="V6525" t="s">
        <v>9408</v>
      </c>
      <c r="W6525" t="s">
        <v>423</v>
      </c>
    </row>
    <row r="6526" spans="1:23" hidden="1" x14ac:dyDescent="0.2">
      <c r="A6526">
        <v>2012</v>
      </c>
      <c r="B6526" t="s">
        <v>304</v>
      </c>
      <c r="C6526" s="733">
        <v>40954</v>
      </c>
      <c r="D65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26" t="s">
        <v>478</v>
      </c>
      <c r="F6526" t="s">
        <v>2622</v>
      </c>
      <c r="G6526" t="s">
        <v>8030</v>
      </c>
      <c r="H6526">
        <v>35603</v>
      </c>
      <c r="I6526" t="s">
        <v>423</v>
      </c>
      <c r="J6526" t="s">
        <v>2629</v>
      </c>
      <c r="K6526" t="s">
        <v>2625</v>
      </c>
      <c r="L6526" t="s">
        <v>2626</v>
      </c>
      <c r="M6526">
        <v>33</v>
      </c>
      <c r="N6526">
        <v>27.54</v>
      </c>
      <c r="O6526">
        <v>3212.27</v>
      </c>
      <c r="P6526">
        <v>0</v>
      </c>
      <c r="Q6526">
        <v>3212.27</v>
      </c>
      <c r="R6526">
        <v>513.96</v>
      </c>
      <c r="S6526">
        <v>128.49</v>
      </c>
      <c r="T6526">
        <v>3597.74</v>
      </c>
      <c r="U6526" t="s">
        <v>7548</v>
      </c>
      <c r="V6526" t="s">
        <v>9408</v>
      </c>
      <c r="W6526" t="s">
        <v>423</v>
      </c>
    </row>
    <row r="6527" spans="1:23" hidden="1" x14ac:dyDescent="0.2">
      <c r="A6527">
        <v>2012</v>
      </c>
      <c r="B6527" t="s">
        <v>304</v>
      </c>
      <c r="C6527" s="733">
        <v>40960.452939814815</v>
      </c>
      <c r="D65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27" t="s">
        <v>478</v>
      </c>
      <c r="F6527" t="s">
        <v>2622</v>
      </c>
      <c r="G6527" t="s">
        <v>8478</v>
      </c>
      <c r="H6527">
        <v>35834</v>
      </c>
      <c r="I6527" t="s">
        <v>423</v>
      </c>
      <c r="J6527" t="s">
        <v>2629</v>
      </c>
      <c r="K6527" t="s">
        <v>2625</v>
      </c>
      <c r="L6527" t="s">
        <v>2626</v>
      </c>
      <c r="M6527">
        <v>33</v>
      </c>
      <c r="N6527">
        <v>22.52</v>
      </c>
      <c r="O6527">
        <v>2626.73</v>
      </c>
      <c r="P6527">
        <v>0</v>
      </c>
      <c r="Q6527">
        <v>2626.73</v>
      </c>
      <c r="R6527">
        <v>420.28</v>
      </c>
      <c r="S6527">
        <v>105.07</v>
      </c>
      <c r="T6527">
        <v>2941.94</v>
      </c>
      <c r="U6527" t="s">
        <v>8267</v>
      </c>
      <c r="V6527" t="s">
        <v>9408</v>
      </c>
      <c r="W6527" t="s">
        <v>423</v>
      </c>
    </row>
    <row r="6528" spans="1:23" hidden="1" x14ac:dyDescent="0.2">
      <c r="A6528">
        <v>2012</v>
      </c>
      <c r="B6528" t="s">
        <v>304</v>
      </c>
      <c r="C6528" s="733">
        <v>40952</v>
      </c>
      <c r="D65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28" t="s">
        <v>485</v>
      </c>
      <c r="F6528" t="s">
        <v>2065</v>
      </c>
      <c r="G6528" t="s">
        <v>6327</v>
      </c>
      <c r="H6528">
        <v>41595</v>
      </c>
      <c r="I6528" t="s">
        <v>423</v>
      </c>
      <c r="J6528" t="s">
        <v>2189</v>
      </c>
      <c r="K6528" t="s">
        <v>2183</v>
      </c>
      <c r="L6528" t="s">
        <v>2184</v>
      </c>
      <c r="M6528">
        <v>720</v>
      </c>
      <c r="N6528">
        <v>24.83</v>
      </c>
      <c r="O6528">
        <v>11021.79</v>
      </c>
      <c r="P6528">
        <v>0</v>
      </c>
      <c r="Q6528">
        <v>11021.79</v>
      </c>
      <c r="R6528">
        <v>1763.49</v>
      </c>
      <c r="S6528">
        <v>440.87</v>
      </c>
      <c r="T6528">
        <v>12344.41</v>
      </c>
      <c r="U6528" t="s">
        <v>8048</v>
      </c>
      <c r="V6528" t="s">
        <v>9408</v>
      </c>
      <c r="W6528" t="s">
        <v>423</v>
      </c>
    </row>
    <row r="6529" spans="1:23" hidden="1" x14ac:dyDescent="0.2">
      <c r="A6529">
        <v>2012</v>
      </c>
      <c r="B6529" t="s">
        <v>303</v>
      </c>
      <c r="C6529" s="733">
        <v>40924</v>
      </c>
      <c r="D65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29" t="s">
        <v>485</v>
      </c>
      <c r="F6529" t="s">
        <v>2048</v>
      </c>
      <c r="G6529" t="s">
        <v>6415</v>
      </c>
      <c r="H6529">
        <v>40404</v>
      </c>
      <c r="I6529" t="s">
        <v>423</v>
      </c>
      <c r="J6529" t="s">
        <v>2274</v>
      </c>
      <c r="K6529" t="s">
        <v>2051</v>
      </c>
      <c r="L6529" t="s">
        <v>2052</v>
      </c>
      <c r="M6529">
        <v>573</v>
      </c>
      <c r="N6529">
        <v>58.45</v>
      </c>
      <c r="O6529">
        <v>18967.02</v>
      </c>
      <c r="P6529">
        <v>0</v>
      </c>
      <c r="Q6529">
        <v>18967.02</v>
      </c>
      <c r="R6529">
        <v>3034.72</v>
      </c>
      <c r="S6529">
        <v>758.68</v>
      </c>
      <c r="T6529">
        <v>21243.06</v>
      </c>
      <c r="U6529" t="s">
        <v>2062</v>
      </c>
      <c r="V6529" t="s">
        <v>9409</v>
      </c>
      <c r="W6529" t="s">
        <v>423</v>
      </c>
    </row>
    <row r="6530" spans="1:23" hidden="1" x14ac:dyDescent="0.2">
      <c r="A6530">
        <v>2012</v>
      </c>
      <c r="B6530" t="s">
        <v>304</v>
      </c>
      <c r="C6530" s="733">
        <v>40946</v>
      </c>
      <c r="D65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30" t="s">
        <v>485</v>
      </c>
      <c r="F6530" t="s">
        <v>2048</v>
      </c>
      <c r="G6530" t="s">
        <v>6414</v>
      </c>
      <c r="H6530">
        <v>41488</v>
      </c>
      <c r="I6530" t="s">
        <v>423</v>
      </c>
      <c r="J6530" t="s">
        <v>2274</v>
      </c>
      <c r="K6530" t="s">
        <v>2051</v>
      </c>
      <c r="L6530" t="s">
        <v>2052</v>
      </c>
      <c r="M6530">
        <v>573</v>
      </c>
      <c r="N6530">
        <v>51.1</v>
      </c>
      <c r="O6530">
        <v>16581.95</v>
      </c>
      <c r="P6530">
        <v>0</v>
      </c>
      <c r="Q6530">
        <v>16581.95</v>
      </c>
      <c r="R6530">
        <v>2653.11</v>
      </c>
      <c r="S6530">
        <v>663.28</v>
      </c>
      <c r="T6530">
        <v>18571.78</v>
      </c>
      <c r="U6530" t="s">
        <v>7568</v>
      </c>
      <c r="V6530" t="s">
        <v>9409</v>
      </c>
      <c r="W6530" t="s">
        <v>423</v>
      </c>
    </row>
    <row r="6531" spans="1:23" hidden="1" x14ac:dyDescent="0.2">
      <c r="A6531">
        <v>2012</v>
      </c>
      <c r="B6531" t="s">
        <v>304</v>
      </c>
      <c r="C6531" s="733">
        <v>40966</v>
      </c>
      <c r="D65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31" t="s">
        <v>478</v>
      </c>
      <c r="F6531" t="s">
        <v>2136</v>
      </c>
      <c r="G6531" t="s">
        <v>9392</v>
      </c>
      <c r="H6531">
        <v>35947</v>
      </c>
      <c r="I6531" t="s">
        <v>423</v>
      </c>
      <c r="J6531" t="s">
        <v>4282</v>
      </c>
      <c r="K6531" t="s">
        <v>425</v>
      </c>
      <c r="L6531" t="s">
        <v>2145</v>
      </c>
      <c r="M6531">
        <v>1405</v>
      </c>
      <c r="N6531">
        <v>41.43</v>
      </c>
      <c r="O6531">
        <v>41820.269999999997</v>
      </c>
      <c r="P6531">
        <v>0</v>
      </c>
      <c r="Q6531">
        <v>41820.269999999997</v>
      </c>
      <c r="R6531">
        <v>6691.24</v>
      </c>
      <c r="S6531">
        <v>1672.81</v>
      </c>
      <c r="T6531">
        <v>46838.7</v>
      </c>
      <c r="U6531" t="s">
        <v>9430</v>
      </c>
      <c r="V6531" t="s">
        <v>9409</v>
      </c>
      <c r="W6531" t="s">
        <v>423</v>
      </c>
    </row>
    <row r="6532" spans="1:23" hidden="1" x14ac:dyDescent="0.2">
      <c r="A6532">
        <v>2012</v>
      </c>
      <c r="B6532" t="s">
        <v>303</v>
      </c>
      <c r="C6532" s="733">
        <v>40910</v>
      </c>
      <c r="D65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32" t="s">
        <v>505</v>
      </c>
      <c r="F6532" t="s">
        <v>1915</v>
      </c>
      <c r="G6532" t="s">
        <v>6650</v>
      </c>
      <c r="H6532">
        <v>21614</v>
      </c>
      <c r="I6532" t="s">
        <v>1979</v>
      </c>
      <c r="J6532" t="s">
        <v>5374</v>
      </c>
      <c r="K6532" t="s">
        <v>1918</v>
      </c>
      <c r="L6532" t="s">
        <v>1919</v>
      </c>
      <c r="M6532">
        <v>1324</v>
      </c>
      <c r="N6532">
        <v>50.22</v>
      </c>
      <c r="O6532">
        <v>16234.11</v>
      </c>
      <c r="P6532">
        <v>18277.822108</v>
      </c>
      <c r="Q6532">
        <v>34511.932108000001</v>
      </c>
      <c r="R6532">
        <v>5521.9091369999996</v>
      </c>
      <c r="S6532">
        <v>1380.4772840000001</v>
      </c>
      <c r="T6532">
        <v>38653.363961000003</v>
      </c>
      <c r="U6532" t="s">
        <v>1984</v>
      </c>
      <c r="V6532" t="s">
        <v>9409</v>
      </c>
      <c r="W6532" t="s">
        <v>1979</v>
      </c>
    </row>
    <row r="6533" spans="1:23" hidden="1" x14ac:dyDescent="0.2">
      <c r="A6533">
        <v>2012</v>
      </c>
      <c r="B6533" t="s">
        <v>303</v>
      </c>
      <c r="C6533" s="733">
        <v>40910</v>
      </c>
      <c r="D65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33" t="s">
        <v>478</v>
      </c>
      <c r="F6533" t="s">
        <v>2622</v>
      </c>
      <c r="G6533" t="s">
        <v>5576</v>
      </c>
      <c r="H6533">
        <v>34157</v>
      </c>
      <c r="I6533" t="s">
        <v>423</v>
      </c>
      <c r="J6533" t="s">
        <v>2624</v>
      </c>
      <c r="K6533" t="s">
        <v>2625</v>
      </c>
      <c r="L6533" t="s">
        <v>2626</v>
      </c>
      <c r="M6533">
        <v>10</v>
      </c>
      <c r="N6533">
        <v>23.76</v>
      </c>
      <c r="O6533">
        <v>1129.08</v>
      </c>
      <c r="P6533">
        <v>1271.0053559999999</v>
      </c>
      <c r="Q6533">
        <v>2400.085356</v>
      </c>
      <c r="R6533">
        <v>384.01365700000002</v>
      </c>
      <c r="S6533">
        <v>96.003414000000006</v>
      </c>
      <c r="T6533">
        <v>2688.0955990000002</v>
      </c>
      <c r="U6533" t="s">
        <v>2660</v>
      </c>
      <c r="V6533" t="s">
        <v>9408</v>
      </c>
      <c r="W6533" t="s">
        <v>423</v>
      </c>
    </row>
    <row r="6534" spans="1:23" hidden="1" x14ac:dyDescent="0.2">
      <c r="A6534">
        <v>2012</v>
      </c>
      <c r="B6534" t="s">
        <v>304</v>
      </c>
      <c r="C6534" s="733">
        <v>40946.620428240742</v>
      </c>
      <c r="D65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34" t="s">
        <v>478</v>
      </c>
      <c r="F6534" t="s">
        <v>2622</v>
      </c>
      <c r="G6534" t="s">
        <v>5589</v>
      </c>
      <c r="H6534">
        <v>35389</v>
      </c>
      <c r="I6534" t="s">
        <v>423</v>
      </c>
      <c r="J6534" t="s">
        <v>2624</v>
      </c>
      <c r="K6534" t="s">
        <v>2625</v>
      </c>
      <c r="L6534" t="s">
        <v>2626</v>
      </c>
      <c r="M6534">
        <v>10</v>
      </c>
      <c r="N6534">
        <v>21.59</v>
      </c>
      <c r="O6534">
        <v>2436.4299999999998</v>
      </c>
      <c r="P6534">
        <v>0</v>
      </c>
      <c r="Q6534">
        <v>2436.4299999999998</v>
      </c>
      <c r="R6534">
        <v>389.83</v>
      </c>
      <c r="S6534">
        <v>97.46</v>
      </c>
      <c r="T6534">
        <v>2728.8</v>
      </c>
      <c r="U6534" t="s">
        <v>2652</v>
      </c>
      <c r="V6534" t="s">
        <v>9408</v>
      </c>
      <c r="W6534" t="s">
        <v>423</v>
      </c>
    </row>
    <row r="6535" spans="1:23" hidden="1" x14ac:dyDescent="0.2">
      <c r="A6535">
        <v>2012</v>
      </c>
      <c r="B6535" t="s">
        <v>303</v>
      </c>
      <c r="C6535" s="733">
        <v>40926</v>
      </c>
      <c r="D65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35" t="s">
        <v>478</v>
      </c>
      <c r="F6535" t="s">
        <v>2622</v>
      </c>
      <c r="G6535" t="s">
        <v>5569</v>
      </c>
      <c r="H6535">
        <v>34609</v>
      </c>
      <c r="I6535" t="s">
        <v>423</v>
      </c>
      <c r="J6535" t="s">
        <v>2624</v>
      </c>
      <c r="K6535" t="s">
        <v>2625</v>
      </c>
      <c r="L6535" t="s">
        <v>2626</v>
      </c>
      <c r="M6535">
        <v>10</v>
      </c>
      <c r="N6535">
        <v>28.24</v>
      </c>
      <c r="O6535">
        <v>3186.88</v>
      </c>
      <c r="P6535">
        <v>0</v>
      </c>
      <c r="Q6535">
        <v>3186.88</v>
      </c>
      <c r="R6535">
        <v>509.9</v>
      </c>
      <c r="S6535">
        <v>127.48</v>
      </c>
      <c r="T6535">
        <v>3569.3</v>
      </c>
      <c r="U6535" t="s">
        <v>2635</v>
      </c>
      <c r="V6535" t="s">
        <v>9408</v>
      </c>
      <c r="W6535" t="s">
        <v>423</v>
      </c>
    </row>
    <row r="6536" spans="1:23" hidden="1" x14ac:dyDescent="0.2">
      <c r="A6536">
        <v>2012</v>
      </c>
      <c r="B6536" t="s">
        <v>303</v>
      </c>
      <c r="C6536" s="733">
        <v>40918.474131944444</v>
      </c>
      <c r="D65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36" t="s">
        <v>478</v>
      </c>
      <c r="F6536" t="s">
        <v>2622</v>
      </c>
      <c r="G6536" t="s">
        <v>5567</v>
      </c>
      <c r="H6536">
        <v>34386</v>
      </c>
      <c r="I6536" t="s">
        <v>423</v>
      </c>
      <c r="J6536" t="s">
        <v>2624</v>
      </c>
      <c r="K6536" t="s">
        <v>2625</v>
      </c>
      <c r="L6536" t="s">
        <v>2626</v>
      </c>
      <c r="M6536">
        <v>10</v>
      </c>
      <c r="N6536">
        <v>25.88</v>
      </c>
      <c r="O6536">
        <v>2920.56</v>
      </c>
      <c r="P6536">
        <v>0</v>
      </c>
      <c r="Q6536">
        <v>2920.56</v>
      </c>
      <c r="R6536">
        <v>467.29</v>
      </c>
      <c r="S6536">
        <v>116.82</v>
      </c>
      <c r="T6536">
        <v>3271.03</v>
      </c>
      <c r="U6536" t="s">
        <v>2635</v>
      </c>
      <c r="V6536" t="s">
        <v>9408</v>
      </c>
      <c r="W6536" t="s">
        <v>423</v>
      </c>
    </row>
    <row r="6537" spans="1:23" hidden="1" x14ac:dyDescent="0.2">
      <c r="A6537">
        <v>2012</v>
      </c>
      <c r="B6537" t="s">
        <v>304</v>
      </c>
      <c r="C6537" s="733">
        <v>40961</v>
      </c>
      <c r="D65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37" t="s">
        <v>505</v>
      </c>
      <c r="F6537" t="s">
        <v>1915</v>
      </c>
      <c r="G6537" t="s">
        <v>8310</v>
      </c>
      <c r="H6537">
        <v>22926</v>
      </c>
      <c r="I6537" t="s">
        <v>423</v>
      </c>
      <c r="J6537" t="s">
        <v>4259</v>
      </c>
      <c r="K6537" t="s">
        <v>1918</v>
      </c>
      <c r="L6537" t="s">
        <v>1919</v>
      </c>
      <c r="M6537">
        <v>467</v>
      </c>
      <c r="N6537">
        <v>25.63</v>
      </c>
      <c r="O6537">
        <v>7954.01</v>
      </c>
      <c r="P6537">
        <v>0</v>
      </c>
      <c r="Q6537">
        <v>7954.01</v>
      </c>
      <c r="R6537">
        <v>1272.6400000000001</v>
      </c>
      <c r="S6537">
        <v>318.16000000000003</v>
      </c>
      <c r="T6537">
        <v>8908.49</v>
      </c>
      <c r="U6537" t="s">
        <v>8491</v>
      </c>
      <c r="V6537" t="s">
        <v>9409</v>
      </c>
      <c r="W6537" t="s">
        <v>423</v>
      </c>
    </row>
    <row r="6538" spans="1:23" hidden="1" x14ac:dyDescent="0.2">
      <c r="A6538">
        <v>2012</v>
      </c>
      <c r="B6538" t="s">
        <v>304</v>
      </c>
      <c r="C6538" s="733">
        <v>40949.677222222221</v>
      </c>
      <c r="D65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38" t="s">
        <v>505</v>
      </c>
      <c r="F6538" t="s">
        <v>1915</v>
      </c>
      <c r="G6538" t="s">
        <v>2432</v>
      </c>
      <c r="H6538">
        <v>22638</v>
      </c>
      <c r="I6538" t="s">
        <v>424</v>
      </c>
      <c r="J6538" t="s">
        <v>1917</v>
      </c>
      <c r="K6538" t="s">
        <v>1918</v>
      </c>
      <c r="L6538" t="s">
        <v>1919</v>
      </c>
      <c r="M6538">
        <v>267</v>
      </c>
      <c r="N6538">
        <v>30</v>
      </c>
      <c r="O6538">
        <v>2929.97</v>
      </c>
      <c r="P6538">
        <v>1683.8244589999999</v>
      </c>
      <c r="Q6538">
        <v>4613.7944589999997</v>
      </c>
      <c r="R6538">
        <v>738.20711300000005</v>
      </c>
      <c r="S6538">
        <v>184.55177800000001</v>
      </c>
      <c r="T6538">
        <v>5167.4497940000001</v>
      </c>
      <c r="U6538" t="s">
        <v>1924</v>
      </c>
      <c r="V6538" t="s">
        <v>9408</v>
      </c>
      <c r="W6538" t="s">
        <v>424</v>
      </c>
    </row>
    <row r="6539" spans="1:23" hidden="1" x14ac:dyDescent="0.2">
      <c r="A6539">
        <v>2012</v>
      </c>
      <c r="B6539" t="s">
        <v>305</v>
      </c>
      <c r="C6539" s="733">
        <v>40969.695370370369</v>
      </c>
      <c r="D6539" s="733" t="str">
        <f>CHOOSE(MONTH(Tabla_sqldatos_bonampakdb_Bon_v_ingresos2012[[#This Row],[fecha_guia]]),"Enero","Febrero","Marzo","Abril","Mayo","Junio","Julio","Agosto","Septiembre","Octubre","Noviembre","Diciembre")</f>
        <v>Marzo</v>
      </c>
      <c r="E6539" t="s">
        <v>478</v>
      </c>
      <c r="F6539" t="s">
        <v>2622</v>
      </c>
      <c r="G6539" t="s">
        <v>9523</v>
      </c>
      <c r="H6539">
        <v>36223</v>
      </c>
      <c r="I6539" t="s">
        <v>423</v>
      </c>
      <c r="J6539" t="s">
        <v>2629</v>
      </c>
      <c r="K6539" t="s">
        <v>2625</v>
      </c>
      <c r="L6539" t="s">
        <v>2626</v>
      </c>
      <c r="M6539">
        <v>33</v>
      </c>
      <c r="N6539">
        <v>24.99</v>
      </c>
      <c r="O6539">
        <v>2914.83</v>
      </c>
      <c r="P6539">
        <v>0</v>
      </c>
      <c r="Q6539">
        <v>2914.83</v>
      </c>
      <c r="R6539">
        <v>466.37</v>
      </c>
      <c r="S6539">
        <v>116.59</v>
      </c>
      <c r="T6539">
        <v>3264.61</v>
      </c>
      <c r="V6539" t="s">
        <v>9408</v>
      </c>
      <c r="W6539" t="s">
        <v>423</v>
      </c>
    </row>
    <row r="6540" spans="1:23" hidden="1" x14ac:dyDescent="0.2">
      <c r="A6540">
        <v>2012</v>
      </c>
      <c r="B6540" t="s">
        <v>304</v>
      </c>
      <c r="C6540" s="733">
        <v>40940</v>
      </c>
      <c r="D65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40" t="s">
        <v>485</v>
      </c>
      <c r="F6540" t="s">
        <v>2065</v>
      </c>
      <c r="G6540" t="s">
        <v>6446</v>
      </c>
      <c r="H6540">
        <v>39916</v>
      </c>
      <c r="I6540" t="s">
        <v>423</v>
      </c>
      <c r="J6540" t="s">
        <v>2189</v>
      </c>
      <c r="K6540" t="s">
        <v>2183</v>
      </c>
      <c r="L6540" t="s">
        <v>2184</v>
      </c>
      <c r="M6540">
        <v>720</v>
      </c>
      <c r="N6540">
        <v>25.58</v>
      </c>
      <c r="O6540">
        <v>11354.71</v>
      </c>
      <c r="P6540">
        <v>0</v>
      </c>
      <c r="Q6540">
        <v>11354.71</v>
      </c>
      <c r="R6540">
        <v>1816.75</v>
      </c>
      <c r="S6540">
        <v>454.19</v>
      </c>
      <c r="T6540">
        <v>12717.27</v>
      </c>
      <c r="V6540" t="s">
        <v>9408</v>
      </c>
      <c r="W6540" t="s">
        <v>423</v>
      </c>
    </row>
    <row r="6541" spans="1:23" hidden="1" x14ac:dyDescent="0.2">
      <c r="A6541">
        <v>2012</v>
      </c>
      <c r="B6541" t="s">
        <v>304</v>
      </c>
      <c r="C6541" s="733">
        <v>40940</v>
      </c>
      <c r="D65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41" t="s">
        <v>485</v>
      </c>
      <c r="F6541" t="s">
        <v>2065</v>
      </c>
      <c r="G6541" t="s">
        <v>3282</v>
      </c>
      <c r="H6541">
        <v>39740</v>
      </c>
      <c r="I6541" t="s">
        <v>423</v>
      </c>
      <c r="J6541" t="s">
        <v>2189</v>
      </c>
      <c r="K6541" t="s">
        <v>2183</v>
      </c>
      <c r="L6541" t="s">
        <v>2184</v>
      </c>
      <c r="M6541">
        <v>720</v>
      </c>
      <c r="N6541">
        <v>24.88</v>
      </c>
      <c r="O6541">
        <v>11043.98</v>
      </c>
      <c r="P6541">
        <v>0</v>
      </c>
      <c r="Q6541">
        <v>11043.98</v>
      </c>
      <c r="R6541">
        <v>1767.04</v>
      </c>
      <c r="S6541">
        <v>441.76</v>
      </c>
      <c r="T6541">
        <v>12369.26</v>
      </c>
      <c r="U6541" t="s">
        <v>2187</v>
      </c>
      <c r="V6541" t="s">
        <v>9408</v>
      </c>
      <c r="W6541" t="s">
        <v>423</v>
      </c>
    </row>
    <row r="6542" spans="1:23" hidden="1" x14ac:dyDescent="0.2">
      <c r="A6542">
        <v>2012</v>
      </c>
      <c r="B6542" t="s">
        <v>304</v>
      </c>
      <c r="C6542" s="733">
        <v>40940</v>
      </c>
      <c r="D65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42" t="s">
        <v>485</v>
      </c>
      <c r="F6542" t="s">
        <v>2065</v>
      </c>
      <c r="G6542" t="s">
        <v>6441</v>
      </c>
      <c r="H6542">
        <v>39684</v>
      </c>
      <c r="I6542" t="s">
        <v>423</v>
      </c>
      <c r="J6542" t="s">
        <v>2189</v>
      </c>
      <c r="K6542" t="s">
        <v>2183</v>
      </c>
      <c r="L6542" t="s">
        <v>2184</v>
      </c>
      <c r="M6542">
        <v>720</v>
      </c>
      <c r="N6542">
        <v>27.27</v>
      </c>
      <c r="O6542">
        <v>12104.88</v>
      </c>
      <c r="P6542">
        <v>0</v>
      </c>
      <c r="Q6542">
        <v>12104.88</v>
      </c>
      <c r="R6542">
        <v>1936.78</v>
      </c>
      <c r="S6542">
        <v>484.2</v>
      </c>
      <c r="T6542">
        <v>13557.46</v>
      </c>
      <c r="U6542" t="s">
        <v>2187</v>
      </c>
      <c r="V6542" t="s">
        <v>9408</v>
      </c>
      <c r="W6542" t="s">
        <v>423</v>
      </c>
    </row>
    <row r="6543" spans="1:23" hidden="1" x14ac:dyDescent="0.2">
      <c r="A6543">
        <v>2012</v>
      </c>
      <c r="B6543" t="s">
        <v>303</v>
      </c>
      <c r="C6543" s="733">
        <v>40918</v>
      </c>
      <c r="D65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43" t="s">
        <v>485</v>
      </c>
      <c r="F6543" t="s">
        <v>2065</v>
      </c>
      <c r="G6543" t="s">
        <v>6440</v>
      </c>
      <c r="H6543">
        <v>39927</v>
      </c>
      <c r="I6543" t="s">
        <v>423</v>
      </c>
      <c r="J6543" t="s">
        <v>2189</v>
      </c>
      <c r="K6543" t="s">
        <v>2183</v>
      </c>
      <c r="L6543" t="s">
        <v>2184</v>
      </c>
      <c r="M6543">
        <v>720</v>
      </c>
      <c r="N6543">
        <v>25.49</v>
      </c>
      <c r="O6543">
        <v>11314.76</v>
      </c>
      <c r="P6543">
        <v>0</v>
      </c>
      <c r="Q6543">
        <v>11314.76</v>
      </c>
      <c r="R6543">
        <v>1810.36</v>
      </c>
      <c r="S6543">
        <v>452.59</v>
      </c>
      <c r="T6543">
        <v>12672.53</v>
      </c>
      <c r="U6543" t="s">
        <v>7520</v>
      </c>
      <c r="V6543" t="s">
        <v>9408</v>
      </c>
      <c r="W6543" t="s">
        <v>423</v>
      </c>
    </row>
    <row r="6544" spans="1:23" hidden="1" x14ac:dyDescent="0.2">
      <c r="A6544">
        <v>2012</v>
      </c>
      <c r="B6544" t="s">
        <v>304</v>
      </c>
      <c r="C6544" s="733">
        <v>40954</v>
      </c>
      <c r="D65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44" t="s">
        <v>485</v>
      </c>
      <c r="F6544" t="s">
        <v>2065</v>
      </c>
      <c r="G6544" t="s">
        <v>7475</v>
      </c>
      <c r="H6544">
        <v>41888</v>
      </c>
      <c r="I6544" t="s">
        <v>423</v>
      </c>
      <c r="J6544" t="s">
        <v>2189</v>
      </c>
      <c r="K6544" t="s">
        <v>2183</v>
      </c>
      <c r="L6544" t="s">
        <v>2184</v>
      </c>
      <c r="M6544">
        <v>720</v>
      </c>
      <c r="N6544">
        <v>26.57</v>
      </c>
      <c r="O6544">
        <v>11794.16</v>
      </c>
      <c r="P6544">
        <v>0</v>
      </c>
      <c r="Q6544">
        <v>11794.16</v>
      </c>
      <c r="R6544">
        <v>1887.07</v>
      </c>
      <c r="S6544">
        <v>471.77</v>
      </c>
      <c r="T6544">
        <v>13209.46</v>
      </c>
      <c r="U6544" t="s">
        <v>8048</v>
      </c>
      <c r="V6544" t="s">
        <v>9408</v>
      </c>
      <c r="W6544" t="s">
        <v>423</v>
      </c>
    </row>
    <row r="6545" spans="1:23" hidden="1" x14ac:dyDescent="0.2">
      <c r="A6545">
        <v>2012</v>
      </c>
      <c r="B6545" t="s">
        <v>304</v>
      </c>
      <c r="C6545" s="733">
        <v>40940</v>
      </c>
      <c r="D65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45" t="s">
        <v>485</v>
      </c>
      <c r="F6545" t="s">
        <v>2065</v>
      </c>
      <c r="G6545" t="s">
        <v>6451</v>
      </c>
      <c r="H6545">
        <v>39910</v>
      </c>
      <c r="I6545" t="s">
        <v>423</v>
      </c>
      <c r="J6545" t="s">
        <v>2189</v>
      </c>
      <c r="K6545" t="s">
        <v>2183</v>
      </c>
      <c r="L6545" t="s">
        <v>2184</v>
      </c>
      <c r="M6545">
        <v>720</v>
      </c>
      <c r="N6545">
        <v>27.13</v>
      </c>
      <c r="O6545">
        <v>12042.74</v>
      </c>
      <c r="P6545">
        <v>0</v>
      </c>
      <c r="Q6545">
        <v>12042.74</v>
      </c>
      <c r="R6545">
        <v>1926.84</v>
      </c>
      <c r="S6545">
        <v>481.71</v>
      </c>
      <c r="T6545">
        <v>13487.87</v>
      </c>
      <c r="U6545" t="s">
        <v>2187</v>
      </c>
      <c r="V6545" t="s">
        <v>9408</v>
      </c>
      <c r="W6545" t="s">
        <v>423</v>
      </c>
    </row>
    <row r="6546" spans="1:23" hidden="1" x14ac:dyDescent="0.2">
      <c r="A6546">
        <v>2012</v>
      </c>
      <c r="B6546" t="s">
        <v>303</v>
      </c>
      <c r="C6546" s="733">
        <v>40918</v>
      </c>
      <c r="D65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46" t="s">
        <v>478</v>
      </c>
      <c r="F6546" t="s">
        <v>2136</v>
      </c>
      <c r="G6546" t="s">
        <v>7140</v>
      </c>
      <c r="H6546">
        <v>34102</v>
      </c>
      <c r="I6546" t="s">
        <v>423</v>
      </c>
      <c r="J6546" t="s">
        <v>4282</v>
      </c>
      <c r="K6546" t="s">
        <v>425</v>
      </c>
      <c r="L6546" t="s">
        <v>2145</v>
      </c>
      <c r="M6546">
        <v>1405</v>
      </c>
      <c r="N6546">
        <v>26.92</v>
      </c>
      <c r="O6546">
        <v>27173.59</v>
      </c>
      <c r="P6546">
        <v>0</v>
      </c>
      <c r="Q6546">
        <v>27173.59</v>
      </c>
      <c r="R6546">
        <v>4347.7700000000004</v>
      </c>
      <c r="S6546">
        <v>1086.94</v>
      </c>
      <c r="T6546">
        <v>30434.42</v>
      </c>
      <c r="U6546" t="s">
        <v>4628</v>
      </c>
      <c r="V6546" t="s">
        <v>9408</v>
      </c>
      <c r="W6546" t="s">
        <v>423</v>
      </c>
    </row>
    <row r="6547" spans="1:23" hidden="1" x14ac:dyDescent="0.2">
      <c r="A6547">
        <v>2012</v>
      </c>
      <c r="B6547" t="s">
        <v>304</v>
      </c>
      <c r="C6547" s="733">
        <v>40941</v>
      </c>
      <c r="D65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47" t="s">
        <v>478</v>
      </c>
      <c r="F6547" t="s">
        <v>2136</v>
      </c>
      <c r="G6547" t="s">
        <v>7147</v>
      </c>
      <c r="H6547">
        <v>35110</v>
      </c>
      <c r="I6547" t="s">
        <v>423</v>
      </c>
      <c r="J6547" t="s">
        <v>4791</v>
      </c>
      <c r="K6547" t="s">
        <v>425</v>
      </c>
      <c r="L6547" t="s">
        <v>2145</v>
      </c>
      <c r="M6547">
        <v>139</v>
      </c>
      <c r="N6547">
        <v>22.8</v>
      </c>
      <c r="O6547">
        <v>3808.06</v>
      </c>
      <c r="P6547">
        <v>0</v>
      </c>
      <c r="Q6547">
        <v>3808.06</v>
      </c>
      <c r="R6547">
        <v>609.29</v>
      </c>
      <c r="S6547">
        <v>152.32</v>
      </c>
      <c r="T6547">
        <v>4265.03</v>
      </c>
      <c r="U6547" t="s">
        <v>2914</v>
      </c>
      <c r="V6547" t="s">
        <v>9408</v>
      </c>
      <c r="W6547" t="s">
        <v>423</v>
      </c>
    </row>
    <row r="6548" spans="1:23" hidden="1" x14ac:dyDescent="0.2">
      <c r="A6548">
        <v>2012</v>
      </c>
      <c r="B6548" t="s">
        <v>303</v>
      </c>
      <c r="C6548" s="733">
        <v>40920</v>
      </c>
      <c r="D65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48" t="s">
        <v>485</v>
      </c>
      <c r="F6548" t="s">
        <v>2065</v>
      </c>
      <c r="G6548" t="s">
        <v>3281</v>
      </c>
      <c r="H6548">
        <v>40100</v>
      </c>
      <c r="I6548" t="s">
        <v>423</v>
      </c>
      <c r="J6548" t="s">
        <v>2189</v>
      </c>
      <c r="K6548" t="s">
        <v>2183</v>
      </c>
      <c r="L6548" t="s">
        <v>2184</v>
      </c>
      <c r="M6548">
        <v>720</v>
      </c>
      <c r="N6548">
        <v>25.89</v>
      </c>
      <c r="O6548">
        <v>11492.31</v>
      </c>
      <c r="P6548">
        <v>0</v>
      </c>
      <c r="Q6548">
        <v>11492.31</v>
      </c>
      <c r="R6548">
        <v>1838.77</v>
      </c>
      <c r="S6548">
        <v>459.69</v>
      </c>
      <c r="T6548">
        <v>12871.39</v>
      </c>
      <c r="U6548" t="s">
        <v>7587</v>
      </c>
      <c r="V6548" t="s">
        <v>9408</v>
      </c>
      <c r="W6548" t="s">
        <v>423</v>
      </c>
    </row>
    <row r="6549" spans="1:23" hidden="1" x14ac:dyDescent="0.2">
      <c r="A6549">
        <v>2012</v>
      </c>
      <c r="B6549" t="s">
        <v>303</v>
      </c>
      <c r="C6549" s="733">
        <v>40920</v>
      </c>
      <c r="D65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49" t="s">
        <v>485</v>
      </c>
      <c r="F6549" t="s">
        <v>2065</v>
      </c>
      <c r="G6549" t="s">
        <v>6445</v>
      </c>
      <c r="H6549">
        <v>40099</v>
      </c>
      <c r="I6549" t="s">
        <v>423</v>
      </c>
      <c r="J6549" t="s">
        <v>2189</v>
      </c>
      <c r="K6549" t="s">
        <v>2183</v>
      </c>
      <c r="L6549" t="s">
        <v>2184</v>
      </c>
      <c r="M6549">
        <v>720</v>
      </c>
      <c r="N6549">
        <v>28.29</v>
      </c>
      <c r="O6549">
        <v>12557.65</v>
      </c>
      <c r="P6549">
        <v>0</v>
      </c>
      <c r="Q6549">
        <v>12557.65</v>
      </c>
      <c r="R6549">
        <v>2009.22</v>
      </c>
      <c r="S6549">
        <v>502.31</v>
      </c>
      <c r="T6549">
        <v>14064.56</v>
      </c>
      <c r="U6549" t="s">
        <v>7587</v>
      </c>
      <c r="V6549" t="s">
        <v>9408</v>
      </c>
      <c r="W6549" t="s">
        <v>423</v>
      </c>
    </row>
    <row r="6550" spans="1:23" hidden="1" x14ac:dyDescent="0.2">
      <c r="A6550">
        <v>2012</v>
      </c>
      <c r="B6550" t="s">
        <v>304</v>
      </c>
      <c r="C6550" s="733">
        <v>40947</v>
      </c>
      <c r="D65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50" t="s">
        <v>485</v>
      </c>
      <c r="F6550" t="s">
        <v>2065</v>
      </c>
      <c r="G6550" t="s">
        <v>6444</v>
      </c>
      <c r="H6550">
        <v>41431</v>
      </c>
      <c r="I6550" t="s">
        <v>423</v>
      </c>
      <c r="J6550" t="s">
        <v>2189</v>
      </c>
      <c r="K6550" t="s">
        <v>2183</v>
      </c>
      <c r="L6550" t="s">
        <v>2184</v>
      </c>
      <c r="M6550">
        <v>720</v>
      </c>
      <c r="N6550">
        <v>28.2</v>
      </c>
      <c r="O6550">
        <v>12517.7</v>
      </c>
      <c r="P6550">
        <v>0</v>
      </c>
      <c r="Q6550">
        <v>12517.7</v>
      </c>
      <c r="R6550">
        <v>2002.83</v>
      </c>
      <c r="S6550">
        <v>500.71</v>
      </c>
      <c r="T6550">
        <v>14019.82</v>
      </c>
      <c r="U6550" t="s">
        <v>2192</v>
      </c>
      <c r="V6550" t="s">
        <v>9408</v>
      </c>
      <c r="W6550" t="s">
        <v>423</v>
      </c>
    </row>
    <row r="6551" spans="1:23" hidden="1" x14ac:dyDescent="0.2">
      <c r="A6551">
        <v>2012</v>
      </c>
      <c r="B6551" t="s">
        <v>303</v>
      </c>
      <c r="C6551" s="733">
        <v>40920</v>
      </c>
      <c r="D65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51" t="s">
        <v>485</v>
      </c>
      <c r="F6551" t="s">
        <v>2065</v>
      </c>
      <c r="G6551" t="s">
        <v>3283</v>
      </c>
      <c r="H6551">
        <v>40036</v>
      </c>
      <c r="I6551" t="s">
        <v>423</v>
      </c>
      <c r="J6551" t="s">
        <v>2189</v>
      </c>
      <c r="K6551" t="s">
        <v>2183</v>
      </c>
      <c r="L6551" t="s">
        <v>2184</v>
      </c>
      <c r="M6551">
        <v>720</v>
      </c>
      <c r="N6551">
        <v>24.32</v>
      </c>
      <c r="O6551">
        <v>10795.4</v>
      </c>
      <c r="P6551">
        <v>0</v>
      </c>
      <c r="Q6551">
        <v>10795.4</v>
      </c>
      <c r="R6551">
        <v>1727.26</v>
      </c>
      <c r="S6551">
        <v>431.82</v>
      </c>
      <c r="T6551">
        <v>12090.84</v>
      </c>
      <c r="U6551" t="s">
        <v>7520</v>
      </c>
      <c r="V6551" t="s">
        <v>9408</v>
      </c>
      <c r="W6551" t="s">
        <v>423</v>
      </c>
    </row>
    <row r="6552" spans="1:23" hidden="1" x14ac:dyDescent="0.2">
      <c r="A6552">
        <v>2012</v>
      </c>
      <c r="B6552" t="s">
        <v>304</v>
      </c>
      <c r="C6552" s="733">
        <v>40940</v>
      </c>
      <c r="D65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52" t="s">
        <v>485</v>
      </c>
      <c r="F6552" t="s">
        <v>2065</v>
      </c>
      <c r="G6552" t="s">
        <v>3289</v>
      </c>
      <c r="H6552">
        <v>40463</v>
      </c>
      <c r="I6552" t="s">
        <v>423</v>
      </c>
      <c r="J6552" t="s">
        <v>2186</v>
      </c>
      <c r="K6552" t="s">
        <v>2183</v>
      </c>
      <c r="L6552" t="s">
        <v>2184</v>
      </c>
      <c r="M6552">
        <v>19</v>
      </c>
      <c r="N6552">
        <v>15.6</v>
      </c>
      <c r="O6552">
        <v>1760.77</v>
      </c>
      <c r="P6552">
        <v>0</v>
      </c>
      <c r="Q6552">
        <v>1760.77</v>
      </c>
      <c r="R6552">
        <v>281.72000000000003</v>
      </c>
      <c r="S6552">
        <v>70.430000000000007</v>
      </c>
      <c r="T6552">
        <v>1972.06</v>
      </c>
      <c r="U6552" t="s">
        <v>2187</v>
      </c>
      <c r="V6552" t="s">
        <v>9408</v>
      </c>
      <c r="W6552" t="s">
        <v>423</v>
      </c>
    </row>
    <row r="6553" spans="1:23" hidden="1" x14ac:dyDescent="0.2">
      <c r="A6553">
        <v>2012</v>
      </c>
      <c r="B6553" t="s">
        <v>304</v>
      </c>
      <c r="C6553" s="733">
        <v>40940</v>
      </c>
      <c r="D65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53" t="s">
        <v>485</v>
      </c>
      <c r="F6553" t="s">
        <v>2065</v>
      </c>
      <c r="G6553" t="s">
        <v>3290</v>
      </c>
      <c r="H6553">
        <v>40604</v>
      </c>
      <c r="I6553" t="s">
        <v>423</v>
      </c>
      <c r="J6553" t="s">
        <v>2186</v>
      </c>
      <c r="K6553" t="s">
        <v>2183</v>
      </c>
      <c r="L6553" t="s">
        <v>2184</v>
      </c>
      <c r="M6553">
        <v>19</v>
      </c>
      <c r="N6553">
        <v>16.03</v>
      </c>
      <c r="O6553">
        <v>1809.31</v>
      </c>
      <c r="P6553">
        <v>0</v>
      </c>
      <c r="Q6553">
        <v>1809.31</v>
      </c>
      <c r="R6553">
        <v>289.49</v>
      </c>
      <c r="S6553">
        <v>72.37</v>
      </c>
      <c r="T6553">
        <v>2026.43</v>
      </c>
      <c r="U6553" t="s">
        <v>2187</v>
      </c>
      <c r="V6553" t="s">
        <v>9408</v>
      </c>
      <c r="W6553" t="s">
        <v>423</v>
      </c>
    </row>
    <row r="6554" spans="1:23" hidden="1" x14ac:dyDescent="0.2">
      <c r="A6554">
        <v>2012</v>
      </c>
      <c r="B6554" t="s">
        <v>304</v>
      </c>
      <c r="C6554" s="733">
        <v>40963</v>
      </c>
      <c r="D65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54" t="s">
        <v>485</v>
      </c>
      <c r="F6554" t="s">
        <v>2065</v>
      </c>
      <c r="G6554" t="s">
        <v>8527</v>
      </c>
      <c r="H6554">
        <v>42541</v>
      </c>
      <c r="I6554" t="s">
        <v>423</v>
      </c>
      <c r="J6554" t="s">
        <v>2186</v>
      </c>
      <c r="K6554" t="s">
        <v>2183</v>
      </c>
      <c r="L6554" t="s">
        <v>2184</v>
      </c>
      <c r="M6554">
        <v>19</v>
      </c>
      <c r="N6554">
        <v>15.42</v>
      </c>
      <c r="O6554">
        <v>1740.46</v>
      </c>
      <c r="P6554">
        <v>0</v>
      </c>
      <c r="Q6554">
        <v>1740.46</v>
      </c>
      <c r="R6554">
        <v>278.47000000000003</v>
      </c>
      <c r="S6554">
        <v>69.62</v>
      </c>
      <c r="T6554">
        <v>1949.31</v>
      </c>
      <c r="U6554" t="s">
        <v>9411</v>
      </c>
      <c r="V6554" t="s">
        <v>9408</v>
      </c>
      <c r="W6554" t="s">
        <v>423</v>
      </c>
    </row>
    <row r="6555" spans="1:23" hidden="1" x14ac:dyDescent="0.2">
      <c r="A6555">
        <v>2012</v>
      </c>
      <c r="B6555" t="s">
        <v>303</v>
      </c>
      <c r="C6555" s="733">
        <v>40928.498310185183</v>
      </c>
      <c r="D65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55" t="s">
        <v>485</v>
      </c>
      <c r="F6555" t="s">
        <v>2065</v>
      </c>
      <c r="G6555" t="s">
        <v>3288</v>
      </c>
      <c r="H6555">
        <v>40635</v>
      </c>
      <c r="I6555" t="s">
        <v>423</v>
      </c>
      <c r="J6555" t="s">
        <v>2186</v>
      </c>
      <c r="K6555" t="s">
        <v>2183</v>
      </c>
      <c r="L6555" t="s">
        <v>2184</v>
      </c>
      <c r="M6555">
        <v>19</v>
      </c>
      <c r="N6555">
        <v>15.1</v>
      </c>
      <c r="O6555">
        <v>1704.34</v>
      </c>
      <c r="P6555">
        <v>0</v>
      </c>
      <c r="Q6555">
        <v>1704.34</v>
      </c>
      <c r="R6555">
        <v>272.69</v>
      </c>
      <c r="S6555">
        <v>68.17</v>
      </c>
      <c r="T6555">
        <v>1908.86</v>
      </c>
      <c r="U6555" t="s">
        <v>2187</v>
      </c>
      <c r="V6555" t="s">
        <v>9408</v>
      </c>
      <c r="W6555" t="s">
        <v>423</v>
      </c>
    </row>
    <row r="6556" spans="1:23" hidden="1" x14ac:dyDescent="0.2">
      <c r="A6556">
        <v>2012</v>
      </c>
      <c r="B6556" t="s">
        <v>303</v>
      </c>
      <c r="C6556" s="733">
        <v>40936</v>
      </c>
      <c r="D65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56" t="s">
        <v>478</v>
      </c>
      <c r="F6556" t="s">
        <v>3787</v>
      </c>
      <c r="G6556" t="s">
        <v>5962</v>
      </c>
      <c r="H6556">
        <v>35009</v>
      </c>
      <c r="I6556" t="s">
        <v>423</v>
      </c>
      <c r="J6556" t="s">
        <v>3789</v>
      </c>
      <c r="K6556" t="s">
        <v>3481</v>
      </c>
      <c r="L6556" t="s">
        <v>3482</v>
      </c>
      <c r="M6556">
        <v>27</v>
      </c>
      <c r="N6556">
        <v>21.18</v>
      </c>
      <c r="O6556">
        <v>2390.37</v>
      </c>
      <c r="P6556">
        <v>0</v>
      </c>
      <c r="Q6556">
        <v>2390.37</v>
      </c>
      <c r="R6556">
        <v>382.46</v>
      </c>
      <c r="S6556">
        <v>95.61</v>
      </c>
      <c r="T6556">
        <v>2677.22</v>
      </c>
      <c r="U6556" t="s">
        <v>3784</v>
      </c>
      <c r="V6556" t="s">
        <v>9408</v>
      </c>
      <c r="W6556" t="s">
        <v>423</v>
      </c>
    </row>
    <row r="6557" spans="1:23" hidden="1" x14ac:dyDescent="0.2">
      <c r="A6557">
        <v>2012</v>
      </c>
      <c r="B6557" t="s">
        <v>303</v>
      </c>
      <c r="C6557" s="733">
        <v>40936</v>
      </c>
      <c r="D65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57" t="s">
        <v>478</v>
      </c>
      <c r="F6557" t="s">
        <v>3787</v>
      </c>
      <c r="G6557" t="s">
        <v>5963</v>
      </c>
      <c r="H6557">
        <v>35019</v>
      </c>
      <c r="I6557" t="s">
        <v>423</v>
      </c>
      <c r="J6557" t="s">
        <v>3789</v>
      </c>
      <c r="K6557" t="s">
        <v>3481</v>
      </c>
      <c r="L6557" t="s">
        <v>3482</v>
      </c>
      <c r="M6557">
        <v>27</v>
      </c>
      <c r="N6557">
        <v>21.765000000000001</v>
      </c>
      <c r="O6557">
        <v>2456.62</v>
      </c>
      <c r="P6557">
        <v>0</v>
      </c>
      <c r="Q6557">
        <v>2456.62</v>
      </c>
      <c r="R6557">
        <v>393.06</v>
      </c>
      <c r="S6557">
        <v>98.26</v>
      </c>
      <c r="T6557">
        <v>2751.42</v>
      </c>
      <c r="U6557" t="s">
        <v>3784</v>
      </c>
      <c r="V6557" t="s">
        <v>9408</v>
      </c>
      <c r="W6557" t="s">
        <v>423</v>
      </c>
    </row>
    <row r="6558" spans="1:23" hidden="1" x14ac:dyDescent="0.2">
      <c r="A6558">
        <v>2012</v>
      </c>
      <c r="B6558" t="s">
        <v>304</v>
      </c>
      <c r="C6558" s="733">
        <v>40960</v>
      </c>
      <c r="D65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58" t="s">
        <v>478</v>
      </c>
      <c r="F6558" t="s">
        <v>2136</v>
      </c>
      <c r="G6558" t="s">
        <v>8315</v>
      </c>
      <c r="H6558">
        <v>35731</v>
      </c>
      <c r="I6558" t="s">
        <v>423</v>
      </c>
      <c r="J6558" t="s">
        <v>4282</v>
      </c>
      <c r="K6558" t="s">
        <v>425</v>
      </c>
      <c r="L6558" t="s">
        <v>2145</v>
      </c>
      <c r="M6558">
        <v>1405</v>
      </c>
      <c r="N6558">
        <v>38.81</v>
      </c>
      <c r="O6558">
        <v>39175.589999999997</v>
      </c>
      <c r="P6558">
        <v>0</v>
      </c>
      <c r="Q6558">
        <v>39175.589999999997</v>
      </c>
      <c r="R6558">
        <v>6268.09</v>
      </c>
      <c r="S6558">
        <v>1567.02</v>
      </c>
      <c r="T6558">
        <v>43876.66</v>
      </c>
      <c r="U6558" t="s">
        <v>8252</v>
      </c>
      <c r="V6558" t="s">
        <v>9409</v>
      </c>
      <c r="W6558" t="s">
        <v>423</v>
      </c>
    </row>
    <row r="6559" spans="1:23" hidden="1" x14ac:dyDescent="0.2">
      <c r="A6559">
        <v>2012</v>
      </c>
      <c r="B6559" t="s">
        <v>304</v>
      </c>
      <c r="C6559" s="733">
        <v>40946</v>
      </c>
      <c r="D65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59" t="s">
        <v>478</v>
      </c>
      <c r="F6559" t="s">
        <v>2136</v>
      </c>
      <c r="G6559" t="s">
        <v>7130</v>
      </c>
      <c r="H6559">
        <v>35244</v>
      </c>
      <c r="I6559" t="s">
        <v>423</v>
      </c>
      <c r="J6559" t="s">
        <v>2144</v>
      </c>
      <c r="K6559" t="s">
        <v>425</v>
      </c>
      <c r="L6559" t="s">
        <v>2145</v>
      </c>
      <c r="M6559">
        <v>1354</v>
      </c>
      <c r="N6559">
        <v>48.99</v>
      </c>
      <c r="O6559">
        <v>44423.64</v>
      </c>
      <c r="P6559">
        <v>0</v>
      </c>
      <c r="Q6559">
        <v>44423.64</v>
      </c>
      <c r="R6559">
        <v>7107.78</v>
      </c>
      <c r="S6559">
        <v>1776.95</v>
      </c>
      <c r="T6559">
        <v>49754.47</v>
      </c>
      <c r="U6559" t="s">
        <v>3115</v>
      </c>
      <c r="V6559" t="s">
        <v>9409</v>
      </c>
      <c r="W6559" t="s">
        <v>423</v>
      </c>
    </row>
    <row r="6560" spans="1:23" hidden="1" x14ac:dyDescent="0.2">
      <c r="A6560">
        <v>2012</v>
      </c>
      <c r="B6560" t="s">
        <v>304</v>
      </c>
      <c r="C6560" s="733">
        <v>40966</v>
      </c>
      <c r="D65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60" t="s">
        <v>478</v>
      </c>
      <c r="F6560" t="s">
        <v>2136</v>
      </c>
      <c r="G6560" t="s">
        <v>9086</v>
      </c>
      <c r="H6560">
        <v>35943</v>
      </c>
      <c r="I6560" t="s">
        <v>423</v>
      </c>
      <c r="J6560" t="s">
        <v>2144</v>
      </c>
      <c r="K6560" t="s">
        <v>425</v>
      </c>
      <c r="L6560" t="s">
        <v>2145</v>
      </c>
      <c r="M6560">
        <v>1354</v>
      </c>
      <c r="N6560">
        <v>42.99</v>
      </c>
      <c r="O6560">
        <v>38982.9</v>
      </c>
      <c r="P6560">
        <v>0</v>
      </c>
      <c r="Q6560">
        <v>38982.9</v>
      </c>
      <c r="R6560">
        <v>6237.26</v>
      </c>
      <c r="S6560">
        <v>1559.32</v>
      </c>
      <c r="T6560">
        <v>43660.84</v>
      </c>
      <c r="U6560" t="s">
        <v>9430</v>
      </c>
      <c r="V6560" t="s">
        <v>9409</v>
      </c>
      <c r="W6560" t="s">
        <v>423</v>
      </c>
    </row>
    <row r="6561" spans="1:23" hidden="1" x14ac:dyDescent="0.2">
      <c r="A6561">
        <v>2012</v>
      </c>
      <c r="B6561" t="s">
        <v>304</v>
      </c>
      <c r="C6561" s="733">
        <v>40947</v>
      </c>
      <c r="D65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61" t="s">
        <v>478</v>
      </c>
      <c r="F6561" t="s">
        <v>2142</v>
      </c>
      <c r="G6561" t="s">
        <v>5974</v>
      </c>
      <c r="H6561">
        <v>35351</v>
      </c>
      <c r="I6561" t="s">
        <v>423</v>
      </c>
      <c r="J6561" t="s">
        <v>2639</v>
      </c>
      <c r="K6561" t="s">
        <v>2640</v>
      </c>
      <c r="L6561" t="s">
        <v>2641</v>
      </c>
      <c r="M6561">
        <v>274</v>
      </c>
      <c r="N6561">
        <v>51.39</v>
      </c>
      <c r="O6561">
        <v>6605.67</v>
      </c>
      <c r="P6561">
        <v>0</v>
      </c>
      <c r="Q6561">
        <v>6605.67</v>
      </c>
      <c r="R6561">
        <v>1056.9100000000001</v>
      </c>
      <c r="S6561">
        <v>264.23</v>
      </c>
      <c r="T6561">
        <v>7398.35</v>
      </c>
      <c r="U6561" t="s">
        <v>2887</v>
      </c>
      <c r="V6561" t="s">
        <v>9409</v>
      </c>
      <c r="W6561" t="s">
        <v>423</v>
      </c>
    </row>
    <row r="6562" spans="1:23" hidden="1" x14ac:dyDescent="0.2">
      <c r="A6562">
        <v>2012</v>
      </c>
      <c r="B6562" t="s">
        <v>304</v>
      </c>
      <c r="C6562" s="733">
        <v>40966.506481481483</v>
      </c>
      <c r="D65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62" t="s">
        <v>478</v>
      </c>
      <c r="F6562" t="s">
        <v>2136</v>
      </c>
      <c r="G6562" t="s">
        <v>9100</v>
      </c>
      <c r="H6562">
        <v>36050</v>
      </c>
      <c r="I6562" t="s">
        <v>423</v>
      </c>
      <c r="J6562" t="s">
        <v>2668</v>
      </c>
      <c r="K6562" t="s">
        <v>2625</v>
      </c>
      <c r="L6562" t="s">
        <v>2626</v>
      </c>
      <c r="M6562">
        <v>76</v>
      </c>
      <c r="N6562">
        <v>25.38</v>
      </c>
      <c r="O6562">
        <v>2864.13</v>
      </c>
      <c r="P6562">
        <v>0</v>
      </c>
      <c r="Q6562">
        <v>2864.13</v>
      </c>
      <c r="R6562">
        <v>458.26</v>
      </c>
      <c r="S6562">
        <v>114.57</v>
      </c>
      <c r="T6562">
        <v>3207.82</v>
      </c>
      <c r="U6562" t="s">
        <v>9428</v>
      </c>
      <c r="V6562" t="s">
        <v>9408</v>
      </c>
      <c r="W6562" t="s">
        <v>423</v>
      </c>
    </row>
    <row r="6563" spans="1:23" hidden="1" x14ac:dyDescent="0.2">
      <c r="A6563">
        <v>2012</v>
      </c>
      <c r="B6563" t="s">
        <v>304</v>
      </c>
      <c r="C6563" s="733">
        <v>40967.424085648148</v>
      </c>
      <c r="D65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63" t="s">
        <v>478</v>
      </c>
      <c r="F6563" t="s">
        <v>2136</v>
      </c>
      <c r="G6563" t="s">
        <v>9099</v>
      </c>
      <c r="H6563">
        <v>36143</v>
      </c>
      <c r="I6563" t="s">
        <v>423</v>
      </c>
      <c r="J6563" t="s">
        <v>2668</v>
      </c>
      <c r="K6563" t="s">
        <v>2625</v>
      </c>
      <c r="L6563" t="s">
        <v>2626</v>
      </c>
      <c r="M6563">
        <v>76</v>
      </c>
      <c r="N6563">
        <v>25.26</v>
      </c>
      <c r="O6563">
        <v>2850.59</v>
      </c>
      <c r="P6563">
        <v>0</v>
      </c>
      <c r="Q6563">
        <v>2850.59</v>
      </c>
      <c r="R6563">
        <v>456.09</v>
      </c>
      <c r="S6563">
        <v>114.02</v>
      </c>
      <c r="T6563">
        <v>3192.66</v>
      </c>
      <c r="U6563" t="s">
        <v>9428</v>
      </c>
      <c r="V6563" t="s">
        <v>9408</v>
      </c>
      <c r="W6563" t="s">
        <v>423</v>
      </c>
    </row>
    <row r="6564" spans="1:23" hidden="1" x14ac:dyDescent="0.2">
      <c r="A6564">
        <v>2012</v>
      </c>
      <c r="B6564" t="s">
        <v>304</v>
      </c>
      <c r="C6564" s="733">
        <v>40956.925937499997</v>
      </c>
      <c r="D65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64" t="s">
        <v>478</v>
      </c>
      <c r="F6564" t="s">
        <v>2622</v>
      </c>
      <c r="G6564" t="s">
        <v>7741</v>
      </c>
      <c r="H6564">
        <v>35763</v>
      </c>
      <c r="I6564" t="s">
        <v>423</v>
      </c>
      <c r="J6564" t="s">
        <v>2662</v>
      </c>
      <c r="K6564" t="s">
        <v>2625</v>
      </c>
      <c r="L6564" t="s">
        <v>2626</v>
      </c>
      <c r="M6564">
        <v>66</v>
      </c>
      <c r="N6564">
        <v>26.4</v>
      </c>
      <c r="O6564">
        <v>3108.07</v>
      </c>
      <c r="P6564">
        <v>0</v>
      </c>
      <c r="Q6564">
        <v>3108.07</v>
      </c>
      <c r="R6564">
        <v>497.29</v>
      </c>
      <c r="S6564">
        <v>124.32</v>
      </c>
      <c r="T6564">
        <v>3481.04</v>
      </c>
      <c r="U6564" t="s">
        <v>8267</v>
      </c>
      <c r="V6564" t="s">
        <v>9408</v>
      </c>
      <c r="W6564" t="s">
        <v>423</v>
      </c>
    </row>
    <row r="6565" spans="1:23" hidden="1" x14ac:dyDescent="0.2">
      <c r="A6565">
        <v>2012</v>
      </c>
      <c r="B6565" t="s">
        <v>304</v>
      </c>
      <c r="C6565" s="733">
        <v>40942.720868055556</v>
      </c>
      <c r="D65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65" t="s">
        <v>485</v>
      </c>
      <c r="F6565" t="s">
        <v>2054</v>
      </c>
      <c r="G6565" t="s">
        <v>4552</v>
      </c>
      <c r="H6565">
        <v>10302</v>
      </c>
      <c r="I6565" t="s">
        <v>423</v>
      </c>
      <c r="J6565" t="s">
        <v>4078</v>
      </c>
      <c r="K6565" t="s">
        <v>2057</v>
      </c>
      <c r="L6565" t="s">
        <v>2058</v>
      </c>
      <c r="M6565">
        <v>154</v>
      </c>
      <c r="N6565">
        <v>23.07</v>
      </c>
      <c r="O6565">
        <v>3887.76</v>
      </c>
      <c r="P6565">
        <v>0</v>
      </c>
      <c r="Q6565">
        <v>3887.76</v>
      </c>
      <c r="R6565">
        <v>622.04</v>
      </c>
      <c r="S6565">
        <v>155.51</v>
      </c>
      <c r="T6565">
        <v>4354.29</v>
      </c>
      <c r="U6565" t="s">
        <v>2075</v>
      </c>
      <c r="V6565" t="s">
        <v>9408</v>
      </c>
      <c r="W6565" t="s">
        <v>423</v>
      </c>
    </row>
    <row r="6566" spans="1:23" hidden="1" x14ac:dyDescent="0.2">
      <c r="A6566">
        <v>2012</v>
      </c>
      <c r="B6566" t="s">
        <v>304</v>
      </c>
      <c r="C6566" s="733">
        <v>40966</v>
      </c>
      <c r="D65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66" t="s">
        <v>478</v>
      </c>
      <c r="F6566" t="s">
        <v>2136</v>
      </c>
      <c r="G6566" t="s">
        <v>9194</v>
      </c>
      <c r="H6566">
        <v>36012</v>
      </c>
      <c r="I6566" t="s">
        <v>423</v>
      </c>
      <c r="J6566" t="s">
        <v>2662</v>
      </c>
      <c r="K6566" t="s">
        <v>2625</v>
      </c>
      <c r="L6566" t="s">
        <v>2626</v>
      </c>
      <c r="M6566">
        <v>66</v>
      </c>
      <c r="N6566">
        <v>22.79</v>
      </c>
      <c r="O6566">
        <v>2683.07</v>
      </c>
      <c r="P6566">
        <v>0</v>
      </c>
      <c r="Q6566">
        <v>2683.07</v>
      </c>
      <c r="R6566">
        <v>429.29</v>
      </c>
      <c r="S6566">
        <v>107.32</v>
      </c>
      <c r="T6566">
        <v>3005.04</v>
      </c>
      <c r="U6566" t="s">
        <v>9428</v>
      </c>
      <c r="V6566" t="s">
        <v>9408</v>
      </c>
      <c r="W6566" t="s">
        <v>423</v>
      </c>
    </row>
    <row r="6567" spans="1:23" hidden="1" x14ac:dyDescent="0.2">
      <c r="A6567">
        <v>2012</v>
      </c>
      <c r="B6567" t="s">
        <v>304</v>
      </c>
      <c r="C6567" s="733">
        <v>40946.613402777781</v>
      </c>
      <c r="D65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67" t="s">
        <v>478</v>
      </c>
      <c r="F6567" t="s">
        <v>2136</v>
      </c>
      <c r="G6567" t="s">
        <v>4380</v>
      </c>
      <c r="H6567">
        <v>35382</v>
      </c>
      <c r="I6567" t="s">
        <v>423</v>
      </c>
      <c r="J6567" t="s">
        <v>2662</v>
      </c>
      <c r="K6567" t="s">
        <v>2625</v>
      </c>
      <c r="L6567" t="s">
        <v>2626</v>
      </c>
      <c r="M6567">
        <v>66</v>
      </c>
      <c r="N6567">
        <v>22.21</v>
      </c>
      <c r="O6567">
        <v>2590.5700000000002</v>
      </c>
      <c r="P6567">
        <v>0</v>
      </c>
      <c r="Q6567">
        <v>2590.5700000000002</v>
      </c>
      <c r="R6567">
        <v>414.49</v>
      </c>
      <c r="S6567">
        <v>103.62</v>
      </c>
      <c r="T6567">
        <v>2901.44</v>
      </c>
      <c r="U6567" t="s">
        <v>2652</v>
      </c>
      <c r="V6567" t="s">
        <v>9408</v>
      </c>
      <c r="W6567" t="s">
        <v>423</v>
      </c>
    </row>
    <row r="6568" spans="1:23" hidden="1" x14ac:dyDescent="0.2">
      <c r="A6568">
        <v>2012</v>
      </c>
      <c r="B6568" t="s">
        <v>304</v>
      </c>
      <c r="C6568" s="733">
        <v>40942.731874999998</v>
      </c>
      <c r="D65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68" t="s">
        <v>478</v>
      </c>
      <c r="F6568" t="s">
        <v>2622</v>
      </c>
      <c r="G6568" t="s">
        <v>4779</v>
      </c>
      <c r="H6568">
        <v>35286</v>
      </c>
      <c r="I6568" t="s">
        <v>423</v>
      </c>
      <c r="J6568" t="s">
        <v>4780</v>
      </c>
      <c r="K6568" t="s">
        <v>425</v>
      </c>
      <c r="L6568" t="s">
        <v>2145</v>
      </c>
      <c r="M6568">
        <v>196</v>
      </c>
      <c r="N6568">
        <v>24.32</v>
      </c>
      <c r="O6568">
        <v>4321.91</v>
      </c>
      <c r="P6568">
        <v>0</v>
      </c>
      <c r="Q6568">
        <v>4321.91</v>
      </c>
      <c r="R6568">
        <v>691.51</v>
      </c>
      <c r="S6568">
        <v>172.88</v>
      </c>
      <c r="T6568">
        <v>4840.54</v>
      </c>
      <c r="U6568" t="s">
        <v>9455</v>
      </c>
      <c r="V6568" t="s">
        <v>9408</v>
      </c>
      <c r="W6568" t="s">
        <v>423</v>
      </c>
    </row>
    <row r="6569" spans="1:23" hidden="1" x14ac:dyDescent="0.2">
      <c r="A6569">
        <v>2012</v>
      </c>
      <c r="B6569" t="s">
        <v>303</v>
      </c>
      <c r="C6569" s="733">
        <v>40918.415208333332</v>
      </c>
      <c r="D65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69" t="s">
        <v>478</v>
      </c>
      <c r="F6569" t="s">
        <v>2622</v>
      </c>
      <c r="G6569" t="s">
        <v>4379</v>
      </c>
      <c r="H6569">
        <v>34379</v>
      </c>
      <c r="I6569" t="s">
        <v>423</v>
      </c>
      <c r="J6569" t="s">
        <v>2662</v>
      </c>
      <c r="K6569" t="s">
        <v>2625</v>
      </c>
      <c r="L6569" t="s">
        <v>2626</v>
      </c>
      <c r="M6569">
        <v>66</v>
      </c>
      <c r="N6569">
        <v>26.32</v>
      </c>
      <c r="O6569">
        <v>3098.65</v>
      </c>
      <c r="P6569">
        <v>0</v>
      </c>
      <c r="Q6569">
        <v>3098.65</v>
      </c>
      <c r="R6569">
        <v>495.78</v>
      </c>
      <c r="S6569">
        <v>123.95</v>
      </c>
      <c r="T6569">
        <v>3470.48</v>
      </c>
      <c r="U6569" t="s">
        <v>2635</v>
      </c>
      <c r="V6569" t="s">
        <v>9408</v>
      </c>
      <c r="W6569" t="s">
        <v>423</v>
      </c>
    </row>
    <row r="6570" spans="1:23" hidden="1" x14ac:dyDescent="0.2">
      <c r="A6570">
        <v>2012</v>
      </c>
      <c r="B6570" t="s">
        <v>304</v>
      </c>
      <c r="C6570" s="733">
        <v>40941.571377314816</v>
      </c>
      <c r="D65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70" t="s">
        <v>478</v>
      </c>
      <c r="F6570" t="s">
        <v>2622</v>
      </c>
      <c r="G6570" t="s">
        <v>4381</v>
      </c>
      <c r="H6570">
        <v>35241</v>
      </c>
      <c r="I6570" t="s">
        <v>423</v>
      </c>
      <c r="J6570" t="s">
        <v>2662</v>
      </c>
      <c r="K6570" t="s">
        <v>2625</v>
      </c>
      <c r="L6570" t="s">
        <v>2626</v>
      </c>
      <c r="M6570">
        <v>66</v>
      </c>
      <c r="N6570">
        <v>36.380000000000003</v>
      </c>
      <c r="O6570">
        <v>4283.0200000000004</v>
      </c>
      <c r="P6570">
        <v>0</v>
      </c>
      <c r="Q6570">
        <v>4283.0200000000004</v>
      </c>
      <c r="R6570">
        <v>685.28</v>
      </c>
      <c r="S6570">
        <v>171.32</v>
      </c>
      <c r="T6570">
        <v>4796.9799999999996</v>
      </c>
      <c r="U6570" t="s">
        <v>2630</v>
      </c>
      <c r="V6570" t="s">
        <v>9408</v>
      </c>
      <c r="W6570" t="s">
        <v>423</v>
      </c>
    </row>
    <row r="6571" spans="1:23" hidden="1" x14ac:dyDescent="0.2">
      <c r="A6571">
        <v>2012</v>
      </c>
      <c r="B6571" t="s">
        <v>305</v>
      </c>
      <c r="C6571" s="733">
        <v>40970</v>
      </c>
      <c r="D6571" s="733" t="str">
        <f>CHOOSE(MONTH(Tabla_sqldatos_bonampakdb_Bon_v_ingresos2012[[#This Row],[fecha_guia]]),"Enero","Febrero","Marzo","Abril","Mayo","Junio","Julio","Agosto","Septiembre","Octubre","Noviembre","Diciembre")</f>
        <v>Marzo</v>
      </c>
      <c r="E6571" t="s">
        <v>485</v>
      </c>
      <c r="F6571" t="s">
        <v>2054</v>
      </c>
      <c r="G6571" t="s">
        <v>9772</v>
      </c>
      <c r="H6571">
        <v>10623</v>
      </c>
      <c r="I6571" t="s">
        <v>423</v>
      </c>
      <c r="J6571" t="s">
        <v>4078</v>
      </c>
      <c r="K6571" t="s">
        <v>2057</v>
      </c>
      <c r="L6571" t="s">
        <v>2058</v>
      </c>
      <c r="M6571">
        <v>154</v>
      </c>
      <c r="N6571">
        <v>46.29</v>
      </c>
      <c r="O6571">
        <v>7800.79</v>
      </c>
      <c r="P6571">
        <v>0</v>
      </c>
      <c r="Q6571">
        <v>7800.79</v>
      </c>
      <c r="R6571">
        <v>858.09</v>
      </c>
      <c r="S6571">
        <v>312.02999999999997</v>
      </c>
      <c r="T6571">
        <v>8346.85</v>
      </c>
      <c r="V6571" t="s">
        <v>9409</v>
      </c>
      <c r="W6571" t="s">
        <v>423</v>
      </c>
    </row>
    <row r="6572" spans="1:23" hidden="1" x14ac:dyDescent="0.2">
      <c r="A6572">
        <v>2012</v>
      </c>
      <c r="B6572" t="s">
        <v>303</v>
      </c>
      <c r="C6572" s="733">
        <v>40918</v>
      </c>
      <c r="D65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72" t="s">
        <v>505</v>
      </c>
      <c r="F6572" t="s">
        <v>1915</v>
      </c>
      <c r="G6572" t="s">
        <v>2863</v>
      </c>
      <c r="H6572">
        <v>21839</v>
      </c>
      <c r="I6572" t="s">
        <v>1979</v>
      </c>
      <c r="J6572" t="s">
        <v>1980</v>
      </c>
      <c r="K6572" t="s">
        <v>1918</v>
      </c>
      <c r="L6572" t="s">
        <v>1919</v>
      </c>
      <c r="M6572">
        <v>732</v>
      </c>
      <c r="N6572">
        <v>49.91</v>
      </c>
      <c r="O6572">
        <v>21890.53</v>
      </c>
      <c r="P6572">
        <v>0</v>
      </c>
      <c r="Q6572">
        <v>21890.53</v>
      </c>
      <c r="R6572">
        <v>3502.48</v>
      </c>
      <c r="S6572">
        <v>875.62</v>
      </c>
      <c r="T6572">
        <v>24517.39</v>
      </c>
      <c r="V6572" t="s">
        <v>9409</v>
      </c>
      <c r="W6572" t="s">
        <v>1979</v>
      </c>
    </row>
    <row r="6573" spans="1:23" hidden="1" x14ac:dyDescent="0.2">
      <c r="A6573">
        <v>2012</v>
      </c>
      <c r="B6573" t="s">
        <v>304</v>
      </c>
      <c r="C6573" s="733">
        <v>40949</v>
      </c>
      <c r="D65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73" t="s">
        <v>505</v>
      </c>
      <c r="F6573" t="s">
        <v>1915</v>
      </c>
      <c r="G6573" t="s">
        <v>2862</v>
      </c>
      <c r="H6573">
        <v>22548</v>
      </c>
      <c r="I6573" t="s">
        <v>1979</v>
      </c>
      <c r="J6573" t="s">
        <v>1980</v>
      </c>
      <c r="K6573" t="s">
        <v>1918</v>
      </c>
      <c r="L6573" t="s">
        <v>1919</v>
      </c>
      <c r="M6573">
        <v>732</v>
      </c>
      <c r="N6573">
        <v>50.26</v>
      </c>
      <c r="O6573">
        <v>22044.04</v>
      </c>
      <c r="P6573">
        <v>0</v>
      </c>
      <c r="Q6573">
        <v>22044.04</v>
      </c>
      <c r="R6573">
        <v>3527.05</v>
      </c>
      <c r="S6573">
        <v>881.76</v>
      </c>
      <c r="T6573">
        <v>24689.33</v>
      </c>
      <c r="U6573" t="s">
        <v>7522</v>
      </c>
      <c r="V6573" t="s">
        <v>9409</v>
      </c>
      <c r="W6573" t="s">
        <v>1979</v>
      </c>
    </row>
    <row r="6574" spans="1:23" hidden="1" x14ac:dyDescent="0.2">
      <c r="A6574">
        <v>2012</v>
      </c>
      <c r="B6574" t="s">
        <v>303</v>
      </c>
      <c r="C6574" s="733">
        <v>40921</v>
      </c>
      <c r="D65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74" t="s">
        <v>505</v>
      </c>
      <c r="F6574" t="s">
        <v>1915</v>
      </c>
      <c r="G6574" t="s">
        <v>4907</v>
      </c>
      <c r="H6574">
        <v>21905</v>
      </c>
      <c r="I6574" t="s">
        <v>423</v>
      </c>
      <c r="J6574" t="s">
        <v>1980</v>
      </c>
      <c r="K6574" t="s">
        <v>1918</v>
      </c>
      <c r="L6574" t="s">
        <v>1919</v>
      </c>
      <c r="M6574">
        <v>732</v>
      </c>
      <c r="N6574">
        <v>54.78</v>
      </c>
      <c r="O6574">
        <v>24026.51</v>
      </c>
      <c r="P6574">
        <v>0</v>
      </c>
      <c r="Q6574">
        <v>24026.51</v>
      </c>
      <c r="R6574">
        <v>3844.24</v>
      </c>
      <c r="S6574">
        <v>961.06</v>
      </c>
      <c r="T6574">
        <v>26909.69</v>
      </c>
      <c r="U6574" t="s">
        <v>1931</v>
      </c>
      <c r="V6574" t="s">
        <v>9409</v>
      </c>
      <c r="W6574" t="s">
        <v>423</v>
      </c>
    </row>
    <row r="6575" spans="1:23" hidden="1" x14ac:dyDescent="0.2">
      <c r="A6575">
        <v>2012</v>
      </c>
      <c r="B6575" t="s">
        <v>303</v>
      </c>
      <c r="C6575" s="733">
        <v>40911</v>
      </c>
      <c r="D65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75" t="s">
        <v>505</v>
      </c>
      <c r="F6575" t="s">
        <v>1915</v>
      </c>
      <c r="G6575" t="s">
        <v>2861</v>
      </c>
      <c r="H6575">
        <v>21603</v>
      </c>
      <c r="I6575" t="s">
        <v>423</v>
      </c>
      <c r="J6575" t="s">
        <v>1945</v>
      </c>
      <c r="K6575" t="s">
        <v>1918</v>
      </c>
      <c r="L6575" t="s">
        <v>1919</v>
      </c>
      <c r="M6575">
        <v>949</v>
      </c>
      <c r="N6575">
        <v>54.29</v>
      </c>
      <c r="O6575">
        <v>13152.3</v>
      </c>
      <c r="P6575">
        <v>14808.043046999999</v>
      </c>
      <c r="Q6575">
        <v>27960.343046999998</v>
      </c>
      <c r="R6575">
        <v>4473.654888</v>
      </c>
      <c r="S6575">
        <v>1118.413722</v>
      </c>
      <c r="T6575">
        <v>31315.584212999998</v>
      </c>
      <c r="U6575" t="s">
        <v>1984</v>
      </c>
      <c r="V6575" t="s">
        <v>9409</v>
      </c>
      <c r="W6575" t="s">
        <v>423</v>
      </c>
    </row>
    <row r="6576" spans="1:23" hidden="1" x14ac:dyDescent="0.2">
      <c r="A6576">
        <v>2012</v>
      </c>
      <c r="B6576" t="s">
        <v>303</v>
      </c>
      <c r="C6576" s="733">
        <v>40918</v>
      </c>
      <c r="D65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76" t="s">
        <v>505</v>
      </c>
      <c r="F6576" t="s">
        <v>1915</v>
      </c>
      <c r="G6576" t="s">
        <v>4906</v>
      </c>
      <c r="H6576">
        <v>21845</v>
      </c>
      <c r="I6576" t="s">
        <v>1979</v>
      </c>
      <c r="J6576" t="s">
        <v>1980</v>
      </c>
      <c r="K6576" t="s">
        <v>1918</v>
      </c>
      <c r="L6576" t="s">
        <v>1919</v>
      </c>
      <c r="M6576">
        <v>732</v>
      </c>
      <c r="N6576">
        <v>50</v>
      </c>
      <c r="O6576">
        <v>21930</v>
      </c>
      <c r="P6576">
        <v>0</v>
      </c>
      <c r="Q6576">
        <v>21930</v>
      </c>
      <c r="R6576">
        <v>3508.8</v>
      </c>
      <c r="S6576">
        <v>877.2</v>
      </c>
      <c r="T6576">
        <v>24561.599999999999</v>
      </c>
      <c r="V6576" t="s">
        <v>9409</v>
      </c>
      <c r="W6576" t="s">
        <v>1979</v>
      </c>
    </row>
    <row r="6577" spans="1:23" hidden="1" x14ac:dyDescent="0.2">
      <c r="A6577">
        <v>2012</v>
      </c>
      <c r="B6577" t="s">
        <v>303</v>
      </c>
      <c r="C6577" s="733">
        <v>40913</v>
      </c>
      <c r="D65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77" t="s">
        <v>505</v>
      </c>
      <c r="F6577" t="s">
        <v>1915</v>
      </c>
      <c r="G6577" t="s">
        <v>2864</v>
      </c>
      <c r="H6577">
        <v>21729</v>
      </c>
      <c r="I6577" t="s">
        <v>423</v>
      </c>
      <c r="J6577" t="s">
        <v>1980</v>
      </c>
      <c r="K6577" t="s">
        <v>1918</v>
      </c>
      <c r="L6577" t="s">
        <v>1919</v>
      </c>
      <c r="M6577">
        <v>732</v>
      </c>
      <c r="N6577">
        <v>53.72</v>
      </c>
      <c r="O6577">
        <v>9919.94</v>
      </c>
      <c r="P6577">
        <v>11168.761247</v>
      </c>
      <c r="Q6577">
        <v>21088.701247000001</v>
      </c>
      <c r="R6577">
        <v>3374.1921990000001</v>
      </c>
      <c r="S6577">
        <v>843.54804999999999</v>
      </c>
      <c r="T6577">
        <v>23619.345396000001</v>
      </c>
      <c r="U6577" t="s">
        <v>1931</v>
      </c>
      <c r="V6577" t="s">
        <v>9409</v>
      </c>
      <c r="W6577" t="s">
        <v>423</v>
      </c>
    </row>
    <row r="6578" spans="1:23" hidden="1" x14ac:dyDescent="0.2">
      <c r="A6578">
        <v>2012</v>
      </c>
      <c r="B6578" t="s">
        <v>303</v>
      </c>
      <c r="C6578" s="733">
        <v>40913</v>
      </c>
      <c r="D65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78" t="s">
        <v>505</v>
      </c>
      <c r="F6578" t="s">
        <v>1915</v>
      </c>
      <c r="G6578" t="s">
        <v>2860</v>
      </c>
      <c r="H6578">
        <v>21606</v>
      </c>
      <c r="I6578" t="s">
        <v>423</v>
      </c>
      <c r="J6578" t="s">
        <v>1945</v>
      </c>
      <c r="K6578" t="s">
        <v>1918</v>
      </c>
      <c r="L6578" t="s">
        <v>1919</v>
      </c>
      <c r="M6578">
        <v>949</v>
      </c>
      <c r="N6578">
        <v>54.15</v>
      </c>
      <c r="O6578">
        <v>13118.38</v>
      </c>
      <c r="P6578">
        <v>14769.852858</v>
      </c>
      <c r="Q6578">
        <v>27888.232857999999</v>
      </c>
      <c r="R6578">
        <v>4462.1172569999999</v>
      </c>
      <c r="S6578">
        <v>1115.5293140000001</v>
      </c>
      <c r="T6578">
        <v>31234.820801000002</v>
      </c>
      <c r="U6578" t="s">
        <v>1984</v>
      </c>
      <c r="V6578" t="s">
        <v>9409</v>
      </c>
      <c r="W6578" t="s">
        <v>423</v>
      </c>
    </row>
    <row r="6579" spans="1:23" hidden="1" x14ac:dyDescent="0.2">
      <c r="A6579">
        <v>2012</v>
      </c>
      <c r="B6579" t="s">
        <v>303</v>
      </c>
      <c r="C6579" s="733">
        <v>40914</v>
      </c>
      <c r="D65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79" t="s">
        <v>478</v>
      </c>
      <c r="F6579" t="s">
        <v>2136</v>
      </c>
      <c r="G6579" t="s">
        <v>4781</v>
      </c>
      <c r="H6579">
        <v>34262</v>
      </c>
      <c r="I6579" t="s">
        <v>423</v>
      </c>
      <c r="J6579" t="s">
        <v>3636</v>
      </c>
      <c r="K6579" t="s">
        <v>425</v>
      </c>
      <c r="L6579" t="s">
        <v>2145</v>
      </c>
      <c r="M6579">
        <v>244</v>
      </c>
      <c r="N6579">
        <v>25.6</v>
      </c>
      <c r="O6579">
        <v>4275.71</v>
      </c>
      <c r="P6579">
        <v>0</v>
      </c>
      <c r="Q6579">
        <v>4275.71</v>
      </c>
      <c r="R6579">
        <v>684.11</v>
      </c>
      <c r="S6579">
        <v>171.03</v>
      </c>
      <c r="T6579">
        <v>4788.79</v>
      </c>
      <c r="U6579" t="s">
        <v>2350</v>
      </c>
      <c r="V6579" t="s">
        <v>9408</v>
      </c>
      <c r="W6579" t="s">
        <v>423</v>
      </c>
    </row>
    <row r="6580" spans="1:23" hidden="1" x14ac:dyDescent="0.2">
      <c r="A6580">
        <v>2012</v>
      </c>
      <c r="B6580" t="s">
        <v>304</v>
      </c>
      <c r="C6580" s="733">
        <v>40967</v>
      </c>
      <c r="D65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80" t="s">
        <v>478</v>
      </c>
      <c r="F6580" t="s">
        <v>2622</v>
      </c>
      <c r="G6580" t="s">
        <v>9195</v>
      </c>
      <c r="H6580">
        <v>36151</v>
      </c>
      <c r="I6580" t="s">
        <v>423</v>
      </c>
      <c r="J6580" t="s">
        <v>4791</v>
      </c>
      <c r="K6580" t="s">
        <v>425</v>
      </c>
      <c r="L6580" t="s">
        <v>2145</v>
      </c>
      <c r="M6580">
        <v>139</v>
      </c>
      <c r="N6580">
        <v>24.29</v>
      </c>
      <c r="O6580">
        <v>4056.92</v>
      </c>
      <c r="P6580">
        <v>0</v>
      </c>
      <c r="Q6580">
        <v>4056.92</v>
      </c>
      <c r="R6580">
        <v>649.11</v>
      </c>
      <c r="S6580">
        <v>162.28</v>
      </c>
      <c r="T6580">
        <v>4543.75</v>
      </c>
      <c r="U6580" t="s">
        <v>9430</v>
      </c>
      <c r="V6580" t="s">
        <v>9408</v>
      </c>
      <c r="W6580" t="s">
        <v>423</v>
      </c>
    </row>
    <row r="6581" spans="1:23" hidden="1" x14ac:dyDescent="0.2">
      <c r="A6581">
        <v>2012</v>
      </c>
      <c r="B6581" t="s">
        <v>304</v>
      </c>
      <c r="C6581" s="733">
        <v>40941</v>
      </c>
      <c r="D65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81" t="s">
        <v>478</v>
      </c>
      <c r="F6581" t="s">
        <v>2136</v>
      </c>
      <c r="G6581" t="s">
        <v>4777</v>
      </c>
      <c r="H6581">
        <v>35185</v>
      </c>
      <c r="I6581" t="s">
        <v>423</v>
      </c>
      <c r="J6581" t="s">
        <v>4778</v>
      </c>
      <c r="K6581" t="s">
        <v>425</v>
      </c>
      <c r="L6581" t="s">
        <v>2145</v>
      </c>
      <c r="M6581">
        <v>652</v>
      </c>
      <c r="N6581">
        <v>50.46</v>
      </c>
      <c r="O6581">
        <v>15798.52</v>
      </c>
      <c r="P6581">
        <v>0</v>
      </c>
      <c r="Q6581">
        <v>15798.52</v>
      </c>
      <c r="R6581">
        <v>2527.7600000000002</v>
      </c>
      <c r="S6581">
        <v>631.94000000000005</v>
      </c>
      <c r="T6581">
        <v>17694.34</v>
      </c>
      <c r="U6581" t="s">
        <v>2580</v>
      </c>
      <c r="V6581" t="s">
        <v>9409</v>
      </c>
      <c r="W6581" t="s">
        <v>423</v>
      </c>
    </row>
    <row r="6582" spans="1:23" hidden="1" x14ac:dyDescent="0.2">
      <c r="A6582">
        <v>2012</v>
      </c>
      <c r="B6582" t="s">
        <v>303</v>
      </c>
      <c r="C6582" s="733">
        <v>40939</v>
      </c>
      <c r="D65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82" t="s">
        <v>505</v>
      </c>
      <c r="F6582" t="s">
        <v>1915</v>
      </c>
      <c r="G6582" t="s">
        <v>4905</v>
      </c>
      <c r="H6582">
        <v>22326</v>
      </c>
      <c r="I6582" t="s">
        <v>1979</v>
      </c>
      <c r="J6582" t="s">
        <v>1980</v>
      </c>
      <c r="K6582" t="s">
        <v>1918</v>
      </c>
      <c r="L6582" t="s">
        <v>1919</v>
      </c>
      <c r="M6582">
        <v>732</v>
      </c>
      <c r="N6582">
        <v>50.33</v>
      </c>
      <c r="O6582">
        <v>22074.74</v>
      </c>
      <c r="P6582">
        <v>0</v>
      </c>
      <c r="Q6582">
        <v>22074.74</v>
      </c>
      <c r="R6582">
        <v>3531.96</v>
      </c>
      <c r="S6582">
        <v>882.99</v>
      </c>
      <c r="T6582">
        <v>24723.71</v>
      </c>
      <c r="U6582" t="s">
        <v>1926</v>
      </c>
      <c r="V6582" t="s">
        <v>9409</v>
      </c>
      <c r="W6582" t="s">
        <v>1979</v>
      </c>
    </row>
    <row r="6583" spans="1:23" hidden="1" x14ac:dyDescent="0.2">
      <c r="A6583">
        <v>2012</v>
      </c>
      <c r="B6583" t="s">
        <v>304</v>
      </c>
      <c r="C6583" s="733">
        <v>40960</v>
      </c>
      <c r="D65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83" t="s">
        <v>478</v>
      </c>
      <c r="F6583" t="s">
        <v>2136</v>
      </c>
      <c r="G6583" t="s">
        <v>8474</v>
      </c>
      <c r="H6583">
        <v>35881</v>
      </c>
      <c r="I6583" t="s">
        <v>423</v>
      </c>
      <c r="J6583" t="s">
        <v>2644</v>
      </c>
      <c r="K6583" t="s">
        <v>2625</v>
      </c>
      <c r="L6583" t="s">
        <v>2626</v>
      </c>
      <c r="M6583">
        <v>52</v>
      </c>
      <c r="N6583">
        <v>24.82</v>
      </c>
      <c r="O6583">
        <v>2922.06</v>
      </c>
      <c r="P6583">
        <v>0</v>
      </c>
      <c r="Q6583">
        <v>2922.06</v>
      </c>
      <c r="R6583">
        <v>467.53</v>
      </c>
      <c r="S6583">
        <v>116.88</v>
      </c>
      <c r="T6583">
        <v>3272.71</v>
      </c>
      <c r="U6583" t="s">
        <v>8267</v>
      </c>
      <c r="V6583" t="s">
        <v>9408</v>
      </c>
      <c r="W6583" t="s">
        <v>423</v>
      </c>
    </row>
    <row r="6584" spans="1:23" hidden="1" x14ac:dyDescent="0.2">
      <c r="A6584">
        <v>2012</v>
      </c>
      <c r="B6584" t="s">
        <v>304</v>
      </c>
      <c r="C6584" s="733">
        <v>40954</v>
      </c>
      <c r="D65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84" t="s">
        <v>478</v>
      </c>
      <c r="F6584" t="s">
        <v>2622</v>
      </c>
      <c r="G6584" t="s">
        <v>7550</v>
      </c>
      <c r="H6584">
        <v>35632</v>
      </c>
      <c r="I6584" t="s">
        <v>423</v>
      </c>
      <c r="J6584" t="s">
        <v>2644</v>
      </c>
      <c r="K6584" t="s">
        <v>2625</v>
      </c>
      <c r="L6584" t="s">
        <v>2626</v>
      </c>
      <c r="M6584">
        <v>52</v>
      </c>
      <c r="N6584">
        <v>24.75</v>
      </c>
      <c r="O6584">
        <v>2913.82</v>
      </c>
      <c r="P6584">
        <v>0</v>
      </c>
      <c r="Q6584">
        <v>2913.82</v>
      </c>
      <c r="R6584">
        <v>466.21</v>
      </c>
      <c r="S6584">
        <v>116.55</v>
      </c>
      <c r="T6584">
        <v>3263.48</v>
      </c>
      <c r="U6584" t="s">
        <v>7548</v>
      </c>
      <c r="V6584" t="s">
        <v>9408</v>
      </c>
      <c r="W6584" t="s">
        <v>423</v>
      </c>
    </row>
    <row r="6585" spans="1:23" hidden="1" x14ac:dyDescent="0.2">
      <c r="A6585">
        <v>2012</v>
      </c>
      <c r="B6585" t="s">
        <v>304</v>
      </c>
      <c r="C6585" s="733">
        <v>40967.427974537037</v>
      </c>
      <c r="D65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85" t="s">
        <v>478</v>
      </c>
      <c r="F6585" t="s">
        <v>2136</v>
      </c>
      <c r="G6585" t="s">
        <v>9276</v>
      </c>
      <c r="H6585">
        <v>36145</v>
      </c>
      <c r="I6585" t="s">
        <v>423</v>
      </c>
      <c r="J6585" t="s">
        <v>2644</v>
      </c>
      <c r="K6585" t="s">
        <v>2625</v>
      </c>
      <c r="L6585" t="s">
        <v>2145</v>
      </c>
      <c r="M6585">
        <v>52</v>
      </c>
      <c r="N6585">
        <v>23.1</v>
      </c>
      <c r="O6585">
        <v>2719.56</v>
      </c>
      <c r="P6585">
        <v>0</v>
      </c>
      <c r="Q6585">
        <v>2719.56</v>
      </c>
      <c r="R6585">
        <v>435.13</v>
      </c>
      <c r="S6585">
        <v>108.78</v>
      </c>
      <c r="T6585">
        <v>3045.91</v>
      </c>
      <c r="U6585" t="s">
        <v>9428</v>
      </c>
      <c r="V6585" t="s">
        <v>9408</v>
      </c>
      <c r="W6585" t="s">
        <v>423</v>
      </c>
    </row>
    <row r="6586" spans="1:23" hidden="1" x14ac:dyDescent="0.2">
      <c r="A6586">
        <v>2012</v>
      </c>
      <c r="B6586" t="s">
        <v>304</v>
      </c>
      <c r="C6586" s="733">
        <v>40967.420046296298</v>
      </c>
      <c r="D65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86" t="s">
        <v>478</v>
      </c>
      <c r="F6586" t="s">
        <v>2136</v>
      </c>
      <c r="G6586" t="s">
        <v>9275</v>
      </c>
      <c r="H6586">
        <v>36136</v>
      </c>
      <c r="I6586" t="s">
        <v>423</v>
      </c>
      <c r="J6586" t="s">
        <v>2644</v>
      </c>
      <c r="K6586" t="s">
        <v>2625</v>
      </c>
      <c r="L6586" t="s">
        <v>2626</v>
      </c>
      <c r="M6586">
        <v>52</v>
      </c>
      <c r="N6586">
        <v>25.95</v>
      </c>
      <c r="O6586">
        <v>3055.09</v>
      </c>
      <c r="P6586">
        <v>0</v>
      </c>
      <c r="Q6586">
        <v>3055.09</v>
      </c>
      <c r="R6586">
        <v>488.81</v>
      </c>
      <c r="S6586">
        <v>122.2</v>
      </c>
      <c r="T6586">
        <v>3421.7</v>
      </c>
      <c r="U6586" t="s">
        <v>9428</v>
      </c>
      <c r="V6586" t="s">
        <v>9408</v>
      </c>
      <c r="W6586" t="s">
        <v>423</v>
      </c>
    </row>
    <row r="6587" spans="1:23" hidden="1" x14ac:dyDescent="0.2">
      <c r="A6587">
        <v>2012</v>
      </c>
      <c r="B6587" t="s">
        <v>303</v>
      </c>
      <c r="C6587" s="733">
        <v>40920</v>
      </c>
      <c r="D65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87" t="s">
        <v>478</v>
      </c>
      <c r="F6587" t="s">
        <v>2136</v>
      </c>
      <c r="G6587" t="s">
        <v>4387</v>
      </c>
      <c r="H6587">
        <v>34432</v>
      </c>
      <c r="I6587" t="s">
        <v>423</v>
      </c>
      <c r="J6587" t="s">
        <v>2644</v>
      </c>
      <c r="K6587" t="s">
        <v>2625</v>
      </c>
      <c r="L6587" t="s">
        <v>2145</v>
      </c>
      <c r="M6587">
        <v>52</v>
      </c>
      <c r="N6587">
        <v>22.51</v>
      </c>
      <c r="O6587">
        <v>2650.1</v>
      </c>
      <c r="P6587">
        <v>0</v>
      </c>
      <c r="Q6587">
        <v>2650.1</v>
      </c>
      <c r="R6587">
        <v>424.02</v>
      </c>
      <c r="S6587">
        <v>106</v>
      </c>
      <c r="T6587">
        <v>2968.12</v>
      </c>
      <c r="U6587" t="s">
        <v>2627</v>
      </c>
      <c r="V6587" t="s">
        <v>9408</v>
      </c>
      <c r="W6587" t="s">
        <v>423</v>
      </c>
    </row>
    <row r="6588" spans="1:23" hidden="1" x14ac:dyDescent="0.2">
      <c r="A6588">
        <v>2012</v>
      </c>
      <c r="B6588" t="s">
        <v>303</v>
      </c>
      <c r="C6588" s="733">
        <v>40935</v>
      </c>
      <c r="D65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88" t="s">
        <v>478</v>
      </c>
      <c r="F6588" t="s">
        <v>2622</v>
      </c>
      <c r="G6588" t="s">
        <v>4389</v>
      </c>
      <c r="H6588">
        <v>34824</v>
      </c>
      <c r="I6588" t="s">
        <v>423</v>
      </c>
      <c r="J6588" t="s">
        <v>2644</v>
      </c>
      <c r="K6588" t="s">
        <v>2625</v>
      </c>
      <c r="L6588" t="s">
        <v>2626</v>
      </c>
      <c r="M6588">
        <v>52</v>
      </c>
      <c r="N6588">
        <v>22.53</v>
      </c>
      <c r="O6588">
        <v>2652.46</v>
      </c>
      <c r="P6588">
        <v>0</v>
      </c>
      <c r="Q6588">
        <v>2652.46</v>
      </c>
      <c r="R6588">
        <v>424.39</v>
      </c>
      <c r="S6588">
        <v>106.1</v>
      </c>
      <c r="T6588">
        <v>2970.75</v>
      </c>
      <c r="U6588" t="s">
        <v>2633</v>
      </c>
      <c r="V6588" t="s">
        <v>9408</v>
      </c>
      <c r="W6588" t="s">
        <v>423</v>
      </c>
    </row>
    <row r="6589" spans="1:23" hidden="1" x14ac:dyDescent="0.2">
      <c r="A6589">
        <v>2012</v>
      </c>
      <c r="B6589" t="s">
        <v>303</v>
      </c>
      <c r="C6589" s="733">
        <v>40939.496412037035</v>
      </c>
      <c r="D65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89" t="s">
        <v>478</v>
      </c>
      <c r="F6589" t="s">
        <v>2622</v>
      </c>
      <c r="G6589" t="s">
        <v>4390</v>
      </c>
      <c r="H6589">
        <v>35122</v>
      </c>
      <c r="I6589" t="s">
        <v>423</v>
      </c>
      <c r="J6589" t="s">
        <v>2644</v>
      </c>
      <c r="K6589" t="s">
        <v>2625</v>
      </c>
      <c r="L6589" t="s">
        <v>2626</v>
      </c>
      <c r="M6589">
        <v>52</v>
      </c>
      <c r="N6589">
        <v>23.33</v>
      </c>
      <c r="O6589">
        <v>2746.64</v>
      </c>
      <c r="P6589">
        <v>0</v>
      </c>
      <c r="Q6589">
        <v>2746.64</v>
      </c>
      <c r="R6589">
        <v>439.46</v>
      </c>
      <c r="S6589">
        <v>109.87</v>
      </c>
      <c r="T6589">
        <v>3076.23</v>
      </c>
      <c r="U6589" t="s">
        <v>2648</v>
      </c>
      <c r="V6589" t="s">
        <v>9408</v>
      </c>
      <c r="W6589" t="s">
        <v>423</v>
      </c>
    </row>
    <row r="6590" spans="1:23" hidden="1" x14ac:dyDescent="0.2">
      <c r="A6590">
        <v>2012</v>
      </c>
      <c r="B6590" t="s">
        <v>303</v>
      </c>
      <c r="C6590" s="733">
        <v>40939</v>
      </c>
      <c r="D65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90" t="s">
        <v>478</v>
      </c>
      <c r="F6590" t="s">
        <v>2622</v>
      </c>
      <c r="G6590" t="s">
        <v>4391</v>
      </c>
      <c r="H6590">
        <v>35125</v>
      </c>
      <c r="I6590" t="s">
        <v>423</v>
      </c>
      <c r="J6590" t="s">
        <v>2644</v>
      </c>
      <c r="K6590" t="s">
        <v>2625</v>
      </c>
      <c r="L6590" t="s">
        <v>2626</v>
      </c>
      <c r="M6590">
        <v>52</v>
      </c>
      <c r="N6590">
        <v>23.67</v>
      </c>
      <c r="O6590">
        <v>2786.67</v>
      </c>
      <c r="P6590">
        <v>0</v>
      </c>
      <c r="Q6590">
        <v>2786.67</v>
      </c>
      <c r="R6590">
        <v>445.87</v>
      </c>
      <c r="S6590">
        <v>111.47</v>
      </c>
      <c r="T6590">
        <v>3121.07</v>
      </c>
      <c r="U6590" t="s">
        <v>2648</v>
      </c>
      <c r="V6590" t="s">
        <v>9408</v>
      </c>
      <c r="W6590" t="s">
        <v>423</v>
      </c>
    </row>
    <row r="6591" spans="1:23" hidden="1" x14ac:dyDescent="0.2">
      <c r="A6591">
        <v>2012</v>
      </c>
      <c r="B6591" t="s">
        <v>304</v>
      </c>
      <c r="C6591" s="733">
        <v>40955</v>
      </c>
      <c r="D65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91" t="s">
        <v>478</v>
      </c>
      <c r="F6591" t="s">
        <v>2622</v>
      </c>
      <c r="G6591" t="s">
        <v>7723</v>
      </c>
      <c r="H6591">
        <v>35521</v>
      </c>
      <c r="I6591" t="s">
        <v>423</v>
      </c>
      <c r="J6591" t="s">
        <v>3638</v>
      </c>
      <c r="K6591" t="s">
        <v>425</v>
      </c>
      <c r="L6591" t="s">
        <v>2145</v>
      </c>
      <c r="M6591">
        <v>1416</v>
      </c>
      <c r="N6591">
        <v>52.85</v>
      </c>
      <c r="O6591">
        <v>47923.85</v>
      </c>
      <c r="P6591">
        <v>0</v>
      </c>
      <c r="Q6591">
        <v>47923.85</v>
      </c>
      <c r="R6591">
        <v>7667.82</v>
      </c>
      <c r="S6591">
        <v>1916.95</v>
      </c>
      <c r="T6591">
        <v>53674.720000000001</v>
      </c>
      <c r="U6591" t="s">
        <v>7523</v>
      </c>
      <c r="V6591" t="s">
        <v>9409</v>
      </c>
      <c r="W6591" t="s">
        <v>423</v>
      </c>
    </row>
    <row r="6592" spans="1:23" hidden="1" x14ac:dyDescent="0.2">
      <c r="A6592">
        <v>2012</v>
      </c>
      <c r="B6592" t="s">
        <v>303</v>
      </c>
      <c r="C6592" s="733">
        <v>40912</v>
      </c>
      <c r="D65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92" t="s">
        <v>478</v>
      </c>
      <c r="F6592" t="s">
        <v>2622</v>
      </c>
      <c r="G6592" t="s">
        <v>4782</v>
      </c>
      <c r="H6592">
        <v>34099</v>
      </c>
      <c r="I6592" t="s">
        <v>423</v>
      </c>
      <c r="J6592" t="s">
        <v>3638</v>
      </c>
      <c r="K6592" t="s">
        <v>425</v>
      </c>
      <c r="L6592" t="s">
        <v>2145</v>
      </c>
      <c r="M6592">
        <v>1416</v>
      </c>
      <c r="N6592">
        <v>51.95</v>
      </c>
      <c r="O6592">
        <v>13221.28</v>
      </c>
      <c r="P6592">
        <v>28942.439622000002</v>
      </c>
      <c r="Q6592">
        <v>42163.719621999997</v>
      </c>
      <c r="R6592">
        <v>6746.1951399999998</v>
      </c>
      <c r="S6592">
        <v>1686.548785</v>
      </c>
      <c r="T6592">
        <v>47223.365977000001</v>
      </c>
      <c r="U6592" t="s">
        <v>3118</v>
      </c>
      <c r="V6592" t="s">
        <v>9409</v>
      </c>
      <c r="W6592" t="s">
        <v>423</v>
      </c>
    </row>
    <row r="6593" spans="1:23" hidden="1" x14ac:dyDescent="0.2">
      <c r="A6593">
        <v>2012</v>
      </c>
      <c r="B6593" t="s">
        <v>303</v>
      </c>
      <c r="C6593" s="733">
        <v>40932</v>
      </c>
      <c r="D65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93" t="s">
        <v>485</v>
      </c>
      <c r="F6593" t="s">
        <v>2048</v>
      </c>
      <c r="G6593" t="s">
        <v>4763</v>
      </c>
      <c r="H6593">
        <v>39822</v>
      </c>
      <c r="I6593" t="s">
        <v>423</v>
      </c>
      <c r="J6593" t="s">
        <v>2274</v>
      </c>
      <c r="K6593" t="s">
        <v>2051</v>
      </c>
      <c r="L6593" t="s">
        <v>2052</v>
      </c>
      <c r="M6593">
        <v>573</v>
      </c>
      <c r="N6593">
        <v>25.05</v>
      </c>
      <c r="O6593">
        <v>8128.72</v>
      </c>
      <c r="P6593">
        <v>0</v>
      </c>
      <c r="Q6593">
        <v>8128.72</v>
      </c>
      <c r="R6593">
        <v>1300.5999999999999</v>
      </c>
      <c r="S6593">
        <v>325.14999999999998</v>
      </c>
      <c r="T6593">
        <v>9104.17</v>
      </c>
      <c r="U6593" t="s">
        <v>2053</v>
      </c>
      <c r="V6593" t="s">
        <v>9408</v>
      </c>
      <c r="W6593" t="s">
        <v>423</v>
      </c>
    </row>
    <row r="6594" spans="1:23" hidden="1" x14ac:dyDescent="0.2">
      <c r="A6594">
        <v>2012</v>
      </c>
      <c r="B6594" t="s">
        <v>303</v>
      </c>
      <c r="C6594" s="733">
        <v>40911</v>
      </c>
      <c r="D65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94" t="s">
        <v>485</v>
      </c>
      <c r="F6594" t="s">
        <v>2048</v>
      </c>
      <c r="G6594" t="s">
        <v>3562</v>
      </c>
      <c r="H6594">
        <v>39712</v>
      </c>
      <c r="I6594" t="s">
        <v>423</v>
      </c>
      <c r="J6594" t="s">
        <v>2274</v>
      </c>
      <c r="K6594" t="s">
        <v>2051</v>
      </c>
      <c r="L6594" t="s">
        <v>2052</v>
      </c>
      <c r="M6594">
        <v>573</v>
      </c>
      <c r="N6594">
        <v>25.75</v>
      </c>
      <c r="O6594">
        <v>3517.96</v>
      </c>
      <c r="P6594">
        <v>3960.8359839999998</v>
      </c>
      <c r="Q6594">
        <v>7478.7959840000003</v>
      </c>
      <c r="R6594">
        <v>1196.607358</v>
      </c>
      <c r="S6594">
        <v>299.151839</v>
      </c>
      <c r="T6594">
        <v>8376.2515029999995</v>
      </c>
      <c r="U6594" t="s">
        <v>2089</v>
      </c>
      <c r="V6594" t="s">
        <v>9408</v>
      </c>
      <c r="W6594" t="s">
        <v>423</v>
      </c>
    </row>
    <row r="6595" spans="1:23" hidden="1" x14ac:dyDescent="0.2">
      <c r="A6595">
        <v>2012</v>
      </c>
      <c r="B6595" t="s">
        <v>304</v>
      </c>
      <c r="C6595" s="733">
        <v>40943.59443287037</v>
      </c>
      <c r="D65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95" t="s">
        <v>485</v>
      </c>
      <c r="F6595" t="s">
        <v>2054</v>
      </c>
      <c r="G6595" t="s">
        <v>3563</v>
      </c>
      <c r="H6595">
        <v>10327</v>
      </c>
      <c r="I6595" t="s">
        <v>423</v>
      </c>
      <c r="J6595" t="s">
        <v>3564</v>
      </c>
      <c r="K6595" t="s">
        <v>2057</v>
      </c>
      <c r="L6595" t="s">
        <v>2058</v>
      </c>
      <c r="M6595">
        <v>388</v>
      </c>
      <c r="N6595">
        <v>23.76</v>
      </c>
      <c r="O6595">
        <v>6313.27</v>
      </c>
      <c r="P6595">
        <v>0</v>
      </c>
      <c r="Q6595">
        <v>6313.27</v>
      </c>
      <c r="R6595">
        <v>1010.12</v>
      </c>
      <c r="S6595">
        <v>252.53</v>
      </c>
      <c r="T6595">
        <v>7070.86</v>
      </c>
      <c r="U6595" t="s">
        <v>2075</v>
      </c>
      <c r="V6595" t="s">
        <v>9408</v>
      </c>
      <c r="W6595" t="s">
        <v>423</v>
      </c>
    </row>
    <row r="6596" spans="1:23" hidden="1" x14ac:dyDescent="0.2">
      <c r="A6596">
        <v>2012</v>
      </c>
      <c r="B6596" t="s">
        <v>304</v>
      </c>
      <c r="C6596" s="733">
        <v>40946</v>
      </c>
      <c r="D65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96" t="s">
        <v>478</v>
      </c>
      <c r="F6596" t="s">
        <v>2622</v>
      </c>
      <c r="G6596" t="s">
        <v>5382</v>
      </c>
      <c r="H6596">
        <v>35245</v>
      </c>
      <c r="I6596" t="s">
        <v>423</v>
      </c>
      <c r="J6596" t="s">
        <v>4291</v>
      </c>
      <c r="K6596" t="s">
        <v>425</v>
      </c>
      <c r="L6596" t="s">
        <v>2145</v>
      </c>
      <c r="M6596">
        <v>163</v>
      </c>
      <c r="N6596">
        <v>25.01</v>
      </c>
      <c r="O6596">
        <v>4444.53</v>
      </c>
      <c r="P6596">
        <v>0</v>
      </c>
      <c r="Q6596">
        <v>4444.53</v>
      </c>
      <c r="R6596">
        <v>711.12</v>
      </c>
      <c r="S6596">
        <v>177.78</v>
      </c>
      <c r="T6596">
        <v>4977.87</v>
      </c>
      <c r="U6596" t="s">
        <v>2938</v>
      </c>
      <c r="V6596" t="s">
        <v>9408</v>
      </c>
      <c r="W6596" t="s">
        <v>423</v>
      </c>
    </row>
    <row r="6597" spans="1:23" hidden="1" x14ac:dyDescent="0.2">
      <c r="A6597">
        <v>2012</v>
      </c>
      <c r="B6597" t="s">
        <v>304</v>
      </c>
      <c r="C6597" s="733">
        <v>40959.737997685188</v>
      </c>
      <c r="D65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97" t="s">
        <v>478</v>
      </c>
      <c r="F6597" t="s">
        <v>2622</v>
      </c>
      <c r="G6597" t="s">
        <v>8072</v>
      </c>
      <c r="H6597">
        <v>35807</v>
      </c>
      <c r="I6597" t="s">
        <v>423</v>
      </c>
      <c r="J6597" t="s">
        <v>2644</v>
      </c>
      <c r="K6597" t="s">
        <v>2625</v>
      </c>
      <c r="L6597" t="s">
        <v>2626</v>
      </c>
      <c r="M6597">
        <v>52</v>
      </c>
      <c r="N6597">
        <v>23.75</v>
      </c>
      <c r="O6597">
        <v>2796.09</v>
      </c>
      <c r="P6597">
        <v>0</v>
      </c>
      <c r="Q6597">
        <v>2796.09</v>
      </c>
      <c r="R6597">
        <v>447.37</v>
      </c>
      <c r="S6597">
        <v>111.84</v>
      </c>
      <c r="T6597">
        <v>3131.62</v>
      </c>
      <c r="U6597" t="s">
        <v>8267</v>
      </c>
      <c r="V6597" t="s">
        <v>9408</v>
      </c>
      <c r="W6597" t="s">
        <v>423</v>
      </c>
    </row>
    <row r="6598" spans="1:23" hidden="1" x14ac:dyDescent="0.2">
      <c r="A6598">
        <v>2012</v>
      </c>
      <c r="B6598" t="s">
        <v>304</v>
      </c>
      <c r="C6598" s="733">
        <v>40942</v>
      </c>
      <c r="D65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598" t="s">
        <v>478</v>
      </c>
      <c r="F6598" t="s">
        <v>2622</v>
      </c>
      <c r="G6598" t="s">
        <v>4392</v>
      </c>
      <c r="H6598">
        <v>35248</v>
      </c>
      <c r="I6598" t="s">
        <v>423</v>
      </c>
      <c r="J6598" t="s">
        <v>2644</v>
      </c>
      <c r="K6598" t="s">
        <v>2625</v>
      </c>
      <c r="L6598" t="s">
        <v>2626</v>
      </c>
      <c r="M6598">
        <v>52</v>
      </c>
      <c r="N6598">
        <v>23.69</v>
      </c>
      <c r="O6598">
        <v>2789.02</v>
      </c>
      <c r="P6598">
        <v>0</v>
      </c>
      <c r="Q6598">
        <v>2789.02</v>
      </c>
      <c r="R6598">
        <v>446.24</v>
      </c>
      <c r="S6598">
        <v>111.56</v>
      </c>
      <c r="T6598">
        <v>3123.7</v>
      </c>
      <c r="U6598" t="s">
        <v>2652</v>
      </c>
      <c r="V6598" t="s">
        <v>9408</v>
      </c>
      <c r="W6598" t="s">
        <v>423</v>
      </c>
    </row>
    <row r="6599" spans="1:23" hidden="1" x14ac:dyDescent="0.2">
      <c r="A6599">
        <v>2012</v>
      </c>
      <c r="B6599" t="s">
        <v>303</v>
      </c>
      <c r="C6599" s="733">
        <v>40932.447743055556</v>
      </c>
      <c r="D65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599" t="s">
        <v>478</v>
      </c>
      <c r="F6599" t="s">
        <v>2622</v>
      </c>
      <c r="G6599" t="s">
        <v>4388</v>
      </c>
      <c r="H6599">
        <v>34887</v>
      </c>
      <c r="I6599" t="s">
        <v>423</v>
      </c>
      <c r="J6599" t="s">
        <v>2644</v>
      </c>
      <c r="K6599" t="s">
        <v>2625</v>
      </c>
      <c r="L6599" t="s">
        <v>2626</v>
      </c>
      <c r="M6599">
        <v>52</v>
      </c>
      <c r="N6599">
        <v>24.63</v>
      </c>
      <c r="O6599">
        <v>2899.69</v>
      </c>
      <c r="P6599">
        <v>0</v>
      </c>
      <c r="Q6599">
        <v>2899.69</v>
      </c>
      <c r="R6599">
        <v>463.95</v>
      </c>
      <c r="S6599">
        <v>115.99</v>
      </c>
      <c r="T6599">
        <v>3247.65</v>
      </c>
      <c r="U6599" t="s">
        <v>2633</v>
      </c>
      <c r="V6599" t="s">
        <v>9408</v>
      </c>
      <c r="W6599" t="s">
        <v>423</v>
      </c>
    </row>
    <row r="6600" spans="1:23" hidden="1" x14ac:dyDescent="0.2">
      <c r="A6600">
        <v>2012</v>
      </c>
      <c r="B6600" t="s">
        <v>304</v>
      </c>
      <c r="C6600" s="733">
        <v>40947</v>
      </c>
      <c r="D66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00" t="s">
        <v>478</v>
      </c>
      <c r="F6600" t="s">
        <v>2136</v>
      </c>
      <c r="G6600" t="s">
        <v>5380</v>
      </c>
      <c r="H6600">
        <v>35355</v>
      </c>
      <c r="I6600" t="s">
        <v>423</v>
      </c>
      <c r="J6600" t="s">
        <v>4291</v>
      </c>
      <c r="K6600" t="s">
        <v>425</v>
      </c>
      <c r="L6600" t="s">
        <v>2145</v>
      </c>
      <c r="M6600">
        <v>163</v>
      </c>
      <c r="N6600">
        <v>25.3</v>
      </c>
      <c r="O6600">
        <v>4496.0600000000004</v>
      </c>
      <c r="P6600">
        <v>0</v>
      </c>
      <c r="Q6600">
        <v>4496.0600000000004</v>
      </c>
      <c r="R6600">
        <v>719.37</v>
      </c>
      <c r="S6600">
        <v>179.84</v>
      </c>
      <c r="T6600">
        <v>5035.59</v>
      </c>
      <c r="U6600" t="s">
        <v>8510</v>
      </c>
      <c r="V6600" t="s">
        <v>9408</v>
      </c>
      <c r="W6600" t="s">
        <v>423</v>
      </c>
    </row>
    <row r="6601" spans="1:23" hidden="1" x14ac:dyDescent="0.2">
      <c r="A6601">
        <v>2012</v>
      </c>
      <c r="B6601" t="s">
        <v>305</v>
      </c>
      <c r="C6601" s="733">
        <v>40970</v>
      </c>
      <c r="D6601" s="733" t="str">
        <f>CHOOSE(MONTH(Tabla_sqldatos_bonampakdb_Bon_v_ingresos2012[[#This Row],[fecha_guia]]),"Enero","Febrero","Marzo","Abril","Mayo","Junio","Julio","Agosto","Septiembre","Octubre","Noviembre","Diciembre")</f>
        <v>Marzo</v>
      </c>
      <c r="E6601" t="s">
        <v>485</v>
      </c>
      <c r="F6601" t="s">
        <v>2065</v>
      </c>
      <c r="G6601" t="s">
        <v>9773</v>
      </c>
      <c r="H6601">
        <v>42940</v>
      </c>
      <c r="I6601" t="s">
        <v>423</v>
      </c>
      <c r="J6601" t="s">
        <v>2274</v>
      </c>
      <c r="K6601" t="s">
        <v>2051</v>
      </c>
      <c r="L6601" t="s">
        <v>2052</v>
      </c>
      <c r="M6601">
        <v>573</v>
      </c>
      <c r="N6601">
        <v>29.4</v>
      </c>
      <c r="O6601">
        <v>9540.2999999999993</v>
      </c>
      <c r="P6601">
        <v>0</v>
      </c>
      <c r="Q6601">
        <v>9540.2999999999993</v>
      </c>
      <c r="R6601">
        <v>1526.45</v>
      </c>
      <c r="S6601">
        <v>381.61</v>
      </c>
      <c r="T6601">
        <v>10685.14</v>
      </c>
      <c r="V6601" t="s">
        <v>9408</v>
      </c>
      <c r="W6601" t="s">
        <v>423</v>
      </c>
    </row>
    <row r="6602" spans="1:23" hidden="1" x14ac:dyDescent="0.2">
      <c r="A6602">
        <v>2012</v>
      </c>
      <c r="B6602" t="s">
        <v>304</v>
      </c>
      <c r="C6602" s="733">
        <v>40946</v>
      </c>
      <c r="D66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02" t="s">
        <v>485</v>
      </c>
      <c r="F6602" t="s">
        <v>2048</v>
      </c>
      <c r="G6602" t="s">
        <v>3561</v>
      </c>
      <c r="H6602">
        <v>41471</v>
      </c>
      <c r="I6602" t="s">
        <v>423</v>
      </c>
      <c r="J6602" t="s">
        <v>2274</v>
      </c>
      <c r="K6602" t="s">
        <v>2051</v>
      </c>
      <c r="L6602" t="s">
        <v>2052</v>
      </c>
      <c r="M6602">
        <v>573</v>
      </c>
      <c r="N6602">
        <v>50.55</v>
      </c>
      <c r="O6602">
        <v>16403.48</v>
      </c>
      <c r="P6602">
        <v>0</v>
      </c>
      <c r="Q6602">
        <v>16403.48</v>
      </c>
      <c r="R6602">
        <v>2624.56</v>
      </c>
      <c r="S6602">
        <v>656.14</v>
      </c>
      <c r="T6602">
        <v>18371.900000000001</v>
      </c>
      <c r="U6602" t="s">
        <v>2067</v>
      </c>
      <c r="V6602" t="s">
        <v>9409</v>
      </c>
      <c r="W6602" t="s">
        <v>423</v>
      </c>
    </row>
    <row r="6603" spans="1:23" hidden="1" x14ac:dyDescent="0.2">
      <c r="A6603">
        <v>2012</v>
      </c>
      <c r="B6603" t="s">
        <v>304</v>
      </c>
      <c r="C6603" s="733">
        <v>40953</v>
      </c>
      <c r="D66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03" t="s">
        <v>505</v>
      </c>
      <c r="F6603" t="s">
        <v>1915</v>
      </c>
      <c r="G6603" t="s">
        <v>4895</v>
      </c>
      <c r="H6603">
        <v>22667</v>
      </c>
      <c r="I6603" t="s">
        <v>423</v>
      </c>
      <c r="J6603" t="s">
        <v>4140</v>
      </c>
      <c r="K6603" t="s">
        <v>1918</v>
      </c>
      <c r="L6603" t="s">
        <v>1919</v>
      </c>
      <c r="M6603">
        <v>1</v>
      </c>
      <c r="N6603">
        <v>24.98</v>
      </c>
      <c r="O6603">
        <v>2412.5700000000002</v>
      </c>
      <c r="P6603">
        <v>0</v>
      </c>
      <c r="Q6603">
        <v>2412.5700000000002</v>
      </c>
      <c r="R6603">
        <v>386.01</v>
      </c>
      <c r="S6603">
        <v>96.5</v>
      </c>
      <c r="T6603">
        <v>2702.08</v>
      </c>
      <c r="U6603" t="s">
        <v>7529</v>
      </c>
      <c r="V6603" t="s">
        <v>9408</v>
      </c>
      <c r="W6603" t="s">
        <v>423</v>
      </c>
    </row>
    <row r="6604" spans="1:23" hidden="1" x14ac:dyDescent="0.2">
      <c r="A6604">
        <v>2012</v>
      </c>
      <c r="B6604" t="s">
        <v>304</v>
      </c>
      <c r="C6604" s="733">
        <v>40949</v>
      </c>
      <c r="D66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04" t="s">
        <v>505</v>
      </c>
      <c r="F6604" t="s">
        <v>1915</v>
      </c>
      <c r="G6604" t="s">
        <v>5367</v>
      </c>
      <c r="H6604">
        <v>22612</v>
      </c>
      <c r="I6604" t="s">
        <v>423</v>
      </c>
      <c r="J6604" t="s">
        <v>4140</v>
      </c>
      <c r="K6604" t="s">
        <v>1918</v>
      </c>
      <c r="L6604" t="s">
        <v>1919</v>
      </c>
      <c r="M6604">
        <v>1</v>
      </c>
      <c r="N6604">
        <v>24.96</v>
      </c>
      <c r="O6604">
        <v>2410.64</v>
      </c>
      <c r="P6604">
        <v>0</v>
      </c>
      <c r="Q6604">
        <v>2410.64</v>
      </c>
      <c r="R6604">
        <v>385.7</v>
      </c>
      <c r="S6604">
        <v>96.43</v>
      </c>
      <c r="T6604">
        <v>2699.91</v>
      </c>
      <c r="U6604" t="s">
        <v>7522</v>
      </c>
      <c r="V6604" t="s">
        <v>9408</v>
      </c>
      <c r="W6604" t="s">
        <v>423</v>
      </c>
    </row>
    <row r="6605" spans="1:23" hidden="1" x14ac:dyDescent="0.2">
      <c r="A6605">
        <v>2012</v>
      </c>
      <c r="B6605" t="s">
        <v>305</v>
      </c>
      <c r="C6605" s="733">
        <v>40973</v>
      </c>
      <c r="D6605" s="733" t="str">
        <f>CHOOSE(MONTH(Tabla_sqldatos_bonampakdb_Bon_v_ingresos2012[[#This Row],[fecha_guia]]),"Enero","Febrero","Marzo","Abril","Mayo","Junio","Julio","Agosto","Septiembre","Octubre","Noviembre","Diciembre")</f>
        <v>Marzo</v>
      </c>
      <c r="E6605" t="s">
        <v>505</v>
      </c>
      <c r="F6605" t="s">
        <v>1915</v>
      </c>
      <c r="G6605" t="s">
        <v>9774</v>
      </c>
      <c r="H6605">
        <v>23143</v>
      </c>
      <c r="I6605" t="s">
        <v>423</v>
      </c>
      <c r="J6605" t="s">
        <v>4140</v>
      </c>
      <c r="K6605" t="s">
        <v>1918</v>
      </c>
      <c r="L6605" t="s">
        <v>1919</v>
      </c>
      <c r="M6605">
        <v>1</v>
      </c>
      <c r="N6605">
        <v>25.08</v>
      </c>
      <c r="O6605">
        <v>2422.23</v>
      </c>
      <c r="P6605">
        <v>0</v>
      </c>
      <c r="Q6605">
        <v>2422.23</v>
      </c>
      <c r="R6605">
        <v>387.56</v>
      </c>
      <c r="S6605">
        <v>96.89</v>
      </c>
      <c r="T6605">
        <v>2712.9</v>
      </c>
      <c r="V6605" t="s">
        <v>9408</v>
      </c>
      <c r="W6605" t="s">
        <v>423</v>
      </c>
    </row>
    <row r="6606" spans="1:23" hidden="1" x14ac:dyDescent="0.2">
      <c r="A6606">
        <v>2012</v>
      </c>
      <c r="B6606" t="s">
        <v>303</v>
      </c>
      <c r="C6606" s="733">
        <v>40934</v>
      </c>
      <c r="D66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06" t="s">
        <v>505</v>
      </c>
      <c r="F6606" t="s">
        <v>1915</v>
      </c>
      <c r="G6606" t="s">
        <v>4894</v>
      </c>
      <c r="H6606">
        <v>22251</v>
      </c>
      <c r="I6606" t="s">
        <v>423</v>
      </c>
      <c r="J6606" t="s">
        <v>4140</v>
      </c>
      <c r="K6606" t="s">
        <v>1918</v>
      </c>
      <c r="L6606" t="s">
        <v>1919</v>
      </c>
      <c r="M6606">
        <v>1</v>
      </c>
      <c r="N6606">
        <v>24.97</v>
      </c>
      <c r="O6606">
        <v>2411.6</v>
      </c>
      <c r="P6606">
        <v>0</v>
      </c>
      <c r="Q6606">
        <v>2411.6</v>
      </c>
      <c r="R6606">
        <v>385.86</v>
      </c>
      <c r="S6606">
        <v>96.46</v>
      </c>
      <c r="T6606">
        <v>2701</v>
      </c>
      <c r="U6606" t="s">
        <v>1926</v>
      </c>
      <c r="V6606" t="s">
        <v>9408</v>
      </c>
      <c r="W6606" t="s">
        <v>423</v>
      </c>
    </row>
    <row r="6607" spans="1:23" hidden="1" x14ac:dyDescent="0.2">
      <c r="A6607">
        <v>2012</v>
      </c>
      <c r="B6607" t="s">
        <v>304</v>
      </c>
      <c r="C6607" s="733">
        <v>40946</v>
      </c>
      <c r="D66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07" t="s">
        <v>505</v>
      </c>
      <c r="F6607" t="s">
        <v>1915</v>
      </c>
      <c r="G6607" t="s">
        <v>5366</v>
      </c>
      <c r="H6607">
        <v>22495</v>
      </c>
      <c r="I6607" t="s">
        <v>423</v>
      </c>
      <c r="J6607" t="s">
        <v>4140</v>
      </c>
      <c r="K6607" t="s">
        <v>1918</v>
      </c>
      <c r="L6607" t="s">
        <v>1919</v>
      </c>
      <c r="M6607">
        <v>1</v>
      </c>
      <c r="N6607">
        <v>25</v>
      </c>
      <c r="O6607">
        <v>2414.5</v>
      </c>
      <c r="P6607">
        <v>0</v>
      </c>
      <c r="Q6607">
        <v>2414.5</v>
      </c>
      <c r="R6607">
        <v>386.32</v>
      </c>
      <c r="S6607">
        <v>96.58</v>
      </c>
      <c r="T6607">
        <v>2704.24</v>
      </c>
      <c r="U6607" t="s">
        <v>1924</v>
      </c>
      <c r="V6607" t="s">
        <v>9408</v>
      </c>
      <c r="W6607" t="s">
        <v>423</v>
      </c>
    </row>
    <row r="6608" spans="1:23" x14ac:dyDescent="0.2">
      <c r="A6608">
        <v>2012</v>
      </c>
      <c r="B6608" t="s">
        <v>304</v>
      </c>
      <c r="C6608" s="733">
        <v>40967</v>
      </c>
      <c r="D66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08" t="s">
        <v>485</v>
      </c>
      <c r="F6608" t="s">
        <v>2048</v>
      </c>
      <c r="G6608" t="s">
        <v>9277</v>
      </c>
      <c r="H6608">
        <v>42716</v>
      </c>
      <c r="I6608" t="s">
        <v>423</v>
      </c>
      <c r="J6608" t="s">
        <v>2274</v>
      </c>
      <c r="K6608" t="s">
        <v>2051</v>
      </c>
      <c r="L6608" t="s">
        <v>2052</v>
      </c>
      <c r="M6608">
        <v>573</v>
      </c>
      <c r="N6608">
        <v>52.65</v>
      </c>
      <c r="O6608">
        <v>17084.919999999998</v>
      </c>
      <c r="P6608">
        <v>0</v>
      </c>
      <c r="Q6608">
        <v>17084.919999999998</v>
      </c>
      <c r="R6608">
        <v>2733.59</v>
      </c>
      <c r="S6608">
        <v>683.4</v>
      </c>
      <c r="T6608">
        <v>19135.11</v>
      </c>
      <c r="V6608" t="s">
        <v>9409</v>
      </c>
      <c r="W6608" t="s">
        <v>423</v>
      </c>
    </row>
    <row r="6609" spans="1:23" hidden="1" x14ac:dyDescent="0.2">
      <c r="A6609">
        <v>2012</v>
      </c>
      <c r="B6609" t="s">
        <v>304</v>
      </c>
      <c r="C6609" s="733">
        <v>40940</v>
      </c>
      <c r="D66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09" t="s">
        <v>485</v>
      </c>
      <c r="F6609" t="s">
        <v>2084</v>
      </c>
      <c r="G6609" t="s">
        <v>4012</v>
      </c>
      <c r="H6609">
        <v>41048</v>
      </c>
      <c r="I6609" t="s">
        <v>423</v>
      </c>
      <c r="J6609" t="s">
        <v>2813</v>
      </c>
      <c r="K6609" t="s">
        <v>2814</v>
      </c>
      <c r="L6609" t="s">
        <v>2815</v>
      </c>
      <c r="M6609">
        <v>365</v>
      </c>
      <c r="N6609">
        <v>24.155000000000001</v>
      </c>
      <c r="O6609">
        <v>6502.04</v>
      </c>
      <c r="P6609">
        <v>0</v>
      </c>
      <c r="Q6609">
        <v>6502.04</v>
      </c>
      <c r="R6609">
        <v>1040.33</v>
      </c>
      <c r="S6609">
        <v>260.08</v>
      </c>
      <c r="T6609">
        <v>7282.29</v>
      </c>
      <c r="U6609" t="s">
        <v>8522</v>
      </c>
      <c r="V6609" t="s">
        <v>9408</v>
      </c>
      <c r="W6609" t="s">
        <v>423</v>
      </c>
    </row>
    <row r="6610" spans="1:23" hidden="1" x14ac:dyDescent="0.2">
      <c r="A6610">
        <v>2012</v>
      </c>
      <c r="B6610" t="s">
        <v>303</v>
      </c>
      <c r="C6610" s="733">
        <v>40913</v>
      </c>
      <c r="D66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10" t="s">
        <v>478</v>
      </c>
      <c r="F6610" t="s">
        <v>2622</v>
      </c>
      <c r="G6610" t="s">
        <v>5381</v>
      </c>
      <c r="H6610">
        <v>34205</v>
      </c>
      <c r="I6610" t="s">
        <v>423</v>
      </c>
      <c r="J6610" t="s">
        <v>4291</v>
      </c>
      <c r="K6610" t="s">
        <v>425</v>
      </c>
      <c r="L6610" t="s">
        <v>2145</v>
      </c>
      <c r="M6610">
        <v>163</v>
      </c>
      <c r="N6610">
        <v>27.37</v>
      </c>
      <c r="O6610">
        <v>2047.82</v>
      </c>
      <c r="P6610">
        <v>2305.6200600000002</v>
      </c>
      <c r="Q6610">
        <v>4353.4400599999999</v>
      </c>
      <c r="R6610">
        <v>696.55041000000006</v>
      </c>
      <c r="S6610">
        <v>174.13760199999999</v>
      </c>
      <c r="T6610">
        <v>4875.8528679999999</v>
      </c>
      <c r="U6610" t="s">
        <v>3323</v>
      </c>
      <c r="V6610" t="s">
        <v>9408</v>
      </c>
      <c r="W6610" t="s">
        <v>423</v>
      </c>
    </row>
    <row r="6611" spans="1:23" hidden="1" x14ac:dyDescent="0.2">
      <c r="A6611">
        <v>2012</v>
      </c>
      <c r="B6611" t="s">
        <v>303</v>
      </c>
      <c r="C6611" s="733">
        <v>40926</v>
      </c>
      <c r="D66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11" t="s">
        <v>485</v>
      </c>
      <c r="F6611" t="s">
        <v>2084</v>
      </c>
      <c r="G6611" t="s">
        <v>5088</v>
      </c>
      <c r="H6611">
        <v>40263</v>
      </c>
      <c r="I6611" t="s">
        <v>423</v>
      </c>
      <c r="J6611" t="s">
        <v>2848</v>
      </c>
      <c r="K6611" t="s">
        <v>2814</v>
      </c>
      <c r="L6611" t="s">
        <v>2815</v>
      </c>
      <c r="M6611">
        <v>708</v>
      </c>
      <c r="N6611">
        <v>23.951000000000001</v>
      </c>
      <c r="O6611">
        <v>9828.0499999999993</v>
      </c>
      <c r="P6611">
        <v>0</v>
      </c>
      <c r="Q6611">
        <v>9828.0499999999993</v>
      </c>
      <c r="R6611">
        <v>1572.49</v>
      </c>
      <c r="S6611">
        <v>393.12</v>
      </c>
      <c r="T6611">
        <v>11007.42</v>
      </c>
      <c r="U6611" t="s">
        <v>2824</v>
      </c>
      <c r="V6611" t="s">
        <v>9408</v>
      </c>
      <c r="W6611" t="s">
        <v>423</v>
      </c>
    </row>
    <row r="6612" spans="1:23" hidden="1" x14ac:dyDescent="0.2">
      <c r="A6612">
        <v>2012</v>
      </c>
      <c r="B6612" t="s">
        <v>303</v>
      </c>
      <c r="C6612" s="733">
        <v>40912</v>
      </c>
      <c r="D66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12" t="s">
        <v>485</v>
      </c>
      <c r="F6612" t="s">
        <v>2084</v>
      </c>
      <c r="G6612" t="s">
        <v>5090</v>
      </c>
      <c r="H6612">
        <v>39606</v>
      </c>
      <c r="I6612" t="s">
        <v>423</v>
      </c>
      <c r="J6612" t="s">
        <v>2848</v>
      </c>
      <c r="K6612" t="s">
        <v>2814</v>
      </c>
      <c r="L6612" t="s">
        <v>2815</v>
      </c>
      <c r="M6612">
        <v>708</v>
      </c>
      <c r="N6612">
        <v>23.273</v>
      </c>
      <c r="O6612">
        <v>4020.88</v>
      </c>
      <c r="P6612">
        <v>4527.0685830000002</v>
      </c>
      <c r="Q6612">
        <v>8547.9485829999994</v>
      </c>
      <c r="R6612">
        <v>1367.671773</v>
      </c>
      <c r="S6612">
        <v>341.91794299999998</v>
      </c>
      <c r="T6612">
        <v>9573.7024130000009</v>
      </c>
      <c r="U6612" t="s">
        <v>2846</v>
      </c>
      <c r="V6612" t="s">
        <v>9408</v>
      </c>
      <c r="W6612" t="s">
        <v>423</v>
      </c>
    </row>
    <row r="6613" spans="1:23" hidden="1" x14ac:dyDescent="0.2">
      <c r="A6613">
        <v>2012</v>
      </c>
      <c r="B6613" t="s">
        <v>303</v>
      </c>
      <c r="C6613" s="733">
        <v>40917</v>
      </c>
      <c r="D661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13" t="s">
        <v>478</v>
      </c>
      <c r="F6613" t="s">
        <v>2136</v>
      </c>
      <c r="G6613" t="s">
        <v>6488</v>
      </c>
      <c r="H6613">
        <v>34305</v>
      </c>
      <c r="I6613" t="s">
        <v>423</v>
      </c>
      <c r="J6613" t="s">
        <v>5620</v>
      </c>
      <c r="K6613" t="s">
        <v>425</v>
      </c>
      <c r="L6613" t="s">
        <v>2145</v>
      </c>
      <c r="M6613">
        <v>700</v>
      </c>
      <c r="N6613">
        <v>25.87</v>
      </c>
      <c r="O6613">
        <v>9482.39</v>
      </c>
      <c r="P6613">
        <v>0</v>
      </c>
      <c r="Q6613">
        <v>9482.39</v>
      </c>
      <c r="R6613">
        <v>1517.18</v>
      </c>
      <c r="S6613">
        <v>379.3</v>
      </c>
      <c r="T6613">
        <v>10620.27</v>
      </c>
      <c r="V6613" t="s">
        <v>9408</v>
      </c>
      <c r="W6613" t="s">
        <v>423</v>
      </c>
    </row>
    <row r="6614" spans="1:23" hidden="1" x14ac:dyDescent="0.2">
      <c r="A6614">
        <v>2012</v>
      </c>
      <c r="B6614" t="s">
        <v>303</v>
      </c>
      <c r="C6614" s="733">
        <v>40935</v>
      </c>
      <c r="D66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14" t="s">
        <v>478</v>
      </c>
      <c r="F6614" t="s">
        <v>2136</v>
      </c>
      <c r="G6614" t="s">
        <v>2939</v>
      </c>
      <c r="H6614">
        <v>34978</v>
      </c>
      <c r="I6614" t="s">
        <v>423</v>
      </c>
      <c r="J6614" t="s">
        <v>2936</v>
      </c>
      <c r="K6614" t="s">
        <v>425</v>
      </c>
      <c r="L6614" t="s">
        <v>2145</v>
      </c>
      <c r="M6614">
        <v>604</v>
      </c>
      <c r="N6614">
        <v>25.34</v>
      </c>
      <c r="O6614">
        <v>7933.7</v>
      </c>
      <c r="P6614">
        <v>0</v>
      </c>
      <c r="Q6614">
        <v>7933.7</v>
      </c>
      <c r="R6614">
        <v>1269.3900000000001</v>
      </c>
      <c r="S6614">
        <v>317.35000000000002</v>
      </c>
      <c r="T6614">
        <v>8885.74</v>
      </c>
      <c r="U6614" t="s">
        <v>2580</v>
      </c>
      <c r="V6614" t="s">
        <v>9409</v>
      </c>
      <c r="W6614" t="s">
        <v>423</v>
      </c>
    </row>
    <row r="6615" spans="1:23" hidden="1" x14ac:dyDescent="0.2">
      <c r="A6615">
        <v>2012</v>
      </c>
      <c r="B6615" t="s">
        <v>303</v>
      </c>
      <c r="C6615" s="733">
        <v>40914</v>
      </c>
      <c r="D66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15" t="s">
        <v>478</v>
      </c>
      <c r="F6615" t="s">
        <v>2136</v>
      </c>
      <c r="G6615" t="s">
        <v>5861</v>
      </c>
      <c r="H6615">
        <v>34253</v>
      </c>
      <c r="I6615" t="s">
        <v>423</v>
      </c>
      <c r="J6615" t="s">
        <v>2936</v>
      </c>
      <c r="K6615" t="s">
        <v>425</v>
      </c>
      <c r="L6615" t="s">
        <v>2145</v>
      </c>
      <c r="M6615">
        <v>604</v>
      </c>
      <c r="N6615">
        <v>54.03</v>
      </c>
      <c r="O6615">
        <v>16916.25</v>
      </c>
      <c r="P6615">
        <v>0</v>
      </c>
      <c r="Q6615">
        <v>16916.25</v>
      </c>
      <c r="R6615">
        <v>2706.6</v>
      </c>
      <c r="S6615">
        <v>676.65</v>
      </c>
      <c r="T6615">
        <v>18946.2</v>
      </c>
      <c r="U6615" t="s">
        <v>2352</v>
      </c>
      <c r="V6615" t="s">
        <v>9409</v>
      </c>
      <c r="W6615" t="s">
        <v>423</v>
      </c>
    </row>
    <row r="6616" spans="1:23" hidden="1" x14ac:dyDescent="0.2">
      <c r="A6616">
        <v>2012</v>
      </c>
      <c r="B6616" t="s">
        <v>304</v>
      </c>
      <c r="C6616" s="733">
        <v>40942</v>
      </c>
      <c r="D66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16" t="s">
        <v>478</v>
      </c>
      <c r="F6616" t="s">
        <v>2136</v>
      </c>
      <c r="G6616" t="s">
        <v>5860</v>
      </c>
      <c r="H6616">
        <v>35230</v>
      </c>
      <c r="I6616" t="s">
        <v>423</v>
      </c>
      <c r="J6616" t="s">
        <v>2936</v>
      </c>
      <c r="K6616" t="s">
        <v>425</v>
      </c>
      <c r="L6616" t="s">
        <v>2145</v>
      </c>
      <c r="M6616">
        <v>604</v>
      </c>
      <c r="N6616">
        <v>22.79</v>
      </c>
      <c r="O6616">
        <v>7135.32</v>
      </c>
      <c r="P6616">
        <v>0</v>
      </c>
      <c r="Q6616">
        <v>7135.32</v>
      </c>
      <c r="R6616">
        <v>1141.6500000000001</v>
      </c>
      <c r="S6616">
        <v>285.41000000000003</v>
      </c>
      <c r="T6616">
        <v>7991.56</v>
      </c>
      <c r="U6616" t="s">
        <v>2938</v>
      </c>
      <c r="V6616" t="s">
        <v>9408</v>
      </c>
      <c r="W6616" t="s">
        <v>423</v>
      </c>
    </row>
    <row r="6617" spans="1:23" hidden="1" x14ac:dyDescent="0.2">
      <c r="A6617">
        <v>2012</v>
      </c>
      <c r="B6617" t="s">
        <v>303</v>
      </c>
      <c r="C6617" s="733">
        <v>40920</v>
      </c>
      <c r="D66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17" t="s">
        <v>478</v>
      </c>
      <c r="F6617" t="s">
        <v>2136</v>
      </c>
      <c r="G6617" t="s">
        <v>5859</v>
      </c>
      <c r="H6617">
        <v>34310</v>
      </c>
      <c r="I6617" t="s">
        <v>423</v>
      </c>
      <c r="J6617" t="s">
        <v>2936</v>
      </c>
      <c r="K6617" t="s">
        <v>425</v>
      </c>
      <c r="L6617" t="s">
        <v>2145</v>
      </c>
      <c r="M6617">
        <v>604</v>
      </c>
      <c r="N6617">
        <v>24.96</v>
      </c>
      <c r="O6617">
        <v>7814.73</v>
      </c>
      <c r="P6617">
        <v>0</v>
      </c>
      <c r="Q6617">
        <v>7814.73</v>
      </c>
      <c r="R6617">
        <v>1250.3599999999999</v>
      </c>
      <c r="S6617">
        <v>312.58999999999997</v>
      </c>
      <c r="T6617">
        <v>8752.5</v>
      </c>
      <c r="U6617" t="s">
        <v>2352</v>
      </c>
      <c r="V6617" t="s">
        <v>9408</v>
      </c>
      <c r="W6617" t="s">
        <v>423</v>
      </c>
    </row>
    <row r="6618" spans="1:23" hidden="1" x14ac:dyDescent="0.2">
      <c r="A6618">
        <v>2012</v>
      </c>
      <c r="B6618" t="s">
        <v>303</v>
      </c>
      <c r="C6618" s="733">
        <v>40918</v>
      </c>
      <c r="D66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18" t="s">
        <v>478</v>
      </c>
      <c r="F6618" t="s">
        <v>2136</v>
      </c>
      <c r="G6618" t="s">
        <v>5858</v>
      </c>
      <c r="H6618">
        <v>34256</v>
      </c>
      <c r="I6618" t="s">
        <v>423</v>
      </c>
      <c r="J6618" t="s">
        <v>2936</v>
      </c>
      <c r="K6618" t="s">
        <v>425</v>
      </c>
      <c r="L6618" t="s">
        <v>2145</v>
      </c>
      <c r="M6618">
        <v>604</v>
      </c>
      <c r="N6618">
        <v>25.99</v>
      </c>
      <c r="O6618">
        <v>8137.21</v>
      </c>
      <c r="P6618">
        <v>0</v>
      </c>
      <c r="Q6618">
        <v>8137.21</v>
      </c>
      <c r="R6618">
        <v>1301.95</v>
      </c>
      <c r="S6618">
        <v>325.49</v>
      </c>
      <c r="T6618">
        <v>9113.67</v>
      </c>
      <c r="U6618" t="s">
        <v>2352</v>
      </c>
      <c r="V6618" t="s">
        <v>9408</v>
      </c>
      <c r="W6618" t="s">
        <v>423</v>
      </c>
    </row>
    <row r="6619" spans="1:23" hidden="1" x14ac:dyDescent="0.2">
      <c r="A6619">
        <v>2012</v>
      </c>
      <c r="B6619" t="s">
        <v>304</v>
      </c>
      <c r="C6619" s="733">
        <v>40953</v>
      </c>
      <c r="D66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19" t="s">
        <v>478</v>
      </c>
      <c r="F6619" t="s">
        <v>2136</v>
      </c>
      <c r="G6619" t="s">
        <v>5877</v>
      </c>
      <c r="H6619">
        <v>35572</v>
      </c>
      <c r="I6619" t="s">
        <v>423</v>
      </c>
      <c r="J6619" t="s">
        <v>2936</v>
      </c>
      <c r="K6619" t="s">
        <v>425</v>
      </c>
      <c r="L6619" t="s">
        <v>2145</v>
      </c>
      <c r="M6619">
        <v>604</v>
      </c>
      <c r="N6619">
        <v>26.82</v>
      </c>
      <c r="O6619">
        <v>8397.07</v>
      </c>
      <c r="P6619">
        <v>0</v>
      </c>
      <c r="Q6619">
        <v>8397.07</v>
      </c>
      <c r="R6619">
        <v>1343.53</v>
      </c>
      <c r="S6619">
        <v>335.88</v>
      </c>
      <c r="T6619">
        <v>9404.7199999999993</v>
      </c>
      <c r="U6619" t="s">
        <v>7553</v>
      </c>
      <c r="V6619" t="s">
        <v>9408</v>
      </c>
      <c r="W6619" t="s">
        <v>423</v>
      </c>
    </row>
    <row r="6620" spans="1:23" hidden="1" x14ac:dyDescent="0.2">
      <c r="A6620">
        <v>2012</v>
      </c>
      <c r="B6620" t="s">
        <v>304</v>
      </c>
      <c r="C6620" s="733">
        <v>40947</v>
      </c>
      <c r="D66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20" t="s">
        <v>478</v>
      </c>
      <c r="F6620" t="s">
        <v>2136</v>
      </c>
      <c r="G6620" t="s">
        <v>5876</v>
      </c>
      <c r="H6620">
        <v>35368</v>
      </c>
      <c r="I6620" t="s">
        <v>423</v>
      </c>
      <c r="J6620" t="s">
        <v>2936</v>
      </c>
      <c r="K6620" t="s">
        <v>425</v>
      </c>
      <c r="L6620" t="s">
        <v>2145</v>
      </c>
      <c r="M6620">
        <v>604</v>
      </c>
      <c r="N6620">
        <v>23.64</v>
      </c>
      <c r="O6620">
        <v>7401.45</v>
      </c>
      <c r="P6620">
        <v>0</v>
      </c>
      <c r="Q6620">
        <v>7401.45</v>
      </c>
      <c r="R6620">
        <v>1184.23</v>
      </c>
      <c r="S6620">
        <v>296.06</v>
      </c>
      <c r="T6620">
        <v>8289.6200000000008</v>
      </c>
      <c r="U6620" t="s">
        <v>2938</v>
      </c>
      <c r="V6620" t="s">
        <v>9408</v>
      </c>
      <c r="W6620" t="s">
        <v>423</v>
      </c>
    </row>
    <row r="6621" spans="1:23" hidden="1" x14ac:dyDescent="0.2">
      <c r="A6621">
        <v>2012</v>
      </c>
      <c r="B6621" t="s">
        <v>304</v>
      </c>
      <c r="C6621" s="733">
        <v>40968</v>
      </c>
      <c r="D66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21" t="s">
        <v>478</v>
      </c>
      <c r="F6621" t="s">
        <v>2136</v>
      </c>
      <c r="G6621" t="s">
        <v>9555</v>
      </c>
      <c r="H6621">
        <v>36156</v>
      </c>
      <c r="I6621" t="s">
        <v>423</v>
      </c>
      <c r="J6621" t="s">
        <v>2936</v>
      </c>
      <c r="K6621" t="s">
        <v>425</v>
      </c>
      <c r="L6621" t="s">
        <v>2145</v>
      </c>
      <c r="M6621">
        <v>604</v>
      </c>
      <c r="N6621">
        <v>20.13</v>
      </c>
      <c r="O6621">
        <v>6302.5</v>
      </c>
      <c r="P6621">
        <v>0</v>
      </c>
      <c r="Q6621">
        <v>6302.5</v>
      </c>
      <c r="R6621">
        <v>1008.4</v>
      </c>
      <c r="S6621">
        <v>252.1</v>
      </c>
      <c r="T6621">
        <v>7058.8</v>
      </c>
      <c r="U6621" t="s">
        <v>9457</v>
      </c>
      <c r="V6621" t="s">
        <v>9408</v>
      </c>
      <c r="W6621" t="s">
        <v>423</v>
      </c>
    </row>
    <row r="6622" spans="1:23" hidden="1" x14ac:dyDescent="0.2">
      <c r="A6622">
        <v>2012</v>
      </c>
      <c r="B6622" t="s">
        <v>304</v>
      </c>
      <c r="C6622" s="733">
        <v>40949</v>
      </c>
      <c r="D66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22" t="s">
        <v>478</v>
      </c>
      <c r="F6622" t="s">
        <v>2136</v>
      </c>
      <c r="G6622" t="s">
        <v>5878</v>
      </c>
      <c r="H6622">
        <v>35461</v>
      </c>
      <c r="I6622" t="s">
        <v>423</v>
      </c>
      <c r="J6622" t="s">
        <v>2936</v>
      </c>
      <c r="K6622" t="s">
        <v>425</v>
      </c>
      <c r="L6622" t="s">
        <v>2145</v>
      </c>
      <c r="M6622">
        <v>604</v>
      </c>
      <c r="N6622">
        <v>24.12</v>
      </c>
      <c r="O6622">
        <v>7551.73</v>
      </c>
      <c r="P6622">
        <v>0</v>
      </c>
      <c r="Q6622">
        <v>7551.73</v>
      </c>
      <c r="R6622">
        <v>1208.28</v>
      </c>
      <c r="S6622">
        <v>302.07</v>
      </c>
      <c r="T6622">
        <v>8457.94</v>
      </c>
      <c r="U6622" t="s">
        <v>7553</v>
      </c>
      <c r="V6622" t="s">
        <v>9408</v>
      </c>
      <c r="W6622" t="s">
        <v>423</v>
      </c>
    </row>
    <row r="6623" spans="1:23" hidden="1" x14ac:dyDescent="0.2">
      <c r="A6623">
        <v>2012</v>
      </c>
      <c r="B6623" t="s">
        <v>304</v>
      </c>
      <c r="C6623" s="733">
        <v>40948</v>
      </c>
      <c r="D66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23" t="s">
        <v>478</v>
      </c>
      <c r="F6623" t="s">
        <v>2142</v>
      </c>
      <c r="G6623" t="s">
        <v>5875</v>
      </c>
      <c r="H6623">
        <v>35367</v>
      </c>
      <c r="I6623" t="s">
        <v>423</v>
      </c>
      <c r="J6623" t="s">
        <v>5307</v>
      </c>
      <c r="K6623" t="s">
        <v>425</v>
      </c>
      <c r="L6623" t="s">
        <v>2145</v>
      </c>
      <c r="M6623">
        <v>1365</v>
      </c>
      <c r="N6623">
        <v>47.73</v>
      </c>
      <c r="O6623">
        <v>43281.09</v>
      </c>
      <c r="P6623">
        <v>0</v>
      </c>
      <c r="Q6623">
        <v>43281.09</v>
      </c>
      <c r="R6623">
        <v>6924.97</v>
      </c>
      <c r="S6623">
        <v>1731.24</v>
      </c>
      <c r="T6623">
        <v>48474.82</v>
      </c>
      <c r="U6623" t="s">
        <v>3115</v>
      </c>
      <c r="V6623" t="s">
        <v>9409</v>
      </c>
      <c r="W6623" t="s">
        <v>423</v>
      </c>
    </row>
    <row r="6624" spans="1:23" hidden="1" x14ac:dyDescent="0.2">
      <c r="A6624">
        <v>2012</v>
      </c>
      <c r="B6624" t="s">
        <v>304</v>
      </c>
      <c r="C6624" s="733">
        <v>40967</v>
      </c>
      <c r="D66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24" t="s">
        <v>478</v>
      </c>
      <c r="F6624" t="s">
        <v>2136</v>
      </c>
      <c r="G6624" t="s">
        <v>9104</v>
      </c>
      <c r="H6624">
        <v>36044</v>
      </c>
      <c r="I6624" t="s">
        <v>423</v>
      </c>
      <c r="J6624" t="s">
        <v>5307</v>
      </c>
      <c r="K6624" t="s">
        <v>425</v>
      </c>
      <c r="L6624" t="s">
        <v>2145</v>
      </c>
      <c r="M6624">
        <v>1365</v>
      </c>
      <c r="N6624">
        <v>41.81</v>
      </c>
      <c r="O6624">
        <v>37912.89</v>
      </c>
      <c r="P6624">
        <v>0</v>
      </c>
      <c r="Q6624">
        <v>37912.89</v>
      </c>
      <c r="R6624">
        <v>6066.06</v>
      </c>
      <c r="S6624">
        <v>1516.52</v>
      </c>
      <c r="T6624">
        <v>42462.43</v>
      </c>
      <c r="U6624" t="s">
        <v>9430</v>
      </c>
      <c r="V6624" t="s">
        <v>9409</v>
      </c>
      <c r="W6624" t="s">
        <v>423</v>
      </c>
    </row>
    <row r="6625" spans="1:23" hidden="1" x14ac:dyDescent="0.2">
      <c r="A6625">
        <v>2012</v>
      </c>
      <c r="B6625" t="s">
        <v>303</v>
      </c>
      <c r="C6625" s="733">
        <v>40913</v>
      </c>
      <c r="D66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25" t="s">
        <v>478</v>
      </c>
      <c r="F6625" t="s">
        <v>2136</v>
      </c>
      <c r="G6625" t="s">
        <v>5864</v>
      </c>
      <c r="H6625">
        <v>34193</v>
      </c>
      <c r="I6625" t="s">
        <v>423</v>
      </c>
      <c r="J6625" t="s">
        <v>4270</v>
      </c>
      <c r="K6625" t="s">
        <v>425</v>
      </c>
      <c r="L6625" t="s">
        <v>2145</v>
      </c>
      <c r="M6625">
        <v>560</v>
      </c>
      <c r="N6625">
        <v>28.11</v>
      </c>
      <c r="O6625">
        <v>3781.36</v>
      </c>
      <c r="P6625">
        <v>4257.3954100000001</v>
      </c>
      <c r="Q6625">
        <v>8038.7554099999998</v>
      </c>
      <c r="R6625">
        <v>1286.2008659999999</v>
      </c>
      <c r="S6625">
        <v>321.55021599999998</v>
      </c>
      <c r="T6625">
        <v>9003.4060599999993</v>
      </c>
      <c r="U6625" t="s">
        <v>3323</v>
      </c>
      <c r="V6625" t="s">
        <v>9408</v>
      </c>
      <c r="W6625" t="s">
        <v>423</v>
      </c>
    </row>
    <row r="6626" spans="1:23" hidden="1" x14ac:dyDescent="0.2">
      <c r="A6626">
        <v>2012</v>
      </c>
      <c r="B6626" t="s">
        <v>304</v>
      </c>
      <c r="C6626" s="733">
        <v>40942</v>
      </c>
      <c r="D66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26" t="s">
        <v>478</v>
      </c>
      <c r="F6626" t="s">
        <v>2622</v>
      </c>
      <c r="G6626" t="s">
        <v>3811</v>
      </c>
      <c r="H6626">
        <v>35243</v>
      </c>
      <c r="I6626" t="s">
        <v>423</v>
      </c>
      <c r="J6626" t="s">
        <v>3329</v>
      </c>
      <c r="K6626" t="s">
        <v>425</v>
      </c>
      <c r="L6626" t="s">
        <v>2145</v>
      </c>
      <c r="M6626">
        <v>596</v>
      </c>
      <c r="N6626">
        <v>27.88</v>
      </c>
      <c r="O6626">
        <v>9047.06</v>
      </c>
      <c r="P6626">
        <v>0</v>
      </c>
      <c r="Q6626">
        <v>9047.06</v>
      </c>
      <c r="R6626">
        <v>1447.53</v>
      </c>
      <c r="S6626">
        <v>361.88</v>
      </c>
      <c r="T6626">
        <v>10132.709999999999</v>
      </c>
      <c r="U6626" t="s">
        <v>2938</v>
      </c>
      <c r="V6626" t="s">
        <v>9408</v>
      </c>
      <c r="W6626" t="s">
        <v>423</v>
      </c>
    </row>
    <row r="6627" spans="1:23" hidden="1" x14ac:dyDescent="0.2">
      <c r="A6627">
        <v>2012</v>
      </c>
      <c r="B6627" t="s">
        <v>304</v>
      </c>
      <c r="C6627" s="733">
        <v>40954</v>
      </c>
      <c r="D66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27" t="s">
        <v>478</v>
      </c>
      <c r="F6627" t="s">
        <v>2136</v>
      </c>
      <c r="G6627" t="s">
        <v>7976</v>
      </c>
      <c r="H6627">
        <v>35630</v>
      </c>
      <c r="I6627" t="s">
        <v>423</v>
      </c>
      <c r="J6627" t="s">
        <v>2936</v>
      </c>
      <c r="K6627" t="s">
        <v>425</v>
      </c>
      <c r="L6627" t="s">
        <v>2145</v>
      </c>
      <c r="M6627">
        <v>604</v>
      </c>
      <c r="N6627">
        <v>40.700000000000003</v>
      </c>
      <c r="O6627">
        <v>12742.76</v>
      </c>
      <c r="P6627">
        <v>0</v>
      </c>
      <c r="Q6627">
        <v>12742.76</v>
      </c>
      <c r="R6627">
        <v>2038.84</v>
      </c>
      <c r="S6627">
        <v>509.71</v>
      </c>
      <c r="T6627">
        <v>14271.89</v>
      </c>
      <c r="U6627" t="s">
        <v>7553</v>
      </c>
      <c r="V6627" t="s">
        <v>9409</v>
      </c>
      <c r="W6627" t="s">
        <v>423</v>
      </c>
    </row>
    <row r="6628" spans="1:23" hidden="1" x14ac:dyDescent="0.2">
      <c r="A6628">
        <v>2012</v>
      </c>
      <c r="B6628" t="s">
        <v>304</v>
      </c>
      <c r="C6628" s="733">
        <v>40942</v>
      </c>
      <c r="D66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28" t="s">
        <v>478</v>
      </c>
      <c r="F6628" t="s">
        <v>2136</v>
      </c>
      <c r="G6628" t="s">
        <v>2937</v>
      </c>
      <c r="H6628">
        <v>35345</v>
      </c>
      <c r="I6628" t="s">
        <v>423</v>
      </c>
      <c r="J6628" t="s">
        <v>2936</v>
      </c>
      <c r="K6628" t="s">
        <v>425</v>
      </c>
      <c r="L6628" t="s">
        <v>2145</v>
      </c>
      <c r="M6628">
        <v>604</v>
      </c>
      <c r="N6628">
        <v>44.65</v>
      </c>
      <c r="O6628">
        <v>13979.47</v>
      </c>
      <c r="P6628">
        <v>0</v>
      </c>
      <c r="Q6628">
        <v>13979.47</v>
      </c>
      <c r="R6628">
        <v>2236.71</v>
      </c>
      <c r="S6628">
        <v>559.17999999999995</v>
      </c>
      <c r="T6628">
        <v>15657</v>
      </c>
      <c r="U6628" t="s">
        <v>2938</v>
      </c>
      <c r="V6628" t="s">
        <v>9409</v>
      </c>
      <c r="W6628" t="s">
        <v>423</v>
      </c>
    </row>
    <row r="6629" spans="1:23" hidden="1" x14ac:dyDescent="0.2">
      <c r="A6629">
        <v>2012</v>
      </c>
      <c r="B6629" t="s">
        <v>303</v>
      </c>
      <c r="C6629" s="733">
        <v>40918</v>
      </c>
      <c r="D66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29" t="s">
        <v>478</v>
      </c>
      <c r="F6629" t="s">
        <v>2622</v>
      </c>
      <c r="G6629" t="s">
        <v>2935</v>
      </c>
      <c r="H6629">
        <v>34249</v>
      </c>
      <c r="I6629" t="s">
        <v>423</v>
      </c>
      <c r="J6629" t="s">
        <v>2936</v>
      </c>
      <c r="K6629" t="s">
        <v>425</v>
      </c>
      <c r="L6629" t="s">
        <v>2145</v>
      </c>
      <c r="M6629">
        <v>604</v>
      </c>
      <c r="N6629">
        <v>51.02</v>
      </c>
      <c r="O6629">
        <v>15973.85</v>
      </c>
      <c r="P6629">
        <v>0</v>
      </c>
      <c r="Q6629">
        <v>15973.85</v>
      </c>
      <c r="R6629">
        <v>2555.8200000000002</v>
      </c>
      <c r="S6629">
        <v>638.95000000000005</v>
      </c>
      <c r="T6629">
        <v>17890.72</v>
      </c>
      <c r="U6629" t="s">
        <v>2350</v>
      </c>
      <c r="V6629" t="s">
        <v>9409</v>
      </c>
      <c r="W6629" t="s">
        <v>423</v>
      </c>
    </row>
    <row r="6630" spans="1:23" hidden="1" x14ac:dyDescent="0.2">
      <c r="A6630">
        <v>2012</v>
      </c>
      <c r="B6630" t="s">
        <v>303</v>
      </c>
      <c r="C6630" s="733">
        <v>40922</v>
      </c>
      <c r="D66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30" t="s">
        <v>505</v>
      </c>
      <c r="F6630" t="s">
        <v>1915</v>
      </c>
      <c r="G6630" t="s">
        <v>6196</v>
      </c>
      <c r="H6630">
        <v>21972</v>
      </c>
      <c r="I6630" t="s">
        <v>423</v>
      </c>
      <c r="J6630" t="s">
        <v>4155</v>
      </c>
      <c r="K6630" t="s">
        <v>1918</v>
      </c>
      <c r="L6630" t="s">
        <v>1919</v>
      </c>
      <c r="M6630">
        <v>650</v>
      </c>
      <c r="N6630">
        <v>49.48</v>
      </c>
      <c r="O6630">
        <v>21278.87</v>
      </c>
      <c r="P6630">
        <v>0</v>
      </c>
      <c r="Q6630">
        <v>21278.87</v>
      </c>
      <c r="R6630">
        <v>3404.62</v>
      </c>
      <c r="S6630">
        <v>851.15</v>
      </c>
      <c r="T6630">
        <v>23832.34</v>
      </c>
      <c r="U6630" t="s">
        <v>1931</v>
      </c>
      <c r="V6630" t="s">
        <v>9409</v>
      </c>
      <c r="W6630" t="s">
        <v>423</v>
      </c>
    </row>
    <row r="6631" spans="1:23" hidden="1" x14ac:dyDescent="0.2">
      <c r="A6631">
        <v>2012</v>
      </c>
      <c r="B6631" t="s">
        <v>304</v>
      </c>
      <c r="C6631" s="733">
        <v>40964</v>
      </c>
      <c r="D66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31" t="s">
        <v>505</v>
      </c>
      <c r="F6631" t="s">
        <v>1915</v>
      </c>
      <c r="G6631" t="s">
        <v>8755</v>
      </c>
      <c r="H6631">
        <v>22978</v>
      </c>
      <c r="I6631" t="s">
        <v>423</v>
      </c>
      <c r="J6631" t="s">
        <v>4155</v>
      </c>
      <c r="K6631" t="s">
        <v>1918</v>
      </c>
      <c r="L6631" t="s">
        <v>1919</v>
      </c>
      <c r="M6631">
        <v>650</v>
      </c>
      <c r="N6631">
        <v>51.57</v>
      </c>
      <c r="O6631">
        <v>22177.68</v>
      </c>
      <c r="P6631">
        <v>0</v>
      </c>
      <c r="Q6631">
        <v>22177.68</v>
      </c>
      <c r="R6631">
        <v>3548.43</v>
      </c>
      <c r="S6631">
        <v>887.11</v>
      </c>
      <c r="T6631">
        <v>24839</v>
      </c>
      <c r="U6631" t="s">
        <v>9415</v>
      </c>
      <c r="V6631" t="s">
        <v>9409</v>
      </c>
      <c r="W6631" t="s">
        <v>423</v>
      </c>
    </row>
    <row r="6632" spans="1:23" hidden="1" x14ac:dyDescent="0.2">
      <c r="A6632">
        <v>2012</v>
      </c>
      <c r="B6632" t="s">
        <v>304</v>
      </c>
      <c r="C6632" s="733">
        <v>40955.409826388888</v>
      </c>
      <c r="D66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32" t="s">
        <v>478</v>
      </c>
      <c r="F6632" t="s">
        <v>3358</v>
      </c>
      <c r="G6632" t="s">
        <v>7711</v>
      </c>
      <c r="H6632">
        <v>35701</v>
      </c>
      <c r="I6632" t="s">
        <v>423</v>
      </c>
      <c r="J6632" t="s">
        <v>4396</v>
      </c>
      <c r="K6632" t="s">
        <v>4397</v>
      </c>
      <c r="L6632" t="s">
        <v>4398</v>
      </c>
      <c r="M6632">
        <v>112</v>
      </c>
      <c r="N6632">
        <v>19.649999999999999</v>
      </c>
      <c r="O6632">
        <v>2217.9</v>
      </c>
      <c r="P6632">
        <v>0</v>
      </c>
      <c r="Q6632">
        <v>2217.9</v>
      </c>
      <c r="R6632">
        <v>354.86</v>
      </c>
      <c r="S6632">
        <v>88.72</v>
      </c>
      <c r="T6632">
        <v>2484.04</v>
      </c>
      <c r="U6632" t="s">
        <v>7540</v>
      </c>
      <c r="V6632" t="s">
        <v>9408</v>
      </c>
      <c r="W6632" t="s">
        <v>423</v>
      </c>
    </row>
    <row r="6633" spans="1:23" hidden="1" x14ac:dyDescent="0.2">
      <c r="A6633">
        <v>2012</v>
      </c>
      <c r="B6633" t="s">
        <v>304</v>
      </c>
      <c r="C6633" s="733">
        <v>40955.408784722225</v>
      </c>
      <c r="D66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33" t="s">
        <v>478</v>
      </c>
      <c r="F6633" t="s">
        <v>3358</v>
      </c>
      <c r="G6633" t="s">
        <v>7639</v>
      </c>
      <c r="H6633">
        <v>35698</v>
      </c>
      <c r="I6633" t="s">
        <v>423</v>
      </c>
      <c r="J6633" t="s">
        <v>4396</v>
      </c>
      <c r="K6633" t="s">
        <v>4397</v>
      </c>
      <c r="L6633" t="s">
        <v>4398</v>
      </c>
      <c r="M6633">
        <v>112</v>
      </c>
      <c r="N6633">
        <v>29.15</v>
      </c>
      <c r="O6633">
        <v>3290.16</v>
      </c>
      <c r="P6633">
        <v>0</v>
      </c>
      <c r="Q6633">
        <v>3290.16</v>
      </c>
      <c r="R6633">
        <v>526.42999999999995</v>
      </c>
      <c r="S6633">
        <v>131.61000000000001</v>
      </c>
      <c r="T6633">
        <v>3684.98</v>
      </c>
      <c r="U6633" t="s">
        <v>7540</v>
      </c>
      <c r="V6633" t="s">
        <v>9408</v>
      </c>
      <c r="W6633" t="s">
        <v>423</v>
      </c>
    </row>
    <row r="6634" spans="1:23" hidden="1" x14ac:dyDescent="0.2">
      <c r="A6634">
        <v>2012</v>
      </c>
      <c r="B6634" t="s">
        <v>303</v>
      </c>
      <c r="C6634" s="733">
        <v>40922</v>
      </c>
      <c r="D66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34" t="s">
        <v>505</v>
      </c>
      <c r="F6634" t="s">
        <v>1915</v>
      </c>
      <c r="G6634" t="s">
        <v>6192</v>
      </c>
      <c r="H6634">
        <v>21920</v>
      </c>
      <c r="I6634" t="s">
        <v>423</v>
      </c>
      <c r="J6634" t="s">
        <v>4153</v>
      </c>
      <c r="K6634" t="s">
        <v>1918</v>
      </c>
      <c r="L6634" t="s">
        <v>1919</v>
      </c>
      <c r="M6634">
        <v>850</v>
      </c>
      <c r="N6634">
        <v>49.99</v>
      </c>
      <c r="O6634">
        <v>31236.75</v>
      </c>
      <c r="P6634">
        <v>0</v>
      </c>
      <c r="Q6634">
        <v>31236.75</v>
      </c>
      <c r="R6634">
        <v>4997.88</v>
      </c>
      <c r="S6634">
        <v>1249.47</v>
      </c>
      <c r="T6634">
        <v>34985.160000000003</v>
      </c>
      <c r="U6634" t="s">
        <v>1931</v>
      </c>
      <c r="V6634" t="s">
        <v>9409</v>
      </c>
      <c r="W6634" t="s">
        <v>423</v>
      </c>
    </row>
    <row r="6635" spans="1:23" hidden="1" x14ac:dyDescent="0.2">
      <c r="A6635">
        <v>2012</v>
      </c>
      <c r="B6635" t="s">
        <v>303</v>
      </c>
      <c r="C6635" s="733">
        <v>40939</v>
      </c>
      <c r="D66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35" t="s">
        <v>505</v>
      </c>
      <c r="F6635" t="s">
        <v>1915</v>
      </c>
      <c r="G6635" t="s">
        <v>6195</v>
      </c>
      <c r="H6635">
        <v>21677</v>
      </c>
      <c r="I6635" t="s">
        <v>423</v>
      </c>
      <c r="J6635" t="s">
        <v>4153</v>
      </c>
      <c r="K6635" t="s">
        <v>1918</v>
      </c>
      <c r="L6635" t="s">
        <v>1919</v>
      </c>
      <c r="M6635">
        <v>850</v>
      </c>
      <c r="N6635">
        <v>25.09</v>
      </c>
      <c r="O6635">
        <v>6600.66</v>
      </c>
      <c r="P6635">
        <v>7431.6170869999996</v>
      </c>
      <c r="Q6635">
        <v>14032.277087</v>
      </c>
      <c r="R6635">
        <v>2245.1643340000001</v>
      </c>
      <c r="S6635">
        <v>561.29108299999996</v>
      </c>
      <c r="T6635">
        <v>15716.150337999999</v>
      </c>
      <c r="U6635" t="s">
        <v>1936</v>
      </c>
      <c r="V6635" t="s">
        <v>9408</v>
      </c>
      <c r="W6635" t="s">
        <v>423</v>
      </c>
    </row>
    <row r="6636" spans="1:23" hidden="1" x14ac:dyDescent="0.2">
      <c r="A6636">
        <v>2012</v>
      </c>
      <c r="B6636" t="s">
        <v>304</v>
      </c>
      <c r="C6636" s="733">
        <v>40952</v>
      </c>
      <c r="D66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36" t="s">
        <v>505</v>
      </c>
      <c r="F6636" t="s">
        <v>1915</v>
      </c>
      <c r="G6636" t="s">
        <v>6194</v>
      </c>
      <c r="H6636">
        <v>22623</v>
      </c>
      <c r="I6636" t="s">
        <v>423</v>
      </c>
      <c r="J6636" t="s">
        <v>4153</v>
      </c>
      <c r="K6636" t="s">
        <v>1918</v>
      </c>
      <c r="L6636" t="s">
        <v>1919</v>
      </c>
      <c r="M6636">
        <v>850</v>
      </c>
      <c r="N6636">
        <v>49.84</v>
      </c>
      <c r="O6636">
        <v>31143.02</v>
      </c>
      <c r="P6636">
        <v>0</v>
      </c>
      <c r="Q6636">
        <v>31143.02</v>
      </c>
      <c r="R6636">
        <v>4982.88</v>
      </c>
      <c r="S6636">
        <v>1245.72</v>
      </c>
      <c r="T6636">
        <v>34880.18</v>
      </c>
      <c r="U6636" t="s">
        <v>7522</v>
      </c>
      <c r="V6636" t="s">
        <v>9409</v>
      </c>
      <c r="W6636" t="s">
        <v>423</v>
      </c>
    </row>
    <row r="6637" spans="1:23" hidden="1" x14ac:dyDescent="0.2">
      <c r="A6637">
        <v>2012</v>
      </c>
      <c r="B6637" t="s">
        <v>304</v>
      </c>
      <c r="C6637" s="733">
        <v>40955.410983796297</v>
      </c>
      <c r="D66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37" t="s">
        <v>478</v>
      </c>
      <c r="F6637" t="s">
        <v>3358</v>
      </c>
      <c r="G6637" t="s">
        <v>7714</v>
      </c>
      <c r="H6637">
        <v>35704</v>
      </c>
      <c r="I6637" t="s">
        <v>423</v>
      </c>
      <c r="J6637" t="s">
        <v>4396</v>
      </c>
      <c r="K6637" t="s">
        <v>4397</v>
      </c>
      <c r="L6637" t="s">
        <v>4398</v>
      </c>
      <c r="M6637">
        <v>112</v>
      </c>
      <c r="N6637">
        <v>21.074999999999999</v>
      </c>
      <c r="O6637">
        <v>2378.7399999999998</v>
      </c>
      <c r="P6637">
        <v>0</v>
      </c>
      <c r="Q6637">
        <v>2378.7399999999998</v>
      </c>
      <c r="R6637">
        <v>380.6</v>
      </c>
      <c r="S6637">
        <v>95.15</v>
      </c>
      <c r="T6637">
        <v>2664.19</v>
      </c>
      <c r="U6637" t="s">
        <v>7540</v>
      </c>
      <c r="V6637" t="s">
        <v>9408</v>
      </c>
      <c r="W6637" t="s">
        <v>423</v>
      </c>
    </row>
    <row r="6638" spans="1:23" hidden="1" x14ac:dyDescent="0.2">
      <c r="A6638">
        <v>2012</v>
      </c>
      <c r="B6638" t="s">
        <v>303</v>
      </c>
      <c r="C6638" s="733">
        <v>40928</v>
      </c>
      <c r="D66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38" t="s">
        <v>505</v>
      </c>
      <c r="F6638" t="s">
        <v>1915</v>
      </c>
      <c r="G6638" t="s">
        <v>6688</v>
      </c>
      <c r="H6638">
        <v>22088</v>
      </c>
      <c r="I6638" t="s">
        <v>423</v>
      </c>
      <c r="J6638" t="s">
        <v>1980</v>
      </c>
      <c r="K6638" t="s">
        <v>1918</v>
      </c>
      <c r="L6638" t="s">
        <v>1919</v>
      </c>
      <c r="M6638">
        <v>732</v>
      </c>
      <c r="N6638">
        <v>49.57</v>
      </c>
      <c r="O6638">
        <v>21741.4</v>
      </c>
      <c r="P6638">
        <v>0</v>
      </c>
      <c r="Q6638">
        <v>21741.4</v>
      </c>
      <c r="R6638">
        <v>3478.62</v>
      </c>
      <c r="S6638">
        <v>869.66</v>
      </c>
      <c r="T6638">
        <v>24350.36</v>
      </c>
      <c r="V6638" t="s">
        <v>9409</v>
      </c>
      <c r="W6638" t="s">
        <v>423</v>
      </c>
    </row>
    <row r="6639" spans="1:23" hidden="1" x14ac:dyDescent="0.2">
      <c r="A6639">
        <v>2012</v>
      </c>
      <c r="B6639" t="s">
        <v>304</v>
      </c>
      <c r="C6639" s="733">
        <v>40966</v>
      </c>
      <c r="D66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39" t="s">
        <v>505</v>
      </c>
      <c r="F6639" t="s">
        <v>1915</v>
      </c>
      <c r="G6639" t="s">
        <v>8820</v>
      </c>
      <c r="H6639">
        <v>23021</v>
      </c>
      <c r="I6639" t="s">
        <v>423</v>
      </c>
      <c r="J6639" t="s">
        <v>1945</v>
      </c>
      <c r="K6639" t="s">
        <v>1918</v>
      </c>
      <c r="L6639" t="s">
        <v>1919</v>
      </c>
      <c r="M6639">
        <v>949</v>
      </c>
      <c r="N6639">
        <v>54.46</v>
      </c>
      <c r="O6639">
        <v>31336.83</v>
      </c>
      <c r="P6639">
        <v>0</v>
      </c>
      <c r="Q6639">
        <v>31336.83</v>
      </c>
      <c r="R6639">
        <v>5013.8900000000003</v>
      </c>
      <c r="S6639">
        <v>1253.47</v>
      </c>
      <c r="T6639">
        <v>35097.25</v>
      </c>
      <c r="U6639" t="s">
        <v>9415</v>
      </c>
      <c r="V6639" t="s">
        <v>9409</v>
      </c>
      <c r="W6639" t="s">
        <v>423</v>
      </c>
    </row>
    <row r="6640" spans="1:23" hidden="1" x14ac:dyDescent="0.2">
      <c r="A6640">
        <v>2012</v>
      </c>
      <c r="B6640" t="s">
        <v>303</v>
      </c>
      <c r="C6640" s="733">
        <v>40938</v>
      </c>
      <c r="D66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40" t="s">
        <v>478</v>
      </c>
      <c r="F6640" t="s">
        <v>2136</v>
      </c>
      <c r="G6640" t="s">
        <v>7232</v>
      </c>
      <c r="H6640">
        <v>34990</v>
      </c>
      <c r="I6640" t="s">
        <v>423</v>
      </c>
      <c r="J6640" t="s">
        <v>4791</v>
      </c>
      <c r="K6640" t="s">
        <v>425</v>
      </c>
      <c r="L6640" t="s">
        <v>2145</v>
      </c>
      <c r="M6640">
        <v>139</v>
      </c>
      <c r="N6640">
        <v>34.729999999999997</v>
      </c>
      <c r="O6640">
        <v>5800.6</v>
      </c>
      <c r="P6640">
        <v>0</v>
      </c>
      <c r="Q6640">
        <v>5800.6</v>
      </c>
      <c r="R6640">
        <v>928.1</v>
      </c>
      <c r="S6640">
        <v>232.02</v>
      </c>
      <c r="T6640">
        <v>6496.68</v>
      </c>
      <c r="U6640" t="s">
        <v>2914</v>
      </c>
      <c r="V6640" t="s">
        <v>9408</v>
      </c>
      <c r="W6640" t="s">
        <v>423</v>
      </c>
    </row>
    <row r="6641" spans="1:23" hidden="1" x14ac:dyDescent="0.2">
      <c r="A6641">
        <v>2012</v>
      </c>
      <c r="B6641" t="s">
        <v>304</v>
      </c>
      <c r="C6641" s="733">
        <v>40959</v>
      </c>
      <c r="D66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41" t="s">
        <v>478</v>
      </c>
      <c r="F6641" t="s">
        <v>2136</v>
      </c>
      <c r="G6641" t="s">
        <v>8085</v>
      </c>
      <c r="H6641">
        <v>35627</v>
      </c>
      <c r="I6641" t="s">
        <v>423</v>
      </c>
      <c r="J6641" t="s">
        <v>3636</v>
      </c>
      <c r="K6641" t="s">
        <v>425</v>
      </c>
      <c r="L6641" t="s">
        <v>2145</v>
      </c>
      <c r="M6641">
        <v>244</v>
      </c>
      <c r="N6641">
        <v>24.54</v>
      </c>
      <c r="O6641">
        <v>4098.67</v>
      </c>
      <c r="P6641">
        <v>0</v>
      </c>
      <c r="Q6641">
        <v>4098.67</v>
      </c>
      <c r="R6641">
        <v>655.79</v>
      </c>
      <c r="S6641">
        <v>163.95</v>
      </c>
      <c r="T6641">
        <v>4590.51</v>
      </c>
      <c r="U6641" t="s">
        <v>8252</v>
      </c>
      <c r="V6641" t="s">
        <v>9408</v>
      </c>
      <c r="W6641" t="s">
        <v>423</v>
      </c>
    </row>
    <row r="6642" spans="1:23" hidden="1" x14ac:dyDescent="0.2">
      <c r="A6642">
        <v>2012</v>
      </c>
      <c r="B6642" t="s">
        <v>303</v>
      </c>
      <c r="C6642" s="733">
        <v>40926.834363425929</v>
      </c>
      <c r="D66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42" t="s">
        <v>478</v>
      </c>
      <c r="F6642" t="s">
        <v>2622</v>
      </c>
      <c r="G6642" t="s">
        <v>6364</v>
      </c>
      <c r="H6642">
        <v>34703</v>
      </c>
      <c r="I6642" t="s">
        <v>423</v>
      </c>
      <c r="J6642" t="s">
        <v>2644</v>
      </c>
      <c r="K6642" t="s">
        <v>2625</v>
      </c>
      <c r="L6642" t="s">
        <v>2626</v>
      </c>
      <c r="M6642">
        <v>52</v>
      </c>
      <c r="N6642">
        <v>26.54</v>
      </c>
      <c r="O6642">
        <v>3124.55</v>
      </c>
      <c r="P6642">
        <v>0</v>
      </c>
      <c r="Q6642">
        <v>3124.55</v>
      </c>
      <c r="R6642">
        <v>499.93</v>
      </c>
      <c r="S6642">
        <v>124.98</v>
      </c>
      <c r="T6642">
        <v>3499.5</v>
      </c>
      <c r="U6642" t="s">
        <v>2635</v>
      </c>
      <c r="V6642" t="s">
        <v>9408</v>
      </c>
      <c r="W6642" t="s">
        <v>423</v>
      </c>
    </row>
    <row r="6643" spans="1:23" hidden="1" x14ac:dyDescent="0.2">
      <c r="A6643">
        <v>2012</v>
      </c>
      <c r="B6643" t="s">
        <v>304</v>
      </c>
      <c r="C6643" s="733">
        <v>40960.421701388892</v>
      </c>
      <c r="D66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43" t="s">
        <v>478</v>
      </c>
      <c r="F6643" t="s">
        <v>2622</v>
      </c>
      <c r="G6643" t="s">
        <v>8409</v>
      </c>
      <c r="H6643">
        <v>35847</v>
      </c>
      <c r="I6643" t="s">
        <v>423</v>
      </c>
      <c r="J6643" t="s">
        <v>2644</v>
      </c>
      <c r="K6643" t="s">
        <v>2625</v>
      </c>
      <c r="L6643" t="s">
        <v>2626</v>
      </c>
      <c r="M6643">
        <v>52</v>
      </c>
      <c r="N6643">
        <v>22.59</v>
      </c>
      <c r="O6643">
        <v>2659.52</v>
      </c>
      <c r="P6643">
        <v>0</v>
      </c>
      <c r="Q6643">
        <v>2659.52</v>
      </c>
      <c r="R6643">
        <v>425.52</v>
      </c>
      <c r="S6643">
        <v>106.38</v>
      </c>
      <c r="T6643">
        <v>2978.66</v>
      </c>
      <c r="U6643" t="s">
        <v>8267</v>
      </c>
      <c r="V6643" t="s">
        <v>9408</v>
      </c>
      <c r="W6643" t="s">
        <v>423</v>
      </c>
    </row>
    <row r="6644" spans="1:23" hidden="1" x14ac:dyDescent="0.2">
      <c r="A6644">
        <v>2012</v>
      </c>
      <c r="B6644" t="s">
        <v>304</v>
      </c>
      <c r="C6644" s="733">
        <v>40946</v>
      </c>
      <c r="D66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44" t="s">
        <v>478</v>
      </c>
      <c r="F6644" t="s">
        <v>2622</v>
      </c>
      <c r="G6644" t="s">
        <v>6363</v>
      </c>
      <c r="H6644">
        <v>35332</v>
      </c>
      <c r="I6644" t="s">
        <v>423</v>
      </c>
      <c r="J6644" t="s">
        <v>2644</v>
      </c>
      <c r="K6644" t="s">
        <v>2625</v>
      </c>
      <c r="L6644" t="s">
        <v>2626</v>
      </c>
      <c r="M6644">
        <v>52</v>
      </c>
      <c r="N6644">
        <v>25.49</v>
      </c>
      <c r="O6644">
        <v>3000.94</v>
      </c>
      <c r="P6644">
        <v>0</v>
      </c>
      <c r="Q6644">
        <v>3000.94</v>
      </c>
      <c r="R6644">
        <v>480.15</v>
      </c>
      <c r="S6644">
        <v>120.04</v>
      </c>
      <c r="T6644">
        <v>3361.05</v>
      </c>
      <c r="U6644" t="s">
        <v>2630</v>
      </c>
      <c r="V6644" t="s">
        <v>9408</v>
      </c>
      <c r="W6644" t="s">
        <v>423</v>
      </c>
    </row>
    <row r="6645" spans="1:23" hidden="1" x14ac:dyDescent="0.2">
      <c r="A6645">
        <v>2012</v>
      </c>
      <c r="B6645" t="s">
        <v>303</v>
      </c>
      <c r="C6645" s="733">
        <v>40914</v>
      </c>
      <c r="D66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45" t="s">
        <v>478</v>
      </c>
      <c r="F6645" t="s">
        <v>2622</v>
      </c>
      <c r="G6645" t="s">
        <v>6361</v>
      </c>
      <c r="H6645">
        <v>34306</v>
      </c>
      <c r="I6645" t="s">
        <v>423</v>
      </c>
      <c r="J6645" t="s">
        <v>2644</v>
      </c>
      <c r="K6645" t="s">
        <v>2625</v>
      </c>
      <c r="L6645" t="s">
        <v>2626</v>
      </c>
      <c r="M6645">
        <v>52</v>
      </c>
      <c r="N6645">
        <v>26.7</v>
      </c>
      <c r="O6645">
        <v>3143.39</v>
      </c>
      <c r="P6645">
        <v>0</v>
      </c>
      <c r="Q6645">
        <v>3143.39</v>
      </c>
      <c r="R6645">
        <v>502.94</v>
      </c>
      <c r="S6645">
        <v>125.74</v>
      </c>
      <c r="T6645">
        <v>3520.59</v>
      </c>
      <c r="U6645" t="s">
        <v>2635</v>
      </c>
      <c r="V6645" t="s">
        <v>9408</v>
      </c>
      <c r="W6645" t="s">
        <v>423</v>
      </c>
    </row>
    <row r="6646" spans="1:23" hidden="1" x14ac:dyDescent="0.2">
      <c r="A6646">
        <v>2012</v>
      </c>
      <c r="B6646" t="s">
        <v>304</v>
      </c>
      <c r="C6646" s="733">
        <v>40949</v>
      </c>
      <c r="D66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46" t="s">
        <v>478</v>
      </c>
      <c r="F6646" t="s">
        <v>2622</v>
      </c>
      <c r="G6646" t="s">
        <v>6362</v>
      </c>
      <c r="H6646">
        <v>35532</v>
      </c>
      <c r="I6646" t="s">
        <v>423</v>
      </c>
      <c r="J6646" t="s">
        <v>2644</v>
      </c>
      <c r="K6646" t="s">
        <v>2625</v>
      </c>
      <c r="L6646" t="s">
        <v>2145</v>
      </c>
      <c r="M6646">
        <v>52</v>
      </c>
      <c r="N6646">
        <v>33.97</v>
      </c>
      <c r="O6646">
        <v>3999.29</v>
      </c>
      <c r="P6646">
        <v>0</v>
      </c>
      <c r="Q6646">
        <v>3999.29</v>
      </c>
      <c r="R6646">
        <v>639.89</v>
      </c>
      <c r="S6646">
        <v>159.97</v>
      </c>
      <c r="T6646">
        <v>4479.21</v>
      </c>
      <c r="U6646" t="s">
        <v>7548</v>
      </c>
      <c r="V6646" t="s">
        <v>9408</v>
      </c>
      <c r="W6646" t="s">
        <v>423</v>
      </c>
    </row>
    <row r="6647" spans="1:23" hidden="1" x14ac:dyDescent="0.2">
      <c r="A6647">
        <v>2012</v>
      </c>
      <c r="B6647" t="s">
        <v>303</v>
      </c>
      <c r="C6647" s="733">
        <v>40939.554363425923</v>
      </c>
      <c r="D66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47" t="s">
        <v>478</v>
      </c>
      <c r="F6647" t="s">
        <v>2622</v>
      </c>
      <c r="G6647" t="s">
        <v>6374</v>
      </c>
      <c r="H6647">
        <v>35159</v>
      </c>
      <c r="I6647" t="s">
        <v>423</v>
      </c>
      <c r="J6647" t="s">
        <v>2644</v>
      </c>
      <c r="K6647" t="s">
        <v>2625</v>
      </c>
      <c r="L6647" t="s">
        <v>2626</v>
      </c>
      <c r="M6647">
        <v>52</v>
      </c>
      <c r="N6647">
        <v>23.51</v>
      </c>
      <c r="O6647">
        <v>2767.83</v>
      </c>
      <c r="P6647">
        <v>0</v>
      </c>
      <c r="Q6647">
        <v>2767.83</v>
      </c>
      <c r="R6647">
        <v>442.85</v>
      </c>
      <c r="S6647">
        <v>110.71</v>
      </c>
      <c r="T6647">
        <v>3099.97</v>
      </c>
      <c r="U6647" t="s">
        <v>2648</v>
      </c>
      <c r="V6647" t="s">
        <v>9408</v>
      </c>
      <c r="W6647" t="s">
        <v>423</v>
      </c>
    </row>
    <row r="6648" spans="1:23" hidden="1" x14ac:dyDescent="0.2">
      <c r="A6648">
        <v>2012</v>
      </c>
      <c r="B6648" t="s">
        <v>303</v>
      </c>
      <c r="C6648" s="733">
        <v>40924.947291666664</v>
      </c>
      <c r="D66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48" t="s">
        <v>478</v>
      </c>
      <c r="F6648" t="s">
        <v>2622</v>
      </c>
      <c r="G6648" t="s">
        <v>6372</v>
      </c>
      <c r="H6648">
        <v>34579</v>
      </c>
      <c r="I6648" t="s">
        <v>423</v>
      </c>
      <c r="J6648" t="s">
        <v>2644</v>
      </c>
      <c r="K6648" t="s">
        <v>2625</v>
      </c>
      <c r="L6648" t="s">
        <v>2626</v>
      </c>
      <c r="M6648">
        <v>52</v>
      </c>
      <c r="N6648">
        <v>24.48</v>
      </c>
      <c r="O6648">
        <v>2882.03</v>
      </c>
      <c r="P6648">
        <v>0</v>
      </c>
      <c r="Q6648">
        <v>2882.03</v>
      </c>
      <c r="R6648">
        <v>461.12</v>
      </c>
      <c r="S6648">
        <v>115.28</v>
      </c>
      <c r="T6648">
        <v>3227.87</v>
      </c>
      <c r="U6648" t="s">
        <v>2630</v>
      </c>
      <c r="V6648" t="s">
        <v>9408</v>
      </c>
      <c r="W6648" t="s">
        <v>423</v>
      </c>
    </row>
    <row r="6649" spans="1:23" hidden="1" x14ac:dyDescent="0.2">
      <c r="A6649">
        <v>2012</v>
      </c>
      <c r="B6649" t="s">
        <v>303</v>
      </c>
      <c r="C6649" s="733">
        <v>40910</v>
      </c>
      <c r="D66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49" t="s">
        <v>478</v>
      </c>
      <c r="F6649" t="s">
        <v>2622</v>
      </c>
      <c r="G6649" t="s">
        <v>6373</v>
      </c>
      <c r="H6649">
        <v>34183</v>
      </c>
      <c r="I6649" t="s">
        <v>423</v>
      </c>
      <c r="J6649" t="s">
        <v>2644</v>
      </c>
      <c r="K6649" t="s">
        <v>2625</v>
      </c>
      <c r="L6649" t="s">
        <v>2145</v>
      </c>
      <c r="M6649">
        <v>52</v>
      </c>
      <c r="N6649">
        <v>25.3</v>
      </c>
      <c r="O6649">
        <v>1475.5</v>
      </c>
      <c r="P6649">
        <v>1190.3006049999999</v>
      </c>
      <c r="Q6649">
        <v>2665.8006049999999</v>
      </c>
      <c r="R6649">
        <v>426.528097</v>
      </c>
      <c r="S6649">
        <v>106.632024</v>
      </c>
      <c r="T6649">
        <v>2985.6966779999998</v>
      </c>
      <c r="U6649" t="s">
        <v>2665</v>
      </c>
      <c r="V6649" t="s">
        <v>9408</v>
      </c>
      <c r="W6649" t="s">
        <v>423</v>
      </c>
    </row>
    <row r="6650" spans="1:23" hidden="1" x14ac:dyDescent="0.2">
      <c r="A6650">
        <v>2012</v>
      </c>
      <c r="B6650" t="s">
        <v>303</v>
      </c>
      <c r="C6650" s="733">
        <v>40918</v>
      </c>
      <c r="D66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50" t="s">
        <v>478</v>
      </c>
      <c r="F6650" t="s">
        <v>2136</v>
      </c>
      <c r="G6650" t="s">
        <v>6370</v>
      </c>
      <c r="H6650">
        <v>34371</v>
      </c>
      <c r="I6650" t="s">
        <v>423</v>
      </c>
      <c r="J6650" t="s">
        <v>2644</v>
      </c>
      <c r="K6650" t="s">
        <v>2625</v>
      </c>
      <c r="L6650" t="s">
        <v>2145</v>
      </c>
      <c r="M6650">
        <v>52</v>
      </c>
      <c r="N6650">
        <v>20.98</v>
      </c>
      <c r="O6650">
        <v>2469.98</v>
      </c>
      <c r="P6650">
        <v>0</v>
      </c>
      <c r="Q6650">
        <v>2469.98</v>
      </c>
      <c r="R6650">
        <v>395.2</v>
      </c>
      <c r="S6650">
        <v>98.8</v>
      </c>
      <c r="T6650">
        <v>2766.38</v>
      </c>
      <c r="U6650" t="s">
        <v>2627</v>
      </c>
      <c r="V6650" t="s">
        <v>9408</v>
      </c>
      <c r="W6650" t="s">
        <v>423</v>
      </c>
    </row>
    <row r="6651" spans="1:23" hidden="1" x14ac:dyDescent="0.2">
      <c r="A6651">
        <v>2012</v>
      </c>
      <c r="B6651" t="s">
        <v>304</v>
      </c>
      <c r="C6651" s="733">
        <v>40968</v>
      </c>
      <c r="D66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51" t="s">
        <v>478</v>
      </c>
      <c r="F6651" t="s">
        <v>2136</v>
      </c>
      <c r="G6651" t="s">
        <v>9445</v>
      </c>
      <c r="H6651">
        <v>36049</v>
      </c>
      <c r="I6651" t="s">
        <v>423</v>
      </c>
      <c r="J6651" t="s">
        <v>3638</v>
      </c>
      <c r="K6651" t="s">
        <v>425</v>
      </c>
      <c r="L6651" t="s">
        <v>2145</v>
      </c>
      <c r="M6651">
        <v>1416</v>
      </c>
      <c r="N6651">
        <v>41.71</v>
      </c>
      <c r="O6651">
        <v>37822.21</v>
      </c>
      <c r="P6651">
        <v>0</v>
      </c>
      <c r="Q6651">
        <v>37822.21</v>
      </c>
      <c r="R6651">
        <v>6051.55</v>
      </c>
      <c r="S6651">
        <v>1512.89</v>
      </c>
      <c r="T6651">
        <v>42360.87</v>
      </c>
      <c r="U6651" t="s">
        <v>9430</v>
      </c>
      <c r="V6651" t="s">
        <v>9409</v>
      </c>
      <c r="W6651" t="s">
        <v>423</v>
      </c>
    </row>
    <row r="6652" spans="1:23" hidden="1" x14ac:dyDescent="0.2">
      <c r="A6652">
        <v>2012</v>
      </c>
      <c r="B6652" t="s">
        <v>303</v>
      </c>
      <c r="C6652" s="733">
        <v>40929</v>
      </c>
      <c r="D66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52" t="s">
        <v>478</v>
      </c>
      <c r="F6652" t="s">
        <v>2136</v>
      </c>
      <c r="G6652" t="s">
        <v>6399</v>
      </c>
      <c r="H6652">
        <v>34710</v>
      </c>
      <c r="I6652" t="s">
        <v>423</v>
      </c>
      <c r="J6652" t="s">
        <v>3638</v>
      </c>
      <c r="K6652" t="s">
        <v>425</v>
      </c>
      <c r="L6652" t="s">
        <v>2145</v>
      </c>
      <c r="M6652">
        <v>1416</v>
      </c>
      <c r="N6652">
        <v>49.23</v>
      </c>
      <c r="O6652">
        <v>44641.27</v>
      </c>
      <c r="P6652">
        <v>0</v>
      </c>
      <c r="Q6652">
        <v>44641.27</v>
      </c>
      <c r="R6652">
        <v>7142.6</v>
      </c>
      <c r="S6652">
        <v>1785.65</v>
      </c>
      <c r="T6652">
        <v>49998.22</v>
      </c>
      <c r="U6652" t="s">
        <v>3234</v>
      </c>
      <c r="V6652" t="s">
        <v>9409</v>
      </c>
      <c r="W6652" t="s">
        <v>423</v>
      </c>
    </row>
    <row r="6653" spans="1:23" hidden="1" x14ac:dyDescent="0.2">
      <c r="A6653">
        <v>2012</v>
      </c>
      <c r="B6653" t="s">
        <v>304</v>
      </c>
      <c r="C6653" s="733">
        <v>40960</v>
      </c>
      <c r="D66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53" t="s">
        <v>485</v>
      </c>
      <c r="F6653" t="s">
        <v>2048</v>
      </c>
      <c r="G6653" t="s">
        <v>8112</v>
      </c>
      <c r="H6653">
        <v>42291</v>
      </c>
      <c r="I6653" t="s">
        <v>423</v>
      </c>
      <c r="J6653" t="s">
        <v>2274</v>
      </c>
      <c r="K6653" t="s">
        <v>2051</v>
      </c>
      <c r="L6653" t="s">
        <v>2052</v>
      </c>
      <c r="M6653">
        <v>573</v>
      </c>
      <c r="N6653">
        <v>26.05</v>
      </c>
      <c r="O6653">
        <v>8453.2199999999993</v>
      </c>
      <c r="P6653">
        <v>0</v>
      </c>
      <c r="Q6653">
        <v>8453.2199999999993</v>
      </c>
      <c r="R6653">
        <v>1352.52</v>
      </c>
      <c r="S6653">
        <v>338.13</v>
      </c>
      <c r="T6653">
        <v>9467.61</v>
      </c>
      <c r="U6653" t="s">
        <v>8780</v>
      </c>
      <c r="V6653" t="s">
        <v>9408</v>
      </c>
      <c r="W6653" t="s">
        <v>423</v>
      </c>
    </row>
    <row r="6654" spans="1:23" hidden="1" x14ac:dyDescent="0.2">
      <c r="A6654">
        <v>2012</v>
      </c>
      <c r="B6654" t="s">
        <v>304</v>
      </c>
      <c r="C6654" s="733">
        <v>40968</v>
      </c>
      <c r="D66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54" t="s">
        <v>478</v>
      </c>
      <c r="F6654" t="s">
        <v>2136</v>
      </c>
      <c r="G6654" t="s">
        <v>9448</v>
      </c>
      <c r="H6654">
        <v>36042</v>
      </c>
      <c r="I6654" t="s">
        <v>423</v>
      </c>
      <c r="J6654" t="s">
        <v>3638</v>
      </c>
      <c r="K6654" t="s">
        <v>425</v>
      </c>
      <c r="L6654" t="s">
        <v>2145</v>
      </c>
      <c r="M6654">
        <v>1416</v>
      </c>
      <c r="N6654">
        <v>38.99</v>
      </c>
      <c r="O6654">
        <v>35355.74</v>
      </c>
      <c r="P6654">
        <v>0</v>
      </c>
      <c r="Q6654">
        <v>35355.74</v>
      </c>
      <c r="R6654">
        <v>5656.92</v>
      </c>
      <c r="S6654">
        <v>1414.23</v>
      </c>
      <c r="T6654">
        <v>39598.43</v>
      </c>
      <c r="V6654" t="s">
        <v>9409</v>
      </c>
      <c r="W6654" t="s">
        <v>423</v>
      </c>
    </row>
    <row r="6655" spans="1:23" hidden="1" x14ac:dyDescent="0.2">
      <c r="A6655">
        <v>2012</v>
      </c>
      <c r="B6655" t="s">
        <v>304</v>
      </c>
      <c r="C6655" s="733">
        <v>40941</v>
      </c>
      <c r="D66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55" t="s">
        <v>478</v>
      </c>
      <c r="F6655" t="s">
        <v>2136</v>
      </c>
      <c r="G6655" t="s">
        <v>7224</v>
      </c>
      <c r="H6655">
        <v>35051</v>
      </c>
      <c r="I6655" t="s">
        <v>423</v>
      </c>
      <c r="J6655" t="s">
        <v>3638</v>
      </c>
      <c r="K6655" t="s">
        <v>425</v>
      </c>
      <c r="L6655" t="s">
        <v>2145</v>
      </c>
      <c r="M6655">
        <v>1416</v>
      </c>
      <c r="N6655">
        <v>51.05</v>
      </c>
      <c r="O6655">
        <v>46291.63</v>
      </c>
      <c r="P6655">
        <v>0</v>
      </c>
      <c r="Q6655">
        <v>46291.63</v>
      </c>
      <c r="R6655">
        <v>7406.66</v>
      </c>
      <c r="S6655">
        <v>1851.67</v>
      </c>
      <c r="T6655">
        <v>51846.62</v>
      </c>
      <c r="U6655" t="s">
        <v>2914</v>
      </c>
      <c r="V6655" t="s">
        <v>9409</v>
      </c>
      <c r="W6655" t="s">
        <v>423</v>
      </c>
    </row>
    <row r="6656" spans="1:23" hidden="1" x14ac:dyDescent="0.2">
      <c r="A6656">
        <v>2012</v>
      </c>
      <c r="B6656" t="s">
        <v>303</v>
      </c>
      <c r="C6656" s="733">
        <v>40924</v>
      </c>
      <c r="D66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56" t="s">
        <v>478</v>
      </c>
      <c r="F6656" t="s">
        <v>2136</v>
      </c>
      <c r="G6656" t="s">
        <v>6403</v>
      </c>
      <c r="H6656">
        <v>34526</v>
      </c>
      <c r="I6656" t="s">
        <v>423</v>
      </c>
      <c r="J6656" t="s">
        <v>4291</v>
      </c>
      <c r="K6656" t="s">
        <v>425</v>
      </c>
      <c r="L6656" t="s">
        <v>2145</v>
      </c>
      <c r="M6656">
        <v>163</v>
      </c>
      <c r="N6656">
        <v>33.97</v>
      </c>
      <c r="O6656">
        <v>6036.81</v>
      </c>
      <c r="P6656">
        <v>0</v>
      </c>
      <c r="Q6656">
        <v>6036.81</v>
      </c>
      <c r="R6656">
        <v>965.89</v>
      </c>
      <c r="S6656">
        <v>241.47</v>
      </c>
      <c r="T6656">
        <v>6761.23</v>
      </c>
      <c r="U6656" t="s">
        <v>3234</v>
      </c>
      <c r="V6656" t="s">
        <v>9408</v>
      </c>
      <c r="W6656" t="s">
        <v>423</v>
      </c>
    </row>
    <row r="6657" spans="1:23" hidden="1" x14ac:dyDescent="0.2">
      <c r="A6657">
        <v>2012</v>
      </c>
      <c r="B6657" t="s">
        <v>303</v>
      </c>
      <c r="C6657" s="733">
        <v>40918</v>
      </c>
      <c r="D66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57" t="s">
        <v>478</v>
      </c>
      <c r="F6657" t="s">
        <v>2622</v>
      </c>
      <c r="G6657" t="s">
        <v>6371</v>
      </c>
      <c r="H6657">
        <v>34298</v>
      </c>
      <c r="I6657" t="s">
        <v>423</v>
      </c>
      <c r="J6657" t="s">
        <v>2644</v>
      </c>
      <c r="K6657" t="s">
        <v>2625</v>
      </c>
      <c r="L6657" t="s">
        <v>2145</v>
      </c>
      <c r="M6657">
        <v>52</v>
      </c>
      <c r="N6657">
        <v>25.23</v>
      </c>
      <c r="O6657">
        <v>2970.33</v>
      </c>
      <c r="P6657">
        <v>0</v>
      </c>
      <c r="Q6657">
        <v>2970.33</v>
      </c>
      <c r="R6657">
        <v>475.25</v>
      </c>
      <c r="S6657">
        <v>118.81</v>
      </c>
      <c r="T6657">
        <v>3326.77</v>
      </c>
      <c r="U6657" t="s">
        <v>2635</v>
      </c>
      <c r="V6657" t="s">
        <v>9408</v>
      </c>
      <c r="W6657" t="s">
        <v>423</v>
      </c>
    </row>
    <row r="6658" spans="1:23" hidden="1" x14ac:dyDescent="0.2">
      <c r="A6658">
        <v>2012</v>
      </c>
      <c r="B6658" t="s">
        <v>304</v>
      </c>
      <c r="C6658" s="733">
        <v>40946</v>
      </c>
      <c r="D66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58" t="s">
        <v>478</v>
      </c>
      <c r="F6658" t="s">
        <v>2622</v>
      </c>
      <c r="G6658" t="s">
        <v>6365</v>
      </c>
      <c r="H6658">
        <v>35338</v>
      </c>
      <c r="I6658" t="s">
        <v>423</v>
      </c>
      <c r="J6658" t="s">
        <v>2644</v>
      </c>
      <c r="K6658" t="s">
        <v>2625</v>
      </c>
      <c r="L6658" t="s">
        <v>2145</v>
      </c>
      <c r="M6658">
        <v>52</v>
      </c>
      <c r="N6658">
        <v>25.36</v>
      </c>
      <c r="O6658">
        <v>2985.63</v>
      </c>
      <c r="P6658">
        <v>0</v>
      </c>
      <c r="Q6658">
        <v>2985.63</v>
      </c>
      <c r="R6658">
        <v>477.7</v>
      </c>
      <c r="S6658">
        <v>119.43</v>
      </c>
      <c r="T6658">
        <v>3343.9</v>
      </c>
      <c r="U6658" t="s">
        <v>2630</v>
      </c>
      <c r="V6658" t="s">
        <v>9408</v>
      </c>
      <c r="W6658" t="s">
        <v>423</v>
      </c>
    </row>
    <row r="6659" spans="1:23" hidden="1" x14ac:dyDescent="0.2">
      <c r="A6659">
        <v>2012</v>
      </c>
      <c r="B6659" t="s">
        <v>304</v>
      </c>
      <c r="C6659" s="733">
        <v>40963.408518518518</v>
      </c>
      <c r="D66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59" t="s">
        <v>478</v>
      </c>
      <c r="F6659" t="s">
        <v>2622</v>
      </c>
      <c r="G6659" t="s">
        <v>9234</v>
      </c>
      <c r="H6659">
        <v>35987</v>
      </c>
      <c r="I6659" t="s">
        <v>423</v>
      </c>
      <c r="J6659" t="s">
        <v>2644</v>
      </c>
      <c r="K6659" t="s">
        <v>2625</v>
      </c>
      <c r="L6659" t="s">
        <v>2626</v>
      </c>
      <c r="M6659">
        <v>52</v>
      </c>
      <c r="N6659">
        <v>25.67</v>
      </c>
      <c r="O6659">
        <v>3022.13</v>
      </c>
      <c r="P6659">
        <v>0</v>
      </c>
      <c r="Q6659">
        <v>3022.13</v>
      </c>
      <c r="R6659">
        <v>483.54</v>
      </c>
      <c r="S6659">
        <v>120.89</v>
      </c>
      <c r="T6659">
        <v>3384.78</v>
      </c>
      <c r="U6659" t="s">
        <v>9428</v>
      </c>
      <c r="V6659" t="s">
        <v>9408</v>
      </c>
      <c r="W6659" t="s">
        <v>423</v>
      </c>
    </row>
    <row r="6660" spans="1:23" hidden="1" x14ac:dyDescent="0.2">
      <c r="A6660">
        <v>2012</v>
      </c>
      <c r="B6660" t="s">
        <v>304</v>
      </c>
      <c r="C6660" s="733">
        <v>40963.404282407406</v>
      </c>
      <c r="D66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60" t="s">
        <v>478</v>
      </c>
      <c r="F6660" t="s">
        <v>2622</v>
      </c>
      <c r="G6660" t="s">
        <v>9237</v>
      </c>
      <c r="H6660">
        <v>35981</v>
      </c>
      <c r="I6660" t="s">
        <v>423</v>
      </c>
      <c r="J6660" t="s">
        <v>2644</v>
      </c>
      <c r="K6660" t="s">
        <v>2625</v>
      </c>
      <c r="L6660" t="s">
        <v>2626</v>
      </c>
      <c r="M6660">
        <v>52</v>
      </c>
      <c r="N6660">
        <v>27.27</v>
      </c>
      <c r="O6660">
        <v>3210.5</v>
      </c>
      <c r="P6660">
        <v>0</v>
      </c>
      <c r="Q6660">
        <v>3210.5</v>
      </c>
      <c r="R6660">
        <v>513.67999999999995</v>
      </c>
      <c r="S6660">
        <v>128.41999999999999</v>
      </c>
      <c r="T6660">
        <v>3595.76</v>
      </c>
      <c r="U6660" t="s">
        <v>9428</v>
      </c>
      <c r="V6660" t="s">
        <v>9408</v>
      </c>
      <c r="W6660" t="s">
        <v>423</v>
      </c>
    </row>
    <row r="6661" spans="1:23" hidden="1" x14ac:dyDescent="0.2">
      <c r="A6661">
        <v>2012</v>
      </c>
      <c r="B6661" t="s">
        <v>304</v>
      </c>
      <c r="C6661" s="733">
        <v>40956</v>
      </c>
      <c r="D66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61" t="s">
        <v>485</v>
      </c>
      <c r="F6661" t="s">
        <v>2048</v>
      </c>
      <c r="G6661" t="s">
        <v>7778</v>
      </c>
      <c r="H6661">
        <v>42161</v>
      </c>
      <c r="I6661" t="s">
        <v>423</v>
      </c>
      <c r="J6661" t="s">
        <v>2274</v>
      </c>
      <c r="K6661" t="s">
        <v>2051</v>
      </c>
      <c r="L6661" t="s">
        <v>2052</v>
      </c>
      <c r="M6661">
        <v>573</v>
      </c>
      <c r="N6661">
        <v>26.4</v>
      </c>
      <c r="O6661">
        <v>8566.7999999999993</v>
      </c>
      <c r="P6661">
        <v>0</v>
      </c>
      <c r="Q6661">
        <v>8566.7999999999993</v>
      </c>
      <c r="R6661">
        <v>1370.69</v>
      </c>
      <c r="S6661">
        <v>342.67</v>
      </c>
      <c r="T6661">
        <v>9594.82</v>
      </c>
      <c r="U6661" t="s">
        <v>8257</v>
      </c>
      <c r="V6661" t="s">
        <v>9408</v>
      </c>
      <c r="W6661" t="s">
        <v>423</v>
      </c>
    </row>
    <row r="6662" spans="1:23" hidden="1" x14ac:dyDescent="0.2">
      <c r="A6662">
        <v>2012</v>
      </c>
      <c r="B6662" t="s">
        <v>303</v>
      </c>
      <c r="C6662" s="733">
        <v>40925</v>
      </c>
      <c r="D66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62" t="s">
        <v>478</v>
      </c>
      <c r="F6662" t="s">
        <v>2136</v>
      </c>
      <c r="G6662" t="s">
        <v>6401</v>
      </c>
      <c r="H6662">
        <v>34477</v>
      </c>
      <c r="I6662" t="s">
        <v>423</v>
      </c>
      <c r="J6662" t="s">
        <v>3638</v>
      </c>
      <c r="K6662" t="s">
        <v>425</v>
      </c>
      <c r="L6662" t="s">
        <v>2145</v>
      </c>
      <c r="M6662">
        <v>1416</v>
      </c>
      <c r="N6662">
        <v>49.88</v>
      </c>
      <c r="O6662">
        <v>45230.69</v>
      </c>
      <c r="P6662">
        <v>0</v>
      </c>
      <c r="Q6662">
        <v>45230.69</v>
      </c>
      <c r="R6662">
        <v>7236.91</v>
      </c>
      <c r="S6662">
        <v>1809.23</v>
      </c>
      <c r="T6662">
        <v>50658.37</v>
      </c>
      <c r="U6662" t="s">
        <v>2146</v>
      </c>
      <c r="V6662" t="s">
        <v>9409</v>
      </c>
      <c r="W6662" t="s">
        <v>423</v>
      </c>
    </row>
    <row r="6663" spans="1:23" hidden="1" x14ac:dyDescent="0.2">
      <c r="A6663">
        <v>2012</v>
      </c>
      <c r="B6663" t="s">
        <v>304</v>
      </c>
      <c r="C6663" s="733">
        <v>40948</v>
      </c>
      <c r="D66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63" t="s">
        <v>478</v>
      </c>
      <c r="F6663" t="s">
        <v>2136</v>
      </c>
      <c r="G6663" t="s">
        <v>6400</v>
      </c>
      <c r="H6663">
        <v>35329</v>
      </c>
      <c r="I6663" t="s">
        <v>423</v>
      </c>
      <c r="J6663" t="s">
        <v>3638</v>
      </c>
      <c r="K6663" t="s">
        <v>425</v>
      </c>
      <c r="L6663" t="s">
        <v>2145</v>
      </c>
      <c r="M6663">
        <v>1416</v>
      </c>
      <c r="N6663">
        <v>53.61</v>
      </c>
      <c r="O6663">
        <v>48613.01</v>
      </c>
      <c r="P6663">
        <v>0</v>
      </c>
      <c r="Q6663">
        <v>48613.01</v>
      </c>
      <c r="R6663">
        <v>7778.08</v>
      </c>
      <c r="S6663">
        <v>1944.52</v>
      </c>
      <c r="T6663">
        <v>54446.57</v>
      </c>
      <c r="U6663" t="s">
        <v>3115</v>
      </c>
      <c r="V6663" t="s">
        <v>9409</v>
      </c>
      <c r="W6663" t="s">
        <v>423</v>
      </c>
    </row>
    <row r="6664" spans="1:23" hidden="1" x14ac:dyDescent="0.2">
      <c r="A6664">
        <v>2012</v>
      </c>
      <c r="B6664" t="s">
        <v>304</v>
      </c>
      <c r="C6664" s="733">
        <v>40952</v>
      </c>
      <c r="D66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64" t="s">
        <v>478</v>
      </c>
      <c r="F6664" t="s">
        <v>2136</v>
      </c>
      <c r="G6664" t="s">
        <v>6398</v>
      </c>
      <c r="H6664">
        <v>35362</v>
      </c>
      <c r="I6664" t="s">
        <v>423</v>
      </c>
      <c r="J6664" t="s">
        <v>3638</v>
      </c>
      <c r="K6664" t="s">
        <v>425</v>
      </c>
      <c r="L6664" t="s">
        <v>2145</v>
      </c>
      <c r="M6664">
        <v>1416</v>
      </c>
      <c r="N6664">
        <v>50.17</v>
      </c>
      <c r="O6664">
        <v>45493.65</v>
      </c>
      <c r="P6664">
        <v>0</v>
      </c>
      <c r="Q6664">
        <v>45493.65</v>
      </c>
      <c r="R6664">
        <v>7278.98</v>
      </c>
      <c r="S6664">
        <v>1819.75</v>
      </c>
      <c r="T6664">
        <v>50952.88</v>
      </c>
      <c r="U6664" t="s">
        <v>7523</v>
      </c>
      <c r="V6664" t="s">
        <v>9409</v>
      </c>
      <c r="W6664" t="s">
        <v>423</v>
      </c>
    </row>
    <row r="6665" spans="1:23" hidden="1" x14ac:dyDescent="0.2">
      <c r="A6665">
        <v>2012</v>
      </c>
      <c r="B6665" t="s">
        <v>304</v>
      </c>
      <c r="C6665" s="733">
        <v>40955.735335648147</v>
      </c>
      <c r="D66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65" t="s">
        <v>478</v>
      </c>
      <c r="F6665" t="s">
        <v>2136</v>
      </c>
      <c r="G6665" t="s">
        <v>7567</v>
      </c>
      <c r="H6665">
        <v>35722</v>
      </c>
      <c r="I6665" t="s">
        <v>423</v>
      </c>
      <c r="J6665" t="s">
        <v>2624</v>
      </c>
      <c r="K6665" t="s">
        <v>2625</v>
      </c>
      <c r="L6665" t="s">
        <v>2626</v>
      </c>
      <c r="M6665">
        <v>10</v>
      </c>
      <c r="N6665">
        <v>23.8</v>
      </c>
      <c r="O6665">
        <v>2685.83</v>
      </c>
      <c r="P6665">
        <v>0</v>
      </c>
      <c r="Q6665">
        <v>2685.83</v>
      </c>
      <c r="R6665">
        <v>429.73</v>
      </c>
      <c r="S6665">
        <v>107.43</v>
      </c>
      <c r="T6665">
        <v>3008.13</v>
      </c>
      <c r="U6665" t="s">
        <v>7548</v>
      </c>
      <c r="V6665" t="s">
        <v>9408</v>
      </c>
      <c r="W6665" t="s">
        <v>423</v>
      </c>
    </row>
    <row r="6666" spans="1:23" hidden="1" x14ac:dyDescent="0.2">
      <c r="A6666">
        <v>2012</v>
      </c>
      <c r="B6666" t="s">
        <v>304</v>
      </c>
      <c r="C6666" s="733">
        <v>40963.551562499997</v>
      </c>
      <c r="D66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66" t="s">
        <v>478</v>
      </c>
      <c r="F6666" t="s">
        <v>2622</v>
      </c>
      <c r="G6666" t="s">
        <v>9393</v>
      </c>
      <c r="H6666">
        <v>35990</v>
      </c>
      <c r="I6666" t="s">
        <v>423</v>
      </c>
      <c r="J6666" t="s">
        <v>2624</v>
      </c>
      <c r="K6666" t="s">
        <v>2625</v>
      </c>
      <c r="L6666" t="s">
        <v>2626</v>
      </c>
      <c r="M6666">
        <v>10</v>
      </c>
      <c r="N6666">
        <v>25.53</v>
      </c>
      <c r="O6666">
        <v>2881.06</v>
      </c>
      <c r="P6666">
        <v>0</v>
      </c>
      <c r="Q6666">
        <v>2881.06</v>
      </c>
      <c r="R6666">
        <v>460.97</v>
      </c>
      <c r="S6666">
        <v>115.24</v>
      </c>
      <c r="T6666">
        <v>3226.79</v>
      </c>
      <c r="U6666" t="s">
        <v>9428</v>
      </c>
      <c r="V6666" t="s">
        <v>9408</v>
      </c>
      <c r="W6666" t="s">
        <v>423</v>
      </c>
    </row>
    <row r="6667" spans="1:23" hidden="1" x14ac:dyDescent="0.2">
      <c r="A6667">
        <v>2012</v>
      </c>
      <c r="B6667" t="s">
        <v>304</v>
      </c>
      <c r="C6667" s="733">
        <v>40947.414305555554</v>
      </c>
      <c r="D66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67" t="s">
        <v>478</v>
      </c>
      <c r="F6667" t="s">
        <v>2622</v>
      </c>
      <c r="G6667" t="s">
        <v>5570</v>
      </c>
      <c r="H6667">
        <v>35426</v>
      </c>
      <c r="I6667" t="s">
        <v>423</v>
      </c>
      <c r="J6667" t="s">
        <v>2624</v>
      </c>
      <c r="K6667" t="s">
        <v>2625</v>
      </c>
      <c r="L6667" t="s">
        <v>2626</v>
      </c>
      <c r="M6667">
        <v>10</v>
      </c>
      <c r="N6667">
        <v>20.76</v>
      </c>
      <c r="O6667">
        <v>2342.77</v>
      </c>
      <c r="P6667">
        <v>0</v>
      </c>
      <c r="Q6667">
        <v>2342.77</v>
      </c>
      <c r="R6667">
        <v>374.84</v>
      </c>
      <c r="S6667">
        <v>93.71</v>
      </c>
      <c r="T6667">
        <v>2623.9</v>
      </c>
      <c r="U6667" t="s">
        <v>2652</v>
      </c>
      <c r="V6667" t="s">
        <v>9408</v>
      </c>
      <c r="W6667" t="s">
        <v>423</v>
      </c>
    </row>
    <row r="6668" spans="1:23" hidden="1" x14ac:dyDescent="0.2">
      <c r="A6668">
        <v>2012</v>
      </c>
      <c r="B6668" t="s">
        <v>303</v>
      </c>
      <c r="C6668" s="733">
        <v>40911</v>
      </c>
      <c r="D66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68" t="s">
        <v>485</v>
      </c>
      <c r="F6668" t="s">
        <v>2048</v>
      </c>
      <c r="G6668" t="s">
        <v>6412</v>
      </c>
      <c r="H6668">
        <v>39730</v>
      </c>
      <c r="I6668" t="s">
        <v>423</v>
      </c>
      <c r="J6668" t="s">
        <v>4093</v>
      </c>
      <c r="K6668" t="s">
        <v>2051</v>
      </c>
      <c r="L6668" t="s">
        <v>2052</v>
      </c>
      <c r="M6668">
        <v>647</v>
      </c>
      <c r="N6668">
        <v>22.9</v>
      </c>
      <c r="O6668">
        <v>3647.74</v>
      </c>
      <c r="P6668">
        <v>4106.9539889999996</v>
      </c>
      <c r="Q6668">
        <v>7754.6939890000003</v>
      </c>
      <c r="R6668">
        <v>1240.7510380000001</v>
      </c>
      <c r="S6668">
        <v>310.18776000000003</v>
      </c>
      <c r="T6668">
        <v>8685.2572670000009</v>
      </c>
      <c r="U6668" t="s">
        <v>2089</v>
      </c>
      <c r="V6668" t="s">
        <v>9408</v>
      </c>
      <c r="W6668" t="s">
        <v>423</v>
      </c>
    </row>
    <row r="6669" spans="1:23" hidden="1" x14ac:dyDescent="0.2">
      <c r="A6669">
        <v>2012</v>
      </c>
      <c r="B6669" t="s">
        <v>304</v>
      </c>
      <c r="C6669" s="733">
        <v>40952</v>
      </c>
      <c r="D66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69" t="s">
        <v>485</v>
      </c>
      <c r="F6669" t="s">
        <v>2065</v>
      </c>
      <c r="G6669" t="s">
        <v>6411</v>
      </c>
      <c r="H6669">
        <v>41829</v>
      </c>
      <c r="I6669" t="s">
        <v>423</v>
      </c>
      <c r="J6669" t="s">
        <v>4093</v>
      </c>
      <c r="K6669" t="s">
        <v>2051</v>
      </c>
      <c r="L6669" t="s">
        <v>2052</v>
      </c>
      <c r="M6669">
        <v>647</v>
      </c>
      <c r="N6669">
        <v>54.05</v>
      </c>
      <c r="O6669">
        <v>20448.740000000002</v>
      </c>
      <c r="P6669">
        <v>0</v>
      </c>
      <c r="Q6669">
        <v>20448.740000000002</v>
      </c>
      <c r="R6669">
        <v>3271.8</v>
      </c>
      <c r="S6669">
        <v>817.95</v>
      </c>
      <c r="T6669">
        <v>22902.59</v>
      </c>
      <c r="U6669" t="s">
        <v>7568</v>
      </c>
      <c r="V6669" t="s">
        <v>9409</v>
      </c>
      <c r="W6669" t="s">
        <v>423</v>
      </c>
    </row>
    <row r="6670" spans="1:23" x14ac:dyDescent="0.2">
      <c r="A6670">
        <v>2012</v>
      </c>
      <c r="B6670" t="s">
        <v>304</v>
      </c>
      <c r="C6670" s="733">
        <v>40967</v>
      </c>
      <c r="D66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70" t="s">
        <v>485</v>
      </c>
      <c r="F6670" t="s">
        <v>2054</v>
      </c>
      <c r="G6670" t="s">
        <v>9396</v>
      </c>
      <c r="H6670">
        <v>42750</v>
      </c>
      <c r="I6670" t="s">
        <v>423</v>
      </c>
      <c r="J6670" t="s">
        <v>4093</v>
      </c>
      <c r="K6670" t="s">
        <v>2051</v>
      </c>
      <c r="L6670" t="s">
        <v>2052</v>
      </c>
      <c r="M6670">
        <v>647</v>
      </c>
      <c r="N6670">
        <v>52.85</v>
      </c>
      <c r="O6670">
        <v>19994.740000000002</v>
      </c>
      <c r="P6670">
        <v>0</v>
      </c>
      <c r="Q6670">
        <v>19994.740000000002</v>
      </c>
      <c r="R6670">
        <v>3199.16</v>
      </c>
      <c r="S6670">
        <v>799.79</v>
      </c>
      <c r="T6670">
        <v>22394.11</v>
      </c>
      <c r="U6670" t="s">
        <v>8780</v>
      </c>
      <c r="V6670" t="s">
        <v>9409</v>
      </c>
      <c r="W6670" t="s">
        <v>423</v>
      </c>
    </row>
    <row r="6671" spans="1:23" hidden="1" x14ac:dyDescent="0.2">
      <c r="A6671">
        <v>2012</v>
      </c>
      <c r="B6671" t="s">
        <v>304</v>
      </c>
      <c r="C6671" s="733">
        <v>40952</v>
      </c>
      <c r="D66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71" t="s">
        <v>485</v>
      </c>
      <c r="F6671" t="s">
        <v>2048</v>
      </c>
      <c r="G6671" t="s">
        <v>6413</v>
      </c>
      <c r="H6671">
        <v>41827</v>
      </c>
      <c r="I6671" t="s">
        <v>423</v>
      </c>
      <c r="J6671" t="s">
        <v>4093</v>
      </c>
      <c r="K6671" t="s">
        <v>2051</v>
      </c>
      <c r="L6671" t="s">
        <v>2052</v>
      </c>
      <c r="M6671">
        <v>647</v>
      </c>
      <c r="N6671">
        <v>51.6</v>
      </c>
      <c r="O6671">
        <v>19521.830000000002</v>
      </c>
      <c r="P6671">
        <v>0</v>
      </c>
      <c r="Q6671">
        <v>19521.830000000002</v>
      </c>
      <c r="R6671">
        <v>3123.49</v>
      </c>
      <c r="S6671">
        <v>780.87</v>
      </c>
      <c r="T6671">
        <v>21864.45</v>
      </c>
      <c r="U6671" t="s">
        <v>7568</v>
      </c>
      <c r="V6671" t="s">
        <v>9409</v>
      </c>
      <c r="W6671" t="s">
        <v>423</v>
      </c>
    </row>
    <row r="6672" spans="1:23" hidden="1" x14ac:dyDescent="0.2">
      <c r="A6672">
        <v>2012</v>
      </c>
      <c r="B6672" t="s">
        <v>304</v>
      </c>
      <c r="C6672" s="733">
        <v>40947</v>
      </c>
      <c r="D66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72" t="s">
        <v>478</v>
      </c>
      <c r="F6672" t="s">
        <v>2142</v>
      </c>
      <c r="G6672" t="s">
        <v>5572</v>
      </c>
      <c r="H6672">
        <v>35310</v>
      </c>
      <c r="I6672" t="s">
        <v>423</v>
      </c>
      <c r="J6672" t="s">
        <v>2639</v>
      </c>
      <c r="K6672" t="s">
        <v>2640</v>
      </c>
      <c r="L6672" t="s">
        <v>2641</v>
      </c>
      <c r="M6672">
        <v>274</v>
      </c>
      <c r="N6672">
        <v>49.27</v>
      </c>
      <c r="O6672">
        <v>6333.17</v>
      </c>
      <c r="P6672">
        <v>0</v>
      </c>
      <c r="Q6672">
        <v>6333.17</v>
      </c>
      <c r="R6672">
        <v>1013.31</v>
      </c>
      <c r="S6672">
        <v>253.33</v>
      </c>
      <c r="T6672">
        <v>7093.15</v>
      </c>
      <c r="U6672" t="s">
        <v>2887</v>
      </c>
      <c r="V6672" t="s">
        <v>9409</v>
      </c>
      <c r="W6672" t="s">
        <v>423</v>
      </c>
    </row>
    <row r="6673" spans="1:23" hidden="1" x14ac:dyDescent="0.2">
      <c r="A6673">
        <v>2012</v>
      </c>
      <c r="B6673" t="s">
        <v>304</v>
      </c>
      <c r="C6673" s="733">
        <v>40967.451666666668</v>
      </c>
      <c r="D66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73" t="s">
        <v>478</v>
      </c>
      <c r="F6673" t="s">
        <v>2622</v>
      </c>
      <c r="G6673" t="s">
        <v>9397</v>
      </c>
      <c r="H6673">
        <v>36097</v>
      </c>
      <c r="I6673" t="s">
        <v>423</v>
      </c>
      <c r="J6673" t="s">
        <v>2624</v>
      </c>
      <c r="K6673" t="s">
        <v>2625</v>
      </c>
      <c r="L6673" t="s">
        <v>2626</v>
      </c>
      <c r="M6673">
        <v>10</v>
      </c>
      <c r="N6673">
        <v>25.85</v>
      </c>
      <c r="O6673">
        <v>2917.17</v>
      </c>
      <c r="P6673">
        <v>0</v>
      </c>
      <c r="Q6673">
        <v>2917.17</v>
      </c>
      <c r="R6673">
        <v>466.75</v>
      </c>
      <c r="S6673">
        <v>116.69</v>
      </c>
      <c r="T6673">
        <v>3267.23</v>
      </c>
      <c r="U6673" t="s">
        <v>9428</v>
      </c>
      <c r="V6673" t="s">
        <v>9408</v>
      </c>
      <c r="W6673" t="s">
        <v>423</v>
      </c>
    </row>
    <row r="6674" spans="1:23" hidden="1" x14ac:dyDescent="0.2">
      <c r="A6674">
        <v>2012</v>
      </c>
      <c r="B6674" t="s">
        <v>304</v>
      </c>
      <c r="C6674" s="733">
        <v>40954</v>
      </c>
      <c r="D66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74" t="s">
        <v>478</v>
      </c>
      <c r="F6674" t="s">
        <v>2622</v>
      </c>
      <c r="G6674" t="s">
        <v>8021</v>
      </c>
      <c r="H6674">
        <v>35600</v>
      </c>
      <c r="I6674" t="s">
        <v>423</v>
      </c>
      <c r="J6674" t="s">
        <v>2624</v>
      </c>
      <c r="K6674" t="s">
        <v>2625</v>
      </c>
      <c r="L6674" t="s">
        <v>2626</v>
      </c>
      <c r="M6674">
        <v>10</v>
      </c>
      <c r="N6674">
        <v>22.95</v>
      </c>
      <c r="O6674">
        <v>2589.91</v>
      </c>
      <c r="P6674">
        <v>0</v>
      </c>
      <c r="Q6674">
        <v>2589.91</v>
      </c>
      <c r="R6674">
        <v>414.39</v>
      </c>
      <c r="S6674">
        <v>103.6</v>
      </c>
      <c r="T6674">
        <v>2900.7</v>
      </c>
      <c r="U6674" t="s">
        <v>7548</v>
      </c>
      <c r="V6674" t="s">
        <v>9408</v>
      </c>
      <c r="W6674" t="s">
        <v>423</v>
      </c>
    </row>
    <row r="6675" spans="1:23" hidden="1" x14ac:dyDescent="0.2">
      <c r="A6675">
        <v>2012</v>
      </c>
      <c r="B6675" t="s">
        <v>304</v>
      </c>
      <c r="C6675" s="733">
        <v>40966</v>
      </c>
      <c r="D66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75" t="s">
        <v>478</v>
      </c>
      <c r="F6675" t="s">
        <v>2136</v>
      </c>
      <c r="G6675" t="s">
        <v>9394</v>
      </c>
      <c r="H6675">
        <v>36019</v>
      </c>
      <c r="I6675" t="s">
        <v>423</v>
      </c>
      <c r="J6675" t="s">
        <v>2624</v>
      </c>
      <c r="K6675" t="s">
        <v>2625</v>
      </c>
      <c r="L6675" t="s">
        <v>2626</v>
      </c>
      <c r="M6675">
        <v>10</v>
      </c>
      <c r="N6675">
        <v>23.56</v>
      </c>
      <c r="O6675">
        <v>2658.75</v>
      </c>
      <c r="P6675">
        <v>0</v>
      </c>
      <c r="Q6675">
        <v>2658.75</v>
      </c>
      <c r="R6675">
        <v>425.4</v>
      </c>
      <c r="S6675">
        <v>106.35</v>
      </c>
      <c r="T6675">
        <v>2977.8</v>
      </c>
      <c r="U6675" t="s">
        <v>9428</v>
      </c>
      <c r="V6675" t="s">
        <v>9408</v>
      </c>
      <c r="W6675" t="s">
        <v>423</v>
      </c>
    </row>
    <row r="6676" spans="1:23" hidden="1" x14ac:dyDescent="0.2">
      <c r="A6676">
        <v>2012</v>
      </c>
      <c r="B6676" t="s">
        <v>304</v>
      </c>
      <c r="C6676" s="733">
        <v>40942</v>
      </c>
      <c r="D66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76" t="s">
        <v>478</v>
      </c>
      <c r="F6676" t="s">
        <v>2622</v>
      </c>
      <c r="G6676" t="s">
        <v>5571</v>
      </c>
      <c r="H6676">
        <v>35258</v>
      </c>
      <c r="I6676" t="s">
        <v>423</v>
      </c>
      <c r="J6676" t="s">
        <v>2624</v>
      </c>
      <c r="K6676" t="s">
        <v>2625</v>
      </c>
      <c r="L6676" t="s">
        <v>2626</v>
      </c>
      <c r="M6676">
        <v>10</v>
      </c>
      <c r="N6676">
        <v>25.86</v>
      </c>
      <c r="O6676">
        <v>2918.3</v>
      </c>
      <c r="P6676">
        <v>0</v>
      </c>
      <c r="Q6676">
        <v>2918.3</v>
      </c>
      <c r="R6676">
        <v>466.93</v>
      </c>
      <c r="S6676">
        <v>116.73</v>
      </c>
      <c r="T6676">
        <v>3268.5</v>
      </c>
      <c r="U6676" t="s">
        <v>2630</v>
      </c>
      <c r="V6676" t="s">
        <v>9408</v>
      </c>
      <c r="W6676" t="s">
        <v>423</v>
      </c>
    </row>
    <row r="6677" spans="1:23" hidden="1" x14ac:dyDescent="0.2">
      <c r="A6677">
        <v>2012</v>
      </c>
      <c r="B6677" t="s">
        <v>304</v>
      </c>
      <c r="C6677" s="733">
        <v>40967</v>
      </c>
      <c r="D66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77" t="s">
        <v>478</v>
      </c>
      <c r="F6677" t="s">
        <v>2142</v>
      </c>
      <c r="G6677" t="s">
        <v>9398</v>
      </c>
      <c r="H6677">
        <v>35996</v>
      </c>
      <c r="I6677" t="s">
        <v>423</v>
      </c>
      <c r="J6677" t="s">
        <v>2639</v>
      </c>
      <c r="K6677" t="s">
        <v>2640</v>
      </c>
      <c r="L6677" t="s">
        <v>2641</v>
      </c>
      <c r="M6677">
        <v>274</v>
      </c>
      <c r="N6677">
        <v>47.92</v>
      </c>
      <c r="O6677">
        <v>6159.64</v>
      </c>
      <c r="P6677">
        <v>0</v>
      </c>
      <c r="Q6677">
        <v>6159.64</v>
      </c>
      <c r="R6677">
        <v>985.54</v>
      </c>
      <c r="S6677">
        <v>246.39</v>
      </c>
      <c r="T6677">
        <v>6898.79</v>
      </c>
      <c r="U6677" t="s">
        <v>9475</v>
      </c>
      <c r="V6677" t="s">
        <v>9409</v>
      </c>
      <c r="W6677" t="s">
        <v>423</v>
      </c>
    </row>
    <row r="6678" spans="1:23" hidden="1" x14ac:dyDescent="0.2">
      <c r="A6678">
        <v>2012</v>
      </c>
      <c r="B6678" t="s">
        <v>303</v>
      </c>
      <c r="C6678" s="733">
        <v>40926</v>
      </c>
      <c r="D667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78" t="s">
        <v>478</v>
      </c>
      <c r="F6678" t="s">
        <v>2142</v>
      </c>
      <c r="G6678" t="s">
        <v>5881</v>
      </c>
      <c r="H6678">
        <v>34441</v>
      </c>
      <c r="I6678" t="s">
        <v>423</v>
      </c>
      <c r="J6678" t="s">
        <v>2639</v>
      </c>
      <c r="K6678" t="s">
        <v>2640</v>
      </c>
      <c r="L6678" t="s">
        <v>2641</v>
      </c>
      <c r="M6678">
        <v>274</v>
      </c>
      <c r="N6678">
        <v>52.62</v>
      </c>
      <c r="O6678">
        <v>6763.77</v>
      </c>
      <c r="P6678">
        <v>0</v>
      </c>
      <c r="Q6678">
        <v>6763.77</v>
      </c>
      <c r="R6678">
        <v>1082.2</v>
      </c>
      <c r="S6678">
        <v>270.55</v>
      </c>
      <c r="T6678">
        <v>7575.42</v>
      </c>
      <c r="U6678" t="s">
        <v>2992</v>
      </c>
      <c r="V6678" t="s">
        <v>9409</v>
      </c>
      <c r="W6678" t="s">
        <v>423</v>
      </c>
    </row>
    <row r="6679" spans="1:23" hidden="1" x14ac:dyDescent="0.2">
      <c r="A6679">
        <v>2012</v>
      </c>
      <c r="B6679" t="s">
        <v>303</v>
      </c>
      <c r="C6679" s="733">
        <v>40938.921134259261</v>
      </c>
      <c r="D66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79" t="s">
        <v>478</v>
      </c>
      <c r="F6679" t="s">
        <v>2622</v>
      </c>
      <c r="G6679" t="s">
        <v>5590</v>
      </c>
      <c r="H6679">
        <v>35075</v>
      </c>
      <c r="I6679" t="s">
        <v>423</v>
      </c>
      <c r="J6679" t="s">
        <v>2624</v>
      </c>
      <c r="K6679" t="s">
        <v>2625</v>
      </c>
      <c r="L6679" t="s">
        <v>2626</v>
      </c>
      <c r="M6679">
        <v>10</v>
      </c>
      <c r="N6679">
        <v>24.87</v>
      </c>
      <c r="O6679">
        <v>2806.58</v>
      </c>
      <c r="P6679">
        <v>0</v>
      </c>
      <c r="Q6679">
        <v>2806.58</v>
      </c>
      <c r="R6679">
        <v>449.05</v>
      </c>
      <c r="S6679">
        <v>112.26</v>
      </c>
      <c r="T6679">
        <v>3143.37</v>
      </c>
      <c r="U6679" t="s">
        <v>2630</v>
      </c>
      <c r="V6679" t="s">
        <v>9408</v>
      </c>
      <c r="W6679" t="s">
        <v>423</v>
      </c>
    </row>
    <row r="6680" spans="1:23" hidden="1" x14ac:dyDescent="0.2">
      <c r="A6680">
        <v>2012</v>
      </c>
      <c r="B6680" t="s">
        <v>303</v>
      </c>
      <c r="C6680" s="733">
        <v>40933</v>
      </c>
      <c r="D66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80" t="s">
        <v>478</v>
      </c>
      <c r="F6680" t="s">
        <v>2142</v>
      </c>
      <c r="G6680" t="s">
        <v>6311</v>
      </c>
      <c r="H6680">
        <v>34837</v>
      </c>
      <c r="I6680" t="s">
        <v>423</v>
      </c>
      <c r="J6680" t="s">
        <v>2639</v>
      </c>
      <c r="K6680" t="s">
        <v>2640</v>
      </c>
      <c r="L6680" t="s">
        <v>2641</v>
      </c>
      <c r="M6680">
        <v>274</v>
      </c>
      <c r="N6680">
        <v>46.43</v>
      </c>
      <c r="O6680">
        <v>5968.11</v>
      </c>
      <c r="P6680">
        <v>0</v>
      </c>
      <c r="Q6680">
        <v>5968.11</v>
      </c>
      <c r="R6680">
        <v>954.9</v>
      </c>
      <c r="S6680">
        <v>238.72</v>
      </c>
      <c r="T6680">
        <v>6684.29</v>
      </c>
      <c r="U6680" t="s">
        <v>2642</v>
      </c>
      <c r="V6680" t="s">
        <v>9409</v>
      </c>
      <c r="W6680" t="s">
        <v>423</v>
      </c>
    </row>
    <row r="6681" spans="1:23" hidden="1" x14ac:dyDescent="0.2">
      <c r="A6681">
        <v>2012</v>
      </c>
      <c r="B6681" t="s">
        <v>303</v>
      </c>
      <c r="C6681" s="733">
        <v>40912</v>
      </c>
      <c r="D66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81" t="s">
        <v>478</v>
      </c>
      <c r="F6681" t="s">
        <v>2136</v>
      </c>
      <c r="G6681" t="s">
        <v>5587</v>
      </c>
      <c r="H6681">
        <v>34218</v>
      </c>
      <c r="I6681" t="s">
        <v>423</v>
      </c>
      <c r="J6681" t="s">
        <v>2668</v>
      </c>
      <c r="K6681" t="s">
        <v>2625</v>
      </c>
      <c r="L6681" t="s">
        <v>2626</v>
      </c>
      <c r="M6681">
        <v>76</v>
      </c>
      <c r="N6681">
        <v>23.83</v>
      </c>
      <c r="O6681">
        <v>1132.4000000000001</v>
      </c>
      <c r="P6681">
        <v>1361.2127439999999</v>
      </c>
      <c r="Q6681">
        <v>2493.612744</v>
      </c>
      <c r="R6681">
        <v>398.97803900000002</v>
      </c>
      <c r="S6681">
        <v>99.744510000000005</v>
      </c>
      <c r="T6681">
        <v>2792.8462730000001</v>
      </c>
      <c r="U6681" t="s">
        <v>2627</v>
      </c>
      <c r="V6681" t="s">
        <v>9408</v>
      </c>
      <c r="W6681" t="s">
        <v>423</v>
      </c>
    </row>
    <row r="6682" spans="1:23" hidden="1" x14ac:dyDescent="0.2">
      <c r="A6682">
        <v>2012</v>
      </c>
      <c r="B6682" t="s">
        <v>303</v>
      </c>
      <c r="C6682" s="733">
        <v>40938.924537037034</v>
      </c>
      <c r="D66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82" t="s">
        <v>478</v>
      </c>
      <c r="F6682" t="s">
        <v>2622</v>
      </c>
      <c r="G6682" t="s">
        <v>5588</v>
      </c>
      <c r="H6682">
        <v>35078</v>
      </c>
      <c r="I6682" t="s">
        <v>423</v>
      </c>
      <c r="J6682" t="s">
        <v>2668</v>
      </c>
      <c r="K6682" t="s">
        <v>2625</v>
      </c>
      <c r="L6682" t="s">
        <v>2626</v>
      </c>
      <c r="M6682">
        <v>76</v>
      </c>
      <c r="N6682">
        <v>23.57</v>
      </c>
      <c r="O6682">
        <v>2659.87</v>
      </c>
      <c r="P6682">
        <v>0</v>
      </c>
      <c r="Q6682">
        <v>2659.87</v>
      </c>
      <c r="R6682">
        <v>425.58</v>
      </c>
      <c r="S6682">
        <v>106.39</v>
      </c>
      <c r="T6682">
        <v>2979.06</v>
      </c>
      <c r="U6682" t="s">
        <v>2630</v>
      </c>
      <c r="V6682" t="s">
        <v>9408</v>
      </c>
      <c r="W6682" t="s">
        <v>423</v>
      </c>
    </row>
    <row r="6683" spans="1:23" x14ac:dyDescent="0.2">
      <c r="A6683">
        <v>2012</v>
      </c>
      <c r="B6683" t="s">
        <v>304</v>
      </c>
      <c r="C6683" s="733">
        <v>40967</v>
      </c>
      <c r="D66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83" t="s">
        <v>485</v>
      </c>
      <c r="F6683" t="s">
        <v>2054</v>
      </c>
      <c r="G6683" t="s">
        <v>9395</v>
      </c>
      <c r="H6683">
        <v>42726</v>
      </c>
      <c r="I6683" t="s">
        <v>423</v>
      </c>
      <c r="J6683" t="s">
        <v>4093</v>
      </c>
      <c r="K6683" t="s">
        <v>2051</v>
      </c>
      <c r="L6683" t="s">
        <v>2052</v>
      </c>
      <c r="M6683">
        <v>647</v>
      </c>
      <c r="N6683">
        <v>49.2</v>
      </c>
      <c r="O6683">
        <v>18613.84</v>
      </c>
      <c r="P6683">
        <v>0</v>
      </c>
      <c r="Q6683">
        <v>18613.84</v>
      </c>
      <c r="R6683">
        <v>2978.21</v>
      </c>
      <c r="S6683">
        <v>744.55</v>
      </c>
      <c r="T6683">
        <v>20847.5</v>
      </c>
      <c r="U6683" t="s">
        <v>8780</v>
      </c>
      <c r="V6683" t="s">
        <v>9409</v>
      </c>
      <c r="W6683" t="s">
        <v>423</v>
      </c>
    </row>
    <row r="6684" spans="1:23" hidden="1" x14ac:dyDescent="0.2">
      <c r="A6684">
        <v>2012</v>
      </c>
      <c r="B6684" t="s">
        <v>303</v>
      </c>
      <c r="C6684" s="733">
        <v>40932</v>
      </c>
      <c r="D66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84" t="s">
        <v>485</v>
      </c>
      <c r="F6684" t="s">
        <v>2084</v>
      </c>
      <c r="G6684" t="s">
        <v>6117</v>
      </c>
      <c r="H6684">
        <v>40553</v>
      </c>
      <c r="I6684" t="s">
        <v>423</v>
      </c>
      <c r="J6684" t="s">
        <v>2848</v>
      </c>
      <c r="K6684" t="s">
        <v>2814</v>
      </c>
      <c r="L6684" t="s">
        <v>2815</v>
      </c>
      <c r="M6684">
        <v>708</v>
      </c>
      <c r="N6684">
        <v>25.757000000000001</v>
      </c>
      <c r="O6684">
        <v>10569.13</v>
      </c>
      <c r="P6684">
        <v>0</v>
      </c>
      <c r="Q6684">
        <v>10569.13</v>
      </c>
      <c r="R6684">
        <v>1691.06</v>
      </c>
      <c r="S6684">
        <v>422.77</v>
      </c>
      <c r="T6684">
        <v>11837.42</v>
      </c>
      <c r="U6684" t="s">
        <v>2826</v>
      </c>
      <c r="V6684" t="s">
        <v>9408</v>
      </c>
      <c r="W6684" t="s">
        <v>423</v>
      </c>
    </row>
    <row r="6685" spans="1:23" hidden="1" x14ac:dyDescent="0.2">
      <c r="A6685">
        <v>2012</v>
      </c>
      <c r="B6685" t="s">
        <v>303</v>
      </c>
      <c r="C6685" s="733">
        <v>40934</v>
      </c>
      <c r="D66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85" t="s">
        <v>505</v>
      </c>
      <c r="F6685" t="s">
        <v>1915</v>
      </c>
      <c r="G6685" t="s">
        <v>6651</v>
      </c>
      <c r="H6685">
        <v>22215</v>
      </c>
      <c r="I6685" t="s">
        <v>423</v>
      </c>
      <c r="J6685" t="s">
        <v>1980</v>
      </c>
      <c r="K6685" t="s">
        <v>1918</v>
      </c>
      <c r="L6685" t="s">
        <v>1919</v>
      </c>
      <c r="M6685">
        <v>732</v>
      </c>
      <c r="N6685">
        <v>28.01</v>
      </c>
      <c r="O6685">
        <v>14201.07</v>
      </c>
      <c r="P6685">
        <v>0</v>
      </c>
      <c r="Q6685">
        <v>14201.07</v>
      </c>
      <c r="R6685">
        <v>2272.17</v>
      </c>
      <c r="S6685">
        <v>568.04</v>
      </c>
      <c r="T6685">
        <v>15905.2</v>
      </c>
      <c r="U6685" t="s">
        <v>1926</v>
      </c>
      <c r="V6685" t="s">
        <v>9408</v>
      </c>
      <c r="W6685" t="s">
        <v>423</v>
      </c>
    </row>
    <row r="6686" spans="1:23" hidden="1" x14ac:dyDescent="0.2">
      <c r="A6686">
        <v>2012</v>
      </c>
      <c r="B6686" t="s">
        <v>303</v>
      </c>
      <c r="C6686" s="733">
        <v>40935.83326388889</v>
      </c>
      <c r="D66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86" t="s">
        <v>478</v>
      </c>
      <c r="F6686" t="s">
        <v>2136</v>
      </c>
      <c r="G6686" t="s">
        <v>6653</v>
      </c>
      <c r="H6686">
        <v>34994</v>
      </c>
      <c r="I6686" t="s">
        <v>423</v>
      </c>
      <c r="J6686" t="s">
        <v>2936</v>
      </c>
      <c r="K6686" t="s">
        <v>425</v>
      </c>
      <c r="L6686" t="s">
        <v>2145</v>
      </c>
      <c r="M6686">
        <v>604</v>
      </c>
      <c r="N6686">
        <v>49.39</v>
      </c>
      <c r="O6686">
        <v>15463.52</v>
      </c>
      <c r="P6686">
        <v>0</v>
      </c>
      <c r="Q6686">
        <v>15463.52</v>
      </c>
      <c r="R6686">
        <v>2474.16</v>
      </c>
      <c r="S6686">
        <v>618.54</v>
      </c>
      <c r="T6686">
        <v>17319.14</v>
      </c>
      <c r="U6686" t="s">
        <v>2580</v>
      </c>
      <c r="V6686" t="s">
        <v>9409</v>
      </c>
      <c r="W6686" t="s">
        <v>423</v>
      </c>
    </row>
    <row r="6687" spans="1:23" hidden="1" x14ac:dyDescent="0.2">
      <c r="A6687">
        <v>2012</v>
      </c>
      <c r="B6687" t="s">
        <v>304</v>
      </c>
      <c r="C6687" s="733">
        <v>40959</v>
      </c>
      <c r="D66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87" t="s">
        <v>478</v>
      </c>
      <c r="F6687" t="s">
        <v>2136</v>
      </c>
      <c r="G6687" t="s">
        <v>8231</v>
      </c>
      <c r="H6687">
        <v>35668</v>
      </c>
      <c r="I6687" t="s">
        <v>423</v>
      </c>
      <c r="J6687" t="s">
        <v>2936</v>
      </c>
      <c r="K6687" t="s">
        <v>425</v>
      </c>
      <c r="L6687" t="s">
        <v>2145</v>
      </c>
      <c r="M6687">
        <v>604</v>
      </c>
      <c r="N6687">
        <v>25.53</v>
      </c>
      <c r="O6687">
        <v>7993.19</v>
      </c>
      <c r="P6687">
        <v>0</v>
      </c>
      <c r="Q6687">
        <v>7993.19</v>
      </c>
      <c r="R6687">
        <v>1278.9100000000001</v>
      </c>
      <c r="S6687">
        <v>319.73</v>
      </c>
      <c r="T6687">
        <v>8952.3700000000008</v>
      </c>
      <c r="U6687" t="s">
        <v>8312</v>
      </c>
      <c r="V6687" t="s">
        <v>9408</v>
      </c>
      <c r="W6687" t="s">
        <v>423</v>
      </c>
    </row>
    <row r="6688" spans="1:23" hidden="1" x14ac:dyDescent="0.2">
      <c r="A6688">
        <v>2012</v>
      </c>
      <c r="B6688" t="s">
        <v>304</v>
      </c>
      <c r="C6688" s="733">
        <v>40942</v>
      </c>
      <c r="D66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88" t="s">
        <v>478</v>
      </c>
      <c r="F6688" t="s">
        <v>2136</v>
      </c>
      <c r="G6688" t="s">
        <v>6654</v>
      </c>
      <c r="H6688">
        <v>35202</v>
      </c>
      <c r="I6688" t="s">
        <v>423</v>
      </c>
      <c r="J6688" t="s">
        <v>2936</v>
      </c>
      <c r="K6688" t="s">
        <v>425</v>
      </c>
      <c r="L6688" t="s">
        <v>2145</v>
      </c>
      <c r="M6688">
        <v>604</v>
      </c>
      <c r="N6688">
        <v>45.6</v>
      </c>
      <c r="O6688">
        <v>14276.9</v>
      </c>
      <c r="P6688">
        <v>0</v>
      </c>
      <c r="Q6688">
        <v>14276.9</v>
      </c>
      <c r="R6688">
        <v>2284.3000000000002</v>
      </c>
      <c r="S6688">
        <v>571.08000000000004</v>
      </c>
      <c r="T6688">
        <v>15990.12</v>
      </c>
      <c r="U6688" t="s">
        <v>2938</v>
      </c>
      <c r="V6688" t="s">
        <v>9409</v>
      </c>
      <c r="W6688" t="s">
        <v>423</v>
      </c>
    </row>
    <row r="6689" spans="1:23" hidden="1" x14ac:dyDescent="0.2">
      <c r="A6689">
        <v>2012</v>
      </c>
      <c r="B6689" t="s">
        <v>303</v>
      </c>
      <c r="C6689" s="733">
        <v>40931</v>
      </c>
      <c r="D66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89" t="s">
        <v>478</v>
      </c>
      <c r="F6689" t="s">
        <v>2136</v>
      </c>
      <c r="G6689" t="s">
        <v>6661</v>
      </c>
      <c r="H6689">
        <v>34759</v>
      </c>
      <c r="I6689" t="s">
        <v>423</v>
      </c>
      <c r="J6689" t="s">
        <v>2936</v>
      </c>
      <c r="K6689" t="s">
        <v>425</v>
      </c>
      <c r="L6689" t="s">
        <v>2145</v>
      </c>
      <c r="M6689">
        <v>604</v>
      </c>
      <c r="N6689">
        <v>46.69</v>
      </c>
      <c r="O6689">
        <v>14618.17</v>
      </c>
      <c r="P6689">
        <v>0</v>
      </c>
      <c r="Q6689">
        <v>14618.17</v>
      </c>
      <c r="R6689">
        <v>2338.91</v>
      </c>
      <c r="S6689">
        <v>584.73</v>
      </c>
      <c r="T6689">
        <v>16372.35</v>
      </c>
      <c r="U6689" t="s">
        <v>2355</v>
      </c>
      <c r="V6689" t="s">
        <v>9409</v>
      </c>
      <c r="W6689" t="s">
        <v>423</v>
      </c>
    </row>
    <row r="6690" spans="1:23" hidden="1" x14ac:dyDescent="0.2">
      <c r="A6690">
        <v>2012</v>
      </c>
      <c r="B6690" t="s">
        <v>304</v>
      </c>
      <c r="C6690" s="733">
        <v>40962</v>
      </c>
      <c r="D66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90" t="s">
        <v>478</v>
      </c>
      <c r="F6690" t="s">
        <v>2136</v>
      </c>
      <c r="G6690" t="s">
        <v>8701</v>
      </c>
      <c r="H6690">
        <v>35970</v>
      </c>
      <c r="I6690" t="s">
        <v>423</v>
      </c>
      <c r="J6690" t="s">
        <v>2936</v>
      </c>
      <c r="K6690" t="s">
        <v>425</v>
      </c>
      <c r="L6690" t="s">
        <v>2145</v>
      </c>
      <c r="M6690">
        <v>604</v>
      </c>
      <c r="N6690">
        <v>28.56</v>
      </c>
      <c r="O6690">
        <v>8941.85</v>
      </c>
      <c r="P6690">
        <v>0</v>
      </c>
      <c r="Q6690">
        <v>8941.85</v>
      </c>
      <c r="R6690">
        <v>1430.7</v>
      </c>
      <c r="S6690">
        <v>357.67</v>
      </c>
      <c r="T6690">
        <v>10014.879999999999</v>
      </c>
      <c r="U6690" t="s">
        <v>9457</v>
      </c>
      <c r="V6690" t="s">
        <v>9408</v>
      </c>
      <c r="W6690" t="s">
        <v>423</v>
      </c>
    </row>
    <row r="6691" spans="1:23" hidden="1" x14ac:dyDescent="0.2">
      <c r="A6691">
        <v>2012</v>
      </c>
      <c r="B6691" t="s">
        <v>304</v>
      </c>
      <c r="C6691" s="733">
        <v>40961</v>
      </c>
      <c r="D66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91" t="s">
        <v>478</v>
      </c>
      <c r="F6691" t="s">
        <v>2136</v>
      </c>
      <c r="G6691" t="s">
        <v>8481</v>
      </c>
      <c r="H6691">
        <v>35778</v>
      </c>
      <c r="I6691" t="s">
        <v>423</v>
      </c>
      <c r="J6691" t="s">
        <v>2936</v>
      </c>
      <c r="K6691" t="s">
        <v>425</v>
      </c>
      <c r="L6691" t="s">
        <v>2145</v>
      </c>
      <c r="M6691">
        <v>604</v>
      </c>
      <c r="N6691">
        <v>24.22</v>
      </c>
      <c r="O6691">
        <v>7583.04</v>
      </c>
      <c r="P6691">
        <v>0</v>
      </c>
      <c r="Q6691">
        <v>7583.04</v>
      </c>
      <c r="R6691">
        <v>1213.29</v>
      </c>
      <c r="S6691">
        <v>303.32</v>
      </c>
      <c r="T6691">
        <v>8493.01</v>
      </c>
      <c r="U6691" t="s">
        <v>9457</v>
      </c>
      <c r="V6691" t="s">
        <v>9408</v>
      </c>
      <c r="W6691" t="s">
        <v>423</v>
      </c>
    </row>
    <row r="6692" spans="1:23" hidden="1" x14ac:dyDescent="0.2">
      <c r="A6692">
        <v>2012</v>
      </c>
      <c r="B6692" t="s">
        <v>304</v>
      </c>
      <c r="C6692" s="733">
        <v>40960</v>
      </c>
      <c r="D66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92" t="s">
        <v>478</v>
      </c>
      <c r="F6692" t="s">
        <v>2136</v>
      </c>
      <c r="G6692" t="s">
        <v>8314</v>
      </c>
      <c r="H6692">
        <v>35887</v>
      </c>
      <c r="I6692" t="s">
        <v>423</v>
      </c>
      <c r="J6692" t="s">
        <v>2668</v>
      </c>
      <c r="K6692" t="s">
        <v>2625</v>
      </c>
      <c r="L6692" t="s">
        <v>2626</v>
      </c>
      <c r="M6692">
        <v>76</v>
      </c>
      <c r="N6692">
        <v>23.44</v>
      </c>
      <c r="O6692">
        <v>2645.2</v>
      </c>
      <c r="P6692">
        <v>0</v>
      </c>
      <c r="Q6692">
        <v>2645.2</v>
      </c>
      <c r="R6692">
        <v>423.23</v>
      </c>
      <c r="S6692">
        <v>105.81</v>
      </c>
      <c r="T6692">
        <v>2962.62</v>
      </c>
      <c r="U6692" t="s">
        <v>8267</v>
      </c>
      <c r="V6692" t="s">
        <v>9408</v>
      </c>
      <c r="W6692" t="s">
        <v>423</v>
      </c>
    </row>
    <row r="6693" spans="1:23" hidden="1" x14ac:dyDescent="0.2">
      <c r="A6693">
        <v>2012</v>
      </c>
      <c r="B6693" t="s">
        <v>303</v>
      </c>
      <c r="C6693" s="733">
        <v>40928.730532407404</v>
      </c>
      <c r="D66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93" t="s">
        <v>478</v>
      </c>
      <c r="F6693" t="s">
        <v>2622</v>
      </c>
      <c r="G6693" t="s">
        <v>2961</v>
      </c>
      <c r="H6693">
        <v>34781</v>
      </c>
      <c r="I6693" t="s">
        <v>423</v>
      </c>
      <c r="J6693" t="s">
        <v>2668</v>
      </c>
      <c r="K6693" t="s">
        <v>2625</v>
      </c>
      <c r="L6693" t="s">
        <v>2626</v>
      </c>
      <c r="M6693">
        <v>76</v>
      </c>
      <c r="N6693">
        <v>25.44</v>
      </c>
      <c r="O6693">
        <v>2870.9</v>
      </c>
      <c r="P6693">
        <v>0</v>
      </c>
      <c r="Q6693">
        <v>2870.9</v>
      </c>
      <c r="R6693">
        <v>459.34</v>
      </c>
      <c r="S6693">
        <v>114.84</v>
      </c>
      <c r="T6693">
        <v>3215.4</v>
      </c>
      <c r="V6693" t="s">
        <v>9408</v>
      </c>
      <c r="W6693" t="s">
        <v>423</v>
      </c>
    </row>
    <row r="6694" spans="1:23" hidden="1" x14ac:dyDescent="0.2">
      <c r="A6694">
        <v>2012</v>
      </c>
      <c r="B6694" t="s">
        <v>303</v>
      </c>
      <c r="C6694" s="733">
        <v>40918.471921296295</v>
      </c>
      <c r="D66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94" t="s">
        <v>478</v>
      </c>
      <c r="F6694" t="s">
        <v>2622</v>
      </c>
      <c r="G6694" t="s">
        <v>2965</v>
      </c>
      <c r="H6694">
        <v>34380</v>
      </c>
      <c r="I6694" t="s">
        <v>423</v>
      </c>
      <c r="J6694" t="s">
        <v>2668</v>
      </c>
      <c r="K6694" t="s">
        <v>2625</v>
      </c>
      <c r="L6694" t="s">
        <v>2626</v>
      </c>
      <c r="M6694">
        <v>76</v>
      </c>
      <c r="N6694">
        <v>26.29</v>
      </c>
      <c r="O6694">
        <v>2966.83</v>
      </c>
      <c r="P6694">
        <v>0</v>
      </c>
      <c r="Q6694">
        <v>2966.83</v>
      </c>
      <c r="R6694">
        <v>474.69</v>
      </c>
      <c r="S6694">
        <v>118.67</v>
      </c>
      <c r="T6694">
        <v>3322.85</v>
      </c>
      <c r="U6694" t="s">
        <v>2627</v>
      </c>
      <c r="V6694" t="s">
        <v>9408</v>
      </c>
      <c r="W6694" t="s">
        <v>423</v>
      </c>
    </row>
    <row r="6695" spans="1:23" hidden="1" x14ac:dyDescent="0.2">
      <c r="A6695">
        <v>2012</v>
      </c>
      <c r="B6695" t="s">
        <v>304</v>
      </c>
      <c r="C6695" s="733">
        <v>40940</v>
      </c>
      <c r="D66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95" t="s">
        <v>485</v>
      </c>
      <c r="F6695" t="s">
        <v>2084</v>
      </c>
      <c r="G6695" t="s">
        <v>5953</v>
      </c>
      <c r="H6695">
        <v>41017</v>
      </c>
      <c r="I6695" t="s">
        <v>423</v>
      </c>
      <c r="J6695" t="s">
        <v>2848</v>
      </c>
      <c r="K6695" t="s">
        <v>2814</v>
      </c>
      <c r="L6695" t="s">
        <v>2815</v>
      </c>
      <c r="M6695">
        <v>708</v>
      </c>
      <c r="N6695">
        <v>23.597000000000001</v>
      </c>
      <c r="O6695">
        <v>9682.7900000000009</v>
      </c>
      <c r="P6695">
        <v>0</v>
      </c>
      <c r="Q6695">
        <v>9682.7900000000009</v>
      </c>
      <c r="R6695">
        <v>1549.25</v>
      </c>
      <c r="S6695">
        <v>387.31</v>
      </c>
      <c r="T6695">
        <v>10844.73</v>
      </c>
      <c r="U6695" t="s">
        <v>8522</v>
      </c>
      <c r="V6695" t="s">
        <v>9408</v>
      </c>
      <c r="W6695" t="s">
        <v>423</v>
      </c>
    </row>
    <row r="6696" spans="1:23" hidden="1" x14ac:dyDescent="0.2">
      <c r="A6696">
        <v>2012</v>
      </c>
      <c r="B6696" t="s">
        <v>304</v>
      </c>
      <c r="C6696" s="733">
        <v>40940</v>
      </c>
      <c r="D66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96" t="s">
        <v>485</v>
      </c>
      <c r="F6696" t="s">
        <v>2084</v>
      </c>
      <c r="G6696" t="s">
        <v>5954</v>
      </c>
      <c r="H6696">
        <v>41137</v>
      </c>
      <c r="I6696" t="s">
        <v>423</v>
      </c>
      <c r="J6696" t="s">
        <v>2848</v>
      </c>
      <c r="K6696" t="s">
        <v>2814</v>
      </c>
      <c r="L6696" t="s">
        <v>2815</v>
      </c>
      <c r="M6696">
        <v>708</v>
      </c>
      <c r="N6696">
        <v>27.803999999999998</v>
      </c>
      <c r="O6696">
        <v>11409.09</v>
      </c>
      <c r="P6696">
        <v>0</v>
      </c>
      <c r="Q6696">
        <v>11409.09</v>
      </c>
      <c r="R6696">
        <v>1825.45</v>
      </c>
      <c r="S6696">
        <v>456.36</v>
      </c>
      <c r="T6696">
        <v>12778.18</v>
      </c>
      <c r="U6696" t="s">
        <v>8522</v>
      </c>
      <c r="V6696" t="s">
        <v>9408</v>
      </c>
      <c r="W6696" t="s">
        <v>423</v>
      </c>
    </row>
    <row r="6697" spans="1:23" hidden="1" x14ac:dyDescent="0.2">
      <c r="A6697">
        <v>2012</v>
      </c>
      <c r="B6697" t="s">
        <v>304</v>
      </c>
      <c r="C6697" s="733">
        <v>40953</v>
      </c>
      <c r="D66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97" t="s">
        <v>485</v>
      </c>
      <c r="F6697" t="s">
        <v>2084</v>
      </c>
      <c r="G6697" t="s">
        <v>5955</v>
      </c>
      <c r="H6697">
        <v>41558</v>
      </c>
      <c r="I6697" t="s">
        <v>423</v>
      </c>
      <c r="J6697" t="s">
        <v>2848</v>
      </c>
      <c r="K6697" t="s">
        <v>2814</v>
      </c>
      <c r="L6697" t="s">
        <v>2815</v>
      </c>
      <c r="M6697">
        <v>708</v>
      </c>
      <c r="N6697">
        <v>24.899000000000001</v>
      </c>
      <c r="O6697">
        <v>10217.06</v>
      </c>
      <c r="P6697">
        <v>0</v>
      </c>
      <c r="Q6697">
        <v>10217.06</v>
      </c>
      <c r="R6697">
        <v>1123.8800000000001</v>
      </c>
      <c r="S6697">
        <v>408.68</v>
      </c>
      <c r="T6697">
        <v>10932.26</v>
      </c>
      <c r="U6697" t="s">
        <v>7527</v>
      </c>
      <c r="V6697" t="s">
        <v>9408</v>
      </c>
      <c r="W6697" t="s">
        <v>423</v>
      </c>
    </row>
    <row r="6698" spans="1:23" hidden="1" x14ac:dyDescent="0.2">
      <c r="A6698">
        <v>2012</v>
      </c>
      <c r="B6698" t="s">
        <v>303</v>
      </c>
      <c r="C6698" s="733">
        <v>40938</v>
      </c>
      <c r="D66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698" t="s">
        <v>485</v>
      </c>
      <c r="F6698" t="s">
        <v>2065</v>
      </c>
      <c r="G6698" t="s">
        <v>5952</v>
      </c>
      <c r="H6698">
        <v>39851</v>
      </c>
      <c r="I6698" t="s">
        <v>423</v>
      </c>
      <c r="J6698" t="s">
        <v>2848</v>
      </c>
      <c r="K6698" t="s">
        <v>2814</v>
      </c>
      <c r="L6698" t="s">
        <v>2815</v>
      </c>
      <c r="M6698">
        <v>708</v>
      </c>
      <c r="N6698">
        <v>23.815999999999999</v>
      </c>
      <c r="O6698">
        <v>9772.66</v>
      </c>
      <c r="P6698">
        <v>0</v>
      </c>
      <c r="Q6698">
        <v>9772.66</v>
      </c>
      <c r="R6698">
        <v>1563.63</v>
      </c>
      <c r="S6698">
        <v>390.91</v>
      </c>
      <c r="T6698">
        <v>10945.38</v>
      </c>
      <c r="U6698" t="s">
        <v>2826</v>
      </c>
      <c r="V6698" t="s">
        <v>9408</v>
      </c>
      <c r="W6698" t="s">
        <v>423</v>
      </c>
    </row>
    <row r="6699" spans="1:23" hidden="1" x14ac:dyDescent="0.2">
      <c r="A6699">
        <v>2012</v>
      </c>
      <c r="B6699" t="s">
        <v>304</v>
      </c>
      <c r="C6699" s="733">
        <v>40948</v>
      </c>
      <c r="D66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699" t="s">
        <v>505</v>
      </c>
      <c r="F6699" t="s">
        <v>2065</v>
      </c>
      <c r="G6699" t="s">
        <v>7046</v>
      </c>
      <c r="H6699">
        <v>22572</v>
      </c>
      <c r="I6699" t="s">
        <v>424</v>
      </c>
      <c r="J6699" t="s">
        <v>4262</v>
      </c>
      <c r="K6699" t="s">
        <v>1918</v>
      </c>
      <c r="L6699" t="s">
        <v>1919</v>
      </c>
      <c r="M6699">
        <v>845</v>
      </c>
      <c r="N6699">
        <v>30</v>
      </c>
      <c r="O6699">
        <v>6948.82</v>
      </c>
      <c r="P6699">
        <v>3993.4173660000001</v>
      </c>
      <c r="Q6699">
        <v>10942.237365999999</v>
      </c>
      <c r="R6699">
        <v>1750.757979</v>
      </c>
      <c r="S6699">
        <v>437.68949500000002</v>
      </c>
      <c r="T6699">
        <v>12255.305850000001</v>
      </c>
      <c r="U6699" t="s">
        <v>1924</v>
      </c>
      <c r="V6699" t="s">
        <v>9408</v>
      </c>
      <c r="W6699" t="s">
        <v>424</v>
      </c>
    </row>
    <row r="6700" spans="1:23" hidden="1" x14ac:dyDescent="0.2">
      <c r="A6700">
        <v>2012</v>
      </c>
      <c r="B6700" t="s">
        <v>303</v>
      </c>
      <c r="C6700" s="733">
        <v>40929</v>
      </c>
      <c r="D67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00" t="s">
        <v>478</v>
      </c>
      <c r="F6700" t="s">
        <v>2136</v>
      </c>
      <c r="G6700" t="s">
        <v>4192</v>
      </c>
      <c r="H6700">
        <v>34676</v>
      </c>
      <c r="I6700" t="s">
        <v>423</v>
      </c>
      <c r="J6700" t="s">
        <v>2936</v>
      </c>
      <c r="K6700" t="s">
        <v>425</v>
      </c>
      <c r="L6700" t="s">
        <v>2145</v>
      </c>
      <c r="M6700">
        <v>604</v>
      </c>
      <c r="N6700">
        <v>22.9</v>
      </c>
      <c r="O6700">
        <v>7169.76</v>
      </c>
      <c r="P6700">
        <v>0</v>
      </c>
      <c r="Q6700">
        <v>7169.76</v>
      </c>
      <c r="R6700">
        <v>1147.1600000000001</v>
      </c>
      <c r="S6700">
        <v>286.79000000000002</v>
      </c>
      <c r="T6700">
        <v>8030.13</v>
      </c>
      <c r="U6700" t="s">
        <v>2355</v>
      </c>
      <c r="V6700" t="s">
        <v>9408</v>
      </c>
      <c r="W6700" t="s">
        <v>423</v>
      </c>
    </row>
    <row r="6701" spans="1:23" hidden="1" x14ac:dyDescent="0.2">
      <c r="A6701">
        <v>2012</v>
      </c>
      <c r="B6701" t="s">
        <v>303</v>
      </c>
      <c r="C6701" s="733">
        <v>40921</v>
      </c>
      <c r="D67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01" t="s">
        <v>478</v>
      </c>
      <c r="F6701" t="s">
        <v>2136</v>
      </c>
      <c r="G6701" t="s">
        <v>4190</v>
      </c>
      <c r="H6701">
        <v>34318</v>
      </c>
      <c r="I6701" t="s">
        <v>423</v>
      </c>
      <c r="J6701" t="s">
        <v>2936</v>
      </c>
      <c r="K6701" t="s">
        <v>425</v>
      </c>
      <c r="L6701" t="s">
        <v>2145</v>
      </c>
      <c r="M6701">
        <v>604</v>
      </c>
      <c r="N6701">
        <v>25.68</v>
      </c>
      <c r="O6701">
        <v>8040.15</v>
      </c>
      <c r="P6701">
        <v>0</v>
      </c>
      <c r="Q6701">
        <v>8040.15</v>
      </c>
      <c r="R6701">
        <v>1286.42</v>
      </c>
      <c r="S6701">
        <v>321.61</v>
      </c>
      <c r="T6701">
        <v>9004.9599999999991</v>
      </c>
      <c r="U6701" t="s">
        <v>2352</v>
      </c>
      <c r="V6701" t="s">
        <v>9408</v>
      </c>
      <c r="W6701" t="s">
        <v>423</v>
      </c>
    </row>
    <row r="6702" spans="1:23" hidden="1" x14ac:dyDescent="0.2">
      <c r="A6702">
        <v>2012</v>
      </c>
      <c r="B6702" t="s">
        <v>303</v>
      </c>
      <c r="C6702" s="733">
        <v>40925</v>
      </c>
      <c r="D67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02" t="s">
        <v>478</v>
      </c>
      <c r="F6702" t="s">
        <v>2136</v>
      </c>
      <c r="G6702" t="s">
        <v>5924</v>
      </c>
      <c r="H6702">
        <v>34654</v>
      </c>
      <c r="I6702" t="s">
        <v>423</v>
      </c>
      <c r="J6702" t="s">
        <v>2936</v>
      </c>
      <c r="K6702" t="s">
        <v>425</v>
      </c>
      <c r="L6702" t="s">
        <v>2145</v>
      </c>
      <c r="M6702">
        <v>604</v>
      </c>
      <c r="N6702">
        <v>45.14</v>
      </c>
      <c r="O6702">
        <v>14132.88</v>
      </c>
      <c r="P6702">
        <v>0</v>
      </c>
      <c r="Q6702">
        <v>14132.88</v>
      </c>
      <c r="R6702">
        <v>2261.2600000000002</v>
      </c>
      <c r="S6702">
        <v>565.32000000000005</v>
      </c>
      <c r="T6702">
        <v>15828.82</v>
      </c>
      <c r="U6702" t="s">
        <v>2927</v>
      </c>
      <c r="V6702" t="s">
        <v>9409</v>
      </c>
      <c r="W6702" t="s">
        <v>423</v>
      </c>
    </row>
    <row r="6703" spans="1:23" hidden="1" x14ac:dyDescent="0.2">
      <c r="A6703">
        <v>2012</v>
      </c>
      <c r="B6703" t="s">
        <v>304</v>
      </c>
      <c r="C6703" s="733">
        <v>40941</v>
      </c>
      <c r="D67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03" t="s">
        <v>478</v>
      </c>
      <c r="F6703" t="s">
        <v>2136</v>
      </c>
      <c r="G6703" t="s">
        <v>5923</v>
      </c>
      <c r="H6703">
        <v>35189</v>
      </c>
      <c r="I6703" t="s">
        <v>423</v>
      </c>
      <c r="J6703" t="s">
        <v>2936</v>
      </c>
      <c r="K6703" t="s">
        <v>425</v>
      </c>
      <c r="L6703" t="s">
        <v>2145</v>
      </c>
      <c r="M6703">
        <v>604</v>
      </c>
      <c r="N6703">
        <v>25.19</v>
      </c>
      <c r="O6703">
        <v>7886.74</v>
      </c>
      <c r="P6703">
        <v>0</v>
      </c>
      <c r="Q6703">
        <v>7886.74</v>
      </c>
      <c r="R6703">
        <v>1261.8800000000001</v>
      </c>
      <c r="S6703">
        <v>315.47000000000003</v>
      </c>
      <c r="T6703">
        <v>8833.15</v>
      </c>
      <c r="U6703" t="s">
        <v>8510</v>
      </c>
      <c r="V6703" t="s">
        <v>9408</v>
      </c>
      <c r="W6703" t="s">
        <v>423</v>
      </c>
    </row>
    <row r="6704" spans="1:23" hidden="1" x14ac:dyDescent="0.2">
      <c r="A6704">
        <v>2012</v>
      </c>
      <c r="B6704" t="s">
        <v>304</v>
      </c>
      <c r="C6704" s="733">
        <v>40954</v>
      </c>
      <c r="D67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04" t="s">
        <v>478</v>
      </c>
      <c r="F6704" t="s">
        <v>2142</v>
      </c>
      <c r="G6704" t="s">
        <v>7647</v>
      </c>
      <c r="H6704">
        <v>35584</v>
      </c>
      <c r="I6704" t="s">
        <v>423</v>
      </c>
      <c r="J6704" t="s">
        <v>2936</v>
      </c>
      <c r="K6704" t="s">
        <v>425</v>
      </c>
      <c r="L6704" t="s">
        <v>2145</v>
      </c>
      <c r="M6704">
        <v>604</v>
      </c>
      <c r="N6704">
        <v>43.92</v>
      </c>
      <c r="O6704">
        <v>13750.91</v>
      </c>
      <c r="P6704">
        <v>0</v>
      </c>
      <c r="Q6704">
        <v>13750.91</v>
      </c>
      <c r="R6704">
        <v>2200.15</v>
      </c>
      <c r="S6704">
        <v>550.04</v>
      </c>
      <c r="T6704">
        <v>15401.02</v>
      </c>
      <c r="U6704" t="s">
        <v>7523</v>
      </c>
      <c r="V6704" t="s">
        <v>9409</v>
      </c>
      <c r="W6704" t="s">
        <v>423</v>
      </c>
    </row>
    <row r="6705" spans="1:23" hidden="1" x14ac:dyDescent="0.2">
      <c r="A6705">
        <v>2012</v>
      </c>
      <c r="B6705" t="s">
        <v>303</v>
      </c>
      <c r="C6705" s="733">
        <v>40920</v>
      </c>
      <c r="D67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05" t="s">
        <v>478</v>
      </c>
      <c r="F6705" t="s">
        <v>2136</v>
      </c>
      <c r="G6705" t="s">
        <v>7135</v>
      </c>
      <c r="H6705">
        <v>34424</v>
      </c>
      <c r="I6705" t="s">
        <v>423</v>
      </c>
      <c r="J6705" t="s">
        <v>2936</v>
      </c>
      <c r="K6705" t="s">
        <v>425</v>
      </c>
      <c r="L6705" t="s">
        <v>2145</v>
      </c>
      <c r="M6705">
        <v>604</v>
      </c>
      <c r="N6705">
        <v>49.71</v>
      </c>
      <c r="O6705">
        <v>15563.7</v>
      </c>
      <c r="P6705">
        <v>0</v>
      </c>
      <c r="Q6705">
        <v>15563.7</v>
      </c>
      <c r="R6705">
        <v>2490.19</v>
      </c>
      <c r="S6705">
        <v>622.54999999999995</v>
      </c>
      <c r="T6705">
        <v>17431.34</v>
      </c>
      <c r="U6705" t="s">
        <v>2927</v>
      </c>
      <c r="V6705" t="s">
        <v>9409</v>
      </c>
      <c r="W6705" t="s">
        <v>423</v>
      </c>
    </row>
    <row r="6706" spans="1:23" hidden="1" x14ac:dyDescent="0.2">
      <c r="A6706">
        <v>2012</v>
      </c>
      <c r="B6706" t="s">
        <v>303</v>
      </c>
      <c r="C6706" s="733">
        <v>40934</v>
      </c>
      <c r="D67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06" t="s">
        <v>478</v>
      </c>
      <c r="F6706" t="s">
        <v>2136</v>
      </c>
      <c r="G6706" t="s">
        <v>7136</v>
      </c>
      <c r="H6706">
        <v>34953</v>
      </c>
      <c r="I6706" t="s">
        <v>423</v>
      </c>
      <c r="J6706" t="s">
        <v>2936</v>
      </c>
      <c r="K6706" t="s">
        <v>425</v>
      </c>
      <c r="L6706" t="s">
        <v>2145</v>
      </c>
      <c r="M6706">
        <v>604</v>
      </c>
      <c r="N6706">
        <v>24.74</v>
      </c>
      <c r="O6706">
        <v>7745.85</v>
      </c>
      <c r="P6706">
        <v>0</v>
      </c>
      <c r="Q6706">
        <v>7745.85</v>
      </c>
      <c r="R6706">
        <v>1239.3399999999999</v>
      </c>
      <c r="S6706">
        <v>309.83</v>
      </c>
      <c r="T6706">
        <v>8675.36</v>
      </c>
      <c r="U6706" t="s">
        <v>2355</v>
      </c>
      <c r="V6706" t="s">
        <v>9409</v>
      </c>
      <c r="W6706" t="s">
        <v>423</v>
      </c>
    </row>
    <row r="6707" spans="1:23" hidden="1" x14ac:dyDescent="0.2">
      <c r="A6707">
        <v>2012</v>
      </c>
      <c r="B6707" t="s">
        <v>304</v>
      </c>
      <c r="C6707" s="733">
        <v>40947</v>
      </c>
      <c r="D67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07" t="s">
        <v>478</v>
      </c>
      <c r="F6707" t="s">
        <v>2136</v>
      </c>
      <c r="G6707" t="s">
        <v>7134</v>
      </c>
      <c r="H6707">
        <v>35320</v>
      </c>
      <c r="I6707" t="s">
        <v>423</v>
      </c>
      <c r="J6707" t="s">
        <v>5307</v>
      </c>
      <c r="K6707" t="s">
        <v>425</v>
      </c>
      <c r="L6707" t="s">
        <v>2145</v>
      </c>
      <c r="M6707">
        <v>1365</v>
      </c>
      <c r="N6707">
        <v>45</v>
      </c>
      <c r="O6707">
        <v>40805.550000000003</v>
      </c>
      <c r="P6707">
        <v>0</v>
      </c>
      <c r="Q6707">
        <v>40805.550000000003</v>
      </c>
      <c r="R6707">
        <v>6528.89</v>
      </c>
      <c r="S6707">
        <v>1632.22</v>
      </c>
      <c r="T6707">
        <v>45702.22</v>
      </c>
      <c r="U6707" t="s">
        <v>3115</v>
      </c>
      <c r="V6707" t="s">
        <v>9409</v>
      </c>
      <c r="W6707" t="s">
        <v>423</v>
      </c>
    </row>
    <row r="6708" spans="1:23" hidden="1" x14ac:dyDescent="0.2">
      <c r="A6708">
        <v>2012</v>
      </c>
      <c r="B6708" t="s">
        <v>303</v>
      </c>
      <c r="C6708" s="733">
        <v>40927</v>
      </c>
      <c r="D67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08" t="s">
        <v>478</v>
      </c>
      <c r="F6708" t="s">
        <v>2136</v>
      </c>
      <c r="G6708" t="s">
        <v>4191</v>
      </c>
      <c r="H6708">
        <v>34678</v>
      </c>
      <c r="I6708" t="s">
        <v>423</v>
      </c>
      <c r="J6708" t="s">
        <v>2936</v>
      </c>
      <c r="K6708" t="s">
        <v>425</v>
      </c>
      <c r="L6708" t="s">
        <v>2145</v>
      </c>
      <c r="M6708">
        <v>604</v>
      </c>
      <c r="N6708">
        <v>24.53</v>
      </c>
      <c r="O6708">
        <v>7680.1</v>
      </c>
      <c r="P6708">
        <v>0</v>
      </c>
      <c r="Q6708">
        <v>7680.1</v>
      </c>
      <c r="R6708">
        <v>1228.82</v>
      </c>
      <c r="S6708">
        <v>307.2</v>
      </c>
      <c r="T6708">
        <v>8601.7199999999993</v>
      </c>
      <c r="U6708" t="s">
        <v>2146</v>
      </c>
      <c r="V6708" t="s">
        <v>9408</v>
      </c>
      <c r="W6708" t="s">
        <v>423</v>
      </c>
    </row>
    <row r="6709" spans="1:23" hidden="1" x14ac:dyDescent="0.2">
      <c r="A6709">
        <v>2012</v>
      </c>
      <c r="B6709" t="s">
        <v>304</v>
      </c>
      <c r="C6709" s="733">
        <v>40954</v>
      </c>
      <c r="D67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09" t="s">
        <v>478</v>
      </c>
      <c r="F6709" t="s">
        <v>2136</v>
      </c>
      <c r="G6709" t="s">
        <v>7871</v>
      </c>
      <c r="H6709">
        <v>35527</v>
      </c>
      <c r="I6709" t="s">
        <v>423</v>
      </c>
      <c r="J6709" t="s">
        <v>5307</v>
      </c>
      <c r="K6709" t="s">
        <v>425</v>
      </c>
      <c r="L6709" t="s">
        <v>2145</v>
      </c>
      <c r="M6709">
        <v>1365</v>
      </c>
      <c r="N6709">
        <v>45.32</v>
      </c>
      <c r="O6709">
        <v>41095.72</v>
      </c>
      <c r="P6709">
        <v>0</v>
      </c>
      <c r="Q6709">
        <v>41095.72</v>
      </c>
      <c r="R6709">
        <v>6575.32</v>
      </c>
      <c r="S6709">
        <v>1643.83</v>
      </c>
      <c r="T6709">
        <v>46027.21</v>
      </c>
      <c r="U6709" t="s">
        <v>7523</v>
      </c>
      <c r="V6709" t="s">
        <v>9409</v>
      </c>
      <c r="W6709" t="s">
        <v>423</v>
      </c>
    </row>
    <row r="6710" spans="1:23" hidden="1" x14ac:dyDescent="0.2">
      <c r="A6710">
        <v>2012</v>
      </c>
      <c r="B6710" t="s">
        <v>304</v>
      </c>
      <c r="C6710" s="733">
        <v>40962</v>
      </c>
      <c r="D67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10" t="s">
        <v>478</v>
      </c>
      <c r="F6710" t="s">
        <v>2136</v>
      </c>
      <c r="G6710" t="s">
        <v>8607</v>
      </c>
      <c r="H6710">
        <v>35960</v>
      </c>
      <c r="I6710" t="s">
        <v>423</v>
      </c>
      <c r="J6710" t="s">
        <v>3329</v>
      </c>
      <c r="K6710" t="s">
        <v>425</v>
      </c>
      <c r="L6710" t="s">
        <v>2145</v>
      </c>
      <c r="M6710">
        <v>596</v>
      </c>
      <c r="N6710">
        <v>24.98</v>
      </c>
      <c r="O6710">
        <v>8106.01</v>
      </c>
      <c r="P6710">
        <v>0</v>
      </c>
      <c r="Q6710">
        <v>8106.01</v>
      </c>
      <c r="R6710">
        <v>1296.96</v>
      </c>
      <c r="S6710">
        <v>324.24</v>
      </c>
      <c r="T6710">
        <v>9078.73</v>
      </c>
      <c r="U6710" t="s">
        <v>9457</v>
      </c>
      <c r="V6710" t="s">
        <v>9408</v>
      </c>
      <c r="W6710" t="s">
        <v>423</v>
      </c>
    </row>
    <row r="6711" spans="1:23" hidden="1" x14ac:dyDescent="0.2">
      <c r="A6711">
        <v>2012</v>
      </c>
      <c r="B6711" t="s">
        <v>305</v>
      </c>
      <c r="C6711" s="733">
        <v>40969</v>
      </c>
      <c r="D6711" s="733" t="str">
        <f>CHOOSE(MONTH(Tabla_sqldatos_bonampakdb_Bon_v_ingresos2012[[#This Row],[fecha_guia]]),"Enero","Febrero","Marzo","Abril","Mayo","Junio","Julio","Agosto","Septiembre","Octubre","Noviembre","Diciembre")</f>
        <v>Marzo</v>
      </c>
      <c r="E6711" t="s">
        <v>505</v>
      </c>
      <c r="F6711" t="s">
        <v>1915</v>
      </c>
      <c r="G6711" t="s">
        <v>9512</v>
      </c>
      <c r="H6711">
        <v>23107</v>
      </c>
      <c r="I6711" t="s">
        <v>423</v>
      </c>
      <c r="J6711" t="s">
        <v>5251</v>
      </c>
      <c r="K6711" t="s">
        <v>1918</v>
      </c>
      <c r="L6711" t="s">
        <v>1919</v>
      </c>
      <c r="M6711">
        <v>307</v>
      </c>
      <c r="N6711">
        <v>28.27</v>
      </c>
      <c r="O6711">
        <v>6356.23</v>
      </c>
      <c r="P6711">
        <v>0</v>
      </c>
      <c r="Q6711">
        <v>6356.23</v>
      </c>
      <c r="R6711">
        <v>1017</v>
      </c>
      <c r="S6711">
        <v>254.25</v>
      </c>
      <c r="T6711">
        <v>7118.98</v>
      </c>
      <c r="V6711" t="s">
        <v>9408</v>
      </c>
      <c r="W6711" t="s">
        <v>423</v>
      </c>
    </row>
    <row r="6712" spans="1:23" hidden="1" x14ac:dyDescent="0.2">
      <c r="A6712">
        <v>2012</v>
      </c>
      <c r="B6712" t="s">
        <v>303</v>
      </c>
      <c r="C6712" s="733">
        <v>40927</v>
      </c>
      <c r="D67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12" t="s">
        <v>485</v>
      </c>
      <c r="F6712" t="s">
        <v>2065</v>
      </c>
      <c r="G6712" t="s">
        <v>4180</v>
      </c>
      <c r="H6712">
        <v>39690</v>
      </c>
      <c r="I6712" t="s">
        <v>423</v>
      </c>
      <c r="J6712" t="s">
        <v>2114</v>
      </c>
      <c r="K6712" t="s">
        <v>2102</v>
      </c>
      <c r="L6712" t="s">
        <v>2115</v>
      </c>
      <c r="M6712">
        <v>500</v>
      </c>
      <c r="N6712">
        <v>26.61</v>
      </c>
      <c r="O6712">
        <v>8947.61</v>
      </c>
      <c r="P6712">
        <v>0</v>
      </c>
      <c r="Q6712">
        <v>8947.61</v>
      </c>
      <c r="R6712">
        <v>1431.62</v>
      </c>
      <c r="S6712">
        <v>357.9</v>
      </c>
      <c r="T6712">
        <v>10021.33</v>
      </c>
      <c r="U6712" t="s">
        <v>2108</v>
      </c>
      <c r="V6712" t="s">
        <v>9408</v>
      </c>
      <c r="W6712" t="s">
        <v>423</v>
      </c>
    </row>
    <row r="6713" spans="1:23" hidden="1" x14ac:dyDescent="0.2">
      <c r="A6713">
        <v>2012</v>
      </c>
      <c r="B6713" t="s">
        <v>304</v>
      </c>
      <c r="C6713" s="733">
        <v>40956</v>
      </c>
      <c r="D67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13" t="s">
        <v>485</v>
      </c>
      <c r="F6713" t="s">
        <v>2065</v>
      </c>
      <c r="G6713" t="s">
        <v>7597</v>
      </c>
      <c r="H6713">
        <v>42096</v>
      </c>
      <c r="I6713" t="s">
        <v>423</v>
      </c>
      <c r="J6713" t="s">
        <v>2114</v>
      </c>
      <c r="K6713" t="s">
        <v>2102</v>
      </c>
      <c r="L6713" t="s">
        <v>2115</v>
      </c>
      <c r="M6713">
        <v>500</v>
      </c>
      <c r="N6713">
        <v>51.24</v>
      </c>
      <c r="O6713">
        <v>17229.45</v>
      </c>
      <c r="P6713">
        <v>0</v>
      </c>
      <c r="Q6713">
        <v>17229.45</v>
      </c>
      <c r="R6713">
        <v>2756.71</v>
      </c>
      <c r="S6713">
        <v>689.18</v>
      </c>
      <c r="T6713">
        <v>19296.98</v>
      </c>
      <c r="U6713" t="s">
        <v>8883</v>
      </c>
      <c r="V6713" t="s">
        <v>9409</v>
      </c>
      <c r="W6713" t="s">
        <v>423</v>
      </c>
    </row>
    <row r="6714" spans="1:23" hidden="1" x14ac:dyDescent="0.2">
      <c r="A6714">
        <v>2012</v>
      </c>
      <c r="B6714" t="s">
        <v>304</v>
      </c>
      <c r="C6714" s="733">
        <v>40953</v>
      </c>
      <c r="D67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14" t="s">
        <v>485</v>
      </c>
      <c r="F6714" t="s">
        <v>2065</v>
      </c>
      <c r="G6714" t="s">
        <v>4187</v>
      </c>
      <c r="H6714">
        <v>41687</v>
      </c>
      <c r="I6714" t="s">
        <v>423</v>
      </c>
      <c r="J6714" t="s">
        <v>2114</v>
      </c>
      <c r="K6714" t="s">
        <v>2102</v>
      </c>
      <c r="L6714" t="s">
        <v>2115</v>
      </c>
      <c r="M6714">
        <v>500</v>
      </c>
      <c r="N6714">
        <v>50.34</v>
      </c>
      <c r="O6714">
        <v>16926.82</v>
      </c>
      <c r="P6714">
        <v>0</v>
      </c>
      <c r="Q6714">
        <v>16926.82</v>
      </c>
      <c r="R6714">
        <v>2708.29</v>
      </c>
      <c r="S6714">
        <v>677.07</v>
      </c>
      <c r="T6714">
        <v>18958.04</v>
      </c>
      <c r="U6714" t="s">
        <v>8051</v>
      </c>
      <c r="V6714" t="s">
        <v>9409</v>
      </c>
      <c r="W6714" t="s">
        <v>423</v>
      </c>
    </row>
    <row r="6715" spans="1:23" hidden="1" x14ac:dyDescent="0.2">
      <c r="A6715">
        <v>2012</v>
      </c>
      <c r="B6715" t="s">
        <v>304</v>
      </c>
      <c r="C6715" s="733">
        <v>40959</v>
      </c>
      <c r="D67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15" t="s">
        <v>505</v>
      </c>
      <c r="F6715" t="s">
        <v>1915</v>
      </c>
      <c r="G6715" t="s">
        <v>8091</v>
      </c>
      <c r="H6715">
        <v>22874</v>
      </c>
      <c r="I6715" t="s">
        <v>423</v>
      </c>
      <c r="J6715" t="s">
        <v>3207</v>
      </c>
      <c r="K6715" t="s">
        <v>1918</v>
      </c>
      <c r="L6715" t="s">
        <v>1919</v>
      </c>
      <c r="M6715">
        <v>334</v>
      </c>
      <c r="N6715">
        <v>49.87</v>
      </c>
      <c r="O6715">
        <v>13771.1</v>
      </c>
      <c r="P6715">
        <v>0</v>
      </c>
      <c r="Q6715">
        <v>13771.1</v>
      </c>
      <c r="R6715">
        <v>2203.38</v>
      </c>
      <c r="S6715">
        <v>550.84</v>
      </c>
      <c r="T6715">
        <v>15423.64</v>
      </c>
      <c r="U6715" t="s">
        <v>8491</v>
      </c>
      <c r="V6715" t="s">
        <v>9409</v>
      </c>
      <c r="W6715" t="s">
        <v>423</v>
      </c>
    </row>
    <row r="6716" spans="1:23" hidden="1" x14ac:dyDescent="0.2">
      <c r="A6716">
        <v>2012</v>
      </c>
      <c r="B6716" t="s">
        <v>304</v>
      </c>
      <c r="C6716" s="733">
        <v>40949</v>
      </c>
      <c r="D67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16" t="s">
        <v>505</v>
      </c>
      <c r="F6716" t="s">
        <v>1915</v>
      </c>
      <c r="G6716" t="s">
        <v>7028</v>
      </c>
      <c r="H6716">
        <v>22402</v>
      </c>
      <c r="I6716" t="s">
        <v>423</v>
      </c>
      <c r="J6716" t="s">
        <v>1945</v>
      </c>
      <c r="K6716" t="s">
        <v>1918</v>
      </c>
      <c r="L6716" t="s">
        <v>1919</v>
      </c>
      <c r="M6716">
        <v>949</v>
      </c>
      <c r="N6716">
        <v>26.7</v>
      </c>
      <c r="O6716">
        <v>19975.07</v>
      </c>
      <c r="P6716">
        <v>0</v>
      </c>
      <c r="Q6716">
        <v>19975.07</v>
      </c>
      <c r="R6716">
        <v>3196.01</v>
      </c>
      <c r="S6716">
        <v>799</v>
      </c>
      <c r="T6716">
        <v>22372.080000000002</v>
      </c>
      <c r="U6716" t="s">
        <v>7522</v>
      </c>
      <c r="V6716" t="s">
        <v>9408</v>
      </c>
      <c r="W6716" t="s">
        <v>423</v>
      </c>
    </row>
    <row r="6717" spans="1:23" hidden="1" x14ac:dyDescent="0.2">
      <c r="A6717">
        <v>2012</v>
      </c>
      <c r="B6717" t="s">
        <v>303</v>
      </c>
      <c r="C6717" s="733">
        <v>40927</v>
      </c>
      <c r="D67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17" t="s">
        <v>478</v>
      </c>
      <c r="F6717" t="s">
        <v>3358</v>
      </c>
      <c r="G6717" t="s">
        <v>5976</v>
      </c>
      <c r="H6717">
        <v>34665</v>
      </c>
      <c r="I6717" t="s">
        <v>423</v>
      </c>
      <c r="J6717" t="s">
        <v>4396</v>
      </c>
      <c r="K6717" t="s">
        <v>4397</v>
      </c>
      <c r="L6717" t="s">
        <v>4398</v>
      </c>
      <c r="M6717">
        <v>112</v>
      </c>
      <c r="N6717">
        <v>29.405000000000001</v>
      </c>
      <c r="O6717">
        <v>3318.94</v>
      </c>
      <c r="P6717">
        <v>0</v>
      </c>
      <c r="Q6717">
        <v>3318.94</v>
      </c>
      <c r="R6717">
        <v>531.03</v>
      </c>
      <c r="S6717">
        <v>132.76</v>
      </c>
      <c r="T6717">
        <v>3717.21</v>
      </c>
      <c r="U6717" t="s">
        <v>4404</v>
      </c>
      <c r="V6717" t="s">
        <v>9408</v>
      </c>
      <c r="W6717" t="s">
        <v>423</v>
      </c>
    </row>
    <row r="6718" spans="1:23" hidden="1" x14ac:dyDescent="0.2">
      <c r="A6718">
        <v>2012</v>
      </c>
      <c r="B6718" t="s">
        <v>304</v>
      </c>
      <c r="C6718" s="733">
        <v>40967</v>
      </c>
      <c r="D67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18" t="s">
        <v>478</v>
      </c>
      <c r="F6718" t="s">
        <v>4128</v>
      </c>
      <c r="G6718" t="s">
        <v>9062</v>
      </c>
      <c r="H6718">
        <v>36179</v>
      </c>
      <c r="I6718" t="s">
        <v>423</v>
      </c>
      <c r="J6718" t="s">
        <v>4396</v>
      </c>
      <c r="K6718" t="s">
        <v>4397</v>
      </c>
      <c r="L6718" t="s">
        <v>4398</v>
      </c>
      <c r="M6718">
        <v>112</v>
      </c>
      <c r="N6718">
        <v>18.670000000000002</v>
      </c>
      <c r="O6718">
        <v>2107.2800000000002</v>
      </c>
      <c r="P6718">
        <v>0</v>
      </c>
      <c r="Q6718">
        <v>2107.2800000000002</v>
      </c>
      <c r="R6718">
        <v>337.17</v>
      </c>
      <c r="S6718">
        <v>84.29</v>
      </c>
      <c r="T6718">
        <v>2360.16</v>
      </c>
      <c r="U6718" t="s">
        <v>8982</v>
      </c>
      <c r="V6718" t="s">
        <v>9408</v>
      </c>
      <c r="W6718" t="s">
        <v>423</v>
      </c>
    </row>
    <row r="6719" spans="1:23" hidden="1" x14ac:dyDescent="0.2">
      <c r="A6719">
        <v>2012</v>
      </c>
      <c r="B6719" t="s">
        <v>303</v>
      </c>
      <c r="C6719" s="733">
        <v>40925</v>
      </c>
      <c r="D67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19" t="s">
        <v>478</v>
      </c>
      <c r="F6719" t="s">
        <v>2136</v>
      </c>
      <c r="G6719" t="s">
        <v>6402</v>
      </c>
      <c r="H6719">
        <v>34521</v>
      </c>
      <c r="I6719" t="s">
        <v>423</v>
      </c>
      <c r="J6719" t="s">
        <v>3638</v>
      </c>
      <c r="K6719" t="s">
        <v>425</v>
      </c>
      <c r="L6719" t="s">
        <v>2145</v>
      </c>
      <c r="M6719">
        <v>1416</v>
      </c>
      <c r="N6719">
        <v>48.86</v>
      </c>
      <c r="O6719">
        <v>44305.760000000002</v>
      </c>
      <c r="P6719">
        <v>0</v>
      </c>
      <c r="Q6719">
        <v>44305.760000000002</v>
      </c>
      <c r="R6719">
        <v>7088.92</v>
      </c>
      <c r="S6719">
        <v>1772.23</v>
      </c>
      <c r="T6719">
        <v>49622.45</v>
      </c>
      <c r="U6719" t="s">
        <v>2146</v>
      </c>
      <c r="V6719" t="s">
        <v>9409</v>
      </c>
      <c r="W6719" t="s">
        <v>423</v>
      </c>
    </row>
    <row r="6720" spans="1:23" hidden="1" x14ac:dyDescent="0.2">
      <c r="A6720">
        <v>2012</v>
      </c>
      <c r="B6720" t="s">
        <v>303</v>
      </c>
      <c r="C6720" s="733">
        <v>40931</v>
      </c>
      <c r="D67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20" t="s">
        <v>505</v>
      </c>
      <c r="F6720" t="s">
        <v>1915</v>
      </c>
      <c r="G6720" t="s">
        <v>6811</v>
      </c>
      <c r="H6720">
        <v>22146</v>
      </c>
      <c r="I6720" t="s">
        <v>423</v>
      </c>
      <c r="J6720" t="s">
        <v>4140</v>
      </c>
      <c r="K6720" t="s">
        <v>1918</v>
      </c>
      <c r="L6720" t="s">
        <v>1919</v>
      </c>
      <c r="M6720">
        <v>1</v>
      </c>
      <c r="N6720">
        <v>25.05</v>
      </c>
      <c r="O6720">
        <v>2419.33</v>
      </c>
      <c r="P6720">
        <v>0</v>
      </c>
      <c r="Q6720">
        <v>2419.33</v>
      </c>
      <c r="R6720">
        <v>387.09</v>
      </c>
      <c r="S6720">
        <v>96.77</v>
      </c>
      <c r="T6720">
        <v>2709.65</v>
      </c>
      <c r="U6720" t="s">
        <v>8778</v>
      </c>
      <c r="V6720" t="s">
        <v>9408</v>
      </c>
      <c r="W6720" t="s">
        <v>423</v>
      </c>
    </row>
    <row r="6721" spans="1:23" hidden="1" x14ac:dyDescent="0.2">
      <c r="A6721">
        <v>2012</v>
      </c>
      <c r="B6721" t="s">
        <v>303</v>
      </c>
      <c r="C6721" s="733">
        <v>40939</v>
      </c>
      <c r="D67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21" t="s">
        <v>505</v>
      </c>
      <c r="F6721" t="s">
        <v>1915</v>
      </c>
      <c r="G6721" t="s">
        <v>6812</v>
      </c>
      <c r="H6721">
        <v>21661</v>
      </c>
      <c r="I6721" t="s">
        <v>423</v>
      </c>
      <c r="J6721" t="s">
        <v>4140</v>
      </c>
      <c r="K6721" t="s">
        <v>1918</v>
      </c>
      <c r="L6721" t="s">
        <v>1919</v>
      </c>
      <c r="M6721">
        <v>1</v>
      </c>
      <c r="N6721">
        <v>27.32</v>
      </c>
      <c r="O6721">
        <v>2638.57</v>
      </c>
      <c r="P6721">
        <v>0</v>
      </c>
      <c r="Q6721">
        <v>2638.57</v>
      </c>
      <c r="R6721">
        <v>422.17</v>
      </c>
      <c r="S6721">
        <v>105.54</v>
      </c>
      <c r="T6721">
        <v>2955.2</v>
      </c>
      <c r="U6721" t="s">
        <v>1936</v>
      </c>
      <c r="V6721" t="s">
        <v>9408</v>
      </c>
      <c r="W6721" t="s">
        <v>423</v>
      </c>
    </row>
    <row r="6722" spans="1:23" hidden="1" x14ac:dyDescent="0.2">
      <c r="A6722">
        <v>2012</v>
      </c>
      <c r="B6722" t="s">
        <v>304</v>
      </c>
      <c r="C6722" s="733">
        <v>40961</v>
      </c>
      <c r="D67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22" t="s">
        <v>505</v>
      </c>
      <c r="F6722" t="s">
        <v>1915</v>
      </c>
      <c r="G6722" t="s">
        <v>8410</v>
      </c>
      <c r="H6722">
        <v>22906</v>
      </c>
      <c r="I6722" t="s">
        <v>423</v>
      </c>
      <c r="J6722" t="s">
        <v>4140</v>
      </c>
      <c r="K6722" t="s">
        <v>1918</v>
      </c>
      <c r="L6722" t="s">
        <v>1919</v>
      </c>
      <c r="M6722">
        <v>1</v>
      </c>
      <c r="N6722">
        <v>25.25</v>
      </c>
      <c r="O6722">
        <v>2438.64</v>
      </c>
      <c r="P6722">
        <v>0</v>
      </c>
      <c r="Q6722">
        <v>2438.64</v>
      </c>
      <c r="R6722">
        <v>390.18</v>
      </c>
      <c r="S6722">
        <v>97.55</v>
      </c>
      <c r="T6722">
        <v>2731.27</v>
      </c>
      <c r="U6722" t="s">
        <v>8491</v>
      </c>
      <c r="V6722" t="s">
        <v>9408</v>
      </c>
      <c r="W6722" t="s">
        <v>423</v>
      </c>
    </row>
    <row r="6723" spans="1:23" hidden="1" x14ac:dyDescent="0.2">
      <c r="A6723">
        <v>2012</v>
      </c>
      <c r="B6723" t="s">
        <v>304</v>
      </c>
      <c r="C6723" s="733">
        <v>40967.461215277777</v>
      </c>
      <c r="D67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23" t="s">
        <v>478</v>
      </c>
      <c r="F6723" t="s">
        <v>2622</v>
      </c>
      <c r="G6723" t="s">
        <v>9238</v>
      </c>
      <c r="H6723">
        <v>36113</v>
      </c>
      <c r="I6723" t="s">
        <v>423</v>
      </c>
      <c r="J6723" t="s">
        <v>2644</v>
      </c>
      <c r="K6723" t="s">
        <v>2625</v>
      </c>
      <c r="L6723" t="s">
        <v>2626</v>
      </c>
      <c r="M6723">
        <v>52</v>
      </c>
      <c r="N6723">
        <v>21.02</v>
      </c>
      <c r="O6723">
        <v>2474.6799999999998</v>
      </c>
      <c r="P6723">
        <v>0</v>
      </c>
      <c r="Q6723">
        <v>2474.6799999999998</v>
      </c>
      <c r="R6723">
        <v>395.95</v>
      </c>
      <c r="S6723">
        <v>98.99</v>
      </c>
      <c r="T6723">
        <v>2771.64</v>
      </c>
      <c r="U6723" t="s">
        <v>9428</v>
      </c>
      <c r="V6723" t="s">
        <v>9408</v>
      </c>
      <c r="W6723" t="s">
        <v>423</v>
      </c>
    </row>
    <row r="6724" spans="1:23" hidden="1" x14ac:dyDescent="0.2">
      <c r="A6724">
        <v>2012</v>
      </c>
      <c r="B6724" t="s">
        <v>303</v>
      </c>
      <c r="C6724" s="733">
        <v>40938</v>
      </c>
      <c r="D67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24" t="s">
        <v>485</v>
      </c>
      <c r="F6724" t="s">
        <v>2065</v>
      </c>
      <c r="G6724" t="s">
        <v>6623</v>
      </c>
      <c r="H6724">
        <v>40959</v>
      </c>
      <c r="I6724" t="s">
        <v>423</v>
      </c>
      <c r="J6724" t="s">
        <v>4828</v>
      </c>
      <c r="K6724" t="s">
        <v>2183</v>
      </c>
      <c r="L6724" t="s">
        <v>2184</v>
      </c>
      <c r="M6724">
        <v>134</v>
      </c>
      <c r="N6724">
        <v>26.86</v>
      </c>
      <c r="O6724">
        <v>5347.29</v>
      </c>
      <c r="P6724">
        <v>0</v>
      </c>
      <c r="Q6724">
        <v>5347.29</v>
      </c>
      <c r="R6724">
        <v>855.57</v>
      </c>
      <c r="S6724">
        <v>213.89</v>
      </c>
      <c r="T6724">
        <v>5988.97</v>
      </c>
      <c r="U6724" t="s">
        <v>2187</v>
      </c>
      <c r="V6724" t="s">
        <v>9408</v>
      </c>
      <c r="W6724" t="s">
        <v>423</v>
      </c>
    </row>
    <row r="6725" spans="1:23" hidden="1" x14ac:dyDescent="0.2">
      <c r="A6725">
        <v>2012</v>
      </c>
      <c r="B6725" t="s">
        <v>303</v>
      </c>
      <c r="C6725" s="733">
        <v>40935</v>
      </c>
      <c r="D67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25" t="s">
        <v>485</v>
      </c>
      <c r="F6725" t="s">
        <v>2048</v>
      </c>
      <c r="G6725" t="s">
        <v>3119</v>
      </c>
      <c r="H6725">
        <v>40997</v>
      </c>
      <c r="I6725" t="s">
        <v>423</v>
      </c>
      <c r="J6725" t="s">
        <v>2274</v>
      </c>
      <c r="K6725" t="s">
        <v>2051</v>
      </c>
      <c r="L6725" t="s">
        <v>2052</v>
      </c>
      <c r="M6725">
        <v>573</v>
      </c>
      <c r="N6725">
        <v>24.3</v>
      </c>
      <c r="O6725">
        <v>7885.35</v>
      </c>
      <c r="P6725">
        <v>0</v>
      </c>
      <c r="Q6725">
        <v>7885.35</v>
      </c>
      <c r="R6725">
        <v>1261.6600000000001</v>
      </c>
      <c r="S6725">
        <v>315.41000000000003</v>
      </c>
      <c r="T6725">
        <v>8831.6</v>
      </c>
      <c r="U6725" t="s">
        <v>2053</v>
      </c>
      <c r="V6725" t="s">
        <v>9408</v>
      </c>
      <c r="W6725" t="s">
        <v>423</v>
      </c>
    </row>
    <row r="6726" spans="1:23" hidden="1" x14ac:dyDescent="0.2">
      <c r="A6726">
        <v>2012</v>
      </c>
      <c r="B6726" t="s">
        <v>304</v>
      </c>
      <c r="C6726" s="733">
        <v>40953</v>
      </c>
      <c r="D67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26" t="s">
        <v>485</v>
      </c>
      <c r="F6726" t="s">
        <v>2084</v>
      </c>
      <c r="G6726" t="s">
        <v>6032</v>
      </c>
      <c r="H6726">
        <v>41571</v>
      </c>
      <c r="I6726" t="s">
        <v>423</v>
      </c>
      <c r="J6726" t="s">
        <v>2813</v>
      </c>
      <c r="K6726" t="s">
        <v>2814</v>
      </c>
      <c r="L6726" t="s">
        <v>2815</v>
      </c>
      <c r="M6726">
        <v>365</v>
      </c>
      <c r="N6726">
        <v>24.533000000000001</v>
      </c>
      <c r="O6726">
        <v>6603.79</v>
      </c>
      <c r="P6726">
        <v>0</v>
      </c>
      <c r="Q6726">
        <v>6603.79</v>
      </c>
      <c r="R6726">
        <v>726.42</v>
      </c>
      <c r="S6726">
        <v>264.14999999999998</v>
      </c>
      <c r="T6726">
        <v>7066.06</v>
      </c>
      <c r="U6726" t="s">
        <v>7527</v>
      </c>
      <c r="V6726" t="s">
        <v>9408</v>
      </c>
      <c r="W6726" t="s">
        <v>423</v>
      </c>
    </row>
    <row r="6727" spans="1:23" hidden="1" x14ac:dyDescent="0.2">
      <c r="A6727">
        <v>2012</v>
      </c>
      <c r="B6727" t="s">
        <v>303</v>
      </c>
      <c r="C6727" s="733">
        <v>40912</v>
      </c>
      <c r="D67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27" t="s">
        <v>485</v>
      </c>
      <c r="F6727" t="s">
        <v>2084</v>
      </c>
      <c r="G6727" t="s">
        <v>6033</v>
      </c>
      <c r="H6727">
        <v>39592</v>
      </c>
      <c r="I6727" t="s">
        <v>423</v>
      </c>
      <c r="J6727" t="s">
        <v>2813</v>
      </c>
      <c r="K6727" t="s">
        <v>2814</v>
      </c>
      <c r="L6727" t="s">
        <v>2815</v>
      </c>
      <c r="M6727">
        <v>365</v>
      </c>
      <c r="N6727">
        <v>26.113</v>
      </c>
      <c r="O6727">
        <v>2959.39</v>
      </c>
      <c r="P6727">
        <v>3331.9476070000001</v>
      </c>
      <c r="Q6727">
        <v>6291.3376070000004</v>
      </c>
      <c r="R6727">
        <v>1006.614017</v>
      </c>
      <c r="S6727">
        <v>251.653504</v>
      </c>
      <c r="T6727">
        <v>7046.2981200000004</v>
      </c>
      <c r="U6727" t="s">
        <v>2846</v>
      </c>
      <c r="V6727" t="s">
        <v>9408</v>
      </c>
      <c r="W6727" t="s">
        <v>423</v>
      </c>
    </row>
    <row r="6728" spans="1:23" hidden="1" x14ac:dyDescent="0.2">
      <c r="A6728">
        <v>2012</v>
      </c>
      <c r="B6728" t="s">
        <v>304</v>
      </c>
      <c r="C6728" s="733">
        <v>40956.614722222221</v>
      </c>
      <c r="D67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28" t="s">
        <v>478</v>
      </c>
      <c r="F6728" t="s">
        <v>2136</v>
      </c>
      <c r="G6728" t="s">
        <v>7874</v>
      </c>
      <c r="H6728">
        <v>35746</v>
      </c>
      <c r="I6728" t="s">
        <v>423</v>
      </c>
      <c r="J6728" t="s">
        <v>4291</v>
      </c>
      <c r="K6728" t="s">
        <v>425</v>
      </c>
      <c r="L6728" t="s">
        <v>2145</v>
      </c>
      <c r="M6728">
        <v>163</v>
      </c>
      <c r="N6728">
        <v>24.7</v>
      </c>
      <c r="O6728">
        <v>4389.4399999999996</v>
      </c>
      <c r="P6728">
        <v>0</v>
      </c>
      <c r="Q6728">
        <v>4389.4399999999996</v>
      </c>
      <c r="R6728">
        <v>702.31</v>
      </c>
      <c r="S6728">
        <v>175.58</v>
      </c>
      <c r="T6728">
        <v>4916.17</v>
      </c>
      <c r="U6728" t="s">
        <v>8510</v>
      </c>
      <c r="V6728" t="s">
        <v>9408</v>
      </c>
      <c r="W6728" t="s">
        <v>423</v>
      </c>
    </row>
    <row r="6729" spans="1:23" hidden="1" x14ac:dyDescent="0.2">
      <c r="A6729">
        <v>2012</v>
      </c>
      <c r="B6729" t="s">
        <v>305</v>
      </c>
      <c r="C6729" s="733">
        <v>40969</v>
      </c>
      <c r="D6729" s="733" t="str">
        <f>CHOOSE(MONTH(Tabla_sqldatos_bonampakdb_Bon_v_ingresos2012[[#This Row],[fecha_guia]]),"Enero","Febrero","Marzo","Abril","Mayo","Junio","Julio","Agosto","Septiembre","Octubre","Noviembre","Diciembre")</f>
        <v>Marzo</v>
      </c>
      <c r="E6729" t="s">
        <v>485</v>
      </c>
      <c r="F6729" t="s">
        <v>2065</v>
      </c>
      <c r="G6729" t="s">
        <v>9444</v>
      </c>
      <c r="H6729">
        <v>42752</v>
      </c>
      <c r="I6729" t="s">
        <v>423</v>
      </c>
      <c r="J6729" t="s">
        <v>6837</v>
      </c>
      <c r="K6729" t="s">
        <v>2102</v>
      </c>
      <c r="L6729" t="s">
        <v>2115</v>
      </c>
      <c r="M6729">
        <v>279</v>
      </c>
      <c r="N6729">
        <v>24.96</v>
      </c>
      <c r="O6729">
        <v>8828.6</v>
      </c>
      <c r="P6729">
        <v>0</v>
      </c>
      <c r="Q6729">
        <v>8828.6</v>
      </c>
      <c r="R6729">
        <v>1412.58</v>
      </c>
      <c r="S6729">
        <v>353.14</v>
      </c>
      <c r="T6729">
        <v>9888.0400000000009</v>
      </c>
      <c r="V6729" t="s">
        <v>9408</v>
      </c>
      <c r="W6729" t="s">
        <v>423</v>
      </c>
    </row>
    <row r="6730" spans="1:23" hidden="1" x14ac:dyDescent="0.2">
      <c r="A6730">
        <v>2012</v>
      </c>
      <c r="B6730" t="s">
        <v>305</v>
      </c>
      <c r="C6730" s="733">
        <v>40969</v>
      </c>
      <c r="D6730" s="733" t="str">
        <f>CHOOSE(MONTH(Tabla_sqldatos_bonampakdb_Bon_v_ingresos2012[[#This Row],[fecha_guia]]),"Enero","Febrero","Marzo","Abril","Mayo","Junio","Julio","Agosto","Septiembre","Octubre","Noviembre","Diciembre")</f>
        <v>Marzo</v>
      </c>
      <c r="E6730" t="s">
        <v>505</v>
      </c>
      <c r="F6730" t="s">
        <v>1915</v>
      </c>
      <c r="G6730" t="s">
        <v>9446</v>
      </c>
      <c r="H6730">
        <v>23087</v>
      </c>
      <c r="I6730" t="s">
        <v>423</v>
      </c>
      <c r="J6730" t="s">
        <v>4140</v>
      </c>
      <c r="K6730" t="s">
        <v>1918</v>
      </c>
      <c r="L6730" t="s">
        <v>1919</v>
      </c>
      <c r="M6730">
        <v>1</v>
      </c>
      <c r="N6730">
        <v>26.02</v>
      </c>
      <c r="O6730">
        <v>2513.0100000000002</v>
      </c>
      <c r="P6730">
        <v>0</v>
      </c>
      <c r="Q6730">
        <v>2513.0100000000002</v>
      </c>
      <c r="R6730">
        <v>402.08</v>
      </c>
      <c r="S6730">
        <v>100.52</v>
      </c>
      <c r="T6730">
        <v>2814.57</v>
      </c>
      <c r="V6730" t="s">
        <v>9408</v>
      </c>
      <c r="W6730" t="s">
        <v>423</v>
      </c>
    </row>
    <row r="6731" spans="1:23" hidden="1" x14ac:dyDescent="0.2">
      <c r="A6731">
        <v>2012</v>
      </c>
      <c r="B6731" t="s">
        <v>305</v>
      </c>
      <c r="C6731" s="733">
        <v>40969</v>
      </c>
      <c r="D6731" s="733" t="str">
        <f>CHOOSE(MONTH(Tabla_sqldatos_bonampakdb_Bon_v_ingresos2012[[#This Row],[fecha_guia]]),"Enero","Febrero","Marzo","Abril","Mayo","Junio","Julio","Agosto","Septiembre","Octubre","Noviembre","Diciembre")</f>
        <v>Marzo</v>
      </c>
      <c r="E6731" t="s">
        <v>505</v>
      </c>
      <c r="F6731" t="s">
        <v>1915</v>
      </c>
      <c r="G6731" t="s">
        <v>9449</v>
      </c>
      <c r="H6731">
        <v>23079</v>
      </c>
      <c r="I6731" t="s">
        <v>423</v>
      </c>
      <c r="J6731" t="s">
        <v>4140</v>
      </c>
      <c r="K6731" t="s">
        <v>1918</v>
      </c>
      <c r="L6731" t="s">
        <v>1919</v>
      </c>
      <c r="M6731">
        <v>1</v>
      </c>
      <c r="N6731">
        <v>26.01</v>
      </c>
      <c r="O6731">
        <v>2512.0500000000002</v>
      </c>
      <c r="P6731">
        <v>0</v>
      </c>
      <c r="Q6731">
        <v>2512.0500000000002</v>
      </c>
      <c r="R6731">
        <v>401.93</v>
      </c>
      <c r="S6731">
        <v>100.48</v>
      </c>
      <c r="T6731">
        <v>2813.5</v>
      </c>
      <c r="V6731" t="s">
        <v>9408</v>
      </c>
      <c r="W6731" t="s">
        <v>423</v>
      </c>
    </row>
    <row r="6732" spans="1:23" hidden="1" x14ac:dyDescent="0.2">
      <c r="A6732">
        <v>2012</v>
      </c>
      <c r="B6732" t="s">
        <v>304</v>
      </c>
      <c r="C6732" s="733">
        <v>40954</v>
      </c>
      <c r="D67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32" t="s">
        <v>505</v>
      </c>
      <c r="F6732" t="s">
        <v>1915</v>
      </c>
      <c r="G6732" t="s">
        <v>7740</v>
      </c>
      <c r="H6732">
        <v>22629</v>
      </c>
      <c r="I6732" t="s">
        <v>423</v>
      </c>
      <c r="J6732" t="s">
        <v>4153</v>
      </c>
      <c r="K6732" t="s">
        <v>1918</v>
      </c>
      <c r="L6732" t="s">
        <v>1919</v>
      </c>
      <c r="M6732">
        <v>850</v>
      </c>
      <c r="N6732">
        <v>49.9</v>
      </c>
      <c r="O6732">
        <v>31180.51</v>
      </c>
      <c r="P6732">
        <v>0</v>
      </c>
      <c r="Q6732">
        <v>31180.51</v>
      </c>
      <c r="R6732">
        <v>4988.88</v>
      </c>
      <c r="S6732">
        <v>1247.22</v>
      </c>
      <c r="T6732">
        <v>34922.17</v>
      </c>
      <c r="U6732" t="s">
        <v>7529</v>
      </c>
      <c r="V6732" t="s">
        <v>9409</v>
      </c>
      <c r="W6732" t="s">
        <v>423</v>
      </c>
    </row>
    <row r="6733" spans="1:23" hidden="1" x14ac:dyDescent="0.2">
      <c r="A6733">
        <v>2012</v>
      </c>
      <c r="B6733" t="s">
        <v>304</v>
      </c>
      <c r="C6733" s="733">
        <v>40949</v>
      </c>
      <c r="D67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33" t="s">
        <v>505</v>
      </c>
      <c r="F6733" t="s">
        <v>1915</v>
      </c>
      <c r="G6733" t="s">
        <v>6193</v>
      </c>
      <c r="H6733">
        <v>22560</v>
      </c>
      <c r="I6733" t="s">
        <v>423</v>
      </c>
      <c r="J6733" t="s">
        <v>4153</v>
      </c>
      <c r="K6733" t="s">
        <v>1918</v>
      </c>
      <c r="L6733" t="s">
        <v>1919</v>
      </c>
      <c r="M6733">
        <v>850</v>
      </c>
      <c r="N6733">
        <v>49.9</v>
      </c>
      <c r="O6733">
        <v>31180.51</v>
      </c>
      <c r="P6733">
        <v>0</v>
      </c>
      <c r="Q6733">
        <v>31180.51</v>
      </c>
      <c r="R6733">
        <v>4988.88</v>
      </c>
      <c r="S6733">
        <v>1247.22</v>
      </c>
      <c r="T6733">
        <v>34922.17</v>
      </c>
      <c r="U6733" t="s">
        <v>7522</v>
      </c>
      <c r="V6733" t="s">
        <v>9409</v>
      </c>
      <c r="W6733" t="s">
        <v>423</v>
      </c>
    </row>
    <row r="6734" spans="1:23" hidden="1" x14ac:dyDescent="0.2">
      <c r="A6734">
        <v>2012</v>
      </c>
      <c r="B6734" t="s">
        <v>304</v>
      </c>
      <c r="C6734" s="733">
        <v>40968</v>
      </c>
      <c r="D67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34" t="s">
        <v>478</v>
      </c>
      <c r="F6734" t="s">
        <v>2136</v>
      </c>
      <c r="G6734" t="s">
        <v>9553</v>
      </c>
      <c r="H6734">
        <v>36160</v>
      </c>
      <c r="I6734" t="s">
        <v>423</v>
      </c>
      <c r="J6734" t="s">
        <v>4289</v>
      </c>
      <c r="K6734" t="s">
        <v>425</v>
      </c>
      <c r="L6734" t="s">
        <v>2145</v>
      </c>
      <c r="M6734">
        <v>775</v>
      </c>
      <c r="N6734">
        <v>46.08</v>
      </c>
      <c r="O6734">
        <v>17645.41</v>
      </c>
      <c r="P6734">
        <v>0</v>
      </c>
      <c r="Q6734">
        <v>17645.41</v>
      </c>
      <c r="R6734">
        <v>2823.27</v>
      </c>
      <c r="S6734">
        <v>705.82</v>
      </c>
      <c r="T6734">
        <v>19762.86</v>
      </c>
      <c r="U6734" t="s">
        <v>9430</v>
      </c>
      <c r="V6734" t="s">
        <v>9408</v>
      </c>
      <c r="W6734" t="s">
        <v>423</v>
      </c>
    </row>
    <row r="6735" spans="1:23" hidden="1" x14ac:dyDescent="0.2">
      <c r="A6735">
        <v>2012</v>
      </c>
      <c r="B6735" t="s">
        <v>303</v>
      </c>
      <c r="C6735" s="733">
        <v>40922</v>
      </c>
      <c r="D67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35" t="s">
        <v>478</v>
      </c>
      <c r="F6735" t="s">
        <v>2136</v>
      </c>
      <c r="G6735" t="s">
        <v>6482</v>
      </c>
      <c r="H6735">
        <v>34484</v>
      </c>
      <c r="I6735" t="s">
        <v>423</v>
      </c>
      <c r="J6735" t="s">
        <v>4294</v>
      </c>
      <c r="K6735" t="s">
        <v>425</v>
      </c>
      <c r="L6735" t="s">
        <v>2145</v>
      </c>
      <c r="M6735">
        <v>1089</v>
      </c>
      <c r="N6735">
        <v>53.36</v>
      </c>
      <c r="O6735">
        <v>26934.53</v>
      </c>
      <c r="P6735">
        <v>0</v>
      </c>
      <c r="Q6735">
        <v>26934.53</v>
      </c>
      <c r="R6735">
        <v>4309.5200000000004</v>
      </c>
      <c r="S6735">
        <v>1077.3800000000001</v>
      </c>
      <c r="T6735">
        <v>30166.67</v>
      </c>
      <c r="U6735" t="s">
        <v>2146</v>
      </c>
      <c r="V6735" t="s">
        <v>9409</v>
      </c>
      <c r="W6735" t="s">
        <v>423</v>
      </c>
    </row>
    <row r="6736" spans="1:23" hidden="1" x14ac:dyDescent="0.2">
      <c r="A6736">
        <v>2012</v>
      </c>
      <c r="B6736" t="s">
        <v>303</v>
      </c>
      <c r="C6736" s="733">
        <v>40932</v>
      </c>
      <c r="D67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36" t="s">
        <v>485</v>
      </c>
      <c r="F6736" t="s">
        <v>2084</v>
      </c>
      <c r="G6736" t="s">
        <v>5091</v>
      </c>
      <c r="H6736">
        <v>40426</v>
      </c>
      <c r="I6736" t="s">
        <v>423</v>
      </c>
      <c r="J6736" t="s">
        <v>3355</v>
      </c>
      <c r="K6736" t="s">
        <v>2814</v>
      </c>
      <c r="L6736" t="s">
        <v>2815</v>
      </c>
      <c r="M6736">
        <v>417</v>
      </c>
      <c r="N6736">
        <v>25.613</v>
      </c>
      <c r="O6736">
        <v>7106.84</v>
      </c>
      <c r="P6736">
        <v>0</v>
      </c>
      <c r="Q6736">
        <v>7106.84</v>
      </c>
      <c r="R6736">
        <v>1137.0899999999999</v>
      </c>
      <c r="S6736">
        <v>284.27</v>
      </c>
      <c r="T6736">
        <v>7959.66</v>
      </c>
      <c r="U6736" t="s">
        <v>2826</v>
      </c>
      <c r="V6736" t="s">
        <v>9408</v>
      </c>
      <c r="W6736" t="s">
        <v>423</v>
      </c>
    </row>
    <row r="6737" spans="1:23" hidden="1" x14ac:dyDescent="0.2">
      <c r="A6737">
        <v>2012</v>
      </c>
      <c r="B6737" t="s">
        <v>303</v>
      </c>
      <c r="C6737" s="733">
        <v>40921</v>
      </c>
      <c r="D67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37" t="s">
        <v>478</v>
      </c>
      <c r="F6737" t="s">
        <v>2136</v>
      </c>
      <c r="G6737" t="s">
        <v>6483</v>
      </c>
      <c r="H6737">
        <v>34473</v>
      </c>
      <c r="I6737" t="s">
        <v>423</v>
      </c>
      <c r="J6737" t="s">
        <v>4294</v>
      </c>
      <c r="K6737" t="s">
        <v>425</v>
      </c>
      <c r="L6737" t="s">
        <v>2145</v>
      </c>
      <c r="M6737">
        <v>1089</v>
      </c>
      <c r="N6737">
        <v>44.62</v>
      </c>
      <c r="O6737">
        <v>22522.84</v>
      </c>
      <c r="P6737">
        <v>0</v>
      </c>
      <c r="Q6737">
        <v>22522.84</v>
      </c>
      <c r="R6737">
        <v>3603.65</v>
      </c>
      <c r="S6737">
        <v>900.91</v>
      </c>
      <c r="T6737">
        <v>25225.58</v>
      </c>
      <c r="U6737" t="s">
        <v>2350</v>
      </c>
      <c r="V6737" t="s">
        <v>9409</v>
      </c>
      <c r="W6737" t="s">
        <v>423</v>
      </c>
    </row>
    <row r="6738" spans="1:23" hidden="1" x14ac:dyDescent="0.2">
      <c r="A6738">
        <v>2012</v>
      </c>
      <c r="B6738" t="s">
        <v>303</v>
      </c>
      <c r="C6738" s="733">
        <v>40925</v>
      </c>
      <c r="D67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38" t="s">
        <v>478</v>
      </c>
      <c r="F6738" t="s">
        <v>2136</v>
      </c>
      <c r="G6738" t="s">
        <v>6696</v>
      </c>
      <c r="H6738">
        <v>34541</v>
      </c>
      <c r="I6738" t="s">
        <v>423</v>
      </c>
      <c r="J6738" t="s">
        <v>4289</v>
      </c>
      <c r="K6738" t="s">
        <v>425</v>
      </c>
      <c r="L6738" t="s">
        <v>2145</v>
      </c>
      <c r="M6738">
        <v>775</v>
      </c>
      <c r="N6738">
        <v>25.05</v>
      </c>
      <c r="O6738">
        <v>9592.4</v>
      </c>
      <c r="P6738">
        <v>0</v>
      </c>
      <c r="Q6738">
        <v>9592.4</v>
      </c>
      <c r="R6738">
        <v>1534.78</v>
      </c>
      <c r="S6738">
        <v>383.7</v>
      </c>
      <c r="T6738">
        <v>10743.48</v>
      </c>
      <c r="U6738" t="s">
        <v>2927</v>
      </c>
      <c r="V6738" t="s">
        <v>9408</v>
      </c>
      <c r="W6738" t="s">
        <v>423</v>
      </c>
    </row>
    <row r="6739" spans="1:23" hidden="1" x14ac:dyDescent="0.2">
      <c r="A6739">
        <v>2012</v>
      </c>
      <c r="B6739" t="s">
        <v>303</v>
      </c>
      <c r="C6739" s="733">
        <v>40927</v>
      </c>
      <c r="D67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39" t="s">
        <v>478</v>
      </c>
      <c r="F6739" t="s">
        <v>2136</v>
      </c>
      <c r="G6739" t="s">
        <v>6481</v>
      </c>
      <c r="H6739">
        <v>34648</v>
      </c>
      <c r="I6739" t="s">
        <v>423</v>
      </c>
      <c r="J6739" t="s">
        <v>4294</v>
      </c>
      <c r="K6739" t="s">
        <v>425</v>
      </c>
      <c r="L6739" t="s">
        <v>2145</v>
      </c>
      <c r="M6739">
        <v>1089</v>
      </c>
      <c r="N6739">
        <v>51.07</v>
      </c>
      <c r="O6739">
        <v>25778.6</v>
      </c>
      <c r="P6739">
        <v>0</v>
      </c>
      <c r="Q6739">
        <v>25778.6</v>
      </c>
      <c r="R6739">
        <v>4124.58</v>
      </c>
      <c r="S6739">
        <v>1031.1400000000001</v>
      </c>
      <c r="T6739">
        <v>28872.04</v>
      </c>
      <c r="U6739" t="s">
        <v>2146</v>
      </c>
      <c r="V6739" t="s">
        <v>9409</v>
      </c>
      <c r="W6739" t="s">
        <v>423</v>
      </c>
    </row>
    <row r="6740" spans="1:23" hidden="1" x14ac:dyDescent="0.2">
      <c r="A6740">
        <v>2012</v>
      </c>
      <c r="B6740" t="s">
        <v>303</v>
      </c>
      <c r="C6740" s="733">
        <v>40931</v>
      </c>
      <c r="D67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40" t="s">
        <v>485</v>
      </c>
      <c r="F6740" t="s">
        <v>2065</v>
      </c>
      <c r="G6740" t="s">
        <v>5697</v>
      </c>
      <c r="H6740">
        <v>40676</v>
      </c>
      <c r="I6740" t="s">
        <v>423</v>
      </c>
      <c r="J6740" t="s">
        <v>4533</v>
      </c>
      <c r="K6740" t="s">
        <v>2183</v>
      </c>
      <c r="L6740" t="s">
        <v>2184</v>
      </c>
      <c r="M6740">
        <v>253</v>
      </c>
      <c r="N6740">
        <v>51.76</v>
      </c>
      <c r="O6740">
        <v>10872.71</v>
      </c>
      <c r="P6740">
        <v>0</v>
      </c>
      <c r="Q6740">
        <v>10872.71</v>
      </c>
      <c r="R6740">
        <v>1739.63</v>
      </c>
      <c r="S6740">
        <v>434.91</v>
      </c>
      <c r="T6740">
        <v>12177.43</v>
      </c>
      <c r="U6740" t="s">
        <v>2187</v>
      </c>
      <c r="V6740" t="s">
        <v>9409</v>
      </c>
      <c r="W6740" t="s">
        <v>423</v>
      </c>
    </row>
    <row r="6741" spans="1:23" hidden="1" x14ac:dyDescent="0.2">
      <c r="A6741">
        <v>2012</v>
      </c>
      <c r="B6741" t="s">
        <v>303</v>
      </c>
      <c r="C6741" s="733">
        <v>40927.418807870374</v>
      </c>
      <c r="D67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41" t="s">
        <v>478</v>
      </c>
      <c r="F6741" t="s">
        <v>4128</v>
      </c>
      <c r="G6741" t="s">
        <v>5462</v>
      </c>
      <c r="H6741">
        <v>34718</v>
      </c>
      <c r="I6741" t="s">
        <v>423</v>
      </c>
      <c r="J6741" t="s">
        <v>4396</v>
      </c>
      <c r="K6741" t="s">
        <v>4397</v>
      </c>
      <c r="L6741" t="s">
        <v>4398</v>
      </c>
      <c r="M6741">
        <v>112</v>
      </c>
      <c r="N6741">
        <v>23.81</v>
      </c>
      <c r="O6741">
        <v>2687.43</v>
      </c>
      <c r="P6741">
        <v>0</v>
      </c>
      <c r="Q6741">
        <v>2687.43</v>
      </c>
      <c r="R6741">
        <v>429.99</v>
      </c>
      <c r="S6741">
        <v>107.5</v>
      </c>
      <c r="T6741">
        <v>3009.92</v>
      </c>
      <c r="U6741" t="s">
        <v>4404</v>
      </c>
      <c r="V6741" t="s">
        <v>9408</v>
      </c>
      <c r="W6741" t="s">
        <v>423</v>
      </c>
    </row>
    <row r="6742" spans="1:23" hidden="1" x14ac:dyDescent="0.2">
      <c r="A6742">
        <v>2012</v>
      </c>
      <c r="B6742" t="s">
        <v>303</v>
      </c>
      <c r="C6742" s="733">
        <v>40918</v>
      </c>
      <c r="D67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42" t="s">
        <v>505</v>
      </c>
      <c r="F6742" t="s">
        <v>1915</v>
      </c>
      <c r="G6742" t="s">
        <v>6201</v>
      </c>
      <c r="H6742">
        <v>21854</v>
      </c>
      <c r="I6742" t="s">
        <v>423</v>
      </c>
      <c r="J6742" t="s">
        <v>4153</v>
      </c>
      <c r="K6742" t="s">
        <v>1918</v>
      </c>
      <c r="L6742" t="s">
        <v>1919</v>
      </c>
      <c r="M6742">
        <v>850</v>
      </c>
      <c r="N6742">
        <v>25.12</v>
      </c>
      <c r="O6742">
        <v>15696.48</v>
      </c>
      <c r="P6742">
        <v>0</v>
      </c>
      <c r="Q6742">
        <v>15696.48</v>
      </c>
      <c r="R6742">
        <v>2511.44</v>
      </c>
      <c r="S6742">
        <v>627.86</v>
      </c>
      <c r="T6742">
        <v>17580.060000000001</v>
      </c>
      <c r="U6742" t="s">
        <v>1931</v>
      </c>
      <c r="V6742" t="s">
        <v>9408</v>
      </c>
      <c r="W6742" t="s">
        <v>423</v>
      </c>
    </row>
    <row r="6743" spans="1:23" hidden="1" x14ac:dyDescent="0.2">
      <c r="A6743">
        <v>2012</v>
      </c>
      <c r="B6743" t="s">
        <v>304</v>
      </c>
      <c r="C6743" s="733">
        <v>40962</v>
      </c>
      <c r="D67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43" t="s">
        <v>505</v>
      </c>
      <c r="F6743" t="s">
        <v>1915</v>
      </c>
      <c r="G6743" t="s">
        <v>8343</v>
      </c>
      <c r="H6743">
        <v>22860</v>
      </c>
      <c r="I6743" t="s">
        <v>423</v>
      </c>
      <c r="J6743" t="s">
        <v>4153</v>
      </c>
      <c r="K6743" t="s">
        <v>1918</v>
      </c>
      <c r="L6743" t="s">
        <v>1919</v>
      </c>
      <c r="M6743">
        <v>850</v>
      </c>
      <c r="N6743">
        <v>50.74</v>
      </c>
      <c r="O6743">
        <v>31705.4</v>
      </c>
      <c r="P6743">
        <v>0</v>
      </c>
      <c r="Q6743">
        <v>31705.4</v>
      </c>
      <c r="R6743">
        <v>5072.8599999999997</v>
      </c>
      <c r="S6743">
        <v>1268.22</v>
      </c>
      <c r="T6743">
        <v>35510.04</v>
      </c>
      <c r="U6743" t="s">
        <v>8778</v>
      </c>
      <c r="V6743" t="s">
        <v>9409</v>
      </c>
      <c r="W6743" t="s">
        <v>423</v>
      </c>
    </row>
    <row r="6744" spans="1:23" hidden="1" x14ac:dyDescent="0.2">
      <c r="A6744">
        <v>2012</v>
      </c>
      <c r="B6744" t="s">
        <v>303</v>
      </c>
      <c r="C6744" s="733">
        <v>40926</v>
      </c>
      <c r="D67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44" t="s">
        <v>485</v>
      </c>
      <c r="F6744" t="s">
        <v>2065</v>
      </c>
      <c r="G6744" t="s">
        <v>5866</v>
      </c>
      <c r="H6744">
        <v>39779</v>
      </c>
      <c r="I6744" t="s">
        <v>423</v>
      </c>
      <c r="J6744" t="s">
        <v>2114</v>
      </c>
      <c r="K6744" t="s">
        <v>2102</v>
      </c>
      <c r="L6744" t="s">
        <v>2115</v>
      </c>
      <c r="M6744">
        <v>500</v>
      </c>
      <c r="N6744">
        <v>51.29</v>
      </c>
      <c r="O6744">
        <v>17246.259999999998</v>
      </c>
      <c r="P6744">
        <v>0</v>
      </c>
      <c r="Q6744">
        <v>17246.259999999998</v>
      </c>
      <c r="R6744">
        <v>2759.4</v>
      </c>
      <c r="S6744">
        <v>689.85</v>
      </c>
      <c r="T6744">
        <v>19315.810000000001</v>
      </c>
      <c r="V6744" t="s">
        <v>9409</v>
      </c>
      <c r="W6744" t="s">
        <v>423</v>
      </c>
    </row>
    <row r="6745" spans="1:23" hidden="1" x14ac:dyDescent="0.2">
      <c r="A6745">
        <v>2012</v>
      </c>
      <c r="B6745" t="s">
        <v>304</v>
      </c>
      <c r="C6745" s="733">
        <v>40956</v>
      </c>
      <c r="D67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45" t="s">
        <v>505</v>
      </c>
      <c r="F6745" t="s">
        <v>1915</v>
      </c>
      <c r="G6745" t="s">
        <v>7638</v>
      </c>
      <c r="H6745">
        <v>22795</v>
      </c>
      <c r="I6745" t="s">
        <v>424</v>
      </c>
      <c r="J6745" t="s">
        <v>5598</v>
      </c>
      <c r="K6745" t="s">
        <v>1918</v>
      </c>
      <c r="L6745" t="s">
        <v>1919</v>
      </c>
      <c r="M6745">
        <v>653</v>
      </c>
      <c r="N6745">
        <v>30</v>
      </c>
      <c r="O6745">
        <v>10609.5</v>
      </c>
      <c r="P6745">
        <v>0</v>
      </c>
      <c r="Q6745">
        <v>10609.5</v>
      </c>
      <c r="R6745">
        <v>1697.52</v>
      </c>
      <c r="S6745">
        <v>424.38</v>
      </c>
      <c r="T6745">
        <v>11882.64</v>
      </c>
      <c r="U6745" t="s">
        <v>7529</v>
      </c>
      <c r="V6745" t="s">
        <v>9408</v>
      </c>
      <c r="W6745" t="s">
        <v>424</v>
      </c>
    </row>
    <row r="6746" spans="1:23" hidden="1" x14ac:dyDescent="0.2">
      <c r="A6746">
        <v>2012</v>
      </c>
      <c r="B6746" t="s">
        <v>304</v>
      </c>
      <c r="C6746" s="733">
        <v>40956</v>
      </c>
      <c r="D67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46" t="s">
        <v>505</v>
      </c>
      <c r="F6746" t="s">
        <v>2065</v>
      </c>
      <c r="G6746" t="s">
        <v>7712</v>
      </c>
      <c r="H6746">
        <v>22804</v>
      </c>
      <c r="I6746" t="s">
        <v>424</v>
      </c>
      <c r="J6746" t="s">
        <v>5598</v>
      </c>
      <c r="K6746" t="s">
        <v>1918</v>
      </c>
      <c r="L6746" t="s">
        <v>1919</v>
      </c>
      <c r="M6746">
        <v>653</v>
      </c>
      <c r="N6746">
        <v>30</v>
      </c>
      <c r="O6746">
        <v>10609.5</v>
      </c>
      <c r="P6746">
        <v>0</v>
      </c>
      <c r="Q6746">
        <v>10609.5</v>
      </c>
      <c r="R6746">
        <v>1697.52</v>
      </c>
      <c r="S6746">
        <v>424.38</v>
      </c>
      <c r="T6746">
        <v>11882.64</v>
      </c>
      <c r="U6746" t="s">
        <v>7529</v>
      </c>
      <c r="V6746" t="s">
        <v>9408</v>
      </c>
      <c r="W6746" t="s">
        <v>424</v>
      </c>
    </row>
    <row r="6747" spans="1:23" hidden="1" x14ac:dyDescent="0.2">
      <c r="A6747">
        <v>2012</v>
      </c>
      <c r="B6747" t="s">
        <v>303</v>
      </c>
      <c r="C6747" s="733">
        <v>40939</v>
      </c>
      <c r="D67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47" t="s">
        <v>485</v>
      </c>
      <c r="F6747" t="s">
        <v>3450</v>
      </c>
      <c r="G6747" t="s">
        <v>4450</v>
      </c>
      <c r="H6747">
        <v>40850</v>
      </c>
      <c r="I6747" t="s">
        <v>423</v>
      </c>
      <c r="J6747" t="s">
        <v>3452</v>
      </c>
      <c r="K6747" t="s">
        <v>3453</v>
      </c>
      <c r="L6747" t="s">
        <v>3454</v>
      </c>
      <c r="M6747">
        <v>19</v>
      </c>
      <c r="N6747">
        <v>26.84</v>
      </c>
      <c r="O6747">
        <v>3029.43</v>
      </c>
      <c r="P6747">
        <v>0</v>
      </c>
      <c r="Q6747">
        <v>3029.43</v>
      </c>
      <c r="R6747">
        <v>484.71</v>
      </c>
      <c r="S6747">
        <v>121.18</v>
      </c>
      <c r="T6747">
        <v>3392.96</v>
      </c>
      <c r="U6747" t="s">
        <v>3640</v>
      </c>
      <c r="V6747" t="s">
        <v>9408</v>
      </c>
      <c r="W6747" t="s">
        <v>423</v>
      </c>
    </row>
    <row r="6748" spans="1:23" hidden="1" x14ac:dyDescent="0.2">
      <c r="A6748">
        <v>2012</v>
      </c>
      <c r="B6748" t="s">
        <v>303</v>
      </c>
      <c r="C6748" s="733">
        <v>40939</v>
      </c>
      <c r="D67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48" t="s">
        <v>485</v>
      </c>
      <c r="F6748" t="s">
        <v>3450</v>
      </c>
      <c r="G6748" t="s">
        <v>4453</v>
      </c>
      <c r="H6748">
        <v>40906</v>
      </c>
      <c r="I6748" t="s">
        <v>423</v>
      </c>
      <c r="J6748" t="s">
        <v>3452</v>
      </c>
      <c r="K6748" t="s">
        <v>3453</v>
      </c>
      <c r="L6748" t="s">
        <v>3454</v>
      </c>
      <c r="M6748">
        <v>19</v>
      </c>
      <c r="N6748">
        <v>29</v>
      </c>
      <c r="O6748">
        <v>3273.23</v>
      </c>
      <c r="P6748">
        <v>0</v>
      </c>
      <c r="Q6748">
        <v>3273.23</v>
      </c>
      <c r="R6748">
        <v>523.72</v>
      </c>
      <c r="S6748">
        <v>130.93</v>
      </c>
      <c r="T6748">
        <v>3666.02</v>
      </c>
      <c r="U6748" t="s">
        <v>3640</v>
      </c>
      <c r="V6748" t="s">
        <v>9408</v>
      </c>
      <c r="W6748" t="s">
        <v>423</v>
      </c>
    </row>
    <row r="6749" spans="1:23" hidden="1" x14ac:dyDescent="0.2">
      <c r="A6749">
        <v>2012</v>
      </c>
      <c r="B6749" t="s">
        <v>304</v>
      </c>
      <c r="C6749" s="733">
        <v>40942</v>
      </c>
      <c r="D67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49" t="s">
        <v>478</v>
      </c>
      <c r="F6749" t="s">
        <v>2136</v>
      </c>
      <c r="G6749" t="s">
        <v>5880</v>
      </c>
      <c r="H6749">
        <v>35304</v>
      </c>
      <c r="I6749" t="s">
        <v>423</v>
      </c>
      <c r="J6749" t="s">
        <v>4279</v>
      </c>
      <c r="K6749" t="s">
        <v>425</v>
      </c>
      <c r="L6749" t="s">
        <v>2145</v>
      </c>
      <c r="M6749">
        <v>381</v>
      </c>
      <c r="N6749">
        <v>25.8</v>
      </c>
      <c r="O6749">
        <v>6460.06</v>
      </c>
      <c r="P6749">
        <v>0</v>
      </c>
      <c r="Q6749">
        <v>6460.06</v>
      </c>
      <c r="R6749">
        <v>1033.6099999999999</v>
      </c>
      <c r="S6749">
        <v>258.39999999999998</v>
      </c>
      <c r="T6749">
        <v>7235.27</v>
      </c>
      <c r="U6749" t="s">
        <v>3115</v>
      </c>
      <c r="V6749" t="s">
        <v>9408</v>
      </c>
      <c r="W6749" t="s">
        <v>423</v>
      </c>
    </row>
    <row r="6750" spans="1:23" hidden="1" x14ac:dyDescent="0.2">
      <c r="A6750">
        <v>2012</v>
      </c>
      <c r="B6750" t="s">
        <v>304</v>
      </c>
      <c r="C6750" s="733">
        <v>40956</v>
      </c>
      <c r="D67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50" t="s">
        <v>478</v>
      </c>
      <c r="F6750" t="s">
        <v>2136</v>
      </c>
      <c r="G6750" t="s">
        <v>7935</v>
      </c>
      <c r="H6750">
        <v>35755</v>
      </c>
      <c r="I6750" t="s">
        <v>423</v>
      </c>
      <c r="J6750" t="s">
        <v>4279</v>
      </c>
      <c r="K6750" t="s">
        <v>425</v>
      </c>
      <c r="L6750" t="s">
        <v>2145</v>
      </c>
      <c r="M6750">
        <v>381</v>
      </c>
      <c r="N6750">
        <v>18.649999999999999</v>
      </c>
      <c r="O6750">
        <v>4669.7700000000004</v>
      </c>
      <c r="P6750">
        <v>0</v>
      </c>
      <c r="Q6750">
        <v>4669.7700000000004</v>
      </c>
      <c r="R6750">
        <v>747.16</v>
      </c>
      <c r="S6750">
        <v>186.79</v>
      </c>
      <c r="T6750">
        <v>5230.1400000000003</v>
      </c>
      <c r="U6750" t="s">
        <v>8312</v>
      </c>
      <c r="V6750" t="s">
        <v>9409</v>
      </c>
      <c r="W6750" t="s">
        <v>423</v>
      </c>
    </row>
    <row r="6751" spans="1:23" hidden="1" x14ac:dyDescent="0.2">
      <c r="A6751">
        <v>2012</v>
      </c>
      <c r="B6751" t="s">
        <v>303</v>
      </c>
      <c r="C6751" s="733">
        <v>40911</v>
      </c>
      <c r="D67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51" t="s">
        <v>485</v>
      </c>
      <c r="F6751" t="s">
        <v>3450</v>
      </c>
      <c r="G6751" t="s">
        <v>4452</v>
      </c>
      <c r="H6751">
        <v>39667</v>
      </c>
      <c r="I6751" t="s">
        <v>423</v>
      </c>
      <c r="J6751" t="s">
        <v>3452</v>
      </c>
      <c r="K6751" t="s">
        <v>3453</v>
      </c>
      <c r="L6751" t="s">
        <v>3454</v>
      </c>
      <c r="M6751">
        <v>19</v>
      </c>
      <c r="N6751">
        <v>26.26</v>
      </c>
      <c r="O6751">
        <v>1247.8800000000001</v>
      </c>
      <c r="P6751">
        <v>1404.9756130000001</v>
      </c>
      <c r="Q6751">
        <v>2652.8556130000002</v>
      </c>
      <c r="R6751">
        <v>424.45689800000002</v>
      </c>
      <c r="S6751">
        <v>106.114225</v>
      </c>
      <c r="T6751">
        <v>2971.1982859999998</v>
      </c>
      <c r="U6751" t="s">
        <v>3697</v>
      </c>
      <c r="V6751" t="s">
        <v>9408</v>
      </c>
      <c r="W6751" t="s">
        <v>423</v>
      </c>
    </row>
    <row r="6752" spans="1:23" hidden="1" x14ac:dyDescent="0.2">
      <c r="A6752">
        <v>2012</v>
      </c>
      <c r="B6752" t="s">
        <v>303</v>
      </c>
      <c r="C6752" s="733">
        <v>40926</v>
      </c>
      <c r="D67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52" t="s">
        <v>478</v>
      </c>
      <c r="F6752" t="s">
        <v>2136</v>
      </c>
      <c r="G6752" t="s">
        <v>5879</v>
      </c>
      <c r="H6752">
        <v>34644</v>
      </c>
      <c r="I6752" t="s">
        <v>423</v>
      </c>
      <c r="J6752" t="s">
        <v>4279</v>
      </c>
      <c r="K6752" t="s">
        <v>425</v>
      </c>
      <c r="L6752" t="s">
        <v>2145</v>
      </c>
      <c r="M6752">
        <v>381</v>
      </c>
      <c r="N6752">
        <v>51.61</v>
      </c>
      <c r="O6752">
        <v>12922.63</v>
      </c>
      <c r="P6752">
        <v>0</v>
      </c>
      <c r="Q6752">
        <v>12922.63</v>
      </c>
      <c r="R6752">
        <v>2067.62</v>
      </c>
      <c r="S6752">
        <v>516.91</v>
      </c>
      <c r="T6752">
        <v>14473.34</v>
      </c>
      <c r="U6752" t="s">
        <v>2146</v>
      </c>
      <c r="V6752" t="s">
        <v>9409</v>
      </c>
      <c r="W6752" t="s">
        <v>423</v>
      </c>
    </row>
    <row r="6753" spans="1:23" hidden="1" x14ac:dyDescent="0.2">
      <c r="A6753">
        <v>2012</v>
      </c>
      <c r="B6753" t="s">
        <v>304</v>
      </c>
      <c r="C6753" s="733">
        <v>40954</v>
      </c>
      <c r="D67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53" t="s">
        <v>478</v>
      </c>
      <c r="F6753" t="s">
        <v>2136</v>
      </c>
      <c r="G6753" t="s">
        <v>7989</v>
      </c>
      <c r="H6753">
        <v>35626</v>
      </c>
      <c r="I6753" t="s">
        <v>423</v>
      </c>
      <c r="J6753" t="s">
        <v>4279</v>
      </c>
      <c r="K6753" t="s">
        <v>425</v>
      </c>
      <c r="L6753" t="s">
        <v>2145</v>
      </c>
      <c r="M6753">
        <v>381</v>
      </c>
      <c r="N6753">
        <v>25.46</v>
      </c>
      <c r="O6753">
        <v>6374.93</v>
      </c>
      <c r="P6753">
        <v>0</v>
      </c>
      <c r="Q6753">
        <v>6374.93</v>
      </c>
      <c r="R6753">
        <v>1019.99</v>
      </c>
      <c r="S6753">
        <v>255</v>
      </c>
      <c r="T6753">
        <v>7139.92</v>
      </c>
      <c r="U6753" t="s">
        <v>7523</v>
      </c>
      <c r="V6753" t="s">
        <v>9408</v>
      </c>
      <c r="W6753" t="s">
        <v>423</v>
      </c>
    </row>
    <row r="6754" spans="1:23" hidden="1" x14ac:dyDescent="0.2">
      <c r="A6754">
        <v>2012</v>
      </c>
      <c r="B6754" t="s">
        <v>303</v>
      </c>
      <c r="C6754" s="733">
        <v>40939</v>
      </c>
      <c r="D67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54" t="s">
        <v>485</v>
      </c>
      <c r="F6754" t="s">
        <v>3450</v>
      </c>
      <c r="G6754" t="s">
        <v>4451</v>
      </c>
      <c r="H6754">
        <v>41072</v>
      </c>
      <c r="I6754" t="s">
        <v>423</v>
      </c>
      <c r="J6754" t="s">
        <v>3457</v>
      </c>
      <c r="K6754" t="s">
        <v>3453</v>
      </c>
      <c r="L6754" t="s">
        <v>3454</v>
      </c>
      <c r="M6754">
        <v>29</v>
      </c>
      <c r="N6754">
        <v>27.74</v>
      </c>
      <c r="O6754">
        <v>3131.01</v>
      </c>
      <c r="P6754">
        <v>0</v>
      </c>
      <c r="Q6754">
        <v>3131.01</v>
      </c>
      <c r="R6754">
        <v>500.96</v>
      </c>
      <c r="S6754">
        <v>125.24</v>
      </c>
      <c r="T6754">
        <v>3506.73</v>
      </c>
      <c r="U6754" t="s">
        <v>3640</v>
      </c>
      <c r="V6754" t="s">
        <v>9408</v>
      </c>
      <c r="W6754" t="s">
        <v>423</v>
      </c>
    </row>
    <row r="6755" spans="1:23" x14ac:dyDescent="0.2">
      <c r="A6755">
        <v>2012</v>
      </c>
      <c r="B6755" t="s">
        <v>304</v>
      </c>
      <c r="C6755" s="733">
        <v>40968</v>
      </c>
      <c r="D67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55" t="s">
        <v>485</v>
      </c>
      <c r="F6755" t="s">
        <v>3450</v>
      </c>
      <c r="G6755" t="s">
        <v>9535</v>
      </c>
      <c r="H6755">
        <v>42479</v>
      </c>
      <c r="I6755" t="s">
        <v>423</v>
      </c>
      <c r="J6755" t="s">
        <v>3457</v>
      </c>
      <c r="K6755" t="s">
        <v>3453</v>
      </c>
      <c r="L6755" t="s">
        <v>3454</v>
      </c>
      <c r="M6755">
        <v>29</v>
      </c>
      <c r="N6755">
        <v>26.82</v>
      </c>
      <c r="O6755">
        <v>3027.17</v>
      </c>
      <c r="P6755">
        <v>0</v>
      </c>
      <c r="Q6755">
        <v>3027.17</v>
      </c>
      <c r="R6755">
        <v>484.35</v>
      </c>
      <c r="S6755">
        <v>121.09</v>
      </c>
      <c r="T6755">
        <v>3390.43</v>
      </c>
      <c r="V6755" t="s">
        <v>9408</v>
      </c>
      <c r="W6755" t="s">
        <v>423</v>
      </c>
    </row>
    <row r="6756" spans="1:23" hidden="1" x14ac:dyDescent="0.2">
      <c r="A6756">
        <v>2012</v>
      </c>
      <c r="B6756" t="s">
        <v>303</v>
      </c>
      <c r="C6756" s="733">
        <v>40927.416226851848</v>
      </c>
      <c r="D67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56" t="s">
        <v>478</v>
      </c>
      <c r="F6756" t="s">
        <v>4128</v>
      </c>
      <c r="G6756" t="s">
        <v>5463</v>
      </c>
      <c r="H6756">
        <v>34715</v>
      </c>
      <c r="I6756" t="s">
        <v>423</v>
      </c>
      <c r="J6756" t="s">
        <v>4509</v>
      </c>
      <c r="K6756" t="s">
        <v>4397</v>
      </c>
      <c r="L6756" t="s">
        <v>4398</v>
      </c>
      <c r="M6756">
        <v>183</v>
      </c>
      <c r="N6756">
        <v>27.35</v>
      </c>
      <c r="O6756">
        <v>4723.8900000000003</v>
      </c>
      <c r="P6756">
        <v>0</v>
      </c>
      <c r="Q6756">
        <v>4723.8900000000003</v>
      </c>
      <c r="R6756">
        <v>755.82</v>
      </c>
      <c r="S6756">
        <v>188.96</v>
      </c>
      <c r="T6756">
        <v>5290.75</v>
      </c>
      <c r="U6756" t="s">
        <v>4404</v>
      </c>
      <c r="V6756" t="s">
        <v>9408</v>
      </c>
      <c r="W6756" t="s">
        <v>423</v>
      </c>
    </row>
    <row r="6757" spans="1:23" hidden="1" x14ac:dyDescent="0.2">
      <c r="A6757">
        <v>2012</v>
      </c>
      <c r="B6757" t="s">
        <v>304</v>
      </c>
      <c r="C6757" s="733">
        <v>40962</v>
      </c>
      <c r="D67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57" t="s">
        <v>478</v>
      </c>
      <c r="F6757" t="s">
        <v>4128</v>
      </c>
      <c r="G6757" t="s">
        <v>8638</v>
      </c>
      <c r="H6757">
        <v>35926</v>
      </c>
      <c r="I6757" t="s">
        <v>423</v>
      </c>
      <c r="J6757" t="s">
        <v>4509</v>
      </c>
      <c r="K6757" t="s">
        <v>4397</v>
      </c>
      <c r="L6757" t="s">
        <v>4398</v>
      </c>
      <c r="M6757">
        <v>183</v>
      </c>
      <c r="N6757">
        <v>16.934999999999999</v>
      </c>
      <c r="O6757">
        <v>2925.01</v>
      </c>
      <c r="P6757">
        <v>0</v>
      </c>
      <c r="Q6757">
        <v>2925.01</v>
      </c>
      <c r="R6757">
        <v>468</v>
      </c>
      <c r="S6757">
        <v>117</v>
      </c>
      <c r="T6757">
        <v>3276.01</v>
      </c>
      <c r="U6757" t="s">
        <v>8982</v>
      </c>
      <c r="V6757" t="s">
        <v>9408</v>
      </c>
      <c r="W6757" t="s">
        <v>423</v>
      </c>
    </row>
    <row r="6758" spans="1:23" hidden="1" x14ac:dyDescent="0.2">
      <c r="A6758">
        <v>2012</v>
      </c>
      <c r="B6758" t="s">
        <v>303</v>
      </c>
      <c r="C6758" s="733">
        <v>40911</v>
      </c>
      <c r="D67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58" t="s">
        <v>485</v>
      </c>
      <c r="F6758" t="s">
        <v>2048</v>
      </c>
      <c r="G6758" t="s">
        <v>5723</v>
      </c>
      <c r="H6758">
        <v>39723</v>
      </c>
      <c r="I6758" t="s">
        <v>423</v>
      </c>
      <c r="J6758" t="s">
        <v>4086</v>
      </c>
      <c r="K6758" t="s">
        <v>2051</v>
      </c>
      <c r="L6758" t="s">
        <v>2052</v>
      </c>
      <c r="M6758">
        <v>341</v>
      </c>
      <c r="N6758">
        <v>50</v>
      </c>
      <c r="O6758">
        <v>5148</v>
      </c>
      <c r="P6758">
        <v>5796.0817200000001</v>
      </c>
      <c r="Q6758">
        <v>10944.08172</v>
      </c>
      <c r="R6758">
        <v>1751.053075</v>
      </c>
      <c r="S6758">
        <v>437.76326899999998</v>
      </c>
      <c r="T6758">
        <v>12257.371526000001</v>
      </c>
      <c r="U6758" t="s">
        <v>2089</v>
      </c>
      <c r="V6758" t="s">
        <v>9409</v>
      </c>
      <c r="W6758" t="s">
        <v>423</v>
      </c>
    </row>
    <row r="6759" spans="1:23" hidden="1" x14ac:dyDescent="0.2">
      <c r="A6759">
        <v>2012</v>
      </c>
      <c r="B6759" t="s">
        <v>303</v>
      </c>
      <c r="C6759" s="733">
        <v>40934</v>
      </c>
      <c r="D67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59" t="s">
        <v>478</v>
      </c>
      <c r="F6759" t="s">
        <v>2136</v>
      </c>
      <c r="G6759" t="s">
        <v>6663</v>
      </c>
      <c r="H6759">
        <v>34917</v>
      </c>
      <c r="I6759" t="s">
        <v>423</v>
      </c>
      <c r="J6759" t="s">
        <v>4291</v>
      </c>
      <c r="K6759" t="s">
        <v>425</v>
      </c>
      <c r="L6759" t="s">
        <v>2145</v>
      </c>
      <c r="M6759">
        <v>163</v>
      </c>
      <c r="N6759">
        <v>26.28</v>
      </c>
      <c r="O6759">
        <v>8228.01</v>
      </c>
      <c r="P6759">
        <v>0</v>
      </c>
      <c r="Q6759">
        <v>8228.01</v>
      </c>
      <c r="R6759">
        <v>1316.48</v>
      </c>
      <c r="S6759">
        <v>329.12</v>
      </c>
      <c r="T6759">
        <v>9215.3700000000008</v>
      </c>
      <c r="U6759" t="s">
        <v>2355</v>
      </c>
      <c r="V6759" t="s">
        <v>9408</v>
      </c>
      <c r="W6759" t="s">
        <v>423</v>
      </c>
    </row>
    <row r="6760" spans="1:23" hidden="1" x14ac:dyDescent="0.2">
      <c r="A6760">
        <v>2012</v>
      </c>
      <c r="B6760" t="s">
        <v>304</v>
      </c>
      <c r="C6760" s="733">
        <v>40942</v>
      </c>
      <c r="D67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60" t="s">
        <v>478</v>
      </c>
      <c r="F6760" t="s">
        <v>2136</v>
      </c>
      <c r="G6760" t="s">
        <v>6849</v>
      </c>
      <c r="H6760">
        <v>35303</v>
      </c>
      <c r="I6760" t="s">
        <v>423</v>
      </c>
      <c r="J6760" t="s">
        <v>4270</v>
      </c>
      <c r="K6760" t="s">
        <v>425</v>
      </c>
      <c r="L6760" t="s">
        <v>2145</v>
      </c>
      <c r="M6760">
        <v>560</v>
      </c>
      <c r="N6760">
        <v>44.2</v>
      </c>
      <c r="O6760">
        <v>14121.9</v>
      </c>
      <c r="P6760">
        <v>0</v>
      </c>
      <c r="Q6760">
        <v>14121.9</v>
      </c>
      <c r="R6760">
        <v>2259.5</v>
      </c>
      <c r="S6760">
        <v>564.88</v>
      </c>
      <c r="T6760">
        <v>15816.52</v>
      </c>
      <c r="U6760" t="s">
        <v>2938</v>
      </c>
      <c r="V6760" t="s">
        <v>9409</v>
      </c>
      <c r="W6760" t="s">
        <v>423</v>
      </c>
    </row>
    <row r="6761" spans="1:23" hidden="1" x14ac:dyDescent="0.2">
      <c r="A6761">
        <v>2012</v>
      </c>
      <c r="B6761" t="s">
        <v>304</v>
      </c>
      <c r="C6761" s="733">
        <v>40961</v>
      </c>
      <c r="D67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61" t="s">
        <v>505</v>
      </c>
      <c r="F6761" t="s">
        <v>1915</v>
      </c>
      <c r="G6761" t="s">
        <v>8482</v>
      </c>
      <c r="H6761">
        <v>22928</v>
      </c>
      <c r="I6761" t="s">
        <v>423</v>
      </c>
      <c r="J6761" t="s">
        <v>5042</v>
      </c>
      <c r="K6761" t="s">
        <v>1918</v>
      </c>
      <c r="L6761" t="s">
        <v>1919</v>
      </c>
      <c r="M6761">
        <v>29</v>
      </c>
      <c r="N6761">
        <v>24.97</v>
      </c>
      <c r="O6761">
        <v>2411.6</v>
      </c>
      <c r="P6761">
        <v>0</v>
      </c>
      <c r="Q6761">
        <v>2411.6</v>
      </c>
      <c r="R6761">
        <v>385.86</v>
      </c>
      <c r="S6761">
        <v>96.46</v>
      </c>
      <c r="T6761">
        <v>2701</v>
      </c>
      <c r="U6761" t="s">
        <v>8491</v>
      </c>
      <c r="V6761" t="s">
        <v>9408</v>
      </c>
      <c r="W6761" t="s">
        <v>423</v>
      </c>
    </row>
    <row r="6762" spans="1:23" hidden="1" x14ac:dyDescent="0.2">
      <c r="A6762">
        <v>2012</v>
      </c>
      <c r="B6762" t="s">
        <v>304</v>
      </c>
      <c r="C6762" s="733">
        <v>40947</v>
      </c>
      <c r="D67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62" t="s">
        <v>505</v>
      </c>
      <c r="F6762" t="s">
        <v>1915</v>
      </c>
      <c r="G6762" t="s">
        <v>6643</v>
      </c>
      <c r="H6762">
        <v>21251</v>
      </c>
      <c r="I6762" t="s">
        <v>423</v>
      </c>
      <c r="J6762" t="s">
        <v>5042</v>
      </c>
      <c r="K6762" t="s">
        <v>1918</v>
      </c>
      <c r="L6762" t="s">
        <v>1919</v>
      </c>
      <c r="M6762">
        <v>29</v>
      </c>
      <c r="N6762">
        <v>24.95</v>
      </c>
      <c r="O6762">
        <v>2409.67</v>
      </c>
      <c r="P6762">
        <v>0</v>
      </c>
      <c r="Q6762">
        <v>2409.67</v>
      </c>
      <c r="R6762">
        <v>385.55</v>
      </c>
      <c r="S6762">
        <v>96.39</v>
      </c>
      <c r="T6762">
        <v>2698.83</v>
      </c>
      <c r="U6762" t="s">
        <v>1924</v>
      </c>
      <c r="V6762" t="s">
        <v>9408</v>
      </c>
      <c r="W6762" t="s">
        <v>423</v>
      </c>
    </row>
    <row r="6763" spans="1:23" hidden="1" x14ac:dyDescent="0.2">
      <c r="A6763">
        <v>2012</v>
      </c>
      <c r="B6763" t="s">
        <v>303</v>
      </c>
      <c r="C6763" s="733">
        <v>40921</v>
      </c>
      <c r="D67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63" t="s">
        <v>505</v>
      </c>
      <c r="F6763" t="s">
        <v>1915</v>
      </c>
      <c r="G6763" t="s">
        <v>6644</v>
      </c>
      <c r="H6763">
        <v>21858</v>
      </c>
      <c r="I6763" t="s">
        <v>1979</v>
      </c>
      <c r="J6763" t="s">
        <v>4254</v>
      </c>
      <c r="K6763" t="s">
        <v>1918</v>
      </c>
      <c r="L6763" t="s">
        <v>1919</v>
      </c>
      <c r="M6763">
        <v>2819</v>
      </c>
      <c r="N6763">
        <v>49.79</v>
      </c>
      <c r="O6763">
        <v>58025.760000000002</v>
      </c>
      <c r="P6763">
        <v>0</v>
      </c>
      <c r="Q6763">
        <v>58025.760000000002</v>
      </c>
      <c r="R6763">
        <v>9284.1200000000008</v>
      </c>
      <c r="S6763">
        <v>2321.0300000000002</v>
      </c>
      <c r="T6763">
        <v>64988.85</v>
      </c>
      <c r="U6763" t="s">
        <v>1931</v>
      </c>
      <c r="V6763" t="s">
        <v>9409</v>
      </c>
      <c r="W6763" t="s">
        <v>1979</v>
      </c>
    </row>
    <row r="6764" spans="1:23" hidden="1" x14ac:dyDescent="0.2">
      <c r="A6764">
        <v>2012</v>
      </c>
      <c r="B6764" t="s">
        <v>303</v>
      </c>
      <c r="C6764" s="733">
        <v>40922</v>
      </c>
      <c r="D67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64" t="s">
        <v>478</v>
      </c>
      <c r="F6764" t="s">
        <v>2136</v>
      </c>
      <c r="G6764" t="s">
        <v>6858</v>
      </c>
      <c r="H6764">
        <v>34447</v>
      </c>
      <c r="I6764" t="s">
        <v>423</v>
      </c>
      <c r="J6764" t="s">
        <v>2936</v>
      </c>
      <c r="K6764" t="s">
        <v>425</v>
      </c>
      <c r="L6764" t="s">
        <v>2145</v>
      </c>
      <c r="M6764">
        <v>604</v>
      </c>
      <c r="N6764">
        <v>34.020000000000003</v>
      </c>
      <c r="O6764">
        <v>10651.32</v>
      </c>
      <c r="P6764">
        <v>0</v>
      </c>
      <c r="Q6764">
        <v>10651.32</v>
      </c>
      <c r="R6764">
        <v>1704.21</v>
      </c>
      <c r="S6764">
        <v>426.05</v>
      </c>
      <c r="T6764">
        <v>11929.48</v>
      </c>
      <c r="U6764" t="s">
        <v>2927</v>
      </c>
      <c r="V6764" t="s">
        <v>9408</v>
      </c>
      <c r="W6764" t="s">
        <v>423</v>
      </c>
    </row>
    <row r="6765" spans="1:23" hidden="1" x14ac:dyDescent="0.2">
      <c r="A6765">
        <v>2012</v>
      </c>
      <c r="B6765" t="s">
        <v>304</v>
      </c>
      <c r="C6765" s="733">
        <v>40952</v>
      </c>
      <c r="D67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65" t="s">
        <v>485</v>
      </c>
      <c r="F6765" t="s">
        <v>2065</v>
      </c>
      <c r="G6765" t="s">
        <v>2586</v>
      </c>
      <c r="H6765">
        <v>41663</v>
      </c>
      <c r="I6765" t="s">
        <v>423</v>
      </c>
      <c r="J6765" t="s">
        <v>2135</v>
      </c>
      <c r="K6765" t="s">
        <v>2102</v>
      </c>
      <c r="L6765" t="s">
        <v>2115</v>
      </c>
      <c r="M6765">
        <v>494</v>
      </c>
      <c r="N6765">
        <v>31.53</v>
      </c>
      <c r="O6765">
        <v>10601.96</v>
      </c>
      <c r="P6765">
        <v>0</v>
      </c>
      <c r="Q6765">
        <v>10601.96</v>
      </c>
      <c r="R6765">
        <v>1696.31</v>
      </c>
      <c r="S6765">
        <v>424.08</v>
      </c>
      <c r="T6765">
        <v>11874.19</v>
      </c>
      <c r="U6765" t="s">
        <v>8051</v>
      </c>
      <c r="V6765" t="s">
        <v>9408</v>
      </c>
      <c r="W6765" t="s">
        <v>423</v>
      </c>
    </row>
    <row r="6766" spans="1:23" hidden="1" x14ac:dyDescent="0.2">
      <c r="A6766">
        <v>2012</v>
      </c>
      <c r="B6766" t="s">
        <v>304</v>
      </c>
      <c r="C6766" s="733">
        <v>40940</v>
      </c>
      <c r="D67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66" t="s">
        <v>485</v>
      </c>
      <c r="F6766" t="s">
        <v>2065</v>
      </c>
      <c r="G6766" t="s">
        <v>2589</v>
      </c>
      <c r="H6766">
        <v>41155</v>
      </c>
      <c r="I6766" t="s">
        <v>423</v>
      </c>
      <c r="J6766" t="s">
        <v>2135</v>
      </c>
      <c r="K6766" t="s">
        <v>2102</v>
      </c>
      <c r="L6766" t="s">
        <v>2115</v>
      </c>
      <c r="M6766">
        <v>494</v>
      </c>
      <c r="N6766">
        <v>50.07</v>
      </c>
      <c r="O6766">
        <v>16836.04</v>
      </c>
      <c r="P6766">
        <v>0</v>
      </c>
      <c r="Q6766">
        <v>16836.04</v>
      </c>
      <c r="R6766">
        <v>2693.77</v>
      </c>
      <c r="S6766">
        <v>673.44</v>
      </c>
      <c r="T6766">
        <v>18856.37</v>
      </c>
      <c r="U6766" t="s">
        <v>2110</v>
      </c>
      <c r="V6766" t="s">
        <v>9409</v>
      </c>
      <c r="W6766" t="s">
        <v>423</v>
      </c>
    </row>
    <row r="6767" spans="1:23" hidden="1" x14ac:dyDescent="0.2">
      <c r="A6767">
        <v>2012</v>
      </c>
      <c r="B6767" t="s">
        <v>303</v>
      </c>
      <c r="C6767" s="733">
        <v>40915</v>
      </c>
      <c r="D67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67" t="s">
        <v>505</v>
      </c>
      <c r="F6767" t="s">
        <v>1915</v>
      </c>
      <c r="G6767" t="s">
        <v>6431</v>
      </c>
      <c r="H6767">
        <v>21766</v>
      </c>
      <c r="I6767" t="s">
        <v>423</v>
      </c>
      <c r="J6767" t="s">
        <v>1954</v>
      </c>
      <c r="K6767" t="s">
        <v>1918</v>
      </c>
      <c r="L6767" t="s">
        <v>1919</v>
      </c>
      <c r="M6767">
        <v>303</v>
      </c>
      <c r="N6767">
        <v>25.37</v>
      </c>
      <c r="O6767">
        <v>7005.67</v>
      </c>
      <c r="P6767">
        <v>0</v>
      </c>
      <c r="Q6767">
        <v>7005.67</v>
      </c>
      <c r="R6767">
        <v>1120.9100000000001</v>
      </c>
      <c r="S6767">
        <v>280.23</v>
      </c>
      <c r="T6767">
        <v>7846.35</v>
      </c>
      <c r="U6767" t="s">
        <v>1920</v>
      </c>
      <c r="V6767" t="s">
        <v>9409</v>
      </c>
      <c r="W6767" t="s">
        <v>423</v>
      </c>
    </row>
    <row r="6768" spans="1:23" hidden="1" x14ac:dyDescent="0.2">
      <c r="A6768">
        <v>2012</v>
      </c>
      <c r="B6768" t="s">
        <v>304</v>
      </c>
      <c r="C6768" s="733">
        <v>40948</v>
      </c>
      <c r="D67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68" t="s">
        <v>505</v>
      </c>
      <c r="F6768" t="s">
        <v>1915</v>
      </c>
      <c r="G6768" t="s">
        <v>6421</v>
      </c>
      <c r="H6768">
        <v>22562</v>
      </c>
      <c r="I6768" t="s">
        <v>423</v>
      </c>
      <c r="J6768" t="s">
        <v>3207</v>
      </c>
      <c r="K6768" t="s">
        <v>1918</v>
      </c>
      <c r="L6768" t="s">
        <v>1919</v>
      </c>
      <c r="M6768">
        <v>334</v>
      </c>
      <c r="N6768">
        <v>25.63</v>
      </c>
      <c r="O6768">
        <v>7077.47</v>
      </c>
      <c r="P6768">
        <v>0</v>
      </c>
      <c r="Q6768">
        <v>7077.47</v>
      </c>
      <c r="R6768">
        <v>1132.3900000000001</v>
      </c>
      <c r="S6768">
        <v>283.10000000000002</v>
      </c>
      <c r="T6768">
        <v>7926.76</v>
      </c>
      <c r="U6768" t="s">
        <v>1924</v>
      </c>
      <c r="V6768" t="s">
        <v>9408</v>
      </c>
      <c r="W6768" t="s">
        <v>423</v>
      </c>
    </row>
    <row r="6769" spans="1:23" hidden="1" x14ac:dyDescent="0.2">
      <c r="A6769">
        <v>2012</v>
      </c>
      <c r="B6769" t="s">
        <v>304</v>
      </c>
      <c r="C6769" s="733">
        <v>40954</v>
      </c>
      <c r="D67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69" t="s">
        <v>485</v>
      </c>
      <c r="F6769" t="s">
        <v>2065</v>
      </c>
      <c r="G6769" t="s">
        <v>7508</v>
      </c>
      <c r="H6769">
        <v>41962</v>
      </c>
      <c r="I6769" t="s">
        <v>423</v>
      </c>
      <c r="J6769" t="s">
        <v>3204</v>
      </c>
      <c r="K6769" t="s">
        <v>2183</v>
      </c>
      <c r="L6769" t="s">
        <v>2184</v>
      </c>
      <c r="M6769">
        <v>80</v>
      </c>
      <c r="N6769">
        <v>51.93</v>
      </c>
      <c r="O6769">
        <v>5861.34</v>
      </c>
      <c r="P6769">
        <v>0</v>
      </c>
      <c r="Q6769">
        <v>5861.34</v>
      </c>
      <c r="R6769">
        <v>937.81</v>
      </c>
      <c r="S6769">
        <v>234.45</v>
      </c>
      <c r="T6769">
        <v>6564.7</v>
      </c>
      <c r="U6769" t="s">
        <v>8048</v>
      </c>
      <c r="V6769" t="s">
        <v>9409</v>
      </c>
      <c r="W6769" t="s">
        <v>423</v>
      </c>
    </row>
    <row r="6770" spans="1:23" hidden="1" x14ac:dyDescent="0.2">
      <c r="A6770">
        <v>2012</v>
      </c>
      <c r="B6770" t="s">
        <v>303</v>
      </c>
      <c r="C6770" s="733">
        <v>40918</v>
      </c>
      <c r="D67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70" t="s">
        <v>485</v>
      </c>
      <c r="F6770" t="s">
        <v>2065</v>
      </c>
      <c r="G6770" t="s">
        <v>2588</v>
      </c>
      <c r="H6770">
        <v>39915</v>
      </c>
      <c r="I6770" t="s">
        <v>423</v>
      </c>
      <c r="J6770" t="s">
        <v>2135</v>
      </c>
      <c r="K6770" t="s">
        <v>2102</v>
      </c>
      <c r="L6770" t="s">
        <v>2115</v>
      </c>
      <c r="M6770">
        <v>494</v>
      </c>
      <c r="N6770">
        <v>49.54</v>
      </c>
      <c r="O6770">
        <v>16657.82</v>
      </c>
      <c r="P6770">
        <v>0</v>
      </c>
      <c r="Q6770">
        <v>16657.82</v>
      </c>
      <c r="R6770">
        <v>2665.25</v>
      </c>
      <c r="S6770">
        <v>666.31</v>
      </c>
      <c r="T6770">
        <v>18656.759999999998</v>
      </c>
      <c r="U6770" t="s">
        <v>2106</v>
      </c>
      <c r="V6770" t="s">
        <v>9409</v>
      </c>
      <c r="W6770" t="s">
        <v>423</v>
      </c>
    </row>
    <row r="6771" spans="1:23" hidden="1" x14ac:dyDescent="0.2">
      <c r="A6771">
        <v>2012</v>
      </c>
      <c r="B6771" t="s">
        <v>303</v>
      </c>
      <c r="C6771" s="733">
        <v>40928</v>
      </c>
      <c r="D67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71" t="s">
        <v>485</v>
      </c>
      <c r="F6771" t="s">
        <v>2065</v>
      </c>
      <c r="G6771" t="s">
        <v>2568</v>
      </c>
      <c r="H6771">
        <v>39708</v>
      </c>
      <c r="I6771" t="s">
        <v>424</v>
      </c>
      <c r="J6771" t="s">
        <v>2114</v>
      </c>
      <c r="K6771" t="s">
        <v>2102</v>
      </c>
      <c r="L6771" t="s">
        <v>2115</v>
      </c>
      <c r="M6771">
        <v>500</v>
      </c>
      <c r="N6771">
        <v>54</v>
      </c>
      <c r="O6771">
        <v>10009.44</v>
      </c>
      <c r="P6771">
        <v>0</v>
      </c>
      <c r="Q6771">
        <v>10009.44</v>
      </c>
      <c r="R6771">
        <v>1601.51</v>
      </c>
      <c r="S6771">
        <v>400.38</v>
      </c>
      <c r="T6771">
        <v>11210.57</v>
      </c>
      <c r="U6771" t="s">
        <v>2121</v>
      </c>
      <c r="V6771" t="s">
        <v>9409</v>
      </c>
      <c r="W6771" t="s">
        <v>424</v>
      </c>
    </row>
    <row r="6772" spans="1:23" hidden="1" x14ac:dyDescent="0.2">
      <c r="A6772">
        <v>2012</v>
      </c>
      <c r="B6772" t="s">
        <v>304</v>
      </c>
      <c r="C6772" s="733">
        <v>40966</v>
      </c>
      <c r="D67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72" t="s">
        <v>485</v>
      </c>
      <c r="F6772" t="s">
        <v>2065</v>
      </c>
      <c r="G6772" t="s">
        <v>8794</v>
      </c>
      <c r="H6772">
        <v>42566</v>
      </c>
      <c r="I6772" t="s">
        <v>423</v>
      </c>
      <c r="J6772" t="s">
        <v>2182</v>
      </c>
      <c r="K6772" t="s">
        <v>2183</v>
      </c>
      <c r="L6772" t="s">
        <v>2184</v>
      </c>
      <c r="M6772">
        <v>62</v>
      </c>
      <c r="N6772">
        <v>46.72</v>
      </c>
      <c r="O6772">
        <v>5273.29</v>
      </c>
      <c r="P6772">
        <v>0</v>
      </c>
      <c r="Q6772">
        <v>5273.29</v>
      </c>
      <c r="R6772">
        <v>843.73</v>
      </c>
      <c r="S6772">
        <v>210.93</v>
      </c>
      <c r="T6772">
        <v>5906.09</v>
      </c>
      <c r="V6772" t="s">
        <v>9409</v>
      </c>
      <c r="W6772" t="s">
        <v>423</v>
      </c>
    </row>
    <row r="6773" spans="1:23" hidden="1" x14ac:dyDescent="0.2">
      <c r="A6773">
        <v>2012</v>
      </c>
      <c r="B6773" t="s">
        <v>304</v>
      </c>
      <c r="C6773" s="733">
        <v>40960</v>
      </c>
      <c r="D67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73" t="s">
        <v>485</v>
      </c>
      <c r="F6773" t="s">
        <v>2065</v>
      </c>
      <c r="G6773" t="s">
        <v>8220</v>
      </c>
      <c r="H6773">
        <v>42263</v>
      </c>
      <c r="I6773" t="s">
        <v>423</v>
      </c>
      <c r="J6773" t="s">
        <v>2182</v>
      </c>
      <c r="K6773" t="s">
        <v>2183</v>
      </c>
      <c r="L6773" t="s">
        <v>2184</v>
      </c>
      <c r="M6773">
        <v>62</v>
      </c>
      <c r="N6773">
        <v>15.62</v>
      </c>
      <c r="O6773">
        <v>1763.03</v>
      </c>
      <c r="P6773">
        <v>0</v>
      </c>
      <c r="Q6773">
        <v>1763.03</v>
      </c>
      <c r="R6773">
        <v>282.08</v>
      </c>
      <c r="S6773">
        <v>70.52</v>
      </c>
      <c r="T6773">
        <v>1974.59</v>
      </c>
      <c r="U6773" t="s">
        <v>9411</v>
      </c>
      <c r="V6773" t="s">
        <v>9408</v>
      </c>
      <c r="W6773" t="s">
        <v>423</v>
      </c>
    </row>
    <row r="6774" spans="1:23" hidden="1" x14ac:dyDescent="0.2">
      <c r="A6774">
        <v>2012</v>
      </c>
      <c r="B6774" t="s">
        <v>303</v>
      </c>
      <c r="C6774" s="733">
        <v>40939</v>
      </c>
      <c r="D67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74" t="s">
        <v>505</v>
      </c>
      <c r="F6774" t="s">
        <v>1915</v>
      </c>
      <c r="G6774" t="s">
        <v>6420</v>
      </c>
      <c r="H6774">
        <v>22339</v>
      </c>
      <c r="I6774" t="s">
        <v>423</v>
      </c>
      <c r="J6774" t="s">
        <v>3207</v>
      </c>
      <c r="K6774" t="s">
        <v>1918</v>
      </c>
      <c r="L6774" t="s">
        <v>1919</v>
      </c>
      <c r="M6774">
        <v>334</v>
      </c>
      <c r="N6774">
        <v>49.34</v>
      </c>
      <c r="O6774">
        <v>13624.75</v>
      </c>
      <c r="P6774">
        <v>0</v>
      </c>
      <c r="Q6774">
        <v>13624.75</v>
      </c>
      <c r="R6774">
        <v>2179.96</v>
      </c>
      <c r="S6774">
        <v>544.99</v>
      </c>
      <c r="T6774">
        <v>15259.72</v>
      </c>
      <c r="V6774" t="s">
        <v>9409</v>
      </c>
      <c r="W6774" t="s">
        <v>423</v>
      </c>
    </row>
    <row r="6775" spans="1:23" hidden="1" x14ac:dyDescent="0.2">
      <c r="A6775">
        <v>2012</v>
      </c>
      <c r="B6775" t="s">
        <v>303</v>
      </c>
      <c r="C6775" s="733">
        <v>40927</v>
      </c>
      <c r="D67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75" t="s">
        <v>505</v>
      </c>
      <c r="F6775" t="s">
        <v>1915</v>
      </c>
      <c r="G6775" t="s">
        <v>6422</v>
      </c>
      <c r="H6775">
        <v>22091</v>
      </c>
      <c r="I6775" t="s">
        <v>423</v>
      </c>
      <c r="J6775" t="s">
        <v>3207</v>
      </c>
      <c r="K6775" t="s">
        <v>1918</v>
      </c>
      <c r="L6775" t="s">
        <v>1919</v>
      </c>
      <c r="M6775">
        <v>334</v>
      </c>
      <c r="N6775">
        <v>48.81</v>
      </c>
      <c r="O6775">
        <v>13478.39</v>
      </c>
      <c r="P6775">
        <v>0</v>
      </c>
      <c r="Q6775">
        <v>13478.39</v>
      </c>
      <c r="R6775">
        <v>2156.54</v>
      </c>
      <c r="S6775">
        <v>539.14</v>
      </c>
      <c r="T6775">
        <v>15095.79</v>
      </c>
      <c r="U6775" t="s">
        <v>8778</v>
      </c>
      <c r="V6775" t="s">
        <v>9409</v>
      </c>
      <c r="W6775" t="s">
        <v>423</v>
      </c>
    </row>
    <row r="6776" spans="1:23" hidden="1" x14ac:dyDescent="0.2">
      <c r="A6776">
        <v>2012</v>
      </c>
      <c r="B6776" t="s">
        <v>304</v>
      </c>
      <c r="C6776" s="733">
        <v>40940</v>
      </c>
      <c r="D67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76" t="s">
        <v>485</v>
      </c>
      <c r="F6776" t="s">
        <v>2065</v>
      </c>
      <c r="G6776" t="s">
        <v>6315</v>
      </c>
      <c r="H6776">
        <v>39796</v>
      </c>
      <c r="I6776" t="s">
        <v>423</v>
      </c>
      <c r="J6776" t="s">
        <v>3204</v>
      </c>
      <c r="K6776" t="s">
        <v>2183</v>
      </c>
      <c r="L6776" t="s">
        <v>2184</v>
      </c>
      <c r="M6776">
        <v>80</v>
      </c>
      <c r="N6776">
        <v>54.59</v>
      </c>
      <c r="O6776">
        <v>6161.57</v>
      </c>
      <c r="P6776">
        <v>0</v>
      </c>
      <c r="Q6776">
        <v>6161.57</v>
      </c>
      <c r="R6776">
        <v>985.85</v>
      </c>
      <c r="S6776">
        <v>246.46</v>
      </c>
      <c r="T6776">
        <v>6900.96</v>
      </c>
      <c r="U6776" t="s">
        <v>2187</v>
      </c>
      <c r="V6776" t="s">
        <v>9409</v>
      </c>
      <c r="W6776" t="s">
        <v>423</v>
      </c>
    </row>
    <row r="6777" spans="1:23" hidden="1" x14ac:dyDescent="0.2">
      <c r="A6777">
        <v>2012</v>
      </c>
      <c r="B6777" t="s">
        <v>303</v>
      </c>
      <c r="C6777" s="733">
        <v>40920</v>
      </c>
      <c r="D67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77" t="s">
        <v>485</v>
      </c>
      <c r="F6777" t="s">
        <v>2065</v>
      </c>
      <c r="G6777" t="s">
        <v>6942</v>
      </c>
      <c r="H6777">
        <v>40182</v>
      </c>
      <c r="I6777" t="s">
        <v>423</v>
      </c>
      <c r="J6777" t="s">
        <v>2135</v>
      </c>
      <c r="K6777" t="s">
        <v>2102</v>
      </c>
      <c r="L6777" t="s">
        <v>2115</v>
      </c>
      <c r="M6777">
        <v>494</v>
      </c>
      <c r="N6777">
        <v>51.44</v>
      </c>
      <c r="O6777">
        <v>17296.7</v>
      </c>
      <c r="P6777">
        <v>0</v>
      </c>
      <c r="Q6777">
        <v>17296.7</v>
      </c>
      <c r="R6777">
        <v>2767.47</v>
      </c>
      <c r="S6777">
        <v>691.87</v>
      </c>
      <c r="T6777">
        <v>19372.3</v>
      </c>
      <c r="U6777" t="s">
        <v>2106</v>
      </c>
      <c r="V6777" t="s">
        <v>9409</v>
      </c>
      <c r="W6777" t="s">
        <v>423</v>
      </c>
    </row>
    <row r="6778" spans="1:23" hidden="1" x14ac:dyDescent="0.2">
      <c r="A6778">
        <v>2012</v>
      </c>
      <c r="B6778" t="s">
        <v>304</v>
      </c>
      <c r="C6778" s="733">
        <v>40962</v>
      </c>
      <c r="D67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78" t="s">
        <v>478</v>
      </c>
      <c r="F6778" t="s">
        <v>2136</v>
      </c>
      <c r="G6778" t="s">
        <v>8698</v>
      </c>
      <c r="H6778">
        <v>35199</v>
      </c>
      <c r="I6778" t="s">
        <v>423</v>
      </c>
      <c r="J6778" t="s">
        <v>5689</v>
      </c>
      <c r="K6778" t="s">
        <v>425</v>
      </c>
      <c r="L6778" t="s">
        <v>2145</v>
      </c>
      <c r="M6778">
        <v>764</v>
      </c>
      <c r="N6778">
        <v>52.27</v>
      </c>
      <c r="O6778">
        <v>16700.259999999998</v>
      </c>
      <c r="P6778">
        <v>0</v>
      </c>
      <c r="Q6778">
        <v>16700.259999999998</v>
      </c>
      <c r="R6778">
        <v>2672.04</v>
      </c>
      <c r="S6778">
        <v>668.01</v>
      </c>
      <c r="T6778">
        <v>18704.29</v>
      </c>
      <c r="U6778" t="s">
        <v>8510</v>
      </c>
      <c r="V6778" t="s">
        <v>9409</v>
      </c>
      <c r="W6778" t="s">
        <v>423</v>
      </c>
    </row>
    <row r="6779" spans="1:23" hidden="1" x14ac:dyDescent="0.2">
      <c r="A6779">
        <v>2012</v>
      </c>
      <c r="B6779" t="s">
        <v>304</v>
      </c>
      <c r="C6779" s="733">
        <v>40941</v>
      </c>
      <c r="D67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79" t="s">
        <v>478</v>
      </c>
      <c r="F6779" t="s">
        <v>2136</v>
      </c>
      <c r="G6779" t="s">
        <v>6940</v>
      </c>
      <c r="H6779">
        <v>35198</v>
      </c>
      <c r="I6779" t="s">
        <v>423</v>
      </c>
      <c r="J6779" t="s">
        <v>5689</v>
      </c>
      <c r="K6779" t="s">
        <v>425</v>
      </c>
      <c r="L6779" t="s">
        <v>2145</v>
      </c>
      <c r="M6779">
        <v>764</v>
      </c>
      <c r="N6779">
        <v>49.91</v>
      </c>
      <c r="O6779">
        <v>21636.98</v>
      </c>
      <c r="P6779">
        <v>0</v>
      </c>
      <c r="Q6779">
        <v>21636.98</v>
      </c>
      <c r="R6779">
        <v>3461.92</v>
      </c>
      <c r="S6779">
        <v>865.48</v>
      </c>
      <c r="T6779">
        <v>24233.42</v>
      </c>
      <c r="U6779" t="s">
        <v>2580</v>
      </c>
      <c r="V6779" t="s">
        <v>9409</v>
      </c>
      <c r="W6779" t="s">
        <v>423</v>
      </c>
    </row>
    <row r="6780" spans="1:23" hidden="1" x14ac:dyDescent="0.2">
      <c r="A6780">
        <v>2012</v>
      </c>
      <c r="B6780" t="s">
        <v>304</v>
      </c>
      <c r="C6780" s="733">
        <v>40962</v>
      </c>
      <c r="D67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80" t="s">
        <v>478</v>
      </c>
      <c r="F6780" t="s">
        <v>2136</v>
      </c>
      <c r="G6780" t="s">
        <v>8699</v>
      </c>
      <c r="H6780">
        <v>35812</v>
      </c>
      <c r="I6780" t="s">
        <v>423</v>
      </c>
      <c r="J6780" t="s">
        <v>5689</v>
      </c>
      <c r="K6780" t="s">
        <v>425</v>
      </c>
      <c r="L6780" t="s">
        <v>2145</v>
      </c>
      <c r="M6780">
        <v>764</v>
      </c>
      <c r="N6780">
        <v>38.21</v>
      </c>
      <c r="O6780">
        <v>12208.1</v>
      </c>
      <c r="P6780">
        <v>0</v>
      </c>
      <c r="Q6780">
        <v>12208.1</v>
      </c>
      <c r="R6780">
        <v>1953.3</v>
      </c>
      <c r="S6780">
        <v>488.32</v>
      </c>
      <c r="T6780">
        <v>13673.08</v>
      </c>
      <c r="U6780" t="s">
        <v>8510</v>
      </c>
      <c r="V6780" t="s">
        <v>9409</v>
      </c>
      <c r="W6780" t="s">
        <v>423</v>
      </c>
    </row>
    <row r="6781" spans="1:23" hidden="1" x14ac:dyDescent="0.2">
      <c r="A6781">
        <v>2012</v>
      </c>
      <c r="B6781" t="s">
        <v>305</v>
      </c>
      <c r="C6781" s="733">
        <v>40969</v>
      </c>
      <c r="D6781" s="733" t="str">
        <f>CHOOSE(MONTH(Tabla_sqldatos_bonampakdb_Bon_v_ingresos2012[[#This Row],[fecha_guia]]),"Enero","Febrero","Marzo","Abril","Mayo","Junio","Julio","Agosto","Septiembre","Octubre","Noviembre","Diciembre")</f>
        <v>Marzo</v>
      </c>
      <c r="E6781" t="s">
        <v>485</v>
      </c>
      <c r="F6781" t="s">
        <v>2065</v>
      </c>
      <c r="G6781" t="s">
        <v>9640</v>
      </c>
      <c r="H6781">
        <v>42806</v>
      </c>
      <c r="I6781" t="s">
        <v>423</v>
      </c>
      <c r="J6781" t="s">
        <v>3147</v>
      </c>
      <c r="K6781" t="s">
        <v>2183</v>
      </c>
      <c r="L6781" t="s">
        <v>2184</v>
      </c>
      <c r="M6781">
        <v>528</v>
      </c>
      <c r="N6781">
        <v>51.17</v>
      </c>
      <c r="O6781">
        <v>15842.23</v>
      </c>
      <c r="P6781">
        <v>0</v>
      </c>
      <c r="Q6781">
        <v>15842.23</v>
      </c>
      <c r="R6781">
        <v>2534.7600000000002</v>
      </c>
      <c r="S6781">
        <v>633.69000000000005</v>
      </c>
      <c r="T6781">
        <v>17743.3</v>
      </c>
      <c r="V6781" t="s">
        <v>9409</v>
      </c>
      <c r="W6781" t="s">
        <v>423</v>
      </c>
    </row>
    <row r="6782" spans="1:23" hidden="1" x14ac:dyDescent="0.2">
      <c r="A6782">
        <v>2012</v>
      </c>
      <c r="B6782" t="s">
        <v>304</v>
      </c>
      <c r="C6782" s="733">
        <v>40962</v>
      </c>
      <c r="D67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82" t="s">
        <v>485</v>
      </c>
      <c r="F6782" t="s">
        <v>2065</v>
      </c>
      <c r="G6782" t="s">
        <v>8697</v>
      </c>
      <c r="H6782">
        <v>42367</v>
      </c>
      <c r="I6782" t="s">
        <v>423</v>
      </c>
      <c r="J6782" t="s">
        <v>3204</v>
      </c>
      <c r="K6782" t="s">
        <v>2183</v>
      </c>
      <c r="L6782" t="s">
        <v>2184</v>
      </c>
      <c r="M6782">
        <v>80</v>
      </c>
      <c r="N6782">
        <v>51.79</v>
      </c>
      <c r="O6782">
        <v>5845.54</v>
      </c>
      <c r="P6782">
        <v>0</v>
      </c>
      <c r="Q6782">
        <v>5845.54</v>
      </c>
      <c r="R6782">
        <v>935.29</v>
      </c>
      <c r="S6782">
        <v>233.82</v>
      </c>
      <c r="T6782">
        <v>6547.01</v>
      </c>
      <c r="U6782" t="s">
        <v>9411</v>
      </c>
      <c r="V6782" t="s">
        <v>9409</v>
      </c>
      <c r="W6782" t="s">
        <v>423</v>
      </c>
    </row>
    <row r="6783" spans="1:23" hidden="1" x14ac:dyDescent="0.2">
      <c r="A6783">
        <v>2012</v>
      </c>
      <c r="B6783" t="s">
        <v>303</v>
      </c>
      <c r="C6783" s="733">
        <v>40926</v>
      </c>
      <c r="D67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83" t="s">
        <v>485</v>
      </c>
      <c r="F6783" t="s">
        <v>2065</v>
      </c>
      <c r="G6783" t="s">
        <v>6328</v>
      </c>
      <c r="H6783">
        <v>40461</v>
      </c>
      <c r="I6783" t="s">
        <v>423</v>
      </c>
      <c r="J6783" t="s">
        <v>3054</v>
      </c>
      <c r="K6783" t="s">
        <v>2183</v>
      </c>
      <c r="L6783" t="s">
        <v>2184</v>
      </c>
      <c r="M6783">
        <v>43</v>
      </c>
      <c r="N6783">
        <v>15.36</v>
      </c>
      <c r="O6783">
        <v>2275.4299999999998</v>
      </c>
      <c r="P6783">
        <v>0</v>
      </c>
      <c r="Q6783">
        <v>2275.4299999999998</v>
      </c>
      <c r="R6783">
        <v>364.07</v>
      </c>
      <c r="S6783">
        <v>91.02</v>
      </c>
      <c r="T6783">
        <v>2548.48</v>
      </c>
      <c r="U6783" t="s">
        <v>2187</v>
      </c>
      <c r="V6783" t="s">
        <v>9408</v>
      </c>
      <c r="W6783" t="s">
        <v>423</v>
      </c>
    </row>
    <row r="6784" spans="1:23" hidden="1" x14ac:dyDescent="0.2">
      <c r="A6784">
        <v>2012</v>
      </c>
      <c r="B6784" t="s">
        <v>304</v>
      </c>
      <c r="C6784" s="733">
        <v>40966</v>
      </c>
      <c r="D67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84" t="s">
        <v>505</v>
      </c>
      <c r="F6784" t="s">
        <v>1915</v>
      </c>
      <c r="G6784" t="s">
        <v>9384</v>
      </c>
      <c r="H6784">
        <v>23033</v>
      </c>
      <c r="I6784" t="s">
        <v>423</v>
      </c>
      <c r="J6784" t="s">
        <v>3207</v>
      </c>
      <c r="K6784" t="s">
        <v>1918</v>
      </c>
      <c r="L6784" t="s">
        <v>1919</v>
      </c>
      <c r="M6784">
        <v>334</v>
      </c>
      <c r="N6784">
        <v>49.94</v>
      </c>
      <c r="O6784">
        <v>13790.43</v>
      </c>
      <c r="P6784">
        <v>0</v>
      </c>
      <c r="Q6784">
        <v>13790.43</v>
      </c>
      <c r="R6784">
        <v>2206.4699999999998</v>
      </c>
      <c r="S6784">
        <v>551.62</v>
      </c>
      <c r="T6784">
        <v>15445.28</v>
      </c>
      <c r="V6784" t="s">
        <v>9409</v>
      </c>
      <c r="W6784" t="s">
        <v>423</v>
      </c>
    </row>
    <row r="6785" spans="1:23" hidden="1" x14ac:dyDescent="0.2">
      <c r="A6785">
        <v>2012</v>
      </c>
      <c r="B6785" t="s">
        <v>303</v>
      </c>
      <c r="C6785" s="733">
        <v>40920</v>
      </c>
      <c r="D67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85" t="s">
        <v>505</v>
      </c>
      <c r="F6785" t="s">
        <v>1915</v>
      </c>
      <c r="G6785" t="s">
        <v>6427</v>
      </c>
      <c r="H6785">
        <v>21864</v>
      </c>
      <c r="I6785" t="s">
        <v>423</v>
      </c>
      <c r="J6785" t="s">
        <v>1945</v>
      </c>
      <c r="K6785" t="s">
        <v>1918</v>
      </c>
      <c r="L6785" t="s">
        <v>1919</v>
      </c>
      <c r="M6785">
        <v>949</v>
      </c>
      <c r="N6785">
        <v>24.98</v>
      </c>
      <c r="O6785">
        <v>14587.32</v>
      </c>
      <c r="P6785">
        <v>0</v>
      </c>
      <c r="Q6785">
        <v>14587.32</v>
      </c>
      <c r="R6785">
        <v>2333.9699999999998</v>
      </c>
      <c r="S6785">
        <v>583.49</v>
      </c>
      <c r="T6785">
        <v>16337.8</v>
      </c>
      <c r="V6785" t="s">
        <v>9408</v>
      </c>
      <c r="W6785" t="s">
        <v>423</v>
      </c>
    </row>
    <row r="6786" spans="1:23" hidden="1" x14ac:dyDescent="0.2">
      <c r="A6786">
        <v>2012</v>
      </c>
      <c r="B6786" t="s">
        <v>303</v>
      </c>
      <c r="C6786" s="733">
        <v>40933</v>
      </c>
      <c r="D67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86" t="s">
        <v>505</v>
      </c>
      <c r="F6786" t="s">
        <v>1915</v>
      </c>
      <c r="G6786" t="s">
        <v>7047</v>
      </c>
      <c r="H6786">
        <v>22165</v>
      </c>
      <c r="I6786" t="s">
        <v>423</v>
      </c>
      <c r="J6786" t="s">
        <v>4153</v>
      </c>
      <c r="K6786" t="s">
        <v>1918</v>
      </c>
      <c r="L6786" t="s">
        <v>1919</v>
      </c>
      <c r="M6786">
        <v>850</v>
      </c>
      <c r="N6786">
        <v>49.63</v>
      </c>
      <c r="O6786">
        <v>31011.8</v>
      </c>
      <c r="P6786">
        <v>0</v>
      </c>
      <c r="Q6786">
        <v>31011.8</v>
      </c>
      <c r="R6786">
        <v>4961.8900000000003</v>
      </c>
      <c r="S6786">
        <v>1240.47</v>
      </c>
      <c r="T6786">
        <v>34733.22</v>
      </c>
      <c r="V6786" t="s">
        <v>9409</v>
      </c>
      <c r="W6786" t="s">
        <v>423</v>
      </c>
    </row>
    <row r="6787" spans="1:23" hidden="1" x14ac:dyDescent="0.2">
      <c r="A6787">
        <v>2012</v>
      </c>
      <c r="B6787" t="s">
        <v>305</v>
      </c>
      <c r="C6787" s="733">
        <v>40973</v>
      </c>
      <c r="D6787" s="733" t="str">
        <f>CHOOSE(MONTH(Tabla_sqldatos_bonampakdb_Bon_v_ingresos2012[[#This Row],[fecha_guia]]),"Enero","Febrero","Marzo","Abril","Mayo","Junio","Julio","Agosto","Septiembre","Octubre","Noviembre","Diciembre")</f>
        <v>Marzo</v>
      </c>
      <c r="E6787" t="s">
        <v>505</v>
      </c>
      <c r="F6787" t="s">
        <v>1915</v>
      </c>
      <c r="G6787" t="s">
        <v>9775</v>
      </c>
      <c r="H6787">
        <v>23162</v>
      </c>
      <c r="I6787" t="s">
        <v>423</v>
      </c>
      <c r="J6787" t="s">
        <v>4153</v>
      </c>
      <c r="K6787" t="s">
        <v>1918</v>
      </c>
      <c r="L6787" t="s">
        <v>1919</v>
      </c>
      <c r="M6787">
        <v>850</v>
      </c>
      <c r="N6787">
        <v>49.88</v>
      </c>
      <c r="O6787">
        <v>31168.02</v>
      </c>
      <c r="P6787">
        <v>0</v>
      </c>
      <c r="Q6787">
        <v>31168.02</v>
      </c>
      <c r="R6787">
        <v>4986.88</v>
      </c>
      <c r="S6787">
        <v>1246.72</v>
      </c>
      <c r="T6787">
        <v>34908.18</v>
      </c>
      <c r="V6787" t="s">
        <v>9409</v>
      </c>
      <c r="W6787" t="s">
        <v>423</v>
      </c>
    </row>
    <row r="6788" spans="1:23" hidden="1" x14ac:dyDescent="0.2">
      <c r="A6788">
        <v>2012</v>
      </c>
      <c r="B6788" t="s">
        <v>304</v>
      </c>
      <c r="C6788" s="733">
        <v>40940</v>
      </c>
      <c r="D67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88" t="s">
        <v>505</v>
      </c>
      <c r="F6788" t="s">
        <v>1915</v>
      </c>
      <c r="G6788" t="s">
        <v>7034</v>
      </c>
      <c r="H6788">
        <v>22348</v>
      </c>
      <c r="I6788" t="s">
        <v>423</v>
      </c>
      <c r="J6788" t="s">
        <v>4153</v>
      </c>
      <c r="K6788" t="s">
        <v>1918</v>
      </c>
      <c r="L6788" t="s">
        <v>1919</v>
      </c>
      <c r="M6788">
        <v>850</v>
      </c>
      <c r="N6788">
        <v>47.84</v>
      </c>
      <c r="O6788">
        <v>29893.3</v>
      </c>
      <c r="P6788">
        <v>0</v>
      </c>
      <c r="Q6788">
        <v>29893.3</v>
      </c>
      <c r="R6788">
        <v>4782.93</v>
      </c>
      <c r="S6788">
        <v>1195.73</v>
      </c>
      <c r="T6788">
        <v>33480.5</v>
      </c>
      <c r="U6788" t="s">
        <v>1926</v>
      </c>
      <c r="V6788" t="s">
        <v>9409</v>
      </c>
      <c r="W6788" t="s">
        <v>423</v>
      </c>
    </row>
    <row r="6789" spans="1:23" hidden="1" x14ac:dyDescent="0.2">
      <c r="A6789">
        <v>2012</v>
      </c>
      <c r="B6789" t="s">
        <v>303</v>
      </c>
      <c r="C6789" s="733">
        <v>40912</v>
      </c>
      <c r="D67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89" t="s">
        <v>485</v>
      </c>
      <c r="F6789" t="s">
        <v>2084</v>
      </c>
      <c r="G6789" t="s">
        <v>5957</v>
      </c>
      <c r="H6789">
        <v>39613</v>
      </c>
      <c r="I6789" t="s">
        <v>423</v>
      </c>
      <c r="J6789" t="s">
        <v>3355</v>
      </c>
      <c r="K6789" t="s">
        <v>2814</v>
      </c>
      <c r="L6789" t="s">
        <v>2815</v>
      </c>
      <c r="M6789">
        <v>417</v>
      </c>
      <c r="N6789">
        <v>24.193000000000001</v>
      </c>
      <c r="O6789">
        <v>2826.23</v>
      </c>
      <c r="P6789">
        <v>3182.0240950000002</v>
      </c>
      <c r="Q6789">
        <v>6008.2540950000002</v>
      </c>
      <c r="R6789">
        <v>961.32065499999999</v>
      </c>
      <c r="S6789">
        <v>240.330164</v>
      </c>
      <c r="T6789">
        <v>6729.2445859999998</v>
      </c>
      <c r="U6789" t="s">
        <v>2846</v>
      </c>
      <c r="V6789" t="s">
        <v>9408</v>
      </c>
      <c r="W6789" t="s">
        <v>423</v>
      </c>
    </row>
    <row r="6790" spans="1:23" hidden="1" x14ac:dyDescent="0.2">
      <c r="A6790">
        <v>2012</v>
      </c>
      <c r="B6790" t="s">
        <v>304</v>
      </c>
      <c r="C6790" s="733">
        <v>40949</v>
      </c>
      <c r="D67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90" t="s">
        <v>485</v>
      </c>
      <c r="F6790" t="s">
        <v>2084</v>
      </c>
      <c r="G6790" t="s">
        <v>5958</v>
      </c>
      <c r="H6790">
        <v>41445</v>
      </c>
      <c r="I6790" t="s">
        <v>423</v>
      </c>
      <c r="J6790" t="s">
        <v>3355</v>
      </c>
      <c r="K6790" t="s">
        <v>2814</v>
      </c>
      <c r="L6790" t="s">
        <v>2815</v>
      </c>
      <c r="M6790">
        <v>417</v>
      </c>
      <c r="N6790">
        <v>23.885999999999999</v>
      </c>
      <c r="O6790">
        <v>6627.65</v>
      </c>
      <c r="P6790">
        <v>0</v>
      </c>
      <c r="Q6790">
        <v>6627.65</v>
      </c>
      <c r="R6790">
        <v>729.04</v>
      </c>
      <c r="S6790">
        <v>265.11</v>
      </c>
      <c r="T6790">
        <v>7091.58</v>
      </c>
      <c r="U6790" t="s">
        <v>7527</v>
      </c>
      <c r="V6790" t="s">
        <v>9408</v>
      </c>
      <c r="W6790" t="s">
        <v>423</v>
      </c>
    </row>
    <row r="6791" spans="1:23" hidden="1" x14ac:dyDescent="0.2">
      <c r="A6791">
        <v>2012</v>
      </c>
      <c r="B6791" t="s">
        <v>303</v>
      </c>
      <c r="C6791" s="733">
        <v>40926</v>
      </c>
      <c r="D67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91" t="s">
        <v>485</v>
      </c>
      <c r="F6791" t="s">
        <v>2084</v>
      </c>
      <c r="G6791" t="s">
        <v>5956</v>
      </c>
      <c r="H6791">
        <v>40156</v>
      </c>
      <c r="I6791" t="s">
        <v>423</v>
      </c>
      <c r="J6791" t="s">
        <v>3355</v>
      </c>
      <c r="K6791" t="s">
        <v>2814</v>
      </c>
      <c r="L6791" t="s">
        <v>2815</v>
      </c>
      <c r="M6791">
        <v>417</v>
      </c>
      <c r="N6791">
        <v>23.594999999999999</v>
      </c>
      <c r="O6791">
        <v>6546.9</v>
      </c>
      <c r="P6791">
        <v>0</v>
      </c>
      <c r="Q6791">
        <v>6546.9</v>
      </c>
      <c r="R6791">
        <v>1047.5</v>
      </c>
      <c r="S6791">
        <v>261.88</v>
      </c>
      <c r="T6791">
        <v>7332.52</v>
      </c>
      <c r="U6791" t="s">
        <v>2826</v>
      </c>
      <c r="V6791" t="s">
        <v>9408</v>
      </c>
      <c r="W6791" t="s">
        <v>423</v>
      </c>
    </row>
    <row r="6792" spans="1:23" hidden="1" x14ac:dyDescent="0.2">
      <c r="A6792">
        <v>2012</v>
      </c>
      <c r="B6792" t="s">
        <v>304</v>
      </c>
      <c r="C6792" s="733">
        <v>40953</v>
      </c>
      <c r="D67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92" t="s">
        <v>485</v>
      </c>
      <c r="F6792" t="s">
        <v>3450</v>
      </c>
      <c r="G6792" t="s">
        <v>6435</v>
      </c>
      <c r="H6792">
        <v>41681</v>
      </c>
      <c r="I6792" t="s">
        <v>423</v>
      </c>
      <c r="J6792" t="s">
        <v>3952</v>
      </c>
      <c r="K6792" t="s">
        <v>3953</v>
      </c>
      <c r="L6792" t="s">
        <v>3454</v>
      </c>
      <c r="M6792">
        <v>54</v>
      </c>
      <c r="N6792">
        <v>25.07</v>
      </c>
      <c r="O6792">
        <v>2829.65</v>
      </c>
      <c r="P6792">
        <v>0</v>
      </c>
      <c r="Q6792">
        <v>2829.65</v>
      </c>
      <c r="R6792">
        <v>452.74</v>
      </c>
      <c r="S6792">
        <v>113.19</v>
      </c>
      <c r="T6792">
        <v>3169.2</v>
      </c>
      <c r="U6792" t="s">
        <v>7533</v>
      </c>
      <c r="V6792" t="s">
        <v>9408</v>
      </c>
      <c r="W6792" t="s">
        <v>423</v>
      </c>
    </row>
    <row r="6793" spans="1:23" hidden="1" x14ac:dyDescent="0.2">
      <c r="A6793">
        <v>2012</v>
      </c>
      <c r="B6793" t="s">
        <v>303</v>
      </c>
      <c r="C6793" s="733">
        <v>40926</v>
      </c>
      <c r="D67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93" t="s">
        <v>485</v>
      </c>
      <c r="F6793" t="s">
        <v>3450</v>
      </c>
      <c r="G6793" t="s">
        <v>6434</v>
      </c>
      <c r="H6793">
        <v>40283</v>
      </c>
      <c r="I6793" t="s">
        <v>423</v>
      </c>
      <c r="J6793" t="s">
        <v>3952</v>
      </c>
      <c r="K6793" t="s">
        <v>3953</v>
      </c>
      <c r="L6793" t="s">
        <v>3454</v>
      </c>
      <c r="M6793">
        <v>54</v>
      </c>
      <c r="N6793">
        <v>25.36</v>
      </c>
      <c r="O6793">
        <v>2862.38</v>
      </c>
      <c r="P6793">
        <v>0</v>
      </c>
      <c r="Q6793">
        <v>2862.38</v>
      </c>
      <c r="R6793">
        <v>457.98</v>
      </c>
      <c r="S6793">
        <v>114.5</v>
      </c>
      <c r="T6793">
        <v>3205.86</v>
      </c>
      <c r="U6793" t="s">
        <v>3640</v>
      </c>
      <c r="V6793" t="s">
        <v>9408</v>
      </c>
      <c r="W6793" t="s">
        <v>423</v>
      </c>
    </row>
    <row r="6794" spans="1:23" hidden="1" x14ac:dyDescent="0.2">
      <c r="A6794">
        <v>2012</v>
      </c>
      <c r="B6794" t="s">
        <v>304</v>
      </c>
      <c r="C6794" s="733">
        <v>40956</v>
      </c>
      <c r="D67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94" t="s">
        <v>478</v>
      </c>
      <c r="F6794" t="s">
        <v>2136</v>
      </c>
      <c r="G6794" t="s">
        <v>7870</v>
      </c>
      <c r="H6794">
        <v>35717</v>
      </c>
      <c r="I6794" t="s">
        <v>423</v>
      </c>
      <c r="J6794" t="s">
        <v>4294</v>
      </c>
      <c r="K6794" t="s">
        <v>425</v>
      </c>
      <c r="L6794" t="s">
        <v>2145</v>
      </c>
      <c r="M6794">
        <v>1089</v>
      </c>
      <c r="N6794">
        <v>42.98</v>
      </c>
      <c r="O6794">
        <v>21695.01</v>
      </c>
      <c r="P6794">
        <v>0</v>
      </c>
      <c r="Q6794">
        <v>21695.01</v>
      </c>
      <c r="R6794">
        <v>3471.2</v>
      </c>
      <c r="S6794">
        <v>867.8</v>
      </c>
      <c r="T6794">
        <v>24298.41</v>
      </c>
      <c r="U6794" t="s">
        <v>9455</v>
      </c>
      <c r="V6794" t="s">
        <v>9409</v>
      </c>
      <c r="W6794" t="s">
        <v>423</v>
      </c>
    </row>
    <row r="6795" spans="1:23" hidden="1" x14ac:dyDescent="0.2">
      <c r="A6795">
        <v>2012</v>
      </c>
      <c r="B6795" t="s">
        <v>303</v>
      </c>
      <c r="C6795" s="733">
        <v>40922</v>
      </c>
      <c r="D67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95" t="s">
        <v>478</v>
      </c>
      <c r="F6795" t="s">
        <v>2136</v>
      </c>
      <c r="G6795" t="s">
        <v>7218</v>
      </c>
      <c r="H6795">
        <v>34435</v>
      </c>
      <c r="I6795" t="s">
        <v>423</v>
      </c>
      <c r="J6795" t="s">
        <v>4289</v>
      </c>
      <c r="K6795" t="s">
        <v>425</v>
      </c>
      <c r="L6795" t="s">
        <v>2145</v>
      </c>
      <c r="M6795">
        <v>775</v>
      </c>
      <c r="N6795">
        <v>44.96</v>
      </c>
      <c r="O6795">
        <v>17216.53</v>
      </c>
      <c r="P6795">
        <v>0</v>
      </c>
      <c r="Q6795">
        <v>17216.53</v>
      </c>
      <c r="R6795">
        <v>2754.65</v>
      </c>
      <c r="S6795">
        <v>688.66</v>
      </c>
      <c r="T6795">
        <v>19282.52</v>
      </c>
      <c r="U6795" t="s">
        <v>2146</v>
      </c>
      <c r="V6795" t="s">
        <v>9409</v>
      </c>
      <c r="W6795" t="s">
        <v>423</v>
      </c>
    </row>
    <row r="6796" spans="1:23" hidden="1" x14ac:dyDescent="0.2">
      <c r="A6796">
        <v>2012</v>
      </c>
      <c r="B6796" t="s">
        <v>304</v>
      </c>
      <c r="C6796" s="733">
        <v>40954</v>
      </c>
      <c r="D67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96" t="s">
        <v>485</v>
      </c>
      <c r="F6796" t="s">
        <v>2065</v>
      </c>
      <c r="G6796" t="s">
        <v>7515</v>
      </c>
      <c r="H6796">
        <v>41669</v>
      </c>
      <c r="I6796" t="s">
        <v>423</v>
      </c>
      <c r="J6796" t="s">
        <v>4533</v>
      </c>
      <c r="K6796" t="s">
        <v>2183</v>
      </c>
      <c r="L6796" t="s">
        <v>2184</v>
      </c>
      <c r="M6796">
        <v>253</v>
      </c>
      <c r="N6796">
        <v>51.64</v>
      </c>
      <c r="O6796">
        <v>10847.5</v>
      </c>
      <c r="P6796">
        <v>0</v>
      </c>
      <c r="Q6796">
        <v>10847.5</v>
      </c>
      <c r="R6796">
        <v>1735.6</v>
      </c>
      <c r="S6796">
        <v>433.9</v>
      </c>
      <c r="T6796">
        <v>12149.2</v>
      </c>
      <c r="U6796" t="s">
        <v>8048</v>
      </c>
      <c r="V6796" t="s">
        <v>9409</v>
      </c>
      <c r="W6796" t="s">
        <v>423</v>
      </c>
    </row>
    <row r="6797" spans="1:23" hidden="1" x14ac:dyDescent="0.2">
      <c r="A6797">
        <v>2012</v>
      </c>
      <c r="B6797" t="s">
        <v>304</v>
      </c>
      <c r="C6797" s="733">
        <v>40960</v>
      </c>
      <c r="D67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97" t="s">
        <v>485</v>
      </c>
      <c r="F6797" t="s">
        <v>2065</v>
      </c>
      <c r="G6797" t="s">
        <v>8090</v>
      </c>
      <c r="H6797">
        <v>42321</v>
      </c>
      <c r="I6797" t="s">
        <v>423</v>
      </c>
      <c r="J6797" t="s">
        <v>4533</v>
      </c>
      <c r="K6797" t="s">
        <v>2183</v>
      </c>
      <c r="L6797" t="s">
        <v>2184</v>
      </c>
      <c r="M6797">
        <v>253</v>
      </c>
      <c r="N6797">
        <v>26.67</v>
      </c>
      <c r="O6797">
        <v>5602.3</v>
      </c>
      <c r="P6797">
        <v>0</v>
      </c>
      <c r="Q6797">
        <v>5602.3</v>
      </c>
      <c r="R6797">
        <v>896.37</v>
      </c>
      <c r="S6797">
        <v>224.09</v>
      </c>
      <c r="T6797">
        <v>6274.58</v>
      </c>
      <c r="U6797" t="s">
        <v>9411</v>
      </c>
      <c r="V6797" t="s">
        <v>9408</v>
      </c>
      <c r="W6797" t="s">
        <v>423</v>
      </c>
    </row>
    <row r="6798" spans="1:23" hidden="1" x14ac:dyDescent="0.2">
      <c r="A6798">
        <v>2012</v>
      </c>
      <c r="B6798" t="s">
        <v>304</v>
      </c>
      <c r="C6798" s="733">
        <v>40940</v>
      </c>
      <c r="D67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798" t="s">
        <v>485</v>
      </c>
      <c r="F6798" t="s">
        <v>2065</v>
      </c>
      <c r="G6798" t="s">
        <v>6452</v>
      </c>
      <c r="H6798">
        <v>41203</v>
      </c>
      <c r="I6798" t="s">
        <v>423</v>
      </c>
      <c r="J6798" t="s">
        <v>4533</v>
      </c>
      <c r="K6798" t="s">
        <v>2183</v>
      </c>
      <c r="L6798" t="s">
        <v>2184</v>
      </c>
      <c r="M6798">
        <v>253</v>
      </c>
      <c r="N6798">
        <v>23.48</v>
      </c>
      <c r="O6798">
        <v>4932.21</v>
      </c>
      <c r="P6798">
        <v>0</v>
      </c>
      <c r="Q6798">
        <v>4932.21</v>
      </c>
      <c r="R6798">
        <v>789.15</v>
      </c>
      <c r="S6798">
        <v>197.29</v>
      </c>
      <c r="T6798">
        <v>5524.07</v>
      </c>
      <c r="U6798" t="s">
        <v>2192</v>
      </c>
      <c r="V6798" t="s">
        <v>9408</v>
      </c>
      <c r="W6798" t="s">
        <v>423</v>
      </c>
    </row>
    <row r="6799" spans="1:23" hidden="1" x14ac:dyDescent="0.2">
      <c r="A6799">
        <v>2012</v>
      </c>
      <c r="B6799" t="s">
        <v>303</v>
      </c>
      <c r="C6799" s="733">
        <v>40926</v>
      </c>
      <c r="D67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799" t="s">
        <v>485</v>
      </c>
      <c r="F6799" t="s">
        <v>3450</v>
      </c>
      <c r="G6799" t="s">
        <v>6433</v>
      </c>
      <c r="H6799">
        <v>40280</v>
      </c>
      <c r="I6799" t="s">
        <v>423</v>
      </c>
      <c r="J6799" t="s">
        <v>3952</v>
      </c>
      <c r="K6799" t="s">
        <v>3953</v>
      </c>
      <c r="L6799" t="s">
        <v>3454</v>
      </c>
      <c r="M6799">
        <v>54</v>
      </c>
      <c r="N6799">
        <v>29.28</v>
      </c>
      <c r="O6799">
        <v>3304.83</v>
      </c>
      <c r="P6799">
        <v>0</v>
      </c>
      <c r="Q6799">
        <v>3304.83</v>
      </c>
      <c r="R6799">
        <v>528.77</v>
      </c>
      <c r="S6799">
        <v>132.19</v>
      </c>
      <c r="T6799">
        <v>3701.41</v>
      </c>
      <c r="U6799" t="s">
        <v>3459</v>
      </c>
      <c r="V6799" t="s">
        <v>9408</v>
      </c>
      <c r="W6799" t="s">
        <v>423</v>
      </c>
    </row>
    <row r="6800" spans="1:23" hidden="1" x14ac:dyDescent="0.2">
      <c r="A6800">
        <v>2012</v>
      </c>
      <c r="B6800" t="s">
        <v>304</v>
      </c>
      <c r="C6800" s="733">
        <v>40967</v>
      </c>
      <c r="D68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00" t="s">
        <v>478</v>
      </c>
      <c r="F6800" t="s">
        <v>4128</v>
      </c>
      <c r="G6800" t="s">
        <v>9063</v>
      </c>
      <c r="H6800">
        <v>36176</v>
      </c>
      <c r="I6800" t="s">
        <v>423</v>
      </c>
      <c r="J6800" t="s">
        <v>4396</v>
      </c>
      <c r="K6800" t="s">
        <v>4397</v>
      </c>
      <c r="L6800" t="s">
        <v>4398</v>
      </c>
      <c r="M6800">
        <v>112</v>
      </c>
      <c r="N6800">
        <v>23.14</v>
      </c>
      <c r="O6800">
        <v>2611.81</v>
      </c>
      <c r="P6800">
        <v>0</v>
      </c>
      <c r="Q6800">
        <v>2611.81</v>
      </c>
      <c r="R6800">
        <v>417.89</v>
      </c>
      <c r="S6800">
        <v>104.47</v>
      </c>
      <c r="T6800">
        <v>2925.23</v>
      </c>
      <c r="V6800" t="s">
        <v>9408</v>
      </c>
      <c r="W6800" t="s">
        <v>423</v>
      </c>
    </row>
    <row r="6801" spans="1:23" hidden="1" x14ac:dyDescent="0.2">
      <c r="A6801">
        <v>2012</v>
      </c>
      <c r="B6801" t="s">
        <v>303</v>
      </c>
      <c r="C6801" s="733">
        <v>40926</v>
      </c>
      <c r="D68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01" t="s">
        <v>505</v>
      </c>
      <c r="F6801" t="s">
        <v>1915</v>
      </c>
      <c r="G6801" t="s">
        <v>7033</v>
      </c>
      <c r="H6801">
        <v>21986</v>
      </c>
      <c r="I6801" t="s">
        <v>423</v>
      </c>
      <c r="J6801" t="s">
        <v>4153</v>
      </c>
      <c r="K6801" t="s">
        <v>1918</v>
      </c>
      <c r="L6801" t="s">
        <v>1919</v>
      </c>
      <c r="M6801">
        <v>850</v>
      </c>
      <c r="N6801">
        <v>50.09</v>
      </c>
      <c r="O6801">
        <v>31299.24</v>
      </c>
      <c r="P6801">
        <v>0</v>
      </c>
      <c r="Q6801">
        <v>31299.24</v>
      </c>
      <c r="R6801">
        <v>5007.88</v>
      </c>
      <c r="S6801">
        <v>1251.97</v>
      </c>
      <c r="T6801">
        <v>35055.15</v>
      </c>
      <c r="U6801" t="s">
        <v>1936</v>
      </c>
      <c r="V6801" t="s">
        <v>9409</v>
      </c>
      <c r="W6801" t="s">
        <v>423</v>
      </c>
    </row>
    <row r="6802" spans="1:23" hidden="1" x14ac:dyDescent="0.2">
      <c r="A6802">
        <v>2012</v>
      </c>
      <c r="B6802" t="s">
        <v>303</v>
      </c>
      <c r="C6802" s="733">
        <v>40920</v>
      </c>
      <c r="D68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02" t="s">
        <v>485</v>
      </c>
      <c r="F6802" t="s">
        <v>2065</v>
      </c>
      <c r="G6802" t="s">
        <v>4183</v>
      </c>
      <c r="H6802">
        <v>40039</v>
      </c>
      <c r="I6802" t="s">
        <v>423</v>
      </c>
      <c r="J6802" t="s">
        <v>2139</v>
      </c>
      <c r="K6802" t="s">
        <v>2102</v>
      </c>
      <c r="L6802" t="s">
        <v>2115</v>
      </c>
      <c r="M6802">
        <v>543</v>
      </c>
      <c r="N6802">
        <v>50.97</v>
      </c>
      <c r="O6802">
        <v>17138.66</v>
      </c>
      <c r="P6802">
        <v>0</v>
      </c>
      <c r="Q6802">
        <v>17138.66</v>
      </c>
      <c r="R6802">
        <v>2742.19</v>
      </c>
      <c r="S6802">
        <v>685.55</v>
      </c>
      <c r="T6802">
        <v>19195.3</v>
      </c>
      <c r="U6802" t="s">
        <v>2106</v>
      </c>
      <c r="V6802" t="s">
        <v>9409</v>
      </c>
      <c r="W6802" t="s">
        <v>423</v>
      </c>
    </row>
    <row r="6803" spans="1:23" hidden="1" x14ac:dyDescent="0.2">
      <c r="A6803">
        <v>2012</v>
      </c>
      <c r="B6803" t="s">
        <v>304</v>
      </c>
      <c r="C6803" s="733">
        <v>40947.457546296297</v>
      </c>
      <c r="D68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03" t="s">
        <v>485</v>
      </c>
      <c r="F6803" t="s">
        <v>2136</v>
      </c>
      <c r="G6803" t="s">
        <v>4168</v>
      </c>
      <c r="H6803">
        <v>41561</v>
      </c>
      <c r="I6803" t="s">
        <v>423</v>
      </c>
      <c r="J6803" t="s">
        <v>2196</v>
      </c>
      <c r="K6803" t="s">
        <v>2183</v>
      </c>
      <c r="L6803" t="s">
        <v>2184</v>
      </c>
      <c r="M6803">
        <v>10</v>
      </c>
      <c r="N6803">
        <v>24.61</v>
      </c>
      <c r="O6803">
        <v>2777.73</v>
      </c>
      <c r="P6803">
        <v>0</v>
      </c>
      <c r="Q6803">
        <v>2777.73</v>
      </c>
      <c r="R6803">
        <v>444.44</v>
      </c>
      <c r="S6803">
        <v>111.11</v>
      </c>
      <c r="T6803">
        <v>3111.06</v>
      </c>
      <c r="U6803" t="s">
        <v>2192</v>
      </c>
      <c r="V6803" t="s">
        <v>9408</v>
      </c>
      <c r="W6803" t="s">
        <v>423</v>
      </c>
    </row>
    <row r="6804" spans="1:23" hidden="1" x14ac:dyDescent="0.2">
      <c r="A6804">
        <v>2012</v>
      </c>
      <c r="B6804" t="s">
        <v>303</v>
      </c>
      <c r="C6804" s="733">
        <v>40918.393379629626</v>
      </c>
      <c r="D68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04" t="s">
        <v>485</v>
      </c>
      <c r="F6804" t="s">
        <v>2065</v>
      </c>
      <c r="G6804" t="s">
        <v>3292</v>
      </c>
      <c r="H6804">
        <v>40043</v>
      </c>
      <c r="I6804" t="s">
        <v>423</v>
      </c>
      <c r="J6804" t="s">
        <v>2196</v>
      </c>
      <c r="K6804" t="s">
        <v>2183</v>
      </c>
      <c r="L6804" t="s">
        <v>2184</v>
      </c>
      <c r="M6804">
        <v>10</v>
      </c>
      <c r="N6804">
        <v>25.13</v>
      </c>
      <c r="O6804">
        <v>2836.42</v>
      </c>
      <c r="P6804">
        <v>0</v>
      </c>
      <c r="Q6804">
        <v>2836.42</v>
      </c>
      <c r="R6804">
        <v>453.83</v>
      </c>
      <c r="S6804">
        <v>113.46</v>
      </c>
      <c r="T6804">
        <v>3176.79</v>
      </c>
      <c r="U6804" t="s">
        <v>7520</v>
      </c>
      <c r="V6804" t="s">
        <v>9408</v>
      </c>
      <c r="W6804" t="s">
        <v>423</v>
      </c>
    </row>
    <row r="6805" spans="1:23" hidden="1" x14ac:dyDescent="0.2">
      <c r="A6805">
        <v>2012</v>
      </c>
      <c r="B6805" t="s">
        <v>303</v>
      </c>
      <c r="C6805" s="733">
        <v>40926</v>
      </c>
      <c r="D68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05" t="s">
        <v>485</v>
      </c>
      <c r="F6805" t="s">
        <v>2065</v>
      </c>
      <c r="G6805" t="s">
        <v>3277</v>
      </c>
      <c r="H6805">
        <v>40483</v>
      </c>
      <c r="I6805" t="s">
        <v>423</v>
      </c>
      <c r="J6805" t="s">
        <v>2196</v>
      </c>
      <c r="K6805" t="s">
        <v>2183</v>
      </c>
      <c r="L6805" t="s">
        <v>2184</v>
      </c>
      <c r="M6805">
        <v>10</v>
      </c>
      <c r="N6805">
        <v>15.95</v>
      </c>
      <c r="O6805">
        <v>1800.28</v>
      </c>
      <c r="P6805">
        <v>0</v>
      </c>
      <c r="Q6805">
        <v>1800.28</v>
      </c>
      <c r="R6805">
        <v>288.04000000000002</v>
      </c>
      <c r="S6805">
        <v>72.010000000000005</v>
      </c>
      <c r="T6805">
        <v>2016.31</v>
      </c>
      <c r="U6805" t="s">
        <v>7554</v>
      </c>
      <c r="V6805" t="s">
        <v>9408</v>
      </c>
      <c r="W6805" t="s">
        <v>423</v>
      </c>
    </row>
    <row r="6806" spans="1:23" x14ac:dyDescent="0.2">
      <c r="A6806">
        <v>2012</v>
      </c>
      <c r="B6806" t="s">
        <v>304</v>
      </c>
      <c r="C6806" s="733">
        <v>40967</v>
      </c>
      <c r="D68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06" t="s">
        <v>485</v>
      </c>
      <c r="F6806" t="s">
        <v>2065</v>
      </c>
      <c r="G6806" t="s">
        <v>9144</v>
      </c>
      <c r="H6806">
        <v>42780</v>
      </c>
      <c r="I6806" t="s">
        <v>423</v>
      </c>
      <c r="J6806" t="s">
        <v>2196</v>
      </c>
      <c r="K6806" t="s">
        <v>2183</v>
      </c>
      <c r="L6806" t="s">
        <v>2184</v>
      </c>
      <c r="M6806">
        <v>10</v>
      </c>
      <c r="N6806">
        <v>15.22</v>
      </c>
      <c r="O6806">
        <v>1717.88</v>
      </c>
      <c r="P6806">
        <v>0</v>
      </c>
      <c r="Q6806">
        <v>1717.88</v>
      </c>
      <c r="R6806">
        <v>274.86</v>
      </c>
      <c r="S6806">
        <v>68.72</v>
      </c>
      <c r="T6806">
        <v>1924.02</v>
      </c>
      <c r="V6806" t="s">
        <v>9408</v>
      </c>
      <c r="W6806" t="s">
        <v>423</v>
      </c>
    </row>
    <row r="6807" spans="1:23" hidden="1" x14ac:dyDescent="0.2">
      <c r="A6807">
        <v>2012</v>
      </c>
      <c r="B6807" t="s">
        <v>303</v>
      </c>
      <c r="C6807" s="733">
        <v>40926</v>
      </c>
      <c r="D68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07" t="s">
        <v>485</v>
      </c>
      <c r="F6807" t="s">
        <v>2065</v>
      </c>
      <c r="G6807" t="s">
        <v>3276</v>
      </c>
      <c r="H6807">
        <v>40468</v>
      </c>
      <c r="I6807" t="s">
        <v>423</v>
      </c>
      <c r="J6807" t="s">
        <v>2196</v>
      </c>
      <c r="K6807" t="s">
        <v>2183</v>
      </c>
      <c r="L6807" t="s">
        <v>2184</v>
      </c>
      <c r="M6807">
        <v>10</v>
      </c>
      <c r="N6807">
        <v>16.100000000000001</v>
      </c>
      <c r="O6807">
        <v>1817.21</v>
      </c>
      <c r="P6807">
        <v>0</v>
      </c>
      <c r="Q6807">
        <v>1817.21</v>
      </c>
      <c r="R6807">
        <v>290.75</v>
      </c>
      <c r="S6807">
        <v>72.69</v>
      </c>
      <c r="T6807">
        <v>2035.27</v>
      </c>
      <c r="U6807" t="s">
        <v>7554</v>
      </c>
      <c r="V6807" t="s">
        <v>9408</v>
      </c>
      <c r="W6807" t="s">
        <v>423</v>
      </c>
    </row>
    <row r="6808" spans="1:23" hidden="1" x14ac:dyDescent="0.2">
      <c r="A6808">
        <v>2012</v>
      </c>
      <c r="B6808" t="s">
        <v>304</v>
      </c>
      <c r="C6808" s="733">
        <v>40960</v>
      </c>
      <c r="D68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08" t="s">
        <v>485</v>
      </c>
      <c r="F6808" t="s">
        <v>2065</v>
      </c>
      <c r="G6808" t="s">
        <v>8186</v>
      </c>
      <c r="H6808">
        <v>42252</v>
      </c>
      <c r="I6808" t="s">
        <v>423</v>
      </c>
      <c r="J6808" t="s">
        <v>2196</v>
      </c>
      <c r="K6808" t="s">
        <v>2183</v>
      </c>
      <c r="L6808" t="s">
        <v>2184</v>
      </c>
      <c r="M6808">
        <v>10</v>
      </c>
      <c r="N6808">
        <v>16.07</v>
      </c>
      <c r="O6808">
        <v>1813.82</v>
      </c>
      <c r="P6808">
        <v>0</v>
      </c>
      <c r="Q6808">
        <v>1813.82</v>
      </c>
      <c r="R6808">
        <v>290.20999999999998</v>
      </c>
      <c r="S6808">
        <v>72.55</v>
      </c>
      <c r="T6808">
        <v>2031.48</v>
      </c>
      <c r="U6808" t="s">
        <v>9411</v>
      </c>
      <c r="V6808" t="s">
        <v>9408</v>
      </c>
      <c r="W6808" t="s">
        <v>423</v>
      </c>
    </row>
    <row r="6809" spans="1:23" x14ac:dyDescent="0.2">
      <c r="A6809">
        <v>2012</v>
      </c>
      <c r="B6809" t="s">
        <v>304</v>
      </c>
      <c r="C6809" s="733">
        <v>40968</v>
      </c>
      <c r="D68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09" t="s">
        <v>485</v>
      </c>
      <c r="F6809" t="s">
        <v>2065</v>
      </c>
      <c r="G6809" t="s">
        <v>9131</v>
      </c>
      <c r="H6809">
        <v>42837</v>
      </c>
      <c r="I6809" t="s">
        <v>423</v>
      </c>
      <c r="J6809" t="s">
        <v>2196</v>
      </c>
      <c r="K6809" t="s">
        <v>2183</v>
      </c>
      <c r="L6809" t="s">
        <v>2184</v>
      </c>
      <c r="M6809">
        <v>10</v>
      </c>
      <c r="N6809">
        <v>15.86</v>
      </c>
      <c r="O6809">
        <v>1790.12</v>
      </c>
      <c r="P6809">
        <v>0</v>
      </c>
      <c r="Q6809">
        <v>1790.12</v>
      </c>
      <c r="R6809">
        <v>286.42</v>
      </c>
      <c r="S6809">
        <v>71.599999999999994</v>
      </c>
      <c r="T6809">
        <v>2004.94</v>
      </c>
      <c r="V6809" t="s">
        <v>9408</v>
      </c>
      <c r="W6809" t="s">
        <v>423</v>
      </c>
    </row>
    <row r="6810" spans="1:23" hidden="1" x14ac:dyDescent="0.2">
      <c r="A6810">
        <v>2012</v>
      </c>
      <c r="B6810" t="s">
        <v>305</v>
      </c>
      <c r="C6810" s="733">
        <v>40970</v>
      </c>
      <c r="D6810" s="733" t="str">
        <f>CHOOSE(MONTH(Tabla_sqldatos_bonampakdb_Bon_v_ingresos2012[[#This Row],[fecha_guia]]),"Enero","Febrero","Marzo","Abril","Mayo","Junio","Julio","Agosto","Septiembre","Octubre","Noviembre","Diciembre")</f>
        <v>Marzo</v>
      </c>
      <c r="E6810" t="s">
        <v>485</v>
      </c>
      <c r="F6810" t="s">
        <v>2065</v>
      </c>
      <c r="G6810" t="s">
        <v>9517</v>
      </c>
      <c r="H6810">
        <v>42909</v>
      </c>
      <c r="I6810" t="s">
        <v>423</v>
      </c>
      <c r="J6810" t="s">
        <v>2196</v>
      </c>
      <c r="K6810" t="s">
        <v>2183</v>
      </c>
      <c r="L6810" t="s">
        <v>2184</v>
      </c>
      <c r="M6810">
        <v>10</v>
      </c>
      <c r="N6810">
        <v>14.97</v>
      </c>
      <c r="O6810">
        <v>1689.66</v>
      </c>
      <c r="P6810">
        <v>0</v>
      </c>
      <c r="Q6810">
        <v>1689.66</v>
      </c>
      <c r="R6810">
        <v>270.35000000000002</v>
      </c>
      <c r="S6810">
        <v>67.59</v>
      </c>
      <c r="T6810">
        <v>1892.42</v>
      </c>
      <c r="V6810" t="s">
        <v>9408</v>
      </c>
      <c r="W6810" t="s">
        <v>423</v>
      </c>
    </row>
    <row r="6811" spans="1:23" hidden="1" x14ac:dyDescent="0.2">
      <c r="A6811">
        <v>2012</v>
      </c>
      <c r="B6811" t="s">
        <v>303</v>
      </c>
      <c r="C6811" s="733">
        <v>40934</v>
      </c>
      <c r="D68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11" t="s">
        <v>485</v>
      </c>
      <c r="F6811" t="s">
        <v>2065</v>
      </c>
      <c r="G6811" t="s">
        <v>4165</v>
      </c>
      <c r="H6811">
        <v>40926</v>
      </c>
      <c r="I6811" t="s">
        <v>423</v>
      </c>
      <c r="J6811" t="s">
        <v>2196</v>
      </c>
      <c r="K6811" t="s">
        <v>2183</v>
      </c>
      <c r="L6811" t="s">
        <v>2184</v>
      </c>
      <c r="M6811">
        <v>10</v>
      </c>
      <c r="N6811">
        <v>14.95</v>
      </c>
      <c r="O6811">
        <v>1687.41</v>
      </c>
      <c r="P6811">
        <v>0</v>
      </c>
      <c r="Q6811">
        <v>1687.41</v>
      </c>
      <c r="R6811">
        <v>269.99</v>
      </c>
      <c r="S6811">
        <v>67.5</v>
      </c>
      <c r="T6811">
        <v>1889.9</v>
      </c>
      <c r="U6811" t="s">
        <v>2187</v>
      </c>
      <c r="V6811" t="s">
        <v>9408</v>
      </c>
      <c r="W6811" t="s">
        <v>423</v>
      </c>
    </row>
    <row r="6812" spans="1:23" hidden="1" x14ac:dyDescent="0.2">
      <c r="A6812">
        <v>2012</v>
      </c>
      <c r="B6812" t="s">
        <v>303</v>
      </c>
      <c r="C6812" s="733">
        <v>40911.730196759258</v>
      </c>
      <c r="D68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12" t="s">
        <v>478</v>
      </c>
      <c r="F6812" t="s">
        <v>2136</v>
      </c>
      <c r="G6812" t="s">
        <v>5970</v>
      </c>
      <c r="H6812">
        <v>34203</v>
      </c>
      <c r="I6812" t="s">
        <v>423</v>
      </c>
      <c r="J6812" t="s">
        <v>2624</v>
      </c>
      <c r="K6812" t="s">
        <v>2625</v>
      </c>
      <c r="L6812" t="s">
        <v>2626</v>
      </c>
      <c r="M6812">
        <v>10</v>
      </c>
      <c r="N6812">
        <v>23.39</v>
      </c>
      <c r="O6812">
        <v>1322</v>
      </c>
      <c r="P6812">
        <v>1125.5508</v>
      </c>
      <c r="Q6812">
        <v>2447.5508</v>
      </c>
      <c r="R6812">
        <v>391.60812800000002</v>
      </c>
      <c r="S6812">
        <v>97.902032000000005</v>
      </c>
      <c r="T6812">
        <v>2741.2568959999999</v>
      </c>
      <c r="U6812" t="s">
        <v>2660</v>
      </c>
      <c r="V6812" t="s">
        <v>9408</v>
      </c>
      <c r="W6812" t="s">
        <v>423</v>
      </c>
    </row>
    <row r="6813" spans="1:23" x14ac:dyDescent="0.2">
      <c r="A6813">
        <v>2012</v>
      </c>
      <c r="B6813" t="s">
        <v>304</v>
      </c>
      <c r="C6813" s="733">
        <v>40967</v>
      </c>
      <c r="D68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13" t="s">
        <v>485</v>
      </c>
      <c r="F6813" t="s">
        <v>2048</v>
      </c>
      <c r="G6813" t="s">
        <v>9071</v>
      </c>
      <c r="H6813">
        <v>42719</v>
      </c>
      <c r="I6813" t="s">
        <v>423</v>
      </c>
      <c r="J6813" t="s">
        <v>4086</v>
      </c>
      <c r="K6813" t="s">
        <v>2051</v>
      </c>
      <c r="L6813" t="s">
        <v>2052</v>
      </c>
      <c r="M6813">
        <v>341</v>
      </c>
      <c r="N6813">
        <v>59.4</v>
      </c>
      <c r="O6813">
        <v>14526.27</v>
      </c>
      <c r="P6813">
        <v>0</v>
      </c>
      <c r="Q6813">
        <v>14526.27</v>
      </c>
      <c r="R6813">
        <v>2324.1999999999998</v>
      </c>
      <c r="S6813">
        <v>581.04999999999995</v>
      </c>
      <c r="T6813">
        <v>16269.42</v>
      </c>
      <c r="U6813" t="s">
        <v>8780</v>
      </c>
      <c r="V6813" t="s">
        <v>9409</v>
      </c>
      <c r="W6813" t="s">
        <v>423</v>
      </c>
    </row>
    <row r="6814" spans="1:23" hidden="1" x14ac:dyDescent="0.2">
      <c r="A6814">
        <v>2012</v>
      </c>
      <c r="B6814" t="s">
        <v>303</v>
      </c>
      <c r="C6814" s="733">
        <v>40917</v>
      </c>
      <c r="D68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14" t="s">
        <v>505</v>
      </c>
      <c r="F6814" t="s">
        <v>1915</v>
      </c>
      <c r="G6814" t="s">
        <v>6198</v>
      </c>
      <c r="H6814">
        <v>21857</v>
      </c>
      <c r="I6814" t="s">
        <v>423</v>
      </c>
      <c r="J6814" t="s">
        <v>4158</v>
      </c>
      <c r="K6814" t="s">
        <v>1918</v>
      </c>
      <c r="L6814" t="s">
        <v>1919</v>
      </c>
      <c r="M6814">
        <v>274</v>
      </c>
      <c r="N6814">
        <v>29.37</v>
      </c>
      <c r="O6814">
        <v>8109.06</v>
      </c>
      <c r="P6814">
        <v>0</v>
      </c>
      <c r="Q6814">
        <v>8109.06</v>
      </c>
      <c r="R6814">
        <v>1297.45</v>
      </c>
      <c r="S6814">
        <v>324.36</v>
      </c>
      <c r="T6814">
        <v>9082.15</v>
      </c>
      <c r="U6814" t="s">
        <v>1931</v>
      </c>
      <c r="V6814" t="s">
        <v>9408</v>
      </c>
      <c r="W6814" t="s">
        <v>423</v>
      </c>
    </row>
    <row r="6815" spans="1:23" hidden="1" x14ac:dyDescent="0.2">
      <c r="A6815">
        <v>2012</v>
      </c>
      <c r="B6815" t="s">
        <v>304</v>
      </c>
      <c r="C6815" s="733">
        <v>40961</v>
      </c>
      <c r="D68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15" t="s">
        <v>505</v>
      </c>
      <c r="F6815" t="s">
        <v>1915</v>
      </c>
      <c r="G6815" t="s">
        <v>8344</v>
      </c>
      <c r="H6815">
        <v>22915</v>
      </c>
      <c r="I6815" t="s">
        <v>423</v>
      </c>
      <c r="J6815" t="s">
        <v>4158</v>
      </c>
      <c r="K6815" t="s">
        <v>1918</v>
      </c>
      <c r="L6815" t="s">
        <v>1919</v>
      </c>
      <c r="M6815">
        <v>274</v>
      </c>
      <c r="N6815">
        <v>27.32</v>
      </c>
      <c r="O6815">
        <v>7543.05</v>
      </c>
      <c r="P6815">
        <v>0</v>
      </c>
      <c r="Q6815">
        <v>7543.05</v>
      </c>
      <c r="R6815">
        <v>1206.8900000000001</v>
      </c>
      <c r="S6815">
        <v>301.72000000000003</v>
      </c>
      <c r="T6815">
        <v>8448.2199999999993</v>
      </c>
      <c r="U6815" t="s">
        <v>8491</v>
      </c>
      <c r="V6815" t="s">
        <v>9408</v>
      </c>
      <c r="W6815" t="s">
        <v>423</v>
      </c>
    </row>
    <row r="6816" spans="1:23" hidden="1" x14ac:dyDescent="0.2">
      <c r="A6816">
        <v>2012</v>
      </c>
      <c r="B6816" t="s">
        <v>303</v>
      </c>
      <c r="C6816" s="733">
        <v>40934</v>
      </c>
      <c r="D681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16" t="s">
        <v>505</v>
      </c>
      <c r="F6816" t="s">
        <v>1915</v>
      </c>
      <c r="G6816" t="s">
        <v>6200</v>
      </c>
      <c r="H6816">
        <v>22265</v>
      </c>
      <c r="I6816" t="s">
        <v>423</v>
      </c>
      <c r="J6816" t="s">
        <v>4158</v>
      </c>
      <c r="K6816" t="s">
        <v>1918</v>
      </c>
      <c r="L6816" t="s">
        <v>1919</v>
      </c>
      <c r="M6816">
        <v>274</v>
      </c>
      <c r="N6816">
        <v>27.03</v>
      </c>
      <c r="O6816">
        <v>7462.98</v>
      </c>
      <c r="P6816">
        <v>0</v>
      </c>
      <c r="Q6816">
        <v>7462.98</v>
      </c>
      <c r="R6816">
        <v>1194.08</v>
      </c>
      <c r="S6816">
        <v>298.52</v>
      </c>
      <c r="T6816">
        <v>8358.5400000000009</v>
      </c>
      <c r="U6816" t="s">
        <v>1926</v>
      </c>
      <c r="V6816" t="s">
        <v>9408</v>
      </c>
      <c r="W6816" t="s">
        <v>423</v>
      </c>
    </row>
    <row r="6817" spans="1:23" hidden="1" x14ac:dyDescent="0.2">
      <c r="A6817">
        <v>2012</v>
      </c>
      <c r="B6817" t="s">
        <v>304</v>
      </c>
      <c r="C6817" s="733">
        <v>40962</v>
      </c>
      <c r="D68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17" t="s">
        <v>478</v>
      </c>
      <c r="F6817" t="s">
        <v>2136</v>
      </c>
      <c r="G6817" t="s">
        <v>8671</v>
      </c>
      <c r="H6817">
        <v>35468</v>
      </c>
      <c r="I6817" t="s">
        <v>423</v>
      </c>
      <c r="J6817" t="s">
        <v>8619</v>
      </c>
      <c r="K6817" t="s">
        <v>425</v>
      </c>
      <c r="L6817" t="s">
        <v>2145</v>
      </c>
      <c r="M6817">
        <v>1055</v>
      </c>
      <c r="N6817">
        <v>20.21</v>
      </c>
      <c r="O6817">
        <v>10201.4</v>
      </c>
      <c r="P6817">
        <v>0</v>
      </c>
      <c r="Q6817">
        <v>10201.4</v>
      </c>
      <c r="R6817">
        <v>1632.22</v>
      </c>
      <c r="S6817">
        <v>408.06</v>
      </c>
      <c r="T6817">
        <v>11425.56</v>
      </c>
      <c r="U6817" t="s">
        <v>8510</v>
      </c>
      <c r="V6817" t="s">
        <v>9408</v>
      </c>
      <c r="W6817" t="s">
        <v>423</v>
      </c>
    </row>
    <row r="6818" spans="1:23" x14ac:dyDescent="0.2">
      <c r="A6818">
        <v>2012</v>
      </c>
      <c r="B6818" t="s">
        <v>304</v>
      </c>
      <c r="C6818" s="733">
        <v>40967</v>
      </c>
      <c r="D68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18" t="s">
        <v>485</v>
      </c>
      <c r="F6818" t="s">
        <v>2048</v>
      </c>
      <c r="G6818" t="s">
        <v>9070</v>
      </c>
      <c r="H6818">
        <v>42722</v>
      </c>
      <c r="I6818" t="s">
        <v>423</v>
      </c>
      <c r="J6818" t="s">
        <v>4086</v>
      </c>
      <c r="K6818" t="s">
        <v>2051</v>
      </c>
      <c r="L6818" t="s">
        <v>2052</v>
      </c>
      <c r="M6818">
        <v>341</v>
      </c>
      <c r="N6818">
        <v>28.55</v>
      </c>
      <c r="O6818">
        <v>6981.9</v>
      </c>
      <c r="P6818">
        <v>0</v>
      </c>
      <c r="Q6818">
        <v>6981.9</v>
      </c>
      <c r="R6818">
        <v>1117.0999999999999</v>
      </c>
      <c r="S6818">
        <v>279.27999999999997</v>
      </c>
      <c r="T6818">
        <v>7819.72</v>
      </c>
      <c r="V6818" t="s">
        <v>9408</v>
      </c>
      <c r="W6818" t="s">
        <v>423</v>
      </c>
    </row>
    <row r="6819" spans="1:23" hidden="1" x14ac:dyDescent="0.2">
      <c r="A6819">
        <v>2012</v>
      </c>
      <c r="B6819" t="s">
        <v>303</v>
      </c>
      <c r="C6819" s="733">
        <v>40932</v>
      </c>
      <c r="D68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19" t="s">
        <v>485</v>
      </c>
      <c r="F6819" t="s">
        <v>2048</v>
      </c>
      <c r="G6819" t="s">
        <v>5724</v>
      </c>
      <c r="H6819">
        <v>39834</v>
      </c>
      <c r="I6819" t="s">
        <v>423</v>
      </c>
      <c r="J6819" t="s">
        <v>4086</v>
      </c>
      <c r="K6819" t="s">
        <v>2051</v>
      </c>
      <c r="L6819" t="s">
        <v>2052</v>
      </c>
      <c r="M6819">
        <v>341</v>
      </c>
      <c r="N6819">
        <v>58.1</v>
      </c>
      <c r="O6819">
        <v>14208.36</v>
      </c>
      <c r="P6819">
        <v>0</v>
      </c>
      <c r="Q6819">
        <v>14208.36</v>
      </c>
      <c r="R6819">
        <v>2273.34</v>
      </c>
      <c r="S6819">
        <v>568.33000000000004</v>
      </c>
      <c r="T6819">
        <v>15913.37</v>
      </c>
      <c r="U6819" t="s">
        <v>2053</v>
      </c>
      <c r="V6819" t="s">
        <v>9409</v>
      </c>
      <c r="W6819" t="s">
        <v>423</v>
      </c>
    </row>
    <row r="6820" spans="1:23" hidden="1" x14ac:dyDescent="0.2">
      <c r="A6820">
        <v>2012</v>
      </c>
      <c r="B6820" t="s">
        <v>304</v>
      </c>
      <c r="C6820" s="733">
        <v>40946</v>
      </c>
      <c r="D68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20" t="s">
        <v>485</v>
      </c>
      <c r="F6820" t="s">
        <v>2048</v>
      </c>
      <c r="G6820" t="s">
        <v>5707</v>
      </c>
      <c r="H6820">
        <v>41481</v>
      </c>
      <c r="I6820" t="s">
        <v>423</v>
      </c>
      <c r="J6820" t="s">
        <v>2972</v>
      </c>
      <c r="K6820" t="s">
        <v>2051</v>
      </c>
      <c r="L6820" t="s">
        <v>2052</v>
      </c>
      <c r="M6820">
        <v>398</v>
      </c>
      <c r="N6820">
        <v>29.95</v>
      </c>
      <c r="O6820">
        <v>8283.27</v>
      </c>
      <c r="P6820">
        <v>0</v>
      </c>
      <c r="Q6820">
        <v>8283.27</v>
      </c>
      <c r="R6820">
        <v>1325.32</v>
      </c>
      <c r="S6820">
        <v>331.33</v>
      </c>
      <c r="T6820">
        <v>9277.26</v>
      </c>
      <c r="U6820" t="s">
        <v>7568</v>
      </c>
      <c r="V6820" t="s">
        <v>9408</v>
      </c>
      <c r="W6820" t="s">
        <v>423</v>
      </c>
    </row>
    <row r="6821" spans="1:23" hidden="1" x14ac:dyDescent="0.2">
      <c r="A6821">
        <v>2012</v>
      </c>
      <c r="B6821" t="s">
        <v>303</v>
      </c>
      <c r="C6821" s="733">
        <v>40911</v>
      </c>
      <c r="D68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21" t="s">
        <v>485</v>
      </c>
      <c r="F6821" t="s">
        <v>2048</v>
      </c>
      <c r="G6821" t="s">
        <v>5706</v>
      </c>
      <c r="H6821">
        <v>39726</v>
      </c>
      <c r="I6821" t="s">
        <v>423</v>
      </c>
      <c r="J6821" t="s">
        <v>3570</v>
      </c>
      <c r="K6821" t="s">
        <v>2051</v>
      </c>
      <c r="L6821" t="s">
        <v>2052</v>
      </c>
      <c r="M6821">
        <v>678</v>
      </c>
      <c r="N6821">
        <v>25.75</v>
      </c>
      <c r="O6821">
        <v>3968.33</v>
      </c>
      <c r="P6821">
        <v>4467.9030640000001</v>
      </c>
      <c r="Q6821">
        <v>8436.233064</v>
      </c>
      <c r="R6821">
        <v>1349.79729</v>
      </c>
      <c r="S6821">
        <v>337.44932299999999</v>
      </c>
      <c r="T6821">
        <v>9448.5810309999997</v>
      </c>
      <c r="U6821" t="s">
        <v>2089</v>
      </c>
      <c r="V6821" t="s">
        <v>9408</v>
      </c>
      <c r="W6821" t="s">
        <v>423</v>
      </c>
    </row>
    <row r="6822" spans="1:23" hidden="1" x14ac:dyDescent="0.2">
      <c r="A6822">
        <v>2012</v>
      </c>
      <c r="B6822" t="s">
        <v>304</v>
      </c>
      <c r="C6822" s="733">
        <v>40954</v>
      </c>
      <c r="D68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22" t="s">
        <v>485</v>
      </c>
      <c r="F6822" t="s">
        <v>2048</v>
      </c>
      <c r="G6822" t="s">
        <v>7599</v>
      </c>
      <c r="H6822">
        <v>42011</v>
      </c>
      <c r="I6822" t="s">
        <v>423</v>
      </c>
      <c r="J6822" t="s">
        <v>3570</v>
      </c>
      <c r="K6822" t="s">
        <v>2051</v>
      </c>
      <c r="L6822" t="s">
        <v>2052</v>
      </c>
      <c r="M6822">
        <v>678</v>
      </c>
      <c r="N6822">
        <v>23.85</v>
      </c>
      <c r="O6822">
        <v>8730.0499999999993</v>
      </c>
      <c r="P6822">
        <v>0</v>
      </c>
      <c r="Q6822">
        <v>8730.0499999999993</v>
      </c>
      <c r="R6822">
        <v>1396.81</v>
      </c>
      <c r="S6822">
        <v>349.2</v>
      </c>
      <c r="T6822">
        <v>9777.66</v>
      </c>
      <c r="U6822" t="s">
        <v>8780</v>
      </c>
      <c r="V6822" t="s">
        <v>9408</v>
      </c>
      <c r="W6822" t="s">
        <v>423</v>
      </c>
    </row>
    <row r="6823" spans="1:23" hidden="1" x14ac:dyDescent="0.2">
      <c r="A6823">
        <v>2012</v>
      </c>
      <c r="B6823" t="s">
        <v>304</v>
      </c>
      <c r="C6823" s="733">
        <v>40952</v>
      </c>
      <c r="D68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23" t="s">
        <v>485</v>
      </c>
      <c r="F6823" t="s">
        <v>2065</v>
      </c>
      <c r="G6823" t="s">
        <v>5466</v>
      </c>
      <c r="H6823">
        <v>41670</v>
      </c>
      <c r="I6823" t="s">
        <v>423</v>
      </c>
      <c r="J6823" t="s">
        <v>3965</v>
      </c>
      <c r="K6823" t="s">
        <v>2183</v>
      </c>
      <c r="L6823" t="s">
        <v>2184</v>
      </c>
      <c r="M6823">
        <v>696</v>
      </c>
      <c r="N6823">
        <v>25.17</v>
      </c>
      <c r="O6823">
        <v>10201.15</v>
      </c>
      <c r="P6823">
        <v>0</v>
      </c>
      <c r="Q6823">
        <v>10201.15</v>
      </c>
      <c r="R6823">
        <v>1632.18</v>
      </c>
      <c r="S6823">
        <v>408.05</v>
      </c>
      <c r="T6823">
        <v>11425.28</v>
      </c>
      <c r="U6823" t="s">
        <v>8048</v>
      </c>
      <c r="V6823" t="s">
        <v>9408</v>
      </c>
      <c r="W6823" t="s">
        <v>423</v>
      </c>
    </row>
    <row r="6824" spans="1:23" hidden="1" x14ac:dyDescent="0.2">
      <c r="A6824">
        <v>2012</v>
      </c>
      <c r="B6824" t="s">
        <v>304</v>
      </c>
      <c r="C6824" s="733">
        <v>40949</v>
      </c>
      <c r="D68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24" t="s">
        <v>485</v>
      </c>
      <c r="F6824" t="s">
        <v>2065</v>
      </c>
      <c r="G6824" t="s">
        <v>5465</v>
      </c>
      <c r="H6824">
        <v>41587</v>
      </c>
      <c r="I6824" t="s">
        <v>423</v>
      </c>
      <c r="J6824" t="s">
        <v>3965</v>
      </c>
      <c r="K6824" t="s">
        <v>2183</v>
      </c>
      <c r="L6824" t="s">
        <v>2184</v>
      </c>
      <c r="M6824">
        <v>696</v>
      </c>
      <c r="N6824">
        <v>24.85</v>
      </c>
      <c r="O6824">
        <v>10071.459999999999</v>
      </c>
      <c r="P6824">
        <v>0</v>
      </c>
      <c r="Q6824">
        <v>10071.459999999999</v>
      </c>
      <c r="R6824">
        <v>1611.43</v>
      </c>
      <c r="S6824">
        <v>402.86</v>
      </c>
      <c r="T6824">
        <v>11280.03</v>
      </c>
      <c r="U6824" t="s">
        <v>8048</v>
      </c>
      <c r="V6824" t="s">
        <v>9408</v>
      </c>
      <c r="W6824" t="s">
        <v>423</v>
      </c>
    </row>
    <row r="6825" spans="1:23" hidden="1" x14ac:dyDescent="0.2">
      <c r="A6825">
        <v>2012</v>
      </c>
      <c r="B6825" t="s">
        <v>304</v>
      </c>
      <c r="C6825" s="733">
        <v>40963</v>
      </c>
      <c r="D68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25" t="s">
        <v>485</v>
      </c>
      <c r="F6825" t="s">
        <v>2065</v>
      </c>
      <c r="G6825" t="s">
        <v>8770</v>
      </c>
      <c r="H6825">
        <v>42525</v>
      </c>
      <c r="I6825" t="s">
        <v>423</v>
      </c>
      <c r="J6825" t="s">
        <v>3965</v>
      </c>
      <c r="K6825" t="s">
        <v>2183</v>
      </c>
      <c r="L6825" t="s">
        <v>2184</v>
      </c>
      <c r="M6825">
        <v>696</v>
      </c>
      <c r="N6825">
        <v>24.42</v>
      </c>
      <c r="O6825">
        <v>9897.18</v>
      </c>
      <c r="P6825">
        <v>0</v>
      </c>
      <c r="Q6825">
        <v>9897.18</v>
      </c>
      <c r="R6825">
        <v>1583.55</v>
      </c>
      <c r="S6825">
        <v>395.89</v>
      </c>
      <c r="T6825">
        <v>11084.84</v>
      </c>
      <c r="U6825" t="s">
        <v>9411</v>
      </c>
      <c r="V6825" t="s">
        <v>9408</v>
      </c>
      <c r="W6825" t="s">
        <v>423</v>
      </c>
    </row>
    <row r="6826" spans="1:23" hidden="1" x14ac:dyDescent="0.2">
      <c r="A6826">
        <v>2012</v>
      </c>
      <c r="B6826" t="s">
        <v>304</v>
      </c>
      <c r="C6826" s="733">
        <v>40959</v>
      </c>
      <c r="D68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26" t="s">
        <v>485</v>
      </c>
      <c r="F6826" t="s">
        <v>2065</v>
      </c>
      <c r="G6826" t="s">
        <v>7977</v>
      </c>
      <c r="H6826">
        <v>42173</v>
      </c>
      <c r="I6826" t="s">
        <v>423</v>
      </c>
      <c r="J6826" t="s">
        <v>3965</v>
      </c>
      <c r="K6826" t="s">
        <v>2183</v>
      </c>
      <c r="L6826" t="s">
        <v>2184</v>
      </c>
      <c r="M6826">
        <v>696</v>
      </c>
      <c r="N6826">
        <v>24.83</v>
      </c>
      <c r="O6826">
        <v>10063.35</v>
      </c>
      <c r="P6826">
        <v>0</v>
      </c>
      <c r="Q6826">
        <v>10063.35</v>
      </c>
      <c r="R6826">
        <v>1610.14</v>
      </c>
      <c r="S6826">
        <v>402.53</v>
      </c>
      <c r="T6826">
        <v>11270.96</v>
      </c>
      <c r="U6826" t="s">
        <v>9411</v>
      </c>
      <c r="V6826" t="s">
        <v>9408</v>
      </c>
      <c r="W6826" t="s">
        <v>423</v>
      </c>
    </row>
    <row r="6827" spans="1:23" hidden="1" x14ac:dyDescent="0.2">
      <c r="A6827">
        <v>2012</v>
      </c>
      <c r="B6827" t="s">
        <v>304</v>
      </c>
      <c r="C6827" s="733">
        <v>40942</v>
      </c>
      <c r="D68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27" t="s">
        <v>485</v>
      </c>
      <c r="F6827" t="s">
        <v>2065</v>
      </c>
      <c r="G6827" t="s">
        <v>5467</v>
      </c>
      <c r="H6827">
        <v>41255</v>
      </c>
      <c r="I6827" t="s">
        <v>423</v>
      </c>
      <c r="J6827" t="s">
        <v>3965</v>
      </c>
      <c r="K6827" t="s">
        <v>2183</v>
      </c>
      <c r="L6827" t="s">
        <v>2184</v>
      </c>
      <c r="M6827">
        <v>696</v>
      </c>
      <c r="N6827">
        <v>25.97</v>
      </c>
      <c r="O6827">
        <v>10525.38</v>
      </c>
      <c r="P6827">
        <v>0</v>
      </c>
      <c r="Q6827">
        <v>10525.38</v>
      </c>
      <c r="R6827">
        <v>1684.06</v>
      </c>
      <c r="S6827">
        <v>421.02</v>
      </c>
      <c r="T6827">
        <v>11788.42</v>
      </c>
      <c r="U6827" t="s">
        <v>2192</v>
      </c>
      <c r="V6827" t="s">
        <v>9408</v>
      </c>
      <c r="W6827" t="s">
        <v>423</v>
      </c>
    </row>
    <row r="6828" spans="1:23" hidden="1" x14ac:dyDescent="0.2">
      <c r="A6828">
        <v>2012</v>
      </c>
      <c r="B6828" t="s">
        <v>304</v>
      </c>
      <c r="C6828" s="733">
        <v>40946</v>
      </c>
      <c r="D68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28" t="s">
        <v>485</v>
      </c>
      <c r="F6828" t="s">
        <v>2048</v>
      </c>
      <c r="G6828" t="s">
        <v>5708</v>
      </c>
      <c r="H6828">
        <v>41484</v>
      </c>
      <c r="I6828" t="s">
        <v>423</v>
      </c>
      <c r="J6828" t="s">
        <v>2972</v>
      </c>
      <c r="K6828" t="s">
        <v>2051</v>
      </c>
      <c r="L6828" t="s">
        <v>2052</v>
      </c>
      <c r="M6828">
        <v>398</v>
      </c>
      <c r="N6828">
        <v>51.3</v>
      </c>
      <c r="O6828">
        <v>14188.04</v>
      </c>
      <c r="P6828">
        <v>0</v>
      </c>
      <c r="Q6828">
        <v>14188.04</v>
      </c>
      <c r="R6828">
        <v>2270.09</v>
      </c>
      <c r="S6828">
        <v>567.52</v>
      </c>
      <c r="T6828">
        <v>15890.61</v>
      </c>
      <c r="U6828" t="s">
        <v>7568</v>
      </c>
      <c r="V6828" t="s">
        <v>9408</v>
      </c>
      <c r="W6828" t="s">
        <v>423</v>
      </c>
    </row>
    <row r="6829" spans="1:23" hidden="1" x14ac:dyDescent="0.2">
      <c r="A6829">
        <v>2012</v>
      </c>
      <c r="B6829" t="s">
        <v>304</v>
      </c>
      <c r="C6829" s="733">
        <v>40960</v>
      </c>
      <c r="D68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29" t="s">
        <v>485</v>
      </c>
      <c r="F6829" t="s">
        <v>2065</v>
      </c>
      <c r="G6829" t="s">
        <v>8159</v>
      </c>
      <c r="H6829">
        <v>42329</v>
      </c>
      <c r="I6829" t="s">
        <v>423</v>
      </c>
      <c r="J6829" t="s">
        <v>2972</v>
      </c>
      <c r="K6829" t="s">
        <v>2051</v>
      </c>
      <c r="L6829" t="s">
        <v>2052</v>
      </c>
      <c r="M6829">
        <v>398</v>
      </c>
      <c r="N6829">
        <v>50.64</v>
      </c>
      <c r="O6829">
        <v>14005.5</v>
      </c>
      <c r="P6829">
        <v>0</v>
      </c>
      <c r="Q6829">
        <v>14005.5</v>
      </c>
      <c r="R6829">
        <v>2240.88</v>
      </c>
      <c r="S6829">
        <v>560.22</v>
      </c>
      <c r="T6829">
        <v>15686.16</v>
      </c>
      <c r="U6829" t="s">
        <v>8780</v>
      </c>
      <c r="V6829" t="s">
        <v>9409</v>
      </c>
      <c r="W6829" t="s">
        <v>423</v>
      </c>
    </row>
    <row r="6830" spans="1:23" hidden="1" x14ac:dyDescent="0.2">
      <c r="A6830">
        <v>2012</v>
      </c>
      <c r="B6830" t="s">
        <v>304</v>
      </c>
      <c r="C6830" s="733">
        <v>40942</v>
      </c>
      <c r="D68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30" t="s">
        <v>478</v>
      </c>
      <c r="F6830" t="s">
        <v>2136</v>
      </c>
      <c r="G6830" t="s">
        <v>5874</v>
      </c>
      <c r="H6830">
        <v>35058</v>
      </c>
      <c r="I6830" t="s">
        <v>423</v>
      </c>
      <c r="J6830" t="s">
        <v>4276</v>
      </c>
      <c r="K6830" t="s">
        <v>425</v>
      </c>
      <c r="L6830" t="s">
        <v>2145</v>
      </c>
      <c r="M6830">
        <v>60</v>
      </c>
      <c r="N6830">
        <v>51.91</v>
      </c>
      <c r="O6830">
        <v>6968.92</v>
      </c>
      <c r="P6830">
        <v>0</v>
      </c>
      <c r="Q6830">
        <v>6968.92</v>
      </c>
      <c r="R6830">
        <v>1115.03</v>
      </c>
      <c r="S6830">
        <v>278.76</v>
      </c>
      <c r="T6830">
        <v>7805.19</v>
      </c>
      <c r="U6830" t="s">
        <v>3115</v>
      </c>
      <c r="V6830" t="s">
        <v>9409</v>
      </c>
      <c r="W6830" t="s">
        <v>423</v>
      </c>
    </row>
    <row r="6831" spans="1:23" hidden="1" x14ac:dyDescent="0.2">
      <c r="A6831">
        <v>2012</v>
      </c>
      <c r="B6831" t="s">
        <v>303</v>
      </c>
      <c r="C6831" s="733">
        <v>40932</v>
      </c>
      <c r="D68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31" t="s">
        <v>478</v>
      </c>
      <c r="F6831" t="s">
        <v>2136</v>
      </c>
      <c r="G6831" t="s">
        <v>5872</v>
      </c>
      <c r="H6831">
        <v>34906</v>
      </c>
      <c r="I6831" t="s">
        <v>423</v>
      </c>
      <c r="J6831" t="s">
        <v>4276</v>
      </c>
      <c r="K6831" t="s">
        <v>425</v>
      </c>
      <c r="L6831" t="s">
        <v>2145</v>
      </c>
      <c r="M6831">
        <v>60</v>
      </c>
      <c r="N6831">
        <v>23.24</v>
      </c>
      <c r="O6831">
        <v>3119.97</v>
      </c>
      <c r="P6831">
        <v>0</v>
      </c>
      <c r="Q6831">
        <v>3119.97</v>
      </c>
      <c r="R6831">
        <v>499.2</v>
      </c>
      <c r="S6831">
        <v>124.8</v>
      </c>
      <c r="T6831">
        <v>3494.37</v>
      </c>
      <c r="U6831" t="s">
        <v>2355</v>
      </c>
      <c r="V6831" t="s">
        <v>9408</v>
      </c>
      <c r="W6831" t="s">
        <v>423</v>
      </c>
    </row>
    <row r="6832" spans="1:23" hidden="1" x14ac:dyDescent="0.2">
      <c r="A6832">
        <v>2012</v>
      </c>
      <c r="B6832" t="s">
        <v>303</v>
      </c>
      <c r="C6832" s="733">
        <v>40925</v>
      </c>
      <c r="D68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32" t="s">
        <v>478</v>
      </c>
      <c r="F6832" t="s">
        <v>2136</v>
      </c>
      <c r="G6832" t="s">
        <v>5871</v>
      </c>
      <c r="H6832">
        <v>34528</v>
      </c>
      <c r="I6832" t="s">
        <v>423</v>
      </c>
      <c r="J6832" t="s">
        <v>4276</v>
      </c>
      <c r="K6832" t="s">
        <v>425</v>
      </c>
      <c r="L6832" t="s">
        <v>2145</v>
      </c>
      <c r="M6832">
        <v>60</v>
      </c>
      <c r="N6832">
        <v>23.52</v>
      </c>
      <c r="O6832">
        <v>3157.56</v>
      </c>
      <c r="P6832">
        <v>0</v>
      </c>
      <c r="Q6832">
        <v>3157.56</v>
      </c>
      <c r="R6832">
        <v>505.21</v>
      </c>
      <c r="S6832">
        <v>126.3</v>
      </c>
      <c r="T6832">
        <v>3536.47</v>
      </c>
      <c r="U6832" t="s">
        <v>2146</v>
      </c>
      <c r="V6832" t="s">
        <v>9408</v>
      </c>
      <c r="W6832" t="s">
        <v>423</v>
      </c>
    </row>
    <row r="6833" spans="1:23" hidden="1" x14ac:dyDescent="0.2">
      <c r="A6833">
        <v>2012</v>
      </c>
      <c r="B6833" t="s">
        <v>303</v>
      </c>
      <c r="C6833" s="733">
        <v>40928</v>
      </c>
      <c r="D68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33" t="s">
        <v>478</v>
      </c>
      <c r="F6833" t="s">
        <v>2136</v>
      </c>
      <c r="G6833" t="s">
        <v>5873</v>
      </c>
      <c r="H6833">
        <v>34653</v>
      </c>
      <c r="I6833" t="s">
        <v>423</v>
      </c>
      <c r="J6833" t="s">
        <v>4276</v>
      </c>
      <c r="K6833" t="s">
        <v>425</v>
      </c>
      <c r="L6833" t="s">
        <v>2145</v>
      </c>
      <c r="M6833">
        <v>60</v>
      </c>
      <c r="N6833">
        <v>26.55</v>
      </c>
      <c r="O6833">
        <v>3564.34</v>
      </c>
      <c r="P6833">
        <v>0</v>
      </c>
      <c r="Q6833">
        <v>3564.34</v>
      </c>
      <c r="R6833">
        <v>570.29</v>
      </c>
      <c r="S6833">
        <v>142.57</v>
      </c>
      <c r="T6833">
        <v>3992.06</v>
      </c>
      <c r="U6833" t="s">
        <v>2355</v>
      </c>
      <c r="V6833" t="s">
        <v>9408</v>
      </c>
      <c r="W6833" t="s">
        <v>423</v>
      </c>
    </row>
    <row r="6834" spans="1:23" hidden="1" x14ac:dyDescent="0.2">
      <c r="A6834">
        <v>2012</v>
      </c>
      <c r="B6834" t="s">
        <v>303</v>
      </c>
      <c r="C6834" s="733">
        <v>40933</v>
      </c>
      <c r="D68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34" t="s">
        <v>505</v>
      </c>
      <c r="F6834" t="s">
        <v>1915</v>
      </c>
      <c r="G6834" t="s">
        <v>6463</v>
      </c>
      <c r="H6834">
        <v>21610</v>
      </c>
      <c r="I6834" t="s">
        <v>424</v>
      </c>
      <c r="J6834" t="s">
        <v>6464</v>
      </c>
      <c r="K6834" t="s">
        <v>1918</v>
      </c>
      <c r="L6834" t="s">
        <v>1919</v>
      </c>
      <c r="M6834">
        <v>500</v>
      </c>
      <c r="N6834">
        <v>28</v>
      </c>
      <c r="O6834">
        <v>4832.37</v>
      </c>
      <c r="P6834">
        <v>2777.12</v>
      </c>
      <c r="Q6834">
        <v>7609.49</v>
      </c>
      <c r="R6834">
        <v>1217.52</v>
      </c>
      <c r="S6834">
        <v>304.38</v>
      </c>
      <c r="T6834">
        <v>8522.6299999999992</v>
      </c>
      <c r="V6834" t="s">
        <v>9408</v>
      </c>
      <c r="W6834" t="s">
        <v>424</v>
      </c>
    </row>
    <row r="6835" spans="1:23" hidden="1" x14ac:dyDescent="0.2">
      <c r="A6835">
        <v>2012</v>
      </c>
      <c r="B6835" t="s">
        <v>303</v>
      </c>
      <c r="C6835" s="733">
        <v>40933</v>
      </c>
      <c r="D68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35" t="s">
        <v>505</v>
      </c>
      <c r="F6835" t="s">
        <v>2065</v>
      </c>
      <c r="G6835" t="s">
        <v>6465</v>
      </c>
      <c r="H6835">
        <v>21613</v>
      </c>
      <c r="I6835" t="s">
        <v>424</v>
      </c>
      <c r="J6835" t="s">
        <v>6464</v>
      </c>
      <c r="K6835" t="s">
        <v>1918</v>
      </c>
      <c r="L6835" t="s">
        <v>1919</v>
      </c>
      <c r="M6835">
        <v>500</v>
      </c>
      <c r="N6835">
        <v>28</v>
      </c>
      <c r="O6835">
        <v>4832.37</v>
      </c>
      <c r="P6835">
        <v>2777.12</v>
      </c>
      <c r="Q6835">
        <v>7609.49</v>
      </c>
      <c r="R6835">
        <v>1217.52</v>
      </c>
      <c r="S6835">
        <v>304.38</v>
      </c>
      <c r="T6835">
        <v>8522.6299999999992</v>
      </c>
      <c r="V6835" t="s">
        <v>9408</v>
      </c>
      <c r="W6835" t="s">
        <v>424</v>
      </c>
    </row>
    <row r="6836" spans="1:23" hidden="1" x14ac:dyDescent="0.2">
      <c r="A6836">
        <v>2012</v>
      </c>
      <c r="B6836" t="s">
        <v>303</v>
      </c>
      <c r="C6836" s="733">
        <v>40929</v>
      </c>
      <c r="D68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36" t="s">
        <v>505</v>
      </c>
      <c r="F6836" t="s">
        <v>1915</v>
      </c>
      <c r="G6836" t="s">
        <v>6462</v>
      </c>
      <c r="H6836">
        <v>22151</v>
      </c>
      <c r="I6836" t="s">
        <v>423</v>
      </c>
      <c r="J6836" t="s">
        <v>4158</v>
      </c>
      <c r="K6836" t="s">
        <v>1918</v>
      </c>
      <c r="L6836" t="s">
        <v>1919</v>
      </c>
      <c r="M6836">
        <v>274</v>
      </c>
      <c r="N6836">
        <v>27.66</v>
      </c>
      <c r="O6836">
        <v>7636.93</v>
      </c>
      <c r="P6836">
        <v>0</v>
      </c>
      <c r="Q6836">
        <v>7636.93</v>
      </c>
      <c r="R6836">
        <v>1221.9100000000001</v>
      </c>
      <c r="S6836">
        <v>305.48</v>
      </c>
      <c r="T6836">
        <v>8553.36</v>
      </c>
      <c r="U6836" t="s">
        <v>1936</v>
      </c>
      <c r="V6836" t="s">
        <v>9408</v>
      </c>
      <c r="W6836" t="s">
        <v>423</v>
      </c>
    </row>
    <row r="6837" spans="1:23" hidden="1" x14ac:dyDescent="0.2">
      <c r="A6837">
        <v>2012</v>
      </c>
      <c r="B6837" t="s">
        <v>303</v>
      </c>
      <c r="C6837" s="733">
        <v>40925.37771990741</v>
      </c>
      <c r="D68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37" t="s">
        <v>505</v>
      </c>
      <c r="F6837" t="s">
        <v>1915</v>
      </c>
      <c r="G6837" t="s">
        <v>6199</v>
      </c>
      <c r="H6837">
        <v>22037</v>
      </c>
      <c r="I6837" t="s">
        <v>423</v>
      </c>
      <c r="J6837" t="s">
        <v>4158</v>
      </c>
      <c r="K6837" t="s">
        <v>1918</v>
      </c>
      <c r="L6837" t="s">
        <v>1919</v>
      </c>
      <c r="M6837">
        <v>274</v>
      </c>
      <c r="N6837">
        <v>27.82</v>
      </c>
      <c r="O6837">
        <v>7681.1</v>
      </c>
      <c r="P6837">
        <v>0</v>
      </c>
      <c r="Q6837">
        <v>7681.1</v>
      </c>
      <c r="R6837">
        <v>1228.98</v>
      </c>
      <c r="S6837">
        <v>307.24</v>
      </c>
      <c r="T6837">
        <v>8602.84</v>
      </c>
      <c r="U6837" t="s">
        <v>1936</v>
      </c>
      <c r="V6837" t="s">
        <v>9408</v>
      </c>
      <c r="W6837" t="s">
        <v>423</v>
      </c>
    </row>
    <row r="6838" spans="1:23" hidden="1" x14ac:dyDescent="0.2">
      <c r="A6838">
        <v>2012</v>
      </c>
      <c r="B6838" t="s">
        <v>303</v>
      </c>
      <c r="C6838" s="733">
        <v>40924</v>
      </c>
      <c r="D68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38" t="s">
        <v>485</v>
      </c>
      <c r="F6838" t="s">
        <v>2048</v>
      </c>
      <c r="G6838" t="s">
        <v>2414</v>
      </c>
      <c r="H6838">
        <v>40399</v>
      </c>
      <c r="I6838" t="s">
        <v>423</v>
      </c>
      <c r="J6838" t="s">
        <v>2171</v>
      </c>
      <c r="K6838" t="s">
        <v>2051</v>
      </c>
      <c r="L6838" t="s">
        <v>2052</v>
      </c>
      <c r="M6838">
        <v>57</v>
      </c>
      <c r="N6838">
        <v>25</v>
      </c>
      <c r="O6838">
        <v>3507.75</v>
      </c>
      <c r="P6838">
        <v>0</v>
      </c>
      <c r="Q6838">
        <v>3507.75</v>
      </c>
      <c r="R6838">
        <v>561.24</v>
      </c>
      <c r="S6838">
        <v>140.31</v>
      </c>
      <c r="T6838">
        <v>3928.68</v>
      </c>
      <c r="U6838" t="s">
        <v>2062</v>
      </c>
      <c r="V6838" t="s">
        <v>9408</v>
      </c>
      <c r="W6838" t="s">
        <v>423</v>
      </c>
    </row>
    <row r="6839" spans="1:23" hidden="1" x14ac:dyDescent="0.2">
      <c r="A6839">
        <v>2012</v>
      </c>
      <c r="B6839" t="s">
        <v>303</v>
      </c>
      <c r="C6839" s="733">
        <v>40924</v>
      </c>
      <c r="D68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39" t="s">
        <v>485</v>
      </c>
      <c r="F6839" t="s">
        <v>2065</v>
      </c>
      <c r="G6839" t="s">
        <v>2394</v>
      </c>
      <c r="H6839">
        <v>40397</v>
      </c>
      <c r="I6839" t="s">
        <v>423</v>
      </c>
      <c r="J6839" t="s">
        <v>2050</v>
      </c>
      <c r="K6839" t="s">
        <v>2051</v>
      </c>
      <c r="L6839" t="s">
        <v>2052</v>
      </c>
      <c r="M6839">
        <v>90</v>
      </c>
      <c r="N6839">
        <v>56.75</v>
      </c>
      <c r="O6839">
        <v>7962.59</v>
      </c>
      <c r="P6839">
        <v>0</v>
      </c>
      <c r="Q6839">
        <v>7962.59</v>
      </c>
      <c r="R6839">
        <v>1274.01</v>
      </c>
      <c r="S6839">
        <v>318.5</v>
      </c>
      <c r="T6839">
        <v>8918.1</v>
      </c>
      <c r="U6839" t="s">
        <v>2062</v>
      </c>
      <c r="V6839" t="s">
        <v>9409</v>
      </c>
      <c r="W6839" t="s">
        <v>423</v>
      </c>
    </row>
    <row r="6840" spans="1:23" hidden="1" x14ac:dyDescent="0.2">
      <c r="A6840">
        <v>2012</v>
      </c>
      <c r="B6840" t="s">
        <v>304</v>
      </c>
      <c r="C6840" s="733">
        <v>40960</v>
      </c>
      <c r="D68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40" t="s">
        <v>478</v>
      </c>
      <c r="F6840" t="s">
        <v>2136</v>
      </c>
      <c r="G6840" t="s">
        <v>8487</v>
      </c>
      <c r="H6840">
        <v>35814</v>
      </c>
      <c r="I6840" t="s">
        <v>423</v>
      </c>
      <c r="J6840" t="s">
        <v>3797</v>
      </c>
      <c r="K6840" t="s">
        <v>3481</v>
      </c>
      <c r="L6840" t="s">
        <v>3482</v>
      </c>
      <c r="M6840">
        <v>266</v>
      </c>
      <c r="N6840">
        <v>30.59</v>
      </c>
      <c r="O6840">
        <v>6831.36</v>
      </c>
      <c r="P6840">
        <v>0</v>
      </c>
      <c r="Q6840">
        <v>6831.36</v>
      </c>
      <c r="R6840">
        <v>1093.02</v>
      </c>
      <c r="S6840">
        <v>273.25</v>
      </c>
      <c r="T6840">
        <v>7651.13</v>
      </c>
      <c r="U6840" t="s">
        <v>8277</v>
      </c>
      <c r="V6840" t="s">
        <v>9408</v>
      </c>
      <c r="W6840" t="s">
        <v>423</v>
      </c>
    </row>
    <row r="6841" spans="1:23" hidden="1" x14ac:dyDescent="0.2">
      <c r="A6841">
        <v>2012</v>
      </c>
      <c r="B6841" t="s">
        <v>304</v>
      </c>
      <c r="C6841" s="733">
        <v>40960</v>
      </c>
      <c r="D68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41" t="s">
        <v>485</v>
      </c>
      <c r="F6841" t="s">
        <v>2065</v>
      </c>
      <c r="G6841" t="s">
        <v>8216</v>
      </c>
      <c r="H6841">
        <v>42258</v>
      </c>
      <c r="I6841" t="s">
        <v>423</v>
      </c>
      <c r="J6841" t="s">
        <v>2182</v>
      </c>
      <c r="K6841" t="s">
        <v>2183</v>
      </c>
      <c r="L6841" t="s">
        <v>2184</v>
      </c>
      <c r="M6841">
        <v>62</v>
      </c>
      <c r="N6841">
        <v>16.14</v>
      </c>
      <c r="O6841">
        <v>2390.98</v>
      </c>
      <c r="P6841">
        <v>0</v>
      </c>
      <c r="Q6841">
        <v>2390.98</v>
      </c>
      <c r="R6841">
        <v>382.56</v>
      </c>
      <c r="S6841">
        <v>95.64</v>
      </c>
      <c r="T6841">
        <v>2677.9</v>
      </c>
      <c r="V6841" t="s">
        <v>9408</v>
      </c>
      <c r="W6841" t="s">
        <v>423</v>
      </c>
    </row>
    <row r="6842" spans="1:23" hidden="1" x14ac:dyDescent="0.2">
      <c r="A6842">
        <v>2012</v>
      </c>
      <c r="B6842" t="s">
        <v>304</v>
      </c>
      <c r="C6842" s="733">
        <v>40947</v>
      </c>
      <c r="D68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42" t="s">
        <v>485</v>
      </c>
      <c r="F6842" t="s">
        <v>2136</v>
      </c>
      <c r="G6842" t="s">
        <v>5565</v>
      </c>
      <c r="H6842">
        <v>41554</v>
      </c>
      <c r="I6842" t="s">
        <v>423</v>
      </c>
      <c r="J6842" t="s">
        <v>2182</v>
      </c>
      <c r="K6842" t="s">
        <v>2183</v>
      </c>
      <c r="L6842" t="s">
        <v>2184</v>
      </c>
      <c r="M6842">
        <v>62</v>
      </c>
      <c r="N6842">
        <v>24.89</v>
      </c>
      <c r="O6842">
        <v>3687.2</v>
      </c>
      <c r="P6842">
        <v>0</v>
      </c>
      <c r="Q6842">
        <v>3687.2</v>
      </c>
      <c r="R6842">
        <v>589.95000000000005</v>
      </c>
      <c r="S6842">
        <v>147.49</v>
      </c>
      <c r="T6842">
        <v>4129.66</v>
      </c>
      <c r="U6842" t="s">
        <v>2192</v>
      </c>
      <c r="V6842" t="s">
        <v>9408</v>
      </c>
      <c r="W6842" t="s">
        <v>423</v>
      </c>
    </row>
    <row r="6843" spans="1:23" hidden="1" x14ac:dyDescent="0.2">
      <c r="A6843">
        <v>2012</v>
      </c>
      <c r="B6843" t="s">
        <v>303</v>
      </c>
      <c r="C6843" s="733">
        <v>40920</v>
      </c>
      <c r="D68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43" t="s">
        <v>478</v>
      </c>
      <c r="F6843" t="s">
        <v>2136</v>
      </c>
      <c r="G6843" t="s">
        <v>6290</v>
      </c>
      <c r="H6843">
        <v>34462</v>
      </c>
      <c r="I6843" t="s">
        <v>423</v>
      </c>
      <c r="J6843" t="s">
        <v>3360</v>
      </c>
      <c r="K6843" t="s">
        <v>483</v>
      </c>
      <c r="L6843" t="s">
        <v>3361</v>
      </c>
      <c r="M6843">
        <v>49</v>
      </c>
      <c r="N6843">
        <v>24.12</v>
      </c>
      <c r="O6843">
        <v>2722.42</v>
      </c>
      <c r="P6843">
        <v>0</v>
      </c>
      <c r="Q6843">
        <v>2722.42</v>
      </c>
      <c r="R6843">
        <v>435.59</v>
      </c>
      <c r="S6843">
        <v>108.9</v>
      </c>
      <c r="T6843">
        <v>3049.11</v>
      </c>
      <c r="U6843" t="s">
        <v>3780</v>
      </c>
      <c r="V6843" t="s">
        <v>9408</v>
      </c>
      <c r="W6843" t="s">
        <v>423</v>
      </c>
    </row>
    <row r="6844" spans="1:23" hidden="1" x14ac:dyDescent="0.2">
      <c r="A6844">
        <v>2012</v>
      </c>
      <c r="B6844" t="s">
        <v>304</v>
      </c>
      <c r="C6844" s="733">
        <v>40959</v>
      </c>
      <c r="D68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44" t="s">
        <v>485</v>
      </c>
      <c r="F6844" t="s">
        <v>2065</v>
      </c>
      <c r="G6844" t="s">
        <v>8041</v>
      </c>
      <c r="H6844">
        <v>42081</v>
      </c>
      <c r="I6844" t="s">
        <v>423</v>
      </c>
      <c r="J6844" t="s">
        <v>5479</v>
      </c>
      <c r="K6844" t="s">
        <v>2102</v>
      </c>
      <c r="L6844" t="s">
        <v>2115</v>
      </c>
      <c r="M6844">
        <v>979</v>
      </c>
      <c r="N6844">
        <v>28.13</v>
      </c>
      <c r="O6844">
        <v>15081.34</v>
      </c>
      <c r="P6844">
        <v>0</v>
      </c>
      <c r="Q6844">
        <v>15081.34</v>
      </c>
      <c r="R6844">
        <v>2413.0100000000002</v>
      </c>
      <c r="S6844">
        <v>603.25</v>
      </c>
      <c r="T6844">
        <v>16891.099999999999</v>
      </c>
      <c r="U6844" t="s">
        <v>8883</v>
      </c>
      <c r="V6844" t="s">
        <v>9408</v>
      </c>
      <c r="W6844" t="s">
        <v>423</v>
      </c>
    </row>
    <row r="6845" spans="1:23" hidden="1" x14ac:dyDescent="0.2">
      <c r="A6845">
        <v>2012</v>
      </c>
      <c r="B6845" t="s">
        <v>304</v>
      </c>
      <c r="C6845" s="733">
        <v>40960</v>
      </c>
      <c r="D68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45" t="s">
        <v>505</v>
      </c>
      <c r="F6845" t="s">
        <v>1915</v>
      </c>
      <c r="G6845" t="s">
        <v>8233</v>
      </c>
      <c r="H6845">
        <v>22858</v>
      </c>
      <c r="I6845" t="s">
        <v>423</v>
      </c>
      <c r="J6845" t="s">
        <v>4155</v>
      </c>
      <c r="K6845" t="s">
        <v>1918</v>
      </c>
      <c r="L6845" t="s">
        <v>1919</v>
      </c>
      <c r="M6845">
        <v>650</v>
      </c>
      <c r="N6845">
        <v>51.74</v>
      </c>
      <c r="O6845">
        <v>22250.79</v>
      </c>
      <c r="P6845">
        <v>0</v>
      </c>
      <c r="Q6845">
        <v>22250.79</v>
      </c>
      <c r="R6845">
        <v>3560.13</v>
      </c>
      <c r="S6845">
        <v>890.03</v>
      </c>
      <c r="T6845">
        <v>24920.89</v>
      </c>
      <c r="U6845" t="s">
        <v>8491</v>
      </c>
      <c r="V6845" t="s">
        <v>9409</v>
      </c>
      <c r="W6845" t="s">
        <v>423</v>
      </c>
    </row>
    <row r="6846" spans="1:23" hidden="1" x14ac:dyDescent="0.2">
      <c r="A6846">
        <v>2012</v>
      </c>
      <c r="B6846" t="s">
        <v>305</v>
      </c>
      <c r="C6846" s="733">
        <v>40973</v>
      </c>
      <c r="D6846" s="733" t="str">
        <f>CHOOSE(MONTH(Tabla_sqldatos_bonampakdb_Bon_v_ingresos2012[[#This Row],[fecha_guia]]),"Enero","Febrero","Marzo","Abril","Mayo","Junio","Julio","Agosto","Septiembre","Octubre","Noviembre","Diciembre")</f>
        <v>Marzo</v>
      </c>
      <c r="E6846" t="s">
        <v>505</v>
      </c>
      <c r="F6846" t="s">
        <v>1915</v>
      </c>
      <c r="G6846" t="s">
        <v>9776</v>
      </c>
      <c r="H6846">
        <v>23099</v>
      </c>
      <c r="I6846" t="s">
        <v>423</v>
      </c>
      <c r="J6846" t="s">
        <v>4153</v>
      </c>
      <c r="K6846" t="s">
        <v>1918</v>
      </c>
      <c r="L6846" t="s">
        <v>1919</v>
      </c>
      <c r="M6846">
        <v>850</v>
      </c>
      <c r="N6846">
        <v>49.83</v>
      </c>
      <c r="O6846">
        <v>31136.77</v>
      </c>
      <c r="P6846">
        <v>0</v>
      </c>
      <c r="Q6846">
        <v>31136.77</v>
      </c>
      <c r="R6846">
        <v>4981.88</v>
      </c>
      <c r="S6846">
        <v>1245.47</v>
      </c>
      <c r="T6846">
        <v>34873.18</v>
      </c>
      <c r="V6846" t="s">
        <v>9409</v>
      </c>
      <c r="W6846" t="s">
        <v>423</v>
      </c>
    </row>
    <row r="6847" spans="1:23" hidden="1" x14ac:dyDescent="0.2">
      <c r="A6847">
        <v>2012</v>
      </c>
      <c r="B6847" t="s">
        <v>303</v>
      </c>
      <c r="C6847" s="733">
        <v>40939</v>
      </c>
      <c r="D68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47" t="s">
        <v>505</v>
      </c>
      <c r="F6847" t="s">
        <v>1915</v>
      </c>
      <c r="G6847" t="s">
        <v>6430</v>
      </c>
      <c r="H6847">
        <v>21678</v>
      </c>
      <c r="I6847" t="s">
        <v>423</v>
      </c>
      <c r="J6847" t="s">
        <v>4153</v>
      </c>
      <c r="K6847" t="s">
        <v>1918</v>
      </c>
      <c r="L6847" t="s">
        <v>1919</v>
      </c>
      <c r="M6847">
        <v>850</v>
      </c>
      <c r="N6847">
        <v>25.19</v>
      </c>
      <c r="O6847">
        <v>6626.96</v>
      </c>
      <c r="P6847">
        <v>7461.2279939999999</v>
      </c>
      <c r="Q6847">
        <v>14088.187994</v>
      </c>
      <c r="R6847">
        <v>2254.110079</v>
      </c>
      <c r="S6847">
        <v>563.52751999999998</v>
      </c>
      <c r="T6847">
        <v>15778.770553</v>
      </c>
      <c r="U6847" t="s">
        <v>1936</v>
      </c>
      <c r="V6847" t="s">
        <v>9408</v>
      </c>
      <c r="W6847" t="s">
        <v>423</v>
      </c>
    </row>
    <row r="6848" spans="1:23" hidden="1" x14ac:dyDescent="0.2">
      <c r="A6848">
        <v>2012</v>
      </c>
      <c r="B6848" t="s">
        <v>304</v>
      </c>
      <c r="C6848" s="733">
        <v>40957</v>
      </c>
      <c r="D684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48" t="s">
        <v>505</v>
      </c>
      <c r="F6848" t="s">
        <v>1915</v>
      </c>
      <c r="G6848" t="s">
        <v>8032</v>
      </c>
      <c r="H6848">
        <v>22798</v>
      </c>
      <c r="I6848" t="s">
        <v>423</v>
      </c>
      <c r="J6848" t="s">
        <v>4153</v>
      </c>
      <c r="K6848" t="s">
        <v>1918</v>
      </c>
      <c r="L6848" t="s">
        <v>1919</v>
      </c>
      <c r="M6848">
        <v>850</v>
      </c>
      <c r="N6848">
        <v>50.61</v>
      </c>
      <c r="O6848">
        <v>31624.16</v>
      </c>
      <c r="P6848">
        <v>0</v>
      </c>
      <c r="Q6848">
        <v>31624.16</v>
      </c>
      <c r="R6848">
        <v>5059.87</v>
      </c>
      <c r="S6848">
        <v>1264.97</v>
      </c>
      <c r="T6848">
        <v>35419.06</v>
      </c>
      <c r="U6848" t="s">
        <v>8491</v>
      </c>
      <c r="V6848" t="s">
        <v>9409</v>
      </c>
      <c r="W6848" t="s">
        <v>423</v>
      </c>
    </row>
    <row r="6849" spans="1:23" hidden="1" x14ac:dyDescent="0.2">
      <c r="A6849">
        <v>2012</v>
      </c>
      <c r="B6849" t="s">
        <v>305</v>
      </c>
      <c r="C6849" s="733">
        <v>40970</v>
      </c>
      <c r="D6849" s="733" t="str">
        <f>CHOOSE(MONTH(Tabla_sqldatos_bonampakdb_Bon_v_ingresos2012[[#This Row],[fecha_guia]]),"Enero","Febrero","Marzo","Abril","Mayo","Junio","Julio","Agosto","Septiembre","Octubre","Noviembre","Diciembre")</f>
        <v>Marzo</v>
      </c>
      <c r="E6849" t="s">
        <v>505</v>
      </c>
      <c r="F6849" t="s">
        <v>1915</v>
      </c>
      <c r="G6849" t="s">
        <v>9777</v>
      </c>
      <c r="H6849">
        <v>23097</v>
      </c>
      <c r="I6849" t="s">
        <v>423</v>
      </c>
      <c r="J6849" t="s">
        <v>4153</v>
      </c>
      <c r="K6849" t="s">
        <v>1918</v>
      </c>
      <c r="L6849" t="s">
        <v>1919</v>
      </c>
      <c r="M6849">
        <v>850</v>
      </c>
      <c r="N6849">
        <v>50.39</v>
      </c>
      <c r="O6849">
        <v>31486.7</v>
      </c>
      <c r="P6849">
        <v>0</v>
      </c>
      <c r="Q6849">
        <v>31486.7</v>
      </c>
      <c r="R6849">
        <v>5037.87</v>
      </c>
      <c r="S6849">
        <v>1259.47</v>
      </c>
      <c r="T6849">
        <v>35265.1</v>
      </c>
      <c r="V6849" t="s">
        <v>9409</v>
      </c>
      <c r="W6849" t="s">
        <v>423</v>
      </c>
    </row>
    <row r="6850" spans="1:23" hidden="1" x14ac:dyDescent="0.2">
      <c r="A6850">
        <v>2012</v>
      </c>
      <c r="B6850" t="s">
        <v>304</v>
      </c>
      <c r="C6850" s="733">
        <v>40955</v>
      </c>
      <c r="D68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50" t="s">
        <v>505</v>
      </c>
      <c r="F6850" t="s">
        <v>1915</v>
      </c>
      <c r="G6850" t="s">
        <v>8017</v>
      </c>
      <c r="H6850">
        <v>22738</v>
      </c>
      <c r="I6850" t="s">
        <v>423</v>
      </c>
      <c r="J6850" t="s">
        <v>4153</v>
      </c>
      <c r="K6850" t="s">
        <v>1918</v>
      </c>
      <c r="L6850" t="s">
        <v>1919</v>
      </c>
      <c r="M6850">
        <v>850</v>
      </c>
      <c r="N6850">
        <v>50.12</v>
      </c>
      <c r="O6850">
        <v>31317.98</v>
      </c>
      <c r="P6850">
        <v>0</v>
      </c>
      <c r="Q6850">
        <v>31317.98</v>
      </c>
      <c r="R6850">
        <v>5010.88</v>
      </c>
      <c r="S6850">
        <v>1252.72</v>
      </c>
      <c r="T6850">
        <v>35076.14</v>
      </c>
      <c r="U6850" t="s">
        <v>7529</v>
      </c>
      <c r="V6850" t="s">
        <v>9409</v>
      </c>
      <c r="W6850" t="s">
        <v>423</v>
      </c>
    </row>
    <row r="6851" spans="1:23" hidden="1" x14ac:dyDescent="0.2">
      <c r="A6851">
        <v>2012</v>
      </c>
      <c r="B6851" t="s">
        <v>304</v>
      </c>
      <c r="C6851" s="733">
        <v>40947.581111111111</v>
      </c>
      <c r="D68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51" t="s">
        <v>478</v>
      </c>
      <c r="F6851" t="s">
        <v>3358</v>
      </c>
      <c r="G6851" t="s">
        <v>6312</v>
      </c>
      <c r="H6851">
        <v>35438</v>
      </c>
      <c r="I6851" t="s">
        <v>423</v>
      </c>
      <c r="J6851" t="s">
        <v>4396</v>
      </c>
      <c r="K6851" t="s">
        <v>4397</v>
      </c>
      <c r="L6851" t="s">
        <v>4398</v>
      </c>
      <c r="M6851">
        <v>112</v>
      </c>
      <c r="N6851">
        <v>28.155000000000001</v>
      </c>
      <c r="O6851">
        <v>3177.85</v>
      </c>
      <c r="P6851">
        <v>0</v>
      </c>
      <c r="Q6851">
        <v>3177.85</v>
      </c>
      <c r="R6851">
        <v>508.46</v>
      </c>
      <c r="S6851">
        <v>127.11</v>
      </c>
      <c r="T6851">
        <v>3559.2</v>
      </c>
      <c r="U6851" t="s">
        <v>4503</v>
      </c>
      <c r="V6851" t="s">
        <v>9408</v>
      </c>
      <c r="W6851" t="s">
        <v>423</v>
      </c>
    </row>
    <row r="6852" spans="1:23" hidden="1" x14ac:dyDescent="0.2">
      <c r="A6852">
        <v>2012</v>
      </c>
      <c r="B6852" t="s">
        <v>304</v>
      </c>
      <c r="C6852" s="733">
        <v>40956</v>
      </c>
      <c r="D68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52" t="s">
        <v>478</v>
      </c>
      <c r="F6852" t="s">
        <v>2622</v>
      </c>
      <c r="G6852" t="s">
        <v>8020</v>
      </c>
      <c r="H6852">
        <v>35785</v>
      </c>
      <c r="I6852" t="s">
        <v>423</v>
      </c>
      <c r="J6852" t="s">
        <v>4396</v>
      </c>
      <c r="K6852" t="s">
        <v>4397</v>
      </c>
      <c r="L6852" t="s">
        <v>4398</v>
      </c>
      <c r="M6852">
        <v>112</v>
      </c>
      <c r="N6852">
        <v>24.73</v>
      </c>
      <c r="O6852">
        <v>2791.28</v>
      </c>
      <c r="P6852">
        <v>0</v>
      </c>
      <c r="Q6852">
        <v>2791.28</v>
      </c>
      <c r="R6852">
        <v>446.6</v>
      </c>
      <c r="S6852">
        <v>111.65</v>
      </c>
      <c r="T6852">
        <v>3126.23</v>
      </c>
      <c r="U6852" t="s">
        <v>8384</v>
      </c>
      <c r="V6852" t="s">
        <v>9408</v>
      </c>
      <c r="W6852" t="s">
        <v>423</v>
      </c>
    </row>
    <row r="6853" spans="1:23" hidden="1" x14ac:dyDescent="0.2">
      <c r="A6853">
        <v>2012</v>
      </c>
      <c r="B6853" t="s">
        <v>304</v>
      </c>
      <c r="C6853" s="733">
        <v>40960</v>
      </c>
      <c r="D68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53" t="s">
        <v>478</v>
      </c>
      <c r="F6853" t="s">
        <v>2622</v>
      </c>
      <c r="G6853" t="s">
        <v>8488</v>
      </c>
      <c r="H6853">
        <v>35782</v>
      </c>
      <c r="I6853" t="s">
        <v>423</v>
      </c>
      <c r="J6853" t="s">
        <v>4396</v>
      </c>
      <c r="K6853" t="s">
        <v>4397</v>
      </c>
      <c r="L6853" t="s">
        <v>2145</v>
      </c>
      <c r="M6853">
        <v>112</v>
      </c>
      <c r="N6853">
        <v>25.364999999999998</v>
      </c>
      <c r="O6853">
        <v>2862.95</v>
      </c>
      <c r="P6853">
        <v>0</v>
      </c>
      <c r="Q6853">
        <v>2862.95</v>
      </c>
      <c r="R6853">
        <v>458.07</v>
      </c>
      <c r="S6853">
        <v>114.52</v>
      </c>
      <c r="T6853">
        <v>3206.5</v>
      </c>
      <c r="U6853" t="s">
        <v>8384</v>
      </c>
      <c r="V6853" t="s">
        <v>9408</v>
      </c>
      <c r="W6853" t="s">
        <v>423</v>
      </c>
    </row>
    <row r="6854" spans="1:23" hidden="1" x14ac:dyDescent="0.2">
      <c r="A6854">
        <v>2012</v>
      </c>
      <c r="B6854" t="s">
        <v>303</v>
      </c>
      <c r="C6854" s="733">
        <v>40922</v>
      </c>
      <c r="D68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54" t="s">
        <v>505</v>
      </c>
      <c r="F6854" t="s">
        <v>1915</v>
      </c>
      <c r="G6854" t="s">
        <v>6637</v>
      </c>
      <c r="H6854">
        <v>21931</v>
      </c>
      <c r="I6854" t="s">
        <v>423</v>
      </c>
      <c r="J6854" t="s">
        <v>4153</v>
      </c>
      <c r="K6854" t="s">
        <v>1918</v>
      </c>
      <c r="L6854" t="s">
        <v>1919</v>
      </c>
      <c r="M6854">
        <v>850</v>
      </c>
      <c r="N6854">
        <v>49.73</v>
      </c>
      <c r="O6854">
        <v>31074.29</v>
      </c>
      <c r="P6854">
        <v>0</v>
      </c>
      <c r="Q6854">
        <v>31074.29</v>
      </c>
      <c r="R6854">
        <v>4971.8900000000003</v>
      </c>
      <c r="S6854">
        <v>1242.97</v>
      </c>
      <c r="T6854">
        <v>34803.21</v>
      </c>
      <c r="U6854" t="s">
        <v>1931</v>
      </c>
      <c r="V6854" t="s">
        <v>9409</v>
      </c>
      <c r="W6854" t="s">
        <v>423</v>
      </c>
    </row>
    <row r="6855" spans="1:23" hidden="1" x14ac:dyDescent="0.2">
      <c r="A6855">
        <v>2012</v>
      </c>
      <c r="B6855" t="s">
        <v>303</v>
      </c>
      <c r="C6855" s="733">
        <v>40928</v>
      </c>
      <c r="D68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55" t="s">
        <v>505</v>
      </c>
      <c r="F6855" t="s">
        <v>1915</v>
      </c>
      <c r="G6855" t="s">
        <v>6636</v>
      </c>
      <c r="H6855">
        <v>22094</v>
      </c>
      <c r="I6855" t="s">
        <v>423</v>
      </c>
      <c r="J6855" t="s">
        <v>4153</v>
      </c>
      <c r="K6855" t="s">
        <v>1918</v>
      </c>
      <c r="L6855" t="s">
        <v>1919</v>
      </c>
      <c r="M6855">
        <v>850</v>
      </c>
      <c r="N6855">
        <v>49.52</v>
      </c>
      <c r="O6855">
        <v>30943.07</v>
      </c>
      <c r="P6855">
        <v>0</v>
      </c>
      <c r="Q6855">
        <v>30943.07</v>
      </c>
      <c r="R6855">
        <v>4950.8900000000003</v>
      </c>
      <c r="S6855">
        <v>1237.72</v>
      </c>
      <c r="T6855">
        <v>34656.239999999998</v>
      </c>
      <c r="U6855" t="s">
        <v>1936</v>
      </c>
      <c r="V6855" t="s">
        <v>9409</v>
      </c>
      <c r="W6855" t="s">
        <v>423</v>
      </c>
    </row>
    <row r="6856" spans="1:23" hidden="1" x14ac:dyDescent="0.2">
      <c r="A6856">
        <v>2012</v>
      </c>
      <c r="B6856" t="s">
        <v>304</v>
      </c>
      <c r="C6856" s="733">
        <v>40942</v>
      </c>
      <c r="D68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56" t="s">
        <v>478</v>
      </c>
      <c r="F6856" t="s">
        <v>2136</v>
      </c>
      <c r="G6856" t="s">
        <v>6939</v>
      </c>
      <c r="H6856">
        <v>35262</v>
      </c>
      <c r="I6856" t="s">
        <v>423</v>
      </c>
      <c r="J6856" t="s">
        <v>4289</v>
      </c>
      <c r="K6856" t="s">
        <v>425</v>
      </c>
      <c r="L6856" t="s">
        <v>2145</v>
      </c>
      <c r="M6856">
        <v>775</v>
      </c>
      <c r="N6856">
        <v>51.9</v>
      </c>
      <c r="O6856">
        <v>19874.07</v>
      </c>
      <c r="P6856">
        <v>0</v>
      </c>
      <c r="Q6856">
        <v>19874.07</v>
      </c>
      <c r="R6856">
        <v>3179.85</v>
      </c>
      <c r="S6856">
        <v>794.96</v>
      </c>
      <c r="T6856">
        <v>22258.959999999999</v>
      </c>
      <c r="U6856" t="s">
        <v>3115</v>
      </c>
      <c r="V6856" t="s">
        <v>9409</v>
      </c>
      <c r="W6856" t="s">
        <v>423</v>
      </c>
    </row>
    <row r="6857" spans="1:23" hidden="1" x14ac:dyDescent="0.2">
      <c r="A6857">
        <v>2012</v>
      </c>
      <c r="B6857" t="s">
        <v>303</v>
      </c>
      <c r="C6857" s="733">
        <v>40924</v>
      </c>
      <c r="D68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57" t="s">
        <v>478</v>
      </c>
      <c r="F6857" t="s">
        <v>2136</v>
      </c>
      <c r="G6857" t="s">
        <v>6877</v>
      </c>
      <c r="H6857">
        <v>34498</v>
      </c>
      <c r="I6857" t="s">
        <v>423</v>
      </c>
      <c r="J6857" t="s">
        <v>4294</v>
      </c>
      <c r="K6857" t="s">
        <v>425</v>
      </c>
      <c r="L6857" t="s">
        <v>2145</v>
      </c>
      <c r="M6857">
        <v>1089</v>
      </c>
      <c r="N6857">
        <v>52.7</v>
      </c>
      <c r="O6857">
        <v>26601.38</v>
      </c>
      <c r="P6857">
        <v>0</v>
      </c>
      <c r="Q6857">
        <v>26601.38</v>
      </c>
      <c r="R6857">
        <v>4256.22</v>
      </c>
      <c r="S6857">
        <v>1064.06</v>
      </c>
      <c r="T6857">
        <v>29793.54</v>
      </c>
      <c r="U6857" t="s">
        <v>2146</v>
      </c>
      <c r="V6857" t="s">
        <v>9409</v>
      </c>
      <c r="W6857" t="s">
        <v>423</v>
      </c>
    </row>
    <row r="6858" spans="1:23" hidden="1" x14ac:dyDescent="0.2">
      <c r="A6858">
        <v>2012</v>
      </c>
      <c r="B6858" t="s">
        <v>303</v>
      </c>
      <c r="C6858" s="733">
        <v>40926</v>
      </c>
      <c r="D68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58" t="s">
        <v>485</v>
      </c>
      <c r="F6858" t="s">
        <v>2084</v>
      </c>
      <c r="G6858" t="s">
        <v>6289</v>
      </c>
      <c r="H6858">
        <v>40269</v>
      </c>
      <c r="I6858" t="s">
        <v>423</v>
      </c>
      <c r="J6858" t="s">
        <v>3355</v>
      </c>
      <c r="K6858" t="s">
        <v>2814</v>
      </c>
      <c r="L6858" t="s">
        <v>2815</v>
      </c>
      <c r="M6858">
        <v>417</v>
      </c>
      <c r="N6858">
        <v>23.524000000000001</v>
      </c>
      <c r="O6858">
        <v>6527.2</v>
      </c>
      <c r="P6858">
        <v>0</v>
      </c>
      <c r="Q6858">
        <v>6527.2</v>
      </c>
      <c r="R6858">
        <v>1044.3499999999999</v>
      </c>
      <c r="S6858">
        <v>261.08999999999997</v>
      </c>
      <c r="T6858">
        <v>7310.46</v>
      </c>
      <c r="U6858" t="s">
        <v>2824</v>
      </c>
      <c r="V6858" t="s">
        <v>9408</v>
      </c>
      <c r="W6858" t="s">
        <v>423</v>
      </c>
    </row>
    <row r="6859" spans="1:23" x14ac:dyDescent="0.2">
      <c r="A6859">
        <v>2012</v>
      </c>
      <c r="B6859" t="s">
        <v>304</v>
      </c>
      <c r="C6859" s="733">
        <v>40968</v>
      </c>
      <c r="D68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59" t="s">
        <v>485</v>
      </c>
      <c r="F6859" t="s">
        <v>3450</v>
      </c>
      <c r="G6859" t="s">
        <v>9645</v>
      </c>
      <c r="H6859">
        <v>42480</v>
      </c>
      <c r="I6859" t="s">
        <v>423</v>
      </c>
      <c r="J6859" t="s">
        <v>3952</v>
      </c>
      <c r="K6859" t="s">
        <v>3953</v>
      </c>
      <c r="L6859" t="s">
        <v>3454</v>
      </c>
      <c r="M6859">
        <v>54</v>
      </c>
      <c r="N6859">
        <v>28.06</v>
      </c>
      <c r="O6859">
        <v>3167.13</v>
      </c>
      <c r="P6859">
        <v>0</v>
      </c>
      <c r="Q6859">
        <v>3167.13</v>
      </c>
      <c r="R6859">
        <v>506.74</v>
      </c>
      <c r="S6859">
        <v>126.69</v>
      </c>
      <c r="T6859">
        <v>3547.18</v>
      </c>
      <c r="V6859" t="s">
        <v>9408</v>
      </c>
      <c r="W6859" t="s">
        <v>423</v>
      </c>
    </row>
    <row r="6860" spans="1:23" hidden="1" x14ac:dyDescent="0.2">
      <c r="A6860">
        <v>2012</v>
      </c>
      <c r="B6860" t="s">
        <v>304</v>
      </c>
      <c r="C6860" s="733">
        <v>40966</v>
      </c>
      <c r="D68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60" t="s">
        <v>505</v>
      </c>
      <c r="F6860" t="s">
        <v>1915</v>
      </c>
      <c r="G6860" t="s">
        <v>8848</v>
      </c>
      <c r="H6860">
        <v>22979</v>
      </c>
      <c r="I6860" t="s">
        <v>423</v>
      </c>
      <c r="J6860" t="s">
        <v>4153</v>
      </c>
      <c r="K6860" t="s">
        <v>1918</v>
      </c>
      <c r="L6860" t="s">
        <v>1919</v>
      </c>
      <c r="M6860">
        <v>850</v>
      </c>
      <c r="N6860">
        <v>48.58</v>
      </c>
      <c r="O6860">
        <v>30355.7</v>
      </c>
      <c r="P6860">
        <v>0</v>
      </c>
      <c r="Q6860">
        <v>30355.7</v>
      </c>
      <c r="R6860">
        <v>4856.91</v>
      </c>
      <c r="S6860">
        <v>1214.23</v>
      </c>
      <c r="T6860">
        <v>33998.379999999997</v>
      </c>
      <c r="U6860" t="s">
        <v>9415</v>
      </c>
      <c r="V6860" t="s">
        <v>9409</v>
      </c>
      <c r="W6860" t="s">
        <v>423</v>
      </c>
    </row>
    <row r="6861" spans="1:23" hidden="1" x14ac:dyDescent="0.2">
      <c r="A6861">
        <v>2012</v>
      </c>
      <c r="B6861" t="s">
        <v>304</v>
      </c>
      <c r="C6861" s="733">
        <v>40963</v>
      </c>
      <c r="D68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61" t="s">
        <v>505</v>
      </c>
      <c r="F6861" t="s">
        <v>1915</v>
      </c>
      <c r="G6861" t="s">
        <v>8694</v>
      </c>
      <c r="H6861">
        <v>22919</v>
      </c>
      <c r="I6861" t="s">
        <v>423</v>
      </c>
      <c r="J6861" t="s">
        <v>4153</v>
      </c>
      <c r="K6861" t="s">
        <v>1918</v>
      </c>
      <c r="L6861" t="s">
        <v>1919</v>
      </c>
      <c r="M6861">
        <v>850</v>
      </c>
      <c r="N6861">
        <v>50.24</v>
      </c>
      <c r="O6861">
        <v>31392.97</v>
      </c>
      <c r="P6861">
        <v>0</v>
      </c>
      <c r="Q6861">
        <v>31392.97</v>
      </c>
      <c r="R6861">
        <v>5022.87</v>
      </c>
      <c r="S6861">
        <v>1255.72</v>
      </c>
      <c r="T6861">
        <v>35160.120000000003</v>
      </c>
      <c r="U6861" t="s">
        <v>8778</v>
      </c>
      <c r="V6861" t="s">
        <v>9409</v>
      </c>
      <c r="W6861" t="s">
        <v>423</v>
      </c>
    </row>
    <row r="6862" spans="1:23" hidden="1" x14ac:dyDescent="0.2">
      <c r="A6862">
        <v>2012</v>
      </c>
      <c r="B6862" t="s">
        <v>304</v>
      </c>
      <c r="C6862" s="733">
        <v>40954</v>
      </c>
      <c r="D68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62" t="s">
        <v>478</v>
      </c>
      <c r="F6862" t="s">
        <v>2136</v>
      </c>
      <c r="G6862" t="s">
        <v>8036</v>
      </c>
      <c r="H6862">
        <v>35660</v>
      </c>
      <c r="I6862" t="s">
        <v>423</v>
      </c>
      <c r="J6862" t="s">
        <v>2148</v>
      </c>
      <c r="K6862" t="s">
        <v>425</v>
      </c>
      <c r="L6862" t="s">
        <v>2145</v>
      </c>
      <c r="M6862">
        <v>205</v>
      </c>
      <c r="N6862">
        <v>22.7</v>
      </c>
      <c r="O6862">
        <v>4503</v>
      </c>
      <c r="P6862">
        <v>0</v>
      </c>
      <c r="Q6862">
        <v>4503</v>
      </c>
      <c r="R6862">
        <v>720.48</v>
      </c>
      <c r="S6862">
        <v>180.12</v>
      </c>
      <c r="T6862">
        <v>5043.3599999999997</v>
      </c>
      <c r="U6862" t="s">
        <v>7553</v>
      </c>
      <c r="V6862" t="s">
        <v>9408</v>
      </c>
      <c r="W6862" t="s">
        <v>423</v>
      </c>
    </row>
    <row r="6863" spans="1:23" hidden="1" x14ac:dyDescent="0.2">
      <c r="A6863">
        <v>2012</v>
      </c>
      <c r="B6863" t="s">
        <v>303</v>
      </c>
      <c r="C6863" s="733">
        <v>40918</v>
      </c>
      <c r="D68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63" t="s">
        <v>478</v>
      </c>
      <c r="F6863" t="s">
        <v>2136</v>
      </c>
      <c r="G6863" t="s">
        <v>6850</v>
      </c>
      <c r="H6863">
        <v>34279</v>
      </c>
      <c r="I6863" t="s">
        <v>423</v>
      </c>
      <c r="J6863" t="s">
        <v>2148</v>
      </c>
      <c r="K6863" t="s">
        <v>425</v>
      </c>
      <c r="L6863" t="s">
        <v>2145</v>
      </c>
      <c r="M6863">
        <v>205</v>
      </c>
      <c r="N6863">
        <v>28.4</v>
      </c>
      <c r="O6863">
        <v>5633.71</v>
      </c>
      <c r="P6863">
        <v>0</v>
      </c>
      <c r="Q6863">
        <v>5633.71</v>
      </c>
      <c r="R6863">
        <v>901.39</v>
      </c>
      <c r="S6863">
        <v>225.35</v>
      </c>
      <c r="T6863">
        <v>6309.75</v>
      </c>
      <c r="U6863" t="s">
        <v>2352</v>
      </c>
      <c r="V6863" t="s">
        <v>9408</v>
      </c>
      <c r="W6863" t="s">
        <v>423</v>
      </c>
    </row>
    <row r="6864" spans="1:23" hidden="1" x14ac:dyDescent="0.2">
      <c r="A6864">
        <v>2012</v>
      </c>
      <c r="B6864" t="s">
        <v>304</v>
      </c>
      <c r="C6864" s="733">
        <v>40956</v>
      </c>
      <c r="D68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64" t="s">
        <v>505</v>
      </c>
      <c r="F6864" t="s">
        <v>1915</v>
      </c>
      <c r="G6864" t="s">
        <v>8033</v>
      </c>
      <c r="H6864">
        <v>22808</v>
      </c>
      <c r="I6864" t="s">
        <v>424</v>
      </c>
      <c r="J6864" t="s">
        <v>5598</v>
      </c>
      <c r="K6864" t="s">
        <v>1918</v>
      </c>
      <c r="L6864" t="s">
        <v>1919</v>
      </c>
      <c r="M6864">
        <v>653</v>
      </c>
      <c r="N6864">
        <v>30</v>
      </c>
      <c r="O6864">
        <v>10609.5</v>
      </c>
      <c r="P6864">
        <v>0</v>
      </c>
      <c r="Q6864">
        <v>10609.5</v>
      </c>
      <c r="R6864">
        <v>1697.52</v>
      </c>
      <c r="S6864">
        <v>424.38</v>
      </c>
      <c r="T6864">
        <v>11882.64</v>
      </c>
      <c r="U6864" t="s">
        <v>7529</v>
      </c>
      <c r="V6864" t="s">
        <v>9408</v>
      </c>
      <c r="W6864" t="s">
        <v>424</v>
      </c>
    </row>
    <row r="6865" spans="1:23" hidden="1" x14ac:dyDescent="0.2">
      <c r="A6865">
        <v>2012</v>
      </c>
      <c r="B6865" t="s">
        <v>303</v>
      </c>
      <c r="C6865" s="733">
        <v>40939</v>
      </c>
      <c r="D68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65" t="s">
        <v>485</v>
      </c>
      <c r="F6865" t="s">
        <v>3450</v>
      </c>
      <c r="G6865" t="s">
        <v>6101</v>
      </c>
      <c r="H6865">
        <v>41074</v>
      </c>
      <c r="I6865" t="s">
        <v>423</v>
      </c>
      <c r="J6865" t="s">
        <v>3452</v>
      </c>
      <c r="K6865" t="s">
        <v>3453</v>
      </c>
      <c r="L6865" t="s">
        <v>3454</v>
      </c>
      <c r="M6865">
        <v>19</v>
      </c>
      <c r="N6865">
        <v>24.25</v>
      </c>
      <c r="O6865">
        <v>2737.1</v>
      </c>
      <c r="P6865">
        <v>0</v>
      </c>
      <c r="Q6865">
        <v>2737.1</v>
      </c>
      <c r="R6865">
        <v>437.94</v>
      </c>
      <c r="S6865">
        <v>109.48</v>
      </c>
      <c r="T6865">
        <v>3065.56</v>
      </c>
      <c r="U6865" t="s">
        <v>3640</v>
      </c>
      <c r="V6865" t="s">
        <v>9408</v>
      </c>
      <c r="W6865" t="s">
        <v>423</v>
      </c>
    </row>
    <row r="6866" spans="1:23" hidden="1" x14ac:dyDescent="0.2">
      <c r="A6866">
        <v>2012</v>
      </c>
      <c r="B6866" t="s">
        <v>303</v>
      </c>
      <c r="C6866" s="733">
        <v>40939</v>
      </c>
      <c r="D68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66" t="s">
        <v>485</v>
      </c>
      <c r="F6866" t="s">
        <v>3450</v>
      </c>
      <c r="G6866" t="s">
        <v>6102</v>
      </c>
      <c r="H6866">
        <v>40969</v>
      </c>
      <c r="I6866" t="s">
        <v>423</v>
      </c>
      <c r="J6866" t="s">
        <v>3452</v>
      </c>
      <c r="K6866" t="s">
        <v>3453</v>
      </c>
      <c r="L6866" t="s">
        <v>3454</v>
      </c>
      <c r="M6866">
        <v>19</v>
      </c>
      <c r="N6866">
        <v>25.84</v>
      </c>
      <c r="O6866">
        <v>2916.56</v>
      </c>
      <c r="P6866">
        <v>0</v>
      </c>
      <c r="Q6866">
        <v>2916.56</v>
      </c>
      <c r="R6866">
        <v>466.65</v>
      </c>
      <c r="S6866">
        <v>116.66</v>
      </c>
      <c r="T6866">
        <v>3266.55</v>
      </c>
      <c r="U6866" t="s">
        <v>3640</v>
      </c>
      <c r="V6866" t="s">
        <v>9408</v>
      </c>
      <c r="W6866" t="s">
        <v>423</v>
      </c>
    </row>
    <row r="6867" spans="1:23" hidden="1" x14ac:dyDescent="0.2">
      <c r="A6867">
        <v>2012</v>
      </c>
      <c r="B6867" t="s">
        <v>304</v>
      </c>
      <c r="C6867" s="733">
        <v>40954</v>
      </c>
      <c r="D68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67" t="s">
        <v>478</v>
      </c>
      <c r="F6867" t="s">
        <v>2622</v>
      </c>
      <c r="G6867" t="s">
        <v>7755</v>
      </c>
      <c r="H6867">
        <v>35654</v>
      </c>
      <c r="I6867" t="s">
        <v>423</v>
      </c>
      <c r="J6867" t="s">
        <v>2624</v>
      </c>
      <c r="K6867" t="s">
        <v>2625</v>
      </c>
      <c r="L6867" t="s">
        <v>2626</v>
      </c>
      <c r="M6867">
        <v>10</v>
      </c>
      <c r="N6867">
        <v>29.96</v>
      </c>
      <c r="O6867">
        <v>3502.62</v>
      </c>
      <c r="P6867">
        <v>0</v>
      </c>
      <c r="Q6867">
        <v>3502.62</v>
      </c>
      <c r="R6867">
        <v>560.41999999999996</v>
      </c>
      <c r="S6867">
        <v>140.1</v>
      </c>
      <c r="T6867">
        <v>3922.94</v>
      </c>
      <c r="U6867" t="s">
        <v>8267</v>
      </c>
      <c r="V6867" t="s">
        <v>9408</v>
      </c>
      <c r="W6867" t="s">
        <v>423</v>
      </c>
    </row>
    <row r="6868" spans="1:23" hidden="1" x14ac:dyDescent="0.2">
      <c r="A6868">
        <v>2012</v>
      </c>
      <c r="B6868" t="s">
        <v>304</v>
      </c>
      <c r="C6868" s="733">
        <v>40954</v>
      </c>
      <c r="D68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68" t="s">
        <v>478</v>
      </c>
      <c r="F6868" t="s">
        <v>2622</v>
      </c>
      <c r="G6868" t="s">
        <v>7752</v>
      </c>
      <c r="H6868">
        <v>35651</v>
      </c>
      <c r="I6868" t="s">
        <v>423</v>
      </c>
      <c r="J6868" t="s">
        <v>2668</v>
      </c>
      <c r="K6868" t="s">
        <v>2625</v>
      </c>
      <c r="L6868" t="s">
        <v>2626</v>
      </c>
      <c r="M6868">
        <v>76</v>
      </c>
      <c r="N6868">
        <v>22.12</v>
      </c>
      <c r="O6868">
        <v>1250.22</v>
      </c>
      <c r="P6868">
        <v>0</v>
      </c>
      <c r="Q6868">
        <v>1250.22</v>
      </c>
      <c r="R6868">
        <v>200.04</v>
      </c>
      <c r="S6868">
        <v>50.01</v>
      </c>
      <c r="T6868">
        <v>1400.25</v>
      </c>
      <c r="U6868" t="s">
        <v>7548</v>
      </c>
      <c r="V6868" t="s">
        <v>9408</v>
      </c>
      <c r="W6868" t="s">
        <v>423</v>
      </c>
    </row>
    <row r="6869" spans="1:23" hidden="1" x14ac:dyDescent="0.2">
      <c r="A6869">
        <v>2012</v>
      </c>
      <c r="B6869" t="s">
        <v>304</v>
      </c>
      <c r="C6869" s="733">
        <v>40948</v>
      </c>
      <c r="D68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69" t="s">
        <v>485</v>
      </c>
      <c r="F6869" t="s">
        <v>3450</v>
      </c>
      <c r="G6869" t="s">
        <v>5928</v>
      </c>
      <c r="H6869">
        <v>41220</v>
      </c>
      <c r="I6869" t="s">
        <v>423</v>
      </c>
      <c r="J6869" t="s">
        <v>3452</v>
      </c>
      <c r="K6869" t="s">
        <v>3453</v>
      </c>
      <c r="L6869" t="s">
        <v>3454</v>
      </c>
      <c r="M6869">
        <v>19</v>
      </c>
      <c r="N6869">
        <v>25.08</v>
      </c>
      <c r="O6869">
        <v>2830.78</v>
      </c>
      <c r="P6869">
        <v>0</v>
      </c>
      <c r="Q6869">
        <v>2830.78</v>
      </c>
      <c r="R6869">
        <v>452.92</v>
      </c>
      <c r="S6869">
        <v>113.23</v>
      </c>
      <c r="T6869">
        <v>3170.47</v>
      </c>
      <c r="U6869" t="s">
        <v>3455</v>
      </c>
      <c r="V6869" t="s">
        <v>9408</v>
      </c>
      <c r="W6869" t="s">
        <v>423</v>
      </c>
    </row>
    <row r="6870" spans="1:23" hidden="1" x14ac:dyDescent="0.2">
      <c r="A6870">
        <v>2012</v>
      </c>
      <c r="B6870" t="s">
        <v>304</v>
      </c>
      <c r="C6870" s="733">
        <v>40960</v>
      </c>
      <c r="D68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70" t="s">
        <v>485</v>
      </c>
      <c r="F6870" t="s">
        <v>3450</v>
      </c>
      <c r="G6870" t="s">
        <v>8330</v>
      </c>
      <c r="H6870">
        <v>42077</v>
      </c>
      <c r="I6870" t="s">
        <v>423</v>
      </c>
      <c r="J6870" t="s">
        <v>3452</v>
      </c>
      <c r="K6870" t="s">
        <v>3453</v>
      </c>
      <c r="L6870" t="s">
        <v>3454</v>
      </c>
      <c r="M6870">
        <v>19</v>
      </c>
      <c r="N6870">
        <v>28.69</v>
      </c>
      <c r="O6870">
        <v>3238.24</v>
      </c>
      <c r="P6870">
        <v>0</v>
      </c>
      <c r="Q6870">
        <v>3238.24</v>
      </c>
      <c r="R6870">
        <v>518.12</v>
      </c>
      <c r="S6870">
        <v>129.53</v>
      </c>
      <c r="T6870">
        <v>3626.83</v>
      </c>
      <c r="V6870" t="s">
        <v>9408</v>
      </c>
      <c r="W6870" t="s">
        <v>423</v>
      </c>
    </row>
    <row r="6871" spans="1:23" hidden="1" x14ac:dyDescent="0.2">
      <c r="A6871">
        <v>2012</v>
      </c>
      <c r="B6871" t="s">
        <v>303</v>
      </c>
      <c r="C6871" s="733">
        <v>40933</v>
      </c>
      <c r="D68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71" t="s">
        <v>485</v>
      </c>
      <c r="F6871" t="s">
        <v>3450</v>
      </c>
      <c r="G6871" t="s">
        <v>5929</v>
      </c>
      <c r="H6871">
        <v>40572</v>
      </c>
      <c r="I6871" t="s">
        <v>423</v>
      </c>
      <c r="J6871" t="s">
        <v>3452</v>
      </c>
      <c r="K6871" t="s">
        <v>3453</v>
      </c>
      <c r="L6871" t="s">
        <v>3454</v>
      </c>
      <c r="M6871">
        <v>19</v>
      </c>
      <c r="N6871">
        <v>24.9</v>
      </c>
      <c r="O6871">
        <v>2810.46</v>
      </c>
      <c r="P6871">
        <v>0</v>
      </c>
      <c r="Q6871">
        <v>2810.46</v>
      </c>
      <c r="R6871">
        <v>449.67</v>
      </c>
      <c r="S6871">
        <v>112.42</v>
      </c>
      <c r="T6871">
        <v>3147.71</v>
      </c>
      <c r="U6871" t="s">
        <v>3459</v>
      </c>
      <c r="V6871" t="s">
        <v>9408</v>
      </c>
      <c r="W6871" t="s">
        <v>423</v>
      </c>
    </row>
    <row r="6872" spans="1:23" hidden="1" x14ac:dyDescent="0.2">
      <c r="A6872">
        <v>2012</v>
      </c>
      <c r="B6872" t="s">
        <v>304</v>
      </c>
      <c r="C6872" s="733">
        <v>40960</v>
      </c>
      <c r="D68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72" t="s">
        <v>485</v>
      </c>
      <c r="F6872" t="s">
        <v>3450</v>
      </c>
      <c r="G6872" t="s">
        <v>8331</v>
      </c>
      <c r="H6872">
        <v>41945</v>
      </c>
      <c r="I6872" t="s">
        <v>423</v>
      </c>
      <c r="J6872" t="s">
        <v>3452</v>
      </c>
      <c r="K6872" t="s">
        <v>3453</v>
      </c>
      <c r="L6872" t="s">
        <v>3454</v>
      </c>
      <c r="M6872">
        <v>19</v>
      </c>
      <c r="N6872">
        <v>30.54</v>
      </c>
      <c r="O6872">
        <v>3447.05</v>
      </c>
      <c r="P6872">
        <v>0</v>
      </c>
      <c r="Q6872">
        <v>3447.05</v>
      </c>
      <c r="R6872">
        <v>551.53</v>
      </c>
      <c r="S6872">
        <v>137.88</v>
      </c>
      <c r="T6872">
        <v>3860.7</v>
      </c>
      <c r="U6872" t="s">
        <v>8991</v>
      </c>
      <c r="V6872" t="s">
        <v>9408</v>
      </c>
      <c r="W6872" t="s">
        <v>423</v>
      </c>
    </row>
    <row r="6873" spans="1:23" hidden="1" x14ac:dyDescent="0.2">
      <c r="A6873">
        <v>2012</v>
      </c>
      <c r="B6873" t="s">
        <v>304</v>
      </c>
      <c r="C6873" s="733">
        <v>40949</v>
      </c>
      <c r="D68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73" t="s">
        <v>478</v>
      </c>
      <c r="F6873" t="s">
        <v>4128</v>
      </c>
      <c r="G6873" t="s">
        <v>7137</v>
      </c>
      <c r="H6873">
        <v>35481</v>
      </c>
      <c r="I6873" t="s">
        <v>423</v>
      </c>
      <c r="J6873" t="s">
        <v>4279</v>
      </c>
      <c r="K6873" t="s">
        <v>425</v>
      </c>
      <c r="L6873" t="s">
        <v>2145</v>
      </c>
      <c r="M6873">
        <v>381</v>
      </c>
      <c r="N6873">
        <v>28.25</v>
      </c>
      <c r="O6873">
        <v>7073.52</v>
      </c>
      <c r="P6873">
        <v>0</v>
      </c>
      <c r="Q6873">
        <v>7073.52</v>
      </c>
      <c r="R6873">
        <v>1131.76</v>
      </c>
      <c r="S6873">
        <v>282.94</v>
      </c>
      <c r="T6873">
        <v>7922.34</v>
      </c>
      <c r="U6873" t="s">
        <v>7523</v>
      </c>
      <c r="V6873" t="s">
        <v>9408</v>
      </c>
      <c r="W6873" t="s">
        <v>423</v>
      </c>
    </row>
    <row r="6874" spans="1:23" hidden="1" x14ac:dyDescent="0.2">
      <c r="A6874">
        <v>2012</v>
      </c>
      <c r="B6874" t="s">
        <v>304</v>
      </c>
      <c r="C6874" s="733">
        <v>40949</v>
      </c>
      <c r="D68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74" t="s">
        <v>478</v>
      </c>
      <c r="F6874" t="s">
        <v>2136</v>
      </c>
      <c r="G6874" t="s">
        <v>7138</v>
      </c>
      <c r="H6874">
        <v>35487</v>
      </c>
      <c r="I6874" t="s">
        <v>423</v>
      </c>
      <c r="J6874" t="s">
        <v>4279</v>
      </c>
      <c r="K6874" t="s">
        <v>425</v>
      </c>
      <c r="L6874" t="s">
        <v>2145</v>
      </c>
      <c r="M6874">
        <v>381</v>
      </c>
      <c r="N6874">
        <v>23.48</v>
      </c>
      <c r="O6874">
        <v>5879.16</v>
      </c>
      <c r="P6874">
        <v>0</v>
      </c>
      <c r="Q6874">
        <v>5879.16</v>
      </c>
      <c r="R6874">
        <v>940.67</v>
      </c>
      <c r="S6874">
        <v>235.17</v>
      </c>
      <c r="T6874">
        <v>6584.66</v>
      </c>
      <c r="U6874" t="s">
        <v>7523</v>
      </c>
      <c r="V6874" t="s">
        <v>9408</v>
      </c>
      <c r="W6874" t="s">
        <v>423</v>
      </c>
    </row>
    <row r="6875" spans="1:23" hidden="1" x14ac:dyDescent="0.2">
      <c r="A6875">
        <v>2012</v>
      </c>
      <c r="B6875" t="s">
        <v>303</v>
      </c>
      <c r="C6875" s="733">
        <v>40931</v>
      </c>
      <c r="D68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75" t="s">
        <v>485</v>
      </c>
      <c r="F6875" t="s">
        <v>3450</v>
      </c>
      <c r="G6875" t="s">
        <v>5930</v>
      </c>
      <c r="H6875">
        <v>39850</v>
      </c>
      <c r="I6875" t="s">
        <v>423</v>
      </c>
      <c r="J6875" t="s">
        <v>3457</v>
      </c>
      <c r="K6875" t="s">
        <v>3453</v>
      </c>
      <c r="L6875" t="s">
        <v>3454</v>
      </c>
      <c r="M6875">
        <v>29</v>
      </c>
      <c r="N6875">
        <v>27.57</v>
      </c>
      <c r="O6875">
        <v>3111.83</v>
      </c>
      <c r="P6875">
        <v>0</v>
      </c>
      <c r="Q6875">
        <v>3111.83</v>
      </c>
      <c r="R6875">
        <v>497.89</v>
      </c>
      <c r="S6875">
        <v>124.47</v>
      </c>
      <c r="T6875">
        <v>3485.25</v>
      </c>
      <c r="V6875" t="s">
        <v>9408</v>
      </c>
      <c r="W6875" t="s">
        <v>423</v>
      </c>
    </row>
    <row r="6876" spans="1:23" hidden="1" x14ac:dyDescent="0.2">
      <c r="A6876">
        <v>2012</v>
      </c>
      <c r="B6876" t="s">
        <v>304</v>
      </c>
      <c r="C6876" s="733">
        <v>40967</v>
      </c>
      <c r="D68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76" t="s">
        <v>478</v>
      </c>
      <c r="F6876" t="s">
        <v>4128</v>
      </c>
      <c r="G6876" t="s">
        <v>9101</v>
      </c>
      <c r="H6876">
        <v>36182</v>
      </c>
      <c r="I6876" t="s">
        <v>423</v>
      </c>
      <c r="J6876" t="s">
        <v>4509</v>
      </c>
      <c r="K6876" t="s">
        <v>4397</v>
      </c>
      <c r="L6876" t="s">
        <v>4398</v>
      </c>
      <c r="M6876">
        <v>183</v>
      </c>
      <c r="N6876">
        <v>22.91</v>
      </c>
      <c r="O6876">
        <v>3957.02</v>
      </c>
      <c r="P6876">
        <v>0</v>
      </c>
      <c r="Q6876">
        <v>3957.02</v>
      </c>
      <c r="R6876">
        <v>633.12</v>
      </c>
      <c r="S6876">
        <v>158.28</v>
      </c>
      <c r="T6876">
        <v>4431.8599999999997</v>
      </c>
      <c r="U6876" t="s">
        <v>8982</v>
      </c>
      <c r="V6876" t="s">
        <v>9408</v>
      </c>
      <c r="W6876" t="s">
        <v>423</v>
      </c>
    </row>
    <row r="6877" spans="1:23" hidden="1" x14ac:dyDescent="0.2">
      <c r="A6877">
        <v>2012</v>
      </c>
      <c r="B6877" t="s">
        <v>303</v>
      </c>
      <c r="C6877" s="733">
        <v>40927</v>
      </c>
      <c r="D68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77" t="s">
        <v>478</v>
      </c>
      <c r="F6877" t="s">
        <v>3358</v>
      </c>
      <c r="G6877" t="s">
        <v>6432</v>
      </c>
      <c r="H6877">
        <v>34668</v>
      </c>
      <c r="I6877" t="s">
        <v>423</v>
      </c>
      <c r="J6877" t="s">
        <v>4509</v>
      </c>
      <c r="K6877" t="s">
        <v>4397</v>
      </c>
      <c r="L6877" t="s">
        <v>4398</v>
      </c>
      <c r="M6877">
        <v>183</v>
      </c>
      <c r="N6877">
        <v>28.06</v>
      </c>
      <c r="O6877">
        <v>4846.5200000000004</v>
      </c>
      <c r="P6877">
        <v>0</v>
      </c>
      <c r="Q6877">
        <v>4846.5200000000004</v>
      </c>
      <c r="R6877">
        <v>775.44</v>
      </c>
      <c r="S6877">
        <v>193.86</v>
      </c>
      <c r="T6877">
        <v>5428.1</v>
      </c>
      <c r="U6877" t="s">
        <v>7540</v>
      </c>
      <c r="V6877" t="s">
        <v>9408</v>
      </c>
      <c r="W6877" t="s">
        <v>423</v>
      </c>
    </row>
    <row r="6878" spans="1:23" hidden="1" x14ac:dyDescent="0.2">
      <c r="A6878">
        <v>2012</v>
      </c>
      <c r="B6878" t="s">
        <v>304</v>
      </c>
      <c r="C6878" s="733">
        <v>40942</v>
      </c>
      <c r="D68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78" t="s">
        <v>505</v>
      </c>
      <c r="F6878" t="s">
        <v>1915</v>
      </c>
      <c r="G6878" t="s">
        <v>7037</v>
      </c>
      <c r="H6878">
        <v>22465</v>
      </c>
      <c r="I6878" t="s">
        <v>423</v>
      </c>
      <c r="J6878" t="s">
        <v>5253</v>
      </c>
      <c r="K6878" t="s">
        <v>1918</v>
      </c>
      <c r="L6878" t="s">
        <v>1919</v>
      </c>
      <c r="M6878">
        <v>88</v>
      </c>
      <c r="N6878">
        <v>25.13</v>
      </c>
      <c r="O6878">
        <v>3501.11</v>
      </c>
      <c r="P6878">
        <v>0</v>
      </c>
      <c r="Q6878">
        <v>3501.11</v>
      </c>
      <c r="R6878">
        <v>560.17999999999995</v>
      </c>
      <c r="S6878">
        <v>140.04</v>
      </c>
      <c r="T6878">
        <v>3921.25</v>
      </c>
      <c r="U6878" t="s">
        <v>1924</v>
      </c>
      <c r="V6878" t="s">
        <v>9408</v>
      </c>
      <c r="W6878" t="s">
        <v>423</v>
      </c>
    </row>
    <row r="6879" spans="1:23" hidden="1" x14ac:dyDescent="0.2">
      <c r="A6879">
        <v>2012</v>
      </c>
      <c r="B6879" t="s">
        <v>303</v>
      </c>
      <c r="C6879" s="733">
        <v>40924</v>
      </c>
      <c r="D68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79" t="s">
        <v>505</v>
      </c>
      <c r="F6879" t="s">
        <v>1915</v>
      </c>
      <c r="G6879" t="s">
        <v>7038</v>
      </c>
      <c r="H6879">
        <v>21983</v>
      </c>
      <c r="I6879" t="s">
        <v>423</v>
      </c>
      <c r="J6879" t="s">
        <v>5253</v>
      </c>
      <c r="K6879" t="s">
        <v>1918</v>
      </c>
      <c r="L6879" t="s">
        <v>1919</v>
      </c>
      <c r="M6879">
        <v>88</v>
      </c>
      <c r="N6879">
        <v>27</v>
      </c>
      <c r="O6879">
        <v>3761.64</v>
      </c>
      <c r="P6879">
        <v>0</v>
      </c>
      <c r="Q6879">
        <v>3761.64</v>
      </c>
      <c r="R6879">
        <v>601.86</v>
      </c>
      <c r="S6879">
        <v>150.47</v>
      </c>
      <c r="T6879">
        <v>4213.03</v>
      </c>
      <c r="U6879" t="s">
        <v>7529</v>
      </c>
      <c r="V6879" t="s">
        <v>9408</v>
      </c>
      <c r="W6879" t="s">
        <v>423</v>
      </c>
    </row>
    <row r="6880" spans="1:23" hidden="1" x14ac:dyDescent="0.2">
      <c r="A6880">
        <v>2012</v>
      </c>
      <c r="B6880" t="s">
        <v>303</v>
      </c>
      <c r="C6880" s="733">
        <v>40914</v>
      </c>
      <c r="D68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80" t="s">
        <v>505</v>
      </c>
      <c r="F6880" t="s">
        <v>1915</v>
      </c>
      <c r="G6880" t="s">
        <v>7032</v>
      </c>
      <c r="H6880">
        <v>21808</v>
      </c>
      <c r="I6880" t="s">
        <v>423</v>
      </c>
      <c r="J6880" t="s">
        <v>4158</v>
      </c>
      <c r="K6880" t="s">
        <v>1918</v>
      </c>
      <c r="L6880" t="s">
        <v>1919</v>
      </c>
      <c r="M6880">
        <v>274</v>
      </c>
      <c r="N6880">
        <v>28.2</v>
      </c>
      <c r="O6880">
        <v>7786.02</v>
      </c>
      <c r="P6880">
        <v>0</v>
      </c>
      <c r="Q6880">
        <v>7786.02</v>
      </c>
      <c r="R6880">
        <v>1245.76</v>
      </c>
      <c r="S6880">
        <v>311.44</v>
      </c>
      <c r="T6880">
        <v>8720.34</v>
      </c>
      <c r="U6880" t="s">
        <v>1931</v>
      </c>
      <c r="V6880" t="s">
        <v>9408</v>
      </c>
      <c r="W6880" t="s">
        <v>423</v>
      </c>
    </row>
    <row r="6881" spans="1:23" hidden="1" x14ac:dyDescent="0.2">
      <c r="A6881">
        <v>2012</v>
      </c>
      <c r="B6881" t="s">
        <v>303</v>
      </c>
      <c r="C6881" s="733">
        <v>40918</v>
      </c>
      <c r="D68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81" t="s">
        <v>478</v>
      </c>
      <c r="F6881" t="s">
        <v>2136</v>
      </c>
      <c r="G6881" t="s">
        <v>7133</v>
      </c>
      <c r="H6881">
        <v>34375</v>
      </c>
      <c r="I6881" t="s">
        <v>423</v>
      </c>
      <c r="J6881" t="s">
        <v>4276</v>
      </c>
      <c r="K6881" t="s">
        <v>425</v>
      </c>
      <c r="L6881" t="s">
        <v>2145</v>
      </c>
      <c r="M6881">
        <v>60</v>
      </c>
      <c r="N6881">
        <v>27.6</v>
      </c>
      <c r="O6881">
        <v>3705.3</v>
      </c>
      <c r="P6881">
        <v>0</v>
      </c>
      <c r="Q6881">
        <v>3705.3</v>
      </c>
      <c r="R6881">
        <v>592.85</v>
      </c>
      <c r="S6881">
        <v>148.21</v>
      </c>
      <c r="T6881">
        <v>4149.9399999999996</v>
      </c>
      <c r="U6881" t="s">
        <v>2350</v>
      </c>
      <c r="V6881" t="s">
        <v>9408</v>
      </c>
      <c r="W6881" t="s">
        <v>423</v>
      </c>
    </row>
    <row r="6882" spans="1:23" hidden="1" x14ac:dyDescent="0.2">
      <c r="A6882">
        <v>2012</v>
      </c>
      <c r="B6882" t="s">
        <v>303</v>
      </c>
      <c r="C6882" s="733">
        <v>40931</v>
      </c>
      <c r="D68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82" t="s">
        <v>485</v>
      </c>
      <c r="F6882" t="s">
        <v>2048</v>
      </c>
      <c r="G6882" t="s">
        <v>6458</v>
      </c>
      <c r="H6882">
        <v>40745</v>
      </c>
      <c r="I6882" t="s">
        <v>423</v>
      </c>
      <c r="J6882" t="s">
        <v>2972</v>
      </c>
      <c r="K6882" t="s">
        <v>2051</v>
      </c>
      <c r="L6882" t="s">
        <v>2052</v>
      </c>
      <c r="M6882">
        <v>398</v>
      </c>
      <c r="N6882">
        <v>50.15</v>
      </c>
      <c r="O6882">
        <v>13869.99</v>
      </c>
      <c r="P6882">
        <v>0</v>
      </c>
      <c r="Q6882">
        <v>13869.99</v>
      </c>
      <c r="R6882">
        <v>2219.1999999999998</v>
      </c>
      <c r="S6882">
        <v>554.79999999999995</v>
      </c>
      <c r="T6882">
        <v>15534.39</v>
      </c>
      <c r="U6882" t="s">
        <v>2053</v>
      </c>
      <c r="V6882" t="s">
        <v>9409</v>
      </c>
      <c r="W6882" t="s">
        <v>423</v>
      </c>
    </row>
    <row r="6883" spans="1:23" hidden="1" x14ac:dyDescent="0.2">
      <c r="A6883">
        <v>2012</v>
      </c>
      <c r="B6883" t="s">
        <v>304</v>
      </c>
      <c r="C6883" s="733">
        <v>40952</v>
      </c>
      <c r="D68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83" t="s">
        <v>485</v>
      </c>
      <c r="F6883" t="s">
        <v>2065</v>
      </c>
      <c r="G6883" t="s">
        <v>6459</v>
      </c>
      <c r="H6883">
        <v>41833</v>
      </c>
      <c r="I6883" t="s">
        <v>423</v>
      </c>
      <c r="J6883" t="s">
        <v>2972</v>
      </c>
      <c r="K6883" t="s">
        <v>2051</v>
      </c>
      <c r="L6883" t="s">
        <v>2052</v>
      </c>
      <c r="M6883">
        <v>398</v>
      </c>
      <c r="N6883">
        <v>50.55</v>
      </c>
      <c r="O6883">
        <v>13980.61</v>
      </c>
      <c r="P6883">
        <v>0</v>
      </c>
      <c r="Q6883">
        <v>13980.61</v>
      </c>
      <c r="R6883">
        <v>2236.9</v>
      </c>
      <c r="S6883">
        <v>559.22</v>
      </c>
      <c r="T6883">
        <v>15658.29</v>
      </c>
      <c r="U6883" t="s">
        <v>7568</v>
      </c>
      <c r="V6883" t="s">
        <v>9409</v>
      </c>
      <c r="W6883" t="s">
        <v>423</v>
      </c>
    </row>
    <row r="6884" spans="1:23" hidden="1" x14ac:dyDescent="0.2">
      <c r="A6884">
        <v>2012</v>
      </c>
      <c r="B6884" t="s">
        <v>304</v>
      </c>
      <c r="C6884" s="733">
        <v>40946</v>
      </c>
      <c r="D68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84" t="s">
        <v>485</v>
      </c>
      <c r="F6884" t="s">
        <v>2048</v>
      </c>
      <c r="G6884" t="s">
        <v>6457</v>
      </c>
      <c r="H6884">
        <v>41503</v>
      </c>
      <c r="I6884" t="s">
        <v>423</v>
      </c>
      <c r="J6884" t="s">
        <v>2972</v>
      </c>
      <c r="K6884" t="s">
        <v>2051</v>
      </c>
      <c r="L6884" t="s">
        <v>2052</v>
      </c>
      <c r="M6884">
        <v>398</v>
      </c>
      <c r="N6884">
        <v>24.95</v>
      </c>
      <c r="O6884">
        <v>6900.42</v>
      </c>
      <c r="P6884">
        <v>0</v>
      </c>
      <c r="Q6884">
        <v>6900.42</v>
      </c>
      <c r="R6884">
        <v>1104.07</v>
      </c>
      <c r="S6884">
        <v>276.02</v>
      </c>
      <c r="T6884">
        <v>7728.47</v>
      </c>
      <c r="U6884" t="s">
        <v>7568</v>
      </c>
      <c r="V6884" t="s">
        <v>9408</v>
      </c>
      <c r="W6884" t="s">
        <v>423</v>
      </c>
    </row>
    <row r="6885" spans="1:23" hidden="1" x14ac:dyDescent="0.2">
      <c r="A6885">
        <v>2012</v>
      </c>
      <c r="B6885" t="s">
        <v>304</v>
      </c>
      <c r="C6885" s="733">
        <v>40953</v>
      </c>
      <c r="D68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85" t="s">
        <v>485</v>
      </c>
      <c r="F6885" t="s">
        <v>2065</v>
      </c>
      <c r="G6885" t="s">
        <v>6448</v>
      </c>
      <c r="H6885">
        <v>41757</v>
      </c>
      <c r="I6885" t="s">
        <v>423</v>
      </c>
      <c r="J6885" t="s">
        <v>2189</v>
      </c>
      <c r="K6885" t="s">
        <v>2183</v>
      </c>
      <c r="L6885" t="s">
        <v>2184</v>
      </c>
      <c r="M6885">
        <v>720</v>
      </c>
      <c r="N6885">
        <v>24.93</v>
      </c>
      <c r="O6885">
        <v>10104.1</v>
      </c>
      <c r="P6885">
        <v>0</v>
      </c>
      <c r="Q6885">
        <v>10104.1</v>
      </c>
      <c r="R6885">
        <v>1616.66</v>
      </c>
      <c r="S6885">
        <v>404.16</v>
      </c>
      <c r="T6885">
        <v>11316.6</v>
      </c>
      <c r="U6885" t="s">
        <v>8048</v>
      </c>
      <c r="V6885" t="s">
        <v>9408</v>
      </c>
      <c r="W6885" t="s">
        <v>423</v>
      </c>
    </row>
    <row r="6886" spans="1:23" hidden="1" x14ac:dyDescent="0.2">
      <c r="A6886">
        <v>2012</v>
      </c>
      <c r="B6886" t="s">
        <v>303</v>
      </c>
      <c r="C6886" s="733">
        <v>40928</v>
      </c>
      <c r="D68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86" t="s">
        <v>485</v>
      </c>
      <c r="F6886" t="s">
        <v>2065</v>
      </c>
      <c r="G6886" t="s">
        <v>6447</v>
      </c>
      <c r="H6886">
        <v>39687</v>
      </c>
      <c r="I6886" t="s">
        <v>423</v>
      </c>
      <c r="J6886" t="s">
        <v>2189</v>
      </c>
      <c r="K6886" t="s">
        <v>2183</v>
      </c>
      <c r="L6886" t="s">
        <v>2184</v>
      </c>
      <c r="M6886">
        <v>720</v>
      </c>
      <c r="N6886">
        <v>25.52</v>
      </c>
      <c r="O6886">
        <v>10343</v>
      </c>
      <c r="P6886">
        <v>0</v>
      </c>
      <c r="Q6886">
        <v>10343</v>
      </c>
      <c r="R6886">
        <v>1654.88</v>
      </c>
      <c r="S6886">
        <v>413.72</v>
      </c>
      <c r="T6886">
        <v>11584.16</v>
      </c>
      <c r="U6886" t="s">
        <v>2187</v>
      </c>
      <c r="V6886" t="s">
        <v>9408</v>
      </c>
      <c r="W6886" t="s">
        <v>423</v>
      </c>
    </row>
    <row r="6887" spans="1:23" hidden="1" x14ac:dyDescent="0.2">
      <c r="A6887">
        <v>2012</v>
      </c>
      <c r="B6887" t="s">
        <v>304</v>
      </c>
      <c r="C6887" s="733">
        <v>40941</v>
      </c>
      <c r="D68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87" t="s">
        <v>485</v>
      </c>
      <c r="F6887" t="s">
        <v>2065</v>
      </c>
      <c r="G6887" t="s">
        <v>6449</v>
      </c>
      <c r="H6887">
        <v>41204</v>
      </c>
      <c r="I6887" t="s">
        <v>423</v>
      </c>
      <c r="J6887" t="s">
        <v>2189</v>
      </c>
      <c r="K6887" t="s">
        <v>2183</v>
      </c>
      <c r="L6887" t="s">
        <v>2184</v>
      </c>
      <c r="M6887">
        <v>720</v>
      </c>
      <c r="N6887">
        <v>26.23</v>
      </c>
      <c r="O6887">
        <v>10630.99</v>
      </c>
      <c r="P6887">
        <v>0</v>
      </c>
      <c r="Q6887">
        <v>10630.99</v>
      </c>
      <c r="R6887">
        <v>1700.96</v>
      </c>
      <c r="S6887">
        <v>425.24</v>
      </c>
      <c r="T6887">
        <v>11906.71</v>
      </c>
      <c r="U6887" t="s">
        <v>2192</v>
      </c>
      <c r="V6887" t="s">
        <v>9408</v>
      </c>
      <c r="W6887" t="s">
        <v>423</v>
      </c>
    </row>
    <row r="6888" spans="1:23" hidden="1" x14ac:dyDescent="0.2">
      <c r="A6888">
        <v>2012</v>
      </c>
      <c r="B6888" t="s">
        <v>303</v>
      </c>
      <c r="C6888" s="733">
        <v>40920</v>
      </c>
      <c r="D68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88" t="s">
        <v>485</v>
      </c>
      <c r="F6888" t="s">
        <v>2065</v>
      </c>
      <c r="G6888" t="s">
        <v>6443</v>
      </c>
      <c r="H6888">
        <v>40102</v>
      </c>
      <c r="I6888" t="s">
        <v>423</v>
      </c>
      <c r="J6888" t="s">
        <v>3965</v>
      </c>
      <c r="K6888" t="s">
        <v>2183</v>
      </c>
      <c r="L6888" t="s">
        <v>2184</v>
      </c>
      <c r="M6888">
        <v>696</v>
      </c>
      <c r="N6888">
        <v>24.38</v>
      </c>
      <c r="O6888">
        <v>9880.9699999999993</v>
      </c>
      <c r="P6888">
        <v>0</v>
      </c>
      <c r="Q6888">
        <v>9880.9699999999993</v>
      </c>
      <c r="R6888">
        <v>1580.96</v>
      </c>
      <c r="S6888">
        <v>395.24</v>
      </c>
      <c r="T6888">
        <v>11066.69</v>
      </c>
      <c r="U6888" t="s">
        <v>7587</v>
      </c>
      <c r="V6888" t="s">
        <v>9408</v>
      </c>
      <c r="W6888" t="s">
        <v>423</v>
      </c>
    </row>
    <row r="6889" spans="1:23" hidden="1" x14ac:dyDescent="0.2">
      <c r="A6889">
        <v>2012</v>
      </c>
      <c r="B6889" t="s">
        <v>303</v>
      </c>
      <c r="C6889" s="733">
        <v>40931.54142361111</v>
      </c>
      <c r="D68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89" t="s">
        <v>485</v>
      </c>
      <c r="F6889" t="s">
        <v>2065</v>
      </c>
      <c r="G6889" t="s">
        <v>6455</v>
      </c>
      <c r="H6889">
        <v>40739</v>
      </c>
      <c r="I6889" t="s">
        <v>423</v>
      </c>
      <c r="J6889" t="s">
        <v>2972</v>
      </c>
      <c r="K6889" t="s">
        <v>2051</v>
      </c>
      <c r="L6889" t="s">
        <v>2052</v>
      </c>
      <c r="M6889">
        <v>398</v>
      </c>
      <c r="N6889">
        <v>53.65</v>
      </c>
      <c r="O6889">
        <v>14837.98</v>
      </c>
      <c r="P6889">
        <v>0</v>
      </c>
      <c r="Q6889">
        <v>14837.98</v>
      </c>
      <c r="R6889">
        <v>2374.08</v>
      </c>
      <c r="S6889">
        <v>593.52</v>
      </c>
      <c r="T6889">
        <v>16618.54</v>
      </c>
      <c r="U6889" t="s">
        <v>2053</v>
      </c>
      <c r="V6889" t="s">
        <v>9409</v>
      </c>
      <c r="W6889" t="s">
        <v>423</v>
      </c>
    </row>
    <row r="6890" spans="1:23" hidden="1" x14ac:dyDescent="0.2">
      <c r="A6890">
        <v>2012</v>
      </c>
      <c r="B6890" t="s">
        <v>303</v>
      </c>
      <c r="C6890" s="733">
        <v>40910</v>
      </c>
      <c r="D68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90" t="s">
        <v>505</v>
      </c>
      <c r="F6890" t="s">
        <v>1915</v>
      </c>
      <c r="G6890" t="s">
        <v>7036</v>
      </c>
      <c r="H6890">
        <v>21630</v>
      </c>
      <c r="I6890" t="s">
        <v>423</v>
      </c>
      <c r="J6890" t="s">
        <v>4163</v>
      </c>
      <c r="K6890" t="s">
        <v>1918</v>
      </c>
      <c r="L6890" t="s">
        <v>1919</v>
      </c>
      <c r="M6890">
        <v>250</v>
      </c>
      <c r="N6890">
        <v>27.02</v>
      </c>
      <c r="O6890">
        <v>2557.6799999999998</v>
      </c>
      <c r="P6890">
        <v>2879.6663349999999</v>
      </c>
      <c r="Q6890">
        <v>5437.3463350000002</v>
      </c>
      <c r="R6890">
        <v>869.975414</v>
      </c>
      <c r="S6890">
        <v>217.493853</v>
      </c>
      <c r="T6890">
        <v>6089.8278959999998</v>
      </c>
      <c r="U6890" t="s">
        <v>1984</v>
      </c>
      <c r="V6890" t="s">
        <v>9408</v>
      </c>
      <c r="W6890" t="s">
        <v>423</v>
      </c>
    </row>
    <row r="6891" spans="1:23" hidden="1" x14ac:dyDescent="0.2">
      <c r="A6891">
        <v>2012</v>
      </c>
      <c r="B6891" t="s">
        <v>304</v>
      </c>
      <c r="C6891" s="733">
        <v>40961</v>
      </c>
      <c r="D68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91" t="s">
        <v>505</v>
      </c>
      <c r="F6891" t="s">
        <v>1915</v>
      </c>
      <c r="G6891" t="s">
        <v>8356</v>
      </c>
      <c r="H6891">
        <v>22930</v>
      </c>
      <c r="I6891" t="s">
        <v>423</v>
      </c>
      <c r="J6891" t="s">
        <v>4158</v>
      </c>
      <c r="K6891" t="s">
        <v>1918</v>
      </c>
      <c r="L6891" t="s">
        <v>1919</v>
      </c>
      <c r="M6891">
        <v>274</v>
      </c>
      <c r="N6891">
        <v>28.16</v>
      </c>
      <c r="O6891">
        <v>7774.98</v>
      </c>
      <c r="P6891">
        <v>0</v>
      </c>
      <c r="Q6891">
        <v>7774.98</v>
      </c>
      <c r="R6891">
        <v>1244</v>
      </c>
      <c r="S6891">
        <v>311</v>
      </c>
      <c r="T6891">
        <v>8707.98</v>
      </c>
      <c r="U6891" t="s">
        <v>8491</v>
      </c>
      <c r="V6891" t="s">
        <v>9408</v>
      </c>
      <c r="W6891" t="s">
        <v>423</v>
      </c>
    </row>
    <row r="6892" spans="1:23" hidden="1" x14ac:dyDescent="0.2">
      <c r="A6892">
        <v>2012</v>
      </c>
      <c r="B6892" t="s">
        <v>304</v>
      </c>
      <c r="C6892" s="733">
        <v>40962</v>
      </c>
      <c r="D68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92" t="s">
        <v>485</v>
      </c>
      <c r="F6892" t="s">
        <v>2065</v>
      </c>
      <c r="G6892" t="s">
        <v>8642</v>
      </c>
      <c r="H6892">
        <v>42353</v>
      </c>
      <c r="I6892" t="s">
        <v>423</v>
      </c>
      <c r="J6892" t="s">
        <v>3965</v>
      </c>
      <c r="K6892" t="s">
        <v>2183</v>
      </c>
      <c r="L6892" t="s">
        <v>2184</v>
      </c>
      <c r="M6892">
        <v>696</v>
      </c>
      <c r="N6892">
        <v>26.98</v>
      </c>
      <c r="O6892">
        <v>10934.72</v>
      </c>
      <c r="P6892">
        <v>0</v>
      </c>
      <c r="Q6892">
        <v>10934.72</v>
      </c>
      <c r="R6892">
        <v>1749.56</v>
      </c>
      <c r="S6892">
        <v>437.39</v>
      </c>
      <c r="T6892">
        <v>12246.89</v>
      </c>
      <c r="U6892" t="s">
        <v>9411</v>
      </c>
      <c r="V6892" t="s">
        <v>9408</v>
      </c>
      <c r="W6892" t="s">
        <v>423</v>
      </c>
    </row>
    <row r="6893" spans="1:23" hidden="1" x14ac:dyDescent="0.2">
      <c r="A6893">
        <v>2012</v>
      </c>
      <c r="B6893" t="s">
        <v>304</v>
      </c>
      <c r="C6893" s="733">
        <v>40963</v>
      </c>
      <c r="D68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93" t="s">
        <v>485</v>
      </c>
      <c r="F6893" t="s">
        <v>2065</v>
      </c>
      <c r="G6893" t="s">
        <v>8641</v>
      </c>
      <c r="H6893">
        <v>42433</v>
      </c>
      <c r="I6893" t="s">
        <v>423</v>
      </c>
      <c r="J6893" t="s">
        <v>3965</v>
      </c>
      <c r="K6893" t="s">
        <v>2183</v>
      </c>
      <c r="L6893" t="s">
        <v>2184</v>
      </c>
      <c r="M6893">
        <v>696</v>
      </c>
      <c r="N6893">
        <v>23.41</v>
      </c>
      <c r="O6893">
        <v>9487.84</v>
      </c>
      <c r="P6893">
        <v>0</v>
      </c>
      <c r="Q6893">
        <v>9487.84</v>
      </c>
      <c r="R6893">
        <v>1518.05</v>
      </c>
      <c r="S6893">
        <v>379.51</v>
      </c>
      <c r="T6893">
        <v>10626.38</v>
      </c>
      <c r="U6893" t="s">
        <v>9411</v>
      </c>
      <c r="V6893" t="s">
        <v>9408</v>
      </c>
      <c r="W6893" t="s">
        <v>423</v>
      </c>
    </row>
    <row r="6894" spans="1:23" hidden="1" x14ac:dyDescent="0.2">
      <c r="A6894">
        <v>2012</v>
      </c>
      <c r="B6894" t="s">
        <v>303</v>
      </c>
      <c r="C6894" s="733">
        <v>40936.587962962964</v>
      </c>
      <c r="D68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94" t="s">
        <v>485</v>
      </c>
      <c r="F6894" t="s">
        <v>2054</v>
      </c>
      <c r="G6894" t="s">
        <v>2403</v>
      </c>
      <c r="H6894">
        <v>10246</v>
      </c>
      <c r="I6894" t="s">
        <v>423</v>
      </c>
      <c r="J6894" t="s">
        <v>2056</v>
      </c>
      <c r="K6894" t="s">
        <v>2057</v>
      </c>
      <c r="L6894" t="s">
        <v>2058</v>
      </c>
      <c r="M6894">
        <v>19</v>
      </c>
      <c r="N6894">
        <v>46.81</v>
      </c>
      <c r="O6894">
        <v>5283.44</v>
      </c>
      <c r="P6894">
        <v>0</v>
      </c>
      <c r="Q6894">
        <v>5283.44</v>
      </c>
      <c r="R6894">
        <v>845.35</v>
      </c>
      <c r="S6894">
        <v>211.34</v>
      </c>
      <c r="T6894">
        <v>5917.45</v>
      </c>
      <c r="U6894" t="s">
        <v>2073</v>
      </c>
      <c r="V6894" t="s">
        <v>9409</v>
      </c>
      <c r="W6894" t="s">
        <v>423</v>
      </c>
    </row>
    <row r="6895" spans="1:23" hidden="1" x14ac:dyDescent="0.2">
      <c r="A6895">
        <v>2012</v>
      </c>
      <c r="B6895" t="s">
        <v>303</v>
      </c>
      <c r="C6895" s="733">
        <v>40931.619780092595</v>
      </c>
      <c r="D68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95" t="s">
        <v>485</v>
      </c>
      <c r="F6895" t="s">
        <v>2054</v>
      </c>
      <c r="G6895" t="s">
        <v>2404</v>
      </c>
      <c r="H6895">
        <v>10184</v>
      </c>
      <c r="I6895" t="s">
        <v>423</v>
      </c>
      <c r="J6895" t="s">
        <v>2056</v>
      </c>
      <c r="K6895" t="s">
        <v>2057</v>
      </c>
      <c r="L6895" t="s">
        <v>2058</v>
      </c>
      <c r="M6895">
        <v>19</v>
      </c>
      <c r="N6895">
        <v>24.79</v>
      </c>
      <c r="O6895">
        <v>2798.05</v>
      </c>
      <c r="P6895">
        <v>0</v>
      </c>
      <c r="Q6895">
        <v>2798.05</v>
      </c>
      <c r="R6895">
        <v>447.69</v>
      </c>
      <c r="S6895">
        <v>111.92</v>
      </c>
      <c r="T6895">
        <v>3133.82</v>
      </c>
      <c r="U6895" t="s">
        <v>2077</v>
      </c>
      <c r="V6895" t="s">
        <v>9408</v>
      </c>
      <c r="W6895" t="s">
        <v>423</v>
      </c>
    </row>
    <row r="6896" spans="1:23" hidden="1" x14ac:dyDescent="0.2">
      <c r="A6896">
        <v>2012</v>
      </c>
      <c r="B6896" t="s">
        <v>303</v>
      </c>
      <c r="C6896" s="733">
        <v>40925</v>
      </c>
      <c r="D68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96" t="s">
        <v>485</v>
      </c>
      <c r="F6896" t="s">
        <v>2065</v>
      </c>
      <c r="G6896" t="s">
        <v>5470</v>
      </c>
      <c r="H6896">
        <v>40327</v>
      </c>
      <c r="I6896" t="s">
        <v>423</v>
      </c>
      <c r="J6896" t="s">
        <v>5471</v>
      </c>
      <c r="K6896" t="s">
        <v>2183</v>
      </c>
      <c r="L6896" t="s">
        <v>2184</v>
      </c>
      <c r="M6896">
        <v>690</v>
      </c>
      <c r="N6896">
        <v>22.59</v>
      </c>
      <c r="O6896">
        <v>9155.5</v>
      </c>
      <c r="P6896">
        <v>0</v>
      </c>
      <c r="Q6896">
        <v>9155.5</v>
      </c>
      <c r="R6896">
        <v>1464.88</v>
      </c>
      <c r="S6896">
        <v>366.22</v>
      </c>
      <c r="T6896">
        <v>10254.16</v>
      </c>
      <c r="U6896" t="s">
        <v>7554</v>
      </c>
      <c r="V6896" t="s">
        <v>9408</v>
      </c>
      <c r="W6896" t="s">
        <v>423</v>
      </c>
    </row>
    <row r="6897" spans="1:23" hidden="1" x14ac:dyDescent="0.2">
      <c r="A6897">
        <v>2012</v>
      </c>
      <c r="B6897" t="s">
        <v>303</v>
      </c>
      <c r="C6897" s="733">
        <v>40920</v>
      </c>
      <c r="D68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897" t="s">
        <v>485</v>
      </c>
      <c r="F6897" t="s">
        <v>2054</v>
      </c>
      <c r="G6897" t="s">
        <v>5716</v>
      </c>
      <c r="H6897">
        <v>10028</v>
      </c>
      <c r="I6897" t="s">
        <v>423</v>
      </c>
      <c r="J6897" t="s">
        <v>2056</v>
      </c>
      <c r="K6897" t="s">
        <v>2057</v>
      </c>
      <c r="L6897" t="s">
        <v>2058</v>
      </c>
      <c r="M6897">
        <v>19</v>
      </c>
      <c r="N6897">
        <v>31.28</v>
      </c>
      <c r="O6897">
        <v>3530.57</v>
      </c>
      <c r="P6897">
        <v>0</v>
      </c>
      <c r="Q6897">
        <v>3530.57</v>
      </c>
      <c r="R6897">
        <v>564.89</v>
      </c>
      <c r="S6897">
        <v>141.22</v>
      </c>
      <c r="T6897">
        <v>3954.24</v>
      </c>
      <c r="U6897" t="s">
        <v>2059</v>
      </c>
      <c r="V6897" t="s">
        <v>9408</v>
      </c>
      <c r="W6897" t="s">
        <v>423</v>
      </c>
    </row>
    <row r="6898" spans="1:23" hidden="1" x14ac:dyDescent="0.2">
      <c r="A6898">
        <v>2012</v>
      </c>
      <c r="B6898" t="s">
        <v>304</v>
      </c>
      <c r="C6898" s="733">
        <v>40946</v>
      </c>
      <c r="D68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98" t="s">
        <v>485</v>
      </c>
      <c r="F6898" t="s">
        <v>2054</v>
      </c>
      <c r="G6898" t="s">
        <v>5715</v>
      </c>
      <c r="H6898">
        <v>10310</v>
      </c>
      <c r="I6898" t="s">
        <v>423</v>
      </c>
      <c r="J6898" t="s">
        <v>2056</v>
      </c>
      <c r="K6898" t="s">
        <v>2057</v>
      </c>
      <c r="L6898" t="s">
        <v>2058</v>
      </c>
      <c r="M6898">
        <v>19</v>
      </c>
      <c r="N6898">
        <v>25.41</v>
      </c>
      <c r="O6898">
        <v>2868.03</v>
      </c>
      <c r="P6898">
        <v>0</v>
      </c>
      <c r="Q6898">
        <v>2868.03</v>
      </c>
      <c r="R6898">
        <v>458.88</v>
      </c>
      <c r="S6898">
        <v>114.72</v>
      </c>
      <c r="T6898">
        <v>3212.19</v>
      </c>
      <c r="U6898" t="s">
        <v>2075</v>
      </c>
      <c r="V6898" t="s">
        <v>9408</v>
      </c>
      <c r="W6898" t="s">
        <v>423</v>
      </c>
    </row>
    <row r="6899" spans="1:23" hidden="1" x14ac:dyDescent="0.2">
      <c r="A6899">
        <v>2012</v>
      </c>
      <c r="B6899" t="s">
        <v>304</v>
      </c>
      <c r="C6899" s="733">
        <v>40947</v>
      </c>
      <c r="D68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899" t="s">
        <v>485</v>
      </c>
      <c r="F6899" t="s">
        <v>2065</v>
      </c>
      <c r="G6899" t="s">
        <v>5704</v>
      </c>
      <c r="H6899">
        <v>41399</v>
      </c>
      <c r="I6899" t="s">
        <v>2821</v>
      </c>
      <c r="J6899" t="s">
        <v>5705</v>
      </c>
      <c r="K6899" t="s">
        <v>4524</v>
      </c>
      <c r="L6899" t="s">
        <v>2184</v>
      </c>
      <c r="M6899">
        <v>1467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V6899" t="s">
        <v>9409</v>
      </c>
      <c r="W6899" t="s">
        <v>2821</v>
      </c>
    </row>
    <row r="6900" spans="1:23" hidden="1" x14ac:dyDescent="0.2">
      <c r="A6900">
        <v>2012</v>
      </c>
      <c r="B6900" t="s">
        <v>303</v>
      </c>
      <c r="C6900" s="733">
        <v>40933</v>
      </c>
      <c r="D69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00" t="s">
        <v>505</v>
      </c>
      <c r="F6900" t="s">
        <v>1915</v>
      </c>
      <c r="G6900" t="s">
        <v>6203</v>
      </c>
      <c r="H6900">
        <v>22208</v>
      </c>
      <c r="I6900" t="s">
        <v>423</v>
      </c>
      <c r="J6900" t="s">
        <v>5504</v>
      </c>
      <c r="K6900" t="s">
        <v>1918</v>
      </c>
      <c r="L6900" t="s">
        <v>1919</v>
      </c>
      <c r="M6900">
        <v>1115</v>
      </c>
      <c r="N6900">
        <v>25.75</v>
      </c>
      <c r="O6900">
        <v>19000.150000000001</v>
      </c>
      <c r="P6900">
        <v>0</v>
      </c>
      <c r="Q6900">
        <v>19000.150000000001</v>
      </c>
      <c r="R6900">
        <v>3040.02</v>
      </c>
      <c r="S6900">
        <v>760.01</v>
      </c>
      <c r="T6900">
        <v>21280.16</v>
      </c>
      <c r="U6900" t="s">
        <v>1936</v>
      </c>
      <c r="V6900" t="s">
        <v>9408</v>
      </c>
      <c r="W6900" t="s">
        <v>423</v>
      </c>
    </row>
    <row r="6901" spans="1:23" hidden="1" x14ac:dyDescent="0.2">
      <c r="A6901">
        <v>2012</v>
      </c>
      <c r="B6901" t="s">
        <v>303</v>
      </c>
      <c r="C6901" s="733">
        <v>40939</v>
      </c>
      <c r="D69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01" t="s">
        <v>505</v>
      </c>
      <c r="F6901" t="s">
        <v>1915</v>
      </c>
      <c r="G6901" t="s">
        <v>6202</v>
      </c>
      <c r="H6901">
        <v>22329</v>
      </c>
      <c r="I6901" t="s">
        <v>423</v>
      </c>
      <c r="J6901" t="s">
        <v>5504</v>
      </c>
      <c r="K6901" t="s">
        <v>1918</v>
      </c>
      <c r="L6901" t="s">
        <v>1919</v>
      </c>
      <c r="M6901">
        <v>1115</v>
      </c>
      <c r="N6901">
        <v>55.47</v>
      </c>
      <c r="O6901">
        <v>40929.65</v>
      </c>
      <c r="P6901">
        <v>0</v>
      </c>
      <c r="Q6901">
        <v>40929.65</v>
      </c>
      <c r="R6901">
        <v>6548.74</v>
      </c>
      <c r="S6901">
        <v>1637.19</v>
      </c>
      <c r="T6901">
        <v>45841.2</v>
      </c>
      <c r="U6901" t="s">
        <v>1926</v>
      </c>
      <c r="V6901" t="s">
        <v>9409</v>
      </c>
      <c r="W6901" t="s">
        <v>423</v>
      </c>
    </row>
    <row r="6902" spans="1:23" hidden="1" x14ac:dyDescent="0.2">
      <c r="A6902">
        <v>2012</v>
      </c>
      <c r="B6902" t="s">
        <v>304</v>
      </c>
      <c r="C6902" s="733">
        <v>40948</v>
      </c>
      <c r="D69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02" t="s">
        <v>505</v>
      </c>
      <c r="F6902" t="s">
        <v>1915</v>
      </c>
      <c r="G6902" t="s">
        <v>6460</v>
      </c>
      <c r="H6902">
        <v>22575</v>
      </c>
      <c r="I6902" t="s">
        <v>424</v>
      </c>
      <c r="J6902" t="s">
        <v>6461</v>
      </c>
      <c r="K6902" t="s">
        <v>1918</v>
      </c>
      <c r="L6902" t="s">
        <v>1919</v>
      </c>
      <c r="M6902">
        <v>433</v>
      </c>
      <c r="N6902">
        <v>30</v>
      </c>
      <c r="O6902">
        <v>4155.6899999999996</v>
      </c>
      <c r="P6902">
        <v>2388.2334860000001</v>
      </c>
      <c r="Q6902">
        <v>6543.9234859999997</v>
      </c>
      <c r="R6902">
        <v>1047.0277579999999</v>
      </c>
      <c r="S6902">
        <v>261.75693899999999</v>
      </c>
      <c r="T6902">
        <v>7329.194305</v>
      </c>
      <c r="U6902" t="s">
        <v>1924</v>
      </c>
      <c r="V6902" t="s">
        <v>9408</v>
      </c>
      <c r="W6902" t="s">
        <v>424</v>
      </c>
    </row>
    <row r="6903" spans="1:23" hidden="1" x14ac:dyDescent="0.2">
      <c r="A6903">
        <v>2012</v>
      </c>
      <c r="B6903" t="s">
        <v>304</v>
      </c>
      <c r="C6903" s="733">
        <v>40946</v>
      </c>
      <c r="D69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03" t="s">
        <v>478</v>
      </c>
      <c r="F6903" t="s">
        <v>2622</v>
      </c>
      <c r="G6903" t="s">
        <v>5452</v>
      </c>
      <c r="H6903">
        <v>35337</v>
      </c>
      <c r="I6903" t="s">
        <v>423</v>
      </c>
      <c r="J6903" t="s">
        <v>2662</v>
      </c>
      <c r="K6903" t="s">
        <v>2625</v>
      </c>
      <c r="L6903" t="s">
        <v>2626</v>
      </c>
      <c r="M6903">
        <v>66</v>
      </c>
      <c r="N6903">
        <v>24.41</v>
      </c>
      <c r="O6903">
        <v>2873.79</v>
      </c>
      <c r="P6903">
        <v>0</v>
      </c>
      <c r="Q6903">
        <v>2873.79</v>
      </c>
      <c r="R6903">
        <v>459.81</v>
      </c>
      <c r="S6903">
        <v>114.95</v>
      </c>
      <c r="T6903">
        <v>3218.65</v>
      </c>
      <c r="U6903" t="s">
        <v>2652</v>
      </c>
      <c r="V6903" t="s">
        <v>9408</v>
      </c>
      <c r="W6903" t="s">
        <v>423</v>
      </c>
    </row>
    <row r="6904" spans="1:23" hidden="1" x14ac:dyDescent="0.2">
      <c r="A6904">
        <v>2012</v>
      </c>
      <c r="B6904" t="s">
        <v>305</v>
      </c>
      <c r="C6904" s="733">
        <v>40970.944409722222</v>
      </c>
      <c r="D6904" s="733" t="str">
        <f>CHOOSE(MONTH(Tabla_sqldatos_bonampakdb_Bon_v_ingresos2012[[#This Row],[fecha_guia]]),"Enero","Febrero","Marzo","Abril","Mayo","Junio","Julio","Agosto","Septiembre","Octubre","Noviembre","Diciembre")</f>
        <v>Marzo</v>
      </c>
      <c r="E6904" t="s">
        <v>478</v>
      </c>
      <c r="F6904" t="s">
        <v>2622</v>
      </c>
      <c r="G6904" t="s">
        <v>9778</v>
      </c>
      <c r="H6904">
        <v>36275</v>
      </c>
      <c r="I6904" t="s">
        <v>423</v>
      </c>
      <c r="J6904" t="s">
        <v>2662</v>
      </c>
      <c r="K6904" t="s">
        <v>2625</v>
      </c>
      <c r="L6904" t="s">
        <v>2626</v>
      </c>
      <c r="M6904">
        <v>66</v>
      </c>
      <c r="N6904">
        <v>19.95</v>
      </c>
      <c r="O6904">
        <v>2348.71</v>
      </c>
      <c r="P6904">
        <v>0</v>
      </c>
      <c r="Q6904">
        <v>2348.71</v>
      </c>
      <c r="R6904">
        <v>375.79</v>
      </c>
      <c r="S6904">
        <v>93.95</v>
      </c>
      <c r="T6904">
        <v>2630.55</v>
      </c>
      <c r="V6904" t="s">
        <v>9408</v>
      </c>
      <c r="W6904" t="s">
        <v>423</v>
      </c>
    </row>
    <row r="6905" spans="1:23" hidden="1" x14ac:dyDescent="0.2">
      <c r="A6905">
        <v>2012</v>
      </c>
      <c r="B6905" t="s">
        <v>303</v>
      </c>
      <c r="C6905" s="733">
        <v>40936.627071759256</v>
      </c>
      <c r="D69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05" t="s">
        <v>485</v>
      </c>
      <c r="F6905" t="s">
        <v>2054</v>
      </c>
      <c r="G6905" t="s">
        <v>5719</v>
      </c>
      <c r="H6905">
        <v>10238</v>
      </c>
      <c r="I6905" t="s">
        <v>423</v>
      </c>
      <c r="J6905" t="s">
        <v>4078</v>
      </c>
      <c r="K6905" t="s">
        <v>2057</v>
      </c>
      <c r="L6905" t="s">
        <v>2058</v>
      </c>
      <c r="M6905">
        <v>154</v>
      </c>
      <c r="N6905">
        <v>23.59</v>
      </c>
      <c r="O6905">
        <v>3975.39</v>
      </c>
      <c r="P6905">
        <v>0</v>
      </c>
      <c r="Q6905">
        <v>3975.39</v>
      </c>
      <c r="R6905">
        <v>636.05999999999995</v>
      </c>
      <c r="S6905">
        <v>159.02000000000001</v>
      </c>
      <c r="T6905">
        <v>4452.43</v>
      </c>
      <c r="U6905" t="s">
        <v>2073</v>
      </c>
      <c r="V6905" t="s">
        <v>9408</v>
      </c>
      <c r="W6905" t="s">
        <v>423</v>
      </c>
    </row>
    <row r="6906" spans="1:23" x14ac:dyDescent="0.2">
      <c r="A6906">
        <v>2012</v>
      </c>
      <c r="B6906" t="s">
        <v>304</v>
      </c>
      <c r="C6906" s="733">
        <v>40968.758391203701</v>
      </c>
      <c r="D69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06" t="s">
        <v>485</v>
      </c>
      <c r="F6906" t="s">
        <v>2054</v>
      </c>
      <c r="G6906" t="s">
        <v>9545</v>
      </c>
      <c r="H6906">
        <v>10614</v>
      </c>
      <c r="I6906" t="s">
        <v>423</v>
      </c>
      <c r="J6906" t="s">
        <v>4078</v>
      </c>
      <c r="K6906" t="s">
        <v>2057</v>
      </c>
      <c r="L6906" t="s">
        <v>2058</v>
      </c>
      <c r="M6906">
        <v>154</v>
      </c>
      <c r="N6906">
        <v>23.46</v>
      </c>
      <c r="O6906">
        <v>3953.48</v>
      </c>
      <c r="P6906">
        <v>0</v>
      </c>
      <c r="Q6906">
        <v>3953.48</v>
      </c>
      <c r="R6906">
        <v>434.88</v>
      </c>
      <c r="S6906">
        <v>158.13999999999999</v>
      </c>
      <c r="T6906">
        <v>4230.22</v>
      </c>
      <c r="V6906" t="s">
        <v>9408</v>
      </c>
      <c r="W6906" t="s">
        <v>423</v>
      </c>
    </row>
    <row r="6907" spans="1:23" hidden="1" x14ac:dyDescent="0.2">
      <c r="A6907">
        <v>2012</v>
      </c>
      <c r="B6907" t="s">
        <v>305</v>
      </c>
      <c r="C6907" s="733">
        <v>40970.943414351852</v>
      </c>
      <c r="D6907" s="733" t="str">
        <f>CHOOSE(MONTH(Tabla_sqldatos_bonampakdb_Bon_v_ingresos2012[[#This Row],[fecha_guia]]),"Enero","Febrero","Marzo","Abril","Mayo","Junio","Julio","Agosto","Septiembre","Octubre","Noviembre","Diciembre")</f>
        <v>Marzo</v>
      </c>
      <c r="E6907" t="s">
        <v>478</v>
      </c>
      <c r="F6907" t="s">
        <v>2622</v>
      </c>
      <c r="G6907" t="s">
        <v>9779</v>
      </c>
      <c r="H6907">
        <v>36266</v>
      </c>
      <c r="I6907" t="s">
        <v>423</v>
      </c>
      <c r="J6907" t="s">
        <v>2662</v>
      </c>
      <c r="K6907" t="s">
        <v>2625</v>
      </c>
      <c r="L6907" t="s">
        <v>2626</v>
      </c>
      <c r="M6907">
        <v>66</v>
      </c>
      <c r="N6907">
        <v>20.149999999999999</v>
      </c>
      <c r="O6907">
        <v>2372.2600000000002</v>
      </c>
      <c r="P6907">
        <v>0</v>
      </c>
      <c r="Q6907">
        <v>2372.2600000000002</v>
      </c>
      <c r="R6907">
        <v>379.56</v>
      </c>
      <c r="S6907">
        <v>94.89</v>
      </c>
      <c r="T6907">
        <v>2656.93</v>
      </c>
      <c r="V6907" t="s">
        <v>9408</v>
      </c>
      <c r="W6907" t="s">
        <v>423</v>
      </c>
    </row>
    <row r="6908" spans="1:23" hidden="1" x14ac:dyDescent="0.2">
      <c r="A6908">
        <v>2012</v>
      </c>
      <c r="B6908" t="s">
        <v>304</v>
      </c>
      <c r="C6908" s="733">
        <v>40963</v>
      </c>
      <c r="D69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08" t="s">
        <v>478</v>
      </c>
      <c r="F6908" t="s">
        <v>2622</v>
      </c>
      <c r="G6908" t="s">
        <v>9151</v>
      </c>
      <c r="H6908">
        <v>35898</v>
      </c>
      <c r="I6908" t="s">
        <v>423</v>
      </c>
      <c r="J6908" t="s">
        <v>2662</v>
      </c>
      <c r="K6908" t="s">
        <v>2625</v>
      </c>
      <c r="L6908" t="s">
        <v>2626</v>
      </c>
      <c r="M6908">
        <v>66</v>
      </c>
      <c r="N6908">
        <v>23.17</v>
      </c>
      <c r="O6908">
        <v>2702.55</v>
      </c>
      <c r="P6908">
        <v>0</v>
      </c>
      <c r="Q6908">
        <v>2702.55</v>
      </c>
      <c r="R6908">
        <v>432.41</v>
      </c>
      <c r="S6908">
        <v>108.1</v>
      </c>
      <c r="T6908">
        <v>3026.86</v>
      </c>
      <c r="U6908" t="s">
        <v>9428</v>
      </c>
      <c r="V6908" t="s">
        <v>9408</v>
      </c>
      <c r="W6908" t="s">
        <v>423</v>
      </c>
    </row>
    <row r="6909" spans="1:23" hidden="1" x14ac:dyDescent="0.2">
      <c r="A6909">
        <v>2012</v>
      </c>
      <c r="B6909" t="s">
        <v>303</v>
      </c>
      <c r="C6909" s="733">
        <v>40912</v>
      </c>
      <c r="D69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09" t="s">
        <v>478</v>
      </c>
      <c r="F6909" t="s">
        <v>2136</v>
      </c>
      <c r="G6909" t="s">
        <v>5451</v>
      </c>
      <c r="H6909">
        <v>34196</v>
      </c>
      <c r="I6909" t="s">
        <v>423</v>
      </c>
      <c r="J6909" t="s">
        <v>2662</v>
      </c>
      <c r="K6909" t="s">
        <v>2625</v>
      </c>
      <c r="L6909" t="s">
        <v>2626</v>
      </c>
      <c r="M6909">
        <v>66</v>
      </c>
      <c r="N6909">
        <v>24.77</v>
      </c>
      <c r="O6909">
        <v>1444.59</v>
      </c>
      <c r="P6909">
        <v>1165.3651990000001</v>
      </c>
      <c r="Q6909">
        <v>2609.955199</v>
      </c>
      <c r="R6909">
        <v>417.59283199999999</v>
      </c>
      <c r="S6909">
        <v>104.398208</v>
      </c>
      <c r="T6909">
        <v>2923.1498230000002</v>
      </c>
      <c r="U6909" t="s">
        <v>2635</v>
      </c>
      <c r="V6909" t="s">
        <v>9408</v>
      </c>
      <c r="W6909" t="s">
        <v>423</v>
      </c>
    </row>
    <row r="6910" spans="1:23" hidden="1" x14ac:dyDescent="0.2">
      <c r="A6910">
        <v>2012</v>
      </c>
      <c r="B6910" t="s">
        <v>305</v>
      </c>
      <c r="C6910" s="733">
        <v>40969.465532407405</v>
      </c>
      <c r="D6910" s="733" t="str">
        <f>CHOOSE(MONTH(Tabla_sqldatos_bonampakdb_Bon_v_ingresos2012[[#This Row],[fecha_guia]]),"Enero","Febrero","Marzo","Abril","Mayo","Junio","Julio","Agosto","Septiembre","Octubre","Noviembre","Diciembre")</f>
        <v>Marzo</v>
      </c>
      <c r="E6910" t="s">
        <v>478</v>
      </c>
      <c r="F6910" t="s">
        <v>2136</v>
      </c>
      <c r="G6910" t="s">
        <v>9544</v>
      </c>
      <c r="H6910">
        <v>36209</v>
      </c>
      <c r="I6910" t="s">
        <v>423</v>
      </c>
      <c r="J6910" t="s">
        <v>3636</v>
      </c>
      <c r="K6910" t="s">
        <v>425</v>
      </c>
      <c r="L6910" t="s">
        <v>2145</v>
      </c>
      <c r="M6910">
        <v>244</v>
      </c>
      <c r="N6910">
        <v>43.66</v>
      </c>
      <c r="O6910">
        <v>7292.09</v>
      </c>
      <c r="P6910">
        <v>0</v>
      </c>
      <c r="Q6910">
        <v>7292.09</v>
      </c>
      <c r="R6910">
        <v>1166.73</v>
      </c>
      <c r="S6910">
        <v>291.68</v>
      </c>
      <c r="T6910">
        <v>8167.14</v>
      </c>
      <c r="V6910" t="s">
        <v>9409</v>
      </c>
      <c r="W6910" t="s">
        <v>423</v>
      </c>
    </row>
    <row r="6911" spans="1:23" hidden="1" x14ac:dyDescent="0.2">
      <c r="A6911">
        <v>2012</v>
      </c>
      <c r="B6911" t="s">
        <v>303</v>
      </c>
      <c r="C6911" s="733">
        <v>40939.467928240738</v>
      </c>
      <c r="D69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11" t="s">
        <v>478</v>
      </c>
      <c r="F6911" t="s">
        <v>2622</v>
      </c>
      <c r="G6911" t="s">
        <v>5450</v>
      </c>
      <c r="H6911">
        <v>35105</v>
      </c>
      <c r="I6911" t="s">
        <v>423</v>
      </c>
      <c r="J6911" t="s">
        <v>2662</v>
      </c>
      <c r="K6911" t="s">
        <v>2625</v>
      </c>
      <c r="L6911" t="s">
        <v>2626</v>
      </c>
      <c r="M6911">
        <v>66</v>
      </c>
      <c r="N6911">
        <v>25.21</v>
      </c>
      <c r="O6911">
        <v>2967.97</v>
      </c>
      <c r="P6911">
        <v>0</v>
      </c>
      <c r="Q6911">
        <v>2967.97</v>
      </c>
      <c r="R6911">
        <v>474.88</v>
      </c>
      <c r="S6911">
        <v>118.72</v>
      </c>
      <c r="T6911">
        <v>3324.13</v>
      </c>
      <c r="U6911" t="s">
        <v>2630</v>
      </c>
      <c r="V6911" t="s">
        <v>9408</v>
      </c>
      <c r="W6911" t="s">
        <v>423</v>
      </c>
    </row>
    <row r="6912" spans="1:23" hidden="1" x14ac:dyDescent="0.2">
      <c r="A6912">
        <v>2012</v>
      </c>
      <c r="B6912" t="s">
        <v>304</v>
      </c>
      <c r="C6912" s="733">
        <v>40947.392013888886</v>
      </c>
      <c r="D69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12" t="s">
        <v>478</v>
      </c>
      <c r="F6912" t="s">
        <v>2622</v>
      </c>
      <c r="G6912" t="s">
        <v>5454</v>
      </c>
      <c r="H6912">
        <v>35405</v>
      </c>
      <c r="I6912" t="s">
        <v>423</v>
      </c>
      <c r="J6912" t="s">
        <v>2662</v>
      </c>
      <c r="K6912" t="s">
        <v>2625</v>
      </c>
      <c r="L6912" t="s">
        <v>2626</v>
      </c>
      <c r="M6912">
        <v>66</v>
      </c>
      <c r="N6912">
        <v>25.08</v>
      </c>
      <c r="O6912">
        <v>2952.67</v>
      </c>
      <c r="P6912">
        <v>0</v>
      </c>
      <c r="Q6912">
        <v>2952.67</v>
      </c>
      <c r="R6912">
        <v>472.43</v>
      </c>
      <c r="S6912">
        <v>118.11</v>
      </c>
      <c r="T6912">
        <v>3306.99</v>
      </c>
      <c r="U6912" t="s">
        <v>2652</v>
      </c>
      <c r="V6912" t="s">
        <v>9408</v>
      </c>
      <c r="W6912" t="s">
        <v>423</v>
      </c>
    </row>
    <row r="6913" spans="1:23" hidden="1" x14ac:dyDescent="0.2">
      <c r="A6913">
        <v>2012</v>
      </c>
      <c r="B6913" t="s">
        <v>304</v>
      </c>
      <c r="C6913" s="733">
        <v>40953.515740740739</v>
      </c>
      <c r="D69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13" t="s">
        <v>485</v>
      </c>
      <c r="F6913" t="s">
        <v>2054</v>
      </c>
      <c r="G6913" t="s">
        <v>5717</v>
      </c>
      <c r="H6913">
        <v>10427</v>
      </c>
      <c r="I6913" t="s">
        <v>423</v>
      </c>
      <c r="J6913" t="s">
        <v>4078</v>
      </c>
      <c r="K6913" t="s">
        <v>2057</v>
      </c>
      <c r="L6913" t="s">
        <v>2058</v>
      </c>
      <c r="M6913">
        <v>154</v>
      </c>
      <c r="N6913">
        <v>24.72</v>
      </c>
      <c r="O6913">
        <v>4165.8100000000004</v>
      </c>
      <c r="P6913">
        <v>0</v>
      </c>
      <c r="Q6913">
        <v>4165.8100000000004</v>
      </c>
      <c r="R6913">
        <v>458.24</v>
      </c>
      <c r="S6913">
        <v>166.63</v>
      </c>
      <c r="T6913">
        <v>4457.42</v>
      </c>
      <c r="U6913" t="s">
        <v>8047</v>
      </c>
      <c r="V6913" t="s">
        <v>9408</v>
      </c>
      <c r="W6913" t="s">
        <v>423</v>
      </c>
    </row>
    <row r="6914" spans="1:23" hidden="1" x14ac:dyDescent="0.2">
      <c r="A6914">
        <v>2012</v>
      </c>
      <c r="B6914" t="s">
        <v>304</v>
      </c>
      <c r="C6914" s="733">
        <v>40948.559953703705</v>
      </c>
      <c r="D69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14" t="s">
        <v>485</v>
      </c>
      <c r="F6914" t="s">
        <v>2054</v>
      </c>
      <c r="G6914" t="s">
        <v>5718</v>
      </c>
      <c r="H6914">
        <v>10365</v>
      </c>
      <c r="I6914" t="s">
        <v>423</v>
      </c>
      <c r="J6914" t="s">
        <v>4078</v>
      </c>
      <c r="K6914" t="s">
        <v>2057</v>
      </c>
      <c r="L6914" t="s">
        <v>2058</v>
      </c>
      <c r="M6914">
        <v>154</v>
      </c>
      <c r="N6914">
        <v>48.47</v>
      </c>
      <c r="O6914">
        <v>8168.16</v>
      </c>
      <c r="P6914">
        <v>0</v>
      </c>
      <c r="Q6914">
        <v>8168.16</v>
      </c>
      <c r="R6914">
        <v>898.5</v>
      </c>
      <c r="S6914">
        <v>326.73</v>
      </c>
      <c r="T6914">
        <v>8739.93</v>
      </c>
      <c r="U6914" t="s">
        <v>2082</v>
      </c>
      <c r="V6914" t="s">
        <v>9409</v>
      </c>
      <c r="W6914" t="s">
        <v>423</v>
      </c>
    </row>
    <row r="6915" spans="1:23" hidden="1" x14ac:dyDescent="0.2">
      <c r="A6915">
        <v>2012</v>
      </c>
      <c r="B6915" t="s">
        <v>304</v>
      </c>
      <c r="C6915" s="733">
        <v>40953.552499999998</v>
      </c>
      <c r="D69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15" t="s">
        <v>485</v>
      </c>
      <c r="F6915" t="s">
        <v>2054</v>
      </c>
      <c r="G6915" t="s">
        <v>5720</v>
      </c>
      <c r="H6915">
        <v>10434</v>
      </c>
      <c r="I6915" t="s">
        <v>423</v>
      </c>
      <c r="J6915" t="s">
        <v>4078</v>
      </c>
      <c r="K6915" t="s">
        <v>2057</v>
      </c>
      <c r="L6915" t="s">
        <v>2058</v>
      </c>
      <c r="M6915">
        <v>154</v>
      </c>
      <c r="N6915">
        <v>22.63</v>
      </c>
      <c r="O6915">
        <v>3813.61</v>
      </c>
      <c r="P6915">
        <v>0</v>
      </c>
      <c r="Q6915">
        <v>3813.61</v>
      </c>
      <c r="R6915">
        <v>419.5</v>
      </c>
      <c r="S6915">
        <v>152.54</v>
      </c>
      <c r="T6915">
        <v>4080.57</v>
      </c>
      <c r="U6915" t="s">
        <v>8047</v>
      </c>
      <c r="V6915" t="s">
        <v>9408</v>
      </c>
      <c r="W6915" t="s">
        <v>423</v>
      </c>
    </row>
    <row r="6916" spans="1:23" hidden="1" x14ac:dyDescent="0.2">
      <c r="A6916">
        <v>2012</v>
      </c>
      <c r="B6916" t="s">
        <v>304</v>
      </c>
      <c r="C6916" s="733">
        <v>40964</v>
      </c>
      <c r="D69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16" t="s">
        <v>485</v>
      </c>
      <c r="F6916" t="s">
        <v>2054</v>
      </c>
      <c r="G6916" t="s">
        <v>8768</v>
      </c>
      <c r="H6916">
        <v>10553</v>
      </c>
      <c r="I6916" t="s">
        <v>423</v>
      </c>
      <c r="J6916" t="s">
        <v>4078</v>
      </c>
      <c r="K6916" t="s">
        <v>2057</v>
      </c>
      <c r="L6916" t="s">
        <v>2058</v>
      </c>
      <c r="M6916">
        <v>154</v>
      </c>
      <c r="N6916">
        <v>22.13</v>
      </c>
      <c r="O6916">
        <v>3729.35</v>
      </c>
      <c r="P6916">
        <v>0</v>
      </c>
      <c r="Q6916">
        <v>3729.35</v>
      </c>
      <c r="R6916">
        <v>410.23</v>
      </c>
      <c r="S6916">
        <v>149.16999999999999</v>
      </c>
      <c r="T6916">
        <v>3990.41</v>
      </c>
      <c r="U6916" t="s">
        <v>8864</v>
      </c>
      <c r="V6916" t="s">
        <v>9408</v>
      </c>
      <c r="W6916" t="s">
        <v>423</v>
      </c>
    </row>
    <row r="6917" spans="1:23" hidden="1" x14ac:dyDescent="0.2">
      <c r="A6917">
        <v>2012</v>
      </c>
      <c r="B6917" t="s">
        <v>304</v>
      </c>
      <c r="C6917" s="733">
        <v>40959</v>
      </c>
      <c r="D69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17" t="s">
        <v>505</v>
      </c>
      <c r="F6917" t="s">
        <v>1915</v>
      </c>
      <c r="G6917" t="s">
        <v>7844</v>
      </c>
      <c r="H6917">
        <v>22863</v>
      </c>
      <c r="I6917" t="s">
        <v>1979</v>
      </c>
      <c r="J6917" t="s">
        <v>1980</v>
      </c>
      <c r="K6917" t="s">
        <v>1918</v>
      </c>
      <c r="L6917" t="s">
        <v>1919</v>
      </c>
      <c r="M6917">
        <v>732</v>
      </c>
      <c r="N6917">
        <v>49.91</v>
      </c>
      <c r="O6917">
        <v>23597.45</v>
      </c>
      <c r="P6917">
        <v>0</v>
      </c>
      <c r="Q6917">
        <v>23597.45</v>
      </c>
      <c r="R6917">
        <v>3775.59</v>
      </c>
      <c r="S6917">
        <v>943.9</v>
      </c>
      <c r="T6917">
        <v>26429.14</v>
      </c>
      <c r="U6917" t="s">
        <v>8491</v>
      </c>
      <c r="V6917" t="s">
        <v>9409</v>
      </c>
      <c r="W6917" t="s">
        <v>1979</v>
      </c>
    </row>
    <row r="6918" spans="1:23" hidden="1" x14ac:dyDescent="0.2">
      <c r="A6918">
        <v>2012</v>
      </c>
      <c r="B6918" t="s">
        <v>304</v>
      </c>
      <c r="C6918" s="733">
        <v>40946</v>
      </c>
      <c r="D69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18" t="s">
        <v>505</v>
      </c>
      <c r="F6918" t="s">
        <v>1915</v>
      </c>
      <c r="G6918" t="s">
        <v>6191</v>
      </c>
      <c r="H6918">
        <v>22510</v>
      </c>
      <c r="I6918" t="s">
        <v>1979</v>
      </c>
      <c r="J6918" t="s">
        <v>1980</v>
      </c>
      <c r="K6918" t="s">
        <v>1918</v>
      </c>
      <c r="L6918" t="s">
        <v>1919</v>
      </c>
      <c r="M6918">
        <v>732</v>
      </c>
      <c r="N6918">
        <v>49.31</v>
      </c>
      <c r="O6918">
        <v>23313.77</v>
      </c>
      <c r="P6918">
        <v>0</v>
      </c>
      <c r="Q6918">
        <v>23313.77</v>
      </c>
      <c r="R6918">
        <v>3730.2</v>
      </c>
      <c r="S6918">
        <v>932.55</v>
      </c>
      <c r="T6918">
        <v>26111.42</v>
      </c>
      <c r="U6918" t="s">
        <v>1924</v>
      </c>
      <c r="V6918" t="s">
        <v>9409</v>
      </c>
      <c r="W6918" t="s">
        <v>1979</v>
      </c>
    </row>
    <row r="6919" spans="1:23" hidden="1" x14ac:dyDescent="0.2">
      <c r="A6919">
        <v>2012</v>
      </c>
      <c r="B6919" t="s">
        <v>304</v>
      </c>
      <c r="C6919" s="733">
        <v>40962</v>
      </c>
      <c r="D69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19" t="s">
        <v>505</v>
      </c>
      <c r="F6919" t="s">
        <v>1915</v>
      </c>
      <c r="G6919" t="s">
        <v>8345</v>
      </c>
      <c r="H6919">
        <v>22918</v>
      </c>
      <c r="I6919" t="s">
        <v>423</v>
      </c>
      <c r="J6919" t="s">
        <v>1980</v>
      </c>
      <c r="K6919" t="s">
        <v>1918</v>
      </c>
      <c r="L6919" t="s">
        <v>1919</v>
      </c>
      <c r="M6919">
        <v>732</v>
      </c>
      <c r="N6919">
        <v>24.78</v>
      </c>
      <c r="O6919">
        <v>10868.51</v>
      </c>
      <c r="P6919">
        <v>0</v>
      </c>
      <c r="Q6919">
        <v>10868.51</v>
      </c>
      <c r="R6919">
        <v>1738.96</v>
      </c>
      <c r="S6919">
        <v>434.74</v>
      </c>
      <c r="T6919">
        <v>12172.73</v>
      </c>
      <c r="U6919" t="s">
        <v>8778</v>
      </c>
      <c r="V6919" t="s">
        <v>9408</v>
      </c>
      <c r="W6919" t="s">
        <v>423</v>
      </c>
    </row>
    <row r="6920" spans="1:23" hidden="1" x14ac:dyDescent="0.2">
      <c r="A6920">
        <v>2012</v>
      </c>
      <c r="B6920" t="s">
        <v>304</v>
      </c>
      <c r="C6920" s="733">
        <v>40959</v>
      </c>
      <c r="D69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20" t="s">
        <v>505</v>
      </c>
      <c r="F6920" t="s">
        <v>1915</v>
      </c>
      <c r="G6920" t="s">
        <v>8176</v>
      </c>
      <c r="H6920">
        <v>22857</v>
      </c>
      <c r="I6920" t="s">
        <v>1979</v>
      </c>
      <c r="J6920" t="s">
        <v>1980</v>
      </c>
      <c r="K6920" t="s">
        <v>1918</v>
      </c>
      <c r="L6920" t="s">
        <v>1919</v>
      </c>
      <c r="M6920">
        <v>732</v>
      </c>
      <c r="N6920">
        <v>50.04</v>
      </c>
      <c r="O6920">
        <v>21947.54</v>
      </c>
      <c r="P6920">
        <v>0</v>
      </c>
      <c r="Q6920">
        <v>21947.54</v>
      </c>
      <c r="R6920">
        <v>3511.61</v>
      </c>
      <c r="S6920">
        <v>877.9</v>
      </c>
      <c r="T6920">
        <v>24581.25</v>
      </c>
      <c r="U6920" t="s">
        <v>8491</v>
      </c>
      <c r="V6920" t="s">
        <v>9409</v>
      </c>
      <c r="W6920" t="s">
        <v>1979</v>
      </c>
    </row>
    <row r="6921" spans="1:23" hidden="1" x14ac:dyDescent="0.2">
      <c r="A6921">
        <v>2012</v>
      </c>
      <c r="B6921" t="s">
        <v>303</v>
      </c>
      <c r="C6921" s="733">
        <v>40914.754837962966</v>
      </c>
      <c r="D69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21" t="s">
        <v>478</v>
      </c>
      <c r="F6921" t="s">
        <v>2136</v>
      </c>
      <c r="G6921" t="s">
        <v>6852</v>
      </c>
      <c r="H6921">
        <v>34276</v>
      </c>
      <c r="I6921" t="s">
        <v>423</v>
      </c>
      <c r="J6921" t="s">
        <v>4279</v>
      </c>
      <c r="K6921" t="s">
        <v>425</v>
      </c>
      <c r="L6921" t="s">
        <v>2145</v>
      </c>
      <c r="M6921">
        <v>381</v>
      </c>
      <c r="N6921">
        <v>52.1</v>
      </c>
      <c r="O6921">
        <v>13045.32</v>
      </c>
      <c r="P6921">
        <v>0</v>
      </c>
      <c r="Q6921">
        <v>13045.32</v>
      </c>
      <c r="R6921">
        <v>2087.25</v>
      </c>
      <c r="S6921">
        <v>521.80999999999995</v>
      </c>
      <c r="T6921">
        <v>14610.76</v>
      </c>
      <c r="U6921" t="s">
        <v>2350</v>
      </c>
      <c r="V6921" t="s">
        <v>9409</v>
      </c>
      <c r="W6921" t="s">
        <v>423</v>
      </c>
    </row>
    <row r="6922" spans="1:23" hidden="1" x14ac:dyDescent="0.2">
      <c r="A6922">
        <v>2012</v>
      </c>
      <c r="B6922" t="s">
        <v>303</v>
      </c>
      <c r="C6922" s="733">
        <v>40932</v>
      </c>
      <c r="D69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22" t="s">
        <v>478</v>
      </c>
      <c r="F6922" t="s">
        <v>2136</v>
      </c>
      <c r="G6922" t="s">
        <v>6853</v>
      </c>
      <c r="H6922">
        <v>34790</v>
      </c>
      <c r="I6922" t="s">
        <v>423</v>
      </c>
      <c r="J6922" t="s">
        <v>4279</v>
      </c>
      <c r="K6922" t="s">
        <v>425</v>
      </c>
      <c r="L6922" t="s">
        <v>2145</v>
      </c>
      <c r="M6922">
        <v>381</v>
      </c>
      <c r="N6922">
        <v>49.68</v>
      </c>
      <c r="O6922">
        <v>12439.38</v>
      </c>
      <c r="P6922">
        <v>0</v>
      </c>
      <c r="Q6922">
        <v>12439.38</v>
      </c>
      <c r="R6922">
        <v>1990.3</v>
      </c>
      <c r="S6922">
        <v>497.58</v>
      </c>
      <c r="T6922">
        <v>13932.1</v>
      </c>
      <c r="U6922" t="s">
        <v>3234</v>
      </c>
      <c r="V6922" t="s">
        <v>9409</v>
      </c>
      <c r="W6922" t="s">
        <v>423</v>
      </c>
    </row>
    <row r="6923" spans="1:23" hidden="1" x14ac:dyDescent="0.2">
      <c r="A6923">
        <v>2012</v>
      </c>
      <c r="B6923" t="s">
        <v>304</v>
      </c>
      <c r="C6923" s="733">
        <v>40963</v>
      </c>
      <c r="D69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23" t="s">
        <v>478</v>
      </c>
      <c r="F6923" t="s">
        <v>2136</v>
      </c>
      <c r="G6923" t="s">
        <v>9399</v>
      </c>
      <c r="H6923">
        <v>35977</v>
      </c>
      <c r="I6923" t="s">
        <v>423</v>
      </c>
      <c r="J6923" t="s">
        <v>4279</v>
      </c>
      <c r="K6923" t="s">
        <v>425</v>
      </c>
      <c r="L6923" t="s">
        <v>2145</v>
      </c>
      <c r="M6923">
        <v>381</v>
      </c>
      <c r="N6923">
        <v>38.56</v>
      </c>
      <c r="O6923">
        <v>9655.0400000000009</v>
      </c>
      <c r="P6923">
        <v>0</v>
      </c>
      <c r="Q6923">
        <v>9655.0400000000009</v>
      </c>
      <c r="R6923">
        <v>1544.81</v>
      </c>
      <c r="S6923">
        <v>386.2</v>
      </c>
      <c r="T6923">
        <v>10813.65</v>
      </c>
      <c r="U6923" t="s">
        <v>9430</v>
      </c>
      <c r="V6923" t="s">
        <v>9409</v>
      </c>
      <c r="W6923" t="s">
        <v>423</v>
      </c>
    </row>
    <row r="6924" spans="1:23" hidden="1" x14ac:dyDescent="0.2">
      <c r="A6924">
        <v>2012</v>
      </c>
      <c r="B6924" t="s">
        <v>303</v>
      </c>
      <c r="C6924" s="733">
        <v>40911</v>
      </c>
      <c r="D69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24" t="s">
        <v>485</v>
      </c>
      <c r="F6924" t="s">
        <v>3450</v>
      </c>
      <c r="G6924" t="s">
        <v>6100</v>
      </c>
      <c r="H6924">
        <v>39670</v>
      </c>
      <c r="I6924" t="s">
        <v>423</v>
      </c>
      <c r="J6924" t="s">
        <v>3452</v>
      </c>
      <c r="K6924" t="s">
        <v>3453</v>
      </c>
      <c r="L6924" t="s">
        <v>3454</v>
      </c>
      <c r="M6924">
        <v>19</v>
      </c>
      <c r="N6924">
        <v>28.3</v>
      </c>
      <c r="O6924">
        <v>1344.82</v>
      </c>
      <c r="P6924">
        <v>1514.1193900000001</v>
      </c>
      <c r="Q6924">
        <v>2858.93939</v>
      </c>
      <c r="R6924">
        <v>457.43030199999998</v>
      </c>
      <c r="S6924">
        <v>114.35757599999999</v>
      </c>
      <c r="T6924">
        <v>3202.0121159999999</v>
      </c>
      <c r="U6924" t="s">
        <v>3697</v>
      </c>
      <c r="V6924" t="s">
        <v>9408</v>
      </c>
      <c r="W6924" t="s">
        <v>423</v>
      </c>
    </row>
    <row r="6925" spans="1:23" hidden="1" x14ac:dyDescent="0.2">
      <c r="A6925">
        <v>2012</v>
      </c>
      <c r="B6925" t="s">
        <v>303</v>
      </c>
      <c r="C6925" s="733">
        <v>40922</v>
      </c>
      <c r="D69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25" t="s">
        <v>478</v>
      </c>
      <c r="F6925" t="s">
        <v>2136</v>
      </c>
      <c r="G6925" t="s">
        <v>6854</v>
      </c>
      <c r="H6925">
        <v>34511</v>
      </c>
      <c r="I6925" t="s">
        <v>423</v>
      </c>
      <c r="J6925" t="s">
        <v>4279</v>
      </c>
      <c r="K6925" t="s">
        <v>425</v>
      </c>
      <c r="L6925" t="s">
        <v>2145</v>
      </c>
      <c r="M6925">
        <v>381</v>
      </c>
      <c r="N6925">
        <v>49.56</v>
      </c>
      <c r="O6925">
        <v>12409.33</v>
      </c>
      <c r="P6925">
        <v>0</v>
      </c>
      <c r="Q6925">
        <v>12409.33</v>
      </c>
      <c r="R6925">
        <v>1985.49</v>
      </c>
      <c r="S6925">
        <v>496.37</v>
      </c>
      <c r="T6925">
        <v>13898.45</v>
      </c>
      <c r="U6925" t="s">
        <v>2146</v>
      </c>
      <c r="V6925" t="s">
        <v>9409</v>
      </c>
      <c r="W6925" t="s">
        <v>423</v>
      </c>
    </row>
    <row r="6926" spans="1:23" x14ac:dyDescent="0.2">
      <c r="A6926">
        <v>2012</v>
      </c>
      <c r="B6926" t="s">
        <v>304</v>
      </c>
      <c r="C6926" s="733">
        <v>40968</v>
      </c>
      <c r="D69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26" t="s">
        <v>485</v>
      </c>
      <c r="F6926" t="s">
        <v>3450</v>
      </c>
      <c r="G6926" t="s">
        <v>9641</v>
      </c>
      <c r="H6926">
        <v>42483</v>
      </c>
      <c r="I6926" t="s">
        <v>423</v>
      </c>
      <c r="J6926" t="s">
        <v>3457</v>
      </c>
      <c r="K6926" t="s">
        <v>3453</v>
      </c>
      <c r="L6926" t="s">
        <v>3454</v>
      </c>
      <c r="M6926">
        <v>29</v>
      </c>
      <c r="N6926">
        <v>27.18</v>
      </c>
      <c r="O6926">
        <v>3067.81</v>
      </c>
      <c r="P6926">
        <v>0</v>
      </c>
      <c r="Q6926">
        <v>3067.81</v>
      </c>
      <c r="R6926">
        <v>490.85</v>
      </c>
      <c r="S6926">
        <v>122.71</v>
      </c>
      <c r="T6926">
        <v>3435.95</v>
      </c>
      <c r="V6926" t="s">
        <v>9408</v>
      </c>
      <c r="W6926" t="s">
        <v>423</v>
      </c>
    </row>
    <row r="6927" spans="1:23" hidden="1" x14ac:dyDescent="0.2">
      <c r="A6927">
        <v>2012</v>
      </c>
      <c r="B6927" t="s">
        <v>304</v>
      </c>
      <c r="C6927" s="733">
        <v>40960</v>
      </c>
      <c r="D69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27" t="s">
        <v>485</v>
      </c>
      <c r="F6927" t="s">
        <v>3450</v>
      </c>
      <c r="G6927" t="s">
        <v>8485</v>
      </c>
      <c r="H6927">
        <v>42076</v>
      </c>
      <c r="I6927" t="s">
        <v>423</v>
      </c>
      <c r="J6927" t="s">
        <v>3457</v>
      </c>
      <c r="K6927" t="s">
        <v>3453</v>
      </c>
      <c r="L6927" t="s">
        <v>3454</v>
      </c>
      <c r="M6927">
        <v>29</v>
      </c>
      <c r="N6927">
        <v>25.81</v>
      </c>
      <c r="O6927">
        <v>2913.17</v>
      </c>
      <c r="P6927">
        <v>0</v>
      </c>
      <c r="Q6927">
        <v>2913.17</v>
      </c>
      <c r="R6927">
        <v>466.11</v>
      </c>
      <c r="S6927">
        <v>116.53</v>
      </c>
      <c r="T6927">
        <v>3262.75</v>
      </c>
      <c r="V6927" t="s">
        <v>9408</v>
      </c>
      <c r="W6927" t="s">
        <v>423</v>
      </c>
    </row>
    <row r="6928" spans="1:23" hidden="1" x14ac:dyDescent="0.2">
      <c r="A6928">
        <v>2012</v>
      </c>
      <c r="B6928" t="s">
        <v>303</v>
      </c>
      <c r="C6928" s="733">
        <v>40939</v>
      </c>
      <c r="D69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28" t="s">
        <v>485</v>
      </c>
      <c r="F6928" t="s">
        <v>3450</v>
      </c>
      <c r="G6928" t="s">
        <v>6099</v>
      </c>
      <c r="H6928">
        <v>40907</v>
      </c>
      <c r="I6928" t="s">
        <v>423</v>
      </c>
      <c r="J6928" t="s">
        <v>3457</v>
      </c>
      <c r="K6928" t="s">
        <v>3453</v>
      </c>
      <c r="L6928" t="s">
        <v>3454</v>
      </c>
      <c r="M6928">
        <v>29</v>
      </c>
      <c r="N6928">
        <v>28.49</v>
      </c>
      <c r="O6928">
        <v>3215.67</v>
      </c>
      <c r="P6928">
        <v>0</v>
      </c>
      <c r="Q6928">
        <v>3215.67</v>
      </c>
      <c r="R6928">
        <v>514.51</v>
      </c>
      <c r="S6928">
        <v>128.63</v>
      </c>
      <c r="T6928">
        <v>3601.55</v>
      </c>
      <c r="V6928" t="s">
        <v>9408</v>
      </c>
      <c r="W6928" t="s">
        <v>423</v>
      </c>
    </row>
    <row r="6929" spans="1:23" hidden="1" x14ac:dyDescent="0.2">
      <c r="A6929">
        <v>2012</v>
      </c>
      <c r="B6929" t="s">
        <v>304</v>
      </c>
      <c r="C6929" s="733">
        <v>40955</v>
      </c>
      <c r="D69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29" t="s">
        <v>485</v>
      </c>
      <c r="F6929" t="s">
        <v>2065</v>
      </c>
      <c r="G6929" t="s">
        <v>8013</v>
      </c>
      <c r="H6929">
        <v>41951</v>
      </c>
      <c r="I6929" t="s">
        <v>423</v>
      </c>
      <c r="J6929" t="s">
        <v>4921</v>
      </c>
      <c r="K6929" t="s">
        <v>2183</v>
      </c>
      <c r="L6929" t="s">
        <v>2115</v>
      </c>
      <c r="M6929">
        <v>285</v>
      </c>
      <c r="N6929">
        <v>26.06</v>
      </c>
      <c r="O6929">
        <v>5188.0200000000004</v>
      </c>
      <c r="P6929">
        <v>0</v>
      </c>
      <c r="Q6929">
        <v>5188.0200000000004</v>
      </c>
      <c r="R6929">
        <v>830.08</v>
      </c>
      <c r="S6929">
        <v>207.52</v>
      </c>
      <c r="T6929">
        <v>5810.58</v>
      </c>
      <c r="U6929" t="s">
        <v>8048</v>
      </c>
      <c r="V6929" t="s">
        <v>9408</v>
      </c>
      <c r="W6929" t="s">
        <v>423</v>
      </c>
    </row>
    <row r="6930" spans="1:23" hidden="1" x14ac:dyDescent="0.2">
      <c r="A6930">
        <v>2012</v>
      </c>
      <c r="B6930" t="s">
        <v>304</v>
      </c>
      <c r="C6930" s="733">
        <v>40947.582511574074</v>
      </c>
      <c r="D69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30" t="s">
        <v>478</v>
      </c>
      <c r="F6930" t="s">
        <v>3358</v>
      </c>
      <c r="G6930" t="s">
        <v>6313</v>
      </c>
      <c r="H6930">
        <v>35443</v>
      </c>
      <c r="I6930" t="s">
        <v>423</v>
      </c>
      <c r="J6930" t="s">
        <v>4509</v>
      </c>
      <c r="K6930" t="s">
        <v>4397</v>
      </c>
      <c r="L6930" t="s">
        <v>4398</v>
      </c>
      <c r="M6930">
        <v>183</v>
      </c>
      <c r="N6930">
        <v>24.774999999999999</v>
      </c>
      <c r="O6930">
        <v>4279.1400000000003</v>
      </c>
      <c r="P6930">
        <v>0</v>
      </c>
      <c r="Q6930">
        <v>4279.1400000000003</v>
      </c>
      <c r="R6930">
        <v>684.66</v>
      </c>
      <c r="S6930">
        <v>171.17</v>
      </c>
      <c r="T6930">
        <v>4792.63</v>
      </c>
      <c r="U6930" t="s">
        <v>4503</v>
      </c>
      <c r="V6930" t="s">
        <v>9408</v>
      </c>
      <c r="W6930" t="s">
        <v>423</v>
      </c>
    </row>
    <row r="6931" spans="1:23" hidden="1" x14ac:dyDescent="0.2">
      <c r="A6931">
        <v>2012</v>
      </c>
      <c r="B6931" t="s">
        <v>304</v>
      </c>
      <c r="C6931" s="733">
        <v>40946</v>
      </c>
      <c r="D69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31" t="s">
        <v>485</v>
      </c>
      <c r="F6931" t="s">
        <v>2048</v>
      </c>
      <c r="G6931" t="s">
        <v>6409</v>
      </c>
      <c r="H6931">
        <v>41485</v>
      </c>
      <c r="I6931" t="s">
        <v>423</v>
      </c>
      <c r="J6931" t="s">
        <v>4086</v>
      </c>
      <c r="K6931" t="s">
        <v>2051</v>
      </c>
      <c r="L6931" t="s">
        <v>2052</v>
      </c>
      <c r="M6931">
        <v>341</v>
      </c>
      <c r="N6931">
        <v>27.85</v>
      </c>
      <c r="O6931">
        <v>6810.72</v>
      </c>
      <c r="P6931">
        <v>0</v>
      </c>
      <c r="Q6931">
        <v>6810.72</v>
      </c>
      <c r="R6931">
        <v>1089.71</v>
      </c>
      <c r="S6931">
        <v>272.43</v>
      </c>
      <c r="T6931">
        <v>7628</v>
      </c>
      <c r="U6931" t="s">
        <v>7568</v>
      </c>
      <c r="V6931" t="s">
        <v>9408</v>
      </c>
      <c r="W6931" t="s">
        <v>423</v>
      </c>
    </row>
    <row r="6932" spans="1:23" x14ac:dyDescent="0.2">
      <c r="A6932">
        <v>2012</v>
      </c>
      <c r="B6932" t="s">
        <v>304</v>
      </c>
      <c r="C6932" s="733">
        <v>40967</v>
      </c>
      <c r="D69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32" t="s">
        <v>485</v>
      </c>
      <c r="F6932" t="s">
        <v>2065</v>
      </c>
      <c r="G6932" t="s">
        <v>9385</v>
      </c>
      <c r="H6932">
        <v>42609</v>
      </c>
      <c r="I6932" t="s">
        <v>423</v>
      </c>
      <c r="J6932" t="s">
        <v>4086</v>
      </c>
      <c r="K6932" t="s">
        <v>2051</v>
      </c>
      <c r="L6932" t="s">
        <v>2052</v>
      </c>
      <c r="M6932">
        <v>341</v>
      </c>
      <c r="N6932">
        <v>24.5</v>
      </c>
      <c r="O6932">
        <v>5991.48</v>
      </c>
      <c r="P6932">
        <v>0</v>
      </c>
      <c r="Q6932">
        <v>5991.48</v>
      </c>
      <c r="R6932">
        <v>958.64</v>
      </c>
      <c r="S6932">
        <v>239.66</v>
      </c>
      <c r="T6932">
        <v>6710.46</v>
      </c>
      <c r="V6932" t="s">
        <v>9408</v>
      </c>
      <c r="W6932" t="s">
        <v>423</v>
      </c>
    </row>
    <row r="6933" spans="1:23" hidden="1" x14ac:dyDescent="0.2">
      <c r="A6933">
        <v>2012</v>
      </c>
      <c r="B6933" t="s">
        <v>304</v>
      </c>
      <c r="C6933" s="733">
        <v>40959</v>
      </c>
      <c r="D69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33" t="s">
        <v>505</v>
      </c>
      <c r="F6933" t="s">
        <v>1915</v>
      </c>
      <c r="G6933" t="s">
        <v>8044</v>
      </c>
      <c r="H6933">
        <v>22864</v>
      </c>
      <c r="I6933" t="s">
        <v>423</v>
      </c>
      <c r="J6933" t="s">
        <v>4158</v>
      </c>
      <c r="K6933" t="s">
        <v>1918</v>
      </c>
      <c r="L6933" t="s">
        <v>1919</v>
      </c>
      <c r="M6933">
        <v>274</v>
      </c>
      <c r="N6933">
        <v>26.52</v>
      </c>
      <c r="O6933">
        <v>7322.17</v>
      </c>
      <c r="P6933">
        <v>0</v>
      </c>
      <c r="Q6933">
        <v>7322.17</v>
      </c>
      <c r="R6933">
        <v>1171.55</v>
      </c>
      <c r="S6933">
        <v>292.89</v>
      </c>
      <c r="T6933">
        <v>8200.83</v>
      </c>
      <c r="U6933" t="s">
        <v>8491</v>
      </c>
      <c r="V6933" t="s">
        <v>9408</v>
      </c>
      <c r="W6933" t="s">
        <v>423</v>
      </c>
    </row>
    <row r="6934" spans="1:23" hidden="1" x14ac:dyDescent="0.2">
      <c r="A6934">
        <v>2012</v>
      </c>
      <c r="B6934" t="s">
        <v>305</v>
      </c>
      <c r="C6934" s="733">
        <v>40969</v>
      </c>
      <c r="D6934" s="733" t="str">
        <f>CHOOSE(MONTH(Tabla_sqldatos_bonampakdb_Bon_v_ingresos2012[[#This Row],[fecha_guia]]),"Enero","Febrero","Marzo","Abril","Mayo","Junio","Julio","Agosto","Septiembre","Octubre","Noviembre","Diciembre")</f>
        <v>Marzo</v>
      </c>
      <c r="E6934" t="s">
        <v>505</v>
      </c>
      <c r="F6934" t="s">
        <v>1915</v>
      </c>
      <c r="G6934" t="s">
        <v>9646</v>
      </c>
      <c r="H6934">
        <v>23090</v>
      </c>
      <c r="I6934" t="s">
        <v>423</v>
      </c>
      <c r="J6934" t="s">
        <v>4158</v>
      </c>
      <c r="K6934" t="s">
        <v>1918</v>
      </c>
      <c r="L6934" t="s">
        <v>1919</v>
      </c>
      <c r="M6934">
        <v>274</v>
      </c>
      <c r="N6934">
        <v>26.89</v>
      </c>
      <c r="O6934">
        <v>7424.33</v>
      </c>
      <c r="P6934">
        <v>0</v>
      </c>
      <c r="Q6934">
        <v>7424.33</v>
      </c>
      <c r="R6934">
        <v>1187.8900000000001</v>
      </c>
      <c r="S6934">
        <v>296.97000000000003</v>
      </c>
      <c r="T6934">
        <v>8315.25</v>
      </c>
      <c r="V6934" t="s">
        <v>9409</v>
      </c>
      <c r="W6934" t="s">
        <v>423</v>
      </c>
    </row>
    <row r="6935" spans="1:23" hidden="1" x14ac:dyDescent="0.2">
      <c r="A6935">
        <v>2012</v>
      </c>
      <c r="B6935" t="s">
        <v>303</v>
      </c>
      <c r="C6935" s="733">
        <v>40929</v>
      </c>
      <c r="D69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35" t="s">
        <v>478</v>
      </c>
      <c r="F6935" t="s">
        <v>2136</v>
      </c>
      <c r="G6935" t="s">
        <v>6857</v>
      </c>
      <c r="H6935">
        <v>34793</v>
      </c>
      <c r="I6935" t="s">
        <v>423</v>
      </c>
      <c r="J6935" t="s">
        <v>5238</v>
      </c>
      <c r="K6935" t="s">
        <v>425</v>
      </c>
      <c r="L6935" t="s">
        <v>2145</v>
      </c>
      <c r="M6935">
        <v>80</v>
      </c>
      <c r="N6935">
        <v>24.87</v>
      </c>
      <c r="O6935">
        <v>3338.8</v>
      </c>
      <c r="P6935">
        <v>0</v>
      </c>
      <c r="Q6935">
        <v>3338.8</v>
      </c>
      <c r="R6935">
        <v>534.21</v>
      </c>
      <c r="S6935">
        <v>133.55000000000001</v>
      </c>
      <c r="T6935">
        <v>3739.46</v>
      </c>
      <c r="U6935" t="s">
        <v>2355</v>
      </c>
      <c r="V6935" t="s">
        <v>9408</v>
      </c>
      <c r="W6935" t="s">
        <v>423</v>
      </c>
    </row>
    <row r="6936" spans="1:23" hidden="1" x14ac:dyDescent="0.2">
      <c r="A6936">
        <v>2012</v>
      </c>
      <c r="B6936" t="s">
        <v>304</v>
      </c>
      <c r="C6936" s="733">
        <v>40941</v>
      </c>
      <c r="D69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36" t="s">
        <v>485</v>
      </c>
      <c r="F6936" t="s">
        <v>2048</v>
      </c>
      <c r="G6936" t="s">
        <v>6094</v>
      </c>
      <c r="H6936">
        <v>41325</v>
      </c>
      <c r="I6936" t="s">
        <v>423</v>
      </c>
      <c r="J6936" t="s">
        <v>2972</v>
      </c>
      <c r="K6936" t="s">
        <v>2051</v>
      </c>
      <c r="L6936" t="s">
        <v>2052</v>
      </c>
      <c r="M6936">
        <v>398</v>
      </c>
      <c r="N6936">
        <v>52.15</v>
      </c>
      <c r="O6936">
        <v>14423.13</v>
      </c>
      <c r="P6936">
        <v>0</v>
      </c>
      <c r="Q6936">
        <v>14423.13</v>
      </c>
      <c r="R6936">
        <v>2307.6999999999998</v>
      </c>
      <c r="S6936">
        <v>576.92999999999995</v>
      </c>
      <c r="T6936">
        <v>16153.9</v>
      </c>
      <c r="U6936" t="s">
        <v>2067</v>
      </c>
      <c r="V6936" t="s">
        <v>9409</v>
      </c>
      <c r="W6936" t="s">
        <v>423</v>
      </c>
    </row>
    <row r="6937" spans="1:23" hidden="1" x14ac:dyDescent="0.2">
      <c r="A6937">
        <v>2012</v>
      </c>
      <c r="B6937" t="s">
        <v>304</v>
      </c>
      <c r="C6937" s="733">
        <v>40941</v>
      </c>
      <c r="D69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37" t="s">
        <v>485</v>
      </c>
      <c r="F6937" t="s">
        <v>2048</v>
      </c>
      <c r="G6937" t="s">
        <v>6093</v>
      </c>
      <c r="H6937">
        <v>41322</v>
      </c>
      <c r="I6937" t="s">
        <v>423</v>
      </c>
      <c r="J6937" t="s">
        <v>2972</v>
      </c>
      <c r="K6937" t="s">
        <v>2051</v>
      </c>
      <c r="L6937" t="s">
        <v>2052</v>
      </c>
      <c r="M6937">
        <v>398</v>
      </c>
      <c r="N6937">
        <v>31.55</v>
      </c>
      <c r="O6937">
        <v>8725.7800000000007</v>
      </c>
      <c r="P6937">
        <v>0</v>
      </c>
      <c r="Q6937">
        <v>8725.7800000000007</v>
      </c>
      <c r="R6937">
        <v>1396.13</v>
      </c>
      <c r="S6937">
        <v>349.03</v>
      </c>
      <c r="T6937">
        <v>9772.8799999999992</v>
      </c>
      <c r="U6937" t="s">
        <v>2067</v>
      </c>
      <c r="V6937" t="s">
        <v>9408</v>
      </c>
      <c r="W6937" t="s">
        <v>423</v>
      </c>
    </row>
    <row r="6938" spans="1:23" hidden="1" x14ac:dyDescent="0.2">
      <c r="A6938">
        <v>2012</v>
      </c>
      <c r="B6938" t="s">
        <v>303</v>
      </c>
      <c r="C6938" s="733">
        <v>40938</v>
      </c>
      <c r="D69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38" t="s">
        <v>485</v>
      </c>
      <c r="F6938" t="s">
        <v>2065</v>
      </c>
      <c r="G6938" t="s">
        <v>6324</v>
      </c>
      <c r="H6938">
        <v>41034</v>
      </c>
      <c r="I6938" t="s">
        <v>423</v>
      </c>
      <c r="J6938" t="s">
        <v>2189</v>
      </c>
      <c r="K6938" t="s">
        <v>2183</v>
      </c>
      <c r="L6938" t="s">
        <v>2184</v>
      </c>
      <c r="M6938">
        <v>720</v>
      </c>
      <c r="N6938">
        <v>25.28</v>
      </c>
      <c r="O6938">
        <v>10245.959999999999</v>
      </c>
      <c r="P6938">
        <v>0</v>
      </c>
      <c r="Q6938">
        <v>10245.959999999999</v>
      </c>
      <c r="R6938">
        <v>1639.35</v>
      </c>
      <c r="S6938">
        <v>409.84</v>
      </c>
      <c r="T6938">
        <v>11475.47</v>
      </c>
      <c r="U6938" t="s">
        <v>2187</v>
      </c>
      <c r="V6938" t="s">
        <v>9408</v>
      </c>
      <c r="W6938" t="s">
        <v>423</v>
      </c>
    </row>
    <row r="6939" spans="1:23" hidden="1" x14ac:dyDescent="0.2">
      <c r="A6939">
        <v>2012</v>
      </c>
      <c r="B6939" t="s">
        <v>303</v>
      </c>
      <c r="C6939" s="733">
        <v>40928</v>
      </c>
      <c r="D69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39" t="s">
        <v>485</v>
      </c>
      <c r="F6939" t="s">
        <v>2065</v>
      </c>
      <c r="G6939" t="s">
        <v>6323</v>
      </c>
      <c r="H6939">
        <v>39794</v>
      </c>
      <c r="I6939" t="s">
        <v>423</v>
      </c>
      <c r="J6939" t="s">
        <v>2189</v>
      </c>
      <c r="K6939" t="s">
        <v>2183</v>
      </c>
      <c r="L6939" t="s">
        <v>2184</v>
      </c>
      <c r="M6939">
        <v>720</v>
      </c>
      <c r="N6939">
        <v>26.3</v>
      </c>
      <c r="O6939">
        <v>10659.36</v>
      </c>
      <c r="P6939">
        <v>0</v>
      </c>
      <c r="Q6939">
        <v>10659.36</v>
      </c>
      <c r="R6939">
        <v>1705.5</v>
      </c>
      <c r="S6939">
        <v>426.37</v>
      </c>
      <c r="T6939">
        <v>11938.49</v>
      </c>
      <c r="U6939" t="s">
        <v>7554</v>
      </c>
      <c r="V6939" t="s">
        <v>9408</v>
      </c>
      <c r="W6939" t="s">
        <v>423</v>
      </c>
    </row>
    <row r="6940" spans="1:23" hidden="1" x14ac:dyDescent="0.2">
      <c r="A6940">
        <v>2012</v>
      </c>
      <c r="B6940" t="s">
        <v>303</v>
      </c>
      <c r="C6940" s="733">
        <v>40925</v>
      </c>
      <c r="D69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40" t="s">
        <v>485</v>
      </c>
      <c r="F6940" t="s">
        <v>2065</v>
      </c>
      <c r="G6940" t="s">
        <v>6325</v>
      </c>
      <c r="H6940">
        <v>40325</v>
      </c>
      <c r="I6940" t="s">
        <v>423</v>
      </c>
      <c r="J6940" t="s">
        <v>2189</v>
      </c>
      <c r="K6940" t="s">
        <v>2183</v>
      </c>
      <c r="L6940" t="s">
        <v>2184</v>
      </c>
      <c r="M6940">
        <v>720</v>
      </c>
      <c r="N6940">
        <v>26.08</v>
      </c>
      <c r="O6940">
        <v>10570.2</v>
      </c>
      <c r="P6940">
        <v>0</v>
      </c>
      <c r="Q6940">
        <v>10570.2</v>
      </c>
      <c r="R6940">
        <v>1691.23</v>
      </c>
      <c r="S6940">
        <v>422.81</v>
      </c>
      <c r="T6940">
        <v>11838.62</v>
      </c>
      <c r="U6940" t="s">
        <v>7554</v>
      </c>
      <c r="V6940" t="s">
        <v>9408</v>
      </c>
      <c r="W6940" t="s">
        <v>423</v>
      </c>
    </row>
    <row r="6941" spans="1:23" hidden="1" x14ac:dyDescent="0.2">
      <c r="A6941">
        <v>2012</v>
      </c>
      <c r="B6941" t="s">
        <v>303</v>
      </c>
      <c r="C6941" s="733">
        <v>40919</v>
      </c>
      <c r="D69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41" t="s">
        <v>505</v>
      </c>
      <c r="F6941" t="s">
        <v>1915</v>
      </c>
      <c r="G6941" t="s">
        <v>6642</v>
      </c>
      <c r="H6941">
        <v>21918</v>
      </c>
      <c r="I6941" t="s">
        <v>423</v>
      </c>
      <c r="J6941" t="s">
        <v>4163</v>
      </c>
      <c r="K6941" t="s">
        <v>1918</v>
      </c>
      <c r="L6941" t="s">
        <v>1919</v>
      </c>
      <c r="M6941">
        <v>250</v>
      </c>
      <c r="N6941">
        <v>26.08</v>
      </c>
      <c r="O6941">
        <v>5863.83</v>
      </c>
      <c r="P6941">
        <v>0</v>
      </c>
      <c r="Q6941">
        <v>5863.83</v>
      </c>
      <c r="R6941">
        <v>938.21</v>
      </c>
      <c r="S6941">
        <v>234.55</v>
      </c>
      <c r="T6941">
        <v>6567.49</v>
      </c>
      <c r="U6941" t="s">
        <v>1931</v>
      </c>
      <c r="V6941" t="s">
        <v>9408</v>
      </c>
      <c r="W6941" t="s">
        <v>423</v>
      </c>
    </row>
    <row r="6942" spans="1:23" hidden="1" x14ac:dyDescent="0.2">
      <c r="A6942">
        <v>2012</v>
      </c>
      <c r="B6942" t="s">
        <v>304</v>
      </c>
      <c r="C6942" s="733">
        <v>40946</v>
      </c>
      <c r="D69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42" t="s">
        <v>505</v>
      </c>
      <c r="F6942" t="s">
        <v>1915</v>
      </c>
      <c r="G6942" t="s">
        <v>2778</v>
      </c>
      <c r="H6942">
        <v>22509</v>
      </c>
      <c r="I6942" t="s">
        <v>423</v>
      </c>
      <c r="J6942" t="s">
        <v>1947</v>
      </c>
      <c r="K6942" t="s">
        <v>1918</v>
      </c>
      <c r="L6942" t="s">
        <v>1919</v>
      </c>
      <c r="M6942">
        <v>973</v>
      </c>
      <c r="N6942">
        <v>49.91</v>
      </c>
      <c r="O6942">
        <v>29145.439999999999</v>
      </c>
      <c r="P6942">
        <v>0</v>
      </c>
      <c r="Q6942">
        <v>29145.439999999999</v>
      </c>
      <c r="R6942">
        <v>4663.2700000000004</v>
      </c>
      <c r="S6942">
        <v>1165.82</v>
      </c>
      <c r="T6942">
        <v>32642.89</v>
      </c>
      <c r="U6942" t="s">
        <v>1924</v>
      </c>
      <c r="V6942" t="s">
        <v>9409</v>
      </c>
      <c r="W6942" t="s">
        <v>423</v>
      </c>
    </row>
    <row r="6943" spans="1:23" hidden="1" x14ac:dyDescent="0.2">
      <c r="A6943">
        <v>2012</v>
      </c>
      <c r="B6943" t="s">
        <v>304</v>
      </c>
      <c r="C6943" s="733">
        <v>40954</v>
      </c>
      <c r="D69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43" t="s">
        <v>505</v>
      </c>
      <c r="F6943" t="s">
        <v>1915</v>
      </c>
      <c r="G6943" t="s">
        <v>7463</v>
      </c>
      <c r="H6943">
        <v>22152</v>
      </c>
      <c r="I6943" t="s">
        <v>423</v>
      </c>
      <c r="J6943" t="s">
        <v>1947</v>
      </c>
      <c r="K6943" t="s">
        <v>1918</v>
      </c>
      <c r="L6943" t="s">
        <v>1919</v>
      </c>
      <c r="M6943">
        <v>973</v>
      </c>
      <c r="N6943">
        <v>28.08</v>
      </c>
      <c r="O6943">
        <v>16157.51</v>
      </c>
      <c r="P6943">
        <v>0</v>
      </c>
      <c r="Q6943">
        <v>16157.51</v>
      </c>
      <c r="R6943">
        <v>2585.1999999999998</v>
      </c>
      <c r="S6943">
        <v>646.29999999999995</v>
      </c>
      <c r="T6943">
        <v>18096.41</v>
      </c>
      <c r="U6943" t="s">
        <v>7529</v>
      </c>
      <c r="V6943" t="s">
        <v>9408</v>
      </c>
      <c r="W6943" t="s">
        <v>423</v>
      </c>
    </row>
    <row r="6944" spans="1:23" hidden="1" x14ac:dyDescent="0.2">
      <c r="A6944">
        <v>2012</v>
      </c>
      <c r="B6944" t="s">
        <v>304</v>
      </c>
      <c r="C6944" s="733">
        <v>40940</v>
      </c>
      <c r="D69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44" t="s">
        <v>485</v>
      </c>
      <c r="F6944" t="s">
        <v>2065</v>
      </c>
      <c r="G6944" t="s">
        <v>6321</v>
      </c>
      <c r="H6944">
        <v>41154</v>
      </c>
      <c r="I6944" t="s">
        <v>423</v>
      </c>
      <c r="J6944" t="s">
        <v>3965</v>
      </c>
      <c r="K6944" t="s">
        <v>2183</v>
      </c>
      <c r="L6944" t="s">
        <v>2184</v>
      </c>
      <c r="M6944">
        <v>696</v>
      </c>
      <c r="N6944">
        <v>24.9</v>
      </c>
      <c r="O6944">
        <v>10091.719999999999</v>
      </c>
      <c r="P6944">
        <v>0</v>
      </c>
      <c r="Q6944">
        <v>10091.719999999999</v>
      </c>
      <c r="R6944">
        <v>1614.68</v>
      </c>
      <c r="S6944">
        <v>403.67</v>
      </c>
      <c r="T6944">
        <v>11302.73</v>
      </c>
      <c r="U6944" t="s">
        <v>9411</v>
      </c>
      <c r="V6944" t="s">
        <v>9408</v>
      </c>
      <c r="W6944" t="s">
        <v>423</v>
      </c>
    </row>
    <row r="6945" spans="1:23" hidden="1" x14ac:dyDescent="0.2">
      <c r="A6945">
        <v>2012</v>
      </c>
      <c r="B6945" t="s">
        <v>303</v>
      </c>
      <c r="C6945" s="733">
        <v>40938</v>
      </c>
      <c r="D69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45" t="s">
        <v>485</v>
      </c>
      <c r="F6945" t="s">
        <v>2065</v>
      </c>
      <c r="G6945" t="s">
        <v>6322</v>
      </c>
      <c r="H6945">
        <v>41036</v>
      </c>
      <c r="I6945" t="s">
        <v>423</v>
      </c>
      <c r="J6945" t="s">
        <v>3965</v>
      </c>
      <c r="K6945" t="s">
        <v>2183</v>
      </c>
      <c r="L6945" t="s">
        <v>2184</v>
      </c>
      <c r="M6945">
        <v>696</v>
      </c>
      <c r="N6945">
        <v>24.9</v>
      </c>
      <c r="O6945">
        <v>10091.719999999999</v>
      </c>
      <c r="P6945">
        <v>0</v>
      </c>
      <c r="Q6945">
        <v>10091.719999999999</v>
      </c>
      <c r="R6945">
        <v>1614.68</v>
      </c>
      <c r="S6945">
        <v>403.67</v>
      </c>
      <c r="T6945">
        <v>11302.73</v>
      </c>
      <c r="U6945" t="s">
        <v>2187</v>
      </c>
      <c r="V6945" t="s">
        <v>9408</v>
      </c>
      <c r="W6945" t="s">
        <v>423</v>
      </c>
    </row>
    <row r="6946" spans="1:23" hidden="1" x14ac:dyDescent="0.2">
      <c r="A6946">
        <v>2012</v>
      </c>
      <c r="B6946" t="s">
        <v>303</v>
      </c>
      <c r="C6946" s="733">
        <v>40932</v>
      </c>
      <c r="D69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46" t="s">
        <v>505</v>
      </c>
      <c r="F6946" t="s">
        <v>1915</v>
      </c>
      <c r="G6946" t="s">
        <v>6640</v>
      </c>
      <c r="H6946">
        <v>22158</v>
      </c>
      <c r="I6946" t="s">
        <v>423</v>
      </c>
      <c r="J6946" t="s">
        <v>1947</v>
      </c>
      <c r="K6946" t="s">
        <v>1918</v>
      </c>
      <c r="L6946" t="s">
        <v>1919</v>
      </c>
      <c r="M6946">
        <v>973</v>
      </c>
      <c r="N6946">
        <v>49.58</v>
      </c>
      <c r="O6946">
        <v>28952.74</v>
      </c>
      <c r="P6946">
        <v>0</v>
      </c>
      <c r="Q6946">
        <v>28952.74</v>
      </c>
      <c r="R6946">
        <v>4632.4399999999996</v>
      </c>
      <c r="S6946">
        <v>1158.1099999999999</v>
      </c>
      <c r="T6946">
        <v>32427.07</v>
      </c>
      <c r="U6946" t="s">
        <v>1936</v>
      </c>
      <c r="V6946" t="s">
        <v>9409</v>
      </c>
      <c r="W6946" t="s">
        <v>423</v>
      </c>
    </row>
    <row r="6947" spans="1:23" hidden="1" x14ac:dyDescent="0.2">
      <c r="A6947">
        <v>2012</v>
      </c>
      <c r="B6947" t="s">
        <v>303</v>
      </c>
      <c r="C6947" s="733">
        <v>40938</v>
      </c>
      <c r="D69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47" t="s">
        <v>505</v>
      </c>
      <c r="F6947" t="s">
        <v>1915</v>
      </c>
      <c r="G6947" t="s">
        <v>2776</v>
      </c>
      <c r="H6947">
        <v>22278</v>
      </c>
      <c r="I6947" t="s">
        <v>423</v>
      </c>
      <c r="J6947" t="s">
        <v>1947</v>
      </c>
      <c r="K6947" t="s">
        <v>1918</v>
      </c>
      <c r="L6947" t="s">
        <v>1919</v>
      </c>
      <c r="M6947">
        <v>973</v>
      </c>
      <c r="N6947">
        <v>50.33</v>
      </c>
      <c r="O6947">
        <v>29390.71</v>
      </c>
      <c r="P6947">
        <v>0</v>
      </c>
      <c r="Q6947">
        <v>29390.71</v>
      </c>
      <c r="R6947">
        <v>4702.51</v>
      </c>
      <c r="S6947">
        <v>1175.6300000000001</v>
      </c>
      <c r="T6947">
        <v>32917.589999999997</v>
      </c>
      <c r="U6947" t="s">
        <v>1936</v>
      </c>
      <c r="V6947" t="s">
        <v>9409</v>
      </c>
      <c r="W6947" t="s">
        <v>423</v>
      </c>
    </row>
    <row r="6948" spans="1:23" hidden="1" x14ac:dyDescent="0.2">
      <c r="A6948">
        <v>2012</v>
      </c>
      <c r="B6948" t="s">
        <v>305</v>
      </c>
      <c r="C6948" s="733">
        <v>40969</v>
      </c>
      <c r="D6948" s="733" t="str">
        <f>CHOOSE(MONTH(Tabla_sqldatos_bonampakdb_Bon_v_ingresos2012[[#This Row],[fecha_guia]]),"Enero","Febrero","Marzo","Abril","Mayo","Junio","Julio","Agosto","Septiembre","Octubre","Noviembre","Diciembre")</f>
        <v>Marzo</v>
      </c>
      <c r="E6948" t="s">
        <v>505</v>
      </c>
      <c r="F6948" t="s">
        <v>1915</v>
      </c>
      <c r="G6948" t="s">
        <v>9543</v>
      </c>
      <c r="H6948">
        <v>23092</v>
      </c>
      <c r="I6948" t="s">
        <v>1979</v>
      </c>
      <c r="J6948" t="s">
        <v>1980</v>
      </c>
      <c r="K6948" t="s">
        <v>1918</v>
      </c>
      <c r="L6948" t="s">
        <v>1919</v>
      </c>
      <c r="M6948">
        <v>732</v>
      </c>
      <c r="N6948">
        <v>50</v>
      </c>
      <c r="O6948">
        <v>21930</v>
      </c>
      <c r="P6948">
        <v>0</v>
      </c>
      <c r="Q6948">
        <v>21930</v>
      </c>
      <c r="R6948">
        <v>3508.8</v>
      </c>
      <c r="S6948">
        <v>877.2</v>
      </c>
      <c r="T6948">
        <v>24561.599999999999</v>
      </c>
      <c r="V6948" t="s">
        <v>9409</v>
      </c>
      <c r="W6948" t="s">
        <v>1979</v>
      </c>
    </row>
    <row r="6949" spans="1:23" hidden="1" x14ac:dyDescent="0.2">
      <c r="A6949">
        <v>2012</v>
      </c>
      <c r="B6949" t="s">
        <v>304</v>
      </c>
      <c r="C6949" s="733">
        <v>40946</v>
      </c>
      <c r="D69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49" t="s">
        <v>505</v>
      </c>
      <c r="F6949" t="s">
        <v>1915</v>
      </c>
      <c r="G6949" t="s">
        <v>6189</v>
      </c>
      <c r="H6949">
        <v>22501</v>
      </c>
      <c r="I6949" t="s">
        <v>1979</v>
      </c>
      <c r="J6949" t="s">
        <v>1980</v>
      </c>
      <c r="K6949" t="s">
        <v>1918</v>
      </c>
      <c r="L6949" t="s">
        <v>1919</v>
      </c>
      <c r="M6949">
        <v>732</v>
      </c>
      <c r="N6949">
        <v>49.61</v>
      </c>
      <c r="O6949">
        <v>21758.95</v>
      </c>
      <c r="P6949">
        <v>0</v>
      </c>
      <c r="Q6949">
        <v>21758.95</v>
      </c>
      <c r="R6949">
        <v>3481.43</v>
      </c>
      <c r="S6949">
        <v>870.36</v>
      </c>
      <c r="T6949">
        <v>24370.02</v>
      </c>
      <c r="U6949" t="s">
        <v>1924</v>
      </c>
      <c r="V6949" t="s">
        <v>9409</v>
      </c>
      <c r="W6949" t="s">
        <v>1979</v>
      </c>
    </row>
    <row r="6950" spans="1:23" hidden="1" x14ac:dyDescent="0.2">
      <c r="A6950">
        <v>2012</v>
      </c>
      <c r="B6950" t="s">
        <v>303</v>
      </c>
      <c r="C6950" s="733">
        <v>40927</v>
      </c>
      <c r="D69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50" t="s">
        <v>478</v>
      </c>
      <c r="F6950" t="s">
        <v>2136</v>
      </c>
      <c r="G6950" t="s">
        <v>5862</v>
      </c>
      <c r="H6950">
        <v>34712</v>
      </c>
      <c r="I6950" t="s">
        <v>423</v>
      </c>
      <c r="J6950" t="s">
        <v>3636</v>
      </c>
      <c r="K6950" t="s">
        <v>425</v>
      </c>
      <c r="L6950" t="s">
        <v>2145</v>
      </c>
      <c r="M6950">
        <v>244</v>
      </c>
      <c r="N6950">
        <v>37.72</v>
      </c>
      <c r="O6950">
        <v>6299.99</v>
      </c>
      <c r="P6950">
        <v>0</v>
      </c>
      <c r="Q6950">
        <v>6299.99</v>
      </c>
      <c r="R6950">
        <v>1008</v>
      </c>
      <c r="S6950">
        <v>252</v>
      </c>
      <c r="T6950">
        <v>7055.99</v>
      </c>
      <c r="U6950" t="s">
        <v>2146</v>
      </c>
      <c r="V6950" t="s">
        <v>9408</v>
      </c>
      <c r="W6950" t="s">
        <v>423</v>
      </c>
    </row>
    <row r="6951" spans="1:23" hidden="1" x14ac:dyDescent="0.2">
      <c r="A6951">
        <v>2012</v>
      </c>
      <c r="B6951" t="s">
        <v>304</v>
      </c>
      <c r="C6951" s="733">
        <v>40952</v>
      </c>
      <c r="D69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51" t="s">
        <v>505</v>
      </c>
      <c r="F6951" t="s">
        <v>1915</v>
      </c>
      <c r="G6951" t="s">
        <v>6190</v>
      </c>
      <c r="H6951">
        <v>22625</v>
      </c>
      <c r="I6951" t="s">
        <v>1979</v>
      </c>
      <c r="J6951" t="s">
        <v>1980</v>
      </c>
      <c r="K6951" t="s">
        <v>1918</v>
      </c>
      <c r="L6951" t="s">
        <v>1919</v>
      </c>
      <c r="M6951">
        <v>732</v>
      </c>
      <c r="N6951">
        <v>49.65</v>
      </c>
      <c r="O6951">
        <v>21776.49</v>
      </c>
      <c r="P6951">
        <v>0</v>
      </c>
      <c r="Q6951">
        <v>21776.49</v>
      </c>
      <c r="R6951">
        <v>3484.24</v>
      </c>
      <c r="S6951">
        <v>871.06</v>
      </c>
      <c r="T6951">
        <v>24389.67</v>
      </c>
      <c r="U6951" t="s">
        <v>7522</v>
      </c>
      <c r="V6951" t="s">
        <v>9409</v>
      </c>
      <c r="W6951" t="s">
        <v>1979</v>
      </c>
    </row>
    <row r="6952" spans="1:23" hidden="1" x14ac:dyDescent="0.2">
      <c r="A6952">
        <v>2012</v>
      </c>
      <c r="B6952" t="s">
        <v>305</v>
      </c>
      <c r="C6952" s="733">
        <v>40969</v>
      </c>
      <c r="D6952" s="733" t="str">
        <f>CHOOSE(MONTH(Tabla_sqldatos_bonampakdb_Bon_v_ingresos2012[[#This Row],[fecha_guia]]),"Enero","Febrero","Marzo","Abril","Mayo","Junio","Julio","Agosto","Septiembre","Octubre","Noviembre","Diciembre")</f>
        <v>Marzo</v>
      </c>
      <c r="E6952" t="s">
        <v>505</v>
      </c>
      <c r="F6952" t="s">
        <v>1915</v>
      </c>
      <c r="G6952" t="s">
        <v>9552</v>
      </c>
      <c r="H6952">
        <v>23029</v>
      </c>
      <c r="I6952" t="s">
        <v>423</v>
      </c>
      <c r="J6952" t="s">
        <v>1945</v>
      </c>
      <c r="K6952" t="s">
        <v>1918</v>
      </c>
      <c r="L6952" t="s">
        <v>1919</v>
      </c>
      <c r="M6952">
        <v>949</v>
      </c>
      <c r="N6952">
        <v>53.67</v>
      </c>
      <c r="O6952">
        <v>30882.25</v>
      </c>
      <c r="P6952">
        <v>0</v>
      </c>
      <c r="Q6952">
        <v>30882.25</v>
      </c>
      <c r="R6952">
        <v>4941.16</v>
      </c>
      <c r="S6952">
        <v>1235.29</v>
      </c>
      <c r="T6952">
        <v>34588.120000000003</v>
      </c>
      <c r="V6952" t="s">
        <v>9409</v>
      </c>
      <c r="W6952" t="s">
        <v>423</v>
      </c>
    </row>
    <row r="6953" spans="1:23" hidden="1" x14ac:dyDescent="0.2">
      <c r="A6953">
        <v>2012</v>
      </c>
      <c r="B6953" t="s">
        <v>304</v>
      </c>
      <c r="C6953" s="733">
        <v>40967.415543981479</v>
      </c>
      <c r="D69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53" t="s">
        <v>478</v>
      </c>
      <c r="F6953" t="s">
        <v>2136</v>
      </c>
      <c r="G6953" t="s">
        <v>9152</v>
      </c>
      <c r="H6953">
        <v>36133</v>
      </c>
      <c r="I6953" t="s">
        <v>423</v>
      </c>
      <c r="J6953" t="s">
        <v>2644</v>
      </c>
      <c r="K6953" t="s">
        <v>2625</v>
      </c>
      <c r="L6953" t="s">
        <v>2626</v>
      </c>
      <c r="M6953">
        <v>52</v>
      </c>
      <c r="N6953">
        <v>26.56</v>
      </c>
      <c r="O6953">
        <v>3126.91</v>
      </c>
      <c r="P6953">
        <v>0</v>
      </c>
      <c r="Q6953">
        <v>3126.91</v>
      </c>
      <c r="R6953">
        <v>500.31</v>
      </c>
      <c r="S6953">
        <v>125.08</v>
      </c>
      <c r="T6953">
        <v>3502.14</v>
      </c>
      <c r="U6953" t="s">
        <v>9428</v>
      </c>
      <c r="V6953" t="s">
        <v>9408</v>
      </c>
      <c r="W6953" t="s">
        <v>423</v>
      </c>
    </row>
    <row r="6954" spans="1:23" hidden="1" x14ac:dyDescent="0.2">
      <c r="A6954">
        <v>2012</v>
      </c>
      <c r="B6954" t="s">
        <v>303</v>
      </c>
      <c r="C6954" s="733">
        <v>40926</v>
      </c>
      <c r="D69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54" t="s">
        <v>478</v>
      </c>
      <c r="F6954" t="s">
        <v>2622</v>
      </c>
      <c r="G6954" t="s">
        <v>5114</v>
      </c>
      <c r="H6954">
        <v>34593</v>
      </c>
      <c r="I6954" t="s">
        <v>423</v>
      </c>
      <c r="J6954" t="s">
        <v>2644</v>
      </c>
      <c r="K6954" t="s">
        <v>2625</v>
      </c>
      <c r="L6954" t="s">
        <v>2145</v>
      </c>
      <c r="M6954">
        <v>52</v>
      </c>
      <c r="N6954">
        <v>25.91</v>
      </c>
      <c r="O6954">
        <v>3050.38</v>
      </c>
      <c r="P6954">
        <v>0</v>
      </c>
      <c r="Q6954">
        <v>3050.38</v>
      </c>
      <c r="R6954">
        <v>488.06</v>
      </c>
      <c r="S6954">
        <v>122.02</v>
      </c>
      <c r="T6954">
        <v>3416.42</v>
      </c>
      <c r="U6954" t="s">
        <v>2627</v>
      </c>
      <c r="V6954" t="s">
        <v>9408</v>
      </c>
      <c r="W6954" t="s">
        <v>423</v>
      </c>
    </row>
    <row r="6955" spans="1:23" hidden="1" x14ac:dyDescent="0.2">
      <c r="A6955">
        <v>2012</v>
      </c>
      <c r="B6955" t="s">
        <v>305</v>
      </c>
      <c r="C6955" s="733">
        <v>40969.657534722224</v>
      </c>
      <c r="D6955" s="733" t="str">
        <f>CHOOSE(MONTH(Tabla_sqldatos_bonampakdb_Bon_v_ingresos2012[[#This Row],[fecha_guia]]),"Enero","Febrero","Marzo","Abril","Mayo","Junio","Julio","Agosto","Septiembre","Octubre","Noviembre","Diciembre")</f>
        <v>Marzo</v>
      </c>
      <c r="E6955" t="s">
        <v>478</v>
      </c>
      <c r="F6955" t="s">
        <v>2622</v>
      </c>
      <c r="G6955" t="s">
        <v>9537</v>
      </c>
      <c r="H6955">
        <v>36215</v>
      </c>
      <c r="I6955" t="s">
        <v>423</v>
      </c>
      <c r="J6955" t="s">
        <v>2644</v>
      </c>
      <c r="K6955" t="s">
        <v>2625</v>
      </c>
      <c r="L6955" t="s">
        <v>2626</v>
      </c>
      <c r="M6955">
        <v>52</v>
      </c>
      <c r="N6955">
        <v>22.18</v>
      </c>
      <c r="O6955">
        <v>2611.25</v>
      </c>
      <c r="P6955">
        <v>0</v>
      </c>
      <c r="Q6955">
        <v>2611.25</v>
      </c>
      <c r="R6955">
        <v>417.8</v>
      </c>
      <c r="S6955">
        <v>104.45</v>
      </c>
      <c r="T6955">
        <v>2924.6</v>
      </c>
      <c r="V6955" t="s">
        <v>9408</v>
      </c>
      <c r="W6955" t="s">
        <v>423</v>
      </c>
    </row>
    <row r="6956" spans="1:23" hidden="1" x14ac:dyDescent="0.2">
      <c r="A6956">
        <v>2012</v>
      </c>
      <c r="B6956" t="s">
        <v>303</v>
      </c>
      <c r="C6956" s="733">
        <v>40910</v>
      </c>
      <c r="D69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56" t="s">
        <v>478</v>
      </c>
      <c r="F6956" t="s">
        <v>2622</v>
      </c>
      <c r="G6956" t="s">
        <v>5457</v>
      </c>
      <c r="H6956">
        <v>34187</v>
      </c>
      <c r="I6956" t="s">
        <v>423</v>
      </c>
      <c r="J6956" t="s">
        <v>2644</v>
      </c>
      <c r="K6956" t="s">
        <v>2625</v>
      </c>
      <c r="L6956" t="s">
        <v>2626</v>
      </c>
      <c r="M6956">
        <v>52</v>
      </c>
      <c r="N6956">
        <v>24.02</v>
      </c>
      <c r="O6956">
        <v>1400.85</v>
      </c>
      <c r="P6956">
        <v>1130.079704</v>
      </c>
      <c r="Q6956">
        <v>2530.9297040000001</v>
      </c>
      <c r="R6956">
        <v>404.94875300000001</v>
      </c>
      <c r="S6956">
        <v>101.237188</v>
      </c>
      <c r="T6956">
        <v>2834.6412690000002</v>
      </c>
      <c r="U6956" t="s">
        <v>2660</v>
      </c>
      <c r="V6956" t="s">
        <v>9408</v>
      </c>
      <c r="W6956" t="s">
        <v>423</v>
      </c>
    </row>
    <row r="6957" spans="1:23" hidden="1" x14ac:dyDescent="0.2">
      <c r="A6957">
        <v>2012</v>
      </c>
      <c r="B6957" t="s">
        <v>303</v>
      </c>
      <c r="C6957" s="733">
        <v>40928.602465277778</v>
      </c>
      <c r="D69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57" t="s">
        <v>478</v>
      </c>
      <c r="F6957" t="s">
        <v>2622</v>
      </c>
      <c r="G6957" t="s">
        <v>5458</v>
      </c>
      <c r="H6957">
        <v>34767</v>
      </c>
      <c r="I6957" t="s">
        <v>423</v>
      </c>
      <c r="J6957" t="s">
        <v>2644</v>
      </c>
      <c r="K6957" t="s">
        <v>2625</v>
      </c>
      <c r="L6957" t="s">
        <v>2626</v>
      </c>
      <c r="M6957">
        <v>52</v>
      </c>
      <c r="N6957">
        <v>23.57</v>
      </c>
      <c r="O6957">
        <v>2774.9</v>
      </c>
      <c r="P6957">
        <v>0</v>
      </c>
      <c r="Q6957">
        <v>2774.9</v>
      </c>
      <c r="R6957">
        <v>443.98</v>
      </c>
      <c r="S6957">
        <v>111</v>
      </c>
      <c r="T6957">
        <v>3107.88</v>
      </c>
      <c r="U6957" t="s">
        <v>2635</v>
      </c>
      <c r="V6957" t="s">
        <v>9408</v>
      </c>
      <c r="W6957" t="s">
        <v>423</v>
      </c>
    </row>
    <row r="6958" spans="1:23" hidden="1" x14ac:dyDescent="0.2">
      <c r="A6958">
        <v>2012</v>
      </c>
      <c r="B6958" t="s">
        <v>303</v>
      </c>
      <c r="C6958" s="733">
        <v>40939</v>
      </c>
      <c r="D69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58" t="s">
        <v>478</v>
      </c>
      <c r="F6958" t="s">
        <v>2136</v>
      </c>
      <c r="G6958" t="s">
        <v>6180</v>
      </c>
      <c r="H6958">
        <v>34808</v>
      </c>
      <c r="I6958" t="s">
        <v>423</v>
      </c>
      <c r="J6958" t="s">
        <v>4632</v>
      </c>
      <c r="K6958" t="s">
        <v>425</v>
      </c>
      <c r="L6958" t="s">
        <v>2145</v>
      </c>
      <c r="M6958">
        <v>1395</v>
      </c>
      <c r="N6958">
        <v>50.06</v>
      </c>
      <c r="O6958">
        <v>45393.91</v>
      </c>
      <c r="P6958">
        <v>0</v>
      </c>
      <c r="Q6958">
        <v>45393.91</v>
      </c>
      <c r="R6958">
        <v>7263.03</v>
      </c>
      <c r="S6958">
        <v>1815.76</v>
      </c>
      <c r="T6958">
        <v>50841.18</v>
      </c>
      <c r="U6958" t="s">
        <v>2914</v>
      </c>
      <c r="V6958" t="s">
        <v>9409</v>
      </c>
      <c r="W6958" t="s">
        <v>423</v>
      </c>
    </row>
    <row r="6959" spans="1:23" hidden="1" x14ac:dyDescent="0.2">
      <c r="A6959">
        <v>2012</v>
      </c>
      <c r="B6959" t="s">
        <v>304</v>
      </c>
      <c r="C6959" s="733">
        <v>40952</v>
      </c>
      <c r="D69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59" t="s">
        <v>485</v>
      </c>
      <c r="F6959" t="s">
        <v>2048</v>
      </c>
      <c r="G6959" t="s">
        <v>2419</v>
      </c>
      <c r="H6959">
        <v>41796</v>
      </c>
      <c r="I6959" t="s">
        <v>423</v>
      </c>
      <c r="J6959" t="s">
        <v>2274</v>
      </c>
      <c r="K6959" t="s">
        <v>2051</v>
      </c>
      <c r="L6959" t="s">
        <v>2052</v>
      </c>
      <c r="M6959">
        <v>573</v>
      </c>
      <c r="N6959">
        <v>24.75</v>
      </c>
      <c r="O6959">
        <v>8031.38</v>
      </c>
      <c r="P6959">
        <v>0</v>
      </c>
      <c r="Q6959">
        <v>8031.38</v>
      </c>
      <c r="R6959">
        <v>1285.02</v>
      </c>
      <c r="S6959">
        <v>321.26</v>
      </c>
      <c r="T6959">
        <v>8995.14</v>
      </c>
      <c r="U6959" t="s">
        <v>7568</v>
      </c>
      <c r="V6959" t="s">
        <v>9408</v>
      </c>
      <c r="W6959" t="s">
        <v>423</v>
      </c>
    </row>
    <row r="6960" spans="1:23" hidden="1" x14ac:dyDescent="0.2">
      <c r="A6960">
        <v>2012</v>
      </c>
      <c r="B6960" t="s">
        <v>303</v>
      </c>
      <c r="C6960" s="733">
        <v>40924</v>
      </c>
      <c r="D69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60" t="s">
        <v>478</v>
      </c>
      <c r="F6960" t="s">
        <v>2136</v>
      </c>
      <c r="G6960" t="s">
        <v>5863</v>
      </c>
      <c r="H6960">
        <v>34419</v>
      </c>
      <c r="I6960" t="s">
        <v>423</v>
      </c>
      <c r="J6960" t="s">
        <v>3638</v>
      </c>
      <c r="K6960" t="s">
        <v>425</v>
      </c>
      <c r="L6960" t="s">
        <v>2145</v>
      </c>
      <c r="M6960">
        <v>1416</v>
      </c>
      <c r="N6960">
        <v>42.66</v>
      </c>
      <c r="O6960">
        <v>38683.660000000003</v>
      </c>
      <c r="P6960">
        <v>0</v>
      </c>
      <c r="Q6960">
        <v>38683.660000000003</v>
      </c>
      <c r="R6960">
        <v>6189.39</v>
      </c>
      <c r="S6960">
        <v>1547.35</v>
      </c>
      <c r="T6960">
        <v>43325.7</v>
      </c>
      <c r="U6960" t="s">
        <v>2146</v>
      </c>
      <c r="V6960" t="s">
        <v>9409</v>
      </c>
      <c r="W6960" t="s">
        <v>423</v>
      </c>
    </row>
    <row r="6961" spans="1:23" hidden="1" x14ac:dyDescent="0.2">
      <c r="A6961">
        <v>2012</v>
      </c>
      <c r="B6961" t="s">
        <v>303</v>
      </c>
      <c r="C6961" s="733">
        <v>40921</v>
      </c>
      <c r="D69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61" t="s">
        <v>478</v>
      </c>
      <c r="F6961" t="s">
        <v>2136</v>
      </c>
      <c r="G6961" t="s">
        <v>6485</v>
      </c>
      <c r="H6961">
        <v>34412</v>
      </c>
      <c r="I6961" t="s">
        <v>423</v>
      </c>
      <c r="J6961" t="s">
        <v>3638</v>
      </c>
      <c r="K6961" t="s">
        <v>425</v>
      </c>
      <c r="L6961" t="s">
        <v>2145</v>
      </c>
      <c r="M6961">
        <v>1416</v>
      </c>
      <c r="N6961">
        <v>52.65</v>
      </c>
      <c r="O6961">
        <v>47742.49</v>
      </c>
      <c r="P6961">
        <v>0</v>
      </c>
      <c r="Q6961">
        <v>47742.49</v>
      </c>
      <c r="R6961">
        <v>7638.8</v>
      </c>
      <c r="S6961">
        <v>1909.7</v>
      </c>
      <c r="T6961">
        <v>53471.59</v>
      </c>
      <c r="U6961" t="s">
        <v>2350</v>
      </c>
      <c r="V6961" t="s">
        <v>9409</v>
      </c>
      <c r="W6961" t="s">
        <v>423</v>
      </c>
    </row>
    <row r="6962" spans="1:23" hidden="1" x14ac:dyDescent="0.2">
      <c r="A6962">
        <v>2012</v>
      </c>
      <c r="B6962" t="s">
        <v>303</v>
      </c>
      <c r="C6962" s="733">
        <v>40917</v>
      </c>
      <c r="D69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62" t="s">
        <v>478</v>
      </c>
      <c r="F6962" t="s">
        <v>2136</v>
      </c>
      <c r="G6962" t="s">
        <v>6179</v>
      </c>
      <c r="H6962">
        <v>34302</v>
      </c>
      <c r="I6962" t="s">
        <v>423</v>
      </c>
      <c r="J6962" t="s">
        <v>4291</v>
      </c>
      <c r="K6962" t="s">
        <v>425</v>
      </c>
      <c r="L6962" t="s">
        <v>2145</v>
      </c>
      <c r="M6962">
        <v>163</v>
      </c>
      <c r="N6962">
        <v>25.2</v>
      </c>
      <c r="O6962">
        <v>4478.29</v>
      </c>
      <c r="P6962">
        <v>0</v>
      </c>
      <c r="Q6962">
        <v>4478.29</v>
      </c>
      <c r="R6962">
        <v>716.53</v>
      </c>
      <c r="S6962">
        <v>179.13</v>
      </c>
      <c r="T6962">
        <v>5015.6899999999996</v>
      </c>
      <c r="U6962" t="s">
        <v>2927</v>
      </c>
      <c r="V6962" t="s">
        <v>9408</v>
      </c>
      <c r="W6962" t="s">
        <v>423</v>
      </c>
    </row>
    <row r="6963" spans="1:23" hidden="1" x14ac:dyDescent="0.2">
      <c r="A6963">
        <v>2012</v>
      </c>
      <c r="B6963" t="s">
        <v>304</v>
      </c>
      <c r="C6963" s="733">
        <v>40963</v>
      </c>
      <c r="D69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63" t="s">
        <v>478</v>
      </c>
      <c r="F6963" t="s">
        <v>2622</v>
      </c>
      <c r="G6963" t="s">
        <v>9153</v>
      </c>
      <c r="H6963">
        <v>35895</v>
      </c>
      <c r="I6963" t="s">
        <v>423</v>
      </c>
      <c r="J6963" t="s">
        <v>2644</v>
      </c>
      <c r="K6963" t="s">
        <v>2625</v>
      </c>
      <c r="L6963" t="s">
        <v>2626</v>
      </c>
      <c r="M6963">
        <v>52</v>
      </c>
      <c r="N6963">
        <v>24.49</v>
      </c>
      <c r="O6963">
        <v>2883.21</v>
      </c>
      <c r="P6963">
        <v>0</v>
      </c>
      <c r="Q6963">
        <v>2883.21</v>
      </c>
      <c r="R6963">
        <v>461.31</v>
      </c>
      <c r="S6963">
        <v>115.33</v>
      </c>
      <c r="T6963">
        <v>3229.19</v>
      </c>
      <c r="U6963" t="s">
        <v>9428</v>
      </c>
      <c r="V6963" t="s">
        <v>9408</v>
      </c>
      <c r="W6963" t="s">
        <v>423</v>
      </c>
    </row>
    <row r="6964" spans="1:23" hidden="1" x14ac:dyDescent="0.2">
      <c r="A6964">
        <v>2012</v>
      </c>
      <c r="B6964" t="s">
        <v>304</v>
      </c>
      <c r="C6964" s="733">
        <v>40966</v>
      </c>
      <c r="D69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64" t="s">
        <v>478</v>
      </c>
      <c r="F6964" t="s">
        <v>2622</v>
      </c>
      <c r="G6964" t="s">
        <v>9168</v>
      </c>
      <c r="H6964">
        <v>36041</v>
      </c>
      <c r="I6964" t="s">
        <v>423</v>
      </c>
      <c r="J6964" t="s">
        <v>2644</v>
      </c>
      <c r="K6964" t="s">
        <v>2625</v>
      </c>
      <c r="L6964" t="s">
        <v>2626</v>
      </c>
      <c r="M6964">
        <v>52</v>
      </c>
      <c r="N6964">
        <v>25.38</v>
      </c>
      <c r="O6964">
        <v>2987.99</v>
      </c>
      <c r="P6964">
        <v>0</v>
      </c>
      <c r="Q6964">
        <v>2987.99</v>
      </c>
      <c r="R6964">
        <v>478.08</v>
      </c>
      <c r="S6964">
        <v>119.52</v>
      </c>
      <c r="T6964">
        <v>3346.55</v>
      </c>
      <c r="U6964" t="s">
        <v>9428</v>
      </c>
      <c r="V6964" t="s">
        <v>9408</v>
      </c>
      <c r="W6964" t="s">
        <v>423</v>
      </c>
    </row>
    <row r="6965" spans="1:23" hidden="1" x14ac:dyDescent="0.2">
      <c r="A6965">
        <v>2012</v>
      </c>
      <c r="B6965" t="s">
        <v>304</v>
      </c>
      <c r="C6965" s="733">
        <v>40942</v>
      </c>
      <c r="D69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65" t="s">
        <v>478</v>
      </c>
      <c r="F6965" t="s">
        <v>2136</v>
      </c>
      <c r="G6965" t="s">
        <v>6484</v>
      </c>
      <c r="H6965">
        <v>35233</v>
      </c>
      <c r="I6965" t="s">
        <v>423</v>
      </c>
      <c r="J6965" t="s">
        <v>3638</v>
      </c>
      <c r="K6965" t="s">
        <v>425</v>
      </c>
      <c r="L6965" t="s">
        <v>2145</v>
      </c>
      <c r="M6965">
        <v>1416</v>
      </c>
      <c r="N6965">
        <v>55.67</v>
      </c>
      <c r="O6965">
        <v>50481</v>
      </c>
      <c r="P6965">
        <v>0</v>
      </c>
      <c r="Q6965">
        <v>50481</v>
      </c>
      <c r="R6965">
        <v>8076.96</v>
      </c>
      <c r="S6965">
        <v>2019.24</v>
      </c>
      <c r="T6965">
        <v>56538.720000000001</v>
      </c>
      <c r="U6965" t="s">
        <v>3115</v>
      </c>
      <c r="V6965" t="s">
        <v>9409</v>
      </c>
      <c r="W6965" t="s">
        <v>423</v>
      </c>
    </row>
    <row r="6966" spans="1:23" hidden="1" x14ac:dyDescent="0.2">
      <c r="A6966">
        <v>2012</v>
      </c>
      <c r="B6966" t="s">
        <v>304</v>
      </c>
      <c r="C6966" s="733">
        <v>40952</v>
      </c>
      <c r="D69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66" t="s">
        <v>485</v>
      </c>
      <c r="F6966" t="s">
        <v>2048</v>
      </c>
      <c r="G6966" t="s">
        <v>5854</v>
      </c>
      <c r="H6966">
        <v>41786</v>
      </c>
      <c r="I6966" t="s">
        <v>423</v>
      </c>
      <c r="J6966" t="s">
        <v>2274</v>
      </c>
      <c r="K6966" t="s">
        <v>2051</v>
      </c>
      <c r="L6966" t="s">
        <v>2052</v>
      </c>
      <c r="M6966">
        <v>573</v>
      </c>
      <c r="N6966">
        <v>53.55</v>
      </c>
      <c r="O6966">
        <v>17376.98</v>
      </c>
      <c r="P6966">
        <v>0</v>
      </c>
      <c r="Q6966">
        <v>17376.98</v>
      </c>
      <c r="R6966">
        <v>2780.32</v>
      </c>
      <c r="S6966">
        <v>695.08</v>
      </c>
      <c r="T6966">
        <v>19462.22</v>
      </c>
      <c r="U6966" t="s">
        <v>7568</v>
      </c>
      <c r="V6966" t="s">
        <v>9409</v>
      </c>
      <c r="W6966" t="s">
        <v>423</v>
      </c>
    </row>
    <row r="6967" spans="1:23" hidden="1" x14ac:dyDescent="0.2">
      <c r="A6967">
        <v>2012</v>
      </c>
      <c r="B6967" t="s">
        <v>304</v>
      </c>
      <c r="C6967" s="733">
        <v>40968</v>
      </c>
      <c r="D69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67" t="s">
        <v>478</v>
      </c>
      <c r="F6967" t="s">
        <v>2136</v>
      </c>
      <c r="G6967" t="s">
        <v>9540</v>
      </c>
      <c r="H6967">
        <v>36047</v>
      </c>
      <c r="I6967" t="s">
        <v>423</v>
      </c>
      <c r="J6967" t="s">
        <v>3638</v>
      </c>
      <c r="K6967" t="s">
        <v>425</v>
      </c>
      <c r="L6967" t="s">
        <v>2145</v>
      </c>
      <c r="M6967">
        <v>1416</v>
      </c>
      <c r="N6967">
        <v>39.64</v>
      </c>
      <c r="O6967">
        <v>35945.160000000003</v>
      </c>
      <c r="P6967">
        <v>0</v>
      </c>
      <c r="Q6967">
        <v>35945.160000000003</v>
      </c>
      <c r="R6967">
        <v>5751.22</v>
      </c>
      <c r="S6967">
        <v>1437.81</v>
      </c>
      <c r="T6967">
        <v>40258.57</v>
      </c>
      <c r="U6967" t="s">
        <v>9430</v>
      </c>
      <c r="V6967" t="s">
        <v>9409</v>
      </c>
      <c r="W6967" t="s">
        <v>423</v>
      </c>
    </row>
    <row r="6968" spans="1:23" hidden="1" x14ac:dyDescent="0.2">
      <c r="A6968">
        <v>2012</v>
      </c>
      <c r="B6968" t="s">
        <v>303</v>
      </c>
      <c r="C6968" s="733">
        <v>40938</v>
      </c>
      <c r="D69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68" t="s">
        <v>478</v>
      </c>
      <c r="F6968" t="s">
        <v>2136</v>
      </c>
      <c r="G6968" t="s">
        <v>6486</v>
      </c>
      <c r="H6968">
        <v>35004</v>
      </c>
      <c r="I6968" t="s">
        <v>423</v>
      </c>
      <c r="J6968" t="s">
        <v>3638</v>
      </c>
      <c r="K6968" t="s">
        <v>425</v>
      </c>
      <c r="L6968" t="s">
        <v>2145</v>
      </c>
      <c r="M6968">
        <v>1416</v>
      </c>
      <c r="N6968">
        <v>49.12</v>
      </c>
      <c r="O6968">
        <v>44541.52</v>
      </c>
      <c r="P6968">
        <v>0</v>
      </c>
      <c r="Q6968">
        <v>44541.52</v>
      </c>
      <c r="R6968">
        <v>7126.64</v>
      </c>
      <c r="S6968">
        <v>1781.66</v>
      </c>
      <c r="T6968">
        <v>49886.5</v>
      </c>
      <c r="U6968" t="s">
        <v>2914</v>
      </c>
      <c r="V6968" t="s">
        <v>9409</v>
      </c>
      <c r="W6968" t="s">
        <v>423</v>
      </c>
    </row>
    <row r="6969" spans="1:23" hidden="1" x14ac:dyDescent="0.2">
      <c r="A6969">
        <v>2012</v>
      </c>
      <c r="B6969" t="s">
        <v>303</v>
      </c>
      <c r="C6969" s="733">
        <v>40924</v>
      </c>
      <c r="D69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69" t="s">
        <v>505</v>
      </c>
      <c r="F6969" t="s">
        <v>1915</v>
      </c>
      <c r="G6969" t="s">
        <v>6185</v>
      </c>
      <c r="H6969">
        <v>21800</v>
      </c>
      <c r="I6969" t="s">
        <v>423</v>
      </c>
      <c r="J6969" t="s">
        <v>4140</v>
      </c>
      <c r="K6969" t="s">
        <v>1918</v>
      </c>
      <c r="L6969" t="s">
        <v>1919</v>
      </c>
      <c r="M6969">
        <v>1</v>
      </c>
      <c r="N6969">
        <v>24.98</v>
      </c>
      <c r="O6969">
        <v>2412.5700000000002</v>
      </c>
      <c r="P6969">
        <v>0</v>
      </c>
      <c r="Q6969">
        <v>2412.5700000000002</v>
      </c>
      <c r="R6969">
        <v>386.01</v>
      </c>
      <c r="S6969">
        <v>96.5</v>
      </c>
      <c r="T6969">
        <v>2702.08</v>
      </c>
      <c r="U6969" t="s">
        <v>1931</v>
      </c>
      <c r="V6969" t="s">
        <v>9408</v>
      </c>
      <c r="W6969" t="s">
        <v>423</v>
      </c>
    </row>
    <row r="6970" spans="1:23" hidden="1" x14ac:dyDescent="0.2">
      <c r="A6970">
        <v>2012</v>
      </c>
      <c r="B6970" t="s">
        <v>304</v>
      </c>
      <c r="C6970" s="733">
        <v>40968.351203703707</v>
      </c>
      <c r="D69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70" t="s">
        <v>505</v>
      </c>
      <c r="F6970" t="s">
        <v>1915</v>
      </c>
      <c r="G6970" t="s">
        <v>9169</v>
      </c>
      <c r="H6970">
        <v>23096</v>
      </c>
      <c r="I6970" t="s">
        <v>423</v>
      </c>
      <c r="J6970" t="s">
        <v>4140</v>
      </c>
      <c r="K6970" t="s">
        <v>1918</v>
      </c>
      <c r="L6970" t="s">
        <v>1919</v>
      </c>
      <c r="M6970">
        <v>1</v>
      </c>
      <c r="N6970">
        <v>25.19</v>
      </c>
      <c r="O6970">
        <v>2432.85</v>
      </c>
      <c r="P6970">
        <v>0</v>
      </c>
      <c r="Q6970">
        <v>2432.85</v>
      </c>
      <c r="R6970">
        <v>389.26</v>
      </c>
      <c r="S6970">
        <v>97.31</v>
      </c>
      <c r="T6970">
        <v>2724.8</v>
      </c>
      <c r="V6970" t="s">
        <v>9408</v>
      </c>
      <c r="W6970" t="s">
        <v>423</v>
      </c>
    </row>
    <row r="6971" spans="1:23" hidden="1" x14ac:dyDescent="0.2">
      <c r="A6971">
        <v>2012</v>
      </c>
      <c r="B6971" t="s">
        <v>304</v>
      </c>
      <c r="C6971" s="733">
        <v>40964</v>
      </c>
      <c r="D69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71" t="s">
        <v>505</v>
      </c>
      <c r="F6971" t="s">
        <v>1915</v>
      </c>
      <c r="G6971" t="s">
        <v>8771</v>
      </c>
      <c r="H6971">
        <v>22973</v>
      </c>
      <c r="I6971" t="s">
        <v>423</v>
      </c>
      <c r="J6971" t="s">
        <v>4140</v>
      </c>
      <c r="K6971" t="s">
        <v>1918</v>
      </c>
      <c r="L6971" t="s">
        <v>1919</v>
      </c>
      <c r="M6971">
        <v>1</v>
      </c>
      <c r="N6971">
        <v>24.99</v>
      </c>
      <c r="O6971">
        <v>2413.5300000000002</v>
      </c>
      <c r="P6971">
        <v>0</v>
      </c>
      <c r="Q6971">
        <v>2413.5300000000002</v>
      </c>
      <c r="R6971">
        <v>386.17</v>
      </c>
      <c r="S6971">
        <v>96.54</v>
      </c>
      <c r="T6971">
        <v>2703.16</v>
      </c>
      <c r="U6971" t="s">
        <v>9415</v>
      </c>
      <c r="V6971" t="s">
        <v>9408</v>
      </c>
      <c r="W6971" t="s">
        <v>423</v>
      </c>
    </row>
    <row r="6972" spans="1:23" hidden="1" x14ac:dyDescent="0.2">
      <c r="A6972">
        <v>2012</v>
      </c>
      <c r="B6972" t="s">
        <v>303</v>
      </c>
      <c r="C6972" s="733">
        <v>40920</v>
      </c>
      <c r="D69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72" t="s">
        <v>505</v>
      </c>
      <c r="F6972" t="s">
        <v>1915</v>
      </c>
      <c r="G6972" t="s">
        <v>4300</v>
      </c>
      <c r="H6972">
        <v>21914</v>
      </c>
      <c r="I6972" t="s">
        <v>423</v>
      </c>
      <c r="J6972" t="s">
        <v>4140</v>
      </c>
      <c r="K6972" t="s">
        <v>1918</v>
      </c>
      <c r="L6972" t="s">
        <v>1919</v>
      </c>
      <c r="M6972">
        <v>1</v>
      </c>
      <c r="N6972">
        <v>24.94</v>
      </c>
      <c r="O6972">
        <v>2408.71</v>
      </c>
      <c r="P6972">
        <v>0</v>
      </c>
      <c r="Q6972">
        <v>2408.71</v>
      </c>
      <c r="R6972">
        <v>385.39</v>
      </c>
      <c r="S6972">
        <v>96.35</v>
      </c>
      <c r="T6972">
        <v>2697.75</v>
      </c>
      <c r="U6972" t="s">
        <v>1931</v>
      </c>
      <c r="V6972" t="s">
        <v>9408</v>
      </c>
      <c r="W6972" t="s">
        <v>423</v>
      </c>
    </row>
    <row r="6973" spans="1:23" hidden="1" x14ac:dyDescent="0.2">
      <c r="A6973">
        <v>2012</v>
      </c>
      <c r="B6973" t="s">
        <v>303</v>
      </c>
      <c r="C6973" s="733">
        <v>40935</v>
      </c>
      <c r="D69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73" t="s">
        <v>505</v>
      </c>
      <c r="F6973" t="s">
        <v>1915</v>
      </c>
      <c r="G6973" t="s">
        <v>6466</v>
      </c>
      <c r="H6973">
        <v>22274</v>
      </c>
      <c r="I6973" t="s">
        <v>423</v>
      </c>
      <c r="J6973" t="s">
        <v>5285</v>
      </c>
      <c r="K6973" t="s">
        <v>1918</v>
      </c>
      <c r="L6973" t="s">
        <v>1919</v>
      </c>
      <c r="M6973">
        <v>433</v>
      </c>
      <c r="N6973">
        <v>24.87</v>
      </c>
      <c r="O6973">
        <v>7858.42</v>
      </c>
      <c r="P6973">
        <v>0</v>
      </c>
      <c r="Q6973">
        <v>7858.42</v>
      </c>
      <c r="R6973">
        <v>1257.3499999999999</v>
      </c>
      <c r="S6973">
        <v>314.33999999999997</v>
      </c>
      <c r="T6973">
        <v>8801.43</v>
      </c>
      <c r="U6973" t="s">
        <v>1926</v>
      </c>
      <c r="V6973" t="s">
        <v>9408</v>
      </c>
      <c r="W6973" t="s">
        <v>423</v>
      </c>
    </row>
    <row r="6974" spans="1:23" hidden="1" x14ac:dyDescent="0.2">
      <c r="A6974">
        <v>2012</v>
      </c>
      <c r="B6974" t="s">
        <v>303</v>
      </c>
      <c r="C6974" s="733">
        <v>40920</v>
      </c>
      <c r="D69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74" t="s">
        <v>505</v>
      </c>
      <c r="F6974" t="s">
        <v>1915</v>
      </c>
      <c r="G6974" t="s">
        <v>6467</v>
      </c>
      <c r="H6974">
        <v>21911</v>
      </c>
      <c r="I6974" t="s">
        <v>423</v>
      </c>
      <c r="J6974" t="s">
        <v>5285</v>
      </c>
      <c r="K6974" t="s">
        <v>1918</v>
      </c>
      <c r="L6974" t="s">
        <v>1919</v>
      </c>
      <c r="M6974">
        <v>433</v>
      </c>
      <c r="N6974">
        <v>27.53</v>
      </c>
      <c r="O6974">
        <v>8698.93</v>
      </c>
      <c r="P6974">
        <v>0</v>
      </c>
      <c r="Q6974">
        <v>8698.93</v>
      </c>
      <c r="R6974">
        <v>1391.83</v>
      </c>
      <c r="S6974">
        <v>347.96</v>
      </c>
      <c r="T6974">
        <v>9742.7999999999993</v>
      </c>
      <c r="U6974" t="s">
        <v>1931</v>
      </c>
      <c r="V6974" t="s">
        <v>9408</v>
      </c>
      <c r="W6974" t="s">
        <v>423</v>
      </c>
    </row>
    <row r="6975" spans="1:23" hidden="1" x14ac:dyDescent="0.2">
      <c r="A6975">
        <v>2012</v>
      </c>
      <c r="B6975" t="s">
        <v>303</v>
      </c>
      <c r="C6975" s="733">
        <v>40939</v>
      </c>
      <c r="D69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75" t="s">
        <v>505</v>
      </c>
      <c r="F6975" t="s">
        <v>1915</v>
      </c>
      <c r="G6975" t="s">
        <v>2777</v>
      </c>
      <c r="H6975">
        <v>21742</v>
      </c>
      <c r="I6975" t="s">
        <v>423</v>
      </c>
      <c r="J6975" t="s">
        <v>1947</v>
      </c>
      <c r="K6975" t="s">
        <v>1918</v>
      </c>
      <c r="L6975" t="s">
        <v>1919</v>
      </c>
      <c r="M6975">
        <v>973</v>
      </c>
      <c r="N6975">
        <v>53.59</v>
      </c>
      <c r="O6975">
        <v>31294.42</v>
      </c>
      <c r="P6975">
        <v>0</v>
      </c>
      <c r="Q6975">
        <v>31294.42</v>
      </c>
      <c r="R6975">
        <v>5007.1099999999997</v>
      </c>
      <c r="S6975">
        <v>1251.78</v>
      </c>
      <c r="T6975">
        <v>35049.75</v>
      </c>
      <c r="U6975" t="s">
        <v>1936</v>
      </c>
      <c r="V6975" t="s">
        <v>9409</v>
      </c>
      <c r="W6975" t="s">
        <v>423</v>
      </c>
    </row>
    <row r="6976" spans="1:23" hidden="1" x14ac:dyDescent="0.2">
      <c r="A6976">
        <v>2012</v>
      </c>
      <c r="B6976" t="s">
        <v>303</v>
      </c>
      <c r="C6976" s="733">
        <v>40932</v>
      </c>
      <c r="D69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76" t="s">
        <v>505</v>
      </c>
      <c r="F6976" t="s">
        <v>1915</v>
      </c>
      <c r="G6976" t="s">
        <v>6641</v>
      </c>
      <c r="H6976">
        <v>22212</v>
      </c>
      <c r="I6976" t="s">
        <v>423</v>
      </c>
      <c r="J6976" t="s">
        <v>4163</v>
      </c>
      <c r="K6976" t="s">
        <v>1918</v>
      </c>
      <c r="L6976" t="s">
        <v>1919</v>
      </c>
      <c r="M6976">
        <v>250</v>
      </c>
      <c r="N6976">
        <v>26.1</v>
      </c>
      <c r="O6976">
        <v>5868.32</v>
      </c>
      <c r="P6976">
        <v>0</v>
      </c>
      <c r="Q6976">
        <v>5868.32</v>
      </c>
      <c r="R6976">
        <v>938.93</v>
      </c>
      <c r="S6976">
        <v>234.73</v>
      </c>
      <c r="T6976">
        <v>6572.52</v>
      </c>
      <c r="U6976" t="s">
        <v>1936</v>
      </c>
      <c r="V6976" t="s">
        <v>9408</v>
      </c>
      <c r="W6976" t="s">
        <v>423</v>
      </c>
    </row>
    <row r="6977" spans="1:23" hidden="1" x14ac:dyDescent="0.2">
      <c r="A6977">
        <v>2012</v>
      </c>
      <c r="B6977" t="s">
        <v>304</v>
      </c>
      <c r="C6977" s="733">
        <v>40940</v>
      </c>
      <c r="D69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77" t="s">
        <v>505</v>
      </c>
      <c r="F6977" t="s">
        <v>1915</v>
      </c>
      <c r="G6977" t="s">
        <v>6635</v>
      </c>
      <c r="H6977">
        <v>22393</v>
      </c>
      <c r="I6977" t="s">
        <v>423</v>
      </c>
      <c r="J6977" t="s">
        <v>4158</v>
      </c>
      <c r="K6977" t="s">
        <v>1918</v>
      </c>
      <c r="L6977" t="s">
        <v>1919</v>
      </c>
      <c r="M6977">
        <v>274</v>
      </c>
      <c r="N6977">
        <v>27.7</v>
      </c>
      <c r="O6977">
        <v>7647.97</v>
      </c>
      <c r="P6977">
        <v>0</v>
      </c>
      <c r="Q6977">
        <v>7647.97</v>
      </c>
      <c r="R6977">
        <v>1223.68</v>
      </c>
      <c r="S6977">
        <v>305.92</v>
      </c>
      <c r="T6977">
        <v>8565.73</v>
      </c>
      <c r="U6977" t="s">
        <v>1926</v>
      </c>
      <c r="V6977" t="s">
        <v>9408</v>
      </c>
      <c r="W6977" t="s">
        <v>423</v>
      </c>
    </row>
    <row r="6978" spans="1:23" hidden="1" x14ac:dyDescent="0.2">
      <c r="A6978">
        <v>2012</v>
      </c>
      <c r="B6978" t="s">
        <v>304</v>
      </c>
      <c r="C6978" s="733">
        <v>40954</v>
      </c>
      <c r="D69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78" t="s">
        <v>505</v>
      </c>
      <c r="F6978" t="s">
        <v>1915</v>
      </c>
      <c r="G6978" t="s">
        <v>8019</v>
      </c>
      <c r="H6978">
        <v>22744</v>
      </c>
      <c r="I6978" t="s">
        <v>423</v>
      </c>
      <c r="J6978" t="s">
        <v>4158</v>
      </c>
      <c r="K6978" t="s">
        <v>1918</v>
      </c>
      <c r="L6978" t="s">
        <v>1919</v>
      </c>
      <c r="M6978">
        <v>274</v>
      </c>
      <c r="N6978">
        <v>25.29</v>
      </c>
      <c r="O6978">
        <v>6982.57</v>
      </c>
      <c r="P6978">
        <v>0</v>
      </c>
      <c r="Q6978">
        <v>6982.57</v>
      </c>
      <c r="R6978">
        <v>1117.21</v>
      </c>
      <c r="S6978">
        <v>279.3</v>
      </c>
      <c r="T6978">
        <v>7820.48</v>
      </c>
      <c r="U6978" t="s">
        <v>7529</v>
      </c>
      <c r="V6978" t="s">
        <v>9408</v>
      </c>
      <c r="W6978" t="s">
        <v>423</v>
      </c>
    </row>
    <row r="6979" spans="1:23" hidden="1" x14ac:dyDescent="0.2">
      <c r="A6979">
        <v>2012</v>
      </c>
      <c r="B6979" t="s">
        <v>304</v>
      </c>
      <c r="C6979" s="733">
        <v>40941</v>
      </c>
      <c r="D69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79" t="s">
        <v>485</v>
      </c>
      <c r="F6979" t="s">
        <v>2084</v>
      </c>
      <c r="G6979" t="s">
        <v>5908</v>
      </c>
      <c r="H6979">
        <v>41328</v>
      </c>
      <c r="I6979" t="s">
        <v>423</v>
      </c>
      <c r="J6979" t="s">
        <v>2171</v>
      </c>
      <c r="K6979" t="s">
        <v>2051</v>
      </c>
      <c r="L6979" t="s">
        <v>2052</v>
      </c>
      <c r="M6979">
        <v>57</v>
      </c>
      <c r="N6979">
        <v>23.6</v>
      </c>
      <c r="O6979">
        <v>3311.32</v>
      </c>
      <c r="P6979">
        <v>0</v>
      </c>
      <c r="Q6979">
        <v>3311.32</v>
      </c>
      <c r="R6979">
        <v>529.80999999999995</v>
      </c>
      <c r="S6979">
        <v>132.44999999999999</v>
      </c>
      <c r="T6979">
        <v>3708.68</v>
      </c>
      <c r="U6979" t="s">
        <v>2067</v>
      </c>
      <c r="V6979" t="s">
        <v>9408</v>
      </c>
      <c r="W6979" t="s">
        <v>423</v>
      </c>
    </row>
    <row r="6980" spans="1:23" hidden="1" x14ac:dyDescent="0.2">
      <c r="A6980">
        <v>2012</v>
      </c>
      <c r="B6980" t="s">
        <v>304</v>
      </c>
      <c r="C6980" s="733">
        <v>40950.577523148146</v>
      </c>
      <c r="D69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80" t="s">
        <v>485</v>
      </c>
      <c r="F6980" t="s">
        <v>2054</v>
      </c>
      <c r="G6980" t="s">
        <v>5896</v>
      </c>
      <c r="H6980">
        <v>10396</v>
      </c>
      <c r="I6980" t="s">
        <v>423</v>
      </c>
      <c r="J6980" t="s">
        <v>2056</v>
      </c>
      <c r="K6980" t="s">
        <v>2057</v>
      </c>
      <c r="L6980" t="s">
        <v>2058</v>
      </c>
      <c r="M6980">
        <v>19</v>
      </c>
      <c r="N6980">
        <v>22.77</v>
      </c>
      <c r="O6980">
        <v>2570.0500000000002</v>
      </c>
      <c r="P6980">
        <v>0</v>
      </c>
      <c r="Q6980">
        <v>2570.0500000000002</v>
      </c>
      <c r="R6980">
        <v>282.70999999999998</v>
      </c>
      <c r="S6980">
        <v>102.8</v>
      </c>
      <c r="T6980">
        <v>2749.96</v>
      </c>
      <c r="U6980" t="s">
        <v>8047</v>
      </c>
      <c r="V6980" t="s">
        <v>9408</v>
      </c>
      <c r="W6980" t="s">
        <v>423</v>
      </c>
    </row>
    <row r="6981" spans="1:23" hidden="1" x14ac:dyDescent="0.2">
      <c r="A6981">
        <v>2012</v>
      </c>
      <c r="B6981" t="s">
        <v>304</v>
      </c>
      <c r="C6981" s="733">
        <v>40947</v>
      </c>
      <c r="D69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81" t="s">
        <v>485</v>
      </c>
      <c r="F6981" t="s">
        <v>2065</v>
      </c>
      <c r="G6981" t="s">
        <v>6331</v>
      </c>
      <c r="H6981">
        <v>41398</v>
      </c>
      <c r="I6981" t="s">
        <v>2821</v>
      </c>
      <c r="J6981" t="s">
        <v>5705</v>
      </c>
      <c r="K6981" t="s">
        <v>4524</v>
      </c>
      <c r="L6981" t="s">
        <v>2184</v>
      </c>
      <c r="M6981">
        <v>1467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V6981" t="s">
        <v>9409</v>
      </c>
      <c r="W6981" t="s">
        <v>2821</v>
      </c>
    </row>
    <row r="6982" spans="1:23" hidden="1" x14ac:dyDescent="0.2">
      <c r="A6982">
        <v>2012</v>
      </c>
      <c r="B6982" t="s">
        <v>305</v>
      </c>
      <c r="C6982" s="733">
        <v>40973</v>
      </c>
      <c r="D6982" s="733" t="str">
        <f>CHOOSE(MONTH(Tabla_sqldatos_bonampakdb_Bon_v_ingresos2012[[#This Row],[fecha_guia]]),"Enero","Febrero","Marzo","Abril","Mayo","Junio","Julio","Agosto","Septiembre","Octubre","Noviembre","Diciembre")</f>
        <v>Marzo</v>
      </c>
      <c r="E6982" t="s">
        <v>505</v>
      </c>
      <c r="F6982" t="s">
        <v>1915</v>
      </c>
      <c r="G6982" t="s">
        <v>9780</v>
      </c>
      <c r="H6982">
        <v>23156</v>
      </c>
      <c r="I6982" t="s">
        <v>423</v>
      </c>
      <c r="J6982" t="s">
        <v>5504</v>
      </c>
      <c r="K6982" t="s">
        <v>1918</v>
      </c>
      <c r="L6982" t="s">
        <v>1919</v>
      </c>
      <c r="M6982">
        <v>1115</v>
      </c>
      <c r="N6982">
        <v>26.25</v>
      </c>
      <c r="O6982">
        <v>19369.09</v>
      </c>
      <c r="P6982">
        <v>0</v>
      </c>
      <c r="Q6982">
        <v>19369.09</v>
      </c>
      <c r="R6982">
        <v>3099.05</v>
      </c>
      <c r="S6982">
        <v>774.76</v>
      </c>
      <c r="T6982">
        <v>21693.38</v>
      </c>
      <c r="V6982" t="s">
        <v>9408</v>
      </c>
      <c r="W6982" t="s">
        <v>423</v>
      </c>
    </row>
    <row r="6983" spans="1:23" hidden="1" x14ac:dyDescent="0.2">
      <c r="A6983">
        <v>2012</v>
      </c>
      <c r="B6983" t="s">
        <v>304</v>
      </c>
      <c r="C6983" s="733">
        <v>40952</v>
      </c>
      <c r="D69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83" t="s">
        <v>505</v>
      </c>
      <c r="F6983" t="s">
        <v>1915</v>
      </c>
      <c r="G6983" t="s">
        <v>6639</v>
      </c>
      <c r="H6983">
        <v>22632</v>
      </c>
      <c r="I6983" t="s">
        <v>423</v>
      </c>
      <c r="J6983" t="s">
        <v>5504</v>
      </c>
      <c r="K6983" t="s">
        <v>1918</v>
      </c>
      <c r="L6983" t="s">
        <v>1919</v>
      </c>
      <c r="M6983">
        <v>1115</v>
      </c>
      <c r="N6983">
        <v>24.8</v>
      </c>
      <c r="O6983">
        <v>18299.18</v>
      </c>
      <c r="P6983">
        <v>0</v>
      </c>
      <c r="Q6983">
        <v>18299.18</v>
      </c>
      <c r="R6983">
        <v>2927.87</v>
      </c>
      <c r="S6983">
        <v>731.97</v>
      </c>
      <c r="T6983">
        <v>20495.080000000002</v>
      </c>
      <c r="U6983" t="s">
        <v>7522</v>
      </c>
      <c r="V6983" t="s">
        <v>9408</v>
      </c>
      <c r="W6983" t="s">
        <v>423</v>
      </c>
    </row>
    <row r="6984" spans="1:23" hidden="1" x14ac:dyDescent="0.2">
      <c r="A6984">
        <v>2012</v>
      </c>
      <c r="B6984" t="s">
        <v>303</v>
      </c>
      <c r="C6984" s="733">
        <v>40924</v>
      </c>
      <c r="D69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84" t="s">
        <v>505</v>
      </c>
      <c r="F6984" t="s">
        <v>1915</v>
      </c>
      <c r="G6984" t="s">
        <v>6638</v>
      </c>
      <c r="H6984">
        <v>21922</v>
      </c>
      <c r="I6984" t="s">
        <v>423</v>
      </c>
      <c r="J6984" t="s">
        <v>5504</v>
      </c>
      <c r="K6984" t="s">
        <v>1918</v>
      </c>
      <c r="L6984" t="s">
        <v>1919</v>
      </c>
      <c r="M6984">
        <v>1115</v>
      </c>
      <c r="N6984">
        <v>25.24</v>
      </c>
      <c r="O6984">
        <v>18623.84</v>
      </c>
      <c r="P6984">
        <v>0</v>
      </c>
      <c r="Q6984">
        <v>18623.84</v>
      </c>
      <c r="R6984">
        <v>2979.81</v>
      </c>
      <c r="S6984">
        <v>744.95</v>
      </c>
      <c r="T6984">
        <v>20858.7</v>
      </c>
      <c r="U6984" t="s">
        <v>1931</v>
      </c>
      <c r="V6984" t="s">
        <v>9408</v>
      </c>
      <c r="W6984" t="s">
        <v>423</v>
      </c>
    </row>
    <row r="6985" spans="1:23" hidden="1" x14ac:dyDescent="0.2">
      <c r="A6985">
        <v>2012</v>
      </c>
      <c r="B6985" t="s">
        <v>304</v>
      </c>
      <c r="C6985" s="733">
        <v>40964</v>
      </c>
      <c r="D69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85" t="s">
        <v>505</v>
      </c>
      <c r="F6985" t="s">
        <v>1915</v>
      </c>
      <c r="G6985" t="s">
        <v>8759</v>
      </c>
      <c r="H6985">
        <v>22982</v>
      </c>
      <c r="I6985" t="s">
        <v>423</v>
      </c>
      <c r="J6985" t="s">
        <v>5504</v>
      </c>
      <c r="K6985" t="s">
        <v>1918</v>
      </c>
      <c r="L6985" t="s">
        <v>1919</v>
      </c>
      <c r="M6985">
        <v>1115</v>
      </c>
      <c r="N6985">
        <v>24.65</v>
      </c>
      <c r="O6985">
        <v>18188.5</v>
      </c>
      <c r="P6985">
        <v>0</v>
      </c>
      <c r="Q6985">
        <v>18188.5</v>
      </c>
      <c r="R6985">
        <v>2910.16</v>
      </c>
      <c r="S6985">
        <v>727.54</v>
      </c>
      <c r="T6985">
        <v>20371.12</v>
      </c>
      <c r="U6985" t="s">
        <v>9415</v>
      </c>
      <c r="V6985" t="s">
        <v>9408</v>
      </c>
      <c r="W6985" t="s">
        <v>423</v>
      </c>
    </row>
    <row r="6986" spans="1:23" hidden="1" x14ac:dyDescent="0.2">
      <c r="A6986">
        <v>2012</v>
      </c>
      <c r="B6986" t="s">
        <v>303</v>
      </c>
      <c r="C6986" s="733">
        <v>40939.531747685185</v>
      </c>
      <c r="D698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86" t="s">
        <v>478</v>
      </c>
      <c r="F6986" t="s">
        <v>2622</v>
      </c>
      <c r="G6986" t="s">
        <v>5586</v>
      </c>
      <c r="H6986">
        <v>35141</v>
      </c>
      <c r="I6986" t="s">
        <v>423</v>
      </c>
      <c r="J6986" t="s">
        <v>2662</v>
      </c>
      <c r="K6986" t="s">
        <v>2625</v>
      </c>
      <c r="L6986" t="s">
        <v>2626</v>
      </c>
      <c r="M6986">
        <v>66</v>
      </c>
      <c r="N6986">
        <v>22.97</v>
      </c>
      <c r="O6986">
        <v>2704.26</v>
      </c>
      <c r="P6986">
        <v>0</v>
      </c>
      <c r="Q6986">
        <v>2704.26</v>
      </c>
      <c r="R6986">
        <v>432.68</v>
      </c>
      <c r="S6986">
        <v>108.17</v>
      </c>
      <c r="T6986">
        <v>3028.77</v>
      </c>
      <c r="U6986" t="s">
        <v>2630</v>
      </c>
      <c r="V6986" t="s">
        <v>9408</v>
      </c>
      <c r="W6986" t="s">
        <v>423</v>
      </c>
    </row>
    <row r="6987" spans="1:23" hidden="1" x14ac:dyDescent="0.2">
      <c r="A6987">
        <v>2012</v>
      </c>
      <c r="B6987" t="s">
        <v>304</v>
      </c>
      <c r="C6987" s="733">
        <v>40967.440578703703</v>
      </c>
      <c r="D69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87" t="s">
        <v>478</v>
      </c>
      <c r="F6987" t="s">
        <v>2622</v>
      </c>
      <c r="G6987" t="s">
        <v>9402</v>
      </c>
      <c r="H6987">
        <v>36120</v>
      </c>
      <c r="I6987" t="s">
        <v>423</v>
      </c>
      <c r="J6987" t="s">
        <v>2662</v>
      </c>
      <c r="K6987" t="s">
        <v>2625</v>
      </c>
      <c r="L6987" t="s">
        <v>2626</v>
      </c>
      <c r="M6987">
        <v>66</v>
      </c>
      <c r="N6987">
        <v>21.7</v>
      </c>
      <c r="O6987">
        <v>2554.7399999999998</v>
      </c>
      <c r="P6987">
        <v>0</v>
      </c>
      <c r="Q6987">
        <v>2554.7399999999998</v>
      </c>
      <c r="R6987">
        <v>408.76</v>
      </c>
      <c r="S6987">
        <v>102.19</v>
      </c>
      <c r="T6987">
        <v>2861.31</v>
      </c>
      <c r="U6987" t="s">
        <v>9428</v>
      </c>
      <c r="V6987" t="s">
        <v>9408</v>
      </c>
      <c r="W6987" t="s">
        <v>423</v>
      </c>
    </row>
    <row r="6988" spans="1:23" hidden="1" x14ac:dyDescent="0.2">
      <c r="A6988">
        <v>2012</v>
      </c>
      <c r="B6988" t="s">
        <v>304</v>
      </c>
      <c r="C6988" s="733">
        <v>40954</v>
      </c>
      <c r="D69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88" t="s">
        <v>478</v>
      </c>
      <c r="F6988" t="s">
        <v>2622</v>
      </c>
      <c r="G6988" t="s">
        <v>8034</v>
      </c>
      <c r="H6988">
        <v>35657</v>
      </c>
      <c r="I6988" t="s">
        <v>423</v>
      </c>
      <c r="J6988" t="s">
        <v>2662</v>
      </c>
      <c r="K6988" t="s">
        <v>2625</v>
      </c>
      <c r="L6988" t="s">
        <v>2626</v>
      </c>
      <c r="M6988">
        <v>66</v>
      </c>
      <c r="N6988">
        <v>25.56</v>
      </c>
      <c r="O6988">
        <v>3009.18</v>
      </c>
      <c r="P6988">
        <v>0</v>
      </c>
      <c r="Q6988">
        <v>3009.18</v>
      </c>
      <c r="R6988">
        <v>481.47</v>
      </c>
      <c r="S6988">
        <v>120.37</v>
      </c>
      <c r="T6988">
        <v>3370.28</v>
      </c>
      <c r="U6988" t="s">
        <v>7548</v>
      </c>
      <c r="V6988" t="s">
        <v>9408</v>
      </c>
      <c r="W6988" t="s">
        <v>423</v>
      </c>
    </row>
    <row r="6989" spans="1:23" hidden="1" x14ac:dyDescent="0.2">
      <c r="A6989">
        <v>2012</v>
      </c>
      <c r="B6989" t="s">
        <v>304</v>
      </c>
      <c r="C6989" s="733">
        <v>40947.41542824074</v>
      </c>
      <c r="D698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89" t="s">
        <v>478</v>
      </c>
      <c r="F6989" t="s">
        <v>2622</v>
      </c>
      <c r="G6989" t="s">
        <v>5885</v>
      </c>
      <c r="H6989">
        <v>35429</v>
      </c>
      <c r="I6989" t="s">
        <v>423</v>
      </c>
      <c r="J6989" t="s">
        <v>2662</v>
      </c>
      <c r="K6989" t="s">
        <v>2625</v>
      </c>
      <c r="L6989" t="s">
        <v>2626</v>
      </c>
      <c r="M6989">
        <v>66</v>
      </c>
      <c r="N6989">
        <v>34.86</v>
      </c>
      <c r="O6989">
        <v>4104.07</v>
      </c>
      <c r="P6989">
        <v>0</v>
      </c>
      <c r="Q6989">
        <v>4104.07</v>
      </c>
      <c r="R6989">
        <v>656.65</v>
      </c>
      <c r="S6989">
        <v>164.16</v>
      </c>
      <c r="T6989">
        <v>4596.5600000000004</v>
      </c>
      <c r="U6989" t="s">
        <v>2652</v>
      </c>
      <c r="V6989" t="s">
        <v>9408</v>
      </c>
      <c r="W6989" t="s">
        <v>423</v>
      </c>
    </row>
    <row r="6990" spans="1:23" hidden="1" x14ac:dyDescent="0.2">
      <c r="A6990">
        <v>2012</v>
      </c>
      <c r="B6990" t="s">
        <v>303</v>
      </c>
      <c r="C6990" s="733">
        <v>40926</v>
      </c>
      <c r="D69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90" t="s">
        <v>478</v>
      </c>
      <c r="F6990" t="s">
        <v>2622</v>
      </c>
      <c r="G6990" t="s">
        <v>5884</v>
      </c>
      <c r="H6990">
        <v>34612</v>
      </c>
      <c r="I6990" t="s">
        <v>423</v>
      </c>
      <c r="J6990" t="s">
        <v>2662</v>
      </c>
      <c r="K6990" t="s">
        <v>2625</v>
      </c>
      <c r="L6990" t="s">
        <v>2626</v>
      </c>
      <c r="M6990">
        <v>66</v>
      </c>
      <c r="N6990">
        <v>27.44</v>
      </c>
      <c r="O6990">
        <v>3230.51</v>
      </c>
      <c r="P6990">
        <v>0</v>
      </c>
      <c r="Q6990">
        <v>3230.51</v>
      </c>
      <c r="R6990">
        <v>516.88</v>
      </c>
      <c r="S6990">
        <v>129.22</v>
      </c>
      <c r="T6990">
        <v>3618.17</v>
      </c>
      <c r="U6990" t="s">
        <v>2627</v>
      </c>
      <c r="V6990" t="s">
        <v>9408</v>
      </c>
      <c r="W6990" t="s">
        <v>423</v>
      </c>
    </row>
    <row r="6991" spans="1:23" hidden="1" x14ac:dyDescent="0.2">
      <c r="A6991">
        <v>2012</v>
      </c>
      <c r="B6991" t="s">
        <v>305</v>
      </c>
      <c r="C6991" s="733">
        <v>40970</v>
      </c>
      <c r="D6991" s="733" t="str">
        <f>CHOOSE(MONTH(Tabla_sqldatos_bonampakdb_Bon_v_ingresos2012[[#This Row],[fecha_guia]]),"Enero","Febrero","Marzo","Abril","Mayo","Junio","Julio","Agosto","Septiembre","Octubre","Noviembre","Diciembre")</f>
        <v>Marzo</v>
      </c>
      <c r="E6991" t="s">
        <v>478</v>
      </c>
      <c r="F6991" t="s">
        <v>2622</v>
      </c>
      <c r="G6991" t="s">
        <v>9781</v>
      </c>
      <c r="H6991">
        <v>36301</v>
      </c>
      <c r="I6991" t="s">
        <v>423</v>
      </c>
      <c r="J6991" t="s">
        <v>2662</v>
      </c>
      <c r="K6991" t="s">
        <v>2625</v>
      </c>
      <c r="L6991" t="s">
        <v>2626</v>
      </c>
      <c r="M6991">
        <v>66</v>
      </c>
      <c r="N6991">
        <v>26.47</v>
      </c>
      <c r="O6991">
        <v>3116.31</v>
      </c>
      <c r="P6991">
        <v>0</v>
      </c>
      <c r="Q6991">
        <v>3116.31</v>
      </c>
      <c r="R6991">
        <v>498.61</v>
      </c>
      <c r="S6991">
        <v>124.65</v>
      </c>
      <c r="T6991">
        <v>3490.27</v>
      </c>
      <c r="V6991" t="s">
        <v>9408</v>
      </c>
      <c r="W6991" t="s">
        <v>423</v>
      </c>
    </row>
    <row r="6992" spans="1:23" hidden="1" x14ac:dyDescent="0.2">
      <c r="A6992">
        <v>2012</v>
      </c>
      <c r="B6992" t="s">
        <v>303</v>
      </c>
      <c r="C6992" s="733">
        <v>40928.902083333334</v>
      </c>
      <c r="D69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92" t="s">
        <v>478</v>
      </c>
      <c r="F6992" t="s">
        <v>2622</v>
      </c>
      <c r="G6992" t="s">
        <v>5883</v>
      </c>
      <c r="H6992">
        <v>34797</v>
      </c>
      <c r="I6992" t="s">
        <v>423</v>
      </c>
      <c r="J6992" t="s">
        <v>2662</v>
      </c>
      <c r="K6992" t="s">
        <v>2625</v>
      </c>
      <c r="L6992" t="s">
        <v>2626</v>
      </c>
      <c r="M6992">
        <v>66</v>
      </c>
      <c r="N6992">
        <v>22.19</v>
      </c>
      <c r="O6992">
        <v>2612.4299999999998</v>
      </c>
      <c r="P6992">
        <v>0</v>
      </c>
      <c r="Q6992">
        <v>2612.4299999999998</v>
      </c>
      <c r="R6992">
        <v>417.99</v>
      </c>
      <c r="S6992">
        <v>104.5</v>
      </c>
      <c r="T6992">
        <v>2925.92</v>
      </c>
      <c r="U6992" t="s">
        <v>2635</v>
      </c>
      <c r="V6992" t="s">
        <v>9408</v>
      </c>
      <c r="W6992" t="s">
        <v>423</v>
      </c>
    </row>
    <row r="6993" spans="1:23" hidden="1" x14ac:dyDescent="0.2">
      <c r="A6993">
        <v>2012</v>
      </c>
      <c r="B6993" t="s">
        <v>303</v>
      </c>
      <c r="C6993" s="733">
        <v>40926.735277777778</v>
      </c>
      <c r="D69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93" t="s">
        <v>478</v>
      </c>
      <c r="F6993" t="s">
        <v>2136</v>
      </c>
      <c r="G6993" t="s">
        <v>5585</v>
      </c>
      <c r="H6993">
        <v>34683</v>
      </c>
      <c r="I6993" t="s">
        <v>423</v>
      </c>
      <c r="J6993" t="s">
        <v>2662</v>
      </c>
      <c r="K6993" t="s">
        <v>2625</v>
      </c>
      <c r="L6993" t="s">
        <v>2626</v>
      </c>
      <c r="M6993">
        <v>66</v>
      </c>
      <c r="N6993">
        <v>21.02</v>
      </c>
      <c r="O6993">
        <v>2474.6799999999998</v>
      </c>
      <c r="P6993">
        <v>0</v>
      </c>
      <c r="Q6993">
        <v>2474.6799999999998</v>
      </c>
      <c r="R6993">
        <v>395.95</v>
      </c>
      <c r="S6993">
        <v>98.99</v>
      </c>
      <c r="T6993">
        <v>2771.64</v>
      </c>
      <c r="U6993" t="s">
        <v>2627</v>
      </c>
      <c r="V6993" t="s">
        <v>9408</v>
      </c>
      <c r="W6993" t="s">
        <v>423</v>
      </c>
    </row>
    <row r="6994" spans="1:23" hidden="1" x14ac:dyDescent="0.2">
      <c r="A6994">
        <v>2012</v>
      </c>
      <c r="B6994" t="s">
        <v>303</v>
      </c>
      <c r="C6994" s="733">
        <v>40926.734016203707</v>
      </c>
      <c r="D69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94" t="s">
        <v>478</v>
      </c>
      <c r="F6994" t="s">
        <v>2136</v>
      </c>
      <c r="G6994" t="s">
        <v>5584</v>
      </c>
      <c r="H6994">
        <v>34680</v>
      </c>
      <c r="I6994" t="s">
        <v>423</v>
      </c>
      <c r="J6994" t="s">
        <v>2662</v>
      </c>
      <c r="K6994" t="s">
        <v>2625</v>
      </c>
      <c r="L6994" t="s">
        <v>2626</v>
      </c>
      <c r="M6994">
        <v>66</v>
      </c>
      <c r="N6994">
        <v>21.41</v>
      </c>
      <c r="O6994">
        <v>2520.6</v>
      </c>
      <c r="P6994">
        <v>0</v>
      </c>
      <c r="Q6994">
        <v>2520.6</v>
      </c>
      <c r="R6994">
        <v>403.3</v>
      </c>
      <c r="S6994">
        <v>100.82</v>
      </c>
      <c r="T6994">
        <v>2823.08</v>
      </c>
      <c r="U6994" t="s">
        <v>2635</v>
      </c>
      <c r="V6994" t="s">
        <v>9408</v>
      </c>
      <c r="W6994" t="s">
        <v>423</v>
      </c>
    </row>
    <row r="6995" spans="1:23" hidden="1" x14ac:dyDescent="0.2">
      <c r="A6995">
        <v>2012</v>
      </c>
      <c r="B6995" t="s">
        <v>304</v>
      </c>
      <c r="C6995" s="733">
        <v>40960.454513888886</v>
      </c>
      <c r="D69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95" t="s">
        <v>478</v>
      </c>
      <c r="F6995" t="s">
        <v>2622</v>
      </c>
      <c r="G6995" t="s">
        <v>8489</v>
      </c>
      <c r="H6995">
        <v>35837</v>
      </c>
      <c r="I6995" t="s">
        <v>423</v>
      </c>
      <c r="J6995" t="s">
        <v>2662</v>
      </c>
      <c r="K6995" t="s">
        <v>2625</v>
      </c>
      <c r="L6995" t="s">
        <v>2626</v>
      </c>
      <c r="M6995">
        <v>66</v>
      </c>
      <c r="N6995">
        <v>24.87</v>
      </c>
      <c r="O6995">
        <v>2927.95</v>
      </c>
      <c r="P6995">
        <v>0</v>
      </c>
      <c r="Q6995">
        <v>2927.95</v>
      </c>
      <c r="R6995">
        <v>468.47</v>
      </c>
      <c r="S6995">
        <v>117.12</v>
      </c>
      <c r="T6995">
        <v>3279.3</v>
      </c>
      <c r="U6995" t="s">
        <v>8267</v>
      </c>
      <c r="V6995" t="s">
        <v>9408</v>
      </c>
      <c r="W6995" t="s">
        <v>423</v>
      </c>
    </row>
    <row r="6996" spans="1:23" hidden="1" x14ac:dyDescent="0.2">
      <c r="A6996">
        <v>2012</v>
      </c>
      <c r="B6996" t="s">
        <v>303</v>
      </c>
      <c r="C6996" s="733">
        <v>40939.646956018521</v>
      </c>
      <c r="D69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96" t="s">
        <v>485</v>
      </c>
      <c r="F6996" t="s">
        <v>2054</v>
      </c>
      <c r="G6996" t="s">
        <v>6343</v>
      </c>
      <c r="H6996">
        <v>10273</v>
      </c>
      <c r="I6996" t="s">
        <v>423</v>
      </c>
      <c r="J6996" t="s">
        <v>4078</v>
      </c>
      <c r="K6996" t="s">
        <v>2057</v>
      </c>
      <c r="L6996" t="s">
        <v>2058</v>
      </c>
      <c r="M6996">
        <v>154</v>
      </c>
      <c r="N6996">
        <v>30.15</v>
      </c>
      <c r="O6996">
        <v>5080.88</v>
      </c>
      <c r="P6996">
        <v>0</v>
      </c>
      <c r="Q6996">
        <v>5080.88</v>
      </c>
      <c r="R6996">
        <v>812.94</v>
      </c>
      <c r="S6996">
        <v>203.24</v>
      </c>
      <c r="T6996">
        <v>5690.58</v>
      </c>
      <c r="U6996" t="s">
        <v>2073</v>
      </c>
      <c r="V6996" t="s">
        <v>9408</v>
      </c>
      <c r="W6996" t="s">
        <v>423</v>
      </c>
    </row>
    <row r="6997" spans="1:23" hidden="1" x14ac:dyDescent="0.2">
      <c r="A6997">
        <v>2012</v>
      </c>
      <c r="B6997" t="s">
        <v>303</v>
      </c>
      <c r="C6997" s="733">
        <v>40924</v>
      </c>
      <c r="D69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97" t="s">
        <v>485</v>
      </c>
      <c r="F6997" t="s">
        <v>2054</v>
      </c>
      <c r="G6997" t="s">
        <v>6342</v>
      </c>
      <c r="H6997">
        <v>10096</v>
      </c>
      <c r="I6997" t="s">
        <v>423</v>
      </c>
      <c r="J6997" t="s">
        <v>4078</v>
      </c>
      <c r="K6997" t="s">
        <v>2057</v>
      </c>
      <c r="L6997" t="s">
        <v>2058</v>
      </c>
      <c r="M6997">
        <v>154</v>
      </c>
      <c r="N6997">
        <v>24.32</v>
      </c>
      <c r="O6997">
        <v>4098.41</v>
      </c>
      <c r="P6997">
        <v>0</v>
      </c>
      <c r="Q6997">
        <v>4098.41</v>
      </c>
      <c r="R6997">
        <v>655.75</v>
      </c>
      <c r="S6997">
        <v>163.94</v>
      </c>
      <c r="T6997">
        <v>4590.22</v>
      </c>
      <c r="U6997" t="s">
        <v>2059</v>
      </c>
      <c r="V6997" t="s">
        <v>9408</v>
      </c>
      <c r="W6997" t="s">
        <v>423</v>
      </c>
    </row>
    <row r="6998" spans="1:23" hidden="1" x14ac:dyDescent="0.2">
      <c r="A6998">
        <v>2012</v>
      </c>
      <c r="B6998" t="s">
        <v>303</v>
      </c>
      <c r="C6998" s="733">
        <v>40939</v>
      </c>
      <c r="D69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6998" t="s">
        <v>485</v>
      </c>
      <c r="F6998" t="s">
        <v>2054</v>
      </c>
      <c r="G6998" t="s">
        <v>6416</v>
      </c>
      <c r="H6998">
        <v>10034</v>
      </c>
      <c r="I6998" t="s">
        <v>423</v>
      </c>
      <c r="J6998" t="s">
        <v>4045</v>
      </c>
      <c r="K6998" t="s">
        <v>2057</v>
      </c>
      <c r="L6998" t="s">
        <v>2058</v>
      </c>
      <c r="M6998">
        <v>0</v>
      </c>
      <c r="N6998">
        <v>23.09</v>
      </c>
      <c r="O6998">
        <v>3891.13</v>
      </c>
      <c r="P6998">
        <v>0</v>
      </c>
      <c r="Q6998">
        <v>3891.13</v>
      </c>
      <c r="R6998">
        <v>622.58000000000004</v>
      </c>
      <c r="S6998">
        <v>155.65</v>
      </c>
      <c r="T6998">
        <v>4358.0600000000004</v>
      </c>
      <c r="U6998" t="s">
        <v>2073</v>
      </c>
      <c r="V6998" t="s">
        <v>9408</v>
      </c>
      <c r="W6998" t="s">
        <v>423</v>
      </c>
    </row>
    <row r="6999" spans="1:23" hidden="1" x14ac:dyDescent="0.2">
      <c r="A6999">
        <v>2012</v>
      </c>
      <c r="B6999" t="s">
        <v>304</v>
      </c>
      <c r="C6999" s="733">
        <v>40962</v>
      </c>
      <c r="D69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6999" t="s">
        <v>485</v>
      </c>
      <c r="F6999" t="s">
        <v>2054</v>
      </c>
      <c r="G6999" t="s">
        <v>8700</v>
      </c>
      <c r="H6999">
        <v>10502</v>
      </c>
      <c r="I6999" t="s">
        <v>423</v>
      </c>
      <c r="J6999" t="s">
        <v>4078</v>
      </c>
      <c r="K6999" t="s">
        <v>2057</v>
      </c>
      <c r="L6999" t="s">
        <v>2058</v>
      </c>
      <c r="M6999">
        <v>154</v>
      </c>
      <c r="N6999">
        <v>22.65</v>
      </c>
      <c r="O6999">
        <v>3816.98</v>
      </c>
      <c r="P6999">
        <v>0</v>
      </c>
      <c r="Q6999">
        <v>3816.98</v>
      </c>
      <c r="R6999">
        <v>419.87</v>
      </c>
      <c r="S6999">
        <v>152.68</v>
      </c>
      <c r="T6999">
        <v>4084.17</v>
      </c>
      <c r="U6999" t="s">
        <v>8864</v>
      </c>
      <c r="V6999" t="s">
        <v>9408</v>
      </c>
      <c r="W6999" t="s">
        <v>423</v>
      </c>
    </row>
    <row r="7000" spans="1:23" hidden="1" x14ac:dyDescent="0.2">
      <c r="A7000">
        <v>2012</v>
      </c>
      <c r="B7000" t="s">
        <v>303</v>
      </c>
      <c r="C7000" s="733">
        <v>40934</v>
      </c>
      <c r="D70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00" t="s">
        <v>505</v>
      </c>
      <c r="F7000" t="s">
        <v>1915</v>
      </c>
      <c r="G7000" t="s">
        <v>2774</v>
      </c>
      <c r="H7000">
        <v>22218</v>
      </c>
      <c r="I7000" t="s">
        <v>1979</v>
      </c>
      <c r="J7000" t="s">
        <v>1980</v>
      </c>
      <c r="K7000" t="s">
        <v>1918</v>
      </c>
      <c r="L7000" t="s">
        <v>1919</v>
      </c>
      <c r="M7000">
        <v>732</v>
      </c>
      <c r="N7000">
        <v>49.69</v>
      </c>
      <c r="O7000">
        <v>21794.03</v>
      </c>
      <c r="P7000">
        <v>0</v>
      </c>
      <c r="Q7000">
        <v>21794.03</v>
      </c>
      <c r="R7000">
        <v>3487.05</v>
      </c>
      <c r="S7000">
        <v>871.76</v>
      </c>
      <c r="T7000">
        <v>24409.32</v>
      </c>
      <c r="U7000" t="s">
        <v>1926</v>
      </c>
      <c r="V7000" t="s">
        <v>9409</v>
      </c>
      <c r="W7000" t="s">
        <v>1979</v>
      </c>
    </row>
    <row r="7001" spans="1:23" hidden="1" x14ac:dyDescent="0.2">
      <c r="A7001">
        <v>2012</v>
      </c>
      <c r="B7001" t="s">
        <v>303</v>
      </c>
      <c r="C7001" s="733">
        <v>40928</v>
      </c>
      <c r="D70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01" t="s">
        <v>505</v>
      </c>
      <c r="F7001" t="s">
        <v>1915</v>
      </c>
      <c r="G7001" t="s">
        <v>2773</v>
      </c>
      <c r="H7001">
        <v>22100</v>
      </c>
      <c r="I7001" t="s">
        <v>423</v>
      </c>
      <c r="J7001" t="s">
        <v>1945</v>
      </c>
      <c r="K7001" t="s">
        <v>1918</v>
      </c>
      <c r="L7001" t="s">
        <v>1919</v>
      </c>
      <c r="M7001">
        <v>949</v>
      </c>
      <c r="N7001">
        <v>27.15</v>
      </c>
      <c r="O7001">
        <v>15622.38</v>
      </c>
      <c r="P7001">
        <v>0</v>
      </c>
      <c r="Q7001">
        <v>15622.38</v>
      </c>
      <c r="R7001">
        <v>2499.58</v>
      </c>
      <c r="S7001">
        <v>624.9</v>
      </c>
      <c r="T7001">
        <v>17497.060000000001</v>
      </c>
      <c r="U7001" t="s">
        <v>1936</v>
      </c>
      <c r="V7001" t="s">
        <v>9409</v>
      </c>
      <c r="W7001" t="s">
        <v>423</v>
      </c>
    </row>
    <row r="7002" spans="1:23" hidden="1" x14ac:dyDescent="0.2">
      <c r="A7002">
        <v>2012</v>
      </c>
      <c r="B7002" t="s">
        <v>304</v>
      </c>
      <c r="C7002" s="733">
        <v>40940</v>
      </c>
      <c r="D700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02" t="s">
        <v>485</v>
      </c>
      <c r="F7002" t="s">
        <v>2065</v>
      </c>
      <c r="G7002" t="s">
        <v>6442</v>
      </c>
      <c r="H7002">
        <v>39943</v>
      </c>
      <c r="I7002" t="s">
        <v>423</v>
      </c>
      <c r="J7002" t="s">
        <v>3965</v>
      </c>
      <c r="K7002" t="s">
        <v>2183</v>
      </c>
      <c r="L7002" t="s">
        <v>2184</v>
      </c>
      <c r="M7002">
        <v>696</v>
      </c>
      <c r="N7002">
        <v>26.82</v>
      </c>
      <c r="O7002">
        <v>10869.88</v>
      </c>
      <c r="P7002">
        <v>0</v>
      </c>
      <c r="Q7002">
        <v>10869.88</v>
      </c>
      <c r="R7002">
        <v>1739.18</v>
      </c>
      <c r="S7002">
        <v>434.8</v>
      </c>
      <c r="T7002">
        <v>12174.26</v>
      </c>
      <c r="U7002" t="s">
        <v>2192</v>
      </c>
      <c r="V7002" t="s">
        <v>9408</v>
      </c>
      <c r="W7002" t="s">
        <v>423</v>
      </c>
    </row>
    <row r="7003" spans="1:23" hidden="1" x14ac:dyDescent="0.2">
      <c r="A7003">
        <v>2012</v>
      </c>
      <c r="B7003" t="s">
        <v>304</v>
      </c>
      <c r="C7003" s="733">
        <v>40949</v>
      </c>
      <c r="D70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03" t="s">
        <v>505</v>
      </c>
      <c r="F7003" t="s">
        <v>1915</v>
      </c>
      <c r="G7003" t="s">
        <v>2444</v>
      </c>
      <c r="H7003">
        <v>22581</v>
      </c>
      <c r="I7003" t="s">
        <v>423</v>
      </c>
      <c r="J7003" t="s">
        <v>1947</v>
      </c>
      <c r="K7003" t="s">
        <v>1918</v>
      </c>
      <c r="L7003" t="s">
        <v>1919</v>
      </c>
      <c r="M7003">
        <v>973</v>
      </c>
      <c r="N7003">
        <v>49.44</v>
      </c>
      <c r="O7003">
        <v>28870.98</v>
      </c>
      <c r="P7003">
        <v>0</v>
      </c>
      <c r="Q7003">
        <v>28870.98</v>
      </c>
      <c r="R7003">
        <v>4619.3599999999997</v>
      </c>
      <c r="S7003">
        <v>1154.8399999999999</v>
      </c>
      <c r="T7003">
        <v>32335.5</v>
      </c>
      <c r="U7003" t="s">
        <v>7522</v>
      </c>
      <c r="V7003" t="s">
        <v>9409</v>
      </c>
      <c r="W7003" t="s">
        <v>423</v>
      </c>
    </row>
    <row r="7004" spans="1:23" hidden="1" x14ac:dyDescent="0.2">
      <c r="A7004">
        <v>2012</v>
      </c>
      <c r="B7004" t="s">
        <v>303</v>
      </c>
      <c r="C7004" s="733">
        <v>40922</v>
      </c>
      <c r="D70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04" t="s">
        <v>505</v>
      </c>
      <c r="F7004" t="s">
        <v>1915</v>
      </c>
      <c r="G7004" t="s">
        <v>2445</v>
      </c>
      <c r="H7004">
        <v>21932</v>
      </c>
      <c r="I7004" t="s">
        <v>423</v>
      </c>
      <c r="J7004" t="s">
        <v>1947</v>
      </c>
      <c r="K7004" t="s">
        <v>1918</v>
      </c>
      <c r="L7004" t="s">
        <v>1919</v>
      </c>
      <c r="M7004">
        <v>973</v>
      </c>
      <c r="N7004">
        <v>49.98</v>
      </c>
      <c r="O7004">
        <v>29186.32</v>
      </c>
      <c r="P7004">
        <v>0</v>
      </c>
      <c r="Q7004">
        <v>29186.32</v>
      </c>
      <c r="R7004">
        <v>4669.8100000000004</v>
      </c>
      <c r="S7004">
        <v>1167.45</v>
      </c>
      <c r="T7004">
        <v>32688.68</v>
      </c>
      <c r="U7004" t="s">
        <v>1931</v>
      </c>
      <c r="V7004" t="s">
        <v>9409</v>
      </c>
      <c r="W7004" t="s">
        <v>423</v>
      </c>
    </row>
    <row r="7005" spans="1:23" hidden="1" x14ac:dyDescent="0.2">
      <c r="A7005">
        <v>2012</v>
      </c>
      <c r="B7005" t="s">
        <v>303</v>
      </c>
      <c r="C7005" s="733">
        <v>40929</v>
      </c>
      <c r="D70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05" t="s">
        <v>505</v>
      </c>
      <c r="F7005" t="s">
        <v>1915</v>
      </c>
      <c r="G7005" t="s">
        <v>2446</v>
      </c>
      <c r="H7005">
        <v>22104</v>
      </c>
      <c r="I7005" t="s">
        <v>423</v>
      </c>
      <c r="J7005" t="s">
        <v>1947</v>
      </c>
      <c r="K7005" t="s">
        <v>1918</v>
      </c>
      <c r="L7005" t="s">
        <v>1919</v>
      </c>
      <c r="M7005">
        <v>973</v>
      </c>
      <c r="N7005">
        <v>50.02</v>
      </c>
      <c r="O7005">
        <v>29209.68</v>
      </c>
      <c r="P7005">
        <v>0</v>
      </c>
      <c r="Q7005">
        <v>29209.68</v>
      </c>
      <c r="R7005">
        <v>4673.55</v>
      </c>
      <c r="S7005">
        <v>1168.3900000000001</v>
      </c>
      <c r="T7005">
        <v>32714.84</v>
      </c>
      <c r="U7005" t="s">
        <v>8778</v>
      </c>
      <c r="V7005" t="s">
        <v>9409</v>
      </c>
      <c r="W7005" t="s">
        <v>423</v>
      </c>
    </row>
    <row r="7006" spans="1:23" hidden="1" x14ac:dyDescent="0.2">
      <c r="A7006">
        <v>2012</v>
      </c>
      <c r="B7006" t="s">
        <v>303</v>
      </c>
      <c r="C7006" s="733">
        <v>40931</v>
      </c>
      <c r="D70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06" t="s">
        <v>485</v>
      </c>
      <c r="F7006" t="s">
        <v>2065</v>
      </c>
      <c r="G7006" t="s">
        <v>6456</v>
      </c>
      <c r="H7006">
        <v>40737</v>
      </c>
      <c r="I7006" t="s">
        <v>423</v>
      </c>
      <c r="J7006" t="s">
        <v>2972</v>
      </c>
      <c r="K7006" t="s">
        <v>2051</v>
      </c>
      <c r="L7006" t="s">
        <v>2052</v>
      </c>
      <c r="M7006">
        <v>398</v>
      </c>
      <c r="N7006">
        <v>27.75</v>
      </c>
      <c r="O7006">
        <v>7674.82</v>
      </c>
      <c r="P7006">
        <v>0</v>
      </c>
      <c r="Q7006">
        <v>7674.82</v>
      </c>
      <c r="R7006">
        <v>1227.97</v>
      </c>
      <c r="S7006">
        <v>306.99</v>
      </c>
      <c r="T7006">
        <v>8595.7999999999993</v>
      </c>
      <c r="U7006" t="s">
        <v>2053</v>
      </c>
      <c r="V7006" t="s">
        <v>9408</v>
      </c>
      <c r="W7006" t="s">
        <v>423</v>
      </c>
    </row>
    <row r="7007" spans="1:23" hidden="1" x14ac:dyDescent="0.2">
      <c r="A7007">
        <v>2012</v>
      </c>
      <c r="B7007" t="s">
        <v>304</v>
      </c>
      <c r="C7007" s="733">
        <v>40952</v>
      </c>
      <c r="D70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07" t="s">
        <v>478</v>
      </c>
      <c r="F7007" t="s">
        <v>2142</v>
      </c>
      <c r="G7007" t="s">
        <v>7141</v>
      </c>
      <c r="H7007">
        <v>35555</v>
      </c>
      <c r="I7007" t="s">
        <v>423</v>
      </c>
      <c r="J7007" t="s">
        <v>4276</v>
      </c>
      <c r="K7007" t="s">
        <v>425</v>
      </c>
      <c r="L7007" t="s">
        <v>2145</v>
      </c>
      <c r="M7007">
        <v>60</v>
      </c>
      <c r="N7007">
        <v>46.86</v>
      </c>
      <c r="O7007">
        <v>6290.96</v>
      </c>
      <c r="P7007">
        <v>0</v>
      </c>
      <c r="Q7007">
        <v>6290.96</v>
      </c>
      <c r="R7007">
        <v>1006.55</v>
      </c>
      <c r="S7007">
        <v>251.64</v>
      </c>
      <c r="T7007">
        <v>7045.87</v>
      </c>
      <c r="U7007" t="s">
        <v>9455</v>
      </c>
      <c r="V7007" t="s">
        <v>9409</v>
      </c>
      <c r="W7007" t="s">
        <v>423</v>
      </c>
    </row>
    <row r="7008" spans="1:23" hidden="1" x14ac:dyDescent="0.2">
      <c r="A7008">
        <v>2012</v>
      </c>
      <c r="B7008" t="s">
        <v>304</v>
      </c>
      <c r="C7008" s="733">
        <v>40959</v>
      </c>
      <c r="D70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08" t="s">
        <v>505</v>
      </c>
      <c r="F7008" t="s">
        <v>1915</v>
      </c>
      <c r="G7008" t="s">
        <v>8101</v>
      </c>
      <c r="H7008">
        <v>22876</v>
      </c>
      <c r="I7008" t="s">
        <v>423</v>
      </c>
      <c r="J7008" t="s">
        <v>4158</v>
      </c>
      <c r="K7008" t="s">
        <v>1918</v>
      </c>
      <c r="L7008" t="s">
        <v>1919</v>
      </c>
      <c r="M7008">
        <v>274</v>
      </c>
      <c r="N7008">
        <v>55.76</v>
      </c>
      <c r="O7008">
        <v>15395.34</v>
      </c>
      <c r="P7008">
        <v>0</v>
      </c>
      <c r="Q7008">
        <v>15395.34</v>
      </c>
      <c r="R7008">
        <v>2463.25</v>
      </c>
      <c r="S7008">
        <v>615.80999999999995</v>
      </c>
      <c r="T7008">
        <v>17242.78</v>
      </c>
      <c r="U7008" t="s">
        <v>8491</v>
      </c>
      <c r="V7008" t="s">
        <v>9409</v>
      </c>
      <c r="W7008" t="s">
        <v>423</v>
      </c>
    </row>
    <row r="7009" spans="1:23" hidden="1" x14ac:dyDescent="0.2">
      <c r="A7009">
        <v>2012</v>
      </c>
      <c r="B7009" t="s">
        <v>303</v>
      </c>
      <c r="C7009" s="733">
        <v>40924.730636574073</v>
      </c>
      <c r="D70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09" t="s">
        <v>485</v>
      </c>
      <c r="F7009" t="s">
        <v>2054</v>
      </c>
      <c r="G7009" t="s">
        <v>2331</v>
      </c>
      <c r="H7009">
        <v>10091</v>
      </c>
      <c r="I7009" t="s">
        <v>423</v>
      </c>
      <c r="J7009" t="s">
        <v>2056</v>
      </c>
      <c r="K7009" t="s">
        <v>2057</v>
      </c>
      <c r="L7009" t="s">
        <v>2058</v>
      </c>
      <c r="M7009">
        <v>19</v>
      </c>
      <c r="N7009">
        <v>25.05</v>
      </c>
      <c r="O7009">
        <v>2827.39</v>
      </c>
      <c r="P7009">
        <v>0</v>
      </c>
      <c r="Q7009">
        <v>2827.39</v>
      </c>
      <c r="R7009">
        <v>452.38</v>
      </c>
      <c r="S7009">
        <v>113.1</v>
      </c>
      <c r="T7009">
        <v>3166.67</v>
      </c>
      <c r="U7009" t="s">
        <v>2059</v>
      </c>
      <c r="V7009" t="s">
        <v>9408</v>
      </c>
      <c r="W7009" t="s">
        <v>423</v>
      </c>
    </row>
    <row r="7010" spans="1:23" hidden="1" x14ac:dyDescent="0.2">
      <c r="A7010">
        <v>2012</v>
      </c>
      <c r="B7010" t="s">
        <v>303</v>
      </c>
      <c r="C7010" s="733">
        <v>40938</v>
      </c>
      <c r="D701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10" t="s">
        <v>485</v>
      </c>
      <c r="F7010" t="s">
        <v>2065</v>
      </c>
      <c r="G7010" t="s">
        <v>2314</v>
      </c>
      <c r="H7010">
        <v>40871</v>
      </c>
      <c r="I7010" t="s">
        <v>423</v>
      </c>
      <c r="J7010" t="s">
        <v>2050</v>
      </c>
      <c r="K7010" t="s">
        <v>2051</v>
      </c>
      <c r="L7010" t="s">
        <v>2052</v>
      </c>
      <c r="M7010">
        <v>90</v>
      </c>
      <c r="N7010">
        <v>28</v>
      </c>
      <c r="O7010">
        <v>3928.68</v>
      </c>
      <c r="P7010">
        <v>0</v>
      </c>
      <c r="Q7010">
        <v>3928.68</v>
      </c>
      <c r="R7010">
        <v>628.59</v>
      </c>
      <c r="S7010">
        <v>157.15</v>
      </c>
      <c r="T7010">
        <v>4400.12</v>
      </c>
      <c r="U7010" t="s">
        <v>2064</v>
      </c>
      <c r="V7010" t="s">
        <v>9408</v>
      </c>
      <c r="W7010" t="s">
        <v>423</v>
      </c>
    </row>
    <row r="7011" spans="1:23" hidden="1" x14ac:dyDescent="0.2">
      <c r="A7011">
        <v>2012</v>
      </c>
      <c r="B7011" t="s">
        <v>303</v>
      </c>
      <c r="C7011" s="733">
        <v>40931</v>
      </c>
      <c r="D70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11" t="s">
        <v>485</v>
      </c>
      <c r="F7011" t="s">
        <v>2084</v>
      </c>
      <c r="G7011" t="s">
        <v>2327</v>
      </c>
      <c r="H7011">
        <v>40742</v>
      </c>
      <c r="I7011" t="s">
        <v>423</v>
      </c>
      <c r="J7011" t="s">
        <v>2171</v>
      </c>
      <c r="K7011" t="s">
        <v>2051</v>
      </c>
      <c r="L7011" t="s">
        <v>2052</v>
      </c>
      <c r="M7011">
        <v>57</v>
      </c>
      <c r="N7011">
        <v>24.8</v>
      </c>
      <c r="O7011">
        <v>3479.69</v>
      </c>
      <c r="P7011">
        <v>0</v>
      </c>
      <c r="Q7011">
        <v>3479.69</v>
      </c>
      <c r="R7011">
        <v>556.75</v>
      </c>
      <c r="S7011">
        <v>139.19</v>
      </c>
      <c r="T7011">
        <v>3897.25</v>
      </c>
      <c r="U7011" t="s">
        <v>2053</v>
      </c>
      <c r="V7011" t="s">
        <v>9408</v>
      </c>
      <c r="W7011" t="s">
        <v>423</v>
      </c>
    </row>
    <row r="7012" spans="1:23" hidden="1" x14ac:dyDescent="0.2">
      <c r="A7012">
        <v>2012</v>
      </c>
      <c r="B7012" t="s">
        <v>303</v>
      </c>
      <c r="C7012" s="733">
        <v>40924</v>
      </c>
      <c r="D70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12" t="s">
        <v>485</v>
      </c>
      <c r="F7012" t="s">
        <v>2048</v>
      </c>
      <c r="G7012" t="s">
        <v>2315</v>
      </c>
      <c r="H7012">
        <v>40408</v>
      </c>
      <c r="I7012" t="s">
        <v>423</v>
      </c>
      <c r="J7012" t="s">
        <v>2050</v>
      </c>
      <c r="K7012" t="s">
        <v>2051</v>
      </c>
      <c r="L7012" t="s">
        <v>2052</v>
      </c>
      <c r="M7012">
        <v>90</v>
      </c>
      <c r="N7012">
        <v>23.6</v>
      </c>
      <c r="O7012">
        <v>3311.32</v>
      </c>
      <c r="P7012">
        <v>0</v>
      </c>
      <c r="Q7012">
        <v>3311.32</v>
      </c>
      <c r="R7012">
        <v>529.80999999999995</v>
      </c>
      <c r="S7012">
        <v>132.44999999999999</v>
      </c>
      <c r="T7012">
        <v>3708.68</v>
      </c>
      <c r="U7012" t="s">
        <v>2062</v>
      </c>
      <c r="V7012" t="s">
        <v>9408</v>
      </c>
      <c r="W7012" t="s">
        <v>423</v>
      </c>
    </row>
    <row r="7013" spans="1:23" hidden="1" x14ac:dyDescent="0.2">
      <c r="A7013">
        <v>2012</v>
      </c>
      <c r="B7013" t="s">
        <v>304</v>
      </c>
      <c r="C7013" s="733">
        <v>40954.657789351855</v>
      </c>
      <c r="D70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13" t="s">
        <v>485</v>
      </c>
      <c r="F7013" t="s">
        <v>2054</v>
      </c>
      <c r="G7013" t="s">
        <v>7701</v>
      </c>
      <c r="H7013">
        <v>10450</v>
      </c>
      <c r="I7013" t="s">
        <v>423</v>
      </c>
      <c r="J7013" t="s">
        <v>2056</v>
      </c>
      <c r="K7013" t="s">
        <v>2057</v>
      </c>
      <c r="L7013" t="s">
        <v>2058</v>
      </c>
      <c r="M7013">
        <v>19</v>
      </c>
      <c r="N7013">
        <v>47.83</v>
      </c>
      <c r="O7013">
        <v>5398.57</v>
      </c>
      <c r="P7013">
        <v>0</v>
      </c>
      <c r="Q7013">
        <v>5398.57</v>
      </c>
      <c r="R7013">
        <v>593.84</v>
      </c>
      <c r="S7013">
        <v>215.94</v>
      </c>
      <c r="T7013">
        <v>5776.47</v>
      </c>
      <c r="U7013" t="s">
        <v>8047</v>
      </c>
      <c r="V7013" t="s">
        <v>9409</v>
      </c>
      <c r="W7013" t="s">
        <v>423</v>
      </c>
    </row>
    <row r="7014" spans="1:23" x14ac:dyDescent="0.2">
      <c r="A7014">
        <v>2012</v>
      </c>
      <c r="B7014" t="s">
        <v>304</v>
      </c>
      <c r="C7014" s="733">
        <v>40967</v>
      </c>
      <c r="D70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14" t="s">
        <v>485</v>
      </c>
      <c r="F7014" t="s">
        <v>2048</v>
      </c>
      <c r="G7014" t="s">
        <v>9149</v>
      </c>
      <c r="H7014">
        <v>42733</v>
      </c>
      <c r="I7014" t="s">
        <v>423</v>
      </c>
      <c r="J7014" t="s">
        <v>2050</v>
      </c>
      <c r="K7014" t="s">
        <v>2051</v>
      </c>
      <c r="L7014" t="s">
        <v>2052</v>
      </c>
      <c r="M7014">
        <v>90</v>
      </c>
      <c r="N7014">
        <v>25.1</v>
      </c>
      <c r="O7014">
        <v>3521.78</v>
      </c>
      <c r="P7014">
        <v>0</v>
      </c>
      <c r="Q7014">
        <v>3521.78</v>
      </c>
      <c r="R7014">
        <v>563.48</v>
      </c>
      <c r="S7014">
        <v>140.87</v>
      </c>
      <c r="T7014">
        <v>3944.39</v>
      </c>
      <c r="U7014" t="s">
        <v>8780</v>
      </c>
      <c r="V7014" t="s">
        <v>9408</v>
      </c>
      <c r="W7014" t="s">
        <v>423</v>
      </c>
    </row>
    <row r="7015" spans="1:23" hidden="1" x14ac:dyDescent="0.2">
      <c r="A7015">
        <v>2012</v>
      </c>
      <c r="B7015" t="s">
        <v>304</v>
      </c>
      <c r="C7015" s="733">
        <v>40941</v>
      </c>
      <c r="D70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15" t="s">
        <v>485</v>
      </c>
      <c r="F7015" t="s">
        <v>2048</v>
      </c>
      <c r="G7015" t="s">
        <v>2317</v>
      </c>
      <c r="H7015">
        <v>41334</v>
      </c>
      <c r="I7015" t="s">
        <v>423</v>
      </c>
      <c r="J7015" t="s">
        <v>2050</v>
      </c>
      <c r="K7015" t="s">
        <v>2051</v>
      </c>
      <c r="L7015" t="s">
        <v>2052</v>
      </c>
      <c r="M7015">
        <v>90</v>
      </c>
      <c r="N7015">
        <v>26.4</v>
      </c>
      <c r="O7015">
        <v>3704.18</v>
      </c>
      <c r="P7015">
        <v>0</v>
      </c>
      <c r="Q7015">
        <v>3704.18</v>
      </c>
      <c r="R7015">
        <v>592.66999999999996</v>
      </c>
      <c r="S7015">
        <v>148.16999999999999</v>
      </c>
      <c r="T7015">
        <v>4148.68</v>
      </c>
      <c r="U7015" t="s">
        <v>2067</v>
      </c>
      <c r="V7015" t="s">
        <v>9408</v>
      </c>
      <c r="W7015" t="s">
        <v>423</v>
      </c>
    </row>
    <row r="7016" spans="1:23" hidden="1" x14ac:dyDescent="0.2">
      <c r="A7016">
        <v>2012</v>
      </c>
      <c r="B7016" t="s">
        <v>304</v>
      </c>
      <c r="C7016" s="733">
        <v>40954</v>
      </c>
      <c r="D70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16" t="s">
        <v>505</v>
      </c>
      <c r="F7016" t="s">
        <v>1915</v>
      </c>
      <c r="G7016" t="s">
        <v>7035</v>
      </c>
      <c r="H7016">
        <v>22697</v>
      </c>
      <c r="I7016" t="s">
        <v>423</v>
      </c>
      <c r="J7016" t="s">
        <v>5504</v>
      </c>
      <c r="K7016" t="s">
        <v>1918</v>
      </c>
      <c r="L7016" t="s">
        <v>1919</v>
      </c>
      <c r="M7016">
        <v>1115</v>
      </c>
      <c r="N7016">
        <v>24.94</v>
      </c>
      <c r="O7016">
        <v>18402.48</v>
      </c>
      <c r="P7016">
        <v>0</v>
      </c>
      <c r="Q7016">
        <v>18402.48</v>
      </c>
      <c r="R7016">
        <v>2944.4</v>
      </c>
      <c r="S7016">
        <v>736.1</v>
      </c>
      <c r="T7016">
        <v>20610.78</v>
      </c>
      <c r="U7016" t="s">
        <v>7529</v>
      </c>
      <c r="V7016" t="s">
        <v>9408</v>
      </c>
      <c r="W7016" t="s">
        <v>423</v>
      </c>
    </row>
    <row r="7017" spans="1:23" hidden="1" x14ac:dyDescent="0.2">
      <c r="A7017">
        <v>2012</v>
      </c>
      <c r="B7017" t="s">
        <v>304</v>
      </c>
      <c r="C7017" s="733">
        <v>40947.413217592592</v>
      </c>
      <c r="D70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17" t="s">
        <v>478</v>
      </c>
      <c r="F7017" t="s">
        <v>2622</v>
      </c>
      <c r="G7017" t="s">
        <v>3268</v>
      </c>
      <c r="H7017">
        <v>35422</v>
      </c>
      <c r="I7017" t="s">
        <v>423</v>
      </c>
      <c r="J7017" t="s">
        <v>2662</v>
      </c>
      <c r="K7017" t="s">
        <v>2625</v>
      </c>
      <c r="L7017" t="s">
        <v>2626</v>
      </c>
      <c r="M7017">
        <v>66</v>
      </c>
      <c r="N7017">
        <v>21.88</v>
      </c>
      <c r="O7017">
        <v>2575.9299999999998</v>
      </c>
      <c r="P7017">
        <v>0</v>
      </c>
      <c r="Q7017">
        <v>2575.9299999999998</v>
      </c>
      <c r="R7017">
        <v>412.15</v>
      </c>
      <c r="S7017">
        <v>103.04</v>
      </c>
      <c r="T7017">
        <v>2885.04</v>
      </c>
      <c r="U7017" t="s">
        <v>2652</v>
      </c>
      <c r="V7017" t="s">
        <v>9408</v>
      </c>
      <c r="W7017" t="s">
        <v>423</v>
      </c>
    </row>
    <row r="7018" spans="1:23" hidden="1" x14ac:dyDescent="0.2">
      <c r="A7018">
        <v>2012</v>
      </c>
      <c r="B7018" t="s">
        <v>304</v>
      </c>
      <c r="C7018" s="733">
        <v>40963</v>
      </c>
      <c r="D70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18" t="s">
        <v>478</v>
      </c>
      <c r="F7018" t="s">
        <v>2622</v>
      </c>
      <c r="G7018" t="s">
        <v>9148</v>
      </c>
      <c r="H7018">
        <v>35715</v>
      </c>
      <c r="I7018" t="s">
        <v>423</v>
      </c>
      <c r="J7018" t="s">
        <v>2662</v>
      </c>
      <c r="K7018" t="s">
        <v>2625</v>
      </c>
      <c r="L7018" t="s">
        <v>2626</v>
      </c>
      <c r="M7018">
        <v>66</v>
      </c>
      <c r="N7018">
        <v>23.72</v>
      </c>
      <c r="O7018">
        <v>2792.56</v>
      </c>
      <c r="P7018">
        <v>0</v>
      </c>
      <c r="Q7018">
        <v>2792.56</v>
      </c>
      <c r="R7018">
        <v>446.81</v>
      </c>
      <c r="S7018">
        <v>111.7</v>
      </c>
      <c r="T7018">
        <v>3127.67</v>
      </c>
      <c r="U7018" t="s">
        <v>9428</v>
      </c>
      <c r="V7018" t="s">
        <v>9408</v>
      </c>
      <c r="W7018" t="s">
        <v>423</v>
      </c>
    </row>
    <row r="7019" spans="1:23" hidden="1" x14ac:dyDescent="0.2">
      <c r="A7019">
        <v>2012</v>
      </c>
      <c r="B7019" t="s">
        <v>304</v>
      </c>
      <c r="C7019" s="733">
        <v>40967.428425925929</v>
      </c>
      <c r="D70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19" t="s">
        <v>478</v>
      </c>
      <c r="F7019" t="s">
        <v>2136</v>
      </c>
      <c r="G7019" t="s">
        <v>9146</v>
      </c>
      <c r="H7019">
        <v>36146</v>
      </c>
      <c r="I7019" t="s">
        <v>423</v>
      </c>
      <c r="J7019" t="s">
        <v>2662</v>
      </c>
      <c r="K7019" t="s">
        <v>2625</v>
      </c>
      <c r="L7019" t="s">
        <v>2626</v>
      </c>
      <c r="M7019">
        <v>66</v>
      </c>
      <c r="N7019">
        <v>24.18</v>
      </c>
      <c r="O7019">
        <v>2846.71</v>
      </c>
      <c r="P7019">
        <v>0</v>
      </c>
      <c r="Q7019">
        <v>2846.71</v>
      </c>
      <c r="R7019">
        <v>455.47</v>
      </c>
      <c r="S7019">
        <v>113.87</v>
      </c>
      <c r="T7019">
        <v>3188.31</v>
      </c>
      <c r="U7019" t="s">
        <v>9428</v>
      </c>
      <c r="V7019" t="s">
        <v>9408</v>
      </c>
      <c r="W7019" t="s">
        <v>423</v>
      </c>
    </row>
    <row r="7020" spans="1:23" hidden="1" x14ac:dyDescent="0.2">
      <c r="A7020">
        <v>2012</v>
      </c>
      <c r="B7020" t="s">
        <v>304</v>
      </c>
      <c r="C7020" s="733">
        <v>40966.613587962966</v>
      </c>
      <c r="D70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20" t="s">
        <v>478</v>
      </c>
      <c r="F7020" t="s">
        <v>2136</v>
      </c>
      <c r="G7020" t="s">
        <v>9145</v>
      </c>
      <c r="H7020">
        <v>36066</v>
      </c>
      <c r="I7020" t="s">
        <v>423</v>
      </c>
      <c r="J7020" t="s">
        <v>2662</v>
      </c>
      <c r="K7020" t="s">
        <v>2625</v>
      </c>
      <c r="L7020" t="s">
        <v>2626</v>
      </c>
      <c r="M7020">
        <v>66</v>
      </c>
      <c r="N7020">
        <v>24.54</v>
      </c>
      <c r="O7020">
        <v>2889.09</v>
      </c>
      <c r="P7020">
        <v>0</v>
      </c>
      <c r="Q7020">
        <v>2889.09</v>
      </c>
      <c r="R7020">
        <v>462.26</v>
      </c>
      <c r="S7020">
        <v>115.56</v>
      </c>
      <c r="T7020">
        <v>3235.79</v>
      </c>
      <c r="U7020" t="s">
        <v>9428</v>
      </c>
      <c r="V7020" t="s">
        <v>9408</v>
      </c>
      <c r="W7020" t="s">
        <v>423</v>
      </c>
    </row>
    <row r="7021" spans="1:23" hidden="1" x14ac:dyDescent="0.2">
      <c r="A7021">
        <v>2012</v>
      </c>
      <c r="B7021" t="s">
        <v>303</v>
      </c>
      <c r="C7021" s="733">
        <v>40921.589328703703</v>
      </c>
      <c r="D70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21" t="s">
        <v>478</v>
      </c>
      <c r="F7021" t="s">
        <v>2622</v>
      </c>
      <c r="G7021" t="s">
        <v>3266</v>
      </c>
      <c r="H7021">
        <v>34490</v>
      </c>
      <c r="I7021" t="s">
        <v>423</v>
      </c>
      <c r="J7021" t="s">
        <v>2662</v>
      </c>
      <c r="K7021" t="s">
        <v>2625</v>
      </c>
      <c r="L7021" t="s">
        <v>2626</v>
      </c>
      <c r="M7021">
        <v>66</v>
      </c>
      <c r="N7021">
        <v>24.04</v>
      </c>
      <c r="O7021">
        <v>2830.23</v>
      </c>
      <c r="P7021">
        <v>0</v>
      </c>
      <c r="Q7021">
        <v>2830.23</v>
      </c>
      <c r="R7021">
        <v>452.84</v>
      </c>
      <c r="S7021">
        <v>113.21</v>
      </c>
      <c r="T7021">
        <v>3169.86</v>
      </c>
      <c r="U7021" t="s">
        <v>2627</v>
      </c>
      <c r="V7021" t="s">
        <v>9408</v>
      </c>
      <c r="W7021" t="s">
        <v>423</v>
      </c>
    </row>
    <row r="7022" spans="1:23" hidden="1" x14ac:dyDescent="0.2">
      <c r="A7022">
        <v>2012</v>
      </c>
      <c r="B7022" t="s">
        <v>304</v>
      </c>
      <c r="C7022" s="733">
        <v>40949.543969907405</v>
      </c>
      <c r="D70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22" t="s">
        <v>485</v>
      </c>
      <c r="F7022" t="s">
        <v>2054</v>
      </c>
      <c r="G7022" t="s">
        <v>6741</v>
      </c>
      <c r="H7022">
        <v>10374</v>
      </c>
      <c r="I7022" t="s">
        <v>423</v>
      </c>
      <c r="J7022" t="s">
        <v>4078</v>
      </c>
      <c r="K7022" t="s">
        <v>2057</v>
      </c>
      <c r="L7022" t="s">
        <v>2058</v>
      </c>
      <c r="M7022">
        <v>154</v>
      </c>
      <c r="N7022">
        <v>22.05</v>
      </c>
      <c r="O7022">
        <v>3715.87</v>
      </c>
      <c r="P7022">
        <v>0</v>
      </c>
      <c r="Q7022">
        <v>3715.87</v>
      </c>
      <c r="R7022">
        <v>408.75</v>
      </c>
      <c r="S7022">
        <v>148.63</v>
      </c>
      <c r="T7022">
        <v>3975.99</v>
      </c>
      <c r="U7022" t="s">
        <v>2082</v>
      </c>
      <c r="V7022" t="s">
        <v>9408</v>
      </c>
      <c r="W7022" t="s">
        <v>423</v>
      </c>
    </row>
    <row r="7023" spans="1:23" hidden="1" x14ac:dyDescent="0.2">
      <c r="A7023">
        <v>2012</v>
      </c>
      <c r="B7023" t="s">
        <v>303</v>
      </c>
      <c r="C7023" s="733">
        <v>40929.889386574076</v>
      </c>
      <c r="D70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23" t="s">
        <v>478</v>
      </c>
      <c r="F7023" t="s">
        <v>2622</v>
      </c>
      <c r="G7023" t="s">
        <v>3265</v>
      </c>
      <c r="H7023">
        <v>34825</v>
      </c>
      <c r="I7023" t="s">
        <v>423</v>
      </c>
      <c r="J7023" t="s">
        <v>2662</v>
      </c>
      <c r="K7023" t="s">
        <v>2625</v>
      </c>
      <c r="L7023" t="s">
        <v>2626</v>
      </c>
      <c r="M7023">
        <v>66</v>
      </c>
      <c r="N7023">
        <v>23.86</v>
      </c>
      <c r="O7023">
        <v>2783.03</v>
      </c>
      <c r="P7023">
        <v>0</v>
      </c>
      <c r="Q7023">
        <v>2783.03</v>
      </c>
      <c r="R7023">
        <v>445.28</v>
      </c>
      <c r="S7023">
        <v>111.32</v>
      </c>
      <c r="T7023">
        <v>3116.99</v>
      </c>
      <c r="U7023" t="s">
        <v>2633</v>
      </c>
      <c r="V7023" t="s">
        <v>9408</v>
      </c>
      <c r="W7023" t="s">
        <v>423</v>
      </c>
    </row>
    <row r="7024" spans="1:23" hidden="1" x14ac:dyDescent="0.2">
      <c r="A7024">
        <v>2012</v>
      </c>
      <c r="B7024" t="s">
        <v>304</v>
      </c>
      <c r="C7024" s="733">
        <v>40942</v>
      </c>
      <c r="D70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24" t="s">
        <v>478</v>
      </c>
      <c r="F7024" t="s">
        <v>2622</v>
      </c>
      <c r="G7024" t="s">
        <v>3267</v>
      </c>
      <c r="H7024">
        <v>35249</v>
      </c>
      <c r="I7024" t="s">
        <v>423</v>
      </c>
      <c r="J7024" t="s">
        <v>2662</v>
      </c>
      <c r="K7024" t="s">
        <v>2625</v>
      </c>
      <c r="L7024" t="s">
        <v>2626</v>
      </c>
      <c r="M7024">
        <v>66</v>
      </c>
      <c r="N7024">
        <v>24.34</v>
      </c>
      <c r="O7024">
        <v>2865.55</v>
      </c>
      <c r="P7024">
        <v>0</v>
      </c>
      <c r="Q7024">
        <v>2865.55</v>
      </c>
      <c r="R7024">
        <v>458.49</v>
      </c>
      <c r="S7024">
        <v>114.62</v>
      </c>
      <c r="T7024">
        <v>3209.42</v>
      </c>
      <c r="U7024" t="s">
        <v>2630</v>
      </c>
      <c r="V7024" t="s">
        <v>9408</v>
      </c>
      <c r="W7024" t="s">
        <v>423</v>
      </c>
    </row>
    <row r="7025" spans="1:23" hidden="1" x14ac:dyDescent="0.2">
      <c r="A7025">
        <v>2012</v>
      </c>
      <c r="B7025" t="s">
        <v>304</v>
      </c>
      <c r="C7025" s="733">
        <v>40960.435057870367</v>
      </c>
      <c r="D702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25" t="s">
        <v>478</v>
      </c>
      <c r="F7025" t="s">
        <v>2622</v>
      </c>
      <c r="G7025" t="s">
        <v>8359</v>
      </c>
      <c r="H7025">
        <v>35862</v>
      </c>
      <c r="I7025" t="s">
        <v>423</v>
      </c>
      <c r="J7025" t="s">
        <v>2662</v>
      </c>
      <c r="K7025" t="s">
        <v>2625</v>
      </c>
      <c r="L7025" t="s">
        <v>2626</v>
      </c>
      <c r="M7025">
        <v>66</v>
      </c>
      <c r="N7025">
        <v>26.79</v>
      </c>
      <c r="O7025">
        <v>3153.99</v>
      </c>
      <c r="P7025">
        <v>0</v>
      </c>
      <c r="Q7025">
        <v>3153.99</v>
      </c>
      <c r="R7025">
        <v>504.64</v>
      </c>
      <c r="S7025">
        <v>126.16</v>
      </c>
      <c r="T7025">
        <v>3532.47</v>
      </c>
      <c r="U7025" t="s">
        <v>8267</v>
      </c>
      <c r="V7025" t="s">
        <v>9408</v>
      </c>
      <c r="W7025" t="s">
        <v>423</v>
      </c>
    </row>
    <row r="7026" spans="1:23" hidden="1" x14ac:dyDescent="0.2">
      <c r="A7026">
        <v>2012</v>
      </c>
      <c r="B7026" t="s">
        <v>304</v>
      </c>
      <c r="C7026" s="733">
        <v>40960</v>
      </c>
      <c r="D70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26" t="s">
        <v>478</v>
      </c>
      <c r="F7026" t="s">
        <v>2136</v>
      </c>
      <c r="G7026" t="s">
        <v>8357</v>
      </c>
      <c r="H7026">
        <v>35808</v>
      </c>
      <c r="I7026" t="s">
        <v>423</v>
      </c>
      <c r="J7026" t="s">
        <v>2662</v>
      </c>
      <c r="K7026" t="s">
        <v>2625</v>
      </c>
      <c r="L7026" t="s">
        <v>2626</v>
      </c>
      <c r="M7026">
        <v>66</v>
      </c>
      <c r="N7026">
        <v>23.03</v>
      </c>
      <c r="O7026">
        <v>2711.32</v>
      </c>
      <c r="P7026">
        <v>0</v>
      </c>
      <c r="Q7026">
        <v>2711.32</v>
      </c>
      <c r="R7026">
        <v>433.81</v>
      </c>
      <c r="S7026">
        <v>108.45</v>
      </c>
      <c r="T7026">
        <v>3036.68</v>
      </c>
      <c r="U7026" t="s">
        <v>8267</v>
      </c>
      <c r="V7026" t="s">
        <v>9408</v>
      </c>
      <c r="W7026" t="s">
        <v>423</v>
      </c>
    </row>
    <row r="7027" spans="1:23" hidden="1" x14ac:dyDescent="0.2">
      <c r="A7027">
        <v>2012</v>
      </c>
      <c r="B7027" t="s">
        <v>303</v>
      </c>
      <c r="C7027" s="733">
        <v>40934</v>
      </c>
      <c r="D70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27" t="s">
        <v>478</v>
      </c>
      <c r="F7027" t="s">
        <v>2142</v>
      </c>
      <c r="G7027" t="s">
        <v>7217</v>
      </c>
      <c r="H7027">
        <v>34960</v>
      </c>
      <c r="I7027" t="s">
        <v>423</v>
      </c>
      <c r="J7027" t="s">
        <v>4285</v>
      </c>
      <c r="K7027" t="s">
        <v>425</v>
      </c>
      <c r="L7027" t="s">
        <v>2145</v>
      </c>
      <c r="M7027">
        <v>110</v>
      </c>
      <c r="N7027">
        <v>23.86</v>
      </c>
      <c r="O7027">
        <v>3985.1</v>
      </c>
      <c r="P7027">
        <v>0</v>
      </c>
      <c r="Q7027">
        <v>3985.1</v>
      </c>
      <c r="R7027">
        <v>637.62</v>
      </c>
      <c r="S7027">
        <v>159.4</v>
      </c>
      <c r="T7027">
        <v>4463.32</v>
      </c>
      <c r="U7027" t="s">
        <v>3234</v>
      </c>
      <c r="V7027" t="s">
        <v>9409</v>
      </c>
      <c r="W7027" t="s">
        <v>423</v>
      </c>
    </row>
    <row r="7028" spans="1:23" hidden="1" x14ac:dyDescent="0.2">
      <c r="A7028">
        <v>2012</v>
      </c>
      <c r="B7028" t="s">
        <v>303</v>
      </c>
      <c r="C7028" s="733">
        <v>40926</v>
      </c>
      <c r="D70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28" t="s">
        <v>478</v>
      </c>
      <c r="F7028" t="s">
        <v>2136</v>
      </c>
      <c r="G7028" t="s">
        <v>5926</v>
      </c>
      <c r="H7028">
        <v>34650</v>
      </c>
      <c r="I7028" t="s">
        <v>423</v>
      </c>
      <c r="J7028" t="s">
        <v>5077</v>
      </c>
      <c r="K7028" t="s">
        <v>425</v>
      </c>
      <c r="L7028" t="s">
        <v>2145</v>
      </c>
      <c r="M7028">
        <v>876</v>
      </c>
      <c r="N7028">
        <v>24.1</v>
      </c>
      <c r="O7028">
        <v>10447.83</v>
      </c>
      <c r="P7028">
        <v>0</v>
      </c>
      <c r="Q7028">
        <v>10447.83</v>
      </c>
      <c r="R7028">
        <v>1671.65</v>
      </c>
      <c r="S7028">
        <v>417.91</v>
      </c>
      <c r="T7028">
        <v>11701.57</v>
      </c>
      <c r="U7028" t="s">
        <v>2927</v>
      </c>
      <c r="V7028" t="s">
        <v>9408</v>
      </c>
      <c r="W7028" t="s">
        <v>423</v>
      </c>
    </row>
    <row r="7029" spans="1:23" hidden="1" x14ac:dyDescent="0.2">
      <c r="A7029">
        <v>2012</v>
      </c>
      <c r="B7029" t="s">
        <v>304</v>
      </c>
      <c r="C7029" s="733">
        <v>40959</v>
      </c>
      <c r="D70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29" t="s">
        <v>505</v>
      </c>
      <c r="F7029" t="s">
        <v>1915</v>
      </c>
      <c r="G7029" t="s">
        <v>7781</v>
      </c>
      <c r="H7029">
        <v>22855</v>
      </c>
      <c r="I7029" t="s">
        <v>423</v>
      </c>
      <c r="J7029" t="s">
        <v>4140</v>
      </c>
      <c r="K7029" t="s">
        <v>1918</v>
      </c>
      <c r="L7029" t="s">
        <v>1919</v>
      </c>
      <c r="M7029">
        <v>1</v>
      </c>
      <c r="N7029">
        <v>25.14</v>
      </c>
      <c r="O7029">
        <v>2428.02</v>
      </c>
      <c r="P7029">
        <v>0</v>
      </c>
      <c r="Q7029">
        <v>2428.02</v>
      </c>
      <c r="R7029">
        <v>388.48</v>
      </c>
      <c r="S7029">
        <v>97.12</v>
      </c>
      <c r="T7029">
        <v>2719.38</v>
      </c>
      <c r="U7029" t="s">
        <v>8491</v>
      </c>
      <c r="V7029" t="s">
        <v>9408</v>
      </c>
      <c r="W7029" t="s">
        <v>423</v>
      </c>
    </row>
    <row r="7030" spans="1:23" hidden="1" x14ac:dyDescent="0.2">
      <c r="A7030">
        <v>2012</v>
      </c>
      <c r="B7030" t="s">
        <v>303</v>
      </c>
      <c r="C7030" s="733">
        <v>40922.33520833333</v>
      </c>
      <c r="D70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30" t="s">
        <v>505</v>
      </c>
      <c r="F7030" t="s">
        <v>1915</v>
      </c>
      <c r="G7030" t="s">
        <v>6184</v>
      </c>
      <c r="H7030">
        <v>21977</v>
      </c>
      <c r="I7030" t="s">
        <v>423</v>
      </c>
      <c r="J7030" t="s">
        <v>4140</v>
      </c>
      <c r="K7030" t="s">
        <v>1918</v>
      </c>
      <c r="L7030" t="s">
        <v>1919</v>
      </c>
      <c r="M7030">
        <v>1</v>
      </c>
      <c r="N7030">
        <v>24.78</v>
      </c>
      <c r="O7030">
        <v>2393.25</v>
      </c>
      <c r="P7030">
        <v>0</v>
      </c>
      <c r="Q7030">
        <v>2393.25</v>
      </c>
      <c r="R7030">
        <v>382.92</v>
      </c>
      <c r="S7030">
        <v>95.73</v>
      </c>
      <c r="T7030">
        <v>2680.44</v>
      </c>
      <c r="U7030" t="s">
        <v>1931</v>
      </c>
      <c r="V7030" t="s">
        <v>9408</v>
      </c>
      <c r="W7030" t="s">
        <v>423</v>
      </c>
    </row>
    <row r="7031" spans="1:23" x14ac:dyDescent="0.2">
      <c r="A7031">
        <v>2012</v>
      </c>
      <c r="B7031" t="s">
        <v>304</v>
      </c>
      <c r="C7031" s="733">
        <v>40968</v>
      </c>
      <c r="D70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31" t="s">
        <v>485</v>
      </c>
      <c r="F7031" t="s">
        <v>2065</v>
      </c>
      <c r="G7031" t="s">
        <v>9541</v>
      </c>
      <c r="H7031">
        <v>42805</v>
      </c>
      <c r="I7031" t="s">
        <v>423</v>
      </c>
      <c r="J7031" t="s">
        <v>4828</v>
      </c>
      <c r="K7031" t="s">
        <v>2183</v>
      </c>
      <c r="L7031" t="s">
        <v>2184</v>
      </c>
      <c r="M7031">
        <v>134</v>
      </c>
      <c r="N7031">
        <v>25.53</v>
      </c>
      <c r="O7031">
        <v>5082.51</v>
      </c>
      <c r="P7031">
        <v>0</v>
      </c>
      <c r="Q7031">
        <v>5082.51</v>
      </c>
      <c r="R7031">
        <v>813.2</v>
      </c>
      <c r="S7031">
        <v>203.3</v>
      </c>
      <c r="T7031">
        <v>5692.41</v>
      </c>
      <c r="V7031" t="s">
        <v>9408</v>
      </c>
      <c r="W7031" t="s">
        <v>423</v>
      </c>
    </row>
    <row r="7032" spans="1:23" hidden="1" x14ac:dyDescent="0.2">
      <c r="A7032">
        <v>2012</v>
      </c>
      <c r="B7032" t="s">
        <v>305</v>
      </c>
      <c r="C7032" s="733">
        <v>40969</v>
      </c>
      <c r="D7032" s="733" t="str">
        <f>CHOOSE(MONTH(Tabla_sqldatos_bonampakdb_Bon_v_ingresos2012[[#This Row],[fecha_guia]]),"Enero","Febrero","Marzo","Abril","Mayo","Junio","Julio","Agosto","Septiembre","Octubre","Noviembre","Diciembre")</f>
        <v>Marzo</v>
      </c>
      <c r="E7032" t="s">
        <v>485</v>
      </c>
      <c r="F7032" t="s">
        <v>2065</v>
      </c>
      <c r="G7032" t="s">
        <v>9542</v>
      </c>
      <c r="H7032">
        <v>42894</v>
      </c>
      <c r="I7032" t="s">
        <v>423</v>
      </c>
      <c r="J7032" t="s">
        <v>4828</v>
      </c>
      <c r="K7032" t="s">
        <v>2183</v>
      </c>
      <c r="L7032" t="s">
        <v>2184</v>
      </c>
      <c r="M7032">
        <v>134</v>
      </c>
      <c r="N7032">
        <v>28.23</v>
      </c>
      <c r="O7032">
        <v>5620.03</v>
      </c>
      <c r="P7032">
        <v>0</v>
      </c>
      <c r="Q7032">
        <v>5620.03</v>
      </c>
      <c r="R7032">
        <v>899.2</v>
      </c>
      <c r="S7032">
        <v>224.8</v>
      </c>
      <c r="T7032">
        <v>6294.43</v>
      </c>
      <c r="V7032" t="s">
        <v>9408</v>
      </c>
      <c r="W7032" t="s">
        <v>423</v>
      </c>
    </row>
    <row r="7033" spans="1:23" hidden="1" x14ac:dyDescent="0.2">
      <c r="A7033">
        <v>2012</v>
      </c>
      <c r="B7033" t="s">
        <v>304</v>
      </c>
      <c r="C7033" s="733">
        <v>40949</v>
      </c>
      <c r="D70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33" t="s">
        <v>485</v>
      </c>
      <c r="F7033" t="s">
        <v>2084</v>
      </c>
      <c r="G7033" t="s">
        <v>5087</v>
      </c>
      <c r="H7033">
        <v>41429</v>
      </c>
      <c r="I7033" t="s">
        <v>423</v>
      </c>
      <c r="J7033" t="s">
        <v>2813</v>
      </c>
      <c r="K7033" t="s">
        <v>2814</v>
      </c>
      <c r="L7033" t="s">
        <v>2815</v>
      </c>
      <c r="M7033">
        <v>365</v>
      </c>
      <c r="N7033">
        <v>24.077999999999999</v>
      </c>
      <c r="O7033">
        <v>6481.32</v>
      </c>
      <c r="P7033">
        <v>0</v>
      </c>
      <c r="Q7033">
        <v>6481.32</v>
      </c>
      <c r="R7033">
        <v>712.94</v>
      </c>
      <c r="S7033">
        <v>259.25</v>
      </c>
      <c r="T7033">
        <v>6935.01</v>
      </c>
      <c r="U7033" t="s">
        <v>7527</v>
      </c>
      <c r="V7033" t="s">
        <v>9408</v>
      </c>
      <c r="W7033" t="s">
        <v>423</v>
      </c>
    </row>
    <row r="7034" spans="1:23" hidden="1" x14ac:dyDescent="0.2">
      <c r="A7034">
        <v>2012</v>
      </c>
      <c r="B7034" t="s">
        <v>304</v>
      </c>
      <c r="C7034" s="733">
        <v>40954</v>
      </c>
      <c r="D70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34" t="s">
        <v>505</v>
      </c>
      <c r="F7034" t="s">
        <v>1915</v>
      </c>
      <c r="G7034" t="s">
        <v>7990</v>
      </c>
      <c r="H7034">
        <v>22737</v>
      </c>
      <c r="I7034" t="s">
        <v>423</v>
      </c>
      <c r="J7034" t="s">
        <v>4140</v>
      </c>
      <c r="K7034" t="s">
        <v>1918</v>
      </c>
      <c r="L7034" t="s">
        <v>1919</v>
      </c>
      <c r="M7034">
        <v>1</v>
      </c>
      <c r="N7034">
        <v>24.79</v>
      </c>
      <c r="O7034">
        <v>2394.2199999999998</v>
      </c>
      <c r="P7034">
        <v>0</v>
      </c>
      <c r="Q7034">
        <v>2394.2199999999998</v>
      </c>
      <c r="R7034">
        <v>383.07</v>
      </c>
      <c r="S7034">
        <v>95.77</v>
      </c>
      <c r="T7034">
        <v>2681.52</v>
      </c>
      <c r="U7034" t="s">
        <v>7529</v>
      </c>
      <c r="V7034" t="s">
        <v>9408</v>
      </c>
      <c r="W7034" t="s">
        <v>423</v>
      </c>
    </row>
    <row r="7035" spans="1:23" hidden="1" x14ac:dyDescent="0.2">
      <c r="A7035">
        <v>2012</v>
      </c>
      <c r="B7035" t="s">
        <v>303</v>
      </c>
      <c r="C7035" s="733">
        <v>40939</v>
      </c>
      <c r="D70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35" t="s">
        <v>505</v>
      </c>
      <c r="F7035" t="s">
        <v>1915</v>
      </c>
      <c r="G7035" t="s">
        <v>6429</v>
      </c>
      <c r="H7035">
        <v>22336</v>
      </c>
      <c r="I7035" t="s">
        <v>423</v>
      </c>
      <c r="J7035" t="s">
        <v>1980</v>
      </c>
      <c r="K7035" t="s">
        <v>1918</v>
      </c>
      <c r="L7035" t="s">
        <v>1919</v>
      </c>
      <c r="M7035">
        <v>732</v>
      </c>
      <c r="N7035">
        <v>55.47</v>
      </c>
      <c r="O7035">
        <v>24329.14</v>
      </c>
      <c r="P7035">
        <v>0</v>
      </c>
      <c r="Q7035">
        <v>24329.14</v>
      </c>
      <c r="R7035">
        <v>3892.66</v>
      </c>
      <c r="S7035">
        <v>973.17</v>
      </c>
      <c r="T7035">
        <v>27248.63</v>
      </c>
      <c r="V7035" t="s">
        <v>9409</v>
      </c>
      <c r="W7035" t="s">
        <v>423</v>
      </c>
    </row>
    <row r="7036" spans="1:23" hidden="1" x14ac:dyDescent="0.2">
      <c r="A7036">
        <v>2012</v>
      </c>
      <c r="B7036" t="s">
        <v>303</v>
      </c>
      <c r="C7036" s="733">
        <v>40918</v>
      </c>
      <c r="D70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36" t="s">
        <v>505</v>
      </c>
      <c r="F7036" t="s">
        <v>1915</v>
      </c>
      <c r="G7036" t="s">
        <v>2775</v>
      </c>
      <c r="H7036">
        <v>21855</v>
      </c>
      <c r="I7036" t="s">
        <v>423</v>
      </c>
      <c r="J7036" t="s">
        <v>1980</v>
      </c>
      <c r="K7036" t="s">
        <v>1918</v>
      </c>
      <c r="L7036" t="s">
        <v>1919</v>
      </c>
      <c r="M7036">
        <v>732</v>
      </c>
      <c r="N7036">
        <v>54.02</v>
      </c>
      <c r="O7036">
        <v>23693.17</v>
      </c>
      <c r="P7036">
        <v>0</v>
      </c>
      <c r="Q7036">
        <v>23693.17</v>
      </c>
      <c r="R7036">
        <v>3790.91</v>
      </c>
      <c r="S7036">
        <v>947.73</v>
      </c>
      <c r="T7036">
        <v>26536.35</v>
      </c>
      <c r="U7036" t="s">
        <v>1931</v>
      </c>
      <c r="V7036" t="s">
        <v>9409</v>
      </c>
      <c r="W7036" t="s">
        <v>423</v>
      </c>
    </row>
    <row r="7037" spans="1:23" hidden="1" x14ac:dyDescent="0.2">
      <c r="A7037">
        <v>2012</v>
      </c>
      <c r="B7037" t="s">
        <v>304</v>
      </c>
      <c r="C7037" s="733">
        <v>40941</v>
      </c>
      <c r="D70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37" t="s">
        <v>505</v>
      </c>
      <c r="F7037" t="s">
        <v>1915</v>
      </c>
      <c r="G7037" t="s">
        <v>6428</v>
      </c>
      <c r="H7037">
        <v>22387</v>
      </c>
      <c r="I7037" t="s">
        <v>1979</v>
      </c>
      <c r="J7037" t="s">
        <v>1980</v>
      </c>
      <c r="K7037" t="s">
        <v>1918</v>
      </c>
      <c r="L7037" t="s">
        <v>1919</v>
      </c>
      <c r="M7037">
        <v>732</v>
      </c>
      <c r="N7037">
        <v>49.81</v>
      </c>
      <c r="O7037">
        <v>21846.67</v>
      </c>
      <c r="P7037">
        <v>0</v>
      </c>
      <c r="Q7037">
        <v>21846.67</v>
      </c>
      <c r="R7037">
        <v>3495.47</v>
      </c>
      <c r="S7037">
        <v>873.87</v>
      </c>
      <c r="T7037">
        <v>24468.27</v>
      </c>
      <c r="U7037" t="s">
        <v>1926</v>
      </c>
      <c r="V7037" t="s">
        <v>9409</v>
      </c>
      <c r="W7037" t="s">
        <v>1979</v>
      </c>
    </row>
    <row r="7038" spans="1:23" hidden="1" x14ac:dyDescent="0.2">
      <c r="A7038">
        <v>2012</v>
      </c>
      <c r="B7038" t="s">
        <v>303</v>
      </c>
      <c r="C7038" s="733">
        <v>40938.920138888891</v>
      </c>
      <c r="D70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38" t="s">
        <v>478</v>
      </c>
      <c r="F7038" t="s">
        <v>2622</v>
      </c>
      <c r="G7038" t="s">
        <v>5882</v>
      </c>
      <c r="H7038">
        <v>35072</v>
      </c>
      <c r="I7038" t="s">
        <v>423</v>
      </c>
      <c r="J7038" t="s">
        <v>2662</v>
      </c>
      <c r="K7038" t="s">
        <v>2625</v>
      </c>
      <c r="L7038" t="s">
        <v>2626</v>
      </c>
      <c r="M7038">
        <v>66</v>
      </c>
      <c r="N7038">
        <v>25.39</v>
      </c>
      <c r="O7038">
        <v>2989.16</v>
      </c>
      <c r="P7038">
        <v>0</v>
      </c>
      <c r="Q7038">
        <v>2989.16</v>
      </c>
      <c r="R7038">
        <v>478.27</v>
      </c>
      <c r="S7038">
        <v>119.57</v>
      </c>
      <c r="T7038">
        <v>3347.86</v>
      </c>
      <c r="U7038" t="s">
        <v>2630</v>
      </c>
      <c r="V7038" t="s">
        <v>9408</v>
      </c>
      <c r="W7038" t="s">
        <v>423</v>
      </c>
    </row>
    <row r="7039" spans="1:23" hidden="1" x14ac:dyDescent="0.2">
      <c r="A7039">
        <v>2012</v>
      </c>
      <c r="B7039" t="s">
        <v>303</v>
      </c>
      <c r="C7039" s="733">
        <v>40924</v>
      </c>
      <c r="D703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39" t="s">
        <v>485</v>
      </c>
      <c r="F7039" t="s">
        <v>2054</v>
      </c>
      <c r="G7039" t="s">
        <v>6417</v>
      </c>
      <c r="H7039">
        <v>10030</v>
      </c>
      <c r="I7039" t="s">
        <v>423</v>
      </c>
      <c r="J7039" t="s">
        <v>2056</v>
      </c>
      <c r="K7039" t="s">
        <v>2057</v>
      </c>
      <c r="L7039" t="s">
        <v>2058</v>
      </c>
      <c r="M7039">
        <v>19</v>
      </c>
      <c r="N7039">
        <v>25.31</v>
      </c>
      <c r="O7039">
        <v>2856.74</v>
      </c>
      <c r="P7039">
        <v>0</v>
      </c>
      <c r="Q7039">
        <v>2856.74</v>
      </c>
      <c r="R7039">
        <v>457.08</v>
      </c>
      <c r="S7039">
        <v>114.27</v>
      </c>
      <c r="T7039">
        <v>3199.55</v>
      </c>
      <c r="U7039" t="s">
        <v>2059</v>
      </c>
      <c r="V7039" t="s">
        <v>9408</v>
      </c>
      <c r="W7039" t="s">
        <v>423</v>
      </c>
    </row>
    <row r="7040" spans="1:23" hidden="1" x14ac:dyDescent="0.2">
      <c r="A7040">
        <v>2012</v>
      </c>
      <c r="B7040" t="s">
        <v>303</v>
      </c>
      <c r="C7040" s="733">
        <v>40932.476782407408</v>
      </c>
      <c r="D70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40" t="s">
        <v>478</v>
      </c>
      <c r="F7040" t="s">
        <v>2622</v>
      </c>
      <c r="G7040" t="s">
        <v>5573</v>
      </c>
      <c r="H7040">
        <v>34904</v>
      </c>
      <c r="I7040" t="s">
        <v>423</v>
      </c>
      <c r="J7040" t="s">
        <v>2644</v>
      </c>
      <c r="K7040" t="s">
        <v>2625</v>
      </c>
      <c r="L7040" t="s">
        <v>2626</v>
      </c>
      <c r="M7040">
        <v>52</v>
      </c>
      <c r="N7040">
        <v>24.74</v>
      </c>
      <c r="O7040">
        <v>2912.64</v>
      </c>
      <c r="P7040">
        <v>0</v>
      </c>
      <c r="Q7040">
        <v>2912.64</v>
      </c>
      <c r="R7040">
        <v>466.02</v>
      </c>
      <c r="S7040">
        <v>116.51</v>
      </c>
      <c r="T7040">
        <v>3262.15</v>
      </c>
      <c r="U7040" t="s">
        <v>2633</v>
      </c>
      <c r="V7040" t="s">
        <v>9408</v>
      </c>
      <c r="W7040" t="s">
        <v>423</v>
      </c>
    </row>
    <row r="7041" spans="1:23" hidden="1" x14ac:dyDescent="0.2">
      <c r="A7041">
        <v>2012</v>
      </c>
      <c r="B7041" t="s">
        <v>303</v>
      </c>
      <c r="C7041" s="733">
        <v>40932.559432870374</v>
      </c>
      <c r="D70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41" t="s">
        <v>478</v>
      </c>
      <c r="F7041" t="s">
        <v>2622</v>
      </c>
      <c r="G7041" t="s">
        <v>6308</v>
      </c>
      <c r="H7041">
        <v>34910</v>
      </c>
      <c r="I7041" t="s">
        <v>423</v>
      </c>
      <c r="J7041" t="s">
        <v>2644</v>
      </c>
      <c r="K7041" t="s">
        <v>2625</v>
      </c>
      <c r="L7041" t="s">
        <v>2626</v>
      </c>
      <c r="M7041">
        <v>52</v>
      </c>
      <c r="N7041">
        <v>25.89</v>
      </c>
      <c r="O7041">
        <v>3048.03</v>
      </c>
      <c r="P7041">
        <v>0</v>
      </c>
      <c r="Q7041">
        <v>3048.03</v>
      </c>
      <c r="R7041">
        <v>487.68</v>
      </c>
      <c r="S7041">
        <v>121.92</v>
      </c>
      <c r="T7041">
        <v>3413.79</v>
      </c>
      <c r="U7041" t="s">
        <v>2633</v>
      </c>
      <c r="V7041" t="s">
        <v>9408</v>
      </c>
      <c r="W7041" t="s">
        <v>423</v>
      </c>
    </row>
    <row r="7042" spans="1:23" hidden="1" x14ac:dyDescent="0.2">
      <c r="A7042">
        <v>2012</v>
      </c>
      <c r="B7042" t="s">
        <v>303</v>
      </c>
      <c r="C7042" s="733">
        <v>40939.504293981481</v>
      </c>
      <c r="D70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42" t="s">
        <v>478</v>
      </c>
      <c r="F7042" t="s">
        <v>2622</v>
      </c>
      <c r="G7042" t="s">
        <v>6309</v>
      </c>
      <c r="H7042">
        <v>35121</v>
      </c>
      <c r="I7042" t="s">
        <v>423</v>
      </c>
      <c r="J7042" t="s">
        <v>2644</v>
      </c>
      <c r="K7042" t="s">
        <v>2625</v>
      </c>
      <c r="L7042" t="s">
        <v>2626</v>
      </c>
      <c r="M7042">
        <v>52</v>
      </c>
      <c r="N7042">
        <v>36.69</v>
      </c>
      <c r="O7042">
        <v>4319.51</v>
      </c>
      <c r="P7042">
        <v>0</v>
      </c>
      <c r="Q7042">
        <v>4319.51</v>
      </c>
      <c r="R7042">
        <v>691.12</v>
      </c>
      <c r="S7042">
        <v>172.78</v>
      </c>
      <c r="T7042">
        <v>4837.8500000000004</v>
      </c>
      <c r="U7042" t="s">
        <v>2648</v>
      </c>
      <c r="V7042" t="s">
        <v>9408</v>
      </c>
      <c r="W7042" t="s">
        <v>423</v>
      </c>
    </row>
    <row r="7043" spans="1:23" hidden="1" x14ac:dyDescent="0.2">
      <c r="A7043">
        <v>2012</v>
      </c>
      <c r="B7043" t="s">
        <v>303</v>
      </c>
      <c r="C7043" s="733">
        <v>40919</v>
      </c>
      <c r="D70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43" t="s">
        <v>478</v>
      </c>
      <c r="F7043" t="s">
        <v>2622</v>
      </c>
      <c r="G7043" t="s">
        <v>6310</v>
      </c>
      <c r="H7043">
        <v>34444</v>
      </c>
      <c r="I7043" t="s">
        <v>423</v>
      </c>
      <c r="J7043" t="s">
        <v>2644</v>
      </c>
      <c r="K7043" t="s">
        <v>2625</v>
      </c>
      <c r="L7043" t="s">
        <v>2626</v>
      </c>
      <c r="M7043">
        <v>52</v>
      </c>
      <c r="N7043">
        <v>23.14</v>
      </c>
      <c r="O7043">
        <v>2724.27</v>
      </c>
      <c r="P7043">
        <v>0</v>
      </c>
      <c r="Q7043">
        <v>2724.27</v>
      </c>
      <c r="R7043">
        <v>435.88</v>
      </c>
      <c r="S7043">
        <v>108.97</v>
      </c>
      <c r="T7043">
        <v>3051.18</v>
      </c>
      <c r="U7043" t="s">
        <v>2627</v>
      </c>
      <c r="V7043" t="s">
        <v>9408</v>
      </c>
      <c r="W7043" t="s">
        <v>423</v>
      </c>
    </row>
    <row r="7044" spans="1:23" hidden="1" x14ac:dyDescent="0.2">
      <c r="A7044">
        <v>2012</v>
      </c>
      <c r="B7044" t="s">
        <v>304</v>
      </c>
      <c r="C7044" s="733">
        <v>40967.44189814815</v>
      </c>
      <c r="D70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44" t="s">
        <v>478</v>
      </c>
      <c r="F7044" t="s">
        <v>2622</v>
      </c>
      <c r="G7044" t="s">
        <v>9403</v>
      </c>
      <c r="H7044">
        <v>36123</v>
      </c>
      <c r="I7044" t="s">
        <v>423</v>
      </c>
      <c r="J7044" t="s">
        <v>2644</v>
      </c>
      <c r="K7044" t="s">
        <v>2625</v>
      </c>
      <c r="L7044" t="s">
        <v>2626</v>
      </c>
      <c r="M7044">
        <v>52</v>
      </c>
      <c r="N7044">
        <v>23.46</v>
      </c>
      <c r="O7044">
        <v>2761.95</v>
      </c>
      <c r="P7044">
        <v>0</v>
      </c>
      <c r="Q7044">
        <v>2761.95</v>
      </c>
      <c r="R7044">
        <v>441.91</v>
      </c>
      <c r="S7044">
        <v>110.48</v>
      </c>
      <c r="T7044">
        <v>3093.38</v>
      </c>
      <c r="U7044" t="s">
        <v>9428</v>
      </c>
      <c r="V7044" t="s">
        <v>9408</v>
      </c>
      <c r="W7044" t="s">
        <v>423</v>
      </c>
    </row>
    <row r="7045" spans="1:23" hidden="1" x14ac:dyDescent="0.2">
      <c r="A7045">
        <v>2012</v>
      </c>
      <c r="B7045" t="s">
        <v>303</v>
      </c>
      <c r="C7045" s="733">
        <v>40934.439618055556</v>
      </c>
      <c r="D70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45" t="s">
        <v>478</v>
      </c>
      <c r="F7045" t="s">
        <v>2136</v>
      </c>
      <c r="G7045" t="s">
        <v>5574</v>
      </c>
      <c r="H7045">
        <v>34968</v>
      </c>
      <c r="I7045" t="s">
        <v>423</v>
      </c>
      <c r="J7045" t="s">
        <v>2644</v>
      </c>
      <c r="K7045" t="s">
        <v>2625</v>
      </c>
      <c r="L7045" t="s">
        <v>2626</v>
      </c>
      <c r="M7045">
        <v>52</v>
      </c>
      <c r="N7045">
        <v>23.47</v>
      </c>
      <c r="O7045">
        <v>2763.12</v>
      </c>
      <c r="P7045">
        <v>0</v>
      </c>
      <c r="Q7045">
        <v>2763.12</v>
      </c>
      <c r="R7045">
        <v>442.1</v>
      </c>
      <c r="S7045">
        <v>110.52</v>
      </c>
      <c r="T7045">
        <v>3094.7</v>
      </c>
      <c r="U7045" t="s">
        <v>2633</v>
      </c>
      <c r="V7045" t="s">
        <v>9408</v>
      </c>
      <c r="W7045" t="s">
        <v>423</v>
      </c>
    </row>
    <row r="7046" spans="1:23" hidden="1" x14ac:dyDescent="0.2">
      <c r="A7046">
        <v>2012</v>
      </c>
      <c r="B7046" t="s">
        <v>303</v>
      </c>
      <c r="C7046" s="733">
        <v>40934.442245370374</v>
      </c>
      <c r="D70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46" t="s">
        <v>478</v>
      </c>
      <c r="F7046" t="s">
        <v>2136</v>
      </c>
      <c r="G7046" t="s">
        <v>5575</v>
      </c>
      <c r="H7046">
        <v>34971</v>
      </c>
      <c r="I7046" t="s">
        <v>423</v>
      </c>
      <c r="J7046" t="s">
        <v>2644</v>
      </c>
      <c r="K7046" t="s">
        <v>2625</v>
      </c>
      <c r="L7046" t="s">
        <v>2626</v>
      </c>
      <c r="M7046">
        <v>52</v>
      </c>
      <c r="N7046">
        <v>22.67</v>
      </c>
      <c r="O7046">
        <v>2668.94</v>
      </c>
      <c r="P7046">
        <v>0</v>
      </c>
      <c r="Q7046">
        <v>2668.94</v>
      </c>
      <c r="R7046">
        <v>427.03</v>
      </c>
      <c r="S7046">
        <v>106.76</v>
      </c>
      <c r="T7046">
        <v>2989.21</v>
      </c>
      <c r="U7046" t="s">
        <v>2633</v>
      </c>
      <c r="V7046" t="s">
        <v>9408</v>
      </c>
      <c r="W7046" t="s">
        <v>423</v>
      </c>
    </row>
    <row r="7047" spans="1:23" hidden="1" x14ac:dyDescent="0.2">
      <c r="A7047">
        <v>2012</v>
      </c>
      <c r="B7047" t="s">
        <v>303</v>
      </c>
      <c r="C7047" s="733">
        <v>40927</v>
      </c>
      <c r="D70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47" t="s">
        <v>478</v>
      </c>
      <c r="F7047" t="s">
        <v>2136</v>
      </c>
      <c r="G7047" t="s">
        <v>5886</v>
      </c>
      <c r="H7047">
        <v>34616</v>
      </c>
      <c r="I7047" t="s">
        <v>423</v>
      </c>
      <c r="J7047" t="s">
        <v>2644</v>
      </c>
      <c r="K7047" t="s">
        <v>2625</v>
      </c>
      <c r="L7047" t="s">
        <v>2626</v>
      </c>
      <c r="M7047">
        <v>52</v>
      </c>
      <c r="N7047">
        <v>22.62</v>
      </c>
      <c r="O7047">
        <v>2663.05</v>
      </c>
      <c r="P7047">
        <v>0</v>
      </c>
      <c r="Q7047">
        <v>2663.05</v>
      </c>
      <c r="R7047">
        <v>426.09</v>
      </c>
      <c r="S7047">
        <v>106.52</v>
      </c>
      <c r="T7047">
        <v>2982.62</v>
      </c>
      <c r="U7047" t="s">
        <v>2627</v>
      </c>
      <c r="V7047" t="s">
        <v>9408</v>
      </c>
      <c r="W7047" t="s">
        <v>423</v>
      </c>
    </row>
    <row r="7048" spans="1:23" hidden="1" x14ac:dyDescent="0.2">
      <c r="A7048">
        <v>2012</v>
      </c>
      <c r="B7048" t="s">
        <v>303</v>
      </c>
      <c r="C7048" s="733">
        <v>40939</v>
      </c>
      <c r="D70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48" t="s">
        <v>478</v>
      </c>
      <c r="F7048" t="s">
        <v>2136</v>
      </c>
      <c r="G7048" t="s">
        <v>6662</v>
      </c>
      <c r="H7048">
        <v>34932</v>
      </c>
      <c r="I7048" t="s">
        <v>423</v>
      </c>
      <c r="J7048" t="s">
        <v>3638</v>
      </c>
      <c r="K7048" t="s">
        <v>425</v>
      </c>
      <c r="L7048" t="s">
        <v>2145</v>
      </c>
      <c r="M7048">
        <v>1416</v>
      </c>
      <c r="N7048">
        <v>46.46</v>
      </c>
      <c r="O7048">
        <v>42129.46</v>
      </c>
      <c r="P7048">
        <v>0</v>
      </c>
      <c r="Q7048">
        <v>42129.46</v>
      </c>
      <c r="R7048">
        <v>6740.71</v>
      </c>
      <c r="S7048">
        <v>1685.18</v>
      </c>
      <c r="T7048">
        <v>47184.99</v>
      </c>
      <c r="U7048" t="s">
        <v>2914</v>
      </c>
      <c r="V7048" t="s">
        <v>9409</v>
      </c>
      <c r="W7048" t="s">
        <v>423</v>
      </c>
    </row>
    <row r="7049" spans="1:23" hidden="1" x14ac:dyDescent="0.2">
      <c r="A7049">
        <v>2012</v>
      </c>
      <c r="B7049" t="s">
        <v>304</v>
      </c>
      <c r="C7049" s="733">
        <v>40962</v>
      </c>
      <c r="D70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49" t="s">
        <v>478</v>
      </c>
      <c r="F7049" t="s">
        <v>2136</v>
      </c>
      <c r="G7049" t="s">
        <v>8703</v>
      </c>
      <c r="H7049">
        <v>35963</v>
      </c>
      <c r="I7049" t="s">
        <v>423</v>
      </c>
      <c r="J7049" t="s">
        <v>3638</v>
      </c>
      <c r="K7049" t="s">
        <v>425</v>
      </c>
      <c r="L7049" t="s">
        <v>2145</v>
      </c>
      <c r="M7049">
        <v>1416</v>
      </c>
      <c r="N7049">
        <v>43.55</v>
      </c>
      <c r="O7049">
        <v>39490.699999999997</v>
      </c>
      <c r="P7049">
        <v>0</v>
      </c>
      <c r="Q7049">
        <v>39490.699999999997</v>
      </c>
      <c r="R7049">
        <v>6318.51</v>
      </c>
      <c r="S7049">
        <v>1579.63</v>
      </c>
      <c r="T7049">
        <v>44229.58</v>
      </c>
      <c r="U7049" t="s">
        <v>9430</v>
      </c>
      <c r="V7049" t="s">
        <v>9409</v>
      </c>
      <c r="W7049" t="s">
        <v>423</v>
      </c>
    </row>
    <row r="7050" spans="1:23" hidden="1" x14ac:dyDescent="0.2">
      <c r="A7050">
        <v>2012</v>
      </c>
      <c r="B7050" t="s">
        <v>303</v>
      </c>
      <c r="C7050" s="733">
        <v>40931</v>
      </c>
      <c r="D705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50" t="s">
        <v>485</v>
      </c>
      <c r="F7050" t="s">
        <v>2048</v>
      </c>
      <c r="G7050" t="s">
        <v>6410</v>
      </c>
      <c r="H7050">
        <v>40731</v>
      </c>
      <c r="I7050" t="s">
        <v>423</v>
      </c>
      <c r="J7050" t="s">
        <v>2274</v>
      </c>
      <c r="K7050" t="s">
        <v>2051</v>
      </c>
      <c r="L7050" t="s">
        <v>2052</v>
      </c>
      <c r="M7050">
        <v>573</v>
      </c>
      <c r="N7050">
        <v>24.7</v>
      </c>
      <c r="O7050">
        <v>8015.15</v>
      </c>
      <c r="P7050">
        <v>0</v>
      </c>
      <c r="Q7050">
        <v>8015.15</v>
      </c>
      <c r="R7050">
        <v>1282.42</v>
      </c>
      <c r="S7050">
        <v>320.61</v>
      </c>
      <c r="T7050">
        <v>8976.9599999999991</v>
      </c>
      <c r="U7050" t="s">
        <v>2053</v>
      </c>
      <c r="V7050" t="s">
        <v>9408</v>
      </c>
      <c r="W7050" t="s">
        <v>423</v>
      </c>
    </row>
    <row r="7051" spans="1:23" hidden="1" x14ac:dyDescent="0.2">
      <c r="A7051">
        <v>2012</v>
      </c>
      <c r="B7051" t="s">
        <v>305</v>
      </c>
      <c r="C7051" s="733">
        <v>40969</v>
      </c>
      <c r="D7051" s="733" t="str">
        <f>CHOOSE(MONTH(Tabla_sqldatos_bonampakdb_Bon_v_ingresos2012[[#This Row],[fecha_guia]]),"Enero","Febrero","Marzo","Abril","Mayo","Junio","Julio","Agosto","Septiembre","Octubre","Noviembre","Diciembre")</f>
        <v>Marzo</v>
      </c>
      <c r="E7051" t="s">
        <v>478</v>
      </c>
      <c r="F7051" t="s">
        <v>2136</v>
      </c>
      <c r="G7051" t="s">
        <v>9643</v>
      </c>
      <c r="H7051">
        <v>36056</v>
      </c>
      <c r="I7051" t="s">
        <v>423</v>
      </c>
      <c r="J7051" t="s">
        <v>3638</v>
      </c>
      <c r="K7051" t="s">
        <v>425</v>
      </c>
      <c r="L7051" t="s">
        <v>2145</v>
      </c>
      <c r="M7051">
        <v>1416</v>
      </c>
      <c r="N7051">
        <v>44.48</v>
      </c>
      <c r="O7051">
        <v>40334.019999999997</v>
      </c>
      <c r="P7051">
        <v>0</v>
      </c>
      <c r="Q7051">
        <v>40334.019999999997</v>
      </c>
      <c r="R7051">
        <v>6453.44</v>
      </c>
      <c r="S7051">
        <v>1613.36</v>
      </c>
      <c r="T7051">
        <v>45174.1</v>
      </c>
      <c r="V7051" t="s">
        <v>9409</v>
      </c>
      <c r="W7051" t="s">
        <v>423</v>
      </c>
    </row>
    <row r="7052" spans="1:23" hidden="1" x14ac:dyDescent="0.2">
      <c r="A7052">
        <v>2012</v>
      </c>
      <c r="B7052" t="s">
        <v>303</v>
      </c>
      <c r="C7052" s="733">
        <v>40929</v>
      </c>
      <c r="D70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52" t="s">
        <v>478</v>
      </c>
      <c r="F7052" t="s">
        <v>2136</v>
      </c>
      <c r="G7052" t="s">
        <v>6859</v>
      </c>
      <c r="H7052">
        <v>34788</v>
      </c>
      <c r="I7052" t="s">
        <v>423</v>
      </c>
      <c r="J7052" t="s">
        <v>4291</v>
      </c>
      <c r="K7052" t="s">
        <v>425</v>
      </c>
      <c r="L7052" t="s">
        <v>2145</v>
      </c>
      <c r="M7052">
        <v>163</v>
      </c>
      <c r="N7052">
        <v>22.79</v>
      </c>
      <c r="O7052">
        <v>4050.01</v>
      </c>
      <c r="P7052">
        <v>0</v>
      </c>
      <c r="Q7052">
        <v>4050.01</v>
      </c>
      <c r="R7052">
        <v>648</v>
      </c>
      <c r="S7052">
        <v>162</v>
      </c>
      <c r="T7052">
        <v>4536.01</v>
      </c>
      <c r="U7052" t="s">
        <v>2355</v>
      </c>
      <c r="V7052" t="s">
        <v>9408</v>
      </c>
      <c r="W7052" t="s">
        <v>423</v>
      </c>
    </row>
    <row r="7053" spans="1:23" hidden="1" x14ac:dyDescent="0.2">
      <c r="A7053">
        <v>2012</v>
      </c>
      <c r="B7053" t="s">
        <v>304</v>
      </c>
      <c r="C7053" s="733">
        <v>40952</v>
      </c>
      <c r="D70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53" t="s">
        <v>478</v>
      </c>
      <c r="F7053" t="s">
        <v>2136</v>
      </c>
      <c r="G7053" t="s">
        <v>6860</v>
      </c>
      <c r="H7053">
        <v>35496</v>
      </c>
      <c r="I7053" t="s">
        <v>423</v>
      </c>
      <c r="J7053" t="s">
        <v>4291</v>
      </c>
      <c r="K7053" t="s">
        <v>425</v>
      </c>
      <c r="L7053" t="s">
        <v>2145</v>
      </c>
      <c r="M7053">
        <v>163</v>
      </c>
      <c r="N7053">
        <v>25</v>
      </c>
      <c r="O7053">
        <v>4442.75</v>
      </c>
      <c r="P7053">
        <v>0</v>
      </c>
      <c r="Q7053">
        <v>4442.75</v>
      </c>
      <c r="R7053">
        <v>710.84</v>
      </c>
      <c r="S7053">
        <v>177.71</v>
      </c>
      <c r="T7053">
        <v>4975.88</v>
      </c>
      <c r="U7053" t="s">
        <v>7523</v>
      </c>
      <c r="V7053" t="s">
        <v>9408</v>
      </c>
      <c r="W7053" t="s">
        <v>423</v>
      </c>
    </row>
    <row r="7054" spans="1:23" hidden="1" x14ac:dyDescent="0.2">
      <c r="A7054">
        <v>2012</v>
      </c>
      <c r="B7054" t="s">
        <v>304</v>
      </c>
      <c r="C7054" s="733">
        <v>40960.455729166664</v>
      </c>
      <c r="D70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54" t="s">
        <v>478</v>
      </c>
      <c r="F7054" t="s">
        <v>2622</v>
      </c>
      <c r="G7054" t="s">
        <v>8490</v>
      </c>
      <c r="H7054">
        <v>35840</v>
      </c>
      <c r="I7054" t="s">
        <v>423</v>
      </c>
      <c r="J7054" t="s">
        <v>2644</v>
      </c>
      <c r="K7054" t="s">
        <v>2625</v>
      </c>
      <c r="L7054" t="s">
        <v>2145</v>
      </c>
      <c r="M7054">
        <v>52</v>
      </c>
      <c r="N7054">
        <v>26.19</v>
      </c>
      <c r="O7054">
        <v>3083.35</v>
      </c>
      <c r="P7054">
        <v>0</v>
      </c>
      <c r="Q7054">
        <v>3083.35</v>
      </c>
      <c r="R7054">
        <v>493.34</v>
      </c>
      <c r="S7054">
        <v>123.33</v>
      </c>
      <c r="T7054">
        <v>3453.36</v>
      </c>
      <c r="U7054" t="s">
        <v>8267</v>
      </c>
      <c r="V7054" t="s">
        <v>9408</v>
      </c>
      <c r="W7054" t="s">
        <v>423</v>
      </c>
    </row>
    <row r="7055" spans="1:23" hidden="1" x14ac:dyDescent="0.2">
      <c r="A7055">
        <v>2012</v>
      </c>
      <c r="B7055" t="s">
        <v>304</v>
      </c>
      <c r="C7055" s="733">
        <v>40942</v>
      </c>
      <c r="D70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55" t="s">
        <v>485</v>
      </c>
      <c r="F7055" t="s">
        <v>2065</v>
      </c>
      <c r="G7055" t="s">
        <v>6862</v>
      </c>
      <c r="H7055">
        <v>41200</v>
      </c>
      <c r="I7055" t="s">
        <v>423</v>
      </c>
      <c r="J7055" t="s">
        <v>6837</v>
      </c>
      <c r="K7055" t="s">
        <v>2102</v>
      </c>
      <c r="L7055" t="s">
        <v>2115</v>
      </c>
      <c r="M7055">
        <v>279</v>
      </c>
      <c r="N7055">
        <v>48.21</v>
      </c>
      <c r="O7055">
        <v>13531.1</v>
      </c>
      <c r="P7055">
        <v>0</v>
      </c>
      <c r="Q7055">
        <v>13531.1</v>
      </c>
      <c r="R7055">
        <v>2164.98</v>
      </c>
      <c r="S7055">
        <v>541.24</v>
      </c>
      <c r="T7055">
        <v>15154.84</v>
      </c>
      <c r="U7055" t="s">
        <v>7462</v>
      </c>
      <c r="V7055" t="s">
        <v>9409</v>
      </c>
      <c r="W7055" t="s">
        <v>423</v>
      </c>
    </row>
    <row r="7056" spans="1:23" hidden="1" x14ac:dyDescent="0.2">
      <c r="A7056">
        <v>2012</v>
      </c>
      <c r="B7056" t="s">
        <v>304</v>
      </c>
      <c r="C7056" s="733">
        <v>40941</v>
      </c>
      <c r="D70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56" t="s">
        <v>485</v>
      </c>
      <c r="F7056" t="s">
        <v>2048</v>
      </c>
      <c r="G7056" t="s">
        <v>6091</v>
      </c>
      <c r="H7056">
        <v>41319</v>
      </c>
      <c r="I7056" t="s">
        <v>423</v>
      </c>
      <c r="J7056" t="s">
        <v>2274</v>
      </c>
      <c r="K7056" t="s">
        <v>2051</v>
      </c>
      <c r="L7056" t="s">
        <v>2052</v>
      </c>
      <c r="M7056">
        <v>573</v>
      </c>
      <c r="N7056">
        <v>53.05</v>
      </c>
      <c r="O7056">
        <v>17214.72</v>
      </c>
      <c r="P7056">
        <v>0</v>
      </c>
      <c r="Q7056">
        <v>17214.72</v>
      </c>
      <c r="R7056">
        <v>2754.36</v>
      </c>
      <c r="S7056">
        <v>688.59</v>
      </c>
      <c r="T7056">
        <v>19280.490000000002</v>
      </c>
      <c r="U7056" t="s">
        <v>7568</v>
      </c>
      <c r="V7056" t="s">
        <v>9409</v>
      </c>
      <c r="W7056" t="s">
        <v>423</v>
      </c>
    </row>
    <row r="7057" spans="1:23" hidden="1" x14ac:dyDescent="0.2">
      <c r="A7057">
        <v>2012</v>
      </c>
      <c r="B7057" t="s">
        <v>303</v>
      </c>
      <c r="C7057" s="733">
        <v>40911</v>
      </c>
      <c r="D70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57" t="s">
        <v>485</v>
      </c>
      <c r="F7057" t="s">
        <v>2048</v>
      </c>
      <c r="G7057" t="s">
        <v>6092</v>
      </c>
      <c r="H7057">
        <v>39727</v>
      </c>
      <c r="I7057" t="s">
        <v>423</v>
      </c>
      <c r="J7057" t="s">
        <v>2274</v>
      </c>
      <c r="K7057" t="s">
        <v>2051</v>
      </c>
      <c r="L7057" t="s">
        <v>2052</v>
      </c>
      <c r="M7057">
        <v>573</v>
      </c>
      <c r="N7057">
        <v>26</v>
      </c>
      <c r="O7057">
        <v>3552.12</v>
      </c>
      <c r="P7057">
        <v>3999.2963869999999</v>
      </c>
      <c r="Q7057">
        <v>7551.4163870000002</v>
      </c>
      <c r="R7057">
        <v>1208.2266219999999</v>
      </c>
      <c r="S7057">
        <v>302.05665499999998</v>
      </c>
      <c r="T7057">
        <v>8457.5863539999991</v>
      </c>
      <c r="U7057" t="s">
        <v>2089</v>
      </c>
      <c r="V7057" t="s">
        <v>9408</v>
      </c>
      <c r="W7057" t="s">
        <v>423</v>
      </c>
    </row>
    <row r="7058" spans="1:23" hidden="1" x14ac:dyDescent="0.2">
      <c r="A7058">
        <v>2012</v>
      </c>
      <c r="B7058" t="s">
        <v>303</v>
      </c>
      <c r="C7058" s="733">
        <v>40936</v>
      </c>
      <c r="D70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58" t="s">
        <v>478</v>
      </c>
      <c r="F7058" t="s">
        <v>2136</v>
      </c>
      <c r="G7058" t="s">
        <v>6861</v>
      </c>
      <c r="H7058">
        <v>35012</v>
      </c>
      <c r="I7058" t="s">
        <v>423</v>
      </c>
      <c r="J7058" t="s">
        <v>4291</v>
      </c>
      <c r="K7058" t="s">
        <v>425</v>
      </c>
      <c r="L7058" t="s">
        <v>2145</v>
      </c>
      <c r="M7058">
        <v>163</v>
      </c>
      <c r="N7058">
        <v>24.14</v>
      </c>
      <c r="O7058">
        <v>4289.92</v>
      </c>
      <c r="P7058">
        <v>0</v>
      </c>
      <c r="Q7058">
        <v>4289.92</v>
      </c>
      <c r="R7058">
        <v>686.39</v>
      </c>
      <c r="S7058">
        <v>171.6</v>
      </c>
      <c r="T7058">
        <v>4804.71</v>
      </c>
      <c r="U7058" t="s">
        <v>2580</v>
      </c>
      <c r="V7058" t="s">
        <v>9408</v>
      </c>
      <c r="W7058" t="s">
        <v>423</v>
      </c>
    </row>
    <row r="7059" spans="1:23" hidden="1" x14ac:dyDescent="0.2">
      <c r="A7059">
        <v>2012</v>
      </c>
      <c r="B7059" t="s">
        <v>304</v>
      </c>
      <c r="C7059" s="733">
        <v>40967</v>
      </c>
      <c r="D70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59" t="s">
        <v>505</v>
      </c>
      <c r="F7059" t="s">
        <v>1915</v>
      </c>
      <c r="G7059" t="s">
        <v>9404</v>
      </c>
      <c r="H7059">
        <v>23039</v>
      </c>
      <c r="I7059" t="s">
        <v>423</v>
      </c>
      <c r="J7059" t="s">
        <v>4140</v>
      </c>
      <c r="K7059" t="s">
        <v>1918</v>
      </c>
      <c r="L7059" t="s">
        <v>1919</v>
      </c>
      <c r="M7059">
        <v>1</v>
      </c>
      <c r="N7059">
        <v>24.87</v>
      </c>
      <c r="O7059">
        <v>2401.94</v>
      </c>
      <c r="P7059">
        <v>0</v>
      </c>
      <c r="Q7059">
        <v>2401.94</v>
      </c>
      <c r="R7059">
        <v>384.31</v>
      </c>
      <c r="S7059">
        <v>96.08</v>
      </c>
      <c r="T7059">
        <v>2690.17</v>
      </c>
      <c r="V7059" t="s">
        <v>9408</v>
      </c>
      <c r="W7059" t="s">
        <v>423</v>
      </c>
    </row>
    <row r="7060" spans="1:23" hidden="1" x14ac:dyDescent="0.2">
      <c r="A7060">
        <v>2012</v>
      </c>
      <c r="B7060" t="s">
        <v>303</v>
      </c>
      <c r="C7060" s="733">
        <v>40922.340439814812</v>
      </c>
      <c r="D70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60" t="s">
        <v>505</v>
      </c>
      <c r="F7060" t="s">
        <v>1915</v>
      </c>
      <c r="G7060" t="s">
        <v>6423</v>
      </c>
      <c r="H7060">
        <v>21978</v>
      </c>
      <c r="I7060" t="s">
        <v>423</v>
      </c>
      <c r="J7060" t="s">
        <v>4140</v>
      </c>
      <c r="K7060" t="s">
        <v>1918</v>
      </c>
      <c r="L7060" t="s">
        <v>1919</v>
      </c>
      <c r="M7060">
        <v>1</v>
      </c>
      <c r="N7060">
        <v>25.2</v>
      </c>
      <c r="O7060">
        <v>2433.8200000000002</v>
      </c>
      <c r="P7060">
        <v>0</v>
      </c>
      <c r="Q7060">
        <v>2433.8200000000002</v>
      </c>
      <c r="R7060">
        <v>389.41</v>
      </c>
      <c r="S7060">
        <v>97.35</v>
      </c>
      <c r="T7060">
        <v>2725.88</v>
      </c>
      <c r="U7060" t="s">
        <v>1931</v>
      </c>
      <c r="V7060" t="s">
        <v>9408</v>
      </c>
      <c r="W7060" t="s">
        <v>423</v>
      </c>
    </row>
    <row r="7061" spans="1:23" x14ac:dyDescent="0.2">
      <c r="A7061">
        <v>2012</v>
      </c>
      <c r="B7061" t="s">
        <v>304</v>
      </c>
      <c r="C7061" s="733">
        <v>40968</v>
      </c>
      <c r="D70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61" t="s">
        <v>485</v>
      </c>
      <c r="F7061" t="s">
        <v>3450</v>
      </c>
      <c r="G7061" t="s">
        <v>9644</v>
      </c>
      <c r="H7061">
        <v>42477</v>
      </c>
      <c r="I7061" t="s">
        <v>423</v>
      </c>
      <c r="J7061" t="s">
        <v>4230</v>
      </c>
      <c r="K7061" t="s">
        <v>3453</v>
      </c>
      <c r="L7061" t="s">
        <v>3454</v>
      </c>
      <c r="M7061">
        <v>341</v>
      </c>
      <c r="N7061">
        <v>25.81</v>
      </c>
      <c r="O7061">
        <v>6959.15</v>
      </c>
      <c r="P7061">
        <v>0</v>
      </c>
      <c r="Q7061">
        <v>6959.15</v>
      </c>
      <c r="R7061">
        <v>1113.46</v>
      </c>
      <c r="S7061">
        <v>278.37</v>
      </c>
      <c r="T7061">
        <v>7794.24</v>
      </c>
      <c r="V7061" t="s">
        <v>9408</v>
      </c>
      <c r="W7061" t="s">
        <v>423</v>
      </c>
    </row>
    <row r="7062" spans="1:23" hidden="1" x14ac:dyDescent="0.2">
      <c r="A7062">
        <v>2012</v>
      </c>
      <c r="B7062" t="s">
        <v>304</v>
      </c>
      <c r="C7062" s="733">
        <v>40942.821261574078</v>
      </c>
      <c r="D70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62" t="s">
        <v>478</v>
      </c>
      <c r="F7062" t="s">
        <v>2622</v>
      </c>
      <c r="G7062" t="s">
        <v>2964</v>
      </c>
      <c r="H7062">
        <v>35289</v>
      </c>
      <c r="I7062" t="s">
        <v>423</v>
      </c>
      <c r="J7062" t="s">
        <v>2662</v>
      </c>
      <c r="K7062" t="s">
        <v>2625</v>
      </c>
      <c r="L7062" t="s">
        <v>2626</v>
      </c>
      <c r="M7062">
        <v>66</v>
      </c>
      <c r="N7062">
        <v>24.51</v>
      </c>
      <c r="O7062">
        <v>2885.56</v>
      </c>
      <c r="P7062">
        <v>0</v>
      </c>
      <c r="Q7062">
        <v>2885.56</v>
      </c>
      <c r="R7062">
        <v>461.69</v>
      </c>
      <c r="S7062">
        <v>115.42</v>
      </c>
      <c r="T7062">
        <v>3231.83</v>
      </c>
      <c r="U7062" t="s">
        <v>2652</v>
      </c>
      <c r="V7062" t="s">
        <v>9408</v>
      </c>
      <c r="W7062" t="s">
        <v>423</v>
      </c>
    </row>
    <row r="7063" spans="1:23" hidden="1" x14ac:dyDescent="0.2">
      <c r="A7063">
        <v>2012</v>
      </c>
      <c r="B7063" t="s">
        <v>303</v>
      </c>
      <c r="C7063" s="733">
        <v>40924.755567129629</v>
      </c>
      <c r="D70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63" t="s">
        <v>485</v>
      </c>
      <c r="F7063" t="s">
        <v>2054</v>
      </c>
      <c r="G7063" t="s">
        <v>6740</v>
      </c>
      <c r="H7063">
        <v>10085</v>
      </c>
      <c r="I7063" t="s">
        <v>423</v>
      </c>
      <c r="J7063" t="s">
        <v>4078</v>
      </c>
      <c r="K7063" t="s">
        <v>2057</v>
      </c>
      <c r="L7063" t="s">
        <v>2058</v>
      </c>
      <c r="M7063">
        <v>154</v>
      </c>
      <c r="N7063">
        <v>23.32</v>
      </c>
      <c r="O7063">
        <v>3929.89</v>
      </c>
      <c r="P7063">
        <v>0</v>
      </c>
      <c r="Q7063">
        <v>3929.89</v>
      </c>
      <c r="R7063">
        <v>628.78</v>
      </c>
      <c r="S7063">
        <v>157.19999999999999</v>
      </c>
      <c r="T7063">
        <v>4401.47</v>
      </c>
      <c r="U7063" t="s">
        <v>2059</v>
      </c>
      <c r="V7063" t="s">
        <v>9409</v>
      </c>
      <c r="W7063" t="s">
        <v>423</v>
      </c>
    </row>
    <row r="7064" spans="1:23" hidden="1" x14ac:dyDescent="0.2">
      <c r="A7064">
        <v>2012</v>
      </c>
      <c r="B7064" t="s">
        <v>304</v>
      </c>
      <c r="C7064" s="733">
        <v>40964</v>
      </c>
      <c r="D70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64" t="s">
        <v>505</v>
      </c>
      <c r="F7064" t="s">
        <v>1915</v>
      </c>
      <c r="G7064" t="s">
        <v>8728</v>
      </c>
      <c r="H7064">
        <v>22994</v>
      </c>
      <c r="I7064" t="s">
        <v>1979</v>
      </c>
      <c r="J7064" t="s">
        <v>1980</v>
      </c>
      <c r="K7064" t="s">
        <v>1918</v>
      </c>
      <c r="L7064" t="s">
        <v>1919</v>
      </c>
      <c r="M7064">
        <v>732</v>
      </c>
      <c r="N7064">
        <v>50.09</v>
      </c>
      <c r="O7064">
        <v>23682.55</v>
      </c>
      <c r="P7064">
        <v>0</v>
      </c>
      <c r="Q7064">
        <v>23682.55</v>
      </c>
      <c r="R7064">
        <v>3789.21</v>
      </c>
      <c r="S7064">
        <v>947.3</v>
      </c>
      <c r="T7064">
        <v>26524.46</v>
      </c>
      <c r="V7064" t="s">
        <v>9409</v>
      </c>
      <c r="W7064" t="s">
        <v>1979</v>
      </c>
    </row>
    <row r="7065" spans="1:23" hidden="1" x14ac:dyDescent="0.2">
      <c r="A7065">
        <v>2012</v>
      </c>
      <c r="B7065" t="s">
        <v>304</v>
      </c>
      <c r="C7065" s="733">
        <v>40962</v>
      </c>
      <c r="D70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65" t="s">
        <v>505</v>
      </c>
      <c r="F7065" t="s">
        <v>1915</v>
      </c>
      <c r="G7065" t="s">
        <v>8358</v>
      </c>
      <c r="H7065">
        <v>22933</v>
      </c>
      <c r="I7065" t="s">
        <v>423</v>
      </c>
      <c r="J7065" t="s">
        <v>1945</v>
      </c>
      <c r="K7065" t="s">
        <v>1918</v>
      </c>
      <c r="L7065" t="s">
        <v>1919</v>
      </c>
      <c r="M7065">
        <v>949</v>
      </c>
      <c r="N7065">
        <v>53.19</v>
      </c>
      <c r="O7065">
        <v>30606.06</v>
      </c>
      <c r="P7065">
        <v>0</v>
      </c>
      <c r="Q7065">
        <v>30606.06</v>
      </c>
      <c r="R7065">
        <v>4896.97</v>
      </c>
      <c r="S7065">
        <v>1224.24</v>
      </c>
      <c r="T7065">
        <v>34278.79</v>
      </c>
      <c r="U7065" t="s">
        <v>8778</v>
      </c>
      <c r="V7065" t="s">
        <v>9409</v>
      </c>
      <c r="W7065" t="s">
        <v>423</v>
      </c>
    </row>
    <row r="7066" spans="1:23" hidden="1" x14ac:dyDescent="0.2">
      <c r="A7066">
        <v>2012</v>
      </c>
      <c r="B7066" t="s">
        <v>304</v>
      </c>
      <c r="C7066" s="733">
        <v>40946</v>
      </c>
      <c r="D70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66" t="s">
        <v>505</v>
      </c>
      <c r="F7066" t="s">
        <v>1915</v>
      </c>
      <c r="G7066" t="s">
        <v>2443</v>
      </c>
      <c r="H7066">
        <v>22523</v>
      </c>
      <c r="I7066" t="s">
        <v>423</v>
      </c>
      <c r="J7066" t="s">
        <v>1945</v>
      </c>
      <c r="K7066" t="s">
        <v>1918</v>
      </c>
      <c r="L7066" t="s">
        <v>1919</v>
      </c>
      <c r="M7066">
        <v>949</v>
      </c>
      <c r="N7066">
        <v>53.83</v>
      </c>
      <c r="O7066">
        <v>30974.32</v>
      </c>
      <c r="P7066">
        <v>0</v>
      </c>
      <c r="Q7066">
        <v>30974.32</v>
      </c>
      <c r="R7066">
        <v>4955.8900000000003</v>
      </c>
      <c r="S7066">
        <v>1238.97</v>
      </c>
      <c r="T7066">
        <v>34691.24</v>
      </c>
      <c r="U7066" t="s">
        <v>1924</v>
      </c>
      <c r="V7066" t="s">
        <v>9409</v>
      </c>
      <c r="W7066" t="s">
        <v>423</v>
      </c>
    </row>
    <row r="7067" spans="1:23" hidden="1" x14ac:dyDescent="0.2">
      <c r="A7067">
        <v>2012</v>
      </c>
      <c r="B7067" t="s">
        <v>304</v>
      </c>
      <c r="C7067" s="733">
        <v>40968</v>
      </c>
      <c r="D70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67" t="s">
        <v>505</v>
      </c>
      <c r="F7067" t="s">
        <v>1915</v>
      </c>
      <c r="G7067" t="s">
        <v>9147</v>
      </c>
      <c r="H7067">
        <v>23047</v>
      </c>
      <c r="I7067" t="s">
        <v>1979</v>
      </c>
      <c r="J7067" t="s">
        <v>1980</v>
      </c>
      <c r="K7067" t="s">
        <v>1918</v>
      </c>
      <c r="L7067" t="s">
        <v>1919</v>
      </c>
      <c r="M7067">
        <v>732</v>
      </c>
      <c r="N7067">
        <v>50.11</v>
      </c>
      <c r="O7067">
        <v>21978.25</v>
      </c>
      <c r="P7067">
        <v>0</v>
      </c>
      <c r="Q7067">
        <v>21978.25</v>
      </c>
      <c r="R7067">
        <v>3516.52</v>
      </c>
      <c r="S7067">
        <v>879.13</v>
      </c>
      <c r="T7067">
        <v>24615.64</v>
      </c>
      <c r="V7067" t="s">
        <v>9409</v>
      </c>
      <c r="W7067" t="s">
        <v>1979</v>
      </c>
    </row>
    <row r="7068" spans="1:23" hidden="1" x14ac:dyDescent="0.2">
      <c r="A7068">
        <v>2012</v>
      </c>
      <c r="B7068" t="s">
        <v>304</v>
      </c>
      <c r="C7068" s="733">
        <v>40955</v>
      </c>
      <c r="D70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68" t="s">
        <v>505</v>
      </c>
      <c r="F7068" t="s">
        <v>1915</v>
      </c>
      <c r="G7068" t="s">
        <v>7753</v>
      </c>
      <c r="H7068">
        <v>22755</v>
      </c>
      <c r="I7068" t="s">
        <v>423</v>
      </c>
      <c r="J7068" t="s">
        <v>1945</v>
      </c>
      <c r="K7068" t="s">
        <v>1918</v>
      </c>
      <c r="L7068" t="s">
        <v>1919</v>
      </c>
      <c r="M7068">
        <v>949</v>
      </c>
      <c r="N7068">
        <v>54.31</v>
      </c>
      <c r="O7068">
        <v>31250.52</v>
      </c>
      <c r="P7068">
        <v>0</v>
      </c>
      <c r="Q7068">
        <v>31250.52</v>
      </c>
      <c r="R7068">
        <v>5000.08</v>
      </c>
      <c r="S7068">
        <v>1250.02</v>
      </c>
      <c r="T7068">
        <v>35000.58</v>
      </c>
      <c r="U7068" t="s">
        <v>7529</v>
      </c>
      <c r="V7068" t="s">
        <v>9409</v>
      </c>
      <c r="W7068" t="s">
        <v>423</v>
      </c>
    </row>
    <row r="7069" spans="1:23" hidden="1" x14ac:dyDescent="0.2">
      <c r="A7069">
        <v>2012</v>
      </c>
      <c r="B7069" t="s">
        <v>303</v>
      </c>
      <c r="C7069" s="733">
        <v>40925</v>
      </c>
      <c r="D70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69" t="s">
        <v>478</v>
      </c>
      <c r="F7069" t="s">
        <v>2136</v>
      </c>
      <c r="G7069" t="s">
        <v>5925</v>
      </c>
      <c r="H7069">
        <v>34571</v>
      </c>
      <c r="I7069" t="s">
        <v>423</v>
      </c>
      <c r="J7069" t="s">
        <v>4778</v>
      </c>
      <c r="K7069" t="s">
        <v>425</v>
      </c>
      <c r="L7069" t="s">
        <v>2145</v>
      </c>
      <c r="M7069">
        <v>652</v>
      </c>
      <c r="N7069">
        <v>48.85</v>
      </c>
      <c r="O7069">
        <v>15294.45</v>
      </c>
      <c r="P7069">
        <v>0</v>
      </c>
      <c r="Q7069">
        <v>15294.45</v>
      </c>
      <c r="R7069">
        <v>2447.11</v>
      </c>
      <c r="S7069">
        <v>611.78</v>
      </c>
      <c r="T7069">
        <v>17129.78</v>
      </c>
      <c r="U7069" t="s">
        <v>2927</v>
      </c>
      <c r="V7069" t="s">
        <v>9409</v>
      </c>
      <c r="W7069" t="s">
        <v>423</v>
      </c>
    </row>
    <row r="7070" spans="1:23" hidden="1" x14ac:dyDescent="0.2">
      <c r="A7070">
        <v>2012</v>
      </c>
      <c r="B7070" t="s">
        <v>303</v>
      </c>
      <c r="C7070" s="733">
        <v>40929</v>
      </c>
      <c r="D70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70" t="s">
        <v>505</v>
      </c>
      <c r="F7070" t="s">
        <v>1915</v>
      </c>
      <c r="G7070" t="s">
        <v>7031</v>
      </c>
      <c r="H7070">
        <v>22110</v>
      </c>
      <c r="I7070" t="s">
        <v>423</v>
      </c>
      <c r="J7070" t="s">
        <v>1980</v>
      </c>
      <c r="K7070" t="s">
        <v>1918</v>
      </c>
      <c r="L7070" t="s">
        <v>1919</v>
      </c>
      <c r="M7070">
        <v>732</v>
      </c>
      <c r="N7070">
        <v>49.37</v>
      </c>
      <c r="O7070">
        <v>21653.68</v>
      </c>
      <c r="P7070">
        <v>0</v>
      </c>
      <c r="Q7070">
        <v>21653.68</v>
      </c>
      <c r="R7070">
        <v>3464.59</v>
      </c>
      <c r="S7070">
        <v>866.15</v>
      </c>
      <c r="T7070">
        <v>24252.12</v>
      </c>
      <c r="U7070" t="s">
        <v>8778</v>
      </c>
      <c r="V7070" t="s">
        <v>9409</v>
      </c>
      <c r="W7070" t="s">
        <v>423</v>
      </c>
    </row>
    <row r="7071" spans="1:23" hidden="1" x14ac:dyDescent="0.2">
      <c r="A7071">
        <v>2012</v>
      </c>
      <c r="B7071" t="s">
        <v>303</v>
      </c>
      <c r="C7071" s="733">
        <v>40918.473136574074</v>
      </c>
      <c r="D707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71" t="s">
        <v>478</v>
      </c>
      <c r="F7071" t="s">
        <v>2622</v>
      </c>
      <c r="G7071" t="s">
        <v>2957</v>
      </c>
      <c r="H7071">
        <v>34383</v>
      </c>
      <c r="I7071" t="s">
        <v>423</v>
      </c>
      <c r="J7071" t="s">
        <v>2644</v>
      </c>
      <c r="K7071" t="s">
        <v>2625</v>
      </c>
      <c r="L7071" t="s">
        <v>2626</v>
      </c>
      <c r="M7071">
        <v>52</v>
      </c>
      <c r="N7071">
        <v>25.43</v>
      </c>
      <c r="O7071">
        <v>2993.87</v>
      </c>
      <c r="P7071">
        <v>0</v>
      </c>
      <c r="Q7071">
        <v>2993.87</v>
      </c>
      <c r="R7071">
        <v>479.02</v>
      </c>
      <c r="S7071">
        <v>119.75</v>
      </c>
      <c r="T7071">
        <v>3353.14</v>
      </c>
      <c r="U7071" t="s">
        <v>2635</v>
      </c>
      <c r="V7071" t="s">
        <v>9408</v>
      </c>
      <c r="W7071" t="s">
        <v>423</v>
      </c>
    </row>
    <row r="7072" spans="1:23" hidden="1" x14ac:dyDescent="0.2">
      <c r="A7072">
        <v>2012</v>
      </c>
      <c r="B7072" t="s">
        <v>304</v>
      </c>
      <c r="C7072" s="733">
        <v>40960.434004629627</v>
      </c>
      <c r="D70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72" t="s">
        <v>478</v>
      </c>
      <c r="F7072" t="s">
        <v>2622</v>
      </c>
      <c r="G7072" t="s">
        <v>8370</v>
      </c>
      <c r="H7072">
        <v>35851</v>
      </c>
      <c r="I7072" t="s">
        <v>423</v>
      </c>
      <c r="J7072" t="s">
        <v>2644</v>
      </c>
      <c r="K7072" t="s">
        <v>2625</v>
      </c>
      <c r="L7072" t="s">
        <v>2626</v>
      </c>
      <c r="M7072">
        <v>52</v>
      </c>
      <c r="N7072">
        <v>24.98</v>
      </c>
      <c r="O7072">
        <v>2940.9</v>
      </c>
      <c r="P7072">
        <v>0</v>
      </c>
      <c r="Q7072">
        <v>2940.9</v>
      </c>
      <c r="R7072">
        <v>470.54</v>
      </c>
      <c r="S7072">
        <v>117.64</v>
      </c>
      <c r="T7072">
        <v>3293.8</v>
      </c>
      <c r="U7072" t="s">
        <v>8267</v>
      </c>
      <c r="V7072" t="s">
        <v>9408</v>
      </c>
      <c r="W7072" t="s">
        <v>423</v>
      </c>
    </row>
    <row r="7073" spans="1:23" hidden="1" x14ac:dyDescent="0.2">
      <c r="A7073">
        <v>2012</v>
      </c>
      <c r="B7073" t="s">
        <v>304</v>
      </c>
      <c r="C7073" s="733">
        <v>40942</v>
      </c>
      <c r="D70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73" t="s">
        <v>478</v>
      </c>
      <c r="F7073" t="s">
        <v>2622</v>
      </c>
      <c r="G7073" t="s">
        <v>5973</v>
      </c>
      <c r="H7073">
        <v>35246</v>
      </c>
      <c r="I7073" t="s">
        <v>423</v>
      </c>
      <c r="J7073" t="s">
        <v>2644</v>
      </c>
      <c r="K7073" t="s">
        <v>2625</v>
      </c>
      <c r="L7073" t="s">
        <v>2145</v>
      </c>
      <c r="M7073">
        <v>52</v>
      </c>
      <c r="N7073">
        <v>24.04</v>
      </c>
      <c r="O7073">
        <v>2830.23</v>
      </c>
      <c r="P7073">
        <v>0</v>
      </c>
      <c r="Q7073">
        <v>2830.23</v>
      </c>
      <c r="R7073">
        <v>452.84</v>
      </c>
      <c r="S7073">
        <v>113.21</v>
      </c>
      <c r="T7073">
        <v>3169.86</v>
      </c>
      <c r="U7073" t="s">
        <v>2652</v>
      </c>
      <c r="V7073" t="s">
        <v>9408</v>
      </c>
      <c r="W7073" t="s">
        <v>423</v>
      </c>
    </row>
    <row r="7074" spans="1:23" hidden="1" x14ac:dyDescent="0.2">
      <c r="A7074">
        <v>2012</v>
      </c>
      <c r="B7074" t="s">
        <v>304</v>
      </c>
      <c r="C7074" s="733">
        <v>40966</v>
      </c>
      <c r="D70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74" t="s">
        <v>478</v>
      </c>
      <c r="F7074" t="s">
        <v>2136</v>
      </c>
      <c r="G7074" t="s">
        <v>9171</v>
      </c>
      <c r="H7074">
        <v>36016</v>
      </c>
      <c r="I7074" t="s">
        <v>423</v>
      </c>
      <c r="J7074" t="s">
        <v>2644</v>
      </c>
      <c r="K7074" t="s">
        <v>2625</v>
      </c>
      <c r="L7074" t="s">
        <v>2626</v>
      </c>
      <c r="M7074">
        <v>52</v>
      </c>
      <c r="N7074">
        <v>22.76</v>
      </c>
      <c r="O7074">
        <v>2679.53</v>
      </c>
      <c r="P7074">
        <v>0</v>
      </c>
      <c r="Q7074">
        <v>2679.53</v>
      </c>
      <c r="R7074">
        <v>428.73</v>
      </c>
      <c r="S7074">
        <v>107.18</v>
      </c>
      <c r="T7074">
        <v>3001.08</v>
      </c>
      <c r="U7074" t="s">
        <v>9428</v>
      </c>
      <c r="V7074" t="s">
        <v>9408</v>
      </c>
      <c r="W7074" t="s">
        <v>423</v>
      </c>
    </row>
    <row r="7075" spans="1:23" hidden="1" x14ac:dyDescent="0.2">
      <c r="A7075">
        <v>2012</v>
      </c>
      <c r="B7075" t="s">
        <v>304</v>
      </c>
      <c r="C7075" s="733">
        <v>40966</v>
      </c>
      <c r="D707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75" t="s">
        <v>478</v>
      </c>
      <c r="F7075" t="s">
        <v>2136</v>
      </c>
      <c r="G7075" t="s">
        <v>9170</v>
      </c>
      <c r="H7075">
        <v>36013</v>
      </c>
      <c r="I7075" t="s">
        <v>423</v>
      </c>
      <c r="J7075" t="s">
        <v>2644</v>
      </c>
      <c r="K7075" t="s">
        <v>2625</v>
      </c>
      <c r="L7075" t="s">
        <v>2145</v>
      </c>
      <c r="M7075">
        <v>52</v>
      </c>
      <c r="N7075">
        <v>22.45</v>
      </c>
      <c r="O7075">
        <v>2643.04</v>
      </c>
      <c r="P7075">
        <v>0</v>
      </c>
      <c r="Q7075">
        <v>2643.04</v>
      </c>
      <c r="R7075">
        <v>422.89</v>
      </c>
      <c r="S7075">
        <v>105.72</v>
      </c>
      <c r="T7075">
        <v>2960.21</v>
      </c>
      <c r="U7075" t="s">
        <v>9428</v>
      </c>
      <c r="V7075" t="s">
        <v>9408</v>
      </c>
      <c r="W7075" t="s">
        <v>423</v>
      </c>
    </row>
    <row r="7076" spans="1:23" hidden="1" x14ac:dyDescent="0.2">
      <c r="A7076">
        <v>2012</v>
      </c>
      <c r="B7076" t="s">
        <v>303</v>
      </c>
      <c r="C7076" s="733">
        <v>40932.461192129631</v>
      </c>
      <c r="D70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76" t="s">
        <v>478</v>
      </c>
      <c r="F7076" t="s">
        <v>2136</v>
      </c>
      <c r="G7076" t="s">
        <v>5968</v>
      </c>
      <c r="H7076">
        <v>34894</v>
      </c>
      <c r="I7076" t="s">
        <v>423</v>
      </c>
      <c r="J7076" t="s">
        <v>2644</v>
      </c>
      <c r="K7076" t="s">
        <v>2625</v>
      </c>
      <c r="L7076" t="s">
        <v>2145</v>
      </c>
      <c r="M7076">
        <v>52</v>
      </c>
      <c r="N7076">
        <v>23.4</v>
      </c>
      <c r="O7076">
        <v>2754.88</v>
      </c>
      <c r="P7076">
        <v>0</v>
      </c>
      <c r="Q7076">
        <v>2754.88</v>
      </c>
      <c r="R7076">
        <v>440.78</v>
      </c>
      <c r="S7076">
        <v>110.2</v>
      </c>
      <c r="T7076">
        <v>3085.46</v>
      </c>
      <c r="U7076" t="s">
        <v>2633</v>
      </c>
      <c r="V7076" t="s">
        <v>9408</v>
      </c>
      <c r="W7076" t="s">
        <v>423</v>
      </c>
    </row>
    <row r="7077" spans="1:23" hidden="1" x14ac:dyDescent="0.2">
      <c r="A7077">
        <v>2012</v>
      </c>
      <c r="B7077" t="s">
        <v>304</v>
      </c>
      <c r="C7077" s="733">
        <v>40942</v>
      </c>
      <c r="D70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77" t="s">
        <v>478</v>
      </c>
      <c r="F7077" t="s">
        <v>2136</v>
      </c>
      <c r="G7077" t="s">
        <v>7128</v>
      </c>
      <c r="H7077">
        <v>35283</v>
      </c>
      <c r="I7077" t="s">
        <v>423</v>
      </c>
      <c r="J7077" t="s">
        <v>3638</v>
      </c>
      <c r="K7077" t="s">
        <v>425</v>
      </c>
      <c r="L7077" t="s">
        <v>2145</v>
      </c>
      <c r="M7077">
        <v>1416</v>
      </c>
      <c r="N7077">
        <v>47.36</v>
      </c>
      <c r="O7077">
        <v>42945.57</v>
      </c>
      <c r="P7077">
        <v>0</v>
      </c>
      <c r="Q7077">
        <v>42945.57</v>
      </c>
      <c r="R7077">
        <v>6871.29</v>
      </c>
      <c r="S7077">
        <v>1717.82</v>
      </c>
      <c r="T7077">
        <v>48099.040000000001</v>
      </c>
      <c r="U7077" t="s">
        <v>3115</v>
      </c>
      <c r="V7077" t="s">
        <v>9409</v>
      </c>
      <c r="W7077" t="s">
        <v>423</v>
      </c>
    </row>
    <row r="7078" spans="1:23" hidden="1" x14ac:dyDescent="0.2">
      <c r="A7078">
        <v>2012</v>
      </c>
      <c r="B7078" t="s">
        <v>304</v>
      </c>
      <c r="C7078" s="733">
        <v>40962</v>
      </c>
      <c r="D70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78" t="s">
        <v>478</v>
      </c>
      <c r="F7078" t="s">
        <v>2136</v>
      </c>
      <c r="G7078" t="s">
        <v>8656</v>
      </c>
      <c r="H7078">
        <v>35770</v>
      </c>
      <c r="I7078" t="s">
        <v>423</v>
      </c>
      <c r="J7078" t="s">
        <v>3638</v>
      </c>
      <c r="K7078" t="s">
        <v>425</v>
      </c>
      <c r="L7078" t="s">
        <v>2145</v>
      </c>
      <c r="M7078">
        <v>1416</v>
      </c>
      <c r="N7078">
        <v>40.78</v>
      </c>
      <c r="O7078">
        <v>36978.9</v>
      </c>
      <c r="P7078">
        <v>0</v>
      </c>
      <c r="Q7078">
        <v>36978.9</v>
      </c>
      <c r="R7078">
        <v>5916.62</v>
      </c>
      <c r="S7078">
        <v>1479.16</v>
      </c>
      <c r="T7078">
        <v>41416.36</v>
      </c>
      <c r="U7078" t="s">
        <v>9430</v>
      </c>
      <c r="V7078" t="s">
        <v>9409</v>
      </c>
      <c r="W7078" t="s">
        <v>423</v>
      </c>
    </row>
    <row r="7079" spans="1:23" hidden="1" x14ac:dyDescent="0.2">
      <c r="A7079">
        <v>2012</v>
      </c>
      <c r="B7079" t="s">
        <v>303</v>
      </c>
      <c r="C7079" s="733">
        <v>40929</v>
      </c>
      <c r="D70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79" t="s">
        <v>478</v>
      </c>
      <c r="F7079" t="s">
        <v>2622</v>
      </c>
      <c r="G7079" t="s">
        <v>7143</v>
      </c>
      <c r="H7079">
        <v>34724</v>
      </c>
      <c r="I7079" t="s">
        <v>423</v>
      </c>
      <c r="J7079" t="s">
        <v>4291</v>
      </c>
      <c r="K7079" t="s">
        <v>425</v>
      </c>
      <c r="L7079" t="s">
        <v>2145</v>
      </c>
      <c r="M7079">
        <v>163</v>
      </c>
      <c r="N7079">
        <v>24.21</v>
      </c>
      <c r="O7079">
        <v>4302.3599999999997</v>
      </c>
      <c r="P7079">
        <v>0</v>
      </c>
      <c r="Q7079">
        <v>4302.3599999999997</v>
      </c>
      <c r="R7079">
        <v>688.38</v>
      </c>
      <c r="S7079">
        <v>172.09</v>
      </c>
      <c r="T7079">
        <v>4818.6499999999996</v>
      </c>
      <c r="U7079" t="s">
        <v>2580</v>
      </c>
      <c r="V7079" t="s">
        <v>9408</v>
      </c>
      <c r="W7079" t="s">
        <v>423</v>
      </c>
    </row>
    <row r="7080" spans="1:23" hidden="1" x14ac:dyDescent="0.2">
      <c r="A7080">
        <v>2012</v>
      </c>
      <c r="B7080" t="s">
        <v>303</v>
      </c>
      <c r="C7080" s="733">
        <v>40914</v>
      </c>
      <c r="D70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80" t="s">
        <v>478</v>
      </c>
      <c r="F7080" t="s">
        <v>2136</v>
      </c>
      <c r="G7080" t="s">
        <v>7142</v>
      </c>
      <c r="H7080">
        <v>34266</v>
      </c>
      <c r="I7080" t="s">
        <v>423</v>
      </c>
      <c r="J7080" t="s">
        <v>4291</v>
      </c>
      <c r="K7080" t="s">
        <v>425</v>
      </c>
      <c r="L7080" t="s">
        <v>2145</v>
      </c>
      <c r="M7080">
        <v>163</v>
      </c>
      <c r="N7080">
        <v>27.68</v>
      </c>
      <c r="O7080">
        <v>4919.01</v>
      </c>
      <c r="P7080">
        <v>0</v>
      </c>
      <c r="Q7080">
        <v>4919.01</v>
      </c>
      <c r="R7080">
        <v>787.04</v>
      </c>
      <c r="S7080">
        <v>196.76</v>
      </c>
      <c r="T7080">
        <v>5509.29</v>
      </c>
      <c r="U7080" t="s">
        <v>2352</v>
      </c>
      <c r="V7080" t="s">
        <v>9408</v>
      </c>
      <c r="W7080" t="s">
        <v>423</v>
      </c>
    </row>
    <row r="7081" spans="1:23" hidden="1" x14ac:dyDescent="0.2">
      <c r="A7081">
        <v>2012</v>
      </c>
      <c r="B7081" t="s">
        <v>304</v>
      </c>
      <c r="C7081" s="733">
        <v>40956.93141203704</v>
      </c>
      <c r="D70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81" t="s">
        <v>478</v>
      </c>
      <c r="F7081" t="s">
        <v>2622</v>
      </c>
      <c r="G7081" t="s">
        <v>7558</v>
      </c>
      <c r="H7081">
        <v>35764</v>
      </c>
      <c r="I7081" t="s">
        <v>423</v>
      </c>
      <c r="J7081" t="s">
        <v>2644</v>
      </c>
      <c r="K7081" t="s">
        <v>2625</v>
      </c>
      <c r="L7081" t="s">
        <v>2145</v>
      </c>
      <c r="M7081">
        <v>52</v>
      </c>
      <c r="N7081">
        <v>22.84</v>
      </c>
      <c r="O7081">
        <v>2688.95</v>
      </c>
      <c r="P7081">
        <v>0</v>
      </c>
      <c r="Q7081">
        <v>2688.95</v>
      </c>
      <c r="R7081">
        <v>430.23</v>
      </c>
      <c r="S7081">
        <v>107.56</v>
      </c>
      <c r="T7081">
        <v>3011.62</v>
      </c>
      <c r="U7081" t="s">
        <v>8267</v>
      </c>
      <c r="V7081" t="s">
        <v>9408</v>
      </c>
      <c r="W7081" t="s">
        <v>423</v>
      </c>
    </row>
    <row r="7082" spans="1:23" hidden="1" x14ac:dyDescent="0.2">
      <c r="A7082">
        <v>2012</v>
      </c>
      <c r="B7082" t="s">
        <v>304</v>
      </c>
      <c r="C7082" s="733">
        <v>40946.615243055552</v>
      </c>
      <c r="D70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82" t="s">
        <v>478</v>
      </c>
      <c r="F7082" t="s">
        <v>2136</v>
      </c>
      <c r="G7082" t="s">
        <v>5969</v>
      </c>
      <c r="H7082">
        <v>35386</v>
      </c>
      <c r="I7082" t="s">
        <v>423</v>
      </c>
      <c r="J7082" t="s">
        <v>2644</v>
      </c>
      <c r="K7082" t="s">
        <v>2625</v>
      </c>
      <c r="L7082" t="s">
        <v>2626</v>
      </c>
      <c r="M7082">
        <v>52</v>
      </c>
      <c r="N7082">
        <v>23</v>
      </c>
      <c r="O7082">
        <v>2707.79</v>
      </c>
      <c r="P7082">
        <v>0</v>
      </c>
      <c r="Q7082">
        <v>2707.79</v>
      </c>
      <c r="R7082">
        <v>433.25</v>
      </c>
      <c r="S7082">
        <v>108.31</v>
      </c>
      <c r="T7082">
        <v>3032.73</v>
      </c>
      <c r="U7082" t="s">
        <v>2630</v>
      </c>
      <c r="V7082" t="s">
        <v>9408</v>
      </c>
      <c r="W7082" t="s">
        <v>423</v>
      </c>
    </row>
    <row r="7083" spans="1:23" hidden="1" x14ac:dyDescent="0.2">
      <c r="A7083">
        <v>2012</v>
      </c>
      <c r="B7083" t="s">
        <v>303</v>
      </c>
      <c r="C7083" s="733">
        <v>40918</v>
      </c>
      <c r="D708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83" t="s">
        <v>478</v>
      </c>
      <c r="F7083" t="s">
        <v>2622</v>
      </c>
      <c r="G7083" t="s">
        <v>2958</v>
      </c>
      <c r="H7083">
        <v>34362</v>
      </c>
      <c r="I7083" t="s">
        <v>423</v>
      </c>
      <c r="J7083" t="s">
        <v>2644</v>
      </c>
      <c r="K7083" t="s">
        <v>2625</v>
      </c>
      <c r="L7083" t="s">
        <v>2626</v>
      </c>
      <c r="M7083">
        <v>52</v>
      </c>
      <c r="N7083">
        <v>26.02</v>
      </c>
      <c r="O7083">
        <v>3063.33</v>
      </c>
      <c r="P7083">
        <v>0</v>
      </c>
      <c r="Q7083">
        <v>3063.33</v>
      </c>
      <c r="R7083">
        <v>490.13</v>
      </c>
      <c r="S7083">
        <v>122.53</v>
      </c>
      <c r="T7083">
        <v>3430.93</v>
      </c>
      <c r="U7083" t="s">
        <v>2630</v>
      </c>
      <c r="V7083" t="s">
        <v>9408</v>
      </c>
      <c r="W7083" t="s">
        <v>423</v>
      </c>
    </row>
    <row r="7084" spans="1:23" hidden="1" x14ac:dyDescent="0.2">
      <c r="A7084">
        <v>2012</v>
      </c>
      <c r="B7084" t="s">
        <v>304</v>
      </c>
      <c r="C7084" s="733">
        <v>40956</v>
      </c>
      <c r="D70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84" t="s">
        <v>478</v>
      </c>
      <c r="F7084" t="s">
        <v>2136</v>
      </c>
      <c r="G7084" t="s">
        <v>7846</v>
      </c>
      <c r="H7084">
        <v>35711</v>
      </c>
      <c r="I7084" t="s">
        <v>423</v>
      </c>
      <c r="J7084" t="s">
        <v>4291</v>
      </c>
      <c r="K7084" t="s">
        <v>425</v>
      </c>
      <c r="L7084" t="s">
        <v>2145</v>
      </c>
      <c r="M7084">
        <v>163</v>
      </c>
      <c r="N7084">
        <v>47.44</v>
      </c>
      <c r="O7084">
        <v>8430.56</v>
      </c>
      <c r="P7084">
        <v>0</v>
      </c>
      <c r="Q7084">
        <v>8430.56</v>
      </c>
      <c r="R7084">
        <v>1348.89</v>
      </c>
      <c r="S7084">
        <v>337.22</v>
      </c>
      <c r="T7084">
        <v>9442.23</v>
      </c>
      <c r="U7084" t="s">
        <v>9455</v>
      </c>
      <c r="V7084" t="s">
        <v>9409</v>
      </c>
      <c r="W7084" t="s">
        <v>423</v>
      </c>
    </row>
    <row r="7085" spans="1:23" hidden="1" x14ac:dyDescent="0.2">
      <c r="A7085">
        <v>2012</v>
      </c>
      <c r="B7085" t="s">
        <v>304</v>
      </c>
      <c r="C7085" s="733">
        <v>40962</v>
      </c>
      <c r="D70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85" t="s">
        <v>478</v>
      </c>
      <c r="F7085" t="s">
        <v>2136</v>
      </c>
      <c r="G7085" t="s">
        <v>8655</v>
      </c>
      <c r="H7085">
        <v>35944</v>
      </c>
      <c r="I7085" t="s">
        <v>423</v>
      </c>
      <c r="J7085" t="s">
        <v>4291</v>
      </c>
      <c r="K7085" t="s">
        <v>425</v>
      </c>
      <c r="L7085" t="s">
        <v>2145</v>
      </c>
      <c r="M7085">
        <v>163</v>
      </c>
      <c r="N7085">
        <v>23.05</v>
      </c>
      <c r="O7085">
        <v>4096.22</v>
      </c>
      <c r="P7085">
        <v>0</v>
      </c>
      <c r="Q7085">
        <v>4096.22</v>
      </c>
      <c r="R7085">
        <v>655.39</v>
      </c>
      <c r="S7085">
        <v>163.85</v>
      </c>
      <c r="T7085">
        <v>4587.76</v>
      </c>
      <c r="U7085" t="s">
        <v>9457</v>
      </c>
      <c r="V7085" t="s">
        <v>9408</v>
      </c>
      <c r="W7085" t="s">
        <v>423</v>
      </c>
    </row>
    <row r="7086" spans="1:23" hidden="1" x14ac:dyDescent="0.2">
      <c r="A7086">
        <v>2012</v>
      </c>
      <c r="B7086" t="s">
        <v>304</v>
      </c>
      <c r="C7086" s="733">
        <v>40946</v>
      </c>
      <c r="D70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86" t="s">
        <v>478</v>
      </c>
      <c r="F7086" t="s">
        <v>2136</v>
      </c>
      <c r="G7086" t="s">
        <v>7129</v>
      </c>
      <c r="H7086">
        <v>35062</v>
      </c>
      <c r="I7086" t="s">
        <v>423</v>
      </c>
      <c r="J7086" t="s">
        <v>3638</v>
      </c>
      <c r="K7086" t="s">
        <v>425</v>
      </c>
      <c r="L7086" t="s">
        <v>2145</v>
      </c>
      <c r="M7086">
        <v>1416</v>
      </c>
      <c r="N7086">
        <v>56.59</v>
      </c>
      <c r="O7086">
        <v>51315.25</v>
      </c>
      <c r="P7086">
        <v>0</v>
      </c>
      <c r="Q7086">
        <v>51315.25</v>
      </c>
      <c r="R7086">
        <v>8210.44</v>
      </c>
      <c r="S7086">
        <v>2052.61</v>
      </c>
      <c r="T7086">
        <v>57473.08</v>
      </c>
      <c r="U7086" t="s">
        <v>3115</v>
      </c>
      <c r="V7086" t="s">
        <v>9409</v>
      </c>
      <c r="W7086" t="s">
        <v>423</v>
      </c>
    </row>
    <row r="7087" spans="1:23" hidden="1" x14ac:dyDescent="0.2">
      <c r="A7087">
        <v>2012</v>
      </c>
      <c r="B7087" t="s">
        <v>303</v>
      </c>
      <c r="C7087" s="733">
        <v>40933</v>
      </c>
      <c r="D70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87" t="s">
        <v>485</v>
      </c>
      <c r="F7087" t="s">
        <v>2054</v>
      </c>
      <c r="G7087" t="s">
        <v>6754</v>
      </c>
      <c r="H7087">
        <v>40874</v>
      </c>
      <c r="I7087" t="s">
        <v>423</v>
      </c>
      <c r="J7087" t="s">
        <v>2274</v>
      </c>
      <c r="K7087" t="s">
        <v>2051</v>
      </c>
      <c r="L7087" t="s">
        <v>2052</v>
      </c>
      <c r="M7087">
        <v>573</v>
      </c>
      <c r="N7087">
        <v>49.4</v>
      </c>
      <c r="O7087">
        <v>16030.3</v>
      </c>
      <c r="P7087">
        <v>0</v>
      </c>
      <c r="Q7087">
        <v>16030.3</v>
      </c>
      <c r="R7087">
        <v>2564.85</v>
      </c>
      <c r="S7087">
        <v>641.21</v>
      </c>
      <c r="T7087">
        <v>17953.939999999999</v>
      </c>
      <c r="U7087" t="s">
        <v>2067</v>
      </c>
      <c r="V7087" t="s">
        <v>9409</v>
      </c>
      <c r="W7087" t="s">
        <v>423</v>
      </c>
    </row>
    <row r="7088" spans="1:23" hidden="1" x14ac:dyDescent="0.2">
      <c r="A7088">
        <v>2012</v>
      </c>
      <c r="B7088" t="s">
        <v>304</v>
      </c>
      <c r="C7088" s="733">
        <v>40952</v>
      </c>
      <c r="D70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88" t="s">
        <v>485</v>
      </c>
      <c r="F7088" t="s">
        <v>2054</v>
      </c>
      <c r="G7088" t="s">
        <v>6753</v>
      </c>
      <c r="H7088">
        <v>41831</v>
      </c>
      <c r="I7088" t="s">
        <v>423</v>
      </c>
      <c r="J7088" t="s">
        <v>2274</v>
      </c>
      <c r="K7088" t="s">
        <v>2051</v>
      </c>
      <c r="L7088" t="s">
        <v>2052</v>
      </c>
      <c r="M7088">
        <v>573</v>
      </c>
      <c r="N7088">
        <v>29.65</v>
      </c>
      <c r="O7088">
        <v>9621.42</v>
      </c>
      <c r="P7088">
        <v>0</v>
      </c>
      <c r="Q7088">
        <v>9621.42</v>
      </c>
      <c r="R7088">
        <v>1539.43</v>
      </c>
      <c r="S7088">
        <v>384.86</v>
      </c>
      <c r="T7088">
        <v>10775.99</v>
      </c>
      <c r="U7088" t="s">
        <v>8257</v>
      </c>
      <c r="V7088" t="s">
        <v>9409</v>
      </c>
      <c r="W7088" t="s">
        <v>423</v>
      </c>
    </row>
    <row r="7089" spans="1:23" hidden="1" x14ac:dyDescent="0.2">
      <c r="A7089">
        <v>2012</v>
      </c>
      <c r="B7089" t="s">
        <v>303</v>
      </c>
      <c r="C7089" s="733">
        <v>40926.496134259258</v>
      </c>
      <c r="D70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89" t="s">
        <v>485</v>
      </c>
      <c r="F7089" t="s">
        <v>2048</v>
      </c>
      <c r="G7089" t="s">
        <v>2329</v>
      </c>
      <c r="H7089">
        <v>40522</v>
      </c>
      <c r="I7089" t="s">
        <v>423</v>
      </c>
      <c r="J7089" t="s">
        <v>2274</v>
      </c>
      <c r="K7089" t="s">
        <v>2051</v>
      </c>
      <c r="L7089" t="s">
        <v>2052</v>
      </c>
      <c r="M7089">
        <v>573</v>
      </c>
      <c r="N7089">
        <v>25.1</v>
      </c>
      <c r="O7089">
        <v>8144.95</v>
      </c>
      <c r="P7089">
        <v>0</v>
      </c>
      <c r="Q7089">
        <v>8144.95</v>
      </c>
      <c r="R7089">
        <v>1303.19</v>
      </c>
      <c r="S7089">
        <v>325.8</v>
      </c>
      <c r="T7089">
        <v>9122.34</v>
      </c>
      <c r="U7089" t="s">
        <v>2062</v>
      </c>
      <c r="V7089" t="s">
        <v>9408</v>
      </c>
      <c r="W7089" t="s">
        <v>423</v>
      </c>
    </row>
    <row r="7090" spans="1:23" hidden="1" x14ac:dyDescent="0.2">
      <c r="A7090">
        <v>2012</v>
      </c>
      <c r="B7090" t="s">
        <v>303</v>
      </c>
      <c r="C7090" s="733">
        <v>40919</v>
      </c>
      <c r="D70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90" t="s">
        <v>478</v>
      </c>
      <c r="F7090" t="s">
        <v>2136</v>
      </c>
      <c r="G7090" t="s">
        <v>5927</v>
      </c>
      <c r="H7090">
        <v>34272</v>
      </c>
      <c r="I7090" t="s">
        <v>423</v>
      </c>
      <c r="J7090" t="s">
        <v>3638</v>
      </c>
      <c r="K7090" t="s">
        <v>425</v>
      </c>
      <c r="L7090" t="s">
        <v>2145</v>
      </c>
      <c r="M7090">
        <v>1416</v>
      </c>
      <c r="N7090">
        <v>48.48</v>
      </c>
      <c r="O7090">
        <v>43961.18</v>
      </c>
      <c r="P7090">
        <v>0</v>
      </c>
      <c r="Q7090">
        <v>43961.18</v>
      </c>
      <c r="R7090">
        <v>7033.79</v>
      </c>
      <c r="S7090">
        <v>1758.45</v>
      </c>
      <c r="T7090">
        <v>49236.52</v>
      </c>
      <c r="U7090" t="s">
        <v>2350</v>
      </c>
      <c r="V7090" t="s">
        <v>9409</v>
      </c>
      <c r="W7090" t="s">
        <v>423</v>
      </c>
    </row>
    <row r="7091" spans="1:23" hidden="1" x14ac:dyDescent="0.2">
      <c r="A7091">
        <v>2012</v>
      </c>
      <c r="B7091" t="s">
        <v>304</v>
      </c>
      <c r="C7091" s="733">
        <v>40961</v>
      </c>
      <c r="D709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91" t="s">
        <v>478</v>
      </c>
      <c r="F7091" t="s">
        <v>2136</v>
      </c>
      <c r="G7091" t="s">
        <v>8371</v>
      </c>
      <c r="H7091">
        <v>35774</v>
      </c>
      <c r="I7091" t="s">
        <v>423</v>
      </c>
      <c r="J7091" t="s">
        <v>3638</v>
      </c>
      <c r="K7091" t="s">
        <v>425</v>
      </c>
      <c r="L7091" t="s">
        <v>2145</v>
      </c>
      <c r="M7091">
        <v>1416</v>
      </c>
      <c r="N7091">
        <v>42.98</v>
      </c>
      <c r="O7091">
        <v>38973.83</v>
      </c>
      <c r="P7091">
        <v>0</v>
      </c>
      <c r="Q7091">
        <v>38973.83</v>
      </c>
      <c r="R7091">
        <v>6235.81</v>
      </c>
      <c r="S7091">
        <v>1558.95</v>
      </c>
      <c r="T7091">
        <v>43650.69</v>
      </c>
      <c r="U7091" t="s">
        <v>9430</v>
      </c>
      <c r="V7091" t="s">
        <v>9408</v>
      </c>
      <c r="W7091" t="s">
        <v>423</v>
      </c>
    </row>
    <row r="7092" spans="1:23" hidden="1" x14ac:dyDescent="0.2">
      <c r="A7092">
        <v>2012</v>
      </c>
      <c r="B7092" t="s">
        <v>304</v>
      </c>
      <c r="C7092" s="733">
        <v>40966</v>
      </c>
      <c r="D70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92" t="s">
        <v>478</v>
      </c>
      <c r="F7092" t="s">
        <v>2136</v>
      </c>
      <c r="G7092" t="s">
        <v>9172</v>
      </c>
      <c r="H7092">
        <v>35935</v>
      </c>
      <c r="I7092" t="s">
        <v>423</v>
      </c>
      <c r="J7092" t="s">
        <v>3638</v>
      </c>
      <c r="K7092" t="s">
        <v>425</v>
      </c>
      <c r="L7092" t="s">
        <v>2145</v>
      </c>
      <c r="M7092">
        <v>1416</v>
      </c>
      <c r="N7092">
        <v>44.06</v>
      </c>
      <c r="O7092">
        <v>39953.17</v>
      </c>
      <c r="P7092">
        <v>0</v>
      </c>
      <c r="Q7092">
        <v>39953.17</v>
      </c>
      <c r="R7092">
        <v>6392.51</v>
      </c>
      <c r="S7092">
        <v>1598.13</v>
      </c>
      <c r="T7092">
        <v>44747.55</v>
      </c>
      <c r="U7092" t="s">
        <v>9430</v>
      </c>
      <c r="V7092" t="s">
        <v>9409</v>
      </c>
      <c r="W7092" t="s">
        <v>423</v>
      </c>
    </row>
    <row r="7093" spans="1:23" hidden="1" x14ac:dyDescent="0.2">
      <c r="A7093">
        <v>2012</v>
      </c>
      <c r="B7093" t="s">
        <v>304</v>
      </c>
      <c r="C7093" s="733">
        <v>40955.786226851851</v>
      </c>
      <c r="D70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93" t="s">
        <v>505</v>
      </c>
      <c r="F7093" t="s">
        <v>1915</v>
      </c>
      <c r="G7093" t="s">
        <v>7811</v>
      </c>
      <c r="H7093">
        <v>22811</v>
      </c>
      <c r="I7093" t="s">
        <v>423</v>
      </c>
      <c r="J7093" t="s">
        <v>4140</v>
      </c>
      <c r="K7093" t="s">
        <v>1918</v>
      </c>
      <c r="L7093" t="s">
        <v>1919</v>
      </c>
      <c r="M7093">
        <v>1</v>
      </c>
      <c r="N7093">
        <v>24.97</v>
      </c>
      <c r="O7093">
        <v>2411.6</v>
      </c>
      <c r="P7093">
        <v>0</v>
      </c>
      <c r="Q7093">
        <v>2411.6</v>
      </c>
      <c r="R7093">
        <v>385.86</v>
      </c>
      <c r="S7093">
        <v>96.46</v>
      </c>
      <c r="T7093">
        <v>2701</v>
      </c>
      <c r="U7093" t="s">
        <v>7529</v>
      </c>
      <c r="V7093" t="s">
        <v>9408</v>
      </c>
      <c r="W7093" t="s">
        <v>423</v>
      </c>
    </row>
    <row r="7094" spans="1:23" hidden="1" x14ac:dyDescent="0.2">
      <c r="A7094">
        <v>2012</v>
      </c>
      <c r="B7094" t="s">
        <v>303</v>
      </c>
      <c r="C7094" s="733">
        <v>40915</v>
      </c>
      <c r="D70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94" t="s">
        <v>505</v>
      </c>
      <c r="F7094" t="s">
        <v>1915</v>
      </c>
      <c r="G7094" t="s">
        <v>7041</v>
      </c>
      <c r="H7094">
        <v>21867</v>
      </c>
      <c r="I7094" t="s">
        <v>423</v>
      </c>
      <c r="J7094" t="s">
        <v>4140</v>
      </c>
      <c r="K7094" t="s">
        <v>1918</v>
      </c>
      <c r="L7094" t="s">
        <v>1919</v>
      </c>
      <c r="M7094">
        <v>1</v>
      </c>
      <c r="N7094">
        <v>25.04</v>
      </c>
      <c r="O7094">
        <v>2418.36</v>
      </c>
      <c r="P7094">
        <v>0</v>
      </c>
      <c r="Q7094">
        <v>2418.36</v>
      </c>
      <c r="R7094">
        <v>386.94</v>
      </c>
      <c r="S7094">
        <v>96.73</v>
      </c>
      <c r="T7094">
        <v>2708.57</v>
      </c>
      <c r="U7094" t="s">
        <v>1931</v>
      </c>
      <c r="V7094" t="s">
        <v>9408</v>
      </c>
      <c r="W7094" t="s">
        <v>423</v>
      </c>
    </row>
    <row r="7095" spans="1:23" hidden="1" x14ac:dyDescent="0.2">
      <c r="A7095">
        <v>2012</v>
      </c>
      <c r="B7095" t="s">
        <v>304</v>
      </c>
      <c r="C7095" s="733">
        <v>40953</v>
      </c>
      <c r="D70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95" t="s">
        <v>505</v>
      </c>
      <c r="F7095" t="s">
        <v>1915</v>
      </c>
      <c r="G7095" t="s">
        <v>7023</v>
      </c>
      <c r="H7095">
        <v>22701</v>
      </c>
      <c r="I7095" t="s">
        <v>423</v>
      </c>
      <c r="J7095" t="s">
        <v>4140</v>
      </c>
      <c r="K7095" t="s">
        <v>1918</v>
      </c>
      <c r="L7095" t="s">
        <v>1919</v>
      </c>
      <c r="M7095">
        <v>1</v>
      </c>
      <c r="N7095">
        <v>25.04</v>
      </c>
      <c r="O7095">
        <v>2418.36</v>
      </c>
      <c r="P7095">
        <v>0</v>
      </c>
      <c r="Q7095">
        <v>2418.36</v>
      </c>
      <c r="R7095">
        <v>386.94</v>
      </c>
      <c r="S7095">
        <v>96.73</v>
      </c>
      <c r="T7095">
        <v>2708.57</v>
      </c>
      <c r="U7095" t="s">
        <v>7529</v>
      </c>
      <c r="V7095" t="s">
        <v>9408</v>
      </c>
      <c r="W7095" t="s">
        <v>423</v>
      </c>
    </row>
    <row r="7096" spans="1:23" hidden="1" x14ac:dyDescent="0.2">
      <c r="A7096">
        <v>2012</v>
      </c>
      <c r="B7096" t="s">
        <v>304</v>
      </c>
      <c r="C7096" s="733">
        <v>40941.762696759259</v>
      </c>
      <c r="D70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96" t="s">
        <v>505</v>
      </c>
      <c r="F7096" t="s">
        <v>1915</v>
      </c>
      <c r="G7096" t="s">
        <v>7042</v>
      </c>
      <c r="H7096">
        <v>22452</v>
      </c>
      <c r="I7096" t="s">
        <v>423</v>
      </c>
      <c r="J7096" t="s">
        <v>4140</v>
      </c>
      <c r="K7096" t="s">
        <v>1918</v>
      </c>
      <c r="L7096" t="s">
        <v>1919</v>
      </c>
      <c r="M7096">
        <v>1</v>
      </c>
      <c r="N7096">
        <v>25.12</v>
      </c>
      <c r="O7096">
        <v>2426.09</v>
      </c>
      <c r="P7096">
        <v>0</v>
      </c>
      <c r="Q7096">
        <v>2426.09</v>
      </c>
      <c r="R7096">
        <v>388.17</v>
      </c>
      <c r="S7096">
        <v>97.04</v>
      </c>
      <c r="T7096">
        <v>2717.22</v>
      </c>
      <c r="U7096" t="s">
        <v>1926</v>
      </c>
      <c r="V7096" t="s">
        <v>9408</v>
      </c>
      <c r="W7096" t="s">
        <v>423</v>
      </c>
    </row>
    <row r="7097" spans="1:23" hidden="1" x14ac:dyDescent="0.2">
      <c r="A7097">
        <v>2012</v>
      </c>
      <c r="B7097" t="s">
        <v>303</v>
      </c>
      <c r="C7097" s="733">
        <v>40926</v>
      </c>
      <c r="D70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097" t="s">
        <v>505</v>
      </c>
      <c r="F7097" t="s">
        <v>1915</v>
      </c>
      <c r="G7097" t="s">
        <v>7040</v>
      </c>
      <c r="H7097">
        <v>22044</v>
      </c>
      <c r="I7097" t="s">
        <v>423</v>
      </c>
      <c r="J7097" t="s">
        <v>5285</v>
      </c>
      <c r="K7097" t="s">
        <v>1918</v>
      </c>
      <c r="L7097" t="s">
        <v>1919</v>
      </c>
      <c r="M7097">
        <v>433</v>
      </c>
      <c r="N7097">
        <v>24.28</v>
      </c>
      <c r="O7097">
        <v>7671.99</v>
      </c>
      <c r="P7097">
        <v>0</v>
      </c>
      <c r="Q7097">
        <v>7671.99</v>
      </c>
      <c r="R7097">
        <v>1227.52</v>
      </c>
      <c r="S7097">
        <v>306.88</v>
      </c>
      <c r="T7097">
        <v>8592.6299999999992</v>
      </c>
      <c r="U7097" t="s">
        <v>8778</v>
      </c>
      <c r="V7097" t="s">
        <v>9408</v>
      </c>
      <c r="W7097" t="s">
        <v>423</v>
      </c>
    </row>
    <row r="7098" spans="1:23" hidden="1" x14ac:dyDescent="0.2">
      <c r="A7098">
        <v>2012</v>
      </c>
      <c r="B7098" t="s">
        <v>304</v>
      </c>
      <c r="C7098" s="733">
        <v>40963</v>
      </c>
      <c r="D70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098" t="s">
        <v>505</v>
      </c>
      <c r="F7098" t="s">
        <v>1915</v>
      </c>
      <c r="G7098" t="s">
        <v>8769</v>
      </c>
      <c r="H7098">
        <v>22985</v>
      </c>
      <c r="I7098" t="s">
        <v>423</v>
      </c>
      <c r="J7098" t="s">
        <v>5285</v>
      </c>
      <c r="K7098" t="s">
        <v>1918</v>
      </c>
      <c r="L7098" t="s">
        <v>1919</v>
      </c>
      <c r="M7098">
        <v>433</v>
      </c>
      <c r="N7098">
        <v>25.02</v>
      </c>
      <c r="O7098">
        <v>7905.82</v>
      </c>
      <c r="P7098">
        <v>0</v>
      </c>
      <c r="Q7098">
        <v>7905.82</v>
      </c>
      <c r="R7098">
        <v>1264.93</v>
      </c>
      <c r="S7098">
        <v>316.23</v>
      </c>
      <c r="T7098">
        <v>8854.52</v>
      </c>
      <c r="U7098" t="s">
        <v>8778</v>
      </c>
      <c r="V7098" t="s">
        <v>9408</v>
      </c>
      <c r="W7098" t="s">
        <v>423</v>
      </c>
    </row>
    <row r="7099" spans="1:23" hidden="1" x14ac:dyDescent="0.2">
      <c r="A7099">
        <v>2012</v>
      </c>
      <c r="B7099" t="s">
        <v>305</v>
      </c>
      <c r="C7099" s="733">
        <v>40969</v>
      </c>
      <c r="D7099" s="733" t="str">
        <f>CHOOSE(MONTH(Tabla_sqldatos_bonampakdb_Bon_v_ingresos2012[[#This Row],[fecha_guia]]),"Enero","Febrero","Marzo","Abril","Mayo","Junio","Julio","Agosto","Septiembre","Octubre","Noviembre","Diciembre")</f>
        <v>Marzo</v>
      </c>
      <c r="E7099" t="s">
        <v>505</v>
      </c>
      <c r="F7099" t="s">
        <v>1915</v>
      </c>
      <c r="G7099" t="s">
        <v>9456</v>
      </c>
      <c r="H7099">
        <v>23104</v>
      </c>
      <c r="I7099" t="s">
        <v>423</v>
      </c>
      <c r="J7099" t="s">
        <v>4140</v>
      </c>
      <c r="K7099" t="s">
        <v>1918</v>
      </c>
      <c r="L7099" t="s">
        <v>1919</v>
      </c>
      <c r="M7099">
        <v>1</v>
      </c>
      <c r="N7099">
        <v>26.08</v>
      </c>
      <c r="O7099">
        <v>2518.81</v>
      </c>
      <c r="P7099">
        <v>0</v>
      </c>
      <c r="Q7099">
        <v>2518.81</v>
      </c>
      <c r="R7099">
        <v>403.01</v>
      </c>
      <c r="S7099">
        <v>100.75</v>
      </c>
      <c r="T7099">
        <v>2821.07</v>
      </c>
      <c r="V7099" t="s">
        <v>9408</v>
      </c>
      <c r="W7099" t="s">
        <v>423</v>
      </c>
    </row>
    <row r="7100" spans="1:23" hidden="1" x14ac:dyDescent="0.2">
      <c r="A7100">
        <v>2012</v>
      </c>
      <c r="B7100" t="s">
        <v>304</v>
      </c>
      <c r="C7100" s="733">
        <v>40946</v>
      </c>
      <c r="D710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00" t="s">
        <v>485</v>
      </c>
      <c r="F7100" t="s">
        <v>2048</v>
      </c>
      <c r="G7100" t="s">
        <v>6755</v>
      </c>
      <c r="H7100">
        <v>41500</v>
      </c>
      <c r="I7100" t="s">
        <v>423</v>
      </c>
      <c r="J7100" t="s">
        <v>2274</v>
      </c>
      <c r="K7100" t="s">
        <v>2051</v>
      </c>
      <c r="L7100" t="s">
        <v>2052</v>
      </c>
      <c r="M7100">
        <v>573</v>
      </c>
      <c r="N7100">
        <v>50.65</v>
      </c>
      <c r="O7100">
        <v>16435.919999999998</v>
      </c>
      <c r="P7100">
        <v>0</v>
      </c>
      <c r="Q7100">
        <v>16435.919999999998</v>
      </c>
      <c r="R7100">
        <v>2629.75</v>
      </c>
      <c r="S7100">
        <v>657.44</v>
      </c>
      <c r="T7100">
        <v>18408.23</v>
      </c>
      <c r="U7100" t="s">
        <v>7568</v>
      </c>
      <c r="V7100" t="s">
        <v>9409</v>
      </c>
      <c r="W7100" t="s">
        <v>423</v>
      </c>
    </row>
    <row r="7101" spans="1:23" hidden="1" x14ac:dyDescent="0.2">
      <c r="A7101">
        <v>2012</v>
      </c>
      <c r="B7101" t="s">
        <v>304</v>
      </c>
      <c r="C7101" s="733">
        <v>40947</v>
      </c>
      <c r="D71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01" t="s">
        <v>485</v>
      </c>
      <c r="F7101" t="s">
        <v>2048</v>
      </c>
      <c r="G7101" t="s">
        <v>2330</v>
      </c>
      <c r="H7101">
        <v>41493</v>
      </c>
      <c r="I7101" t="s">
        <v>423</v>
      </c>
      <c r="J7101" t="s">
        <v>2274</v>
      </c>
      <c r="K7101" t="s">
        <v>2051</v>
      </c>
      <c r="L7101" t="s">
        <v>2052</v>
      </c>
      <c r="M7101">
        <v>573</v>
      </c>
      <c r="N7101">
        <v>25.5</v>
      </c>
      <c r="O7101">
        <v>8274.75</v>
      </c>
      <c r="P7101">
        <v>0</v>
      </c>
      <c r="Q7101">
        <v>8274.75</v>
      </c>
      <c r="R7101">
        <v>1323.96</v>
      </c>
      <c r="S7101">
        <v>330.99</v>
      </c>
      <c r="T7101">
        <v>9267.7199999999993</v>
      </c>
      <c r="U7101" t="s">
        <v>7568</v>
      </c>
      <c r="V7101" t="s">
        <v>9409</v>
      </c>
      <c r="W7101" t="s">
        <v>423</v>
      </c>
    </row>
    <row r="7102" spans="1:23" hidden="1" x14ac:dyDescent="0.2">
      <c r="A7102">
        <v>2012</v>
      </c>
      <c r="B7102" t="s">
        <v>303</v>
      </c>
      <c r="C7102" s="733">
        <v>40932</v>
      </c>
      <c r="D71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02" t="s">
        <v>485</v>
      </c>
      <c r="F7102" t="s">
        <v>2065</v>
      </c>
      <c r="G7102" t="s">
        <v>5951</v>
      </c>
      <c r="H7102">
        <v>40683</v>
      </c>
      <c r="I7102" t="s">
        <v>423</v>
      </c>
      <c r="J7102" t="s">
        <v>2813</v>
      </c>
      <c r="K7102" t="s">
        <v>2814</v>
      </c>
      <c r="L7102" t="s">
        <v>2815</v>
      </c>
      <c r="M7102">
        <v>365</v>
      </c>
      <c r="N7102">
        <v>24.291</v>
      </c>
      <c r="O7102">
        <v>6538.65</v>
      </c>
      <c r="P7102">
        <v>0</v>
      </c>
      <c r="Q7102">
        <v>6538.65</v>
      </c>
      <c r="R7102">
        <v>1046.18</v>
      </c>
      <c r="S7102">
        <v>261.55</v>
      </c>
      <c r="T7102">
        <v>7323.28</v>
      </c>
      <c r="U7102" t="s">
        <v>2826</v>
      </c>
      <c r="V7102" t="s">
        <v>9408</v>
      </c>
      <c r="W7102" t="s">
        <v>423</v>
      </c>
    </row>
    <row r="7103" spans="1:23" x14ac:dyDescent="0.2">
      <c r="A7103">
        <v>2012</v>
      </c>
      <c r="B7103" t="s">
        <v>304</v>
      </c>
      <c r="C7103" s="733">
        <v>40967</v>
      </c>
      <c r="D71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03" t="s">
        <v>485</v>
      </c>
      <c r="F7103" t="s">
        <v>2065</v>
      </c>
      <c r="G7103" t="s">
        <v>9173</v>
      </c>
      <c r="H7103">
        <v>42203</v>
      </c>
      <c r="I7103" t="s">
        <v>423</v>
      </c>
      <c r="J7103" t="s">
        <v>2813</v>
      </c>
      <c r="K7103" t="s">
        <v>2814</v>
      </c>
      <c r="L7103" t="s">
        <v>2815</v>
      </c>
      <c r="M7103">
        <v>365</v>
      </c>
      <c r="N7103">
        <v>24.366</v>
      </c>
      <c r="O7103">
        <v>6558.84</v>
      </c>
      <c r="P7103">
        <v>0</v>
      </c>
      <c r="Q7103">
        <v>6558.84</v>
      </c>
      <c r="R7103">
        <v>721.47</v>
      </c>
      <c r="S7103">
        <v>262.35000000000002</v>
      </c>
      <c r="T7103">
        <v>7017.96</v>
      </c>
      <c r="U7103" t="s">
        <v>8877</v>
      </c>
      <c r="V7103" t="s">
        <v>9408</v>
      </c>
      <c r="W7103" t="s">
        <v>423</v>
      </c>
    </row>
    <row r="7104" spans="1:23" hidden="1" x14ac:dyDescent="0.2">
      <c r="A7104">
        <v>2012</v>
      </c>
      <c r="B7104" t="s">
        <v>303</v>
      </c>
      <c r="C7104" s="733">
        <v>40935</v>
      </c>
      <c r="D71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04" t="s">
        <v>505</v>
      </c>
      <c r="F7104" t="s">
        <v>1915</v>
      </c>
      <c r="G7104" t="s">
        <v>6425</v>
      </c>
      <c r="H7104">
        <v>22275</v>
      </c>
      <c r="I7104" t="s">
        <v>423</v>
      </c>
      <c r="J7104" t="s">
        <v>5285</v>
      </c>
      <c r="K7104" t="s">
        <v>1918</v>
      </c>
      <c r="L7104" t="s">
        <v>1919</v>
      </c>
      <c r="M7104">
        <v>433</v>
      </c>
      <c r="N7104">
        <v>25.04</v>
      </c>
      <c r="O7104">
        <v>7912.14</v>
      </c>
      <c r="P7104">
        <v>0</v>
      </c>
      <c r="Q7104">
        <v>7912.14</v>
      </c>
      <c r="R7104">
        <v>1265.94</v>
      </c>
      <c r="S7104">
        <v>316.49</v>
      </c>
      <c r="T7104">
        <v>8861.59</v>
      </c>
      <c r="U7104" t="s">
        <v>1926</v>
      </c>
      <c r="V7104" t="s">
        <v>9408</v>
      </c>
      <c r="W7104" t="s">
        <v>423</v>
      </c>
    </row>
    <row r="7105" spans="1:23" hidden="1" x14ac:dyDescent="0.2">
      <c r="A7105">
        <v>2012</v>
      </c>
      <c r="B7105" t="s">
        <v>303</v>
      </c>
      <c r="C7105" s="733">
        <v>40935</v>
      </c>
      <c r="D71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05" t="s">
        <v>505</v>
      </c>
      <c r="F7105" t="s">
        <v>1915</v>
      </c>
      <c r="G7105" t="s">
        <v>6646</v>
      </c>
      <c r="H7105">
        <v>22272</v>
      </c>
      <c r="I7105" t="s">
        <v>423</v>
      </c>
      <c r="J7105" t="s">
        <v>5285</v>
      </c>
      <c r="K7105" t="s">
        <v>1918</v>
      </c>
      <c r="L7105" t="s">
        <v>1919</v>
      </c>
      <c r="M7105">
        <v>433</v>
      </c>
      <c r="N7105">
        <v>24.87</v>
      </c>
      <c r="O7105">
        <v>7858.42</v>
      </c>
      <c r="P7105">
        <v>0</v>
      </c>
      <c r="Q7105">
        <v>7858.42</v>
      </c>
      <c r="R7105">
        <v>1257.3499999999999</v>
      </c>
      <c r="S7105">
        <v>314.33999999999997</v>
      </c>
      <c r="T7105">
        <v>8801.43</v>
      </c>
      <c r="U7105" t="s">
        <v>1926</v>
      </c>
      <c r="V7105" t="s">
        <v>9408</v>
      </c>
      <c r="W7105" t="s">
        <v>423</v>
      </c>
    </row>
    <row r="7106" spans="1:23" hidden="1" x14ac:dyDescent="0.2">
      <c r="A7106">
        <v>2012</v>
      </c>
      <c r="B7106" t="s">
        <v>304</v>
      </c>
      <c r="C7106" s="733">
        <v>40942</v>
      </c>
      <c r="D71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06" t="s">
        <v>505</v>
      </c>
      <c r="F7106" t="s">
        <v>1915</v>
      </c>
      <c r="G7106" t="s">
        <v>6647</v>
      </c>
      <c r="H7106">
        <v>22443</v>
      </c>
      <c r="I7106" t="s">
        <v>423</v>
      </c>
      <c r="J7106" t="s">
        <v>5285</v>
      </c>
      <c r="K7106" t="s">
        <v>1918</v>
      </c>
      <c r="L7106" t="s">
        <v>1919</v>
      </c>
      <c r="M7106">
        <v>433</v>
      </c>
      <c r="N7106">
        <v>24.79</v>
      </c>
      <c r="O7106">
        <v>7833.14</v>
      </c>
      <c r="P7106">
        <v>0</v>
      </c>
      <c r="Q7106">
        <v>7833.14</v>
      </c>
      <c r="R7106">
        <v>1253.3</v>
      </c>
      <c r="S7106">
        <v>313.33</v>
      </c>
      <c r="T7106">
        <v>8773.11</v>
      </c>
      <c r="U7106" t="s">
        <v>1924</v>
      </c>
      <c r="V7106" t="s">
        <v>9408</v>
      </c>
      <c r="W7106" t="s">
        <v>423</v>
      </c>
    </row>
    <row r="7107" spans="1:23" hidden="1" x14ac:dyDescent="0.2">
      <c r="A7107">
        <v>2012</v>
      </c>
      <c r="B7107" t="s">
        <v>303</v>
      </c>
      <c r="C7107" s="733">
        <v>40924</v>
      </c>
      <c r="D71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07" t="s">
        <v>505</v>
      </c>
      <c r="F7107" t="s">
        <v>1915</v>
      </c>
      <c r="G7107" t="s">
        <v>6424</v>
      </c>
      <c r="H7107">
        <v>21975</v>
      </c>
      <c r="I7107" t="s">
        <v>423</v>
      </c>
      <c r="J7107" t="s">
        <v>4140</v>
      </c>
      <c r="K7107" t="s">
        <v>1918</v>
      </c>
      <c r="L7107" t="s">
        <v>1919</v>
      </c>
      <c r="M7107">
        <v>1</v>
      </c>
      <c r="N7107">
        <v>25.2</v>
      </c>
      <c r="O7107">
        <v>2433.8200000000002</v>
      </c>
      <c r="P7107">
        <v>0</v>
      </c>
      <c r="Q7107">
        <v>2433.8200000000002</v>
      </c>
      <c r="R7107">
        <v>389.41</v>
      </c>
      <c r="S7107">
        <v>97.35</v>
      </c>
      <c r="T7107">
        <v>2725.88</v>
      </c>
      <c r="U7107" t="s">
        <v>1931</v>
      </c>
      <c r="V7107" t="s">
        <v>9408</v>
      </c>
      <c r="W7107" t="s">
        <v>423</v>
      </c>
    </row>
    <row r="7108" spans="1:23" hidden="1" x14ac:dyDescent="0.2">
      <c r="A7108">
        <v>2012</v>
      </c>
      <c r="B7108" t="s">
        <v>304</v>
      </c>
      <c r="C7108" s="733">
        <v>40968</v>
      </c>
      <c r="D71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08" t="s">
        <v>505</v>
      </c>
      <c r="F7108" t="s">
        <v>1915</v>
      </c>
      <c r="G7108" t="s">
        <v>9405</v>
      </c>
      <c r="H7108">
        <v>23094</v>
      </c>
      <c r="I7108" t="s">
        <v>423</v>
      </c>
      <c r="J7108" t="s">
        <v>4140</v>
      </c>
      <c r="K7108" t="s">
        <v>1918</v>
      </c>
      <c r="L7108" t="s">
        <v>1919</v>
      </c>
      <c r="M7108">
        <v>1</v>
      </c>
      <c r="N7108">
        <v>24.8</v>
      </c>
      <c r="O7108">
        <v>2395.1799999999998</v>
      </c>
      <c r="P7108">
        <v>0</v>
      </c>
      <c r="Q7108">
        <v>2395.1799999999998</v>
      </c>
      <c r="R7108">
        <v>383.23</v>
      </c>
      <c r="S7108">
        <v>95.81</v>
      </c>
      <c r="T7108">
        <v>2682.6</v>
      </c>
      <c r="V7108" t="s">
        <v>9408</v>
      </c>
      <c r="W7108" t="s">
        <v>423</v>
      </c>
    </row>
    <row r="7109" spans="1:23" hidden="1" x14ac:dyDescent="0.2">
      <c r="A7109">
        <v>2012</v>
      </c>
      <c r="B7109" t="s">
        <v>303</v>
      </c>
      <c r="C7109" s="733">
        <v>40932</v>
      </c>
      <c r="D710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09" t="s">
        <v>485</v>
      </c>
      <c r="F7109" t="s">
        <v>2084</v>
      </c>
      <c r="G7109" t="s">
        <v>6116</v>
      </c>
      <c r="H7109">
        <v>40557</v>
      </c>
      <c r="I7109" t="s">
        <v>423</v>
      </c>
      <c r="J7109" t="s">
        <v>2813</v>
      </c>
      <c r="K7109" t="s">
        <v>2814</v>
      </c>
      <c r="L7109" t="s">
        <v>2815</v>
      </c>
      <c r="M7109">
        <v>365</v>
      </c>
      <c r="N7109">
        <v>23.366</v>
      </c>
      <c r="O7109">
        <v>6289.66</v>
      </c>
      <c r="P7109">
        <v>0</v>
      </c>
      <c r="Q7109">
        <v>6289.66</v>
      </c>
      <c r="R7109">
        <v>1006.35</v>
      </c>
      <c r="S7109">
        <v>251.59</v>
      </c>
      <c r="T7109">
        <v>7044.42</v>
      </c>
      <c r="U7109" t="s">
        <v>2826</v>
      </c>
      <c r="V7109" t="s">
        <v>9408</v>
      </c>
      <c r="W7109" t="s">
        <v>423</v>
      </c>
    </row>
    <row r="7110" spans="1:23" hidden="1" x14ac:dyDescent="0.2">
      <c r="A7110">
        <v>2012</v>
      </c>
      <c r="B7110" t="s">
        <v>304</v>
      </c>
      <c r="C7110" s="733">
        <v>40954</v>
      </c>
      <c r="D71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10" t="s">
        <v>485</v>
      </c>
      <c r="F7110" t="s">
        <v>2136</v>
      </c>
      <c r="G7110" t="s">
        <v>7504</v>
      </c>
      <c r="H7110">
        <v>41040</v>
      </c>
      <c r="I7110" t="s">
        <v>423</v>
      </c>
      <c r="J7110" t="s">
        <v>7505</v>
      </c>
      <c r="K7110" t="s">
        <v>2102</v>
      </c>
      <c r="L7110" t="s">
        <v>2115</v>
      </c>
      <c r="M7110">
        <v>501</v>
      </c>
      <c r="N7110">
        <v>26.4</v>
      </c>
      <c r="O7110">
        <v>9337.94</v>
      </c>
      <c r="P7110">
        <v>0</v>
      </c>
      <c r="Q7110">
        <v>9337.94</v>
      </c>
      <c r="R7110">
        <v>1494.07</v>
      </c>
      <c r="S7110">
        <v>373.52</v>
      </c>
      <c r="T7110">
        <v>10458.49</v>
      </c>
      <c r="V7110" t="s">
        <v>9408</v>
      </c>
      <c r="W7110" t="s">
        <v>423</v>
      </c>
    </row>
    <row r="7111" spans="1:23" hidden="1" x14ac:dyDescent="0.2">
      <c r="A7111">
        <v>2012</v>
      </c>
      <c r="B7111" t="s">
        <v>304</v>
      </c>
      <c r="C7111" s="733">
        <v>40959</v>
      </c>
      <c r="D711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11" t="s">
        <v>485</v>
      </c>
      <c r="F7111" t="s">
        <v>2065</v>
      </c>
      <c r="G7111" t="s">
        <v>7877</v>
      </c>
      <c r="H7111">
        <v>42220</v>
      </c>
      <c r="I7111" t="s">
        <v>423</v>
      </c>
      <c r="J7111" t="s">
        <v>7641</v>
      </c>
      <c r="K7111" t="s">
        <v>2102</v>
      </c>
      <c r="L7111" t="s">
        <v>2115</v>
      </c>
      <c r="M7111">
        <v>747</v>
      </c>
      <c r="N7111">
        <v>51.52</v>
      </c>
      <c r="O7111">
        <v>25706.93</v>
      </c>
      <c r="P7111">
        <v>0</v>
      </c>
      <c r="Q7111">
        <v>25706.93</v>
      </c>
      <c r="R7111">
        <v>4113.1099999999997</v>
      </c>
      <c r="S7111">
        <v>1028.28</v>
      </c>
      <c r="T7111">
        <v>28791.759999999998</v>
      </c>
      <c r="U7111" t="s">
        <v>8883</v>
      </c>
      <c r="V7111" t="s">
        <v>9409</v>
      </c>
      <c r="W7111" t="s">
        <v>423</v>
      </c>
    </row>
    <row r="7112" spans="1:23" hidden="1" x14ac:dyDescent="0.2">
      <c r="A7112">
        <v>2012</v>
      </c>
      <c r="B7112" t="s">
        <v>303</v>
      </c>
      <c r="C7112" s="733">
        <v>40918</v>
      </c>
      <c r="D71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12" t="s">
        <v>478</v>
      </c>
      <c r="F7112" t="s">
        <v>2136</v>
      </c>
      <c r="G7112" t="s">
        <v>7261</v>
      </c>
      <c r="H7112">
        <v>34373</v>
      </c>
      <c r="I7112" t="s">
        <v>423</v>
      </c>
      <c r="J7112" t="s">
        <v>4699</v>
      </c>
      <c r="K7112" t="s">
        <v>425</v>
      </c>
      <c r="L7112" t="s">
        <v>2145</v>
      </c>
      <c r="M7112">
        <v>555</v>
      </c>
      <c r="N7112">
        <v>21.9</v>
      </c>
      <c r="O7112">
        <v>6997.05</v>
      </c>
      <c r="P7112">
        <v>7877.908625</v>
      </c>
      <c r="Q7112">
        <v>14874.958624999999</v>
      </c>
      <c r="R7112">
        <v>2379.9933799999999</v>
      </c>
      <c r="S7112">
        <v>594.99834499999997</v>
      </c>
      <c r="T7112">
        <v>16659.953659999999</v>
      </c>
      <c r="U7112" t="s">
        <v>2150</v>
      </c>
      <c r="V7112" t="s">
        <v>9408</v>
      </c>
      <c r="W7112" t="s">
        <v>423</v>
      </c>
    </row>
    <row r="7113" spans="1:23" hidden="1" x14ac:dyDescent="0.2">
      <c r="A7113">
        <v>2012</v>
      </c>
      <c r="B7113" t="s">
        <v>304</v>
      </c>
      <c r="C7113" s="733">
        <v>40967.729270833333</v>
      </c>
      <c r="D71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13" t="s">
        <v>478</v>
      </c>
      <c r="F7113" t="s">
        <v>2136</v>
      </c>
      <c r="G7113" t="s">
        <v>8888</v>
      </c>
      <c r="H7113">
        <v>21721</v>
      </c>
      <c r="I7113" t="s">
        <v>423</v>
      </c>
      <c r="J7113" t="s">
        <v>4699</v>
      </c>
      <c r="K7113" t="s">
        <v>425</v>
      </c>
      <c r="L7113" t="s">
        <v>2145</v>
      </c>
      <c r="M7113">
        <v>555</v>
      </c>
      <c r="N7113">
        <v>363.24</v>
      </c>
      <c r="O7113">
        <v>116055.18</v>
      </c>
      <c r="P7113">
        <v>0</v>
      </c>
      <c r="Q7113">
        <v>116055.18</v>
      </c>
      <c r="R7113">
        <v>18568.830000000002</v>
      </c>
      <c r="S7113">
        <v>4642.21</v>
      </c>
      <c r="T7113">
        <v>129981.8</v>
      </c>
      <c r="U7113" t="s">
        <v>8889</v>
      </c>
      <c r="V7113" t="s">
        <v>9408</v>
      </c>
      <c r="W7113" t="s">
        <v>423</v>
      </c>
    </row>
    <row r="7114" spans="1:23" hidden="1" x14ac:dyDescent="0.2">
      <c r="A7114">
        <v>2012</v>
      </c>
      <c r="B7114" t="s">
        <v>304</v>
      </c>
      <c r="C7114" s="733">
        <v>40960</v>
      </c>
      <c r="D71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14" t="s">
        <v>478</v>
      </c>
      <c r="F7114" t="s">
        <v>2136</v>
      </c>
      <c r="G7114" t="s">
        <v>8429</v>
      </c>
      <c r="H7114">
        <v>35752</v>
      </c>
      <c r="I7114" t="s">
        <v>423</v>
      </c>
      <c r="J7114" t="s">
        <v>3029</v>
      </c>
      <c r="K7114" t="s">
        <v>425</v>
      </c>
      <c r="L7114" t="s">
        <v>2145</v>
      </c>
      <c r="M7114">
        <v>35</v>
      </c>
      <c r="N7114">
        <v>21.49</v>
      </c>
      <c r="O7114">
        <v>2885.03</v>
      </c>
      <c r="P7114">
        <v>0</v>
      </c>
      <c r="Q7114">
        <v>2885.03</v>
      </c>
      <c r="R7114">
        <v>461.61</v>
      </c>
      <c r="S7114">
        <v>115.4</v>
      </c>
      <c r="T7114">
        <v>3231.24</v>
      </c>
      <c r="V7114" t="s">
        <v>9408</v>
      </c>
      <c r="W7114" t="s">
        <v>423</v>
      </c>
    </row>
    <row r="7115" spans="1:23" hidden="1" x14ac:dyDescent="0.2">
      <c r="A7115">
        <v>2012</v>
      </c>
      <c r="B7115" t="s">
        <v>304</v>
      </c>
      <c r="C7115" s="733">
        <v>40959</v>
      </c>
      <c r="D71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15" t="s">
        <v>485</v>
      </c>
      <c r="F7115" t="s">
        <v>2065</v>
      </c>
      <c r="G7115" t="s">
        <v>7875</v>
      </c>
      <c r="H7115">
        <v>42226</v>
      </c>
      <c r="I7115" t="s">
        <v>423</v>
      </c>
      <c r="J7115" t="s">
        <v>5260</v>
      </c>
      <c r="K7115" t="s">
        <v>2102</v>
      </c>
      <c r="L7115" t="s">
        <v>2115</v>
      </c>
      <c r="M7115">
        <v>832</v>
      </c>
      <c r="N7115">
        <v>51.07</v>
      </c>
      <c r="O7115">
        <v>25482.400000000001</v>
      </c>
      <c r="P7115">
        <v>0</v>
      </c>
      <c r="Q7115">
        <v>25482.400000000001</v>
      </c>
      <c r="R7115">
        <v>4077.18</v>
      </c>
      <c r="S7115">
        <v>1019.3</v>
      </c>
      <c r="T7115">
        <v>28540.28</v>
      </c>
      <c r="U7115" t="s">
        <v>8883</v>
      </c>
      <c r="V7115" t="s">
        <v>9409</v>
      </c>
      <c r="W7115" t="s">
        <v>423</v>
      </c>
    </row>
    <row r="7116" spans="1:23" hidden="1" x14ac:dyDescent="0.2">
      <c r="A7116">
        <v>2012</v>
      </c>
      <c r="B7116" t="s">
        <v>305</v>
      </c>
      <c r="C7116" s="733">
        <v>40970</v>
      </c>
      <c r="D7116" s="733" t="str">
        <f>CHOOSE(MONTH(Tabla_sqldatos_bonampakdb_Bon_v_ingresos2012[[#This Row],[fecha_guia]]),"Enero","Febrero","Marzo","Abril","Mayo","Junio","Julio","Agosto","Septiembre","Octubre","Noviembre","Diciembre")</f>
        <v>Marzo</v>
      </c>
      <c r="E7116" t="s">
        <v>485</v>
      </c>
      <c r="F7116" t="s">
        <v>2048</v>
      </c>
      <c r="G7116" t="s">
        <v>9782</v>
      </c>
      <c r="H7116">
        <v>42927</v>
      </c>
      <c r="I7116" t="s">
        <v>423</v>
      </c>
      <c r="J7116" t="s">
        <v>2050</v>
      </c>
      <c r="K7116" t="s">
        <v>2051</v>
      </c>
      <c r="L7116" t="s">
        <v>2052</v>
      </c>
      <c r="M7116">
        <v>90</v>
      </c>
      <c r="N7116">
        <v>16.899999999999999</v>
      </c>
      <c r="O7116">
        <v>2371.2399999999998</v>
      </c>
      <c r="P7116">
        <v>0</v>
      </c>
      <c r="Q7116">
        <v>2371.2399999999998</v>
      </c>
      <c r="R7116">
        <v>379.4</v>
      </c>
      <c r="S7116">
        <v>94.85</v>
      </c>
      <c r="T7116">
        <v>2655.79</v>
      </c>
      <c r="V7116" t="s">
        <v>9408</v>
      </c>
      <c r="W7116" t="s">
        <v>423</v>
      </c>
    </row>
    <row r="7117" spans="1:23" hidden="1" x14ac:dyDescent="0.2">
      <c r="A7117">
        <v>2012</v>
      </c>
      <c r="B7117" t="s">
        <v>303</v>
      </c>
      <c r="C7117" s="733">
        <v>40924</v>
      </c>
      <c r="D71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17" t="s">
        <v>485</v>
      </c>
      <c r="F7117" t="s">
        <v>2048</v>
      </c>
      <c r="G7117" t="s">
        <v>2224</v>
      </c>
      <c r="H7117">
        <v>40373</v>
      </c>
      <c r="I7117" t="s">
        <v>423</v>
      </c>
      <c r="J7117" t="s">
        <v>2050</v>
      </c>
      <c r="K7117" t="s">
        <v>2051</v>
      </c>
      <c r="L7117" t="s">
        <v>2052</v>
      </c>
      <c r="M7117">
        <v>90</v>
      </c>
      <c r="N7117">
        <v>53.15</v>
      </c>
      <c r="O7117">
        <v>7457.48</v>
      </c>
      <c r="P7117">
        <v>0</v>
      </c>
      <c r="Q7117">
        <v>7457.48</v>
      </c>
      <c r="R7117">
        <v>1193.2</v>
      </c>
      <c r="S7117">
        <v>298.3</v>
      </c>
      <c r="T7117">
        <v>8352.3799999999992</v>
      </c>
      <c r="U7117" t="s">
        <v>2062</v>
      </c>
      <c r="V7117" t="s">
        <v>9409</v>
      </c>
      <c r="W7117" t="s">
        <v>423</v>
      </c>
    </row>
    <row r="7118" spans="1:23" hidden="1" x14ac:dyDescent="0.2">
      <c r="A7118">
        <v>2012</v>
      </c>
      <c r="B7118" t="s">
        <v>304</v>
      </c>
      <c r="C7118" s="733">
        <v>40956</v>
      </c>
      <c r="D71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18" t="s">
        <v>485</v>
      </c>
      <c r="F7118" t="s">
        <v>2065</v>
      </c>
      <c r="G7118" t="s">
        <v>7592</v>
      </c>
      <c r="H7118">
        <v>42156</v>
      </c>
      <c r="I7118" t="s">
        <v>423</v>
      </c>
      <c r="J7118" t="s">
        <v>2050</v>
      </c>
      <c r="K7118" t="s">
        <v>2051</v>
      </c>
      <c r="L7118" t="s">
        <v>2052</v>
      </c>
      <c r="M7118">
        <v>90</v>
      </c>
      <c r="N7118">
        <v>51.15</v>
      </c>
      <c r="O7118">
        <v>7176.86</v>
      </c>
      <c r="P7118">
        <v>0</v>
      </c>
      <c r="Q7118">
        <v>7176.86</v>
      </c>
      <c r="R7118">
        <v>1148.3</v>
      </c>
      <c r="S7118">
        <v>287.07</v>
      </c>
      <c r="T7118">
        <v>8038.09</v>
      </c>
      <c r="V7118" t="s">
        <v>9409</v>
      </c>
      <c r="W7118" t="s">
        <v>423</v>
      </c>
    </row>
    <row r="7119" spans="1:23" hidden="1" x14ac:dyDescent="0.2">
      <c r="A7119">
        <v>2012</v>
      </c>
      <c r="B7119" t="s">
        <v>303</v>
      </c>
      <c r="C7119" s="733">
        <v>40928</v>
      </c>
      <c r="D71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19" t="s">
        <v>485</v>
      </c>
      <c r="F7119" t="s">
        <v>2054</v>
      </c>
      <c r="G7119" t="s">
        <v>7356</v>
      </c>
      <c r="H7119">
        <v>40656</v>
      </c>
      <c r="I7119" t="s">
        <v>423</v>
      </c>
      <c r="J7119" t="s">
        <v>2050</v>
      </c>
      <c r="K7119" t="s">
        <v>2051</v>
      </c>
      <c r="L7119" t="s">
        <v>2052</v>
      </c>
      <c r="M7119">
        <v>90</v>
      </c>
      <c r="N7119">
        <v>24.8</v>
      </c>
      <c r="O7119">
        <v>3479.69</v>
      </c>
      <c r="P7119">
        <v>0</v>
      </c>
      <c r="Q7119">
        <v>3479.69</v>
      </c>
      <c r="R7119">
        <v>556.75</v>
      </c>
      <c r="S7119">
        <v>139.19</v>
      </c>
      <c r="T7119">
        <v>3897.25</v>
      </c>
      <c r="U7119" t="s">
        <v>2062</v>
      </c>
      <c r="V7119" t="s">
        <v>9408</v>
      </c>
      <c r="W7119" t="s">
        <v>423</v>
      </c>
    </row>
    <row r="7120" spans="1:23" hidden="1" x14ac:dyDescent="0.2">
      <c r="A7120">
        <v>2012</v>
      </c>
      <c r="B7120" t="s">
        <v>304</v>
      </c>
      <c r="C7120" s="733">
        <v>40948.479016203702</v>
      </c>
      <c r="D71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20" t="s">
        <v>485</v>
      </c>
      <c r="F7120" t="s">
        <v>2065</v>
      </c>
      <c r="G7120" t="s">
        <v>2225</v>
      </c>
      <c r="H7120">
        <v>41641</v>
      </c>
      <c r="I7120" t="s">
        <v>423</v>
      </c>
      <c r="J7120" t="s">
        <v>2050</v>
      </c>
      <c r="K7120" t="s">
        <v>2051</v>
      </c>
      <c r="L7120" t="s">
        <v>2052</v>
      </c>
      <c r="M7120">
        <v>90</v>
      </c>
      <c r="N7120">
        <v>52.65</v>
      </c>
      <c r="O7120">
        <v>7387.32</v>
      </c>
      <c r="P7120">
        <v>0</v>
      </c>
      <c r="Q7120">
        <v>7387.32</v>
      </c>
      <c r="R7120">
        <v>1181.97</v>
      </c>
      <c r="S7120">
        <v>295.49</v>
      </c>
      <c r="T7120">
        <v>8273.7999999999993</v>
      </c>
      <c r="U7120" t="s">
        <v>7568</v>
      </c>
      <c r="V7120" t="s">
        <v>9409</v>
      </c>
      <c r="W7120" t="s">
        <v>423</v>
      </c>
    </row>
    <row r="7121" spans="1:23" hidden="1" x14ac:dyDescent="0.2">
      <c r="A7121">
        <v>2012</v>
      </c>
      <c r="B7121" t="s">
        <v>303</v>
      </c>
      <c r="C7121" s="733">
        <v>40926.746562499997</v>
      </c>
      <c r="D71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21" t="s">
        <v>485</v>
      </c>
      <c r="F7121" t="s">
        <v>2054</v>
      </c>
      <c r="G7121" t="s">
        <v>2232</v>
      </c>
      <c r="H7121">
        <v>10121</v>
      </c>
      <c r="I7121" t="s">
        <v>423</v>
      </c>
      <c r="J7121" t="s">
        <v>2056</v>
      </c>
      <c r="K7121" t="s">
        <v>2057</v>
      </c>
      <c r="L7121" t="s">
        <v>2058</v>
      </c>
      <c r="M7121">
        <v>19</v>
      </c>
      <c r="N7121">
        <v>46.18</v>
      </c>
      <c r="O7121">
        <v>5212.34</v>
      </c>
      <c r="P7121">
        <v>0</v>
      </c>
      <c r="Q7121">
        <v>5212.34</v>
      </c>
      <c r="R7121">
        <v>833.97</v>
      </c>
      <c r="S7121">
        <v>208.49</v>
      </c>
      <c r="T7121">
        <v>5837.82</v>
      </c>
      <c r="U7121" t="s">
        <v>2077</v>
      </c>
      <c r="V7121" t="s">
        <v>9409</v>
      </c>
      <c r="W7121" t="s">
        <v>423</v>
      </c>
    </row>
    <row r="7122" spans="1:23" hidden="1" x14ac:dyDescent="0.2">
      <c r="A7122">
        <v>2012</v>
      </c>
      <c r="B7122" t="s">
        <v>304</v>
      </c>
      <c r="C7122" s="733">
        <v>40943</v>
      </c>
      <c r="D71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22" t="s">
        <v>485</v>
      </c>
      <c r="F7122" t="s">
        <v>2054</v>
      </c>
      <c r="G7122" t="s">
        <v>2234</v>
      </c>
      <c r="H7122">
        <v>10320</v>
      </c>
      <c r="I7122" t="s">
        <v>423</v>
      </c>
      <c r="J7122" t="s">
        <v>2056</v>
      </c>
      <c r="K7122" t="s">
        <v>2057</v>
      </c>
      <c r="L7122" t="s">
        <v>2058</v>
      </c>
      <c r="M7122">
        <v>19</v>
      </c>
      <c r="N7122">
        <v>23.76</v>
      </c>
      <c r="O7122">
        <v>2681.79</v>
      </c>
      <c r="P7122">
        <v>0</v>
      </c>
      <c r="Q7122">
        <v>2681.79</v>
      </c>
      <c r="R7122">
        <v>429.09</v>
      </c>
      <c r="S7122">
        <v>107.27</v>
      </c>
      <c r="T7122">
        <v>3003.61</v>
      </c>
      <c r="U7122" t="s">
        <v>2075</v>
      </c>
      <c r="V7122" t="s">
        <v>9408</v>
      </c>
      <c r="W7122" t="s">
        <v>423</v>
      </c>
    </row>
    <row r="7123" spans="1:23" hidden="1" x14ac:dyDescent="0.2">
      <c r="A7123">
        <v>2012</v>
      </c>
      <c r="B7123" t="s">
        <v>304</v>
      </c>
      <c r="C7123" s="733">
        <v>40942.529895833337</v>
      </c>
      <c r="D71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23" t="s">
        <v>485</v>
      </c>
      <c r="F7123" t="s">
        <v>2054</v>
      </c>
      <c r="G7123" t="s">
        <v>2233</v>
      </c>
      <c r="H7123">
        <v>10309</v>
      </c>
      <c r="I7123" t="s">
        <v>423</v>
      </c>
      <c r="J7123" t="s">
        <v>2056</v>
      </c>
      <c r="K7123" t="s">
        <v>2057</v>
      </c>
      <c r="L7123" t="s">
        <v>2058</v>
      </c>
      <c r="M7123">
        <v>19</v>
      </c>
      <c r="N7123">
        <v>46.61</v>
      </c>
      <c r="O7123">
        <v>5260.87</v>
      </c>
      <c r="P7123">
        <v>0</v>
      </c>
      <c r="Q7123">
        <v>5260.87</v>
      </c>
      <c r="R7123">
        <v>841.74</v>
      </c>
      <c r="S7123">
        <v>210.43</v>
      </c>
      <c r="T7123">
        <v>5892.18</v>
      </c>
      <c r="U7123" t="s">
        <v>2075</v>
      </c>
      <c r="V7123" t="s">
        <v>9409</v>
      </c>
      <c r="W7123" t="s">
        <v>423</v>
      </c>
    </row>
    <row r="7124" spans="1:23" x14ac:dyDescent="0.2">
      <c r="A7124">
        <v>2012</v>
      </c>
      <c r="B7124" t="s">
        <v>304</v>
      </c>
      <c r="C7124" s="733">
        <v>40968</v>
      </c>
      <c r="D71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24" t="s">
        <v>485</v>
      </c>
      <c r="F7124" t="s">
        <v>2048</v>
      </c>
      <c r="G7124" t="s">
        <v>9422</v>
      </c>
      <c r="H7124">
        <v>42869</v>
      </c>
      <c r="I7124" t="s">
        <v>423</v>
      </c>
      <c r="J7124" t="s">
        <v>2050</v>
      </c>
      <c r="K7124" t="s">
        <v>2051</v>
      </c>
      <c r="L7124" t="s">
        <v>2052</v>
      </c>
      <c r="M7124">
        <v>90</v>
      </c>
      <c r="N7124">
        <v>56.85</v>
      </c>
      <c r="O7124">
        <v>7976.62</v>
      </c>
      <c r="P7124">
        <v>0</v>
      </c>
      <c r="Q7124">
        <v>7976.62</v>
      </c>
      <c r="R7124">
        <v>1276.26</v>
      </c>
      <c r="S7124">
        <v>319.06</v>
      </c>
      <c r="T7124">
        <v>8933.82</v>
      </c>
      <c r="V7124" t="s">
        <v>9409</v>
      </c>
      <c r="W7124" t="s">
        <v>423</v>
      </c>
    </row>
    <row r="7125" spans="1:23" hidden="1" x14ac:dyDescent="0.2">
      <c r="A7125">
        <v>2012</v>
      </c>
      <c r="B7125" t="s">
        <v>303</v>
      </c>
      <c r="C7125" s="733">
        <v>40935</v>
      </c>
      <c r="D71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25" t="s">
        <v>485</v>
      </c>
      <c r="F7125" t="s">
        <v>2048</v>
      </c>
      <c r="G7125" t="s">
        <v>2240</v>
      </c>
      <c r="H7125">
        <v>40999</v>
      </c>
      <c r="I7125" t="s">
        <v>423</v>
      </c>
      <c r="J7125" t="s">
        <v>2050</v>
      </c>
      <c r="K7125" t="s">
        <v>2051</v>
      </c>
      <c r="L7125" t="s">
        <v>2052</v>
      </c>
      <c r="M7125">
        <v>90</v>
      </c>
      <c r="N7125">
        <v>59.5</v>
      </c>
      <c r="O7125">
        <v>8348.44</v>
      </c>
      <c r="P7125">
        <v>0</v>
      </c>
      <c r="Q7125">
        <v>8348.44</v>
      </c>
      <c r="R7125">
        <v>1335.75</v>
      </c>
      <c r="S7125">
        <v>333.94</v>
      </c>
      <c r="T7125">
        <v>9350.25</v>
      </c>
      <c r="U7125" t="s">
        <v>2053</v>
      </c>
      <c r="V7125" t="s">
        <v>9409</v>
      </c>
      <c r="W7125" t="s">
        <v>423</v>
      </c>
    </row>
    <row r="7126" spans="1:23" hidden="1" x14ac:dyDescent="0.2">
      <c r="A7126">
        <v>2012</v>
      </c>
      <c r="B7126" t="s">
        <v>304</v>
      </c>
      <c r="C7126" s="733">
        <v>40952</v>
      </c>
      <c r="D71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26" t="s">
        <v>485</v>
      </c>
      <c r="F7126" t="s">
        <v>2065</v>
      </c>
      <c r="G7126" t="s">
        <v>2236</v>
      </c>
      <c r="H7126">
        <v>41850</v>
      </c>
      <c r="I7126" t="s">
        <v>423</v>
      </c>
      <c r="J7126" t="s">
        <v>2050</v>
      </c>
      <c r="K7126" t="s">
        <v>2051</v>
      </c>
      <c r="L7126" t="s">
        <v>2052</v>
      </c>
      <c r="M7126">
        <v>90</v>
      </c>
      <c r="N7126">
        <v>27.7</v>
      </c>
      <c r="O7126">
        <v>3886.59</v>
      </c>
      <c r="P7126">
        <v>0</v>
      </c>
      <c r="Q7126">
        <v>3886.59</v>
      </c>
      <c r="R7126">
        <v>621.85</v>
      </c>
      <c r="S7126">
        <v>155.46</v>
      </c>
      <c r="T7126">
        <v>4352.9799999999996</v>
      </c>
      <c r="U7126" t="s">
        <v>7568</v>
      </c>
      <c r="V7126" t="s">
        <v>9408</v>
      </c>
      <c r="W7126" t="s">
        <v>423</v>
      </c>
    </row>
    <row r="7127" spans="1:23" hidden="1" x14ac:dyDescent="0.2">
      <c r="A7127">
        <v>2012</v>
      </c>
      <c r="B7127" t="s">
        <v>303</v>
      </c>
      <c r="C7127" s="733">
        <v>40927.442453703705</v>
      </c>
      <c r="D71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27" t="s">
        <v>485</v>
      </c>
      <c r="F7127" t="s">
        <v>2054</v>
      </c>
      <c r="G7127" t="s">
        <v>7359</v>
      </c>
      <c r="H7127">
        <v>10126</v>
      </c>
      <c r="I7127" t="s">
        <v>423</v>
      </c>
      <c r="J7127" t="s">
        <v>2056</v>
      </c>
      <c r="K7127" t="s">
        <v>2057</v>
      </c>
      <c r="L7127" t="s">
        <v>2058</v>
      </c>
      <c r="M7127">
        <v>19</v>
      </c>
      <c r="N7127">
        <v>45.71</v>
      </c>
      <c r="O7127">
        <v>5159.29</v>
      </c>
      <c r="P7127">
        <v>0</v>
      </c>
      <c r="Q7127">
        <v>5159.29</v>
      </c>
      <c r="R7127">
        <v>825.49</v>
      </c>
      <c r="S7127">
        <v>206.37</v>
      </c>
      <c r="T7127">
        <v>5778.41</v>
      </c>
      <c r="U7127" t="s">
        <v>2077</v>
      </c>
      <c r="V7127" t="s">
        <v>9409</v>
      </c>
      <c r="W7127" t="s">
        <v>423</v>
      </c>
    </row>
    <row r="7128" spans="1:23" hidden="1" x14ac:dyDescent="0.2">
      <c r="A7128">
        <v>2012</v>
      </c>
      <c r="B7128" t="s">
        <v>303</v>
      </c>
      <c r="C7128" s="733">
        <v>40931.507696759261</v>
      </c>
      <c r="D71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28" t="s">
        <v>485</v>
      </c>
      <c r="F7128" t="s">
        <v>2054</v>
      </c>
      <c r="G7128" t="s">
        <v>2228</v>
      </c>
      <c r="H7128">
        <v>10180</v>
      </c>
      <c r="I7128" t="s">
        <v>423</v>
      </c>
      <c r="J7128" t="s">
        <v>2056</v>
      </c>
      <c r="K7128" t="s">
        <v>2057</v>
      </c>
      <c r="L7128" t="s">
        <v>2058</v>
      </c>
      <c r="M7128">
        <v>19</v>
      </c>
      <c r="N7128">
        <v>24.42</v>
      </c>
      <c r="O7128">
        <v>2756.29</v>
      </c>
      <c r="P7128">
        <v>0</v>
      </c>
      <c r="Q7128">
        <v>2756.29</v>
      </c>
      <c r="R7128">
        <v>441.01</v>
      </c>
      <c r="S7128">
        <v>110.25</v>
      </c>
      <c r="T7128">
        <v>3087.05</v>
      </c>
      <c r="U7128" t="s">
        <v>2077</v>
      </c>
      <c r="V7128" t="s">
        <v>9408</v>
      </c>
      <c r="W7128" t="s">
        <v>423</v>
      </c>
    </row>
    <row r="7129" spans="1:23" hidden="1" x14ac:dyDescent="0.2">
      <c r="A7129">
        <v>2012</v>
      </c>
      <c r="B7129" t="s">
        <v>304</v>
      </c>
      <c r="C7129" s="733">
        <v>40959.470763888887</v>
      </c>
      <c r="D71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29" t="s">
        <v>485</v>
      </c>
      <c r="F7129" t="s">
        <v>2054</v>
      </c>
      <c r="G7129" t="s">
        <v>8246</v>
      </c>
      <c r="H7129">
        <v>10485</v>
      </c>
      <c r="I7129" t="s">
        <v>423</v>
      </c>
      <c r="J7129" t="s">
        <v>2056</v>
      </c>
      <c r="K7129" t="s">
        <v>2057</v>
      </c>
      <c r="L7129" t="s">
        <v>2058</v>
      </c>
      <c r="M7129">
        <v>19</v>
      </c>
      <c r="N7129">
        <v>23.81</v>
      </c>
      <c r="O7129">
        <v>2687.43</v>
      </c>
      <c r="P7129">
        <v>0</v>
      </c>
      <c r="Q7129">
        <v>2687.43</v>
      </c>
      <c r="R7129">
        <v>295.62</v>
      </c>
      <c r="S7129">
        <v>107.5</v>
      </c>
      <c r="T7129">
        <v>2875.55</v>
      </c>
      <c r="U7129" t="s">
        <v>8864</v>
      </c>
      <c r="V7129" t="s">
        <v>9408</v>
      </c>
      <c r="W7129" t="s">
        <v>423</v>
      </c>
    </row>
    <row r="7130" spans="1:23" hidden="1" x14ac:dyDescent="0.2">
      <c r="A7130">
        <v>2012</v>
      </c>
      <c r="B7130" t="s">
        <v>303</v>
      </c>
      <c r="C7130" s="733">
        <v>40922</v>
      </c>
      <c r="D71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30" t="s">
        <v>485</v>
      </c>
      <c r="F7130" t="s">
        <v>2054</v>
      </c>
      <c r="G7130" t="s">
        <v>2220</v>
      </c>
      <c r="H7130">
        <v>10056</v>
      </c>
      <c r="I7130" t="s">
        <v>423</v>
      </c>
      <c r="J7130" t="s">
        <v>2056</v>
      </c>
      <c r="K7130" t="s">
        <v>2057</v>
      </c>
      <c r="L7130" t="s">
        <v>2058</v>
      </c>
      <c r="M7130">
        <v>19</v>
      </c>
      <c r="N7130">
        <v>47.95</v>
      </c>
      <c r="O7130">
        <v>5412.12</v>
      </c>
      <c r="P7130">
        <v>0</v>
      </c>
      <c r="Q7130">
        <v>5412.12</v>
      </c>
      <c r="R7130">
        <v>865.94</v>
      </c>
      <c r="S7130">
        <v>216.48</v>
      </c>
      <c r="T7130">
        <v>6061.58</v>
      </c>
      <c r="U7130" t="s">
        <v>2059</v>
      </c>
      <c r="V7130" t="s">
        <v>9409</v>
      </c>
      <c r="W7130" t="s">
        <v>423</v>
      </c>
    </row>
    <row r="7131" spans="1:23" hidden="1" x14ac:dyDescent="0.2">
      <c r="A7131">
        <v>2012</v>
      </c>
      <c r="B7131" t="s">
        <v>303</v>
      </c>
      <c r="C7131" s="733">
        <v>40936.571030092593</v>
      </c>
      <c r="D71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31" t="s">
        <v>485</v>
      </c>
      <c r="F7131" t="s">
        <v>2054</v>
      </c>
      <c r="G7131" t="s">
        <v>2229</v>
      </c>
      <c r="H7131">
        <v>10247</v>
      </c>
      <c r="I7131" t="s">
        <v>423</v>
      </c>
      <c r="J7131" t="s">
        <v>2056</v>
      </c>
      <c r="K7131" t="s">
        <v>2057</v>
      </c>
      <c r="L7131" t="s">
        <v>2058</v>
      </c>
      <c r="M7131">
        <v>19</v>
      </c>
      <c r="N7131">
        <v>44.36</v>
      </c>
      <c r="O7131">
        <v>5006.91</v>
      </c>
      <c r="P7131">
        <v>0</v>
      </c>
      <c r="Q7131">
        <v>5006.91</v>
      </c>
      <c r="R7131">
        <v>801.11</v>
      </c>
      <c r="S7131">
        <v>200.28</v>
      </c>
      <c r="T7131">
        <v>5607.74</v>
      </c>
      <c r="U7131" t="s">
        <v>2073</v>
      </c>
      <c r="V7131" t="s">
        <v>9409</v>
      </c>
      <c r="W7131" t="s">
        <v>423</v>
      </c>
    </row>
    <row r="7132" spans="1:23" hidden="1" x14ac:dyDescent="0.2">
      <c r="A7132">
        <v>2012</v>
      </c>
      <c r="B7132" t="s">
        <v>303</v>
      </c>
      <c r="C7132" s="733">
        <v>40936.533020833333</v>
      </c>
      <c r="D71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32" t="s">
        <v>485</v>
      </c>
      <c r="F7132" t="s">
        <v>2054</v>
      </c>
      <c r="G7132" t="s">
        <v>2227</v>
      </c>
      <c r="H7132">
        <v>10251</v>
      </c>
      <c r="I7132" t="s">
        <v>423</v>
      </c>
      <c r="J7132" t="s">
        <v>2056</v>
      </c>
      <c r="K7132" t="s">
        <v>2057</v>
      </c>
      <c r="L7132" t="s">
        <v>2058</v>
      </c>
      <c r="M7132">
        <v>19</v>
      </c>
      <c r="N7132">
        <v>46.69</v>
      </c>
      <c r="O7132">
        <v>5269.9</v>
      </c>
      <c r="P7132">
        <v>0</v>
      </c>
      <c r="Q7132">
        <v>5269.9</v>
      </c>
      <c r="R7132">
        <v>843.18</v>
      </c>
      <c r="S7132">
        <v>210.8</v>
      </c>
      <c r="T7132">
        <v>5902.28</v>
      </c>
      <c r="U7132" t="s">
        <v>2073</v>
      </c>
      <c r="V7132" t="s">
        <v>9409</v>
      </c>
      <c r="W7132" t="s">
        <v>423</v>
      </c>
    </row>
    <row r="7133" spans="1:23" hidden="1" x14ac:dyDescent="0.2">
      <c r="A7133">
        <v>2012</v>
      </c>
      <c r="B7133" t="s">
        <v>304</v>
      </c>
      <c r="C7133" s="733">
        <v>40952.593877314815</v>
      </c>
      <c r="D71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33" t="s">
        <v>485</v>
      </c>
      <c r="F7133" t="s">
        <v>2054</v>
      </c>
      <c r="G7133" t="s">
        <v>2235</v>
      </c>
      <c r="H7133">
        <v>10417</v>
      </c>
      <c r="I7133" t="s">
        <v>423</v>
      </c>
      <c r="J7133" t="s">
        <v>2056</v>
      </c>
      <c r="K7133" t="s">
        <v>2057</v>
      </c>
      <c r="L7133" t="s">
        <v>2058</v>
      </c>
      <c r="M7133">
        <v>19</v>
      </c>
      <c r="N7133">
        <v>23.14</v>
      </c>
      <c r="O7133">
        <v>2611.81</v>
      </c>
      <c r="P7133">
        <v>0</v>
      </c>
      <c r="Q7133">
        <v>2611.81</v>
      </c>
      <c r="R7133">
        <v>287.3</v>
      </c>
      <c r="S7133">
        <v>104.47</v>
      </c>
      <c r="T7133">
        <v>2794.64</v>
      </c>
      <c r="U7133" t="s">
        <v>8047</v>
      </c>
      <c r="V7133" t="s">
        <v>9408</v>
      </c>
      <c r="W7133" t="s">
        <v>423</v>
      </c>
    </row>
    <row r="7134" spans="1:23" hidden="1" x14ac:dyDescent="0.2">
      <c r="A7134">
        <v>2012</v>
      </c>
      <c r="B7134" t="s">
        <v>304</v>
      </c>
      <c r="C7134" s="733">
        <v>40963.488981481481</v>
      </c>
      <c r="D71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34" t="s">
        <v>485</v>
      </c>
      <c r="F7134" t="s">
        <v>2054</v>
      </c>
      <c r="G7134" t="s">
        <v>8775</v>
      </c>
      <c r="H7134">
        <v>10536</v>
      </c>
      <c r="I7134" t="s">
        <v>423</v>
      </c>
      <c r="J7134" t="s">
        <v>2056</v>
      </c>
      <c r="K7134" t="s">
        <v>2057</v>
      </c>
      <c r="L7134" t="s">
        <v>2058</v>
      </c>
      <c r="M7134">
        <v>19</v>
      </c>
      <c r="N7134">
        <v>22</v>
      </c>
      <c r="O7134">
        <v>2483.14</v>
      </c>
      <c r="P7134">
        <v>0</v>
      </c>
      <c r="Q7134">
        <v>2483.14</v>
      </c>
      <c r="R7134">
        <v>273.14999999999998</v>
      </c>
      <c r="S7134">
        <v>99.33</v>
      </c>
      <c r="T7134">
        <v>2656.96</v>
      </c>
      <c r="U7134" t="s">
        <v>8864</v>
      </c>
      <c r="V7134" t="s">
        <v>9408</v>
      </c>
      <c r="W7134" t="s">
        <v>423</v>
      </c>
    </row>
    <row r="7135" spans="1:23" hidden="1" x14ac:dyDescent="0.2">
      <c r="A7135">
        <v>2012</v>
      </c>
      <c r="B7135" t="s">
        <v>303</v>
      </c>
      <c r="C7135" s="733">
        <v>40919</v>
      </c>
      <c r="D71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35" t="s">
        <v>485</v>
      </c>
      <c r="F7135" t="s">
        <v>2054</v>
      </c>
      <c r="G7135" t="s">
        <v>7368</v>
      </c>
      <c r="H7135">
        <v>9998</v>
      </c>
      <c r="I7135" t="s">
        <v>423</v>
      </c>
      <c r="J7135" t="s">
        <v>2056</v>
      </c>
      <c r="K7135" t="s">
        <v>2057</v>
      </c>
      <c r="L7135" t="s">
        <v>2058</v>
      </c>
      <c r="M7135">
        <v>19</v>
      </c>
      <c r="N7135">
        <v>23.83</v>
      </c>
      <c r="O7135">
        <v>2689.69</v>
      </c>
      <c r="P7135">
        <v>0</v>
      </c>
      <c r="Q7135">
        <v>2689.69</v>
      </c>
      <c r="R7135">
        <v>430.35</v>
      </c>
      <c r="S7135">
        <v>107.59</v>
      </c>
      <c r="T7135">
        <v>3012.45</v>
      </c>
      <c r="U7135" t="s">
        <v>2070</v>
      </c>
      <c r="V7135" t="s">
        <v>9408</v>
      </c>
      <c r="W7135" t="s">
        <v>423</v>
      </c>
    </row>
    <row r="7136" spans="1:23" hidden="1" x14ac:dyDescent="0.2">
      <c r="A7136">
        <v>2012</v>
      </c>
      <c r="B7136" t="s">
        <v>303</v>
      </c>
      <c r="C7136" s="733">
        <v>40922</v>
      </c>
      <c r="D71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36" t="s">
        <v>485</v>
      </c>
      <c r="F7136" t="s">
        <v>2054</v>
      </c>
      <c r="G7136" t="s">
        <v>7367</v>
      </c>
      <c r="H7136">
        <v>10059</v>
      </c>
      <c r="I7136" t="s">
        <v>423</v>
      </c>
      <c r="J7136" t="s">
        <v>2056</v>
      </c>
      <c r="K7136" t="s">
        <v>2057</v>
      </c>
      <c r="L7136" t="s">
        <v>2058</v>
      </c>
      <c r="M7136">
        <v>19</v>
      </c>
      <c r="N7136">
        <v>24.8</v>
      </c>
      <c r="O7136">
        <v>2799.18</v>
      </c>
      <c r="P7136">
        <v>0</v>
      </c>
      <c r="Q7136">
        <v>2799.18</v>
      </c>
      <c r="R7136">
        <v>447.87</v>
      </c>
      <c r="S7136">
        <v>111.97</v>
      </c>
      <c r="T7136">
        <v>3135.08</v>
      </c>
      <c r="U7136" t="s">
        <v>2059</v>
      </c>
      <c r="V7136" t="s">
        <v>9408</v>
      </c>
      <c r="W7136" t="s">
        <v>423</v>
      </c>
    </row>
    <row r="7137" spans="1:23" hidden="1" x14ac:dyDescent="0.2">
      <c r="A7137">
        <v>2012</v>
      </c>
      <c r="B7137" t="s">
        <v>304</v>
      </c>
      <c r="C7137" s="733">
        <v>40941</v>
      </c>
      <c r="D71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37" t="s">
        <v>485</v>
      </c>
      <c r="F7137" t="s">
        <v>2048</v>
      </c>
      <c r="G7137" t="s">
        <v>7366</v>
      </c>
      <c r="H7137">
        <v>41296</v>
      </c>
      <c r="I7137" t="s">
        <v>423</v>
      </c>
      <c r="J7137" t="s">
        <v>2050</v>
      </c>
      <c r="K7137" t="s">
        <v>2051</v>
      </c>
      <c r="L7137" t="s">
        <v>2052</v>
      </c>
      <c r="M7137">
        <v>90</v>
      </c>
      <c r="N7137">
        <v>25.6</v>
      </c>
      <c r="O7137">
        <v>3591.94</v>
      </c>
      <c r="P7137">
        <v>0</v>
      </c>
      <c r="Q7137">
        <v>3591.94</v>
      </c>
      <c r="R7137">
        <v>574.71</v>
      </c>
      <c r="S7137">
        <v>143.68</v>
      </c>
      <c r="T7137">
        <v>4022.97</v>
      </c>
      <c r="U7137" t="s">
        <v>2067</v>
      </c>
      <c r="V7137" t="s">
        <v>9408</v>
      </c>
      <c r="W7137" t="s">
        <v>423</v>
      </c>
    </row>
    <row r="7138" spans="1:23" hidden="1" x14ac:dyDescent="0.2">
      <c r="A7138">
        <v>2012</v>
      </c>
      <c r="B7138" t="s">
        <v>305</v>
      </c>
      <c r="C7138" s="733">
        <v>40970</v>
      </c>
      <c r="D7138" s="733" t="str">
        <f>CHOOSE(MONTH(Tabla_sqldatos_bonampakdb_Bon_v_ingresos2012[[#This Row],[fecha_guia]]),"Enero","Febrero","Marzo","Abril","Mayo","Junio","Julio","Agosto","Septiembre","Octubre","Noviembre","Diciembre")</f>
        <v>Marzo</v>
      </c>
      <c r="E7138" t="s">
        <v>485</v>
      </c>
      <c r="F7138" t="s">
        <v>2048</v>
      </c>
      <c r="G7138" t="s">
        <v>9783</v>
      </c>
      <c r="H7138">
        <v>42930</v>
      </c>
      <c r="I7138" t="s">
        <v>423</v>
      </c>
      <c r="J7138" t="s">
        <v>2050</v>
      </c>
      <c r="K7138" t="s">
        <v>2051</v>
      </c>
      <c r="L7138" t="s">
        <v>2052</v>
      </c>
      <c r="M7138">
        <v>90</v>
      </c>
      <c r="N7138">
        <v>50.35</v>
      </c>
      <c r="O7138">
        <v>7064.61</v>
      </c>
      <c r="P7138">
        <v>0</v>
      </c>
      <c r="Q7138">
        <v>7064.61</v>
      </c>
      <c r="R7138">
        <v>1130.3399999999999</v>
      </c>
      <c r="S7138">
        <v>282.58</v>
      </c>
      <c r="T7138">
        <v>7912.37</v>
      </c>
      <c r="V7138" t="s">
        <v>9409</v>
      </c>
      <c r="W7138" t="s">
        <v>423</v>
      </c>
    </row>
    <row r="7139" spans="1:23" hidden="1" x14ac:dyDescent="0.2">
      <c r="A7139">
        <v>2012</v>
      </c>
      <c r="B7139" t="s">
        <v>304</v>
      </c>
      <c r="C7139" s="733">
        <v>40953</v>
      </c>
      <c r="D71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39" t="s">
        <v>485</v>
      </c>
      <c r="F7139" t="s">
        <v>2048</v>
      </c>
      <c r="G7139" t="s">
        <v>7358</v>
      </c>
      <c r="H7139">
        <v>41865</v>
      </c>
      <c r="I7139" t="s">
        <v>423</v>
      </c>
      <c r="J7139" t="s">
        <v>2050</v>
      </c>
      <c r="K7139" t="s">
        <v>2051</v>
      </c>
      <c r="L7139" t="s">
        <v>2052</v>
      </c>
      <c r="M7139">
        <v>90</v>
      </c>
      <c r="N7139">
        <v>53.3</v>
      </c>
      <c r="O7139">
        <v>7478.52</v>
      </c>
      <c r="P7139">
        <v>0</v>
      </c>
      <c r="Q7139">
        <v>7478.52</v>
      </c>
      <c r="R7139">
        <v>1196.56</v>
      </c>
      <c r="S7139">
        <v>299.14</v>
      </c>
      <c r="T7139">
        <v>8375.94</v>
      </c>
      <c r="U7139" t="s">
        <v>8257</v>
      </c>
      <c r="V7139" t="s">
        <v>9409</v>
      </c>
      <c r="W7139" t="s">
        <v>423</v>
      </c>
    </row>
    <row r="7140" spans="1:23" hidden="1" x14ac:dyDescent="0.2">
      <c r="A7140">
        <v>2012</v>
      </c>
      <c r="B7140" t="s">
        <v>304</v>
      </c>
      <c r="C7140" s="733">
        <v>40956</v>
      </c>
      <c r="D71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40" t="s">
        <v>485</v>
      </c>
      <c r="F7140" t="s">
        <v>2065</v>
      </c>
      <c r="G7140" t="s">
        <v>7771</v>
      </c>
      <c r="H7140">
        <v>42166</v>
      </c>
      <c r="I7140" t="s">
        <v>423</v>
      </c>
      <c r="J7140" t="s">
        <v>2050</v>
      </c>
      <c r="K7140" t="s">
        <v>2051</v>
      </c>
      <c r="L7140" t="s">
        <v>2052</v>
      </c>
      <c r="M7140">
        <v>90</v>
      </c>
      <c r="N7140">
        <v>50.25</v>
      </c>
      <c r="O7140">
        <v>7050.58</v>
      </c>
      <c r="P7140">
        <v>0</v>
      </c>
      <c r="Q7140">
        <v>7050.58</v>
      </c>
      <c r="R7140">
        <v>1128.0899999999999</v>
      </c>
      <c r="S7140">
        <v>282.02</v>
      </c>
      <c r="T7140">
        <v>7896.65</v>
      </c>
      <c r="U7140" t="s">
        <v>8257</v>
      </c>
      <c r="V7140" t="s">
        <v>9409</v>
      </c>
      <c r="W7140" t="s">
        <v>423</v>
      </c>
    </row>
    <row r="7141" spans="1:23" hidden="1" x14ac:dyDescent="0.2">
      <c r="A7141">
        <v>2012</v>
      </c>
      <c r="B7141" t="s">
        <v>303</v>
      </c>
      <c r="C7141" s="733">
        <v>40938</v>
      </c>
      <c r="D71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41" t="s">
        <v>485</v>
      </c>
      <c r="F7141" t="s">
        <v>2048</v>
      </c>
      <c r="G7141" t="s">
        <v>2221</v>
      </c>
      <c r="H7141">
        <v>41123</v>
      </c>
      <c r="I7141" t="s">
        <v>423</v>
      </c>
      <c r="J7141" t="s">
        <v>2050</v>
      </c>
      <c r="K7141" t="s">
        <v>2051</v>
      </c>
      <c r="L7141" t="s">
        <v>2052</v>
      </c>
      <c r="M7141">
        <v>90</v>
      </c>
      <c r="N7141">
        <v>52.25</v>
      </c>
      <c r="O7141">
        <v>7331.2</v>
      </c>
      <c r="P7141">
        <v>0</v>
      </c>
      <c r="Q7141">
        <v>7331.2</v>
      </c>
      <c r="R7141">
        <v>1172.99</v>
      </c>
      <c r="S7141">
        <v>293.25</v>
      </c>
      <c r="T7141">
        <v>8210.94</v>
      </c>
      <c r="U7141" t="s">
        <v>2067</v>
      </c>
      <c r="V7141" t="s">
        <v>9409</v>
      </c>
      <c r="W7141" t="s">
        <v>423</v>
      </c>
    </row>
    <row r="7142" spans="1:23" hidden="1" x14ac:dyDescent="0.2">
      <c r="A7142">
        <v>2012</v>
      </c>
      <c r="B7142" t="s">
        <v>303</v>
      </c>
      <c r="C7142" s="733">
        <v>40928</v>
      </c>
      <c r="D71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42" t="s">
        <v>485</v>
      </c>
      <c r="F7142" t="s">
        <v>2048</v>
      </c>
      <c r="G7142" t="s">
        <v>2222</v>
      </c>
      <c r="H7142">
        <v>40653</v>
      </c>
      <c r="I7142" t="s">
        <v>423</v>
      </c>
      <c r="J7142" t="s">
        <v>2050</v>
      </c>
      <c r="K7142" t="s">
        <v>2051</v>
      </c>
      <c r="L7142" t="s">
        <v>2052</v>
      </c>
      <c r="M7142">
        <v>90</v>
      </c>
      <c r="N7142">
        <v>28.95</v>
      </c>
      <c r="O7142">
        <v>4061.97</v>
      </c>
      <c r="P7142">
        <v>0</v>
      </c>
      <c r="Q7142">
        <v>4061.97</v>
      </c>
      <c r="R7142">
        <v>649.91999999999996</v>
      </c>
      <c r="S7142">
        <v>162.47999999999999</v>
      </c>
      <c r="T7142">
        <v>4549.41</v>
      </c>
      <c r="U7142" t="s">
        <v>2062</v>
      </c>
      <c r="V7142" t="s">
        <v>9408</v>
      </c>
      <c r="W7142" t="s">
        <v>423</v>
      </c>
    </row>
    <row r="7143" spans="1:23" hidden="1" x14ac:dyDescent="0.2">
      <c r="A7143">
        <v>2012</v>
      </c>
      <c r="B7143" t="s">
        <v>304</v>
      </c>
      <c r="C7143" s="733">
        <v>40953.514976851853</v>
      </c>
      <c r="D71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43" t="s">
        <v>485</v>
      </c>
      <c r="F7143" t="s">
        <v>2054</v>
      </c>
      <c r="G7143" t="s">
        <v>7357</v>
      </c>
      <c r="H7143">
        <v>10428</v>
      </c>
      <c r="I7143" t="s">
        <v>423</v>
      </c>
      <c r="J7143" t="s">
        <v>2056</v>
      </c>
      <c r="K7143" t="s">
        <v>2057</v>
      </c>
      <c r="L7143" t="s">
        <v>2058</v>
      </c>
      <c r="M7143">
        <v>19</v>
      </c>
      <c r="N7143">
        <v>47.82</v>
      </c>
      <c r="O7143">
        <v>5397.44</v>
      </c>
      <c r="P7143">
        <v>0</v>
      </c>
      <c r="Q7143">
        <v>5397.44</v>
      </c>
      <c r="R7143">
        <v>593.72</v>
      </c>
      <c r="S7143">
        <v>215.9</v>
      </c>
      <c r="T7143">
        <v>5775.26</v>
      </c>
      <c r="U7143" t="s">
        <v>8047</v>
      </c>
      <c r="V7143" t="s">
        <v>9409</v>
      </c>
      <c r="W7143" t="s">
        <v>423</v>
      </c>
    </row>
    <row r="7144" spans="1:23" hidden="1" x14ac:dyDescent="0.2">
      <c r="A7144">
        <v>2012</v>
      </c>
      <c r="B7144" t="s">
        <v>303</v>
      </c>
      <c r="C7144" s="733">
        <v>40939.462893518517</v>
      </c>
      <c r="D71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44" t="s">
        <v>478</v>
      </c>
      <c r="F7144" t="s">
        <v>2622</v>
      </c>
      <c r="G7144" t="s">
        <v>7310</v>
      </c>
      <c r="H7144">
        <v>35101</v>
      </c>
      <c r="I7144" t="s">
        <v>423</v>
      </c>
      <c r="J7144" t="s">
        <v>2644</v>
      </c>
      <c r="K7144" t="s">
        <v>2625</v>
      </c>
      <c r="L7144" t="s">
        <v>2626</v>
      </c>
      <c r="M7144">
        <v>52</v>
      </c>
      <c r="N7144">
        <v>27.27</v>
      </c>
      <c r="O7144">
        <v>3210.5</v>
      </c>
      <c r="P7144">
        <v>0</v>
      </c>
      <c r="Q7144">
        <v>3210.5</v>
      </c>
      <c r="R7144">
        <v>513.67999999999995</v>
      </c>
      <c r="S7144">
        <v>128.41999999999999</v>
      </c>
      <c r="T7144">
        <v>3595.76</v>
      </c>
      <c r="U7144" t="s">
        <v>2630</v>
      </c>
      <c r="V7144" t="s">
        <v>9408</v>
      </c>
      <c r="W7144" t="s">
        <v>423</v>
      </c>
    </row>
    <row r="7145" spans="1:23" hidden="1" x14ac:dyDescent="0.2">
      <c r="A7145">
        <v>2012</v>
      </c>
      <c r="B7145" t="s">
        <v>303</v>
      </c>
      <c r="C7145" s="733">
        <v>40924.948599537034</v>
      </c>
      <c r="D71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45" t="s">
        <v>478</v>
      </c>
      <c r="F7145" t="s">
        <v>2622</v>
      </c>
      <c r="G7145" t="s">
        <v>7327</v>
      </c>
      <c r="H7145">
        <v>34583</v>
      </c>
      <c r="I7145" t="s">
        <v>423</v>
      </c>
      <c r="J7145" t="s">
        <v>2644</v>
      </c>
      <c r="K7145" t="s">
        <v>2625</v>
      </c>
      <c r="L7145" t="s">
        <v>2626</v>
      </c>
      <c r="M7145">
        <v>52</v>
      </c>
      <c r="N7145">
        <v>23.59</v>
      </c>
      <c r="O7145">
        <v>2777.25</v>
      </c>
      <c r="P7145">
        <v>0</v>
      </c>
      <c r="Q7145">
        <v>2777.25</v>
      </c>
      <c r="R7145">
        <v>444.36</v>
      </c>
      <c r="S7145">
        <v>111.09</v>
      </c>
      <c r="T7145">
        <v>3110.52</v>
      </c>
      <c r="U7145" t="s">
        <v>2635</v>
      </c>
      <c r="V7145" t="s">
        <v>9408</v>
      </c>
      <c r="W7145" t="s">
        <v>423</v>
      </c>
    </row>
    <row r="7146" spans="1:23" hidden="1" x14ac:dyDescent="0.2">
      <c r="A7146">
        <v>2012</v>
      </c>
      <c r="B7146" t="s">
        <v>303</v>
      </c>
      <c r="C7146" s="733">
        <v>40910</v>
      </c>
      <c r="D714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46" t="s">
        <v>478</v>
      </c>
      <c r="F7146" t="s">
        <v>2622</v>
      </c>
      <c r="G7146" t="s">
        <v>7328</v>
      </c>
      <c r="H7146">
        <v>34189</v>
      </c>
      <c r="I7146" t="s">
        <v>423</v>
      </c>
      <c r="J7146" t="s">
        <v>2644</v>
      </c>
      <c r="K7146" t="s">
        <v>2625</v>
      </c>
      <c r="L7146" t="s">
        <v>2626</v>
      </c>
      <c r="M7146">
        <v>52</v>
      </c>
      <c r="N7146">
        <v>27.58</v>
      </c>
      <c r="O7146">
        <v>1608.47</v>
      </c>
      <c r="P7146">
        <v>1297.5688339999999</v>
      </c>
      <c r="Q7146">
        <v>2906.038834</v>
      </c>
      <c r="R7146">
        <v>464.96621299999998</v>
      </c>
      <c r="S7146">
        <v>116.241553</v>
      </c>
      <c r="T7146">
        <v>3254.7634939999998</v>
      </c>
      <c r="U7146" t="s">
        <v>2660</v>
      </c>
      <c r="V7146" t="s">
        <v>9408</v>
      </c>
      <c r="W7146" t="s">
        <v>423</v>
      </c>
    </row>
    <row r="7147" spans="1:23" hidden="1" x14ac:dyDescent="0.2">
      <c r="A7147">
        <v>2012</v>
      </c>
      <c r="B7147" t="s">
        <v>303</v>
      </c>
      <c r="C7147" s="733">
        <v>40910</v>
      </c>
      <c r="D71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47" t="s">
        <v>478</v>
      </c>
      <c r="F7147" t="s">
        <v>2622</v>
      </c>
      <c r="G7147" t="s">
        <v>7329</v>
      </c>
      <c r="H7147">
        <v>34192</v>
      </c>
      <c r="I7147" t="s">
        <v>423</v>
      </c>
      <c r="J7147" t="s">
        <v>2644</v>
      </c>
      <c r="K7147" t="s">
        <v>2625</v>
      </c>
      <c r="L7147" t="s">
        <v>2626</v>
      </c>
      <c r="M7147">
        <v>52</v>
      </c>
      <c r="N7147">
        <v>23.56</v>
      </c>
      <c r="O7147">
        <v>1374.02</v>
      </c>
      <c r="P7147">
        <v>1108.4356740000001</v>
      </c>
      <c r="Q7147">
        <v>2482.4556739999998</v>
      </c>
      <c r="R7147">
        <v>397.19290799999999</v>
      </c>
      <c r="S7147">
        <v>99.298226999999997</v>
      </c>
      <c r="T7147">
        <v>2780.350355</v>
      </c>
      <c r="U7147" t="s">
        <v>9215</v>
      </c>
      <c r="V7147" t="s">
        <v>9408</v>
      </c>
      <c r="W7147" t="s">
        <v>423</v>
      </c>
    </row>
    <row r="7148" spans="1:23" hidden="1" x14ac:dyDescent="0.2">
      <c r="A7148">
        <v>2012</v>
      </c>
      <c r="B7148" t="s">
        <v>303</v>
      </c>
      <c r="C7148" s="733">
        <v>40936.661087962966</v>
      </c>
      <c r="D71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48" t="s">
        <v>478</v>
      </c>
      <c r="F7148" t="s">
        <v>2622</v>
      </c>
      <c r="G7148" t="s">
        <v>7330</v>
      </c>
      <c r="H7148">
        <v>35049</v>
      </c>
      <c r="I7148" t="s">
        <v>423</v>
      </c>
      <c r="J7148" t="s">
        <v>2644</v>
      </c>
      <c r="K7148" t="s">
        <v>2625</v>
      </c>
      <c r="L7148" t="s">
        <v>2626</v>
      </c>
      <c r="M7148">
        <v>52</v>
      </c>
      <c r="N7148">
        <v>22.41</v>
      </c>
      <c r="O7148">
        <v>2638.33</v>
      </c>
      <c r="P7148">
        <v>0</v>
      </c>
      <c r="Q7148">
        <v>2638.33</v>
      </c>
      <c r="R7148">
        <v>422.13</v>
      </c>
      <c r="S7148">
        <v>105.53</v>
      </c>
      <c r="T7148">
        <v>2954.93</v>
      </c>
      <c r="U7148" t="s">
        <v>2630</v>
      </c>
      <c r="V7148" t="s">
        <v>9408</v>
      </c>
      <c r="W7148" t="s">
        <v>423</v>
      </c>
    </row>
    <row r="7149" spans="1:23" hidden="1" x14ac:dyDescent="0.2">
      <c r="A7149">
        <v>2012</v>
      </c>
      <c r="B7149" t="s">
        <v>303</v>
      </c>
      <c r="C7149" s="733">
        <v>40938</v>
      </c>
      <c r="D71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49" t="s">
        <v>478</v>
      </c>
      <c r="F7149" t="s">
        <v>2622</v>
      </c>
      <c r="G7149" t="s">
        <v>7269</v>
      </c>
      <c r="H7149">
        <v>35001</v>
      </c>
      <c r="I7149" t="s">
        <v>423</v>
      </c>
      <c r="J7149" t="s">
        <v>3638</v>
      </c>
      <c r="K7149" t="s">
        <v>425</v>
      </c>
      <c r="L7149" t="s">
        <v>2145</v>
      </c>
      <c r="M7149">
        <v>1416</v>
      </c>
      <c r="N7149">
        <v>52.05</v>
      </c>
      <c r="O7149">
        <v>47198.42</v>
      </c>
      <c r="P7149">
        <v>0</v>
      </c>
      <c r="Q7149">
        <v>47198.42</v>
      </c>
      <c r="R7149">
        <v>7551.75</v>
      </c>
      <c r="S7149">
        <v>1887.94</v>
      </c>
      <c r="T7149">
        <v>52862.23</v>
      </c>
      <c r="U7149" t="s">
        <v>2914</v>
      </c>
      <c r="V7149" t="s">
        <v>9409</v>
      </c>
      <c r="W7149" t="s">
        <v>423</v>
      </c>
    </row>
    <row r="7150" spans="1:23" hidden="1" x14ac:dyDescent="0.2">
      <c r="A7150">
        <v>2012</v>
      </c>
      <c r="B7150" t="s">
        <v>304</v>
      </c>
      <c r="C7150" s="733">
        <v>40963</v>
      </c>
      <c r="D71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50" t="s">
        <v>478</v>
      </c>
      <c r="F7150" t="s">
        <v>2136</v>
      </c>
      <c r="G7150" t="s">
        <v>9258</v>
      </c>
      <c r="H7150">
        <v>36025</v>
      </c>
      <c r="I7150" t="s">
        <v>423</v>
      </c>
      <c r="J7150" t="s">
        <v>3638</v>
      </c>
      <c r="K7150" t="s">
        <v>425</v>
      </c>
      <c r="L7150" t="s">
        <v>2145</v>
      </c>
      <c r="M7150">
        <v>1416</v>
      </c>
      <c r="N7150">
        <v>41.91</v>
      </c>
      <c r="O7150">
        <v>38003.57</v>
      </c>
      <c r="P7150">
        <v>0</v>
      </c>
      <c r="Q7150">
        <v>38003.57</v>
      </c>
      <c r="R7150">
        <v>6080.57</v>
      </c>
      <c r="S7150">
        <v>1520.14</v>
      </c>
      <c r="T7150">
        <v>42564</v>
      </c>
      <c r="U7150" t="s">
        <v>9430</v>
      </c>
      <c r="V7150" t="s">
        <v>9409</v>
      </c>
      <c r="W7150" t="s">
        <v>423</v>
      </c>
    </row>
    <row r="7151" spans="1:23" hidden="1" x14ac:dyDescent="0.2">
      <c r="A7151">
        <v>2012</v>
      </c>
      <c r="B7151" t="s">
        <v>304</v>
      </c>
      <c r="C7151" s="733">
        <v>40941</v>
      </c>
      <c r="D71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51" t="s">
        <v>485</v>
      </c>
      <c r="F7151" t="s">
        <v>2048</v>
      </c>
      <c r="G7151" t="s">
        <v>7355</v>
      </c>
      <c r="H7151">
        <v>41299</v>
      </c>
      <c r="I7151" t="s">
        <v>423</v>
      </c>
      <c r="J7151" t="s">
        <v>2274</v>
      </c>
      <c r="K7151" t="s">
        <v>2051</v>
      </c>
      <c r="L7151" t="s">
        <v>2052</v>
      </c>
      <c r="M7151">
        <v>573</v>
      </c>
      <c r="N7151">
        <v>26.05</v>
      </c>
      <c r="O7151">
        <v>8453.2199999999993</v>
      </c>
      <c r="P7151">
        <v>0</v>
      </c>
      <c r="Q7151">
        <v>8453.2199999999993</v>
      </c>
      <c r="R7151">
        <v>1352.52</v>
      </c>
      <c r="S7151">
        <v>338.13</v>
      </c>
      <c r="T7151">
        <v>9467.61</v>
      </c>
      <c r="V7151" t="s">
        <v>9408</v>
      </c>
      <c r="W7151" t="s">
        <v>423</v>
      </c>
    </row>
    <row r="7152" spans="1:23" hidden="1" x14ac:dyDescent="0.2">
      <c r="A7152">
        <v>2012</v>
      </c>
      <c r="B7152" t="s">
        <v>304</v>
      </c>
      <c r="C7152" s="733">
        <v>40956</v>
      </c>
      <c r="D71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52" t="s">
        <v>485</v>
      </c>
      <c r="F7152" t="s">
        <v>2048</v>
      </c>
      <c r="G7152" t="s">
        <v>7630</v>
      </c>
      <c r="H7152">
        <v>42159</v>
      </c>
      <c r="I7152" t="s">
        <v>423</v>
      </c>
      <c r="J7152" t="s">
        <v>2274</v>
      </c>
      <c r="K7152" t="s">
        <v>2051</v>
      </c>
      <c r="L7152" t="s">
        <v>2052</v>
      </c>
      <c r="M7152">
        <v>573</v>
      </c>
      <c r="N7152">
        <v>56.15</v>
      </c>
      <c r="O7152">
        <v>18220.68</v>
      </c>
      <c r="P7152">
        <v>0</v>
      </c>
      <c r="Q7152">
        <v>18220.68</v>
      </c>
      <c r="R7152">
        <v>2915.31</v>
      </c>
      <c r="S7152">
        <v>728.83</v>
      </c>
      <c r="T7152">
        <v>20407.16</v>
      </c>
      <c r="U7152" t="s">
        <v>8257</v>
      </c>
      <c r="V7152" t="s">
        <v>9409</v>
      </c>
      <c r="W7152" t="s">
        <v>423</v>
      </c>
    </row>
    <row r="7153" spans="1:23" hidden="1" x14ac:dyDescent="0.2">
      <c r="A7153">
        <v>2012</v>
      </c>
      <c r="B7153" t="s">
        <v>303</v>
      </c>
      <c r="C7153" s="733">
        <v>40928</v>
      </c>
      <c r="D71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53" t="s">
        <v>485</v>
      </c>
      <c r="F7153" t="s">
        <v>2048</v>
      </c>
      <c r="G7153" t="s">
        <v>7378</v>
      </c>
      <c r="H7153">
        <v>40648</v>
      </c>
      <c r="I7153" t="s">
        <v>423</v>
      </c>
      <c r="J7153" t="s">
        <v>2274</v>
      </c>
      <c r="K7153" t="s">
        <v>2051</v>
      </c>
      <c r="L7153" t="s">
        <v>2052</v>
      </c>
      <c r="M7153">
        <v>573</v>
      </c>
      <c r="N7153">
        <v>25</v>
      </c>
      <c r="O7153">
        <v>8112.5</v>
      </c>
      <c r="P7153">
        <v>0</v>
      </c>
      <c r="Q7153">
        <v>8112.5</v>
      </c>
      <c r="R7153">
        <v>1298</v>
      </c>
      <c r="S7153">
        <v>324.5</v>
      </c>
      <c r="T7153">
        <v>9086</v>
      </c>
      <c r="U7153" t="s">
        <v>2062</v>
      </c>
      <c r="V7153" t="s">
        <v>9409</v>
      </c>
      <c r="W7153" t="s">
        <v>423</v>
      </c>
    </row>
    <row r="7154" spans="1:23" hidden="1" x14ac:dyDescent="0.2">
      <c r="A7154">
        <v>2012</v>
      </c>
      <c r="B7154" t="s">
        <v>303</v>
      </c>
      <c r="C7154" s="733">
        <v>40939</v>
      </c>
      <c r="D71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54" t="s">
        <v>485</v>
      </c>
      <c r="F7154" t="s">
        <v>2048</v>
      </c>
      <c r="G7154" t="s">
        <v>7377</v>
      </c>
      <c r="H7154">
        <v>41126</v>
      </c>
      <c r="I7154" t="s">
        <v>423</v>
      </c>
      <c r="J7154" t="s">
        <v>2274</v>
      </c>
      <c r="K7154" t="s">
        <v>2051</v>
      </c>
      <c r="L7154" t="s">
        <v>2052</v>
      </c>
      <c r="M7154">
        <v>573</v>
      </c>
      <c r="N7154">
        <v>29.8</v>
      </c>
      <c r="O7154">
        <v>9670.1</v>
      </c>
      <c r="P7154">
        <v>0</v>
      </c>
      <c r="Q7154">
        <v>9670.1</v>
      </c>
      <c r="R7154">
        <v>1547.22</v>
      </c>
      <c r="S7154">
        <v>386.8</v>
      </c>
      <c r="T7154">
        <v>10830.52</v>
      </c>
      <c r="U7154" t="s">
        <v>2067</v>
      </c>
      <c r="V7154" t="s">
        <v>9409</v>
      </c>
      <c r="W7154" t="s">
        <v>423</v>
      </c>
    </row>
    <row r="7155" spans="1:23" hidden="1" x14ac:dyDescent="0.2">
      <c r="A7155">
        <v>2012</v>
      </c>
      <c r="B7155" t="s">
        <v>304</v>
      </c>
      <c r="C7155" s="733">
        <v>40959</v>
      </c>
      <c r="D71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55" t="s">
        <v>478</v>
      </c>
      <c r="F7155" t="s">
        <v>2136</v>
      </c>
      <c r="G7155" t="s">
        <v>8241</v>
      </c>
      <c r="H7155">
        <v>35628</v>
      </c>
      <c r="I7155" t="s">
        <v>423</v>
      </c>
      <c r="J7155" t="s">
        <v>3638</v>
      </c>
      <c r="K7155" t="s">
        <v>425</v>
      </c>
      <c r="L7155" t="s">
        <v>2145</v>
      </c>
      <c r="M7155">
        <v>1416</v>
      </c>
      <c r="N7155">
        <v>38.94</v>
      </c>
      <c r="O7155">
        <v>35310.400000000001</v>
      </c>
      <c r="P7155">
        <v>0</v>
      </c>
      <c r="Q7155">
        <v>35310.400000000001</v>
      </c>
      <c r="R7155">
        <v>5649.66</v>
      </c>
      <c r="S7155">
        <v>1412.42</v>
      </c>
      <c r="T7155">
        <v>39547.64</v>
      </c>
      <c r="U7155" t="s">
        <v>8252</v>
      </c>
      <c r="V7155" t="s">
        <v>9409</v>
      </c>
      <c r="W7155" t="s">
        <v>423</v>
      </c>
    </row>
    <row r="7156" spans="1:23" hidden="1" x14ac:dyDescent="0.2">
      <c r="A7156">
        <v>2012</v>
      </c>
      <c r="B7156" t="s">
        <v>304</v>
      </c>
      <c r="C7156" s="733">
        <v>40941</v>
      </c>
      <c r="D71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56" t="s">
        <v>478</v>
      </c>
      <c r="F7156" t="s">
        <v>2136</v>
      </c>
      <c r="G7156" t="s">
        <v>7268</v>
      </c>
      <c r="H7156">
        <v>35055</v>
      </c>
      <c r="I7156" t="s">
        <v>423</v>
      </c>
      <c r="J7156" t="s">
        <v>3638</v>
      </c>
      <c r="K7156" t="s">
        <v>425</v>
      </c>
      <c r="L7156" t="s">
        <v>2145</v>
      </c>
      <c r="M7156">
        <v>1416</v>
      </c>
      <c r="N7156">
        <v>45.68</v>
      </c>
      <c r="O7156">
        <v>41422.17</v>
      </c>
      <c r="P7156">
        <v>0</v>
      </c>
      <c r="Q7156">
        <v>41422.17</v>
      </c>
      <c r="R7156">
        <v>6627.55</v>
      </c>
      <c r="S7156">
        <v>1656.89</v>
      </c>
      <c r="T7156">
        <v>46392.83</v>
      </c>
      <c r="U7156" t="s">
        <v>9455</v>
      </c>
      <c r="V7156" t="s">
        <v>9409</v>
      </c>
      <c r="W7156" t="s">
        <v>423</v>
      </c>
    </row>
    <row r="7157" spans="1:23" hidden="1" x14ac:dyDescent="0.2">
      <c r="A7157">
        <v>2012</v>
      </c>
      <c r="B7157" t="s">
        <v>303</v>
      </c>
      <c r="C7157" s="733">
        <v>40928</v>
      </c>
      <c r="D71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57" t="s">
        <v>478</v>
      </c>
      <c r="F7157" t="s">
        <v>2136</v>
      </c>
      <c r="G7157" t="s">
        <v>7445</v>
      </c>
      <c r="H7157">
        <v>34643</v>
      </c>
      <c r="I7157" t="s">
        <v>423</v>
      </c>
      <c r="J7157" t="s">
        <v>3638</v>
      </c>
      <c r="K7157" t="s">
        <v>425</v>
      </c>
      <c r="L7157" t="s">
        <v>2145</v>
      </c>
      <c r="M7157">
        <v>1416</v>
      </c>
      <c r="N7157">
        <v>53.89</v>
      </c>
      <c r="O7157">
        <v>48866.91</v>
      </c>
      <c r="P7157">
        <v>0</v>
      </c>
      <c r="Q7157">
        <v>48866.91</v>
      </c>
      <c r="R7157">
        <v>7818.71</v>
      </c>
      <c r="S7157">
        <v>1954.68</v>
      </c>
      <c r="T7157">
        <v>54730.94</v>
      </c>
      <c r="U7157" t="s">
        <v>3234</v>
      </c>
      <c r="V7157" t="s">
        <v>9409</v>
      </c>
      <c r="W7157" t="s">
        <v>423</v>
      </c>
    </row>
    <row r="7158" spans="1:23" hidden="1" x14ac:dyDescent="0.2">
      <c r="A7158">
        <v>2012</v>
      </c>
      <c r="B7158" t="s">
        <v>303</v>
      </c>
      <c r="C7158" s="733">
        <v>40925</v>
      </c>
      <c r="D71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58" t="s">
        <v>478</v>
      </c>
      <c r="F7158" t="s">
        <v>2136</v>
      </c>
      <c r="G7158" t="s">
        <v>7431</v>
      </c>
      <c r="H7158">
        <v>34586</v>
      </c>
      <c r="I7158" t="s">
        <v>423</v>
      </c>
      <c r="J7158" t="s">
        <v>4291</v>
      </c>
      <c r="K7158" t="s">
        <v>425</v>
      </c>
      <c r="L7158" t="s">
        <v>2145</v>
      </c>
      <c r="M7158">
        <v>163</v>
      </c>
      <c r="N7158">
        <v>23.42</v>
      </c>
      <c r="O7158">
        <v>4161.97</v>
      </c>
      <c r="P7158">
        <v>0</v>
      </c>
      <c r="Q7158">
        <v>4161.97</v>
      </c>
      <c r="R7158">
        <v>665.91</v>
      </c>
      <c r="S7158">
        <v>166.48</v>
      </c>
      <c r="T7158">
        <v>4661.3999999999996</v>
      </c>
      <c r="U7158" t="s">
        <v>2927</v>
      </c>
      <c r="V7158" t="s">
        <v>9408</v>
      </c>
      <c r="W7158" t="s">
        <v>423</v>
      </c>
    </row>
    <row r="7159" spans="1:23" hidden="1" x14ac:dyDescent="0.2">
      <c r="A7159">
        <v>2012</v>
      </c>
      <c r="B7159" t="s">
        <v>304</v>
      </c>
      <c r="C7159" s="733">
        <v>40963</v>
      </c>
      <c r="D71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59" t="s">
        <v>478</v>
      </c>
      <c r="F7159" t="s">
        <v>2622</v>
      </c>
      <c r="G7159" t="s">
        <v>9257</v>
      </c>
      <c r="H7159">
        <v>35894</v>
      </c>
      <c r="I7159" t="s">
        <v>423</v>
      </c>
      <c r="J7159" t="s">
        <v>2644</v>
      </c>
      <c r="K7159" t="s">
        <v>2625</v>
      </c>
      <c r="L7159" t="s">
        <v>2626</v>
      </c>
      <c r="M7159">
        <v>52</v>
      </c>
      <c r="N7159">
        <v>22.53</v>
      </c>
      <c r="O7159">
        <v>2652.46</v>
      </c>
      <c r="P7159">
        <v>0</v>
      </c>
      <c r="Q7159">
        <v>2652.46</v>
      </c>
      <c r="R7159">
        <v>424.39</v>
      </c>
      <c r="S7159">
        <v>106.1</v>
      </c>
      <c r="T7159">
        <v>2970.75</v>
      </c>
      <c r="U7159" t="s">
        <v>9428</v>
      </c>
      <c r="V7159" t="s">
        <v>9408</v>
      </c>
      <c r="W7159" t="s">
        <v>423</v>
      </c>
    </row>
    <row r="7160" spans="1:23" hidden="1" x14ac:dyDescent="0.2">
      <c r="A7160">
        <v>2012</v>
      </c>
      <c r="B7160" t="s">
        <v>304</v>
      </c>
      <c r="C7160" s="733">
        <v>40963.457731481481</v>
      </c>
      <c r="D71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60" t="s">
        <v>478</v>
      </c>
      <c r="F7160" t="s">
        <v>2622</v>
      </c>
      <c r="G7160" t="s">
        <v>9256</v>
      </c>
      <c r="H7160">
        <v>35998</v>
      </c>
      <c r="I7160" t="s">
        <v>423</v>
      </c>
      <c r="J7160" t="s">
        <v>2644</v>
      </c>
      <c r="K7160" t="s">
        <v>2625</v>
      </c>
      <c r="L7160" t="s">
        <v>2626</v>
      </c>
      <c r="M7160">
        <v>52</v>
      </c>
      <c r="N7160">
        <v>22.34</v>
      </c>
      <c r="O7160">
        <v>2630.09</v>
      </c>
      <c r="P7160">
        <v>0</v>
      </c>
      <c r="Q7160">
        <v>2630.09</v>
      </c>
      <c r="R7160">
        <v>420.81</v>
      </c>
      <c r="S7160">
        <v>105.2</v>
      </c>
      <c r="T7160">
        <v>2945.7</v>
      </c>
      <c r="U7160" t="s">
        <v>9428</v>
      </c>
      <c r="V7160" t="s">
        <v>9408</v>
      </c>
      <c r="W7160" t="s">
        <v>423</v>
      </c>
    </row>
    <row r="7161" spans="1:23" hidden="1" x14ac:dyDescent="0.2">
      <c r="A7161">
        <v>2012</v>
      </c>
      <c r="B7161" t="s">
        <v>305</v>
      </c>
      <c r="C7161" s="733">
        <v>40970.944062499999</v>
      </c>
      <c r="D7161" s="733" t="str">
        <f>CHOOSE(MONTH(Tabla_sqldatos_bonampakdb_Bon_v_ingresos2012[[#This Row],[fecha_guia]]),"Enero","Febrero","Marzo","Abril","Mayo","Junio","Julio","Agosto","Septiembre","Octubre","Noviembre","Diciembre")</f>
        <v>Marzo</v>
      </c>
      <c r="E7161" t="s">
        <v>478</v>
      </c>
      <c r="F7161" t="s">
        <v>2622</v>
      </c>
      <c r="G7161" t="s">
        <v>9784</v>
      </c>
      <c r="H7161">
        <v>36274</v>
      </c>
      <c r="I7161" t="s">
        <v>423</v>
      </c>
      <c r="J7161" t="s">
        <v>2644</v>
      </c>
      <c r="K7161" t="s">
        <v>2625</v>
      </c>
      <c r="L7161" t="s">
        <v>2626</v>
      </c>
      <c r="M7161">
        <v>52</v>
      </c>
      <c r="N7161">
        <v>22.42</v>
      </c>
      <c r="O7161">
        <v>2639.51</v>
      </c>
      <c r="P7161">
        <v>0</v>
      </c>
      <c r="Q7161">
        <v>2639.51</v>
      </c>
      <c r="R7161">
        <v>422.32</v>
      </c>
      <c r="S7161">
        <v>105.58</v>
      </c>
      <c r="T7161">
        <v>2956.25</v>
      </c>
      <c r="V7161" t="s">
        <v>9408</v>
      </c>
      <c r="W7161" t="s">
        <v>423</v>
      </c>
    </row>
    <row r="7162" spans="1:23" hidden="1" x14ac:dyDescent="0.2">
      <c r="A7162">
        <v>2012</v>
      </c>
      <c r="B7162" t="s">
        <v>304</v>
      </c>
      <c r="C7162" s="733">
        <v>40963</v>
      </c>
      <c r="D71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62" t="s">
        <v>478</v>
      </c>
      <c r="F7162" t="s">
        <v>2622</v>
      </c>
      <c r="G7162" t="s">
        <v>9255</v>
      </c>
      <c r="H7162">
        <v>35897</v>
      </c>
      <c r="I7162" t="s">
        <v>423</v>
      </c>
      <c r="J7162" t="s">
        <v>2644</v>
      </c>
      <c r="K7162" t="s">
        <v>2625</v>
      </c>
      <c r="L7162" t="s">
        <v>2626</v>
      </c>
      <c r="M7162">
        <v>52</v>
      </c>
      <c r="N7162">
        <v>22.7</v>
      </c>
      <c r="O7162">
        <v>2672.47</v>
      </c>
      <c r="P7162">
        <v>0</v>
      </c>
      <c r="Q7162">
        <v>2672.47</v>
      </c>
      <c r="R7162">
        <v>427.6</v>
      </c>
      <c r="S7162">
        <v>106.9</v>
      </c>
      <c r="T7162">
        <v>2993.17</v>
      </c>
      <c r="U7162" t="s">
        <v>9428</v>
      </c>
      <c r="V7162" t="s">
        <v>9408</v>
      </c>
      <c r="W7162" t="s">
        <v>423</v>
      </c>
    </row>
    <row r="7163" spans="1:23" hidden="1" x14ac:dyDescent="0.2">
      <c r="A7163">
        <v>2012</v>
      </c>
      <c r="B7163" t="s">
        <v>305</v>
      </c>
      <c r="C7163" s="733">
        <v>40970.925949074073</v>
      </c>
      <c r="D7163" s="733" t="str">
        <f>CHOOSE(MONTH(Tabla_sqldatos_bonampakdb_Bon_v_ingresos2012[[#This Row],[fecha_guia]]),"Enero","Febrero","Marzo","Abril","Mayo","Junio","Julio","Agosto","Septiembre","Octubre","Noviembre","Diciembre")</f>
        <v>Marzo</v>
      </c>
      <c r="E7163" t="s">
        <v>478</v>
      </c>
      <c r="F7163" t="s">
        <v>2136</v>
      </c>
      <c r="G7163" t="s">
        <v>9785</v>
      </c>
      <c r="H7163">
        <v>36289</v>
      </c>
      <c r="I7163" t="s">
        <v>423</v>
      </c>
      <c r="J7163" t="s">
        <v>2644</v>
      </c>
      <c r="K7163" t="s">
        <v>2625</v>
      </c>
      <c r="L7163" t="s">
        <v>2626</v>
      </c>
      <c r="M7163">
        <v>52</v>
      </c>
      <c r="N7163">
        <v>33.72</v>
      </c>
      <c r="O7163">
        <v>3969.86</v>
      </c>
      <c r="P7163">
        <v>0</v>
      </c>
      <c r="Q7163">
        <v>3969.86</v>
      </c>
      <c r="R7163">
        <v>635.17999999999995</v>
      </c>
      <c r="S7163">
        <v>158.79</v>
      </c>
      <c r="T7163">
        <v>4446.25</v>
      </c>
      <c r="V7163" t="s">
        <v>9408</v>
      </c>
      <c r="W7163" t="s">
        <v>423</v>
      </c>
    </row>
    <row r="7164" spans="1:23" hidden="1" x14ac:dyDescent="0.2">
      <c r="A7164">
        <v>2012</v>
      </c>
      <c r="B7164" t="s">
        <v>305</v>
      </c>
      <c r="C7164" s="733">
        <v>40970.927048611113</v>
      </c>
      <c r="D7164" s="733" t="str">
        <f>CHOOSE(MONTH(Tabla_sqldatos_bonampakdb_Bon_v_ingresos2012[[#This Row],[fecha_guia]]),"Enero","Febrero","Marzo","Abril","Mayo","Junio","Julio","Agosto","Septiembre","Octubre","Noviembre","Diciembre")</f>
        <v>Marzo</v>
      </c>
      <c r="E7164" t="s">
        <v>478</v>
      </c>
      <c r="F7164" t="s">
        <v>2136</v>
      </c>
      <c r="G7164" t="s">
        <v>9786</v>
      </c>
      <c r="H7164">
        <v>36292</v>
      </c>
      <c r="I7164" t="s">
        <v>423</v>
      </c>
      <c r="J7164" t="s">
        <v>2644</v>
      </c>
      <c r="K7164" t="s">
        <v>2625</v>
      </c>
      <c r="L7164" t="s">
        <v>2626</v>
      </c>
      <c r="M7164">
        <v>52</v>
      </c>
      <c r="N7164">
        <v>21.82</v>
      </c>
      <c r="O7164">
        <v>2568.87</v>
      </c>
      <c r="P7164">
        <v>0</v>
      </c>
      <c r="Q7164">
        <v>2568.87</v>
      </c>
      <c r="R7164">
        <v>411.02</v>
      </c>
      <c r="S7164">
        <v>102.75</v>
      </c>
      <c r="T7164">
        <v>2877.14</v>
      </c>
      <c r="V7164" t="s">
        <v>9408</v>
      </c>
      <c r="W7164" t="s">
        <v>423</v>
      </c>
    </row>
    <row r="7165" spans="1:23" hidden="1" x14ac:dyDescent="0.2">
      <c r="A7165">
        <v>2012</v>
      </c>
      <c r="B7165" t="s">
        <v>304</v>
      </c>
      <c r="C7165" s="733">
        <v>40963.405046296299</v>
      </c>
      <c r="D71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65" t="s">
        <v>478</v>
      </c>
      <c r="F7165" t="s">
        <v>2622</v>
      </c>
      <c r="G7165" t="s">
        <v>9254</v>
      </c>
      <c r="H7165">
        <v>35982</v>
      </c>
      <c r="I7165" t="s">
        <v>423</v>
      </c>
      <c r="J7165" t="s">
        <v>2644</v>
      </c>
      <c r="K7165" t="s">
        <v>2625</v>
      </c>
      <c r="L7165" t="s">
        <v>2626</v>
      </c>
      <c r="M7165">
        <v>52</v>
      </c>
      <c r="N7165">
        <v>27.51</v>
      </c>
      <c r="O7165">
        <v>3238.75</v>
      </c>
      <c r="P7165">
        <v>0</v>
      </c>
      <c r="Q7165">
        <v>3238.75</v>
      </c>
      <c r="R7165">
        <v>518.20000000000005</v>
      </c>
      <c r="S7165">
        <v>129.55000000000001</v>
      </c>
      <c r="T7165">
        <v>3627.4</v>
      </c>
      <c r="U7165" t="s">
        <v>9428</v>
      </c>
      <c r="V7165" t="s">
        <v>9408</v>
      </c>
      <c r="W7165" t="s">
        <v>423</v>
      </c>
    </row>
    <row r="7166" spans="1:23" hidden="1" x14ac:dyDescent="0.2">
      <c r="A7166">
        <v>2012</v>
      </c>
      <c r="B7166" t="s">
        <v>304</v>
      </c>
      <c r="C7166" s="733">
        <v>40956.655636574076</v>
      </c>
      <c r="D71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66" t="s">
        <v>478</v>
      </c>
      <c r="F7166" t="s">
        <v>2622</v>
      </c>
      <c r="G7166" t="s">
        <v>7629</v>
      </c>
      <c r="H7166">
        <v>35748</v>
      </c>
      <c r="I7166" t="s">
        <v>423</v>
      </c>
      <c r="J7166" t="s">
        <v>2644</v>
      </c>
      <c r="K7166" t="s">
        <v>2625</v>
      </c>
      <c r="L7166" t="s">
        <v>2626</v>
      </c>
      <c r="M7166">
        <v>52</v>
      </c>
      <c r="N7166">
        <v>19.3</v>
      </c>
      <c r="O7166">
        <v>2272.19</v>
      </c>
      <c r="P7166">
        <v>0</v>
      </c>
      <c r="Q7166">
        <v>2272.19</v>
      </c>
      <c r="R7166">
        <v>363.55</v>
      </c>
      <c r="S7166">
        <v>90.89</v>
      </c>
      <c r="T7166">
        <v>2544.85</v>
      </c>
      <c r="U7166" t="s">
        <v>8267</v>
      </c>
      <c r="V7166" t="s">
        <v>9408</v>
      </c>
      <c r="W7166" t="s">
        <v>423</v>
      </c>
    </row>
    <row r="7167" spans="1:23" hidden="1" x14ac:dyDescent="0.2">
      <c r="A7167">
        <v>2012</v>
      </c>
      <c r="B7167" t="s">
        <v>304</v>
      </c>
      <c r="C7167" s="733">
        <v>40942</v>
      </c>
      <c r="D71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67" t="s">
        <v>478</v>
      </c>
      <c r="F7167" t="s">
        <v>2136</v>
      </c>
      <c r="G7167" t="s">
        <v>7270</v>
      </c>
      <c r="H7167">
        <v>35234</v>
      </c>
      <c r="I7167" t="s">
        <v>423</v>
      </c>
      <c r="J7167" t="s">
        <v>3638</v>
      </c>
      <c r="K7167" t="s">
        <v>425</v>
      </c>
      <c r="L7167" t="s">
        <v>2145</v>
      </c>
      <c r="M7167">
        <v>1416</v>
      </c>
      <c r="N7167">
        <v>53.31</v>
      </c>
      <c r="O7167">
        <v>48340.97</v>
      </c>
      <c r="P7167">
        <v>0</v>
      </c>
      <c r="Q7167">
        <v>48340.97</v>
      </c>
      <c r="R7167">
        <v>7734.56</v>
      </c>
      <c r="S7167">
        <v>1933.64</v>
      </c>
      <c r="T7167">
        <v>54141.89</v>
      </c>
      <c r="U7167" t="s">
        <v>3115</v>
      </c>
      <c r="V7167" t="s">
        <v>9409</v>
      </c>
      <c r="W7167" t="s">
        <v>423</v>
      </c>
    </row>
    <row r="7168" spans="1:23" hidden="1" x14ac:dyDescent="0.2">
      <c r="A7168">
        <v>2012</v>
      </c>
      <c r="B7168" t="s">
        <v>303</v>
      </c>
      <c r="C7168" s="733">
        <v>40932</v>
      </c>
      <c r="D71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68" t="s">
        <v>485</v>
      </c>
      <c r="F7168" t="s">
        <v>2048</v>
      </c>
      <c r="G7168" t="s">
        <v>2452</v>
      </c>
      <c r="H7168">
        <v>39991</v>
      </c>
      <c r="I7168" t="s">
        <v>423</v>
      </c>
      <c r="J7168" t="s">
        <v>2274</v>
      </c>
      <c r="K7168" t="s">
        <v>2051</v>
      </c>
      <c r="L7168" t="s">
        <v>2052</v>
      </c>
      <c r="M7168">
        <v>573</v>
      </c>
      <c r="N7168">
        <v>27.4</v>
      </c>
      <c r="O7168">
        <v>8891.2999999999993</v>
      </c>
      <c r="P7168">
        <v>0</v>
      </c>
      <c r="Q7168">
        <v>8891.2999999999993</v>
      </c>
      <c r="R7168">
        <v>1422.61</v>
      </c>
      <c r="S7168">
        <v>355.65</v>
      </c>
      <c r="T7168">
        <v>9958.26</v>
      </c>
      <c r="U7168" t="s">
        <v>2053</v>
      </c>
      <c r="V7168" t="s">
        <v>9408</v>
      </c>
      <c r="W7168" t="s">
        <v>423</v>
      </c>
    </row>
    <row r="7169" spans="1:23" hidden="1" x14ac:dyDescent="0.2">
      <c r="A7169">
        <v>2012</v>
      </c>
      <c r="B7169" t="s">
        <v>303</v>
      </c>
      <c r="C7169" s="733">
        <v>40939</v>
      </c>
      <c r="D71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69" t="s">
        <v>485</v>
      </c>
      <c r="F7169" t="s">
        <v>2048</v>
      </c>
      <c r="G7169" t="s">
        <v>7379</v>
      </c>
      <c r="H7169">
        <v>41126</v>
      </c>
      <c r="I7169" t="s">
        <v>423</v>
      </c>
      <c r="J7169" t="s">
        <v>2274</v>
      </c>
      <c r="K7169" t="s">
        <v>2051</v>
      </c>
      <c r="L7169" t="s">
        <v>2052</v>
      </c>
      <c r="M7169">
        <v>573</v>
      </c>
      <c r="N7169">
        <v>30.05</v>
      </c>
      <c r="O7169">
        <v>9751.2199999999993</v>
      </c>
      <c r="P7169">
        <v>0</v>
      </c>
      <c r="Q7169">
        <v>9751.2199999999993</v>
      </c>
      <c r="R7169">
        <v>1560.2</v>
      </c>
      <c r="S7169">
        <v>390.05</v>
      </c>
      <c r="T7169">
        <v>10921.37</v>
      </c>
      <c r="U7169" t="s">
        <v>2067</v>
      </c>
      <c r="V7169" t="s">
        <v>9409</v>
      </c>
      <c r="W7169" t="s">
        <v>423</v>
      </c>
    </row>
    <row r="7170" spans="1:23" hidden="1" x14ac:dyDescent="0.2">
      <c r="A7170">
        <v>2012</v>
      </c>
      <c r="B7170" t="s">
        <v>304</v>
      </c>
      <c r="C7170" s="733">
        <v>40959</v>
      </c>
      <c r="D71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70" t="s">
        <v>478</v>
      </c>
      <c r="F7170" t="s">
        <v>2136</v>
      </c>
      <c r="G7170" t="s">
        <v>8242</v>
      </c>
      <c r="H7170">
        <v>35675</v>
      </c>
      <c r="I7170" t="s">
        <v>423</v>
      </c>
      <c r="J7170" t="s">
        <v>3638</v>
      </c>
      <c r="K7170" t="s">
        <v>425</v>
      </c>
      <c r="L7170" t="s">
        <v>2145</v>
      </c>
      <c r="M7170">
        <v>1416</v>
      </c>
      <c r="N7170">
        <v>40.04</v>
      </c>
      <c r="O7170">
        <v>36307.870000000003</v>
      </c>
      <c r="P7170">
        <v>0</v>
      </c>
      <c r="Q7170">
        <v>36307.870000000003</v>
      </c>
      <c r="R7170">
        <v>5809.26</v>
      </c>
      <c r="S7170">
        <v>1452.31</v>
      </c>
      <c r="T7170">
        <v>40664.82</v>
      </c>
      <c r="U7170" t="s">
        <v>8252</v>
      </c>
      <c r="V7170" t="s">
        <v>9409</v>
      </c>
      <c r="W7170" t="s">
        <v>423</v>
      </c>
    </row>
    <row r="7171" spans="1:23" hidden="1" x14ac:dyDescent="0.2">
      <c r="A7171">
        <v>2012</v>
      </c>
      <c r="B7171" t="s">
        <v>304</v>
      </c>
      <c r="C7171" s="733">
        <v>40955</v>
      </c>
      <c r="D71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71" t="s">
        <v>505</v>
      </c>
      <c r="F7171" t="s">
        <v>1915</v>
      </c>
      <c r="G7171" t="s">
        <v>7878</v>
      </c>
      <c r="H7171">
        <v>22773</v>
      </c>
      <c r="I7171" t="s">
        <v>423</v>
      </c>
      <c r="J7171" t="s">
        <v>4140</v>
      </c>
      <c r="K7171" t="s">
        <v>1918</v>
      </c>
      <c r="L7171" t="s">
        <v>1919</v>
      </c>
      <c r="M7171">
        <v>1</v>
      </c>
      <c r="N7171">
        <v>25.16</v>
      </c>
      <c r="O7171">
        <v>2429.9499999999998</v>
      </c>
      <c r="P7171">
        <v>0</v>
      </c>
      <c r="Q7171">
        <v>2429.9499999999998</v>
      </c>
      <c r="R7171">
        <v>388.79</v>
      </c>
      <c r="S7171">
        <v>97.2</v>
      </c>
      <c r="T7171">
        <v>2721.54</v>
      </c>
      <c r="U7171" t="s">
        <v>7529</v>
      </c>
      <c r="V7171" t="s">
        <v>9408</v>
      </c>
      <c r="W7171" t="s">
        <v>423</v>
      </c>
    </row>
    <row r="7172" spans="1:23" hidden="1" x14ac:dyDescent="0.2">
      <c r="A7172">
        <v>2012</v>
      </c>
      <c r="B7172" t="s">
        <v>303</v>
      </c>
      <c r="C7172" s="733">
        <v>40926</v>
      </c>
      <c r="D71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72" t="s">
        <v>505</v>
      </c>
      <c r="F7172" t="s">
        <v>1915</v>
      </c>
      <c r="G7172" t="s">
        <v>7392</v>
      </c>
      <c r="H7172">
        <v>22064</v>
      </c>
      <c r="I7172" t="s">
        <v>423</v>
      </c>
      <c r="J7172" t="s">
        <v>4140</v>
      </c>
      <c r="K7172" t="s">
        <v>1918</v>
      </c>
      <c r="L7172" t="s">
        <v>1919</v>
      </c>
      <c r="M7172">
        <v>1</v>
      </c>
      <c r="N7172">
        <v>24.6</v>
      </c>
      <c r="O7172">
        <v>2375.87</v>
      </c>
      <c r="P7172">
        <v>0</v>
      </c>
      <c r="Q7172">
        <v>2375.87</v>
      </c>
      <c r="R7172">
        <v>380.14</v>
      </c>
      <c r="S7172">
        <v>95.03</v>
      </c>
      <c r="T7172">
        <v>2660.98</v>
      </c>
      <c r="U7172" t="s">
        <v>8778</v>
      </c>
      <c r="V7172" t="s">
        <v>9408</v>
      </c>
      <c r="W7172" t="s">
        <v>423</v>
      </c>
    </row>
    <row r="7173" spans="1:23" hidden="1" x14ac:dyDescent="0.2">
      <c r="A7173">
        <v>2012</v>
      </c>
      <c r="B7173" t="s">
        <v>303</v>
      </c>
      <c r="C7173" s="733">
        <v>40939.554930555554</v>
      </c>
      <c r="D717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73" t="s">
        <v>478</v>
      </c>
      <c r="F7173" t="s">
        <v>2622</v>
      </c>
      <c r="G7173" t="s">
        <v>7326</v>
      </c>
      <c r="H7173">
        <v>35160</v>
      </c>
      <c r="I7173" t="s">
        <v>423</v>
      </c>
      <c r="J7173" t="s">
        <v>2629</v>
      </c>
      <c r="K7173" t="s">
        <v>2625</v>
      </c>
      <c r="L7173" t="s">
        <v>2626</v>
      </c>
      <c r="M7173">
        <v>33</v>
      </c>
      <c r="N7173">
        <v>23.66</v>
      </c>
      <c r="O7173">
        <v>2759.7</v>
      </c>
      <c r="P7173">
        <v>0</v>
      </c>
      <c r="Q7173">
        <v>2759.7</v>
      </c>
      <c r="R7173">
        <v>441.55</v>
      </c>
      <c r="S7173">
        <v>110.39</v>
      </c>
      <c r="T7173">
        <v>3090.86</v>
      </c>
      <c r="U7173" t="s">
        <v>2648</v>
      </c>
      <c r="V7173" t="s">
        <v>9408</v>
      </c>
      <c r="W7173" t="s">
        <v>423</v>
      </c>
    </row>
    <row r="7174" spans="1:23" hidden="1" x14ac:dyDescent="0.2">
      <c r="A7174">
        <v>2012</v>
      </c>
      <c r="B7174" t="s">
        <v>304</v>
      </c>
      <c r="C7174" s="733">
        <v>40963</v>
      </c>
      <c r="D717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74" t="s">
        <v>478</v>
      </c>
      <c r="F7174" t="s">
        <v>2622</v>
      </c>
      <c r="G7174" t="s">
        <v>9199</v>
      </c>
      <c r="H7174">
        <v>35891</v>
      </c>
      <c r="I7174" t="s">
        <v>423</v>
      </c>
      <c r="J7174" t="s">
        <v>2629</v>
      </c>
      <c r="K7174" t="s">
        <v>2625</v>
      </c>
      <c r="L7174" t="s">
        <v>2626</v>
      </c>
      <c r="M7174">
        <v>33</v>
      </c>
      <c r="N7174">
        <v>23.74</v>
      </c>
      <c r="O7174">
        <v>2769.03</v>
      </c>
      <c r="P7174">
        <v>0</v>
      </c>
      <c r="Q7174">
        <v>2769.03</v>
      </c>
      <c r="R7174">
        <v>443.05</v>
      </c>
      <c r="S7174">
        <v>110.76</v>
      </c>
      <c r="T7174">
        <v>3101.32</v>
      </c>
      <c r="U7174" t="s">
        <v>9428</v>
      </c>
      <c r="V7174" t="s">
        <v>9408</v>
      </c>
      <c r="W7174" t="s">
        <v>423</v>
      </c>
    </row>
    <row r="7175" spans="1:23" hidden="1" x14ac:dyDescent="0.2">
      <c r="A7175">
        <v>2012</v>
      </c>
      <c r="B7175" t="s">
        <v>303</v>
      </c>
      <c r="C7175" s="733">
        <v>40910</v>
      </c>
      <c r="D71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75" t="s">
        <v>478</v>
      </c>
      <c r="F7175" t="s">
        <v>2622</v>
      </c>
      <c r="G7175" t="s">
        <v>7325</v>
      </c>
      <c r="H7175">
        <v>34186</v>
      </c>
      <c r="I7175" t="s">
        <v>423</v>
      </c>
      <c r="J7175" t="s">
        <v>2629</v>
      </c>
      <c r="K7175" t="s">
        <v>2625</v>
      </c>
      <c r="L7175" t="s">
        <v>2626</v>
      </c>
      <c r="M7175">
        <v>33</v>
      </c>
      <c r="N7175">
        <v>28.48</v>
      </c>
      <c r="O7175">
        <v>1592.6</v>
      </c>
      <c r="P7175">
        <v>1380.7045700000001</v>
      </c>
      <c r="Q7175">
        <v>2973.3045699999998</v>
      </c>
      <c r="R7175">
        <v>475.72873099999998</v>
      </c>
      <c r="S7175">
        <v>118.93218299999999</v>
      </c>
      <c r="T7175">
        <v>3330.101118</v>
      </c>
      <c r="U7175" t="s">
        <v>2660</v>
      </c>
      <c r="V7175" t="s">
        <v>9408</v>
      </c>
      <c r="W7175" t="s">
        <v>423</v>
      </c>
    </row>
    <row r="7176" spans="1:23" hidden="1" x14ac:dyDescent="0.2">
      <c r="A7176">
        <v>2012</v>
      </c>
      <c r="B7176" t="s">
        <v>303</v>
      </c>
      <c r="C7176" s="733">
        <v>40913</v>
      </c>
      <c r="D71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76" t="s">
        <v>485</v>
      </c>
      <c r="F7176" t="s">
        <v>2065</v>
      </c>
      <c r="G7176" t="s">
        <v>3041</v>
      </c>
      <c r="H7176">
        <v>39762</v>
      </c>
      <c r="I7176" t="s">
        <v>423</v>
      </c>
      <c r="J7176" t="s">
        <v>2186</v>
      </c>
      <c r="K7176" t="s">
        <v>2183</v>
      </c>
      <c r="L7176" t="s">
        <v>2184</v>
      </c>
      <c r="M7176">
        <v>19</v>
      </c>
      <c r="N7176">
        <v>15.21</v>
      </c>
      <c r="O7176">
        <v>948.65</v>
      </c>
      <c r="P7176">
        <v>1068.075548</v>
      </c>
      <c r="Q7176">
        <v>2016.7255479999999</v>
      </c>
      <c r="R7176">
        <v>322.67608799999999</v>
      </c>
      <c r="S7176">
        <v>80.669021999999998</v>
      </c>
      <c r="T7176">
        <v>2258.732614</v>
      </c>
      <c r="V7176" t="s">
        <v>9408</v>
      </c>
      <c r="W7176" t="s">
        <v>423</v>
      </c>
    </row>
    <row r="7177" spans="1:23" hidden="1" x14ac:dyDescent="0.2">
      <c r="A7177">
        <v>2012</v>
      </c>
      <c r="B7177" t="s">
        <v>304</v>
      </c>
      <c r="C7177" s="733">
        <v>40961</v>
      </c>
      <c r="D71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77" t="s">
        <v>485</v>
      </c>
      <c r="F7177" t="s">
        <v>2065</v>
      </c>
      <c r="G7177" t="s">
        <v>8290</v>
      </c>
      <c r="H7177">
        <v>42378</v>
      </c>
      <c r="I7177" t="s">
        <v>423</v>
      </c>
      <c r="J7177" t="s">
        <v>2186</v>
      </c>
      <c r="K7177" t="s">
        <v>2183</v>
      </c>
      <c r="L7177" t="s">
        <v>2184</v>
      </c>
      <c r="M7177">
        <v>19</v>
      </c>
      <c r="N7177">
        <v>15.65</v>
      </c>
      <c r="O7177">
        <v>1766.42</v>
      </c>
      <c r="P7177">
        <v>0</v>
      </c>
      <c r="Q7177">
        <v>1766.42</v>
      </c>
      <c r="R7177">
        <v>282.63</v>
      </c>
      <c r="S7177">
        <v>70.66</v>
      </c>
      <c r="T7177">
        <v>1978.39</v>
      </c>
      <c r="U7177" t="s">
        <v>9411</v>
      </c>
      <c r="V7177" t="s">
        <v>9408</v>
      </c>
      <c r="W7177" t="s">
        <v>423</v>
      </c>
    </row>
    <row r="7178" spans="1:23" hidden="1" x14ac:dyDescent="0.2">
      <c r="A7178">
        <v>2012</v>
      </c>
      <c r="B7178" t="s">
        <v>304</v>
      </c>
      <c r="C7178" s="733">
        <v>40967.374918981484</v>
      </c>
      <c r="D71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78" t="s">
        <v>478</v>
      </c>
      <c r="F7178" t="s">
        <v>2136</v>
      </c>
      <c r="G7178" t="s">
        <v>9200</v>
      </c>
      <c r="H7178">
        <v>36150</v>
      </c>
      <c r="I7178" t="s">
        <v>423</v>
      </c>
      <c r="J7178" t="s">
        <v>2629</v>
      </c>
      <c r="K7178" t="s">
        <v>2625</v>
      </c>
      <c r="L7178" t="s">
        <v>2626</v>
      </c>
      <c r="M7178">
        <v>33</v>
      </c>
      <c r="N7178">
        <v>22.01</v>
      </c>
      <c r="O7178">
        <v>2567.25</v>
      </c>
      <c r="P7178">
        <v>0</v>
      </c>
      <c r="Q7178">
        <v>2567.25</v>
      </c>
      <c r="R7178">
        <v>410.76</v>
      </c>
      <c r="S7178">
        <v>102.69</v>
      </c>
      <c r="T7178">
        <v>2875.32</v>
      </c>
      <c r="U7178" t="s">
        <v>9428</v>
      </c>
      <c r="V7178" t="s">
        <v>9408</v>
      </c>
      <c r="W7178" t="s">
        <v>423</v>
      </c>
    </row>
    <row r="7179" spans="1:23" hidden="1" x14ac:dyDescent="0.2">
      <c r="A7179">
        <v>2012</v>
      </c>
      <c r="B7179" t="s">
        <v>303</v>
      </c>
      <c r="C7179" s="733">
        <v>40922.654849537037</v>
      </c>
      <c r="D71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79" t="s">
        <v>478</v>
      </c>
      <c r="F7179" t="s">
        <v>2622</v>
      </c>
      <c r="G7179" t="s">
        <v>7324</v>
      </c>
      <c r="H7179">
        <v>34530</v>
      </c>
      <c r="I7179" t="s">
        <v>423</v>
      </c>
      <c r="J7179" t="s">
        <v>2629</v>
      </c>
      <c r="K7179" t="s">
        <v>2625</v>
      </c>
      <c r="L7179" t="s">
        <v>2626</v>
      </c>
      <c r="M7179">
        <v>33</v>
      </c>
      <c r="N7179">
        <v>22.89</v>
      </c>
      <c r="O7179">
        <v>2669.89</v>
      </c>
      <c r="P7179">
        <v>0</v>
      </c>
      <c r="Q7179">
        <v>2669.89</v>
      </c>
      <c r="R7179">
        <v>427.18</v>
      </c>
      <c r="S7179">
        <v>106.8</v>
      </c>
      <c r="T7179">
        <v>2990.27</v>
      </c>
      <c r="U7179" t="s">
        <v>2627</v>
      </c>
      <c r="V7179" t="s">
        <v>9408</v>
      </c>
      <c r="W7179" t="s">
        <v>423</v>
      </c>
    </row>
    <row r="7180" spans="1:23" hidden="1" x14ac:dyDescent="0.2">
      <c r="A7180">
        <v>2012</v>
      </c>
      <c r="B7180" t="s">
        <v>304</v>
      </c>
      <c r="C7180" s="733">
        <v>40946</v>
      </c>
      <c r="D71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80" t="s">
        <v>478</v>
      </c>
      <c r="F7180" t="s">
        <v>2622</v>
      </c>
      <c r="G7180" t="s">
        <v>7317</v>
      </c>
      <c r="H7180">
        <v>35333</v>
      </c>
      <c r="I7180" t="s">
        <v>423</v>
      </c>
      <c r="J7180" t="s">
        <v>2629</v>
      </c>
      <c r="K7180" t="s">
        <v>2625</v>
      </c>
      <c r="L7180" t="s">
        <v>2626</v>
      </c>
      <c r="M7180">
        <v>33</v>
      </c>
      <c r="N7180">
        <v>24.32</v>
      </c>
      <c r="O7180">
        <v>2836.68</v>
      </c>
      <c r="P7180">
        <v>0</v>
      </c>
      <c r="Q7180">
        <v>2836.68</v>
      </c>
      <c r="R7180">
        <v>453.87</v>
      </c>
      <c r="S7180">
        <v>113.47</v>
      </c>
      <c r="T7180">
        <v>3177.08</v>
      </c>
      <c r="U7180" t="s">
        <v>2652</v>
      </c>
      <c r="V7180" t="s">
        <v>9408</v>
      </c>
      <c r="W7180" t="s">
        <v>423</v>
      </c>
    </row>
    <row r="7181" spans="1:23" hidden="1" x14ac:dyDescent="0.2">
      <c r="A7181">
        <v>2012</v>
      </c>
      <c r="B7181" t="s">
        <v>303</v>
      </c>
      <c r="C7181" s="733">
        <v>40918</v>
      </c>
      <c r="D718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81" t="s">
        <v>478</v>
      </c>
      <c r="F7181" t="s">
        <v>2622</v>
      </c>
      <c r="G7181" t="s">
        <v>7305</v>
      </c>
      <c r="H7181">
        <v>34354</v>
      </c>
      <c r="I7181" t="s">
        <v>423</v>
      </c>
      <c r="J7181" t="s">
        <v>2629</v>
      </c>
      <c r="K7181" t="s">
        <v>2625</v>
      </c>
      <c r="L7181" t="s">
        <v>2626</v>
      </c>
      <c r="M7181">
        <v>33</v>
      </c>
      <c r="N7181">
        <v>25.14</v>
      </c>
      <c r="O7181">
        <v>2932.33</v>
      </c>
      <c r="P7181">
        <v>0</v>
      </c>
      <c r="Q7181">
        <v>2932.33</v>
      </c>
      <c r="R7181">
        <v>469.17</v>
      </c>
      <c r="S7181">
        <v>117.29</v>
      </c>
      <c r="T7181">
        <v>3284.21</v>
      </c>
      <c r="U7181" t="s">
        <v>2627</v>
      </c>
      <c r="V7181" t="s">
        <v>9408</v>
      </c>
      <c r="W7181" t="s">
        <v>423</v>
      </c>
    </row>
    <row r="7182" spans="1:23" hidden="1" x14ac:dyDescent="0.2">
      <c r="A7182">
        <v>2012</v>
      </c>
      <c r="B7182" t="s">
        <v>304</v>
      </c>
      <c r="C7182" s="733">
        <v>40966.577534722222</v>
      </c>
      <c r="D71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82" t="s">
        <v>485</v>
      </c>
      <c r="F7182" t="s">
        <v>2099</v>
      </c>
      <c r="G7182" t="s">
        <v>9201</v>
      </c>
      <c r="H7182">
        <v>42697</v>
      </c>
      <c r="I7182" t="s">
        <v>423</v>
      </c>
      <c r="J7182" t="s">
        <v>2141</v>
      </c>
      <c r="K7182" t="s">
        <v>2102</v>
      </c>
      <c r="L7182" t="s">
        <v>2103</v>
      </c>
      <c r="M7182">
        <v>114</v>
      </c>
      <c r="N7182">
        <v>23.75</v>
      </c>
      <c r="O7182">
        <v>3816.15</v>
      </c>
      <c r="P7182">
        <v>0</v>
      </c>
      <c r="Q7182">
        <v>3816.15</v>
      </c>
      <c r="R7182">
        <v>610.58000000000004</v>
      </c>
      <c r="S7182">
        <v>152.65</v>
      </c>
      <c r="T7182">
        <v>4274.08</v>
      </c>
      <c r="U7182" t="s">
        <v>8883</v>
      </c>
      <c r="V7182" t="s">
        <v>9408</v>
      </c>
      <c r="W7182" t="s">
        <v>423</v>
      </c>
    </row>
    <row r="7183" spans="1:23" hidden="1" x14ac:dyDescent="0.2">
      <c r="A7183">
        <v>2012</v>
      </c>
      <c r="B7183" t="s">
        <v>304</v>
      </c>
      <c r="C7183" s="733">
        <v>40960</v>
      </c>
      <c r="D71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83" t="s">
        <v>485</v>
      </c>
      <c r="F7183" t="s">
        <v>2099</v>
      </c>
      <c r="G7183" t="s">
        <v>8247</v>
      </c>
      <c r="H7183">
        <v>42278</v>
      </c>
      <c r="I7183" t="s">
        <v>423</v>
      </c>
      <c r="J7183" t="s">
        <v>2141</v>
      </c>
      <c r="K7183" t="s">
        <v>2102</v>
      </c>
      <c r="L7183" t="s">
        <v>2103</v>
      </c>
      <c r="M7183">
        <v>114</v>
      </c>
      <c r="N7183">
        <v>25.47</v>
      </c>
      <c r="O7183">
        <v>4092.52</v>
      </c>
      <c r="P7183">
        <v>0</v>
      </c>
      <c r="Q7183">
        <v>4092.52</v>
      </c>
      <c r="R7183">
        <v>654.79999999999995</v>
      </c>
      <c r="S7183">
        <v>163.69999999999999</v>
      </c>
      <c r="T7183">
        <v>4583.62</v>
      </c>
      <c r="U7183" t="s">
        <v>8883</v>
      </c>
      <c r="V7183" t="s">
        <v>9408</v>
      </c>
      <c r="W7183" t="s">
        <v>423</v>
      </c>
    </row>
    <row r="7184" spans="1:23" hidden="1" x14ac:dyDescent="0.2">
      <c r="A7184">
        <v>2012</v>
      </c>
      <c r="B7184" t="s">
        <v>304</v>
      </c>
      <c r="C7184" s="733">
        <v>40960</v>
      </c>
      <c r="D718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84" t="s">
        <v>485</v>
      </c>
      <c r="F7184" t="s">
        <v>2099</v>
      </c>
      <c r="G7184" t="s">
        <v>8248</v>
      </c>
      <c r="H7184">
        <v>42281</v>
      </c>
      <c r="I7184" t="s">
        <v>423</v>
      </c>
      <c r="J7184" t="s">
        <v>2141</v>
      </c>
      <c r="K7184" t="s">
        <v>2102</v>
      </c>
      <c r="L7184" t="s">
        <v>2103</v>
      </c>
      <c r="M7184">
        <v>114</v>
      </c>
      <c r="N7184">
        <v>23.78</v>
      </c>
      <c r="O7184">
        <v>3820.97</v>
      </c>
      <c r="P7184">
        <v>0</v>
      </c>
      <c r="Q7184">
        <v>3820.97</v>
      </c>
      <c r="R7184">
        <v>611.36</v>
      </c>
      <c r="S7184">
        <v>152.84</v>
      </c>
      <c r="T7184">
        <v>4279.49</v>
      </c>
      <c r="U7184" t="s">
        <v>8883</v>
      </c>
      <c r="V7184" t="s">
        <v>9408</v>
      </c>
      <c r="W7184" t="s">
        <v>423</v>
      </c>
    </row>
    <row r="7185" spans="1:23" hidden="1" x14ac:dyDescent="0.2">
      <c r="A7185">
        <v>2012</v>
      </c>
      <c r="B7185" t="s">
        <v>303</v>
      </c>
      <c r="C7185" s="733">
        <v>40913</v>
      </c>
      <c r="D71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85" t="s">
        <v>478</v>
      </c>
      <c r="F7185" t="s">
        <v>2622</v>
      </c>
      <c r="G7185" t="s">
        <v>7437</v>
      </c>
      <c r="H7185">
        <v>34248</v>
      </c>
      <c r="I7185" t="s">
        <v>423</v>
      </c>
      <c r="J7185" t="s">
        <v>4791</v>
      </c>
      <c r="K7185" t="s">
        <v>425</v>
      </c>
      <c r="L7185" t="s">
        <v>2145</v>
      </c>
      <c r="M7185">
        <v>139</v>
      </c>
      <c r="N7185">
        <v>25.84</v>
      </c>
      <c r="O7185">
        <v>1817.07</v>
      </c>
      <c r="P7185">
        <v>2045.8209420000001</v>
      </c>
      <c r="Q7185">
        <v>3862.890942</v>
      </c>
      <c r="R7185">
        <v>618.06255099999998</v>
      </c>
      <c r="S7185">
        <v>154.515638</v>
      </c>
      <c r="T7185">
        <v>4326.4378550000001</v>
      </c>
      <c r="U7185" t="s">
        <v>3323</v>
      </c>
      <c r="V7185" t="s">
        <v>9408</v>
      </c>
      <c r="W7185" t="s">
        <v>423</v>
      </c>
    </row>
    <row r="7186" spans="1:23" hidden="1" x14ac:dyDescent="0.2">
      <c r="A7186">
        <v>2012</v>
      </c>
      <c r="B7186" t="s">
        <v>304</v>
      </c>
      <c r="C7186" s="733">
        <v>40948</v>
      </c>
      <c r="D71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86" t="s">
        <v>485</v>
      </c>
      <c r="F7186" t="s">
        <v>2065</v>
      </c>
      <c r="G7186" t="s">
        <v>7278</v>
      </c>
      <c r="H7186">
        <v>41638</v>
      </c>
      <c r="I7186" t="s">
        <v>423</v>
      </c>
      <c r="J7186" t="s">
        <v>2141</v>
      </c>
      <c r="K7186" t="s">
        <v>2102</v>
      </c>
      <c r="L7186" t="s">
        <v>2103</v>
      </c>
      <c r="M7186">
        <v>114</v>
      </c>
      <c r="N7186">
        <v>29.26</v>
      </c>
      <c r="O7186">
        <v>4701.5</v>
      </c>
      <c r="P7186">
        <v>0</v>
      </c>
      <c r="Q7186">
        <v>4701.5</v>
      </c>
      <c r="R7186">
        <v>752.24</v>
      </c>
      <c r="S7186">
        <v>188.06</v>
      </c>
      <c r="T7186">
        <v>5265.68</v>
      </c>
      <c r="U7186" t="s">
        <v>7462</v>
      </c>
      <c r="V7186" t="s">
        <v>9408</v>
      </c>
      <c r="W7186" t="s">
        <v>423</v>
      </c>
    </row>
    <row r="7187" spans="1:23" hidden="1" x14ac:dyDescent="0.2">
      <c r="A7187">
        <v>2012</v>
      </c>
      <c r="B7187" t="s">
        <v>304</v>
      </c>
      <c r="C7187" s="733">
        <v>40968</v>
      </c>
      <c r="D71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87" t="s">
        <v>478</v>
      </c>
      <c r="F7187" t="s">
        <v>2622</v>
      </c>
      <c r="G7187" t="s">
        <v>9429</v>
      </c>
      <c r="H7187">
        <v>36189</v>
      </c>
      <c r="I7187" t="s">
        <v>423</v>
      </c>
      <c r="J7187" t="s">
        <v>2144</v>
      </c>
      <c r="K7187" t="s">
        <v>425</v>
      </c>
      <c r="L7187" t="s">
        <v>2145</v>
      </c>
      <c r="M7187">
        <v>1354</v>
      </c>
      <c r="N7187">
        <v>42.59</v>
      </c>
      <c r="O7187">
        <v>38620.19</v>
      </c>
      <c r="P7187">
        <v>0</v>
      </c>
      <c r="Q7187">
        <v>38620.19</v>
      </c>
      <c r="R7187">
        <v>6179.23</v>
      </c>
      <c r="S7187">
        <v>1544.81</v>
      </c>
      <c r="T7187">
        <v>43254.61</v>
      </c>
      <c r="U7187" t="s">
        <v>9430</v>
      </c>
      <c r="V7187" t="s">
        <v>9409</v>
      </c>
      <c r="W7187" t="s">
        <v>423</v>
      </c>
    </row>
    <row r="7188" spans="1:23" hidden="1" x14ac:dyDescent="0.2">
      <c r="A7188">
        <v>2012</v>
      </c>
      <c r="B7188" t="s">
        <v>303</v>
      </c>
      <c r="C7188" s="733">
        <v>40933</v>
      </c>
      <c r="D71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88" t="s">
        <v>478</v>
      </c>
      <c r="F7188" t="s">
        <v>2622</v>
      </c>
      <c r="G7188" t="s">
        <v>7276</v>
      </c>
      <c r="H7188">
        <v>34807</v>
      </c>
      <c r="I7188" t="s">
        <v>423</v>
      </c>
      <c r="J7188" t="s">
        <v>2144</v>
      </c>
      <c r="K7188" t="s">
        <v>425</v>
      </c>
      <c r="L7188" t="s">
        <v>2145</v>
      </c>
      <c r="M7188">
        <v>1354</v>
      </c>
      <c r="N7188">
        <v>48.09</v>
      </c>
      <c r="O7188">
        <v>43607.53</v>
      </c>
      <c r="P7188">
        <v>0</v>
      </c>
      <c r="Q7188">
        <v>43607.53</v>
      </c>
      <c r="R7188">
        <v>6977.2</v>
      </c>
      <c r="S7188">
        <v>1744.3</v>
      </c>
      <c r="T7188">
        <v>48840.43</v>
      </c>
      <c r="U7188" t="s">
        <v>3234</v>
      </c>
      <c r="V7188" t="s">
        <v>9409</v>
      </c>
      <c r="W7188" t="s">
        <v>423</v>
      </c>
    </row>
    <row r="7189" spans="1:23" hidden="1" x14ac:dyDescent="0.2">
      <c r="A7189">
        <v>2012</v>
      </c>
      <c r="B7189" t="s">
        <v>303</v>
      </c>
      <c r="C7189" s="733">
        <v>40933</v>
      </c>
      <c r="D71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89" t="s">
        <v>478</v>
      </c>
      <c r="F7189" t="s">
        <v>2136</v>
      </c>
      <c r="G7189" t="s">
        <v>7279</v>
      </c>
      <c r="H7189">
        <v>34869</v>
      </c>
      <c r="I7189" t="s">
        <v>423</v>
      </c>
      <c r="J7189" t="s">
        <v>2144</v>
      </c>
      <c r="K7189" t="s">
        <v>425</v>
      </c>
      <c r="L7189" t="s">
        <v>2145</v>
      </c>
      <c r="M7189">
        <v>1354</v>
      </c>
      <c r="N7189">
        <v>49.45</v>
      </c>
      <c r="O7189">
        <v>44840.77</v>
      </c>
      <c r="P7189">
        <v>0</v>
      </c>
      <c r="Q7189">
        <v>44840.77</v>
      </c>
      <c r="R7189">
        <v>7174.52</v>
      </c>
      <c r="S7189">
        <v>1793.63</v>
      </c>
      <c r="T7189">
        <v>50221.66</v>
      </c>
      <c r="U7189" t="s">
        <v>3234</v>
      </c>
      <c r="V7189" t="s">
        <v>9409</v>
      </c>
      <c r="W7189" t="s">
        <v>423</v>
      </c>
    </row>
    <row r="7190" spans="1:23" hidden="1" x14ac:dyDescent="0.2">
      <c r="A7190">
        <v>2012</v>
      </c>
      <c r="B7190" t="s">
        <v>304</v>
      </c>
      <c r="C7190" s="733">
        <v>40954</v>
      </c>
      <c r="D719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90" t="s">
        <v>478</v>
      </c>
      <c r="F7190" t="s">
        <v>2622</v>
      </c>
      <c r="G7190" t="s">
        <v>7932</v>
      </c>
      <c r="H7190">
        <v>35640</v>
      </c>
      <c r="I7190" t="s">
        <v>423</v>
      </c>
      <c r="J7190" t="s">
        <v>2629</v>
      </c>
      <c r="K7190" t="s">
        <v>2625</v>
      </c>
      <c r="L7190" t="s">
        <v>2626</v>
      </c>
      <c r="M7190">
        <v>33</v>
      </c>
      <c r="N7190">
        <v>24.38</v>
      </c>
      <c r="O7190">
        <v>2843.68</v>
      </c>
      <c r="P7190">
        <v>0</v>
      </c>
      <c r="Q7190">
        <v>2843.68</v>
      </c>
      <c r="R7190">
        <v>454.99</v>
      </c>
      <c r="S7190">
        <v>113.75</v>
      </c>
      <c r="T7190">
        <v>3184.92</v>
      </c>
      <c r="U7190" t="s">
        <v>8267</v>
      </c>
      <c r="V7190" t="s">
        <v>9408</v>
      </c>
      <c r="W7190" t="s">
        <v>423</v>
      </c>
    </row>
    <row r="7191" spans="1:23" hidden="1" x14ac:dyDescent="0.2">
      <c r="A7191">
        <v>2012</v>
      </c>
      <c r="B7191" t="s">
        <v>303</v>
      </c>
      <c r="C7191" s="733">
        <v>40935</v>
      </c>
      <c r="D71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91" t="s">
        <v>485</v>
      </c>
      <c r="F7191" t="s">
        <v>2065</v>
      </c>
      <c r="G7191" t="s">
        <v>3043</v>
      </c>
      <c r="H7191">
        <v>40965</v>
      </c>
      <c r="I7191" t="s">
        <v>423</v>
      </c>
      <c r="J7191" t="s">
        <v>2186</v>
      </c>
      <c r="K7191" t="s">
        <v>2183</v>
      </c>
      <c r="L7191" t="s">
        <v>2184</v>
      </c>
      <c r="M7191">
        <v>19</v>
      </c>
      <c r="N7191">
        <v>15.31</v>
      </c>
      <c r="O7191">
        <v>1728.04</v>
      </c>
      <c r="P7191">
        <v>0</v>
      </c>
      <c r="Q7191">
        <v>1728.04</v>
      </c>
      <c r="R7191">
        <v>276.49</v>
      </c>
      <c r="S7191">
        <v>69.12</v>
      </c>
      <c r="T7191">
        <v>1935.41</v>
      </c>
      <c r="U7191" t="s">
        <v>2187</v>
      </c>
      <c r="V7191" t="s">
        <v>9408</v>
      </c>
      <c r="W7191" t="s">
        <v>423</v>
      </c>
    </row>
    <row r="7192" spans="1:23" hidden="1" x14ac:dyDescent="0.2">
      <c r="A7192">
        <v>2012</v>
      </c>
      <c r="B7192" t="s">
        <v>304</v>
      </c>
      <c r="C7192" s="733">
        <v>40961</v>
      </c>
      <c r="D71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92" t="s">
        <v>485</v>
      </c>
      <c r="F7192" t="s">
        <v>2065</v>
      </c>
      <c r="G7192" t="s">
        <v>8298</v>
      </c>
      <c r="H7192">
        <v>42371</v>
      </c>
      <c r="I7192" t="s">
        <v>423</v>
      </c>
      <c r="J7192" t="s">
        <v>2186</v>
      </c>
      <c r="K7192" t="s">
        <v>2183</v>
      </c>
      <c r="L7192" t="s">
        <v>2184</v>
      </c>
      <c r="M7192">
        <v>19</v>
      </c>
      <c r="N7192">
        <v>16.25</v>
      </c>
      <c r="O7192">
        <v>1834.14</v>
      </c>
      <c r="P7192">
        <v>0</v>
      </c>
      <c r="Q7192">
        <v>1834.14</v>
      </c>
      <c r="R7192">
        <v>293.45999999999998</v>
      </c>
      <c r="S7192">
        <v>73.37</v>
      </c>
      <c r="T7192">
        <v>2054.23</v>
      </c>
      <c r="U7192" t="s">
        <v>9411</v>
      </c>
      <c r="V7192" t="s">
        <v>9408</v>
      </c>
      <c r="W7192" t="s">
        <v>423</v>
      </c>
    </row>
    <row r="7193" spans="1:23" hidden="1" x14ac:dyDescent="0.2">
      <c r="A7193">
        <v>2012</v>
      </c>
      <c r="B7193" t="s">
        <v>303</v>
      </c>
      <c r="C7193" s="733">
        <v>40939.466898148145</v>
      </c>
      <c r="D71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93" t="s">
        <v>478</v>
      </c>
      <c r="F7193" t="s">
        <v>2622</v>
      </c>
      <c r="G7193" t="s">
        <v>7314</v>
      </c>
      <c r="H7193">
        <v>35104</v>
      </c>
      <c r="I7193" t="s">
        <v>423</v>
      </c>
      <c r="J7193" t="s">
        <v>2629</v>
      </c>
      <c r="K7193" t="s">
        <v>2625</v>
      </c>
      <c r="L7193" t="s">
        <v>2626</v>
      </c>
      <c r="M7193">
        <v>33</v>
      </c>
      <c r="N7193">
        <v>25.5</v>
      </c>
      <c r="O7193">
        <v>2974.32</v>
      </c>
      <c r="P7193">
        <v>0</v>
      </c>
      <c r="Q7193">
        <v>2974.32</v>
      </c>
      <c r="R7193">
        <v>475.89</v>
      </c>
      <c r="S7193">
        <v>118.97</v>
      </c>
      <c r="T7193">
        <v>3331.24</v>
      </c>
      <c r="U7193" t="s">
        <v>2652</v>
      </c>
      <c r="V7193" t="s">
        <v>9408</v>
      </c>
      <c r="W7193" t="s">
        <v>423</v>
      </c>
    </row>
    <row r="7194" spans="1:23" hidden="1" x14ac:dyDescent="0.2">
      <c r="A7194">
        <v>2012</v>
      </c>
      <c r="B7194" t="s">
        <v>304</v>
      </c>
      <c r="C7194" s="733">
        <v>40946.737060185187</v>
      </c>
      <c r="D719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94" t="s">
        <v>478</v>
      </c>
      <c r="F7194" t="s">
        <v>2622</v>
      </c>
      <c r="G7194" t="s">
        <v>7315</v>
      </c>
      <c r="H7194">
        <v>35379</v>
      </c>
      <c r="I7194" t="s">
        <v>423</v>
      </c>
      <c r="J7194" t="s">
        <v>2629</v>
      </c>
      <c r="K7194" t="s">
        <v>2625</v>
      </c>
      <c r="L7194" t="s">
        <v>2626</v>
      </c>
      <c r="M7194">
        <v>33</v>
      </c>
      <c r="N7194">
        <v>25.43</v>
      </c>
      <c r="O7194">
        <v>2966.16</v>
      </c>
      <c r="P7194">
        <v>0</v>
      </c>
      <c r="Q7194">
        <v>2966.16</v>
      </c>
      <c r="R7194">
        <v>474.58</v>
      </c>
      <c r="S7194">
        <v>118.65</v>
      </c>
      <c r="T7194">
        <v>3322.09</v>
      </c>
      <c r="U7194" t="s">
        <v>2652</v>
      </c>
      <c r="V7194" t="s">
        <v>9408</v>
      </c>
      <c r="W7194" t="s">
        <v>423</v>
      </c>
    </row>
    <row r="7195" spans="1:23" hidden="1" x14ac:dyDescent="0.2">
      <c r="A7195">
        <v>2012</v>
      </c>
      <c r="B7195" t="s">
        <v>303</v>
      </c>
      <c r="C7195" s="733">
        <v>40926</v>
      </c>
      <c r="D71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95" t="s">
        <v>478</v>
      </c>
      <c r="F7195" t="s">
        <v>2622</v>
      </c>
      <c r="G7195" t="s">
        <v>7316</v>
      </c>
      <c r="H7195">
        <v>34592</v>
      </c>
      <c r="I7195" t="s">
        <v>423</v>
      </c>
      <c r="J7195" t="s">
        <v>2629</v>
      </c>
      <c r="K7195" t="s">
        <v>2625</v>
      </c>
      <c r="L7195" t="s">
        <v>2626</v>
      </c>
      <c r="M7195">
        <v>33</v>
      </c>
      <c r="N7195">
        <v>23.43</v>
      </c>
      <c r="O7195">
        <v>2732.88</v>
      </c>
      <c r="P7195">
        <v>0</v>
      </c>
      <c r="Q7195">
        <v>2732.88</v>
      </c>
      <c r="R7195">
        <v>437.26</v>
      </c>
      <c r="S7195">
        <v>109.32</v>
      </c>
      <c r="T7195">
        <v>3060.82</v>
      </c>
      <c r="U7195" t="s">
        <v>2648</v>
      </c>
      <c r="V7195" t="s">
        <v>9408</v>
      </c>
      <c r="W7195" t="s">
        <v>423</v>
      </c>
    </row>
    <row r="7196" spans="1:23" hidden="1" x14ac:dyDescent="0.2">
      <c r="A7196">
        <v>2012</v>
      </c>
      <c r="B7196" t="s">
        <v>303</v>
      </c>
      <c r="C7196" s="733">
        <v>40939</v>
      </c>
      <c r="D71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96" t="s">
        <v>485</v>
      </c>
      <c r="F7196" t="s">
        <v>2065</v>
      </c>
      <c r="G7196" t="s">
        <v>7345</v>
      </c>
      <c r="H7196">
        <v>40819</v>
      </c>
      <c r="I7196" t="s">
        <v>423</v>
      </c>
      <c r="J7196" t="s">
        <v>2189</v>
      </c>
      <c r="K7196" t="s">
        <v>2183</v>
      </c>
      <c r="L7196" t="s">
        <v>2184</v>
      </c>
      <c r="M7196">
        <v>720</v>
      </c>
      <c r="N7196">
        <v>27.42</v>
      </c>
      <c r="O7196">
        <v>12171.46</v>
      </c>
      <c r="P7196">
        <v>0</v>
      </c>
      <c r="Q7196">
        <v>12171.46</v>
      </c>
      <c r="R7196">
        <v>1947.43</v>
      </c>
      <c r="S7196">
        <v>486.86</v>
      </c>
      <c r="T7196">
        <v>13632.03</v>
      </c>
      <c r="U7196" t="s">
        <v>2187</v>
      </c>
      <c r="V7196" t="s">
        <v>9408</v>
      </c>
      <c r="W7196" t="s">
        <v>423</v>
      </c>
    </row>
    <row r="7197" spans="1:23" hidden="1" x14ac:dyDescent="0.2">
      <c r="A7197">
        <v>2012</v>
      </c>
      <c r="B7197" t="s">
        <v>303</v>
      </c>
      <c r="C7197" s="733">
        <v>40911</v>
      </c>
      <c r="D719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97" t="s">
        <v>485</v>
      </c>
      <c r="F7197" t="s">
        <v>2065</v>
      </c>
      <c r="G7197" t="s">
        <v>7347</v>
      </c>
      <c r="H7197">
        <v>39654</v>
      </c>
      <c r="I7197" t="s">
        <v>423</v>
      </c>
      <c r="J7197" t="s">
        <v>2189</v>
      </c>
      <c r="K7197" t="s">
        <v>2183</v>
      </c>
      <c r="L7197" t="s">
        <v>2184</v>
      </c>
      <c r="M7197">
        <v>720</v>
      </c>
      <c r="N7197">
        <v>29.65</v>
      </c>
      <c r="O7197">
        <v>5541.29</v>
      </c>
      <c r="P7197">
        <v>6238.882998</v>
      </c>
      <c r="Q7197">
        <v>11780.172998</v>
      </c>
      <c r="R7197">
        <v>1884.8276800000001</v>
      </c>
      <c r="S7197">
        <v>471.20692000000003</v>
      </c>
      <c r="T7197">
        <v>13193.793758</v>
      </c>
      <c r="U7197" t="s">
        <v>3038</v>
      </c>
      <c r="V7197" t="s">
        <v>9408</v>
      </c>
      <c r="W7197" t="s">
        <v>423</v>
      </c>
    </row>
    <row r="7198" spans="1:23" hidden="1" x14ac:dyDescent="0.2">
      <c r="A7198">
        <v>2012</v>
      </c>
      <c r="B7198" t="s">
        <v>303</v>
      </c>
      <c r="C7198" s="733">
        <v>40939</v>
      </c>
      <c r="D719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198" t="s">
        <v>485</v>
      </c>
      <c r="F7198" t="s">
        <v>2065</v>
      </c>
      <c r="G7198" t="s">
        <v>3057</v>
      </c>
      <c r="H7198">
        <v>40900</v>
      </c>
      <c r="I7198" t="s">
        <v>423</v>
      </c>
      <c r="J7198" t="s">
        <v>2189</v>
      </c>
      <c r="K7198" t="s">
        <v>2183</v>
      </c>
      <c r="L7198" t="s">
        <v>2184</v>
      </c>
      <c r="M7198">
        <v>720</v>
      </c>
      <c r="N7198">
        <v>23.89</v>
      </c>
      <c r="O7198">
        <v>10604.53</v>
      </c>
      <c r="P7198">
        <v>0</v>
      </c>
      <c r="Q7198">
        <v>10604.53</v>
      </c>
      <c r="R7198">
        <v>1696.73</v>
      </c>
      <c r="S7198">
        <v>424.18</v>
      </c>
      <c r="T7198">
        <v>11877.08</v>
      </c>
      <c r="U7198" t="s">
        <v>2187</v>
      </c>
      <c r="V7198" t="s">
        <v>9408</v>
      </c>
      <c r="W7198" t="s">
        <v>423</v>
      </c>
    </row>
    <row r="7199" spans="1:23" hidden="1" x14ac:dyDescent="0.2">
      <c r="A7199">
        <v>2012</v>
      </c>
      <c r="B7199" t="s">
        <v>304</v>
      </c>
      <c r="C7199" s="733">
        <v>40946</v>
      </c>
      <c r="D71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199" t="s">
        <v>485</v>
      </c>
      <c r="F7199" t="s">
        <v>2065</v>
      </c>
      <c r="G7199" t="s">
        <v>7346</v>
      </c>
      <c r="H7199">
        <v>41408</v>
      </c>
      <c r="I7199" t="s">
        <v>423</v>
      </c>
      <c r="J7199" t="s">
        <v>2189</v>
      </c>
      <c r="K7199" t="s">
        <v>2183</v>
      </c>
      <c r="L7199" t="s">
        <v>2184</v>
      </c>
      <c r="M7199">
        <v>720</v>
      </c>
      <c r="N7199">
        <v>25.5</v>
      </c>
      <c r="O7199">
        <v>11319.2</v>
      </c>
      <c r="P7199">
        <v>0</v>
      </c>
      <c r="Q7199">
        <v>11319.2</v>
      </c>
      <c r="R7199">
        <v>1811.07</v>
      </c>
      <c r="S7199">
        <v>452.77</v>
      </c>
      <c r="T7199">
        <v>12677.5</v>
      </c>
      <c r="U7199" t="s">
        <v>2192</v>
      </c>
      <c r="V7199" t="s">
        <v>9408</v>
      </c>
      <c r="W7199" t="s">
        <v>423</v>
      </c>
    </row>
    <row r="7200" spans="1:23" hidden="1" x14ac:dyDescent="0.2">
      <c r="A7200">
        <v>2012</v>
      </c>
      <c r="B7200" t="s">
        <v>305</v>
      </c>
      <c r="C7200" s="733">
        <v>40970.41511574074</v>
      </c>
      <c r="D7200" s="733" t="str">
        <f>CHOOSE(MONTH(Tabla_sqldatos_bonampakdb_Bon_v_ingresos2012[[#This Row],[fecha_guia]]),"Enero","Febrero","Marzo","Abril","Mayo","Junio","Julio","Agosto","Septiembre","Octubre","Noviembre","Diciembre")</f>
        <v>Marzo</v>
      </c>
      <c r="E7200" t="s">
        <v>485</v>
      </c>
      <c r="F7200" t="s">
        <v>2065</v>
      </c>
      <c r="G7200" t="s">
        <v>9559</v>
      </c>
      <c r="H7200">
        <v>42975</v>
      </c>
      <c r="I7200" t="s">
        <v>423</v>
      </c>
      <c r="J7200" t="s">
        <v>2189</v>
      </c>
      <c r="K7200" t="s">
        <v>2183</v>
      </c>
      <c r="L7200" t="s">
        <v>2184</v>
      </c>
      <c r="M7200">
        <v>720</v>
      </c>
      <c r="N7200">
        <v>27.11</v>
      </c>
      <c r="O7200">
        <v>12033.86</v>
      </c>
      <c r="P7200">
        <v>0</v>
      </c>
      <c r="Q7200">
        <v>12033.86</v>
      </c>
      <c r="R7200">
        <v>1925.42</v>
      </c>
      <c r="S7200">
        <v>481.35</v>
      </c>
      <c r="T7200">
        <v>13477.93</v>
      </c>
      <c r="V7200" t="s">
        <v>9408</v>
      </c>
      <c r="W7200" t="s">
        <v>423</v>
      </c>
    </row>
    <row r="7201" spans="1:23" hidden="1" x14ac:dyDescent="0.2">
      <c r="A7201">
        <v>2012</v>
      </c>
      <c r="B7201" t="s">
        <v>303</v>
      </c>
      <c r="C7201" s="733">
        <v>40932</v>
      </c>
      <c r="D720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01" t="s">
        <v>485</v>
      </c>
      <c r="F7201" t="s">
        <v>2065</v>
      </c>
      <c r="G7201" t="s">
        <v>2218</v>
      </c>
      <c r="H7201">
        <v>40765</v>
      </c>
      <c r="I7201" t="s">
        <v>423</v>
      </c>
      <c r="J7201" t="s">
        <v>2139</v>
      </c>
      <c r="K7201" t="s">
        <v>2102</v>
      </c>
      <c r="L7201" t="s">
        <v>2115</v>
      </c>
      <c r="M7201">
        <v>543</v>
      </c>
      <c r="N7201">
        <v>36.26</v>
      </c>
      <c r="O7201">
        <v>12192.42</v>
      </c>
      <c r="P7201">
        <v>0</v>
      </c>
      <c r="Q7201">
        <v>12192.42</v>
      </c>
      <c r="R7201">
        <v>1950.79</v>
      </c>
      <c r="S7201">
        <v>487.7</v>
      </c>
      <c r="T7201">
        <v>13655.51</v>
      </c>
      <c r="U7201" t="s">
        <v>2108</v>
      </c>
      <c r="V7201" t="s">
        <v>9409</v>
      </c>
      <c r="W7201" t="s">
        <v>423</v>
      </c>
    </row>
    <row r="7202" spans="1:23" hidden="1" x14ac:dyDescent="0.2">
      <c r="A7202">
        <v>2012</v>
      </c>
      <c r="B7202" t="s">
        <v>303</v>
      </c>
      <c r="C7202" s="733">
        <v>40934</v>
      </c>
      <c r="D72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02" t="s">
        <v>485</v>
      </c>
      <c r="F7202" t="s">
        <v>2065</v>
      </c>
      <c r="G7202" t="s">
        <v>2151</v>
      </c>
      <c r="H7202">
        <v>40815</v>
      </c>
      <c r="I7202" t="s">
        <v>423</v>
      </c>
      <c r="J7202" t="s">
        <v>2139</v>
      </c>
      <c r="K7202" t="s">
        <v>2102</v>
      </c>
      <c r="L7202" t="s">
        <v>2115</v>
      </c>
      <c r="M7202">
        <v>543</v>
      </c>
      <c r="N7202">
        <v>44.93</v>
      </c>
      <c r="O7202">
        <v>15107.71</v>
      </c>
      <c r="P7202">
        <v>0</v>
      </c>
      <c r="Q7202">
        <v>15107.71</v>
      </c>
      <c r="R7202">
        <v>2417.23</v>
      </c>
      <c r="S7202">
        <v>604.30999999999995</v>
      </c>
      <c r="T7202">
        <v>16920.63</v>
      </c>
      <c r="U7202" t="s">
        <v>2110</v>
      </c>
      <c r="V7202" t="s">
        <v>9409</v>
      </c>
      <c r="W7202" t="s">
        <v>423</v>
      </c>
    </row>
    <row r="7203" spans="1:23" x14ac:dyDescent="0.2">
      <c r="A7203">
        <v>2012</v>
      </c>
      <c r="B7203" t="s">
        <v>304</v>
      </c>
      <c r="C7203" s="733">
        <v>40968.508981481478</v>
      </c>
      <c r="D720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03" t="s">
        <v>485</v>
      </c>
      <c r="F7203" t="s">
        <v>2065</v>
      </c>
      <c r="G7203" t="s">
        <v>9343</v>
      </c>
      <c r="H7203">
        <v>42858</v>
      </c>
      <c r="I7203" t="s">
        <v>423</v>
      </c>
      <c r="J7203" t="s">
        <v>2196</v>
      </c>
      <c r="K7203" t="s">
        <v>2183</v>
      </c>
      <c r="L7203" t="s">
        <v>2184</v>
      </c>
      <c r="M7203">
        <v>10</v>
      </c>
      <c r="N7203">
        <v>26.09</v>
      </c>
      <c r="O7203">
        <v>2944.78</v>
      </c>
      <c r="P7203">
        <v>0</v>
      </c>
      <c r="Q7203">
        <v>2944.78</v>
      </c>
      <c r="R7203">
        <v>471.16</v>
      </c>
      <c r="S7203">
        <v>117.79</v>
      </c>
      <c r="T7203">
        <v>3298.15</v>
      </c>
      <c r="V7203" t="s">
        <v>9408</v>
      </c>
      <c r="W7203" t="s">
        <v>423</v>
      </c>
    </row>
    <row r="7204" spans="1:23" hidden="1" x14ac:dyDescent="0.2">
      <c r="A7204">
        <v>2012</v>
      </c>
      <c r="B7204" t="s">
        <v>304</v>
      </c>
      <c r="C7204" s="733">
        <v>40947</v>
      </c>
      <c r="D720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04" t="s">
        <v>485</v>
      </c>
      <c r="F7204" t="s">
        <v>2065</v>
      </c>
      <c r="G7204" t="s">
        <v>2219</v>
      </c>
      <c r="H7204">
        <v>41343</v>
      </c>
      <c r="I7204" t="s">
        <v>423</v>
      </c>
      <c r="J7204" t="s">
        <v>2139</v>
      </c>
      <c r="K7204" t="s">
        <v>2102</v>
      </c>
      <c r="L7204" t="s">
        <v>2115</v>
      </c>
      <c r="M7204">
        <v>543</v>
      </c>
      <c r="N7204">
        <v>46.31</v>
      </c>
      <c r="O7204">
        <v>15571.74</v>
      </c>
      <c r="P7204">
        <v>0</v>
      </c>
      <c r="Q7204">
        <v>15571.74</v>
      </c>
      <c r="R7204">
        <v>2491.48</v>
      </c>
      <c r="S7204">
        <v>622.87</v>
      </c>
      <c r="T7204">
        <v>17440.349999999999</v>
      </c>
      <c r="U7204" t="s">
        <v>7462</v>
      </c>
      <c r="V7204" t="s">
        <v>9409</v>
      </c>
      <c r="W7204" t="s">
        <v>423</v>
      </c>
    </row>
    <row r="7205" spans="1:23" hidden="1" x14ac:dyDescent="0.2">
      <c r="A7205">
        <v>2012</v>
      </c>
      <c r="B7205" t="s">
        <v>305</v>
      </c>
      <c r="C7205" s="733">
        <v>40969</v>
      </c>
      <c r="D7205" s="733" t="str">
        <f>CHOOSE(MONTH(Tabla_sqldatos_bonampakdb_Bon_v_ingresos2012[[#This Row],[fecha_guia]]),"Enero","Febrero","Marzo","Abril","Mayo","Junio","Julio","Agosto","Septiembre","Octubre","Noviembre","Diciembre")</f>
        <v>Marzo</v>
      </c>
      <c r="E7205" t="s">
        <v>485</v>
      </c>
      <c r="F7205" t="s">
        <v>2065</v>
      </c>
      <c r="G7205" t="s">
        <v>9513</v>
      </c>
      <c r="H7205">
        <v>42758</v>
      </c>
      <c r="I7205" t="s">
        <v>423</v>
      </c>
      <c r="J7205" t="s">
        <v>2139</v>
      </c>
      <c r="K7205" t="s">
        <v>2102</v>
      </c>
      <c r="L7205" t="s">
        <v>2115</v>
      </c>
      <c r="M7205">
        <v>543</v>
      </c>
      <c r="N7205">
        <v>50.58</v>
      </c>
      <c r="O7205">
        <v>17007.52</v>
      </c>
      <c r="P7205">
        <v>0</v>
      </c>
      <c r="Q7205">
        <v>17007.52</v>
      </c>
      <c r="R7205">
        <v>2721.2</v>
      </c>
      <c r="S7205">
        <v>680.3</v>
      </c>
      <c r="T7205">
        <v>19048.419999999998</v>
      </c>
      <c r="V7205" t="s">
        <v>9409</v>
      </c>
      <c r="W7205" t="s">
        <v>423</v>
      </c>
    </row>
    <row r="7206" spans="1:23" hidden="1" x14ac:dyDescent="0.2">
      <c r="A7206">
        <v>2012</v>
      </c>
      <c r="B7206" t="s">
        <v>304</v>
      </c>
      <c r="C7206" s="733">
        <v>40956</v>
      </c>
      <c r="D72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06" t="s">
        <v>478</v>
      </c>
      <c r="F7206" t="s">
        <v>2136</v>
      </c>
      <c r="G7206" t="s">
        <v>7938</v>
      </c>
      <c r="H7206">
        <v>35690</v>
      </c>
      <c r="I7206" t="s">
        <v>423</v>
      </c>
      <c r="J7206" t="s">
        <v>4273</v>
      </c>
      <c r="K7206" t="s">
        <v>425</v>
      </c>
      <c r="L7206" t="s">
        <v>2145</v>
      </c>
      <c r="M7206">
        <v>797</v>
      </c>
      <c r="N7206">
        <v>19.16</v>
      </c>
      <c r="O7206">
        <v>7336.94</v>
      </c>
      <c r="P7206">
        <v>0</v>
      </c>
      <c r="Q7206">
        <v>7336.94</v>
      </c>
      <c r="R7206">
        <v>1173.9100000000001</v>
      </c>
      <c r="S7206">
        <v>293.48</v>
      </c>
      <c r="T7206">
        <v>8217.3700000000008</v>
      </c>
      <c r="U7206" t="s">
        <v>8312</v>
      </c>
      <c r="V7206" t="s">
        <v>9408</v>
      </c>
      <c r="W7206" t="s">
        <v>423</v>
      </c>
    </row>
    <row r="7207" spans="1:23" hidden="1" x14ac:dyDescent="0.2">
      <c r="A7207">
        <v>2012</v>
      </c>
      <c r="B7207" t="s">
        <v>304</v>
      </c>
      <c r="C7207" s="733">
        <v>40953</v>
      </c>
      <c r="D72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07" t="s">
        <v>478</v>
      </c>
      <c r="F7207" t="s">
        <v>2136</v>
      </c>
      <c r="G7207" t="s">
        <v>2147</v>
      </c>
      <c r="H7207">
        <v>35574</v>
      </c>
      <c r="I7207" t="s">
        <v>423</v>
      </c>
      <c r="J7207" t="s">
        <v>2148</v>
      </c>
      <c r="K7207" t="s">
        <v>425</v>
      </c>
      <c r="L7207" t="s">
        <v>2145</v>
      </c>
      <c r="M7207">
        <v>205</v>
      </c>
      <c r="N7207">
        <v>24.36</v>
      </c>
      <c r="O7207">
        <v>4832.29</v>
      </c>
      <c r="P7207">
        <v>0</v>
      </c>
      <c r="Q7207">
        <v>4832.29</v>
      </c>
      <c r="R7207">
        <v>773.17</v>
      </c>
      <c r="S7207">
        <v>193.29</v>
      </c>
      <c r="T7207">
        <v>5412.17</v>
      </c>
      <c r="U7207" t="s">
        <v>8510</v>
      </c>
      <c r="V7207" t="s">
        <v>9408</v>
      </c>
      <c r="W7207" t="s">
        <v>423</v>
      </c>
    </row>
    <row r="7208" spans="1:23" hidden="1" x14ac:dyDescent="0.2">
      <c r="A7208">
        <v>2012</v>
      </c>
      <c r="B7208" t="s">
        <v>303</v>
      </c>
      <c r="C7208" s="733">
        <v>40915</v>
      </c>
      <c r="D72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08" t="s">
        <v>478</v>
      </c>
      <c r="F7208" t="s">
        <v>2136</v>
      </c>
      <c r="G7208" t="s">
        <v>2149</v>
      </c>
      <c r="H7208">
        <v>34252</v>
      </c>
      <c r="I7208" t="s">
        <v>423</v>
      </c>
      <c r="J7208" t="s">
        <v>2148</v>
      </c>
      <c r="K7208" t="s">
        <v>425</v>
      </c>
      <c r="L7208" t="s">
        <v>2145</v>
      </c>
      <c r="M7208">
        <v>205</v>
      </c>
      <c r="N7208">
        <v>25.19</v>
      </c>
      <c r="O7208">
        <v>2103.87</v>
      </c>
      <c r="P7208">
        <v>0</v>
      </c>
      <c r="Q7208">
        <v>2103.87</v>
      </c>
      <c r="R7208">
        <v>336.62</v>
      </c>
      <c r="S7208">
        <v>84.15</v>
      </c>
      <c r="T7208">
        <v>2356.34</v>
      </c>
      <c r="U7208" t="s">
        <v>2150</v>
      </c>
      <c r="V7208" t="s">
        <v>9408</v>
      </c>
      <c r="W7208" t="s">
        <v>423</v>
      </c>
    </row>
    <row r="7209" spans="1:23" hidden="1" x14ac:dyDescent="0.2">
      <c r="A7209">
        <v>2012</v>
      </c>
      <c r="B7209" t="s">
        <v>304</v>
      </c>
      <c r="C7209" s="733">
        <v>40968</v>
      </c>
      <c r="D72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09" t="s">
        <v>478</v>
      </c>
      <c r="F7209" t="s">
        <v>2136</v>
      </c>
      <c r="G7209" t="s">
        <v>9514</v>
      </c>
      <c r="H7209">
        <v>36158</v>
      </c>
      <c r="I7209" t="s">
        <v>423</v>
      </c>
      <c r="J7209" t="s">
        <v>6178</v>
      </c>
      <c r="K7209" t="s">
        <v>425</v>
      </c>
      <c r="L7209" t="s">
        <v>2145</v>
      </c>
      <c r="M7209">
        <v>374</v>
      </c>
      <c r="N7209">
        <v>23.58</v>
      </c>
      <c r="O7209">
        <v>5904.2</v>
      </c>
      <c r="P7209">
        <v>0</v>
      </c>
      <c r="Q7209">
        <v>5904.2</v>
      </c>
      <c r="R7209">
        <v>944.67</v>
      </c>
      <c r="S7209">
        <v>236.17</v>
      </c>
      <c r="T7209">
        <v>6612.7</v>
      </c>
      <c r="U7209" t="s">
        <v>9457</v>
      </c>
      <c r="V7209" t="s">
        <v>9408</v>
      </c>
      <c r="W7209" t="s">
        <v>423</v>
      </c>
    </row>
    <row r="7210" spans="1:23" hidden="1" x14ac:dyDescent="0.2">
      <c r="A7210">
        <v>2012</v>
      </c>
      <c r="B7210" t="s">
        <v>304</v>
      </c>
      <c r="C7210" s="733">
        <v>40961.469837962963</v>
      </c>
      <c r="D72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10" t="s">
        <v>485</v>
      </c>
      <c r="F7210" t="s">
        <v>2065</v>
      </c>
      <c r="G7210" t="s">
        <v>8449</v>
      </c>
      <c r="H7210">
        <v>42383</v>
      </c>
      <c r="I7210" t="s">
        <v>423</v>
      </c>
      <c r="J7210" t="s">
        <v>2196</v>
      </c>
      <c r="K7210" t="s">
        <v>2183</v>
      </c>
      <c r="L7210" t="s">
        <v>2184</v>
      </c>
      <c r="M7210">
        <v>10</v>
      </c>
      <c r="N7210">
        <v>27.97</v>
      </c>
      <c r="O7210">
        <v>3156.97</v>
      </c>
      <c r="P7210">
        <v>0</v>
      </c>
      <c r="Q7210">
        <v>3156.97</v>
      </c>
      <c r="R7210">
        <v>505.12</v>
      </c>
      <c r="S7210">
        <v>126.28</v>
      </c>
      <c r="T7210">
        <v>3535.81</v>
      </c>
      <c r="U7210" t="s">
        <v>9411</v>
      </c>
      <c r="V7210" t="s">
        <v>9408</v>
      </c>
      <c r="W7210" t="s">
        <v>423</v>
      </c>
    </row>
    <row r="7211" spans="1:23" hidden="1" x14ac:dyDescent="0.2">
      <c r="A7211">
        <v>2012</v>
      </c>
      <c r="B7211" t="s">
        <v>303</v>
      </c>
      <c r="C7211" s="733">
        <v>40927.613298611112</v>
      </c>
      <c r="D72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11" t="s">
        <v>485</v>
      </c>
      <c r="F7211" t="s">
        <v>2065</v>
      </c>
      <c r="G7211" t="s">
        <v>7248</v>
      </c>
      <c r="H7211">
        <v>40587</v>
      </c>
      <c r="I7211" t="s">
        <v>423</v>
      </c>
      <c r="J7211" t="s">
        <v>2196</v>
      </c>
      <c r="K7211" t="s">
        <v>2183</v>
      </c>
      <c r="L7211" t="s">
        <v>2184</v>
      </c>
      <c r="M7211">
        <v>10</v>
      </c>
      <c r="N7211">
        <v>27.11</v>
      </c>
      <c r="O7211">
        <v>3059.91</v>
      </c>
      <c r="P7211">
        <v>0</v>
      </c>
      <c r="Q7211">
        <v>3059.91</v>
      </c>
      <c r="R7211">
        <v>489.58</v>
      </c>
      <c r="S7211">
        <v>122.4</v>
      </c>
      <c r="T7211">
        <v>3427.09</v>
      </c>
      <c r="U7211" t="s">
        <v>2187</v>
      </c>
      <c r="V7211" t="s">
        <v>9408</v>
      </c>
      <c r="W7211" t="s">
        <v>423</v>
      </c>
    </row>
    <row r="7212" spans="1:23" x14ac:dyDescent="0.2">
      <c r="A7212">
        <v>2012</v>
      </c>
      <c r="B7212" t="s">
        <v>304</v>
      </c>
      <c r="C7212" s="733">
        <v>40967</v>
      </c>
      <c r="D72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12" t="s">
        <v>485</v>
      </c>
      <c r="F7212" t="s">
        <v>2065</v>
      </c>
      <c r="G7212" t="s">
        <v>9358</v>
      </c>
      <c r="H7212">
        <v>42708</v>
      </c>
      <c r="I7212" t="s">
        <v>423</v>
      </c>
      <c r="J7212" t="s">
        <v>2196</v>
      </c>
      <c r="K7212" t="s">
        <v>2183</v>
      </c>
      <c r="L7212" t="s">
        <v>2184</v>
      </c>
      <c r="M7212">
        <v>10</v>
      </c>
      <c r="N7212">
        <v>26.61</v>
      </c>
      <c r="O7212">
        <v>3003.47</v>
      </c>
      <c r="P7212">
        <v>0</v>
      </c>
      <c r="Q7212">
        <v>3003.47</v>
      </c>
      <c r="R7212">
        <v>480.56</v>
      </c>
      <c r="S7212">
        <v>120.14</v>
      </c>
      <c r="T7212">
        <v>3363.89</v>
      </c>
      <c r="V7212" t="s">
        <v>9408</v>
      </c>
      <c r="W7212" t="s">
        <v>423</v>
      </c>
    </row>
    <row r="7213" spans="1:23" hidden="1" x14ac:dyDescent="0.2">
      <c r="A7213">
        <v>2012</v>
      </c>
      <c r="B7213" t="s">
        <v>304</v>
      </c>
      <c r="C7213" s="733">
        <v>40963.449953703705</v>
      </c>
      <c r="D72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13" t="s">
        <v>485</v>
      </c>
      <c r="F7213" t="s">
        <v>2065</v>
      </c>
      <c r="G7213" t="s">
        <v>8636</v>
      </c>
      <c r="H7213">
        <v>42565</v>
      </c>
      <c r="I7213" t="s">
        <v>423</v>
      </c>
      <c r="J7213" t="s">
        <v>2196</v>
      </c>
      <c r="K7213" t="s">
        <v>2183</v>
      </c>
      <c r="L7213" t="s">
        <v>2184</v>
      </c>
      <c r="M7213">
        <v>10</v>
      </c>
      <c r="N7213">
        <v>53.55</v>
      </c>
      <c r="O7213">
        <v>6044.19</v>
      </c>
      <c r="P7213">
        <v>0</v>
      </c>
      <c r="Q7213">
        <v>6044.19</v>
      </c>
      <c r="R7213">
        <v>967.07</v>
      </c>
      <c r="S7213">
        <v>241.77</v>
      </c>
      <c r="T7213">
        <v>6769.49</v>
      </c>
      <c r="U7213" t="s">
        <v>9411</v>
      </c>
      <c r="V7213" t="s">
        <v>9409</v>
      </c>
      <c r="W7213" t="s">
        <v>423</v>
      </c>
    </row>
    <row r="7214" spans="1:23" hidden="1" x14ac:dyDescent="0.2">
      <c r="A7214">
        <v>2012</v>
      </c>
      <c r="B7214" t="s">
        <v>304</v>
      </c>
      <c r="C7214" s="733">
        <v>40962.49795138889</v>
      </c>
      <c r="D72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14" t="s">
        <v>485</v>
      </c>
      <c r="F7214" t="s">
        <v>2065</v>
      </c>
      <c r="G7214" t="s">
        <v>8637</v>
      </c>
      <c r="H7214">
        <v>42470</v>
      </c>
      <c r="I7214" t="s">
        <v>423</v>
      </c>
      <c r="J7214" t="s">
        <v>2196</v>
      </c>
      <c r="K7214" t="s">
        <v>2183</v>
      </c>
      <c r="L7214" t="s">
        <v>2184</v>
      </c>
      <c r="M7214">
        <v>10</v>
      </c>
      <c r="N7214">
        <v>26.8</v>
      </c>
      <c r="O7214">
        <v>3024.92</v>
      </c>
      <c r="P7214">
        <v>0</v>
      </c>
      <c r="Q7214">
        <v>3024.92</v>
      </c>
      <c r="R7214">
        <v>483.99</v>
      </c>
      <c r="S7214">
        <v>121</v>
      </c>
      <c r="T7214">
        <v>3387.91</v>
      </c>
      <c r="U7214" t="s">
        <v>9411</v>
      </c>
      <c r="V7214" t="s">
        <v>9408</v>
      </c>
      <c r="W7214" t="s">
        <v>423</v>
      </c>
    </row>
    <row r="7215" spans="1:23" hidden="1" x14ac:dyDescent="0.2">
      <c r="A7215">
        <v>2012</v>
      </c>
      <c r="B7215" t="s">
        <v>303</v>
      </c>
      <c r="C7215" s="733">
        <v>40927</v>
      </c>
      <c r="D721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15" t="s">
        <v>485</v>
      </c>
      <c r="F7215" t="s">
        <v>2065</v>
      </c>
      <c r="G7215" t="s">
        <v>7245</v>
      </c>
      <c r="H7215">
        <v>40478</v>
      </c>
      <c r="I7215" t="s">
        <v>423</v>
      </c>
      <c r="J7215" t="s">
        <v>2196</v>
      </c>
      <c r="K7215" t="s">
        <v>2183</v>
      </c>
      <c r="L7215" t="s">
        <v>2184</v>
      </c>
      <c r="M7215">
        <v>10</v>
      </c>
      <c r="N7215">
        <v>47.68</v>
      </c>
      <c r="O7215">
        <v>5381.64</v>
      </c>
      <c r="P7215">
        <v>0</v>
      </c>
      <c r="Q7215">
        <v>5381.64</v>
      </c>
      <c r="R7215">
        <v>861.06</v>
      </c>
      <c r="S7215">
        <v>215.27</v>
      </c>
      <c r="T7215">
        <v>6027.43</v>
      </c>
      <c r="U7215" t="s">
        <v>7554</v>
      </c>
      <c r="V7215" t="s">
        <v>9409</v>
      </c>
      <c r="W7215" t="s">
        <v>423</v>
      </c>
    </row>
    <row r="7216" spans="1:23" hidden="1" x14ac:dyDescent="0.2">
      <c r="A7216">
        <v>2012</v>
      </c>
      <c r="B7216" t="s">
        <v>304</v>
      </c>
      <c r="C7216" s="733">
        <v>40946</v>
      </c>
      <c r="D72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16" t="s">
        <v>485</v>
      </c>
      <c r="F7216" t="s">
        <v>2065</v>
      </c>
      <c r="G7216" t="s">
        <v>7244</v>
      </c>
      <c r="H7216">
        <v>41416</v>
      </c>
      <c r="I7216" t="s">
        <v>423</v>
      </c>
      <c r="J7216" t="s">
        <v>2196</v>
      </c>
      <c r="K7216" t="s">
        <v>2183</v>
      </c>
      <c r="L7216" t="s">
        <v>2184</v>
      </c>
      <c r="M7216">
        <v>10</v>
      </c>
      <c r="N7216">
        <v>50.48</v>
      </c>
      <c r="O7216">
        <v>5697.68</v>
      </c>
      <c r="P7216">
        <v>0</v>
      </c>
      <c r="Q7216">
        <v>5697.68</v>
      </c>
      <c r="R7216">
        <v>911.63</v>
      </c>
      <c r="S7216">
        <v>227.91</v>
      </c>
      <c r="T7216">
        <v>6381.4</v>
      </c>
      <c r="U7216" t="s">
        <v>2192</v>
      </c>
      <c r="V7216" t="s">
        <v>9409</v>
      </c>
      <c r="W7216" t="s">
        <v>423</v>
      </c>
    </row>
    <row r="7217" spans="1:23" hidden="1" x14ac:dyDescent="0.2">
      <c r="A7217">
        <v>2012</v>
      </c>
      <c r="B7217" t="s">
        <v>303</v>
      </c>
      <c r="C7217" s="733">
        <v>40925</v>
      </c>
      <c r="D72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17" t="s">
        <v>485</v>
      </c>
      <c r="F7217" t="s">
        <v>2065</v>
      </c>
      <c r="G7217" t="s">
        <v>2138</v>
      </c>
      <c r="H7217">
        <v>40258</v>
      </c>
      <c r="I7217" t="s">
        <v>423</v>
      </c>
      <c r="J7217" t="s">
        <v>2139</v>
      </c>
      <c r="K7217" t="s">
        <v>2102</v>
      </c>
      <c r="L7217" t="s">
        <v>2115</v>
      </c>
      <c r="M7217">
        <v>543</v>
      </c>
      <c r="N7217">
        <v>50.29</v>
      </c>
      <c r="O7217">
        <v>16910.009999999998</v>
      </c>
      <c r="P7217">
        <v>0</v>
      </c>
      <c r="Q7217">
        <v>16910.009999999998</v>
      </c>
      <c r="R7217">
        <v>2705.6</v>
      </c>
      <c r="S7217">
        <v>676.4</v>
      </c>
      <c r="T7217">
        <v>18939.21</v>
      </c>
      <c r="U7217" t="s">
        <v>2106</v>
      </c>
      <c r="V7217" t="s">
        <v>9409</v>
      </c>
      <c r="W7217" t="s">
        <v>423</v>
      </c>
    </row>
    <row r="7218" spans="1:23" x14ac:dyDescent="0.2">
      <c r="A7218">
        <v>2012</v>
      </c>
      <c r="B7218" t="s">
        <v>304</v>
      </c>
      <c r="C7218" s="733">
        <v>40968</v>
      </c>
      <c r="D721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18" t="s">
        <v>485</v>
      </c>
      <c r="F7218" t="s">
        <v>2065</v>
      </c>
      <c r="G7218" t="s">
        <v>9357</v>
      </c>
      <c r="H7218">
        <v>42846</v>
      </c>
      <c r="I7218" t="s">
        <v>423</v>
      </c>
      <c r="J7218" t="s">
        <v>2196</v>
      </c>
      <c r="K7218" t="s">
        <v>2183</v>
      </c>
      <c r="L7218" t="s">
        <v>2184</v>
      </c>
      <c r="M7218">
        <v>10</v>
      </c>
      <c r="N7218">
        <v>16.29</v>
      </c>
      <c r="O7218">
        <v>1838.65</v>
      </c>
      <c r="P7218">
        <v>0</v>
      </c>
      <c r="Q7218">
        <v>1838.65</v>
      </c>
      <c r="R7218">
        <v>294.18</v>
      </c>
      <c r="S7218">
        <v>73.55</v>
      </c>
      <c r="T7218">
        <v>2059.2800000000002</v>
      </c>
      <c r="V7218" t="s">
        <v>9408</v>
      </c>
      <c r="W7218" t="s">
        <v>423</v>
      </c>
    </row>
    <row r="7219" spans="1:23" hidden="1" x14ac:dyDescent="0.2">
      <c r="A7219">
        <v>2012</v>
      </c>
      <c r="B7219" t="s">
        <v>304</v>
      </c>
      <c r="C7219" s="733">
        <v>40952</v>
      </c>
      <c r="D72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19" t="s">
        <v>485</v>
      </c>
      <c r="F7219" t="s">
        <v>2065</v>
      </c>
      <c r="G7219" t="s">
        <v>3051</v>
      </c>
      <c r="H7219">
        <v>41704</v>
      </c>
      <c r="I7219" t="s">
        <v>423</v>
      </c>
      <c r="J7219" t="s">
        <v>2196</v>
      </c>
      <c r="K7219" t="s">
        <v>2183</v>
      </c>
      <c r="L7219" t="s">
        <v>2184</v>
      </c>
      <c r="M7219">
        <v>10</v>
      </c>
      <c r="N7219">
        <v>15.28</v>
      </c>
      <c r="O7219">
        <v>1724.65</v>
      </c>
      <c r="P7219">
        <v>0</v>
      </c>
      <c r="Q7219">
        <v>1724.65</v>
      </c>
      <c r="R7219">
        <v>275.94</v>
      </c>
      <c r="S7219">
        <v>68.989999999999995</v>
      </c>
      <c r="T7219">
        <v>1931.6</v>
      </c>
      <c r="U7219" t="s">
        <v>8048</v>
      </c>
      <c r="V7219" t="s">
        <v>9408</v>
      </c>
      <c r="W7219" t="s">
        <v>423</v>
      </c>
    </row>
    <row r="7220" spans="1:23" hidden="1" x14ac:dyDescent="0.2">
      <c r="A7220">
        <v>2012</v>
      </c>
      <c r="B7220" t="s">
        <v>303</v>
      </c>
      <c r="C7220" s="733">
        <v>40926</v>
      </c>
      <c r="D722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20" t="s">
        <v>485</v>
      </c>
      <c r="F7220" t="s">
        <v>2065</v>
      </c>
      <c r="G7220" t="s">
        <v>3050</v>
      </c>
      <c r="H7220">
        <v>40010</v>
      </c>
      <c r="I7220" t="s">
        <v>423</v>
      </c>
      <c r="J7220" t="s">
        <v>2196</v>
      </c>
      <c r="K7220" t="s">
        <v>2183</v>
      </c>
      <c r="L7220" t="s">
        <v>2184</v>
      </c>
      <c r="M7220">
        <v>10</v>
      </c>
      <c r="N7220">
        <v>15.12</v>
      </c>
      <c r="O7220">
        <v>1706.59</v>
      </c>
      <c r="P7220">
        <v>0</v>
      </c>
      <c r="Q7220">
        <v>1706.59</v>
      </c>
      <c r="R7220">
        <v>273.06</v>
      </c>
      <c r="S7220">
        <v>68.260000000000005</v>
      </c>
      <c r="T7220">
        <v>1911.39</v>
      </c>
      <c r="U7220" t="s">
        <v>9411</v>
      </c>
      <c r="V7220" t="s">
        <v>9408</v>
      </c>
      <c r="W7220" t="s">
        <v>423</v>
      </c>
    </row>
    <row r="7221" spans="1:23" hidden="1" x14ac:dyDescent="0.2">
      <c r="A7221">
        <v>2012</v>
      </c>
      <c r="B7221" t="s">
        <v>304</v>
      </c>
      <c r="C7221" s="733">
        <v>40942</v>
      </c>
      <c r="D72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21" t="s">
        <v>485</v>
      </c>
      <c r="F7221" t="s">
        <v>2065</v>
      </c>
      <c r="G7221" t="s">
        <v>3052</v>
      </c>
      <c r="H7221">
        <v>41383</v>
      </c>
      <c r="I7221" t="s">
        <v>423</v>
      </c>
      <c r="J7221" t="s">
        <v>2196</v>
      </c>
      <c r="K7221" t="s">
        <v>2183</v>
      </c>
      <c r="L7221" t="s">
        <v>2184</v>
      </c>
      <c r="M7221">
        <v>10</v>
      </c>
      <c r="N7221">
        <v>15.71</v>
      </c>
      <c r="O7221">
        <v>1773.19</v>
      </c>
      <c r="P7221">
        <v>0</v>
      </c>
      <c r="Q7221">
        <v>1773.19</v>
      </c>
      <c r="R7221">
        <v>283.70999999999998</v>
      </c>
      <c r="S7221">
        <v>70.930000000000007</v>
      </c>
      <c r="T7221">
        <v>1985.97</v>
      </c>
      <c r="U7221" t="s">
        <v>2192</v>
      </c>
      <c r="V7221" t="s">
        <v>9408</v>
      </c>
      <c r="W7221" t="s">
        <v>423</v>
      </c>
    </row>
    <row r="7222" spans="1:23" hidden="1" x14ac:dyDescent="0.2">
      <c r="A7222">
        <v>2012</v>
      </c>
      <c r="B7222" t="s">
        <v>304</v>
      </c>
      <c r="C7222" s="733">
        <v>40966</v>
      </c>
      <c r="D72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22" t="s">
        <v>485</v>
      </c>
      <c r="F7222" t="s">
        <v>2065</v>
      </c>
      <c r="G7222" t="s">
        <v>8840</v>
      </c>
      <c r="H7222">
        <v>42576</v>
      </c>
      <c r="I7222" t="s">
        <v>423</v>
      </c>
      <c r="J7222" t="s">
        <v>2196</v>
      </c>
      <c r="K7222" t="s">
        <v>2183</v>
      </c>
      <c r="L7222" t="s">
        <v>2184</v>
      </c>
      <c r="M7222">
        <v>10</v>
      </c>
      <c r="N7222">
        <v>14.88</v>
      </c>
      <c r="O7222">
        <v>1679.51</v>
      </c>
      <c r="P7222">
        <v>0</v>
      </c>
      <c r="Q7222">
        <v>1679.51</v>
      </c>
      <c r="R7222">
        <v>268.72000000000003</v>
      </c>
      <c r="S7222">
        <v>67.180000000000007</v>
      </c>
      <c r="T7222">
        <v>1881.05</v>
      </c>
      <c r="V7222" t="s">
        <v>9408</v>
      </c>
      <c r="W7222" t="s">
        <v>423</v>
      </c>
    </row>
    <row r="7223" spans="1:23" hidden="1" x14ac:dyDescent="0.2">
      <c r="A7223">
        <v>2012</v>
      </c>
      <c r="B7223" t="s">
        <v>304</v>
      </c>
      <c r="C7223" s="733">
        <v>40941</v>
      </c>
      <c r="D722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23" t="s">
        <v>478</v>
      </c>
      <c r="F7223" t="s">
        <v>2136</v>
      </c>
      <c r="G7223" t="s">
        <v>7427</v>
      </c>
      <c r="H7223">
        <v>35229</v>
      </c>
      <c r="I7223" t="s">
        <v>423</v>
      </c>
      <c r="J7223" t="s">
        <v>4285</v>
      </c>
      <c r="K7223" t="s">
        <v>425</v>
      </c>
      <c r="L7223" t="s">
        <v>2145</v>
      </c>
      <c r="M7223">
        <v>110</v>
      </c>
      <c r="N7223">
        <v>26.97</v>
      </c>
      <c r="O7223">
        <v>4389.37</v>
      </c>
      <c r="P7223">
        <v>0</v>
      </c>
      <c r="Q7223">
        <v>4389.37</v>
      </c>
      <c r="R7223">
        <v>702.3</v>
      </c>
      <c r="S7223">
        <v>175.57</v>
      </c>
      <c r="T7223">
        <v>4916.1000000000004</v>
      </c>
      <c r="U7223" t="s">
        <v>2580</v>
      </c>
      <c r="V7223" t="s">
        <v>9408</v>
      </c>
      <c r="W7223" t="s">
        <v>423</v>
      </c>
    </row>
    <row r="7224" spans="1:23" hidden="1" x14ac:dyDescent="0.2">
      <c r="A7224">
        <v>2012</v>
      </c>
      <c r="B7224" t="s">
        <v>304</v>
      </c>
      <c r="C7224" s="733">
        <v>40968</v>
      </c>
      <c r="D72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24" t="s">
        <v>478</v>
      </c>
      <c r="F7224" t="s">
        <v>2136</v>
      </c>
      <c r="G7224" t="s">
        <v>9515</v>
      </c>
      <c r="H7224">
        <v>36040</v>
      </c>
      <c r="I7224" t="s">
        <v>423</v>
      </c>
      <c r="J7224" t="s">
        <v>4285</v>
      </c>
      <c r="K7224" t="s">
        <v>425</v>
      </c>
      <c r="L7224" t="s">
        <v>2145</v>
      </c>
      <c r="M7224">
        <v>110</v>
      </c>
      <c r="N7224">
        <v>20.83</v>
      </c>
      <c r="O7224">
        <v>3390.08</v>
      </c>
      <c r="P7224">
        <v>0</v>
      </c>
      <c r="Q7224">
        <v>3390.08</v>
      </c>
      <c r="R7224">
        <v>542.41</v>
      </c>
      <c r="S7224">
        <v>135.6</v>
      </c>
      <c r="T7224">
        <v>3796.89</v>
      </c>
      <c r="U7224" t="s">
        <v>9457</v>
      </c>
      <c r="V7224" t="s">
        <v>9409</v>
      </c>
      <c r="W7224" t="s">
        <v>423</v>
      </c>
    </row>
    <row r="7225" spans="1:23" hidden="1" x14ac:dyDescent="0.2">
      <c r="A7225">
        <v>2012</v>
      </c>
      <c r="B7225" t="s">
        <v>303</v>
      </c>
      <c r="C7225" s="733">
        <v>40939</v>
      </c>
      <c r="D72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25" t="s">
        <v>485</v>
      </c>
      <c r="F7225" t="s">
        <v>2065</v>
      </c>
      <c r="G7225" t="s">
        <v>3048</v>
      </c>
      <c r="H7225">
        <v>41070</v>
      </c>
      <c r="I7225" t="s">
        <v>423</v>
      </c>
      <c r="J7225" t="s">
        <v>2196</v>
      </c>
      <c r="K7225" t="s">
        <v>2183</v>
      </c>
      <c r="L7225" t="s">
        <v>2184</v>
      </c>
      <c r="M7225">
        <v>10</v>
      </c>
      <c r="N7225">
        <v>50.08</v>
      </c>
      <c r="O7225">
        <v>5652.53</v>
      </c>
      <c r="P7225">
        <v>0</v>
      </c>
      <c r="Q7225">
        <v>5652.53</v>
      </c>
      <c r="R7225">
        <v>904.4</v>
      </c>
      <c r="S7225">
        <v>226.1</v>
      </c>
      <c r="T7225">
        <v>6330.83</v>
      </c>
      <c r="U7225" t="s">
        <v>3049</v>
      </c>
      <c r="V7225" t="s">
        <v>9409</v>
      </c>
      <c r="W7225" t="s">
        <v>423</v>
      </c>
    </row>
    <row r="7226" spans="1:23" hidden="1" x14ac:dyDescent="0.2">
      <c r="A7226">
        <v>2012</v>
      </c>
      <c r="B7226" t="s">
        <v>303</v>
      </c>
      <c r="C7226" s="733">
        <v>40912.43141203704</v>
      </c>
      <c r="D722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26" t="s">
        <v>485</v>
      </c>
      <c r="F7226" t="s">
        <v>2065</v>
      </c>
      <c r="G7226" t="s">
        <v>7249</v>
      </c>
      <c r="H7226">
        <v>39765</v>
      </c>
      <c r="I7226" t="s">
        <v>423</v>
      </c>
      <c r="J7226" t="s">
        <v>3202</v>
      </c>
      <c r="K7226" t="s">
        <v>2183</v>
      </c>
      <c r="L7226" t="s">
        <v>2184</v>
      </c>
      <c r="M7226">
        <v>80</v>
      </c>
      <c r="N7226">
        <v>15.91</v>
      </c>
      <c r="O7226">
        <v>756.04</v>
      </c>
      <c r="P7226">
        <v>851.21787600000005</v>
      </c>
      <c r="Q7226">
        <v>1607.2578759999999</v>
      </c>
      <c r="R7226">
        <v>257.16126000000003</v>
      </c>
      <c r="S7226">
        <v>64.290315000000007</v>
      </c>
      <c r="T7226">
        <v>1800.128821</v>
      </c>
      <c r="V7226" t="s">
        <v>9408</v>
      </c>
      <c r="W7226" t="s">
        <v>423</v>
      </c>
    </row>
    <row r="7227" spans="1:23" hidden="1" x14ac:dyDescent="0.2">
      <c r="A7227">
        <v>2012</v>
      </c>
      <c r="B7227" t="s">
        <v>303</v>
      </c>
      <c r="C7227" s="733">
        <v>40910</v>
      </c>
      <c r="D722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27" t="s">
        <v>478</v>
      </c>
      <c r="F7227" t="s">
        <v>2622</v>
      </c>
      <c r="G7227" t="s">
        <v>7323</v>
      </c>
      <c r="H7227">
        <v>34184</v>
      </c>
      <c r="I7227" t="s">
        <v>423</v>
      </c>
      <c r="J7227" t="s">
        <v>2668</v>
      </c>
      <c r="K7227" t="s">
        <v>2625</v>
      </c>
      <c r="L7227" t="s">
        <v>2626</v>
      </c>
      <c r="M7227">
        <v>76</v>
      </c>
      <c r="N7227">
        <v>27.45</v>
      </c>
      <c r="O7227">
        <v>1551.47</v>
      </c>
      <c r="P7227">
        <v>1320.952587</v>
      </c>
      <c r="Q7227">
        <v>2872.422587</v>
      </c>
      <c r="R7227">
        <v>459.58761399999997</v>
      </c>
      <c r="S7227">
        <v>114.89690299999999</v>
      </c>
      <c r="T7227">
        <v>3217.1132980000002</v>
      </c>
      <c r="U7227" t="s">
        <v>2665</v>
      </c>
      <c r="V7227" t="s">
        <v>9408</v>
      </c>
      <c r="W7227" t="s">
        <v>423</v>
      </c>
    </row>
    <row r="7228" spans="1:23" hidden="1" x14ac:dyDescent="0.2">
      <c r="A7228">
        <v>2012</v>
      </c>
      <c r="B7228" t="s">
        <v>304</v>
      </c>
      <c r="C7228" s="733">
        <v>40961</v>
      </c>
      <c r="D722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28" t="s">
        <v>485</v>
      </c>
      <c r="F7228" t="s">
        <v>2065</v>
      </c>
      <c r="G7228" t="s">
        <v>8450</v>
      </c>
      <c r="H7228">
        <v>42374</v>
      </c>
      <c r="I7228" t="s">
        <v>423</v>
      </c>
      <c r="J7228" t="s">
        <v>3202</v>
      </c>
      <c r="K7228" t="s">
        <v>2183</v>
      </c>
      <c r="L7228" t="s">
        <v>2184</v>
      </c>
      <c r="M7228">
        <v>80</v>
      </c>
      <c r="N7228">
        <v>15.7</v>
      </c>
      <c r="O7228">
        <v>1772.06</v>
      </c>
      <c r="P7228">
        <v>0</v>
      </c>
      <c r="Q7228">
        <v>1772.06</v>
      </c>
      <c r="R7228">
        <v>283.52999999999997</v>
      </c>
      <c r="S7228">
        <v>70.88</v>
      </c>
      <c r="T7228">
        <v>1984.71</v>
      </c>
      <c r="U7228" t="s">
        <v>9411</v>
      </c>
      <c r="V7228" t="s">
        <v>9408</v>
      </c>
      <c r="W7228" t="s">
        <v>423</v>
      </c>
    </row>
    <row r="7229" spans="1:23" hidden="1" x14ac:dyDescent="0.2">
      <c r="A7229">
        <v>2012</v>
      </c>
      <c r="B7229" t="s">
        <v>304</v>
      </c>
      <c r="C7229" s="733">
        <v>40956</v>
      </c>
      <c r="D72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29" t="s">
        <v>485</v>
      </c>
      <c r="F7229" t="s">
        <v>2048</v>
      </c>
      <c r="G7229" t="s">
        <v>7773</v>
      </c>
      <c r="H7229">
        <v>42163</v>
      </c>
      <c r="I7229" t="s">
        <v>423</v>
      </c>
      <c r="J7229" t="s">
        <v>4073</v>
      </c>
      <c r="K7229" t="s">
        <v>2051</v>
      </c>
      <c r="L7229" t="s">
        <v>2052</v>
      </c>
      <c r="M7229">
        <v>610</v>
      </c>
      <c r="N7229">
        <v>29.35</v>
      </c>
      <c r="O7229">
        <v>10404.280000000001</v>
      </c>
      <c r="P7229">
        <v>0</v>
      </c>
      <c r="Q7229">
        <v>10404.280000000001</v>
      </c>
      <c r="R7229">
        <v>1664.69</v>
      </c>
      <c r="S7229">
        <v>416.17</v>
      </c>
      <c r="T7229">
        <v>11652.8</v>
      </c>
      <c r="U7229" t="s">
        <v>8257</v>
      </c>
      <c r="V7229" t="s">
        <v>9408</v>
      </c>
      <c r="W7229" t="s">
        <v>423</v>
      </c>
    </row>
    <row r="7230" spans="1:23" hidden="1" x14ac:dyDescent="0.2">
      <c r="A7230">
        <v>2012</v>
      </c>
      <c r="B7230" t="s">
        <v>304</v>
      </c>
      <c r="C7230" s="733">
        <v>40952</v>
      </c>
      <c r="D72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30" t="s">
        <v>485</v>
      </c>
      <c r="F7230" t="s">
        <v>2065</v>
      </c>
      <c r="G7230" t="s">
        <v>7456</v>
      </c>
      <c r="H7230">
        <v>41698</v>
      </c>
      <c r="I7230" t="s">
        <v>423</v>
      </c>
      <c r="J7230" t="s">
        <v>4626</v>
      </c>
      <c r="K7230" t="s">
        <v>2102</v>
      </c>
      <c r="L7230" t="s">
        <v>2115</v>
      </c>
      <c r="M7230">
        <v>1457</v>
      </c>
      <c r="N7230">
        <v>25.45</v>
      </c>
      <c r="O7230">
        <v>18830.96</v>
      </c>
      <c r="P7230">
        <v>0</v>
      </c>
      <c r="Q7230">
        <v>18830.96</v>
      </c>
      <c r="R7230">
        <v>3012.95</v>
      </c>
      <c r="S7230">
        <v>753.24</v>
      </c>
      <c r="T7230">
        <v>21090.67</v>
      </c>
      <c r="U7230" t="s">
        <v>8051</v>
      </c>
      <c r="V7230" t="s">
        <v>9408</v>
      </c>
      <c r="W7230" t="s">
        <v>423</v>
      </c>
    </row>
    <row r="7231" spans="1:23" hidden="1" x14ac:dyDescent="0.2">
      <c r="A7231">
        <v>2012</v>
      </c>
      <c r="B7231" t="s">
        <v>303</v>
      </c>
      <c r="C7231" s="733">
        <v>40933</v>
      </c>
      <c r="D72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31" t="s">
        <v>485</v>
      </c>
      <c r="F7231" t="s">
        <v>2065</v>
      </c>
      <c r="G7231" t="s">
        <v>7457</v>
      </c>
      <c r="H7231">
        <v>40722</v>
      </c>
      <c r="I7231" t="s">
        <v>423</v>
      </c>
      <c r="J7231" t="s">
        <v>4626</v>
      </c>
      <c r="K7231" t="s">
        <v>2102</v>
      </c>
      <c r="L7231" t="s">
        <v>2115</v>
      </c>
      <c r="M7231">
        <v>1457</v>
      </c>
      <c r="N7231">
        <v>37.770000000000003</v>
      </c>
      <c r="O7231">
        <v>27946.78</v>
      </c>
      <c r="P7231">
        <v>0</v>
      </c>
      <c r="Q7231">
        <v>27946.78</v>
      </c>
      <c r="R7231">
        <v>4471.4799999999996</v>
      </c>
      <c r="S7231">
        <v>1117.8699999999999</v>
      </c>
      <c r="T7231">
        <v>31300.39</v>
      </c>
      <c r="U7231" t="s">
        <v>2110</v>
      </c>
      <c r="V7231" t="s">
        <v>9409</v>
      </c>
      <c r="W7231" t="s">
        <v>423</v>
      </c>
    </row>
    <row r="7232" spans="1:23" hidden="1" x14ac:dyDescent="0.2">
      <c r="A7232">
        <v>2012</v>
      </c>
      <c r="B7232" t="s">
        <v>303</v>
      </c>
      <c r="C7232" s="733">
        <v>40933</v>
      </c>
      <c r="D723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32" t="s">
        <v>485</v>
      </c>
      <c r="F7232" t="s">
        <v>2065</v>
      </c>
      <c r="G7232" t="s">
        <v>7365</v>
      </c>
      <c r="H7232">
        <v>40882</v>
      </c>
      <c r="I7232" t="s">
        <v>423</v>
      </c>
      <c r="J7232" t="s">
        <v>4073</v>
      </c>
      <c r="K7232" t="s">
        <v>2051</v>
      </c>
      <c r="L7232" t="s">
        <v>2052</v>
      </c>
      <c r="M7232">
        <v>610</v>
      </c>
      <c r="N7232">
        <v>57.7</v>
      </c>
      <c r="O7232">
        <v>20454.07</v>
      </c>
      <c r="P7232">
        <v>0</v>
      </c>
      <c r="Q7232">
        <v>20454.07</v>
      </c>
      <c r="R7232">
        <v>3272.65</v>
      </c>
      <c r="S7232">
        <v>818.16</v>
      </c>
      <c r="T7232">
        <v>22908.560000000001</v>
      </c>
      <c r="U7232" t="s">
        <v>2053</v>
      </c>
      <c r="V7232" t="s">
        <v>9409</v>
      </c>
      <c r="W7232" t="s">
        <v>423</v>
      </c>
    </row>
    <row r="7233" spans="1:23" hidden="1" x14ac:dyDescent="0.2">
      <c r="A7233">
        <v>2012</v>
      </c>
      <c r="B7233" t="s">
        <v>304</v>
      </c>
      <c r="C7233" s="733">
        <v>40946</v>
      </c>
      <c r="D72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33" t="s">
        <v>485</v>
      </c>
      <c r="F7233" t="s">
        <v>2048</v>
      </c>
      <c r="G7233" t="s">
        <v>7383</v>
      </c>
      <c r="H7233">
        <v>41516</v>
      </c>
      <c r="I7233" t="s">
        <v>423</v>
      </c>
      <c r="J7233" t="s">
        <v>4073</v>
      </c>
      <c r="K7233" t="s">
        <v>2051</v>
      </c>
      <c r="L7233" t="s">
        <v>2052</v>
      </c>
      <c r="M7233">
        <v>610</v>
      </c>
      <c r="N7233">
        <v>51.9</v>
      </c>
      <c r="O7233">
        <v>18398.03</v>
      </c>
      <c r="P7233">
        <v>0</v>
      </c>
      <c r="Q7233">
        <v>18398.03</v>
      </c>
      <c r="R7233">
        <v>2943.68</v>
      </c>
      <c r="S7233">
        <v>735.92</v>
      </c>
      <c r="T7233">
        <v>20605.79</v>
      </c>
      <c r="U7233" t="s">
        <v>7568</v>
      </c>
      <c r="V7233" t="s">
        <v>9409</v>
      </c>
      <c r="W7233" t="s">
        <v>423</v>
      </c>
    </row>
    <row r="7234" spans="1:23" hidden="1" x14ac:dyDescent="0.2">
      <c r="A7234">
        <v>2012</v>
      </c>
      <c r="B7234" t="s">
        <v>303</v>
      </c>
      <c r="C7234" s="733">
        <v>40931</v>
      </c>
      <c r="D72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34" t="s">
        <v>485</v>
      </c>
      <c r="F7234" t="s">
        <v>2048</v>
      </c>
      <c r="G7234" t="s">
        <v>7384</v>
      </c>
      <c r="H7234">
        <v>40756</v>
      </c>
      <c r="I7234" t="s">
        <v>423</v>
      </c>
      <c r="J7234" t="s">
        <v>4073</v>
      </c>
      <c r="K7234" t="s">
        <v>2051</v>
      </c>
      <c r="L7234" t="s">
        <v>2052</v>
      </c>
      <c r="M7234">
        <v>610</v>
      </c>
      <c r="N7234">
        <v>26.1</v>
      </c>
      <c r="O7234">
        <v>9252.19</v>
      </c>
      <c r="P7234">
        <v>0</v>
      </c>
      <c r="Q7234">
        <v>9252.19</v>
      </c>
      <c r="R7234">
        <v>1480.35</v>
      </c>
      <c r="S7234">
        <v>370.09</v>
      </c>
      <c r="T7234">
        <v>10362.450000000001</v>
      </c>
      <c r="U7234" t="s">
        <v>2053</v>
      </c>
      <c r="V7234" t="s">
        <v>9408</v>
      </c>
      <c r="W7234" t="s">
        <v>423</v>
      </c>
    </row>
    <row r="7235" spans="1:23" hidden="1" x14ac:dyDescent="0.2">
      <c r="A7235">
        <v>2012</v>
      </c>
      <c r="B7235" t="s">
        <v>304</v>
      </c>
      <c r="C7235" s="733">
        <v>40962</v>
      </c>
      <c r="D72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35" t="s">
        <v>485</v>
      </c>
      <c r="F7235" t="s">
        <v>2048</v>
      </c>
      <c r="G7235" t="s">
        <v>8632</v>
      </c>
      <c r="H7235">
        <v>42505</v>
      </c>
      <c r="I7235" t="s">
        <v>423</v>
      </c>
      <c r="J7235" t="s">
        <v>4073</v>
      </c>
      <c r="K7235" t="s">
        <v>2051</v>
      </c>
      <c r="L7235" t="s">
        <v>2052</v>
      </c>
      <c r="M7235">
        <v>610</v>
      </c>
      <c r="N7235">
        <v>30.45</v>
      </c>
      <c r="O7235">
        <v>10794.22</v>
      </c>
      <c r="P7235">
        <v>0</v>
      </c>
      <c r="Q7235">
        <v>10794.22</v>
      </c>
      <c r="R7235">
        <v>1727.08</v>
      </c>
      <c r="S7235">
        <v>431.77</v>
      </c>
      <c r="T7235">
        <v>12089.53</v>
      </c>
      <c r="U7235" t="s">
        <v>8780</v>
      </c>
      <c r="V7235" t="s">
        <v>9408</v>
      </c>
      <c r="W7235" t="s">
        <v>423</v>
      </c>
    </row>
    <row r="7236" spans="1:23" hidden="1" x14ac:dyDescent="0.2">
      <c r="A7236">
        <v>2012</v>
      </c>
      <c r="B7236" t="s">
        <v>303</v>
      </c>
      <c r="C7236" s="733">
        <v>40932</v>
      </c>
      <c r="D72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36" t="s">
        <v>478</v>
      </c>
      <c r="F7236" t="s">
        <v>2136</v>
      </c>
      <c r="G7236" t="s">
        <v>7455</v>
      </c>
      <c r="H7236">
        <v>34929</v>
      </c>
      <c r="I7236" t="s">
        <v>423</v>
      </c>
      <c r="J7236" t="s">
        <v>4270</v>
      </c>
      <c r="K7236" t="s">
        <v>425</v>
      </c>
      <c r="L7236" t="s">
        <v>2145</v>
      </c>
      <c r="M7236">
        <v>560</v>
      </c>
      <c r="N7236">
        <v>49.57</v>
      </c>
      <c r="O7236">
        <v>15837.62</v>
      </c>
      <c r="P7236">
        <v>0</v>
      </c>
      <c r="Q7236">
        <v>15837.62</v>
      </c>
      <c r="R7236">
        <v>2534.02</v>
      </c>
      <c r="S7236">
        <v>633.5</v>
      </c>
      <c r="T7236">
        <v>17738.14</v>
      </c>
      <c r="U7236" t="s">
        <v>2355</v>
      </c>
      <c r="V7236" t="s">
        <v>9409</v>
      </c>
      <c r="W7236" t="s">
        <v>423</v>
      </c>
    </row>
    <row r="7237" spans="1:23" hidden="1" x14ac:dyDescent="0.2">
      <c r="A7237">
        <v>2012</v>
      </c>
      <c r="B7237" t="s">
        <v>304</v>
      </c>
      <c r="C7237" s="733">
        <v>40953</v>
      </c>
      <c r="D72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37" t="s">
        <v>505</v>
      </c>
      <c r="F7237" t="s">
        <v>1915</v>
      </c>
      <c r="G7237" t="s">
        <v>7397</v>
      </c>
      <c r="H7237">
        <v>22718</v>
      </c>
      <c r="I7237" t="s">
        <v>423</v>
      </c>
      <c r="J7237" t="s">
        <v>4760</v>
      </c>
      <c r="K7237" t="s">
        <v>1918</v>
      </c>
      <c r="L7237" t="s">
        <v>1919</v>
      </c>
      <c r="M7237">
        <v>444</v>
      </c>
      <c r="N7237">
        <v>24.56</v>
      </c>
      <c r="O7237">
        <v>7621.95</v>
      </c>
      <c r="P7237">
        <v>0</v>
      </c>
      <c r="Q7237">
        <v>7621.95</v>
      </c>
      <c r="R7237">
        <v>1219.51</v>
      </c>
      <c r="S7237">
        <v>304.88</v>
      </c>
      <c r="T7237">
        <v>8536.58</v>
      </c>
      <c r="U7237" t="s">
        <v>7529</v>
      </c>
      <c r="V7237" t="s">
        <v>9408</v>
      </c>
      <c r="W7237" t="s">
        <v>423</v>
      </c>
    </row>
    <row r="7238" spans="1:23" hidden="1" x14ac:dyDescent="0.2">
      <c r="A7238">
        <v>2012</v>
      </c>
      <c r="B7238" t="s">
        <v>303</v>
      </c>
      <c r="C7238" s="733">
        <v>40915</v>
      </c>
      <c r="D723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38" t="s">
        <v>505</v>
      </c>
      <c r="F7238" t="s">
        <v>1915</v>
      </c>
      <c r="G7238" t="s">
        <v>7419</v>
      </c>
      <c r="H7238">
        <v>21826</v>
      </c>
      <c r="I7238" t="s">
        <v>423</v>
      </c>
      <c r="J7238" t="s">
        <v>1954</v>
      </c>
      <c r="K7238" t="s">
        <v>1918</v>
      </c>
      <c r="L7238" t="s">
        <v>1919</v>
      </c>
      <c r="M7238">
        <v>303</v>
      </c>
      <c r="N7238">
        <v>54.08</v>
      </c>
      <c r="O7238">
        <v>14931.49</v>
      </c>
      <c r="P7238">
        <v>0</v>
      </c>
      <c r="Q7238">
        <v>14931.49</v>
      </c>
      <c r="R7238">
        <v>2389.04</v>
      </c>
      <c r="S7238">
        <v>597.26</v>
      </c>
      <c r="T7238">
        <v>16723.27</v>
      </c>
      <c r="U7238" t="s">
        <v>1931</v>
      </c>
      <c r="V7238" t="s">
        <v>9409</v>
      </c>
      <c r="W7238" t="s">
        <v>423</v>
      </c>
    </row>
    <row r="7239" spans="1:23" hidden="1" x14ac:dyDescent="0.2">
      <c r="A7239">
        <v>2012</v>
      </c>
      <c r="B7239" t="s">
        <v>305</v>
      </c>
      <c r="C7239" s="733">
        <v>40969</v>
      </c>
      <c r="D7239" s="733" t="str">
        <f>CHOOSE(MONTH(Tabla_sqldatos_bonampakdb_Bon_v_ingresos2012[[#This Row],[fecha_guia]]),"Enero","Febrero","Marzo","Abril","Mayo","Junio","Julio","Agosto","Septiembre","Octubre","Noviembre","Diciembre")</f>
        <v>Marzo</v>
      </c>
      <c r="E7239" t="s">
        <v>505</v>
      </c>
      <c r="F7239" t="s">
        <v>1915</v>
      </c>
      <c r="G7239" t="s">
        <v>9510</v>
      </c>
      <c r="H7239">
        <v>23124</v>
      </c>
      <c r="I7239" t="s">
        <v>424</v>
      </c>
      <c r="J7239" t="s">
        <v>1954</v>
      </c>
      <c r="K7239" t="s">
        <v>1918</v>
      </c>
      <c r="L7239" t="s">
        <v>1919</v>
      </c>
      <c r="M7239">
        <v>303</v>
      </c>
      <c r="N7239">
        <v>27</v>
      </c>
      <c r="O7239">
        <v>5276.07</v>
      </c>
      <c r="P7239">
        <v>0</v>
      </c>
      <c r="Q7239">
        <v>5276.07</v>
      </c>
      <c r="R7239">
        <v>844.17</v>
      </c>
      <c r="S7239">
        <v>211.04</v>
      </c>
      <c r="T7239">
        <v>5909.2</v>
      </c>
      <c r="V7239" t="s">
        <v>9408</v>
      </c>
      <c r="W7239" t="s">
        <v>424</v>
      </c>
    </row>
    <row r="7240" spans="1:23" hidden="1" x14ac:dyDescent="0.2">
      <c r="A7240">
        <v>2012</v>
      </c>
      <c r="B7240" t="s">
        <v>303</v>
      </c>
      <c r="C7240" s="733">
        <v>40910</v>
      </c>
      <c r="D72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40" t="s">
        <v>485</v>
      </c>
      <c r="F7240" t="s">
        <v>2065</v>
      </c>
      <c r="G7240" t="s">
        <v>7350</v>
      </c>
      <c r="H7240">
        <v>39333</v>
      </c>
      <c r="I7240" t="s">
        <v>423</v>
      </c>
      <c r="J7240" t="s">
        <v>3280</v>
      </c>
      <c r="K7240" t="s">
        <v>2183</v>
      </c>
      <c r="L7240" t="s">
        <v>2184</v>
      </c>
      <c r="M7240">
        <v>1020</v>
      </c>
      <c r="N7240">
        <v>50.36</v>
      </c>
      <c r="O7240">
        <v>11777.69</v>
      </c>
      <c r="P7240">
        <v>13260.383394</v>
      </c>
      <c r="Q7240">
        <v>25038.073393999999</v>
      </c>
      <c r="R7240">
        <v>4006.091743</v>
      </c>
      <c r="S7240">
        <v>1001.522936</v>
      </c>
      <c r="T7240">
        <v>28042.642200999999</v>
      </c>
      <c r="U7240" t="s">
        <v>3038</v>
      </c>
      <c r="V7240" t="s">
        <v>9409</v>
      </c>
      <c r="W7240" t="s">
        <v>423</v>
      </c>
    </row>
    <row r="7241" spans="1:23" hidden="1" x14ac:dyDescent="0.2">
      <c r="A7241">
        <v>2012</v>
      </c>
      <c r="B7241" t="s">
        <v>304</v>
      </c>
      <c r="C7241" s="733">
        <v>40942</v>
      </c>
      <c r="D72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41" t="s">
        <v>485</v>
      </c>
      <c r="F7241" t="s">
        <v>2065</v>
      </c>
      <c r="G7241" t="s">
        <v>7351</v>
      </c>
      <c r="H7241">
        <v>40764</v>
      </c>
      <c r="I7241" t="s">
        <v>423</v>
      </c>
      <c r="J7241" t="s">
        <v>4520</v>
      </c>
      <c r="K7241" t="s">
        <v>2183</v>
      </c>
      <c r="L7241" t="s">
        <v>2184</v>
      </c>
      <c r="M7241">
        <v>346</v>
      </c>
      <c r="N7241">
        <v>25.38</v>
      </c>
      <c r="O7241">
        <v>5450.61</v>
      </c>
      <c r="P7241">
        <v>0</v>
      </c>
      <c r="Q7241">
        <v>5450.61</v>
      </c>
      <c r="R7241">
        <v>872.1</v>
      </c>
      <c r="S7241">
        <v>218.02</v>
      </c>
      <c r="T7241">
        <v>6104.69</v>
      </c>
      <c r="U7241" t="s">
        <v>2192</v>
      </c>
      <c r="V7241" t="s">
        <v>9408</v>
      </c>
      <c r="W7241" t="s">
        <v>423</v>
      </c>
    </row>
    <row r="7242" spans="1:23" hidden="1" x14ac:dyDescent="0.2">
      <c r="A7242">
        <v>2012</v>
      </c>
      <c r="B7242" t="s">
        <v>304</v>
      </c>
      <c r="C7242" s="733">
        <v>40940</v>
      </c>
      <c r="D72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42" t="s">
        <v>485</v>
      </c>
      <c r="F7242" t="s">
        <v>2065</v>
      </c>
      <c r="G7242" t="s">
        <v>7352</v>
      </c>
      <c r="H7242">
        <v>39878</v>
      </c>
      <c r="I7242" t="s">
        <v>423</v>
      </c>
      <c r="J7242" t="s">
        <v>3054</v>
      </c>
      <c r="K7242" t="s">
        <v>2183</v>
      </c>
      <c r="L7242" t="s">
        <v>2184</v>
      </c>
      <c r="M7242">
        <v>43</v>
      </c>
      <c r="N7242">
        <v>15.65</v>
      </c>
      <c r="O7242">
        <v>1766.42</v>
      </c>
      <c r="P7242">
        <v>0</v>
      </c>
      <c r="Q7242">
        <v>1766.42</v>
      </c>
      <c r="R7242">
        <v>282.63</v>
      </c>
      <c r="S7242">
        <v>70.66</v>
      </c>
      <c r="T7242">
        <v>1978.39</v>
      </c>
      <c r="U7242" t="s">
        <v>2187</v>
      </c>
      <c r="V7242" t="s">
        <v>9408</v>
      </c>
      <c r="W7242" t="s">
        <v>423</v>
      </c>
    </row>
    <row r="7243" spans="1:23" hidden="1" x14ac:dyDescent="0.2">
      <c r="A7243">
        <v>2012</v>
      </c>
      <c r="B7243" t="s">
        <v>303</v>
      </c>
      <c r="C7243" s="733">
        <v>40935</v>
      </c>
      <c r="D72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43" t="s">
        <v>505</v>
      </c>
      <c r="F7243" t="s">
        <v>1915</v>
      </c>
      <c r="G7243" t="s">
        <v>7418</v>
      </c>
      <c r="H7243">
        <v>22304</v>
      </c>
      <c r="I7243" t="s">
        <v>424</v>
      </c>
      <c r="J7243" t="s">
        <v>1954</v>
      </c>
      <c r="K7243" t="s">
        <v>1918</v>
      </c>
      <c r="L7243" t="s">
        <v>1919</v>
      </c>
      <c r="M7243">
        <v>303</v>
      </c>
      <c r="N7243">
        <v>30</v>
      </c>
      <c r="O7243">
        <v>2314.83</v>
      </c>
      <c r="P7243">
        <v>1330.309653</v>
      </c>
      <c r="Q7243">
        <v>3645.1396530000002</v>
      </c>
      <c r="R7243">
        <v>583.22234400000002</v>
      </c>
      <c r="S7243">
        <v>145.80558600000001</v>
      </c>
      <c r="T7243">
        <v>4082.556411</v>
      </c>
      <c r="U7243" t="s">
        <v>1928</v>
      </c>
      <c r="V7243" t="s">
        <v>9408</v>
      </c>
      <c r="W7243" t="s">
        <v>424</v>
      </c>
    </row>
    <row r="7244" spans="1:23" hidden="1" x14ac:dyDescent="0.2">
      <c r="A7244">
        <v>2012</v>
      </c>
      <c r="B7244" t="s">
        <v>304</v>
      </c>
      <c r="C7244" s="733">
        <v>40952</v>
      </c>
      <c r="D724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44" t="s">
        <v>485</v>
      </c>
      <c r="F7244" t="s">
        <v>2065</v>
      </c>
      <c r="G7244" t="s">
        <v>7448</v>
      </c>
      <c r="H7244">
        <v>41542</v>
      </c>
      <c r="I7244" t="s">
        <v>423</v>
      </c>
      <c r="J7244" t="s">
        <v>7449</v>
      </c>
      <c r="K7244" t="s">
        <v>2102</v>
      </c>
      <c r="L7244" t="s">
        <v>2184</v>
      </c>
      <c r="M7244">
        <v>770</v>
      </c>
      <c r="N7244">
        <v>49.33</v>
      </c>
      <c r="O7244">
        <v>22425.91</v>
      </c>
      <c r="P7244">
        <v>0</v>
      </c>
      <c r="Q7244">
        <v>22425.91</v>
      </c>
      <c r="R7244">
        <v>3588.15</v>
      </c>
      <c r="S7244">
        <v>897.04</v>
      </c>
      <c r="T7244">
        <v>25117.02</v>
      </c>
      <c r="U7244" t="s">
        <v>8051</v>
      </c>
      <c r="V7244" t="s">
        <v>9409</v>
      </c>
      <c r="W7244" t="s">
        <v>423</v>
      </c>
    </row>
    <row r="7245" spans="1:23" hidden="1" x14ac:dyDescent="0.2">
      <c r="A7245">
        <v>2012</v>
      </c>
      <c r="B7245" t="s">
        <v>303</v>
      </c>
      <c r="C7245" s="733">
        <v>40934</v>
      </c>
      <c r="D72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45" t="s">
        <v>485</v>
      </c>
      <c r="F7245" t="s">
        <v>2065</v>
      </c>
      <c r="G7245" t="s">
        <v>7447</v>
      </c>
      <c r="H7245">
        <v>40723</v>
      </c>
      <c r="I7245" t="s">
        <v>423</v>
      </c>
      <c r="J7245" t="s">
        <v>4626</v>
      </c>
      <c r="K7245" t="s">
        <v>2102</v>
      </c>
      <c r="L7245" t="s">
        <v>2115</v>
      </c>
      <c r="M7245">
        <v>1457</v>
      </c>
      <c r="N7245">
        <v>40.229999999999997</v>
      </c>
      <c r="O7245">
        <v>29766.98</v>
      </c>
      <c r="P7245">
        <v>0</v>
      </c>
      <c r="Q7245">
        <v>29766.98</v>
      </c>
      <c r="R7245">
        <v>4762.72</v>
      </c>
      <c r="S7245">
        <v>1190.68</v>
      </c>
      <c r="T7245">
        <v>33339.019999999997</v>
      </c>
      <c r="U7245" t="s">
        <v>2110</v>
      </c>
      <c r="V7245" t="s">
        <v>9409</v>
      </c>
      <c r="W7245" t="s">
        <v>423</v>
      </c>
    </row>
    <row r="7246" spans="1:23" hidden="1" x14ac:dyDescent="0.2">
      <c r="A7246">
        <v>2012</v>
      </c>
      <c r="B7246" t="s">
        <v>304</v>
      </c>
      <c r="C7246" s="733">
        <v>40940</v>
      </c>
      <c r="D72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46" t="s">
        <v>485</v>
      </c>
      <c r="F7246" t="s">
        <v>2065</v>
      </c>
      <c r="G7246" t="s">
        <v>3056</v>
      </c>
      <c r="H7246">
        <v>41184</v>
      </c>
      <c r="I7246" t="s">
        <v>423</v>
      </c>
      <c r="J7246" t="s">
        <v>3054</v>
      </c>
      <c r="K7246" t="s">
        <v>2183</v>
      </c>
      <c r="L7246" t="s">
        <v>2184</v>
      </c>
      <c r="M7246">
        <v>43</v>
      </c>
      <c r="N7246">
        <v>15.81</v>
      </c>
      <c r="O7246">
        <v>1784.47</v>
      </c>
      <c r="P7246">
        <v>0</v>
      </c>
      <c r="Q7246">
        <v>1784.47</v>
      </c>
      <c r="R7246">
        <v>285.52</v>
      </c>
      <c r="S7246">
        <v>71.38</v>
      </c>
      <c r="T7246">
        <v>1998.61</v>
      </c>
      <c r="U7246" t="s">
        <v>2192</v>
      </c>
      <c r="V7246" t="s">
        <v>9408</v>
      </c>
      <c r="W7246" t="s">
        <v>423</v>
      </c>
    </row>
    <row r="7247" spans="1:23" hidden="1" x14ac:dyDescent="0.2">
      <c r="A7247">
        <v>2012</v>
      </c>
      <c r="B7247" t="s">
        <v>303</v>
      </c>
      <c r="C7247" s="733">
        <v>40928</v>
      </c>
      <c r="D72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47" t="s">
        <v>485</v>
      </c>
      <c r="F7247" t="s">
        <v>2065</v>
      </c>
      <c r="G7247" t="s">
        <v>3055</v>
      </c>
      <c r="H7247">
        <v>40598</v>
      </c>
      <c r="I7247" t="s">
        <v>423</v>
      </c>
      <c r="J7247" t="s">
        <v>3054</v>
      </c>
      <c r="K7247" t="s">
        <v>2183</v>
      </c>
      <c r="L7247" t="s">
        <v>2184</v>
      </c>
      <c r="M7247">
        <v>43</v>
      </c>
      <c r="N7247">
        <v>15.81</v>
      </c>
      <c r="O7247">
        <v>1784.47</v>
      </c>
      <c r="P7247">
        <v>0</v>
      </c>
      <c r="Q7247">
        <v>1784.47</v>
      </c>
      <c r="R7247">
        <v>285.52</v>
      </c>
      <c r="S7247">
        <v>71.38</v>
      </c>
      <c r="T7247">
        <v>1998.61</v>
      </c>
      <c r="U7247" t="s">
        <v>7554</v>
      </c>
      <c r="V7247" t="s">
        <v>9408</v>
      </c>
      <c r="W7247" t="s">
        <v>423</v>
      </c>
    </row>
    <row r="7248" spans="1:23" hidden="1" x14ac:dyDescent="0.2">
      <c r="A7248">
        <v>2012</v>
      </c>
      <c r="B7248" t="s">
        <v>303</v>
      </c>
      <c r="C7248" s="733">
        <v>40913</v>
      </c>
      <c r="D72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48" t="s">
        <v>505</v>
      </c>
      <c r="F7248" t="s">
        <v>1915</v>
      </c>
      <c r="G7248" t="s">
        <v>2466</v>
      </c>
      <c r="H7248">
        <v>21703</v>
      </c>
      <c r="I7248" t="s">
        <v>424</v>
      </c>
      <c r="J7248" t="s">
        <v>1917</v>
      </c>
      <c r="K7248" t="s">
        <v>1918</v>
      </c>
      <c r="L7248" t="s">
        <v>1919</v>
      </c>
      <c r="M7248">
        <v>267</v>
      </c>
      <c r="N7248">
        <v>30</v>
      </c>
      <c r="O7248">
        <v>2929.97</v>
      </c>
      <c r="P7248">
        <v>1683.8244589999999</v>
      </c>
      <c r="Q7248">
        <v>4613.7944589999997</v>
      </c>
      <c r="R7248">
        <v>738.20711300000005</v>
      </c>
      <c r="S7248">
        <v>184.55177800000001</v>
      </c>
      <c r="T7248">
        <v>5167.4497940000001</v>
      </c>
      <c r="U7248" t="s">
        <v>1920</v>
      </c>
      <c r="V7248" t="s">
        <v>9408</v>
      </c>
      <c r="W7248" t="s">
        <v>424</v>
      </c>
    </row>
    <row r="7249" spans="1:23" hidden="1" x14ac:dyDescent="0.2">
      <c r="A7249">
        <v>2012</v>
      </c>
      <c r="B7249" t="s">
        <v>304</v>
      </c>
      <c r="C7249" s="733">
        <v>40952</v>
      </c>
      <c r="D724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49" t="s">
        <v>505</v>
      </c>
      <c r="F7249" t="s">
        <v>2065</v>
      </c>
      <c r="G7249" t="s">
        <v>2476</v>
      </c>
      <c r="H7249">
        <v>22658</v>
      </c>
      <c r="I7249" t="s">
        <v>424</v>
      </c>
      <c r="J7249" t="s">
        <v>1954</v>
      </c>
      <c r="K7249" t="s">
        <v>1918</v>
      </c>
      <c r="L7249" t="s">
        <v>1919</v>
      </c>
      <c r="M7249">
        <v>303</v>
      </c>
      <c r="N7249">
        <v>30</v>
      </c>
      <c r="O7249">
        <v>2314.83</v>
      </c>
      <c r="P7249">
        <v>1330.309653</v>
      </c>
      <c r="Q7249">
        <v>3645.1396530000002</v>
      </c>
      <c r="R7249">
        <v>583.22234400000002</v>
      </c>
      <c r="S7249">
        <v>145.80558600000001</v>
      </c>
      <c r="T7249">
        <v>4082.556411</v>
      </c>
      <c r="U7249" t="s">
        <v>7522</v>
      </c>
      <c r="V7249" t="s">
        <v>9408</v>
      </c>
      <c r="W7249" t="s">
        <v>424</v>
      </c>
    </row>
    <row r="7250" spans="1:23" hidden="1" x14ac:dyDescent="0.2">
      <c r="A7250">
        <v>2012</v>
      </c>
      <c r="B7250" t="s">
        <v>304</v>
      </c>
      <c r="C7250" s="733">
        <v>40942</v>
      </c>
      <c r="D72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50" t="s">
        <v>485</v>
      </c>
      <c r="F7250" t="s">
        <v>2065</v>
      </c>
      <c r="G7250" t="s">
        <v>3053</v>
      </c>
      <c r="H7250">
        <v>39699</v>
      </c>
      <c r="I7250" t="s">
        <v>423</v>
      </c>
      <c r="J7250" t="s">
        <v>3054</v>
      </c>
      <c r="K7250" t="s">
        <v>2183</v>
      </c>
      <c r="L7250" t="s">
        <v>2184</v>
      </c>
      <c r="M7250">
        <v>43</v>
      </c>
      <c r="N7250">
        <v>16.510000000000002</v>
      </c>
      <c r="O7250">
        <v>1863.48</v>
      </c>
      <c r="P7250">
        <v>0</v>
      </c>
      <c r="Q7250">
        <v>1863.48</v>
      </c>
      <c r="R7250">
        <v>298.16000000000003</v>
      </c>
      <c r="S7250">
        <v>74.540000000000006</v>
      </c>
      <c r="T7250">
        <v>2087.1</v>
      </c>
      <c r="U7250" t="s">
        <v>2192</v>
      </c>
      <c r="V7250" t="s">
        <v>9408</v>
      </c>
      <c r="W7250" t="s">
        <v>423</v>
      </c>
    </row>
    <row r="7251" spans="1:23" hidden="1" x14ac:dyDescent="0.2">
      <c r="A7251">
        <v>2012</v>
      </c>
      <c r="B7251" t="s">
        <v>304</v>
      </c>
      <c r="C7251" s="733">
        <v>40947.717592592591</v>
      </c>
      <c r="D72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51" t="s">
        <v>478</v>
      </c>
      <c r="F7251" t="s">
        <v>4128</v>
      </c>
      <c r="G7251" t="s">
        <v>7335</v>
      </c>
      <c r="H7251">
        <v>35456</v>
      </c>
      <c r="I7251" t="s">
        <v>423</v>
      </c>
      <c r="J7251" t="s">
        <v>5024</v>
      </c>
      <c r="K7251" t="s">
        <v>4397</v>
      </c>
      <c r="L7251" t="s">
        <v>4398</v>
      </c>
      <c r="M7251">
        <v>770</v>
      </c>
      <c r="N7251">
        <v>26.34</v>
      </c>
      <c r="O7251">
        <v>8697.4699999999993</v>
      </c>
      <c r="P7251">
        <v>0</v>
      </c>
      <c r="Q7251">
        <v>8697.4699999999993</v>
      </c>
      <c r="R7251">
        <v>1391.59</v>
      </c>
      <c r="S7251">
        <v>347.9</v>
      </c>
      <c r="T7251">
        <v>9741.16</v>
      </c>
      <c r="U7251" t="s">
        <v>4503</v>
      </c>
      <c r="V7251" t="s">
        <v>9408</v>
      </c>
      <c r="W7251" t="s">
        <v>423</v>
      </c>
    </row>
    <row r="7252" spans="1:23" hidden="1" x14ac:dyDescent="0.2">
      <c r="A7252">
        <v>2012</v>
      </c>
      <c r="B7252" t="s">
        <v>304</v>
      </c>
      <c r="C7252" s="733">
        <v>40959.61922453704</v>
      </c>
      <c r="D72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52" t="s">
        <v>505</v>
      </c>
      <c r="F7252" t="s">
        <v>1915</v>
      </c>
      <c r="G7252" t="s">
        <v>8080</v>
      </c>
      <c r="H7252">
        <v>22888</v>
      </c>
      <c r="I7252" t="s">
        <v>424</v>
      </c>
      <c r="J7252" t="s">
        <v>1917</v>
      </c>
      <c r="K7252" t="s">
        <v>1918</v>
      </c>
      <c r="L7252" t="s">
        <v>1919</v>
      </c>
      <c r="M7252">
        <v>267</v>
      </c>
      <c r="N7252">
        <v>30</v>
      </c>
      <c r="O7252">
        <v>4613.7</v>
      </c>
      <c r="P7252">
        <v>0</v>
      </c>
      <c r="Q7252">
        <v>4613.7</v>
      </c>
      <c r="R7252">
        <v>738.19</v>
      </c>
      <c r="S7252">
        <v>184.55</v>
      </c>
      <c r="T7252">
        <v>5167.34</v>
      </c>
      <c r="U7252" t="s">
        <v>8491</v>
      </c>
      <c r="V7252" t="s">
        <v>9408</v>
      </c>
      <c r="W7252" t="s">
        <v>424</v>
      </c>
    </row>
    <row r="7253" spans="1:23" hidden="1" x14ac:dyDescent="0.2">
      <c r="A7253">
        <v>2012</v>
      </c>
      <c r="B7253" t="s">
        <v>304</v>
      </c>
      <c r="C7253" s="733">
        <v>40954</v>
      </c>
      <c r="D72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53" t="s">
        <v>505</v>
      </c>
      <c r="F7253" t="s">
        <v>1915</v>
      </c>
      <c r="G7253" t="s">
        <v>2459</v>
      </c>
      <c r="H7253">
        <v>22715</v>
      </c>
      <c r="I7253" t="s">
        <v>1979</v>
      </c>
      <c r="J7253" t="s">
        <v>1917</v>
      </c>
      <c r="K7253" t="s">
        <v>1918</v>
      </c>
      <c r="L7253" t="s">
        <v>1919</v>
      </c>
      <c r="M7253">
        <v>267</v>
      </c>
      <c r="N7253">
        <v>49.58</v>
      </c>
      <c r="O7253">
        <v>11147.57</v>
      </c>
      <c r="P7253">
        <v>0</v>
      </c>
      <c r="Q7253">
        <v>11147.57</v>
      </c>
      <c r="R7253">
        <v>1783.61</v>
      </c>
      <c r="S7253">
        <v>445.9</v>
      </c>
      <c r="T7253">
        <v>12485.28</v>
      </c>
      <c r="U7253" t="s">
        <v>7529</v>
      </c>
      <c r="V7253" t="s">
        <v>9409</v>
      </c>
      <c r="W7253" t="s">
        <v>1979</v>
      </c>
    </row>
    <row r="7254" spans="1:23" hidden="1" x14ac:dyDescent="0.2">
      <c r="A7254">
        <v>2012</v>
      </c>
      <c r="B7254" t="s">
        <v>304</v>
      </c>
      <c r="C7254" s="733">
        <v>40949</v>
      </c>
      <c r="D725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54" t="s">
        <v>505</v>
      </c>
      <c r="F7254" t="s">
        <v>2065</v>
      </c>
      <c r="G7254" t="s">
        <v>2463</v>
      </c>
      <c r="H7254">
        <v>22655</v>
      </c>
      <c r="I7254" t="s">
        <v>424</v>
      </c>
      <c r="J7254" t="s">
        <v>1917</v>
      </c>
      <c r="K7254" t="s">
        <v>1918</v>
      </c>
      <c r="L7254" t="s">
        <v>1919</v>
      </c>
      <c r="M7254">
        <v>267</v>
      </c>
      <c r="N7254">
        <v>30</v>
      </c>
      <c r="O7254">
        <v>2929.97</v>
      </c>
      <c r="P7254">
        <v>1683.8244589999999</v>
      </c>
      <c r="Q7254">
        <v>4613.7944589999997</v>
      </c>
      <c r="R7254">
        <v>738.20711300000005</v>
      </c>
      <c r="S7254">
        <v>184.55177800000001</v>
      </c>
      <c r="T7254">
        <v>5167.4497940000001</v>
      </c>
      <c r="U7254" t="s">
        <v>1924</v>
      </c>
      <c r="V7254" t="s">
        <v>9408</v>
      </c>
      <c r="W7254" t="s">
        <v>424</v>
      </c>
    </row>
    <row r="7255" spans="1:23" hidden="1" x14ac:dyDescent="0.2">
      <c r="A7255">
        <v>2012</v>
      </c>
      <c r="B7255" t="s">
        <v>303</v>
      </c>
      <c r="C7255" s="733">
        <v>40939</v>
      </c>
      <c r="D725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55" t="s">
        <v>505</v>
      </c>
      <c r="F7255" t="s">
        <v>1915</v>
      </c>
      <c r="G7255" t="s">
        <v>7386</v>
      </c>
      <c r="H7255">
        <v>21706</v>
      </c>
      <c r="I7255" t="s">
        <v>423</v>
      </c>
      <c r="J7255" t="s">
        <v>1917</v>
      </c>
      <c r="K7255" t="s">
        <v>1918</v>
      </c>
      <c r="L7255" t="s">
        <v>1919</v>
      </c>
      <c r="M7255">
        <v>267</v>
      </c>
      <c r="N7255">
        <v>27.27</v>
      </c>
      <c r="O7255">
        <v>6131.39</v>
      </c>
      <c r="P7255">
        <v>0</v>
      </c>
      <c r="Q7255">
        <v>6131.39</v>
      </c>
      <c r="R7255">
        <v>981.02</v>
      </c>
      <c r="S7255">
        <v>245.26</v>
      </c>
      <c r="T7255">
        <v>6867.15</v>
      </c>
      <c r="U7255" t="s">
        <v>1936</v>
      </c>
      <c r="V7255" t="s">
        <v>9408</v>
      </c>
      <c r="W7255" t="s">
        <v>423</v>
      </c>
    </row>
    <row r="7256" spans="1:23" hidden="1" x14ac:dyDescent="0.2">
      <c r="A7256">
        <v>2012</v>
      </c>
      <c r="B7256" t="s">
        <v>303</v>
      </c>
      <c r="C7256" s="733">
        <v>40931</v>
      </c>
      <c r="D725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56" t="s">
        <v>505</v>
      </c>
      <c r="F7256" t="s">
        <v>1915</v>
      </c>
      <c r="G7256" t="s">
        <v>7385</v>
      </c>
      <c r="H7256">
        <v>22184</v>
      </c>
      <c r="I7256" t="s">
        <v>423</v>
      </c>
      <c r="J7256" t="s">
        <v>1917</v>
      </c>
      <c r="K7256" t="s">
        <v>1918</v>
      </c>
      <c r="L7256" t="s">
        <v>1919</v>
      </c>
      <c r="M7256">
        <v>267</v>
      </c>
      <c r="N7256">
        <v>24.98</v>
      </c>
      <c r="O7256">
        <v>5616.5</v>
      </c>
      <c r="P7256">
        <v>0</v>
      </c>
      <c r="Q7256">
        <v>5616.5</v>
      </c>
      <c r="R7256">
        <v>898.64</v>
      </c>
      <c r="S7256">
        <v>224.66</v>
      </c>
      <c r="T7256">
        <v>6290.48</v>
      </c>
      <c r="V7256" t="s">
        <v>9408</v>
      </c>
      <c r="W7256" t="s">
        <v>423</v>
      </c>
    </row>
    <row r="7257" spans="1:23" hidden="1" x14ac:dyDescent="0.2">
      <c r="A7257">
        <v>2012</v>
      </c>
      <c r="B7257" t="s">
        <v>303</v>
      </c>
      <c r="C7257" s="733">
        <v>40936.606238425928</v>
      </c>
      <c r="D72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57" t="s">
        <v>485</v>
      </c>
      <c r="F7257" t="s">
        <v>2054</v>
      </c>
      <c r="G7257" t="s">
        <v>7361</v>
      </c>
      <c r="H7257">
        <v>10244</v>
      </c>
      <c r="I7257" t="s">
        <v>423</v>
      </c>
      <c r="J7257" t="s">
        <v>2072</v>
      </c>
      <c r="K7257" t="s">
        <v>2057</v>
      </c>
      <c r="L7257" t="s">
        <v>2058</v>
      </c>
      <c r="M7257">
        <v>406</v>
      </c>
      <c r="N7257">
        <v>47.38</v>
      </c>
      <c r="O7257">
        <v>12948.01</v>
      </c>
      <c r="P7257">
        <v>0</v>
      </c>
      <c r="Q7257">
        <v>12948.01</v>
      </c>
      <c r="R7257">
        <v>2071.6799999999998</v>
      </c>
      <c r="S7257">
        <v>517.91999999999996</v>
      </c>
      <c r="T7257">
        <v>14501.77</v>
      </c>
      <c r="U7257" t="s">
        <v>2073</v>
      </c>
      <c r="V7257" t="s">
        <v>9409</v>
      </c>
      <c r="W7257" t="s">
        <v>423</v>
      </c>
    </row>
    <row r="7258" spans="1:23" hidden="1" x14ac:dyDescent="0.2">
      <c r="A7258">
        <v>2012</v>
      </c>
      <c r="B7258" t="s">
        <v>304</v>
      </c>
      <c r="C7258" s="733">
        <v>40952</v>
      </c>
      <c r="D72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58" t="s">
        <v>485</v>
      </c>
      <c r="F7258" t="s">
        <v>2054</v>
      </c>
      <c r="G7258" t="s">
        <v>7362</v>
      </c>
      <c r="H7258">
        <v>10421</v>
      </c>
      <c r="I7258" t="s">
        <v>423</v>
      </c>
      <c r="J7258" t="s">
        <v>2072</v>
      </c>
      <c r="K7258" t="s">
        <v>2057</v>
      </c>
      <c r="L7258" t="s">
        <v>2058</v>
      </c>
      <c r="M7258">
        <v>406</v>
      </c>
      <c r="N7258">
        <v>46.38</v>
      </c>
      <c r="O7258">
        <v>12674.73</v>
      </c>
      <c r="P7258">
        <v>0</v>
      </c>
      <c r="Q7258">
        <v>12674.73</v>
      </c>
      <c r="R7258">
        <v>1394.22</v>
      </c>
      <c r="S7258">
        <v>506.99</v>
      </c>
      <c r="T7258">
        <v>13561.96</v>
      </c>
      <c r="U7258" t="s">
        <v>8047</v>
      </c>
      <c r="V7258" t="s">
        <v>9409</v>
      </c>
      <c r="W7258" t="s">
        <v>423</v>
      </c>
    </row>
    <row r="7259" spans="1:23" hidden="1" x14ac:dyDescent="0.2">
      <c r="A7259">
        <v>2012</v>
      </c>
      <c r="B7259" t="s">
        <v>303</v>
      </c>
      <c r="C7259" s="733">
        <v>40919</v>
      </c>
      <c r="D725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59" t="s">
        <v>485</v>
      </c>
      <c r="F7259" t="s">
        <v>2054</v>
      </c>
      <c r="G7259" t="s">
        <v>2226</v>
      </c>
      <c r="H7259">
        <v>9948</v>
      </c>
      <c r="I7259" t="s">
        <v>423</v>
      </c>
      <c r="J7259" t="s">
        <v>2072</v>
      </c>
      <c r="K7259" t="s">
        <v>2057</v>
      </c>
      <c r="L7259" t="s">
        <v>2058</v>
      </c>
      <c r="M7259">
        <v>406</v>
      </c>
      <c r="N7259">
        <v>25.01</v>
      </c>
      <c r="O7259">
        <v>6834.73</v>
      </c>
      <c r="P7259">
        <v>0</v>
      </c>
      <c r="Q7259">
        <v>6834.73</v>
      </c>
      <c r="R7259">
        <v>1093.56</v>
      </c>
      <c r="S7259">
        <v>273.39</v>
      </c>
      <c r="T7259">
        <v>7654.9</v>
      </c>
      <c r="U7259" t="s">
        <v>2070</v>
      </c>
      <c r="V7259" t="s">
        <v>9408</v>
      </c>
      <c r="W7259" t="s">
        <v>423</v>
      </c>
    </row>
    <row r="7260" spans="1:23" hidden="1" x14ac:dyDescent="0.2">
      <c r="A7260">
        <v>2012</v>
      </c>
      <c r="B7260" t="s">
        <v>303</v>
      </c>
      <c r="C7260" s="733">
        <v>40919</v>
      </c>
      <c r="D72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60" t="s">
        <v>485</v>
      </c>
      <c r="F7260" t="s">
        <v>2054</v>
      </c>
      <c r="G7260" t="s">
        <v>2242</v>
      </c>
      <c r="H7260">
        <v>9636</v>
      </c>
      <c r="I7260" t="s">
        <v>423</v>
      </c>
      <c r="J7260" t="s">
        <v>2072</v>
      </c>
      <c r="K7260" t="s">
        <v>2057</v>
      </c>
      <c r="L7260" t="s">
        <v>2058</v>
      </c>
      <c r="M7260">
        <v>406</v>
      </c>
      <c r="N7260">
        <v>25.08</v>
      </c>
      <c r="O7260">
        <v>6853.86</v>
      </c>
      <c r="P7260">
        <v>0</v>
      </c>
      <c r="Q7260">
        <v>6853.86</v>
      </c>
      <c r="R7260">
        <v>1096.6199999999999</v>
      </c>
      <c r="S7260">
        <v>274.14999999999998</v>
      </c>
      <c r="T7260">
        <v>7676.33</v>
      </c>
      <c r="U7260" t="s">
        <v>2070</v>
      </c>
      <c r="V7260" t="s">
        <v>9408</v>
      </c>
      <c r="W7260" t="s">
        <v>423</v>
      </c>
    </row>
    <row r="7261" spans="1:23" hidden="1" x14ac:dyDescent="0.2">
      <c r="A7261">
        <v>2012</v>
      </c>
      <c r="B7261" t="s">
        <v>304</v>
      </c>
      <c r="C7261" s="733">
        <v>40964</v>
      </c>
      <c r="D72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61" t="s">
        <v>485</v>
      </c>
      <c r="F7261" t="s">
        <v>2054</v>
      </c>
      <c r="G7261" t="s">
        <v>8835</v>
      </c>
      <c r="H7261">
        <v>10551</v>
      </c>
      <c r="I7261" t="s">
        <v>423</v>
      </c>
      <c r="J7261" t="s">
        <v>2072</v>
      </c>
      <c r="K7261" t="s">
        <v>2057</v>
      </c>
      <c r="L7261" t="s">
        <v>2058</v>
      </c>
      <c r="M7261">
        <v>406</v>
      </c>
      <c r="N7261">
        <v>23.11</v>
      </c>
      <c r="O7261">
        <v>6315.5</v>
      </c>
      <c r="P7261">
        <v>0</v>
      </c>
      <c r="Q7261">
        <v>6315.5</v>
      </c>
      <c r="R7261">
        <v>694.71</v>
      </c>
      <c r="S7261">
        <v>252.62</v>
      </c>
      <c r="T7261">
        <v>6757.59</v>
      </c>
      <c r="U7261" t="s">
        <v>8864</v>
      </c>
      <c r="V7261" t="s">
        <v>9408</v>
      </c>
      <c r="W7261" t="s">
        <v>423</v>
      </c>
    </row>
    <row r="7262" spans="1:23" hidden="1" x14ac:dyDescent="0.2">
      <c r="A7262">
        <v>2012</v>
      </c>
      <c r="B7262" t="s">
        <v>303</v>
      </c>
      <c r="C7262" s="733">
        <v>40926</v>
      </c>
      <c r="D726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62" t="s">
        <v>505</v>
      </c>
      <c r="F7262" t="s">
        <v>1915</v>
      </c>
      <c r="G7262" t="s">
        <v>2469</v>
      </c>
      <c r="H7262">
        <v>22031</v>
      </c>
      <c r="I7262" t="s">
        <v>423</v>
      </c>
      <c r="J7262" t="s">
        <v>1943</v>
      </c>
      <c r="K7262" t="s">
        <v>1918</v>
      </c>
      <c r="L7262" t="s">
        <v>1919</v>
      </c>
      <c r="M7262">
        <v>319</v>
      </c>
      <c r="N7262">
        <v>54.13</v>
      </c>
      <c r="O7262">
        <v>15873.08</v>
      </c>
      <c r="P7262">
        <v>0</v>
      </c>
      <c r="Q7262">
        <v>15873.08</v>
      </c>
      <c r="R7262">
        <v>2539.69</v>
      </c>
      <c r="S7262">
        <v>634.91999999999996</v>
      </c>
      <c r="T7262">
        <v>17777.849999999999</v>
      </c>
      <c r="U7262" t="s">
        <v>1936</v>
      </c>
      <c r="V7262" t="s">
        <v>9409</v>
      </c>
      <c r="W7262" t="s">
        <v>423</v>
      </c>
    </row>
    <row r="7263" spans="1:23" hidden="1" x14ac:dyDescent="0.2">
      <c r="A7263">
        <v>2012</v>
      </c>
      <c r="B7263" t="s">
        <v>303</v>
      </c>
      <c r="C7263" s="733">
        <v>40914</v>
      </c>
      <c r="D72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63" t="s">
        <v>505</v>
      </c>
      <c r="F7263" t="s">
        <v>1915</v>
      </c>
      <c r="G7263" t="s">
        <v>3031</v>
      </c>
      <c r="H7263">
        <v>21764</v>
      </c>
      <c r="I7263" t="s">
        <v>423</v>
      </c>
      <c r="J7263" t="s">
        <v>1943</v>
      </c>
      <c r="K7263" t="s">
        <v>1918</v>
      </c>
      <c r="L7263" t="s">
        <v>1919</v>
      </c>
      <c r="M7263">
        <v>319</v>
      </c>
      <c r="N7263">
        <v>57.79</v>
      </c>
      <c r="O7263">
        <v>16946.34</v>
      </c>
      <c r="P7263">
        <v>0</v>
      </c>
      <c r="Q7263">
        <v>16946.34</v>
      </c>
      <c r="R7263">
        <v>2711.41</v>
      </c>
      <c r="S7263">
        <v>677.85</v>
      </c>
      <c r="T7263">
        <v>18979.900000000001</v>
      </c>
      <c r="U7263" t="s">
        <v>1920</v>
      </c>
      <c r="V7263" t="s">
        <v>9409</v>
      </c>
      <c r="W7263" t="s">
        <v>423</v>
      </c>
    </row>
    <row r="7264" spans="1:23" hidden="1" x14ac:dyDescent="0.2">
      <c r="A7264">
        <v>2012</v>
      </c>
      <c r="B7264" t="s">
        <v>303</v>
      </c>
      <c r="C7264" s="733">
        <v>40920</v>
      </c>
      <c r="D72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64" t="s">
        <v>505</v>
      </c>
      <c r="F7264" t="s">
        <v>1915</v>
      </c>
      <c r="G7264" t="s">
        <v>3032</v>
      </c>
      <c r="H7264">
        <v>21886</v>
      </c>
      <c r="I7264" t="s">
        <v>423</v>
      </c>
      <c r="J7264" t="s">
        <v>1943</v>
      </c>
      <c r="K7264" t="s">
        <v>1918</v>
      </c>
      <c r="L7264" t="s">
        <v>1919</v>
      </c>
      <c r="M7264">
        <v>319</v>
      </c>
      <c r="N7264">
        <v>54.09</v>
      </c>
      <c r="O7264">
        <v>15861.35</v>
      </c>
      <c r="P7264">
        <v>0</v>
      </c>
      <c r="Q7264">
        <v>15861.35</v>
      </c>
      <c r="R7264">
        <v>2537.8200000000002</v>
      </c>
      <c r="S7264">
        <v>634.45000000000005</v>
      </c>
      <c r="T7264">
        <v>17764.72</v>
      </c>
      <c r="U7264" t="s">
        <v>1928</v>
      </c>
      <c r="V7264" t="s">
        <v>9409</v>
      </c>
      <c r="W7264" t="s">
        <v>423</v>
      </c>
    </row>
    <row r="7265" spans="1:23" hidden="1" x14ac:dyDescent="0.2">
      <c r="A7265">
        <v>2012</v>
      </c>
      <c r="B7265" t="s">
        <v>304</v>
      </c>
      <c r="C7265" s="733">
        <v>40955</v>
      </c>
      <c r="D726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65" t="s">
        <v>505</v>
      </c>
      <c r="F7265" t="s">
        <v>1915</v>
      </c>
      <c r="G7265" t="s">
        <v>7809</v>
      </c>
      <c r="H7265">
        <v>22765</v>
      </c>
      <c r="I7265" t="s">
        <v>423</v>
      </c>
      <c r="J7265" t="s">
        <v>1943</v>
      </c>
      <c r="K7265" t="s">
        <v>1918</v>
      </c>
      <c r="L7265" t="s">
        <v>1919</v>
      </c>
      <c r="M7265">
        <v>319</v>
      </c>
      <c r="N7265">
        <v>53.64</v>
      </c>
      <c r="O7265">
        <v>15729.39</v>
      </c>
      <c r="P7265">
        <v>0</v>
      </c>
      <c r="Q7265">
        <v>15729.39</v>
      </c>
      <c r="R7265">
        <v>2516.6999999999998</v>
      </c>
      <c r="S7265">
        <v>629.17999999999995</v>
      </c>
      <c r="T7265">
        <v>17616.91</v>
      </c>
      <c r="U7265" t="s">
        <v>7529</v>
      </c>
      <c r="V7265" t="s">
        <v>9409</v>
      </c>
      <c r="W7265" t="s">
        <v>423</v>
      </c>
    </row>
    <row r="7266" spans="1:23" hidden="1" x14ac:dyDescent="0.2">
      <c r="A7266">
        <v>2012</v>
      </c>
      <c r="B7266" t="s">
        <v>303</v>
      </c>
      <c r="C7266" s="733">
        <v>40919</v>
      </c>
      <c r="D726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66" t="s">
        <v>485</v>
      </c>
      <c r="F7266" t="s">
        <v>2054</v>
      </c>
      <c r="G7266" t="s">
        <v>2238</v>
      </c>
      <c r="H7266">
        <v>9991</v>
      </c>
      <c r="I7266" t="s">
        <v>423</v>
      </c>
      <c r="J7266" t="s">
        <v>2072</v>
      </c>
      <c r="K7266" t="s">
        <v>2057</v>
      </c>
      <c r="L7266" t="s">
        <v>2058</v>
      </c>
      <c r="M7266">
        <v>406</v>
      </c>
      <c r="N7266">
        <v>46.29</v>
      </c>
      <c r="O7266">
        <v>12650.13</v>
      </c>
      <c r="P7266">
        <v>0</v>
      </c>
      <c r="Q7266">
        <v>12650.13</v>
      </c>
      <c r="R7266">
        <v>2024.02</v>
      </c>
      <c r="S7266">
        <v>506.01</v>
      </c>
      <c r="T7266">
        <v>14168.14</v>
      </c>
      <c r="U7266" t="s">
        <v>2070</v>
      </c>
      <c r="V7266" t="s">
        <v>9409</v>
      </c>
      <c r="W7266" t="s">
        <v>423</v>
      </c>
    </row>
    <row r="7267" spans="1:23" hidden="1" x14ac:dyDescent="0.2">
      <c r="A7267">
        <v>2012</v>
      </c>
      <c r="B7267" t="s">
        <v>304</v>
      </c>
      <c r="C7267" s="733">
        <v>40949</v>
      </c>
      <c r="D72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67" t="s">
        <v>485</v>
      </c>
      <c r="F7267" t="s">
        <v>2054</v>
      </c>
      <c r="G7267" t="s">
        <v>2237</v>
      </c>
      <c r="H7267">
        <v>10371</v>
      </c>
      <c r="I7267" t="s">
        <v>423</v>
      </c>
      <c r="J7267" t="s">
        <v>2072</v>
      </c>
      <c r="K7267" t="s">
        <v>2057</v>
      </c>
      <c r="L7267" t="s">
        <v>2058</v>
      </c>
      <c r="M7267">
        <v>406</v>
      </c>
      <c r="N7267">
        <v>23.72</v>
      </c>
      <c r="O7267">
        <v>6482.2</v>
      </c>
      <c r="P7267">
        <v>0</v>
      </c>
      <c r="Q7267">
        <v>6482.2</v>
      </c>
      <c r="R7267">
        <v>713.04</v>
      </c>
      <c r="S7267">
        <v>259.29000000000002</v>
      </c>
      <c r="T7267">
        <v>6935.95</v>
      </c>
      <c r="U7267" t="s">
        <v>2082</v>
      </c>
      <c r="V7267" t="s">
        <v>9409</v>
      </c>
      <c r="W7267" t="s">
        <v>423</v>
      </c>
    </row>
    <row r="7268" spans="1:23" hidden="1" x14ac:dyDescent="0.2">
      <c r="A7268">
        <v>2012</v>
      </c>
      <c r="B7268" t="s">
        <v>303</v>
      </c>
      <c r="C7268" s="733">
        <v>40932.454652777778</v>
      </c>
      <c r="D72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68" t="s">
        <v>485</v>
      </c>
      <c r="F7268" t="s">
        <v>2054</v>
      </c>
      <c r="G7268" t="s">
        <v>2239</v>
      </c>
      <c r="H7268">
        <v>10189</v>
      </c>
      <c r="I7268" t="s">
        <v>423</v>
      </c>
      <c r="J7268" t="s">
        <v>2072</v>
      </c>
      <c r="K7268" t="s">
        <v>2057</v>
      </c>
      <c r="L7268" t="s">
        <v>2058</v>
      </c>
      <c r="M7268">
        <v>406</v>
      </c>
      <c r="N7268">
        <v>47.41</v>
      </c>
      <c r="O7268">
        <v>12956.2</v>
      </c>
      <c r="P7268">
        <v>0</v>
      </c>
      <c r="Q7268">
        <v>12956.2</v>
      </c>
      <c r="R7268">
        <v>2072.9899999999998</v>
      </c>
      <c r="S7268">
        <v>518.25</v>
      </c>
      <c r="T7268">
        <v>14510.94</v>
      </c>
      <c r="U7268" t="s">
        <v>2075</v>
      </c>
      <c r="V7268" t="s">
        <v>9409</v>
      </c>
      <c r="W7268" t="s">
        <v>423</v>
      </c>
    </row>
    <row r="7269" spans="1:23" hidden="1" x14ac:dyDescent="0.2">
      <c r="A7269">
        <v>2012</v>
      </c>
      <c r="B7269" t="s">
        <v>303</v>
      </c>
      <c r="C7269" s="733">
        <v>40926</v>
      </c>
      <c r="D726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69" t="s">
        <v>485</v>
      </c>
      <c r="F7269" t="s">
        <v>2048</v>
      </c>
      <c r="G7269" t="s">
        <v>7375</v>
      </c>
      <c r="H7269">
        <v>40532</v>
      </c>
      <c r="I7269" t="s">
        <v>423</v>
      </c>
      <c r="J7269" t="s">
        <v>4091</v>
      </c>
      <c r="K7269" t="s">
        <v>2051</v>
      </c>
      <c r="L7269" t="s">
        <v>2052</v>
      </c>
      <c r="M7269">
        <v>1092</v>
      </c>
      <c r="N7269">
        <v>56.8</v>
      </c>
      <c r="O7269">
        <v>33142.800000000003</v>
      </c>
      <c r="P7269">
        <v>0</v>
      </c>
      <c r="Q7269">
        <v>33142.800000000003</v>
      </c>
      <c r="R7269">
        <v>5302.85</v>
      </c>
      <c r="S7269">
        <v>1325.71</v>
      </c>
      <c r="T7269">
        <v>37119.94</v>
      </c>
      <c r="U7269" t="s">
        <v>2062</v>
      </c>
      <c r="V7269" t="s">
        <v>9409</v>
      </c>
      <c r="W7269" t="s">
        <v>423</v>
      </c>
    </row>
    <row r="7270" spans="1:23" hidden="1" x14ac:dyDescent="0.2">
      <c r="A7270">
        <v>2012</v>
      </c>
      <c r="B7270" t="s">
        <v>303</v>
      </c>
      <c r="C7270" s="733">
        <v>40927</v>
      </c>
      <c r="D72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70" t="s">
        <v>505</v>
      </c>
      <c r="F7270" t="s">
        <v>1915</v>
      </c>
      <c r="G7270" t="s">
        <v>3034</v>
      </c>
      <c r="H7270">
        <v>22067</v>
      </c>
      <c r="I7270" t="s">
        <v>423</v>
      </c>
      <c r="J7270" t="s">
        <v>1943</v>
      </c>
      <c r="K7270" t="s">
        <v>1918</v>
      </c>
      <c r="L7270" t="s">
        <v>1919</v>
      </c>
      <c r="M7270">
        <v>319</v>
      </c>
      <c r="N7270">
        <v>28.06</v>
      </c>
      <c r="O7270">
        <v>8228.31</v>
      </c>
      <c r="P7270">
        <v>0</v>
      </c>
      <c r="Q7270">
        <v>8228.31</v>
      </c>
      <c r="R7270">
        <v>1316.53</v>
      </c>
      <c r="S7270">
        <v>329.13</v>
      </c>
      <c r="T7270">
        <v>9215.7099999999991</v>
      </c>
      <c r="U7270" t="s">
        <v>1936</v>
      </c>
      <c r="V7270" t="s">
        <v>9408</v>
      </c>
      <c r="W7270" t="s">
        <v>423</v>
      </c>
    </row>
    <row r="7271" spans="1:23" hidden="1" x14ac:dyDescent="0.2">
      <c r="A7271">
        <v>2012</v>
      </c>
      <c r="B7271" t="s">
        <v>304</v>
      </c>
      <c r="C7271" s="733">
        <v>40952.55982638889</v>
      </c>
      <c r="D72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71" t="s">
        <v>485</v>
      </c>
      <c r="F7271" t="s">
        <v>2054</v>
      </c>
      <c r="G7271" t="s">
        <v>2230</v>
      </c>
      <c r="H7271">
        <v>10412</v>
      </c>
      <c r="I7271" t="s">
        <v>423</v>
      </c>
      <c r="J7271" t="s">
        <v>2072</v>
      </c>
      <c r="K7271" t="s">
        <v>2057</v>
      </c>
      <c r="L7271" t="s">
        <v>2058</v>
      </c>
      <c r="M7271">
        <v>406</v>
      </c>
      <c r="N7271">
        <v>46.65</v>
      </c>
      <c r="O7271">
        <v>12748.51</v>
      </c>
      <c r="P7271">
        <v>0</v>
      </c>
      <c r="Q7271">
        <v>12748.51</v>
      </c>
      <c r="R7271">
        <v>1402.34</v>
      </c>
      <c r="S7271">
        <v>509.94</v>
      </c>
      <c r="T7271">
        <v>13640.91</v>
      </c>
      <c r="U7271" t="s">
        <v>8864</v>
      </c>
      <c r="V7271" t="s">
        <v>9409</v>
      </c>
      <c r="W7271" t="s">
        <v>423</v>
      </c>
    </row>
    <row r="7272" spans="1:23" hidden="1" x14ac:dyDescent="0.2">
      <c r="A7272">
        <v>2012</v>
      </c>
      <c r="B7272" t="s">
        <v>304</v>
      </c>
      <c r="C7272" s="733">
        <v>40964</v>
      </c>
      <c r="D72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72" t="s">
        <v>485</v>
      </c>
      <c r="F7272" t="s">
        <v>2054</v>
      </c>
      <c r="G7272" t="s">
        <v>8776</v>
      </c>
      <c r="H7272">
        <v>10554</v>
      </c>
      <c r="I7272" t="s">
        <v>423</v>
      </c>
      <c r="J7272" t="s">
        <v>2072</v>
      </c>
      <c r="K7272" t="s">
        <v>2057</v>
      </c>
      <c r="L7272" t="s">
        <v>2058</v>
      </c>
      <c r="M7272">
        <v>406</v>
      </c>
      <c r="N7272">
        <v>23.92</v>
      </c>
      <c r="O7272">
        <v>6536.86</v>
      </c>
      <c r="P7272">
        <v>0</v>
      </c>
      <c r="Q7272">
        <v>6536.86</v>
      </c>
      <c r="R7272">
        <v>719.05</v>
      </c>
      <c r="S7272">
        <v>261.47000000000003</v>
      </c>
      <c r="T7272">
        <v>6994.44</v>
      </c>
      <c r="U7272" t="s">
        <v>8864</v>
      </c>
      <c r="V7272" t="s">
        <v>9408</v>
      </c>
      <c r="W7272" t="s">
        <v>423</v>
      </c>
    </row>
    <row r="7273" spans="1:23" hidden="1" x14ac:dyDescent="0.2">
      <c r="A7273">
        <v>2012</v>
      </c>
      <c r="B7273" t="s">
        <v>304</v>
      </c>
      <c r="C7273" s="733">
        <v>40947</v>
      </c>
      <c r="D72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73" t="s">
        <v>485</v>
      </c>
      <c r="F7273" t="s">
        <v>2065</v>
      </c>
      <c r="G7273" t="s">
        <v>7348</v>
      </c>
      <c r="H7273">
        <v>41411</v>
      </c>
      <c r="I7273" t="s">
        <v>423</v>
      </c>
      <c r="J7273" t="s">
        <v>3972</v>
      </c>
      <c r="K7273" t="s">
        <v>2183</v>
      </c>
      <c r="L7273" t="s">
        <v>2184</v>
      </c>
      <c r="M7273">
        <v>184</v>
      </c>
      <c r="N7273">
        <v>49.31</v>
      </c>
      <c r="O7273">
        <v>8773.24</v>
      </c>
      <c r="P7273">
        <v>0</v>
      </c>
      <c r="Q7273">
        <v>8773.24</v>
      </c>
      <c r="R7273">
        <v>1403.72</v>
      </c>
      <c r="S7273">
        <v>350.93</v>
      </c>
      <c r="T7273">
        <v>9826.0300000000007</v>
      </c>
      <c r="U7273" t="s">
        <v>2192</v>
      </c>
      <c r="V7273" t="s">
        <v>9409</v>
      </c>
      <c r="W7273" t="s">
        <v>423</v>
      </c>
    </row>
    <row r="7274" spans="1:23" hidden="1" x14ac:dyDescent="0.2">
      <c r="A7274">
        <v>2012</v>
      </c>
      <c r="B7274" t="s">
        <v>303</v>
      </c>
      <c r="C7274" s="733">
        <v>40928</v>
      </c>
      <c r="D72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74" t="s">
        <v>505</v>
      </c>
      <c r="F7274" t="s">
        <v>1915</v>
      </c>
      <c r="G7274" t="s">
        <v>2470</v>
      </c>
      <c r="H7274">
        <v>22121</v>
      </c>
      <c r="I7274" t="s">
        <v>423</v>
      </c>
      <c r="J7274" t="s">
        <v>1943</v>
      </c>
      <c r="K7274" t="s">
        <v>1918</v>
      </c>
      <c r="L7274" t="s">
        <v>1919</v>
      </c>
      <c r="M7274">
        <v>319</v>
      </c>
      <c r="N7274">
        <v>53.91</v>
      </c>
      <c r="O7274">
        <v>15808.57</v>
      </c>
      <c r="P7274">
        <v>0</v>
      </c>
      <c r="Q7274">
        <v>15808.57</v>
      </c>
      <c r="R7274">
        <v>2529.37</v>
      </c>
      <c r="S7274">
        <v>632.34</v>
      </c>
      <c r="T7274">
        <v>17705.599999999999</v>
      </c>
      <c r="U7274" t="s">
        <v>1936</v>
      </c>
      <c r="V7274" t="s">
        <v>9409</v>
      </c>
      <c r="W7274" t="s">
        <v>423</v>
      </c>
    </row>
    <row r="7275" spans="1:23" hidden="1" x14ac:dyDescent="0.2">
      <c r="A7275">
        <v>2012</v>
      </c>
      <c r="B7275" t="s">
        <v>303</v>
      </c>
      <c r="C7275" s="733">
        <v>40914.647002314814</v>
      </c>
      <c r="D72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75" t="s">
        <v>505</v>
      </c>
      <c r="F7275" t="s">
        <v>1915</v>
      </c>
      <c r="G7275" t="s">
        <v>2471</v>
      </c>
      <c r="H7275">
        <v>21775</v>
      </c>
      <c r="I7275" t="s">
        <v>423</v>
      </c>
      <c r="J7275" t="s">
        <v>1943</v>
      </c>
      <c r="K7275" t="s">
        <v>1918</v>
      </c>
      <c r="L7275" t="s">
        <v>1919</v>
      </c>
      <c r="M7275">
        <v>319</v>
      </c>
      <c r="N7275">
        <v>53.65</v>
      </c>
      <c r="O7275">
        <v>15732.33</v>
      </c>
      <c r="P7275">
        <v>0</v>
      </c>
      <c r="Q7275">
        <v>15732.33</v>
      </c>
      <c r="R7275">
        <v>2517.17</v>
      </c>
      <c r="S7275">
        <v>629.29</v>
      </c>
      <c r="T7275">
        <v>17620.21</v>
      </c>
      <c r="U7275" t="s">
        <v>1931</v>
      </c>
      <c r="V7275" t="s">
        <v>9409</v>
      </c>
      <c r="W7275" t="s">
        <v>423</v>
      </c>
    </row>
    <row r="7276" spans="1:23" hidden="1" x14ac:dyDescent="0.2">
      <c r="A7276">
        <v>2012</v>
      </c>
      <c r="B7276" t="s">
        <v>303</v>
      </c>
      <c r="C7276" s="733">
        <v>40921</v>
      </c>
      <c r="D727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76" t="s">
        <v>505</v>
      </c>
      <c r="F7276" t="s">
        <v>1915</v>
      </c>
      <c r="G7276" t="s">
        <v>2472</v>
      </c>
      <c r="H7276">
        <v>21944</v>
      </c>
      <c r="I7276" t="s">
        <v>423</v>
      </c>
      <c r="J7276" t="s">
        <v>1943</v>
      </c>
      <c r="K7276" t="s">
        <v>1918</v>
      </c>
      <c r="L7276" t="s">
        <v>1919</v>
      </c>
      <c r="M7276">
        <v>319</v>
      </c>
      <c r="N7276">
        <v>54.15</v>
      </c>
      <c r="O7276">
        <v>15878.95</v>
      </c>
      <c r="P7276">
        <v>0</v>
      </c>
      <c r="Q7276">
        <v>15878.95</v>
      </c>
      <c r="R7276">
        <v>2540.63</v>
      </c>
      <c r="S7276">
        <v>635.16</v>
      </c>
      <c r="T7276">
        <v>17784.419999999998</v>
      </c>
      <c r="U7276" t="s">
        <v>1931</v>
      </c>
      <c r="V7276" t="s">
        <v>9409</v>
      </c>
      <c r="W7276" t="s">
        <v>423</v>
      </c>
    </row>
    <row r="7277" spans="1:23" hidden="1" x14ac:dyDescent="0.2">
      <c r="A7277">
        <v>2012</v>
      </c>
      <c r="B7277" t="s">
        <v>304</v>
      </c>
      <c r="C7277" s="733">
        <v>40954</v>
      </c>
      <c r="D72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77" t="s">
        <v>505</v>
      </c>
      <c r="F7277" t="s">
        <v>1915</v>
      </c>
      <c r="G7277" t="s">
        <v>7517</v>
      </c>
      <c r="H7277">
        <v>22721</v>
      </c>
      <c r="I7277" t="s">
        <v>423</v>
      </c>
      <c r="J7277" t="s">
        <v>7772</v>
      </c>
      <c r="K7277" t="s">
        <v>1918</v>
      </c>
      <c r="L7277" t="s">
        <v>1919</v>
      </c>
      <c r="M7277">
        <v>370</v>
      </c>
      <c r="N7277">
        <v>25.1</v>
      </c>
      <c r="O7277">
        <v>6716.26</v>
      </c>
      <c r="P7277">
        <v>0</v>
      </c>
      <c r="Q7277">
        <v>6716.26</v>
      </c>
      <c r="R7277">
        <v>1074.5999999999999</v>
      </c>
      <c r="S7277">
        <v>268.64999999999998</v>
      </c>
      <c r="T7277">
        <v>7522.21</v>
      </c>
      <c r="U7277" t="s">
        <v>7529</v>
      </c>
      <c r="V7277" t="s">
        <v>9408</v>
      </c>
      <c r="W7277" t="s">
        <v>423</v>
      </c>
    </row>
    <row r="7278" spans="1:23" hidden="1" x14ac:dyDescent="0.2">
      <c r="A7278">
        <v>2012</v>
      </c>
      <c r="B7278" t="s">
        <v>304</v>
      </c>
      <c r="C7278" s="733">
        <v>40947</v>
      </c>
      <c r="D72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78" t="s">
        <v>478</v>
      </c>
      <c r="F7278" t="s">
        <v>2136</v>
      </c>
      <c r="G7278" t="s">
        <v>7436</v>
      </c>
      <c r="H7278">
        <v>35365</v>
      </c>
      <c r="I7278" t="s">
        <v>423</v>
      </c>
      <c r="J7278" t="s">
        <v>5735</v>
      </c>
      <c r="K7278" t="s">
        <v>425</v>
      </c>
      <c r="L7278" t="s">
        <v>2145</v>
      </c>
      <c r="M7278">
        <v>193</v>
      </c>
      <c r="N7278">
        <v>25.44</v>
      </c>
      <c r="O7278">
        <v>4520.9399999999996</v>
      </c>
      <c r="P7278">
        <v>0</v>
      </c>
      <c r="Q7278">
        <v>4520.9399999999996</v>
      </c>
      <c r="R7278">
        <v>723.35</v>
      </c>
      <c r="S7278">
        <v>180.84</v>
      </c>
      <c r="T7278">
        <v>5063.45</v>
      </c>
      <c r="U7278" t="s">
        <v>2938</v>
      </c>
      <c r="V7278" t="s">
        <v>9408</v>
      </c>
      <c r="W7278" t="s">
        <v>423</v>
      </c>
    </row>
    <row r="7279" spans="1:23" hidden="1" x14ac:dyDescent="0.2">
      <c r="A7279">
        <v>2012</v>
      </c>
      <c r="B7279" t="s">
        <v>304</v>
      </c>
      <c r="C7279" s="733">
        <v>40942.61041666667</v>
      </c>
      <c r="D727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79" t="s">
        <v>505</v>
      </c>
      <c r="F7279" t="s">
        <v>1915</v>
      </c>
      <c r="G7279" t="s">
        <v>3030</v>
      </c>
      <c r="H7279">
        <v>22475</v>
      </c>
      <c r="I7279" t="s">
        <v>423</v>
      </c>
      <c r="J7279" t="s">
        <v>1943</v>
      </c>
      <c r="K7279" t="s">
        <v>1918</v>
      </c>
      <c r="L7279" t="s">
        <v>1919</v>
      </c>
      <c r="M7279">
        <v>319</v>
      </c>
      <c r="N7279">
        <v>26.95</v>
      </c>
      <c r="O7279">
        <v>7902.82</v>
      </c>
      <c r="P7279">
        <v>0</v>
      </c>
      <c r="Q7279">
        <v>7902.82</v>
      </c>
      <c r="R7279">
        <v>1264.45</v>
      </c>
      <c r="S7279">
        <v>316.11</v>
      </c>
      <c r="T7279">
        <v>8851.16</v>
      </c>
      <c r="U7279" t="s">
        <v>1924</v>
      </c>
      <c r="V7279" t="s">
        <v>9408</v>
      </c>
      <c r="W7279" t="s">
        <v>423</v>
      </c>
    </row>
    <row r="7280" spans="1:23" hidden="1" x14ac:dyDescent="0.2">
      <c r="A7280">
        <v>2012</v>
      </c>
      <c r="B7280" t="s">
        <v>304</v>
      </c>
      <c r="C7280" s="733">
        <v>40957</v>
      </c>
      <c r="D728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80" t="s">
        <v>505</v>
      </c>
      <c r="F7280" t="s">
        <v>1915</v>
      </c>
      <c r="G7280" t="s">
        <v>7937</v>
      </c>
      <c r="H7280">
        <v>22831</v>
      </c>
      <c r="I7280" t="s">
        <v>423</v>
      </c>
      <c r="J7280" t="s">
        <v>1943</v>
      </c>
      <c r="K7280" t="s">
        <v>1918</v>
      </c>
      <c r="L7280" t="s">
        <v>1919</v>
      </c>
      <c r="M7280">
        <v>319</v>
      </c>
      <c r="N7280">
        <v>52.57</v>
      </c>
      <c r="O7280">
        <v>15415.63</v>
      </c>
      <c r="P7280">
        <v>0</v>
      </c>
      <c r="Q7280">
        <v>15415.63</v>
      </c>
      <c r="R7280">
        <v>2466.5</v>
      </c>
      <c r="S7280">
        <v>616.63</v>
      </c>
      <c r="T7280">
        <v>17265.5</v>
      </c>
      <c r="U7280" t="s">
        <v>8491</v>
      </c>
      <c r="V7280" t="s">
        <v>9409</v>
      </c>
      <c r="W7280" t="s">
        <v>423</v>
      </c>
    </row>
    <row r="7281" spans="1:23" hidden="1" x14ac:dyDescent="0.2">
      <c r="A7281">
        <v>2012</v>
      </c>
      <c r="B7281" t="s">
        <v>304</v>
      </c>
      <c r="C7281" s="733">
        <v>40960</v>
      </c>
      <c r="D72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81" t="s">
        <v>505</v>
      </c>
      <c r="F7281" t="s">
        <v>1915</v>
      </c>
      <c r="G7281" t="s">
        <v>8347</v>
      </c>
      <c r="H7281">
        <v>22889</v>
      </c>
      <c r="I7281" t="s">
        <v>423</v>
      </c>
      <c r="J7281" t="s">
        <v>1943</v>
      </c>
      <c r="K7281" t="s">
        <v>1918</v>
      </c>
      <c r="L7281" t="s">
        <v>1919</v>
      </c>
      <c r="M7281">
        <v>319</v>
      </c>
      <c r="N7281">
        <v>53.98</v>
      </c>
      <c r="O7281">
        <v>15829.1</v>
      </c>
      <c r="P7281">
        <v>0</v>
      </c>
      <c r="Q7281">
        <v>15829.1</v>
      </c>
      <c r="R7281">
        <v>2532.66</v>
      </c>
      <c r="S7281">
        <v>633.16</v>
      </c>
      <c r="T7281">
        <v>17728.599999999999</v>
      </c>
      <c r="U7281" t="s">
        <v>8491</v>
      </c>
      <c r="V7281" t="s">
        <v>9409</v>
      </c>
      <c r="W7281" t="s">
        <v>423</v>
      </c>
    </row>
    <row r="7282" spans="1:23" hidden="1" x14ac:dyDescent="0.2">
      <c r="A7282">
        <v>2012</v>
      </c>
      <c r="B7282" t="s">
        <v>304</v>
      </c>
      <c r="C7282" s="733">
        <v>40941</v>
      </c>
      <c r="D72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82" t="s">
        <v>485</v>
      </c>
      <c r="F7282" t="s">
        <v>2065</v>
      </c>
      <c r="G7282" t="s">
        <v>2125</v>
      </c>
      <c r="H7282">
        <v>39861</v>
      </c>
      <c r="I7282" t="s">
        <v>423</v>
      </c>
      <c r="J7282" t="s">
        <v>2126</v>
      </c>
      <c r="K7282" t="s">
        <v>2102</v>
      </c>
      <c r="L7282" t="s">
        <v>2115</v>
      </c>
      <c r="M7282">
        <v>930</v>
      </c>
      <c r="N7282">
        <v>24.78</v>
      </c>
      <c r="O7282">
        <v>14547.84</v>
      </c>
      <c r="P7282">
        <v>0</v>
      </c>
      <c r="Q7282">
        <v>14547.84</v>
      </c>
      <c r="R7282">
        <v>2327.65</v>
      </c>
      <c r="S7282">
        <v>581.91</v>
      </c>
      <c r="T7282">
        <v>16293.58</v>
      </c>
      <c r="U7282" t="s">
        <v>2110</v>
      </c>
      <c r="V7282" t="s">
        <v>9409</v>
      </c>
      <c r="W7282" t="s">
        <v>423</v>
      </c>
    </row>
    <row r="7283" spans="1:23" x14ac:dyDescent="0.2">
      <c r="A7283">
        <v>2012</v>
      </c>
      <c r="B7283" t="s">
        <v>304</v>
      </c>
      <c r="C7283" s="733">
        <v>40968</v>
      </c>
      <c r="D72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83" t="s">
        <v>485</v>
      </c>
      <c r="F7283" t="s">
        <v>2065</v>
      </c>
      <c r="G7283" t="s">
        <v>9292</v>
      </c>
      <c r="H7283">
        <v>42753</v>
      </c>
      <c r="I7283" t="s">
        <v>423</v>
      </c>
      <c r="J7283" t="s">
        <v>2126</v>
      </c>
      <c r="K7283" t="s">
        <v>2102</v>
      </c>
      <c r="L7283" t="s">
        <v>2115</v>
      </c>
      <c r="M7283">
        <v>930</v>
      </c>
      <c r="N7283">
        <v>24.32</v>
      </c>
      <c r="O7283">
        <v>14277.79</v>
      </c>
      <c r="P7283">
        <v>0</v>
      </c>
      <c r="Q7283">
        <v>14277.79</v>
      </c>
      <c r="R7283">
        <v>2284.4499999999998</v>
      </c>
      <c r="S7283">
        <v>571.11</v>
      </c>
      <c r="T7283">
        <v>15991.13</v>
      </c>
      <c r="V7283" t="s">
        <v>9409</v>
      </c>
      <c r="W7283" t="s">
        <v>423</v>
      </c>
    </row>
    <row r="7284" spans="1:23" hidden="1" x14ac:dyDescent="0.2">
      <c r="A7284">
        <v>2012</v>
      </c>
      <c r="B7284" t="s">
        <v>303</v>
      </c>
      <c r="C7284" s="733">
        <v>40924</v>
      </c>
      <c r="D72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84" t="s">
        <v>485</v>
      </c>
      <c r="F7284" t="s">
        <v>2065</v>
      </c>
      <c r="G7284" t="s">
        <v>2127</v>
      </c>
      <c r="H7284">
        <v>40246</v>
      </c>
      <c r="I7284" t="s">
        <v>423</v>
      </c>
      <c r="J7284" t="s">
        <v>2126</v>
      </c>
      <c r="K7284" t="s">
        <v>2102</v>
      </c>
      <c r="L7284" t="s">
        <v>2115</v>
      </c>
      <c r="M7284">
        <v>930</v>
      </c>
      <c r="N7284">
        <v>27.39</v>
      </c>
      <c r="O7284">
        <v>16080.12</v>
      </c>
      <c r="P7284">
        <v>0</v>
      </c>
      <c r="Q7284">
        <v>16080.12</v>
      </c>
      <c r="R7284">
        <v>2572.8200000000002</v>
      </c>
      <c r="S7284">
        <v>643.20000000000005</v>
      </c>
      <c r="T7284">
        <v>18009.740000000002</v>
      </c>
      <c r="U7284" t="s">
        <v>2106</v>
      </c>
      <c r="V7284" t="s">
        <v>9408</v>
      </c>
      <c r="W7284" t="s">
        <v>423</v>
      </c>
    </row>
    <row r="7285" spans="1:23" hidden="1" x14ac:dyDescent="0.2">
      <c r="A7285">
        <v>2012</v>
      </c>
      <c r="B7285" t="s">
        <v>304</v>
      </c>
      <c r="C7285" s="733">
        <v>40948</v>
      </c>
      <c r="D72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85" t="s">
        <v>485</v>
      </c>
      <c r="F7285" t="s">
        <v>3450</v>
      </c>
      <c r="G7285" t="s">
        <v>7284</v>
      </c>
      <c r="H7285">
        <v>41455</v>
      </c>
      <c r="I7285" t="s">
        <v>423</v>
      </c>
      <c r="J7285" t="s">
        <v>3462</v>
      </c>
      <c r="K7285" t="s">
        <v>3453</v>
      </c>
      <c r="L7285" t="s">
        <v>3454</v>
      </c>
      <c r="M7285">
        <v>425</v>
      </c>
      <c r="N7285">
        <v>29</v>
      </c>
      <c r="O7285">
        <v>8092.16</v>
      </c>
      <c r="P7285">
        <v>0</v>
      </c>
      <c r="Q7285">
        <v>8092.16</v>
      </c>
      <c r="R7285">
        <v>1294.75</v>
      </c>
      <c r="S7285">
        <v>323.69</v>
      </c>
      <c r="T7285">
        <v>9063.2199999999993</v>
      </c>
      <c r="U7285" t="s">
        <v>3455</v>
      </c>
      <c r="V7285" t="s">
        <v>9408</v>
      </c>
      <c r="W7285" t="s">
        <v>423</v>
      </c>
    </row>
    <row r="7286" spans="1:23" hidden="1" x14ac:dyDescent="0.2">
      <c r="A7286">
        <v>2012</v>
      </c>
      <c r="B7286" t="s">
        <v>304</v>
      </c>
      <c r="C7286" s="733">
        <v>40941</v>
      </c>
      <c r="D72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86" t="s">
        <v>485</v>
      </c>
      <c r="F7286" t="s">
        <v>2065</v>
      </c>
      <c r="G7286" t="s">
        <v>7262</v>
      </c>
      <c r="H7286">
        <v>39688</v>
      </c>
      <c r="I7286" t="s">
        <v>423</v>
      </c>
      <c r="J7286" t="s">
        <v>2126</v>
      </c>
      <c r="K7286" t="s">
        <v>2102</v>
      </c>
      <c r="L7286" t="s">
        <v>2115</v>
      </c>
      <c r="M7286">
        <v>930</v>
      </c>
      <c r="N7286">
        <v>25.87</v>
      </c>
      <c r="O7286">
        <v>15187.76</v>
      </c>
      <c r="P7286">
        <v>0</v>
      </c>
      <c r="Q7286">
        <v>15187.76</v>
      </c>
      <c r="R7286">
        <v>2430.04</v>
      </c>
      <c r="S7286">
        <v>607.51</v>
      </c>
      <c r="T7286">
        <v>17010.29</v>
      </c>
      <c r="U7286" t="s">
        <v>2110</v>
      </c>
      <c r="V7286" t="s">
        <v>9409</v>
      </c>
      <c r="W7286" t="s">
        <v>423</v>
      </c>
    </row>
    <row r="7287" spans="1:23" hidden="1" x14ac:dyDescent="0.2">
      <c r="A7287">
        <v>2012</v>
      </c>
      <c r="B7287" t="s">
        <v>304</v>
      </c>
      <c r="C7287" s="733">
        <v>40946</v>
      </c>
      <c r="D72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87" t="s">
        <v>485</v>
      </c>
      <c r="F7287" t="s">
        <v>2065</v>
      </c>
      <c r="G7287" t="s">
        <v>7264</v>
      </c>
      <c r="H7287">
        <v>41405</v>
      </c>
      <c r="I7287" t="s">
        <v>423</v>
      </c>
      <c r="J7287" t="s">
        <v>2126</v>
      </c>
      <c r="K7287" t="s">
        <v>2102</v>
      </c>
      <c r="L7287" t="s">
        <v>2115</v>
      </c>
      <c r="M7287">
        <v>930</v>
      </c>
      <c r="N7287">
        <v>24.98</v>
      </c>
      <c r="O7287">
        <v>14665.26</v>
      </c>
      <c r="P7287">
        <v>0</v>
      </c>
      <c r="Q7287">
        <v>14665.26</v>
      </c>
      <c r="R7287">
        <v>2346.44</v>
      </c>
      <c r="S7287">
        <v>586.61</v>
      </c>
      <c r="T7287">
        <v>16425.09</v>
      </c>
      <c r="U7287" t="s">
        <v>7462</v>
      </c>
      <c r="V7287" t="s">
        <v>9408</v>
      </c>
      <c r="W7287" t="s">
        <v>423</v>
      </c>
    </row>
    <row r="7288" spans="1:23" hidden="1" x14ac:dyDescent="0.2">
      <c r="A7288">
        <v>2012</v>
      </c>
      <c r="B7288" t="s">
        <v>303</v>
      </c>
      <c r="C7288" s="733">
        <v>40931.495011574072</v>
      </c>
      <c r="D72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88" t="s">
        <v>485</v>
      </c>
      <c r="F7288" t="s">
        <v>2065</v>
      </c>
      <c r="G7288" t="s">
        <v>2123</v>
      </c>
      <c r="H7288">
        <v>40584</v>
      </c>
      <c r="I7288" t="s">
        <v>423</v>
      </c>
      <c r="J7288" t="s">
        <v>2124</v>
      </c>
      <c r="K7288" t="s">
        <v>2102</v>
      </c>
      <c r="L7288" t="s">
        <v>2115</v>
      </c>
      <c r="M7288">
        <v>981</v>
      </c>
      <c r="N7288">
        <v>25.23</v>
      </c>
      <c r="O7288">
        <v>14812.03</v>
      </c>
      <c r="P7288">
        <v>0</v>
      </c>
      <c r="Q7288">
        <v>14812.03</v>
      </c>
      <c r="R7288">
        <v>2369.92</v>
      </c>
      <c r="S7288">
        <v>592.48</v>
      </c>
      <c r="T7288">
        <v>16589.47</v>
      </c>
      <c r="U7288" t="s">
        <v>2108</v>
      </c>
      <c r="V7288" t="s">
        <v>9409</v>
      </c>
      <c r="W7288" t="s">
        <v>423</v>
      </c>
    </row>
    <row r="7289" spans="1:23" hidden="1" x14ac:dyDescent="0.2">
      <c r="A7289">
        <v>2012</v>
      </c>
      <c r="B7289" t="s">
        <v>303</v>
      </c>
      <c r="C7289" s="733">
        <v>40931</v>
      </c>
      <c r="D72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89" t="s">
        <v>478</v>
      </c>
      <c r="F7289" t="s">
        <v>2136</v>
      </c>
      <c r="G7289" t="s">
        <v>7446</v>
      </c>
      <c r="H7289">
        <v>34707</v>
      </c>
      <c r="I7289" t="s">
        <v>423</v>
      </c>
      <c r="J7289" t="s">
        <v>2793</v>
      </c>
      <c r="K7289" t="s">
        <v>425</v>
      </c>
      <c r="L7289" t="s">
        <v>2145</v>
      </c>
      <c r="M7289">
        <v>1147</v>
      </c>
      <c r="N7289">
        <v>29.38</v>
      </c>
      <c r="O7289">
        <v>13555.34</v>
      </c>
      <c r="P7289">
        <v>0</v>
      </c>
      <c r="Q7289">
        <v>13555.34</v>
      </c>
      <c r="R7289">
        <v>2168.86</v>
      </c>
      <c r="S7289">
        <v>542.21</v>
      </c>
      <c r="T7289">
        <v>15181.99</v>
      </c>
      <c r="U7289" t="s">
        <v>3234</v>
      </c>
      <c r="V7289" t="s">
        <v>9408</v>
      </c>
      <c r="W7289" t="s">
        <v>423</v>
      </c>
    </row>
    <row r="7290" spans="1:23" hidden="1" x14ac:dyDescent="0.2">
      <c r="A7290">
        <v>2012</v>
      </c>
      <c r="B7290" t="s">
        <v>303</v>
      </c>
      <c r="C7290" s="733">
        <v>40915</v>
      </c>
      <c r="D72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90" t="s">
        <v>478</v>
      </c>
      <c r="F7290" t="s">
        <v>2136</v>
      </c>
      <c r="G7290" t="s">
        <v>7263</v>
      </c>
      <c r="H7290">
        <v>34245</v>
      </c>
      <c r="I7290" t="s">
        <v>423</v>
      </c>
      <c r="J7290" t="s">
        <v>3326</v>
      </c>
      <c r="K7290" t="s">
        <v>425</v>
      </c>
      <c r="L7290" t="s">
        <v>2145</v>
      </c>
      <c r="M7290">
        <v>1218</v>
      </c>
      <c r="N7290">
        <v>26.29</v>
      </c>
      <c r="O7290">
        <v>14394.56</v>
      </c>
      <c r="P7290">
        <v>0</v>
      </c>
      <c r="Q7290">
        <v>14394.56</v>
      </c>
      <c r="R7290">
        <v>2303.13</v>
      </c>
      <c r="S7290">
        <v>575.78</v>
      </c>
      <c r="T7290">
        <v>16121.91</v>
      </c>
      <c r="U7290" t="s">
        <v>2150</v>
      </c>
      <c r="V7290" t="s">
        <v>9408</v>
      </c>
      <c r="W7290" t="s">
        <v>423</v>
      </c>
    </row>
    <row r="7291" spans="1:23" hidden="1" x14ac:dyDescent="0.2">
      <c r="A7291">
        <v>2012</v>
      </c>
      <c r="B7291" t="s">
        <v>303</v>
      </c>
      <c r="C7291" s="733">
        <v>40939.576828703706</v>
      </c>
      <c r="D72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91" t="s">
        <v>478</v>
      </c>
      <c r="F7291" t="s">
        <v>2136</v>
      </c>
      <c r="G7291" t="s">
        <v>7299</v>
      </c>
      <c r="H7291">
        <v>35165</v>
      </c>
      <c r="I7291" t="s">
        <v>423</v>
      </c>
      <c r="J7291" t="s">
        <v>3480</v>
      </c>
      <c r="K7291" t="s">
        <v>3481</v>
      </c>
      <c r="L7291" t="s">
        <v>3482</v>
      </c>
      <c r="M7291">
        <v>75</v>
      </c>
      <c r="N7291">
        <v>27.86</v>
      </c>
      <c r="O7291">
        <v>3144.56</v>
      </c>
      <c r="P7291">
        <v>0</v>
      </c>
      <c r="Q7291">
        <v>3144.56</v>
      </c>
      <c r="R7291">
        <v>503.13</v>
      </c>
      <c r="S7291">
        <v>125.78</v>
      </c>
      <c r="T7291">
        <v>3521.91</v>
      </c>
      <c r="U7291" t="s">
        <v>3794</v>
      </c>
      <c r="V7291" t="s">
        <v>9408</v>
      </c>
      <c r="W7291" t="s">
        <v>423</v>
      </c>
    </row>
    <row r="7292" spans="1:23" hidden="1" x14ac:dyDescent="0.2">
      <c r="A7292">
        <v>2012</v>
      </c>
      <c r="B7292" t="s">
        <v>303</v>
      </c>
      <c r="C7292" s="733">
        <v>40939.59983796296</v>
      </c>
      <c r="D72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92" t="s">
        <v>478</v>
      </c>
      <c r="F7292" t="s">
        <v>2136</v>
      </c>
      <c r="G7292" t="s">
        <v>7300</v>
      </c>
      <c r="H7292">
        <v>35171</v>
      </c>
      <c r="I7292" t="s">
        <v>423</v>
      </c>
      <c r="J7292" t="s">
        <v>3480</v>
      </c>
      <c r="K7292" t="s">
        <v>3481</v>
      </c>
      <c r="L7292" t="s">
        <v>3482</v>
      </c>
      <c r="M7292">
        <v>75</v>
      </c>
      <c r="N7292">
        <v>21.1</v>
      </c>
      <c r="O7292">
        <v>2381.56</v>
      </c>
      <c r="P7292">
        <v>0</v>
      </c>
      <c r="Q7292">
        <v>2381.56</v>
      </c>
      <c r="R7292">
        <v>381.05</v>
      </c>
      <c r="S7292">
        <v>95.26</v>
      </c>
      <c r="T7292">
        <v>2667.35</v>
      </c>
      <c r="U7292" t="s">
        <v>3794</v>
      </c>
      <c r="V7292" t="s">
        <v>9408</v>
      </c>
      <c r="W7292" t="s">
        <v>423</v>
      </c>
    </row>
    <row r="7293" spans="1:23" hidden="1" x14ac:dyDescent="0.2">
      <c r="A7293">
        <v>2012</v>
      </c>
      <c r="B7293" t="s">
        <v>303</v>
      </c>
      <c r="C7293" s="733">
        <v>40939.586226851854</v>
      </c>
      <c r="D72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93" t="s">
        <v>478</v>
      </c>
      <c r="F7293" t="s">
        <v>2136</v>
      </c>
      <c r="G7293" t="s">
        <v>7298</v>
      </c>
      <c r="H7293">
        <v>35169</v>
      </c>
      <c r="I7293" t="s">
        <v>423</v>
      </c>
      <c r="J7293" t="s">
        <v>3480</v>
      </c>
      <c r="K7293" t="s">
        <v>3481</v>
      </c>
      <c r="L7293" t="s">
        <v>3482</v>
      </c>
      <c r="M7293">
        <v>75</v>
      </c>
      <c r="N7293">
        <v>24.02</v>
      </c>
      <c r="O7293">
        <v>2711.14</v>
      </c>
      <c r="P7293">
        <v>0</v>
      </c>
      <c r="Q7293">
        <v>2711.14</v>
      </c>
      <c r="R7293">
        <v>433.78</v>
      </c>
      <c r="S7293">
        <v>108.45</v>
      </c>
      <c r="T7293">
        <v>3036.47</v>
      </c>
      <c r="U7293" t="s">
        <v>3794</v>
      </c>
      <c r="V7293" t="s">
        <v>9408</v>
      </c>
      <c r="W7293" t="s">
        <v>423</v>
      </c>
    </row>
    <row r="7294" spans="1:23" hidden="1" x14ac:dyDescent="0.2">
      <c r="A7294">
        <v>2012</v>
      </c>
      <c r="B7294" t="s">
        <v>303</v>
      </c>
      <c r="C7294" s="733">
        <v>40924</v>
      </c>
      <c r="D72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94" t="s">
        <v>485</v>
      </c>
      <c r="F7294" t="s">
        <v>2099</v>
      </c>
      <c r="G7294" t="s">
        <v>2112</v>
      </c>
      <c r="H7294">
        <v>40367</v>
      </c>
      <c r="I7294" t="s">
        <v>423</v>
      </c>
      <c r="J7294" t="s">
        <v>2101</v>
      </c>
      <c r="K7294" t="s">
        <v>2102</v>
      </c>
      <c r="L7294" t="s">
        <v>2103</v>
      </c>
      <c r="M7294">
        <v>119</v>
      </c>
      <c r="N7294">
        <v>25.02</v>
      </c>
      <c r="O7294">
        <v>4196.6000000000004</v>
      </c>
      <c r="P7294">
        <v>0</v>
      </c>
      <c r="Q7294">
        <v>4196.6000000000004</v>
      </c>
      <c r="R7294">
        <v>671.46</v>
      </c>
      <c r="S7294">
        <v>167.86</v>
      </c>
      <c r="T7294">
        <v>4700.2</v>
      </c>
      <c r="U7294" t="s">
        <v>2106</v>
      </c>
      <c r="V7294" t="s">
        <v>9408</v>
      </c>
      <c r="W7294" t="s">
        <v>423</v>
      </c>
    </row>
    <row r="7295" spans="1:23" hidden="1" x14ac:dyDescent="0.2">
      <c r="A7295">
        <v>2012</v>
      </c>
      <c r="B7295" t="s">
        <v>303</v>
      </c>
      <c r="C7295" s="733">
        <v>40938</v>
      </c>
      <c r="D72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95" t="s">
        <v>485</v>
      </c>
      <c r="F7295" t="s">
        <v>2099</v>
      </c>
      <c r="G7295" t="s">
        <v>7256</v>
      </c>
      <c r="H7295">
        <v>41129</v>
      </c>
      <c r="I7295" t="s">
        <v>423</v>
      </c>
      <c r="J7295" t="s">
        <v>2101</v>
      </c>
      <c r="K7295" t="s">
        <v>2102</v>
      </c>
      <c r="L7295" t="s">
        <v>2103</v>
      </c>
      <c r="M7295">
        <v>119</v>
      </c>
      <c r="N7295">
        <v>52.13</v>
      </c>
      <c r="O7295">
        <v>8743.76</v>
      </c>
      <c r="P7295">
        <v>0</v>
      </c>
      <c r="Q7295">
        <v>8743.76</v>
      </c>
      <c r="R7295">
        <v>1399</v>
      </c>
      <c r="S7295">
        <v>349.75</v>
      </c>
      <c r="T7295">
        <v>9793.01</v>
      </c>
      <c r="U7295" t="s">
        <v>2110</v>
      </c>
      <c r="V7295" t="s">
        <v>9409</v>
      </c>
      <c r="W7295" t="s">
        <v>423</v>
      </c>
    </row>
    <row r="7296" spans="1:23" hidden="1" x14ac:dyDescent="0.2">
      <c r="A7296">
        <v>2012</v>
      </c>
      <c r="B7296" t="s">
        <v>304</v>
      </c>
      <c r="C7296" s="733">
        <v>40946</v>
      </c>
      <c r="D72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96" t="s">
        <v>485</v>
      </c>
      <c r="F7296" t="s">
        <v>2099</v>
      </c>
      <c r="G7296" t="s">
        <v>2109</v>
      </c>
      <c r="H7296">
        <v>41519</v>
      </c>
      <c r="I7296" t="s">
        <v>423</v>
      </c>
      <c r="J7296" t="s">
        <v>2101</v>
      </c>
      <c r="K7296" t="s">
        <v>2102</v>
      </c>
      <c r="L7296" t="s">
        <v>2103</v>
      </c>
      <c r="M7296">
        <v>119</v>
      </c>
      <c r="N7296">
        <v>24.52</v>
      </c>
      <c r="O7296">
        <v>4112.74</v>
      </c>
      <c r="P7296">
        <v>0</v>
      </c>
      <c r="Q7296">
        <v>4112.74</v>
      </c>
      <c r="R7296">
        <v>658.04</v>
      </c>
      <c r="S7296">
        <v>164.51</v>
      </c>
      <c r="T7296">
        <v>4606.2700000000004</v>
      </c>
      <c r="U7296" t="s">
        <v>2110</v>
      </c>
      <c r="V7296" t="s">
        <v>9408</v>
      </c>
      <c r="W7296" t="s">
        <v>423</v>
      </c>
    </row>
    <row r="7297" spans="1:23" hidden="1" x14ac:dyDescent="0.2">
      <c r="A7297">
        <v>2012</v>
      </c>
      <c r="B7297" t="s">
        <v>304</v>
      </c>
      <c r="C7297" s="733">
        <v>40946</v>
      </c>
      <c r="D72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97" t="s">
        <v>485</v>
      </c>
      <c r="F7297" t="s">
        <v>2099</v>
      </c>
      <c r="G7297" t="s">
        <v>2111</v>
      </c>
      <c r="H7297">
        <v>41522</v>
      </c>
      <c r="I7297" t="s">
        <v>423</v>
      </c>
      <c r="J7297" t="s">
        <v>2101</v>
      </c>
      <c r="K7297" t="s">
        <v>2102</v>
      </c>
      <c r="L7297" t="s">
        <v>2103</v>
      </c>
      <c r="M7297">
        <v>119</v>
      </c>
      <c r="N7297">
        <v>24.45</v>
      </c>
      <c r="O7297">
        <v>4101</v>
      </c>
      <c r="P7297">
        <v>0</v>
      </c>
      <c r="Q7297">
        <v>4101</v>
      </c>
      <c r="R7297">
        <v>656.16</v>
      </c>
      <c r="S7297">
        <v>164.04</v>
      </c>
      <c r="T7297">
        <v>4593.12</v>
      </c>
      <c r="U7297" t="s">
        <v>2110</v>
      </c>
      <c r="V7297" t="s">
        <v>9408</v>
      </c>
      <c r="W7297" t="s">
        <v>423</v>
      </c>
    </row>
    <row r="7298" spans="1:23" hidden="1" x14ac:dyDescent="0.2">
      <c r="A7298">
        <v>2012</v>
      </c>
      <c r="B7298" t="s">
        <v>304</v>
      </c>
      <c r="C7298" s="733">
        <v>40956</v>
      </c>
      <c r="D72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298" t="s">
        <v>485</v>
      </c>
      <c r="F7298" t="s">
        <v>2054</v>
      </c>
      <c r="G7298" t="s">
        <v>7876</v>
      </c>
      <c r="H7298">
        <v>10479</v>
      </c>
      <c r="I7298" t="s">
        <v>423</v>
      </c>
      <c r="J7298" t="s">
        <v>2098</v>
      </c>
      <c r="K7298" t="s">
        <v>2057</v>
      </c>
      <c r="L7298" t="s">
        <v>2058</v>
      </c>
      <c r="M7298">
        <v>565</v>
      </c>
      <c r="N7298">
        <v>46.16</v>
      </c>
      <c r="O7298">
        <v>15603</v>
      </c>
      <c r="P7298">
        <v>0</v>
      </c>
      <c r="Q7298">
        <v>15603</v>
      </c>
      <c r="R7298">
        <v>1716.33</v>
      </c>
      <c r="S7298">
        <v>624.12</v>
      </c>
      <c r="T7298">
        <v>16695.21</v>
      </c>
      <c r="U7298" t="s">
        <v>8047</v>
      </c>
      <c r="V7298" t="s">
        <v>9409</v>
      </c>
      <c r="W7298" t="s">
        <v>423</v>
      </c>
    </row>
    <row r="7299" spans="1:23" hidden="1" x14ac:dyDescent="0.2">
      <c r="A7299">
        <v>2012</v>
      </c>
      <c r="B7299" t="s">
        <v>303</v>
      </c>
      <c r="C7299" s="733">
        <v>40924</v>
      </c>
      <c r="D729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299" t="s">
        <v>485</v>
      </c>
      <c r="F7299" t="s">
        <v>2054</v>
      </c>
      <c r="G7299" t="s">
        <v>2244</v>
      </c>
      <c r="H7299">
        <v>10068</v>
      </c>
      <c r="I7299" t="s">
        <v>423</v>
      </c>
      <c r="J7299" t="s">
        <v>2098</v>
      </c>
      <c r="K7299" t="s">
        <v>2057</v>
      </c>
      <c r="L7299" t="s">
        <v>2058</v>
      </c>
      <c r="M7299">
        <v>565</v>
      </c>
      <c r="N7299">
        <v>47.71</v>
      </c>
      <c r="O7299">
        <v>16126.93</v>
      </c>
      <c r="P7299">
        <v>0</v>
      </c>
      <c r="Q7299">
        <v>16126.93</v>
      </c>
      <c r="R7299">
        <v>2580.31</v>
      </c>
      <c r="S7299">
        <v>645.08000000000004</v>
      </c>
      <c r="T7299">
        <v>18062.16</v>
      </c>
      <c r="U7299" t="s">
        <v>2059</v>
      </c>
      <c r="V7299" t="s">
        <v>9409</v>
      </c>
      <c r="W7299" t="s">
        <v>423</v>
      </c>
    </row>
    <row r="7300" spans="1:23" hidden="1" x14ac:dyDescent="0.2">
      <c r="A7300">
        <v>2012</v>
      </c>
      <c r="B7300" t="s">
        <v>303</v>
      </c>
      <c r="C7300" s="733">
        <v>40912</v>
      </c>
      <c r="D73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00" t="s">
        <v>485</v>
      </c>
      <c r="F7300" t="s">
        <v>2099</v>
      </c>
      <c r="G7300" t="s">
        <v>2100</v>
      </c>
      <c r="H7300">
        <v>39771</v>
      </c>
      <c r="I7300" t="s">
        <v>423</v>
      </c>
      <c r="J7300" t="s">
        <v>2101</v>
      </c>
      <c r="K7300" t="s">
        <v>2102</v>
      </c>
      <c r="L7300" t="s">
        <v>2103</v>
      </c>
      <c r="M7300">
        <v>119</v>
      </c>
      <c r="N7300">
        <v>26.08</v>
      </c>
      <c r="O7300">
        <v>1841.77</v>
      </c>
      <c r="P7300">
        <v>2073.6304249999998</v>
      </c>
      <c r="Q7300">
        <v>3915.4004249999998</v>
      </c>
      <c r="R7300">
        <v>626.464068</v>
      </c>
      <c r="S7300">
        <v>156.616017</v>
      </c>
      <c r="T7300">
        <v>4385.2484759999998</v>
      </c>
      <c r="U7300" t="s">
        <v>2104</v>
      </c>
      <c r="V7300" t="s">
        <v>9408</v>
      </c>
      <c r="W7300" t="s">
        <v>423</v>
      </c>
    </row>
    <row r="7301" spans="1:23" hidden="1" x14ac:dyDescent="0.2">
      <c r="A7301">
        <v>2012</v>
      </c>
      <c r="B7301" t="s">
        <v>305</v>
      </c>
      <c r="C7301" s="733">
        <v>40970</v>
      </c>
      <c r="D7301" s="733" t="str">
        <f>CHOOSE(MONTH(Tabla_sqldatos_bonampakdb_Bon_v_ingresos2012[[#This Row],[fecha_guia]]),"Enero","Febrero","Marzo","Abril","Mayo","Junio","Julio","Agosto","Septiembre","Octubre","Noviembre","Diciembre")</f>
        <v>Marzo</v>
      </c>
      <c r="E7301" t="s">
        <v>485</v>
      </c>
      <c r="F7301" t="s">
        <v>2099</v>
      </c>
      <c r="G7301" t="s">
        <v>9787</v>
      </c>
      <c r="H7301">
        <v>42921</v>
      </c>
      <c r="I7301" t="s">
        <v>423</v>
      </c>
      <c r="J7301" t="s">
        <v>2101</v>
      </c>
      <c r="K7301" t="s">
        <v>2102</v>
      </c>
      <c r="L7301" t="s">
        <v>2103</v>
      </c>
      <c r="M7301">
        <v>119</v>
      </c>
      <c r="N7301">
        <v>50.83</v>
      </c>
      <c r="O7301">
        <v>8525.7199999999993</v>
      </c>
      <c r="P7301">
        <v>0</v>
      </c>
      <c r="Q7301">
        <v>8525.7199999999993</v>
      </c>
      <c r="R7301">
        <v>1364.11</v>
      </c>
      <c r="S7301">
        <v>341.03</v>
      </c>
      <c r="T7301">
        <v>9548.7999999999993</v>
      </c>
      <c r="V7301" t="s">
        <v>9409</v>
      </c>
      <c r="W7301" t="s">
        <v>423</v>
      </c>
    </row>
    <row r="7302" spans="1:23" hidden="1" x14ac:dyDescent="0.2">
      <c r="A7302">
        <v>2012</v>
      </c>
      <c r="B7302" t="s">
        <v>303</v>
      </c>
      <c r="C7302" s="733">
        <v>40925.388113425928</v>
      </c>
      <c r="D73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02" t="s">
        <v>485</v>
      </c>
      <c r="F7302" t="s">
        <v>2099</v>
      </c>
      <c r="G7302" t="s">
        <v>2105</v>
      </c>
      <c r="H7302">
        <v>40456</v>
      </c>
      <c r="I7302" t="s">
        <v>423</v>
      </c>
      <c r="J7302" t="s">
        <v>2101</v>
      </c>
      <c r="K7302" t="s">
        <v>2102</v>
      </c>
      <c r="L7302" t="s">
        <v>2103</v>
      </c>
      <c r="M7302">
        <v>119</v>
      </c>
      <c r="N7302">
        <v>26.19</v>
      </c>
      <c r="O7302">
        <v>4392.8500000000004</v>
      </c>
      <c r="P7302">
        <v>0</v>
      </c>
      <c r="Q7302">
        <v>4392.8500000000004</v>
      </c>
      <c r="R7302">
        <v>702.86</v>
      </c>
      <c r="S7302">
        <v>175.71</v>
      </c>
      <c r="T7302">
        <v>4920</v>
      </c>
      <c r="U7302" t="s">
        <v>2106</v>
      </c>
      <c r="V7302" t="s">
        <v>9409</v>
      </c>
      <c r="W7302" t="s">
        <v>423</v>
      </c>
    </row>
    <row r="7303" spans="1:23" hidden="1" x14ac:dyDescent="0.2">
      <c r="A7303">
        <v>2012</v>
      </c>
      <c r="B7303" t="s">
        <v>303</v>
      </c>
      <c r="C7303" s="733">
        <v>40934.595266203702</v>
      </c>
      <c r="D73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03" t="s">
        <v>485</v>
      </c>
      <c r="F7303" t="s">
        <v>2099</v>
      </c>
      <c r="G7303" t="s">
        <v>2107</v>
      </c>
      <c r="H7303">
        <v>40938</v>
      </c>
      <c r="I7303" t="s">
        <v>423</v>
      </c>
      <c r="J7303" t="s">
        <v>2101</v>
      </c>
      <c r="K7303" t="s">
        <v>2102</v>
      </c>
      <c r="L7303" t="s">
        <v>2103</v>
      </c>
      <c r="M7303">
        <v>119</v>
      </c>
      <c r="N7303">
        <v>41.71</v>
      </c>
      <c r="O7303">
        <v>6996.02</v>
      </c>
      <c r="P7303">
        <v>0</v>
      </c>
      <c r="Q7303">
        <v>6996.02</v>
      </c>
      <c r="R7303">
        <v>1119.3599999999999</v>
      </c>
      <c r="S7303">
        <v>279.83999999999997</v>
      </c>
      <c r="T7303">
        <v>7835.54</v>
      </c>
      <c r="U7303" t="s">
        <v>2108</v>
      </c>
      <c r="V7303" t="s">
        <v>9409</v>
      </c>
      <c r="W7303" t="s">
        <v>423</v>
      </c>
    </row>
    <row r="7304" spans="1:23" hidden="1" x14ac:dyDescent="0.2">
      <c r="A7304">
        <v>2012</v>
      </c>
      <c r="B7304" t="s">
        <v>303</v>
      </c>
      <c r="C7304" s="733">
        <v>40924</v>
      </c>
      <c r="D73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04" t="s">
        <v>485</v>
      </c>
      <c r="F7304" t="s">
        <v>2099</v>
      </c>
      <c r="G7304" t="s">
        <v>7255</v>
      </c>
      <c r="H7304">
        <v>40370</v>
      </c>
      <c r="I7304" t="s">
        <v>423</v>
      </c>
      <c r="J7304" t="s">
        <v>2101</v>
      </c>
      <c r="K7304" t="s">
        <v>2102</v>
      </c>
      <c r="L7304" t="s">
        <v>2103</v>
      </c>
      <c r="M7304">
        <v>119</v>
      </c>
      <c r="N7304">
        <v>26.65</v>
      </c>
      <c r="O7304">
        <v>4470</v>
      </c>
      <c r="P7304">
        <v>0</v>
      </c>
      <c r="Q7304">
        <v>4470</v>
      </c>
      <c r="R7304">
        <v>715.2</v>
      </c>
      <c r="S7304">
        <v>178.8</v>
      </c>
      <c r="T7304">
        <v>5006.3999999999996</v>
      </c>
      <c r="U7304" t="s">
        <v>2106</v>
      </c>
      <c r="V7304" t="s">
        <v>9408</v>
      </c>
      <c r="W7304" t="s">
        <v>423</v>
      </c>
    </row>
    <row r="7305" spans="1:23" hidden="1" x14ac:dyDescent="0.2">
      <c r="A7305">
        <v>2012</v>
      </c>
      <c r="B7305" t="s">
        <v>304</v>
      </c>
      <c r="C7305" s="733">
        <v>40960</v>
      </c>
      <c r="D730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05" t="s">
        <v>485</v>
      </c>
      <c r="F7305" t="s">
        <v>2084</v>
      </c>
      <c r="G7305" t="s">
        <v>8236</v>
      </c>
      <c r="H7305">
        <v>41765</v>
      </c>
      <c r="I7305" t="s">
        <v>423</v>
      </c>
      <c r="J7305" t="s">
        <v>2836</v>
      </c>
      <c r="K7305" t="s">
        <v>2814</v>
      </c>
      <c r="L7305" t="s">
        <v>2815</v>
      </c>
      <c r="M7305">
        <v>70</v>
      </c>
      <c r="N7305">
        <v>24.315999999999999</v>
      </c>
      <c r="O7305">
        <v>2744.55</v>
      </c>
      <c r="P7305">
        <v>0</v>
      </c>
      <c r="Q7305">
        <v>2744.55</v>
      </c>
      <c r="R7305">
        <v>301.89999999999998</v>
      </c>
      <c r="S7305">
        <v>109.78</v>
      </c>
      <c r="T7305">
        <v>2936.67</v>
      </c>
      <c r="U7305" t="s">
        <v>8877</v>
      </c>
      <c r="V7305" t="s">
        <v>9408</v>
      </c>
      <c r="W7305" t="s">
        <v>423</v>
      </c>
    </row>
    <row r="7306" spans="1:23" hidden="1" x14ac:dyDescent="0.2">
      <c r="A7306">
        <v>2012</v>
      </c>
      <c r="B7306" t="s">
        <v>304</v>
      </c>
      <c r="C7306" s="733">
        <v>40960</v>
      </c>
      <c r="D730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06" t="s">
        <v>485</v>
      </c>
      <c r="F7306" t="s">
        <v>2084</v>
      </c>
      <c r="G7306" t="s">
        <v>8239</v>
      </c>
      <c r="H7306">
        <v>41990</v>
      </c>
      <c r="I7306" t="s">
        <v>423</v>
      </c>
      <c r="J7306" t="s">
        <v>2836</v>
      </c>
      <c r="K7306" t="s">
        <v>2814</v>
      </c>
      <c r="L7306" t="s">
        <v>2815</v>
      </c>
      <c r="M7306">
        <v>70</v>
      </c>
      <c r="N7306">
        <v>24.542999999999999</v>
      </c>
      <c r="O7306">
        <v>2770.17</v>
      </c>
      <c r="P7306">
        <v>0</v>
      </c>
      <c r="Q7306">
        <v>2770.17</v>
      </c>
      <c r="R7306">
        <v>304.72000000000003</v>
      </c>
      <c r="S7306">
        <v>110.81</v>
      </c>
      <c r="T7306">
        <v>2964.08</v>
      </c>
      <c r="U7306" t="s">
        <v>8877</v>
      </c>
      <c r="V7306" t="s">
        <v>9408</v>
      </c>
      <c r="W7306" t="s">
        <v>423</v>
      </c>
    </row>
    <row r="7307" spans="1:23" hidden="1" x14ac:dyDescent="0.2">
      <c r="A7307">
        <v>2012</v>
      </c>
      <c r="B7307" t="s">
        <v>304</v>
      </c>
      <c r="C7307" s="733">
        <v>40960</v>
      </c>
      <c r="D730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07" t="s">
        <v>485</v>
      </c>
      <c r="F7307" t="s">
        <v>2084</v>
      </c>
      <c r="G7307" t="s">
        <v>8058</v>
      </c>
      <c r="H7307">
        <v>41926</v>
      </c>
      <c r="I7307" t="s">
        <v>423</v>
      </c>
      <c r="J7307" t="s">
        <v>2836</v>
      </c>
      <c r="K7307" t="s">
        <v>2814</v>
      </c>
      <c r="L7307" t="s">
        <v>2815</v>
      </c>
      <c r="M7307">
        <v>70</v>
      </c>
      <c r="N7307">
        <v>23.986999999999998</v>
      </c>
      <c r="O7307">
        <v>2707.41</v>
      </c>
      <c r="P7307">
        <v>0</v>
      </c>
      <c r="Q7307">
        <v>2707.41</v>
      </c>
      <c r="R7307">
        <v>297.82</v>
      </c>
      <c r="S7307">
        <v>108.3</v>
      </c>
      <c r="T7307">
        <v>2896.93</v>
      </c>
      <c r="U7307" t="s">
        <v>8877</v>
      </c>
      <c r="V7307" t="s">
        <v>9408</v>
      </c>
      <c r="W7307" t="s">
        <v>423</v>
      </c>
    </row>
    <row r="7308" spans="1:23" x14ac:dyDescent="0.2">
      <c r="A7308">
        <v>2012</v>
      </c>
      <c r="B7308" t="s">
        <v>304</v>
      </c>
      <c r="C7308" s="733">
        <v>40967.451365740744</v>
      </c>
      <c r="D730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08" t="s">
        <v>485</v>
      </c>
      <c r="F7308" t="s">
        <v>2054</v>
      </c>
      <c r="G7308" t="s">
        <v>9312</v>
      </c>
      <c r="H7308">
        <v>10592</v>
      </c>
      <c r="I7308" t="s">
        <v>423</v>
      </c>
      <c r="J7308" t="s">
        <v>2098</v>
      </c>
      <c r="K7308" t="s">
        <v>2057</v>
      </c>
      <c r="L7308" t="s">
        <v>2058</v>
      </c>
      <c r="M7308">
        <v>565</v>
      </c>
      <c r="N7308">
        <v>47.05</v>
      </c>
      <c r="O7308">
        <v>15903.84</v>
      </c>
      <c r="P7308">
        <v>0</v>
      </c>
      <c r="Q7308">
        <v>15903.84</v>
      </c>
      <c r="R7308">
        <v>1749.42</v>
      </c>
      <c r="S7308">
        <v>636.15</v>
      </c>
      <c r="T7308">
        <v>17017.11</v>
      </c>
      <c r="V7308" t="s">
        <v>9409</v>
      </c>
      <c r="W7308" t="s">
        <v>423</v>
      </c>
    </row>
    <row r="7309" spans="1:23" hidden="1" x14ac:dyDescent="0.2">
      <c r="A7309">
        <v>2012</v>
      </c>
      <c r="B7309" t="s">
        <v>304</v>
      </c>
      <c r="C7309" s="733">
        <v>40948</v>
      </c>
      <c r="D73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09" t="s">
        <v>485</v>
      </c>
      <c r="F7309" t="s">
        <v>2054</v>
      </c>
      <c r="G7309" t="s">
        <v>7373</v>
      </c>
      <c r="H7309">
        <v>10363</v>
      </c>
      <c r="I7309" t="s">
        <v>423</v>
      </c>
      <c r="J7309" t="s">
        <v>4733</v>
      </c>
      <c r="K7309" t="s">
        <v>2057</v>
      </c>
      <c r="L7309" t="s">
        <v>2058</v>
      </c>
      <c r="M7309">
        <v>184</v>
      </c>
      <c r="N7309">
        <v>24.1</v>
      </c>
      <c r="O7309">
        <v>8146.28</v>
      </c>
      <c r="P7309">
        <v>0</v>
      </c>
      <c r="Q7309">
        <v>8146.28</v>
      </c>
      <c r="R7309">
        <v>896.09</v>
      </c>
      <c r="S7309">
        <v>325.85000000000002</v>
      </c>
      <c r="T7309">
        <v>8716.52</v>
      </c>
      <c r="U7309" t="s">
        <v>2082</v>
      </c>
      <c r="V7309" t="s">
        <v>9408</v>
      </c>
      <c r="W7309" t="s">
        <v>423</v>
      </c>
    </row>
    <row r="7310" spans="1:23" hidden="1" x14ac:dyDescent="0.2">
      <c r="A7310">
        <v>2012</v>
      </c>
      <c r="B7310" t="s">
        <v>304</v>
      </c>
      <c r="C7310" s="733">
        <v>40942.506805555553</v>
      </c>
      <c r="D731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10" t="s">
        <v>485</v>
      </c>
      <c r="F7310" t="s">
        <v>2054</v>
      </c>
      <c r="G7310" t="s">
        <v>7371</v>
      </c>
      <c r="H7310">
        <v>10311</v>
      </c>
      <c r="I7310" t="s">
        <v>423</v>
      </c>
      <c r="J7310" t="s">
        <v>2098</v>
      </c>
      <c r="K7310" t="s">
        <v>2057</v>
      </c>
      <c r="L7310" t="s">
        <v>2058</v>
      </c>
      <c r="M7310">
        <v>565</v>
      </c>
      <c r="N7310">
        <v>21.38</v>
      </c>
      <c r="O7310">
        <v>7226.87</v>
      </c>
      <c r="P7310">
        <v>0</v>
      </c>
      <c r="Q7310">
        <v>7226.87</v>
      </c>
      <c r="R7310">
        <v>1156.3</v>
      </c>
      <c r="S7310">
        <v>289.07</v>
      </c>
      <c r="T7310">
        <v>8094.1</v>
      </c>
      <c r="U7310" t="s">
        <v>2075</v>
      </c>
      <c r="V7310" t="s">
        <v>9408</v>
      </c>
      <c r="W7310" t="s">
        <v>423</v>
      </c>
    </row>
    <row r="7311" spans="1:23" hidden="1" x14ac:dyDescent="0.2">
      <c r="A7311">
        <v>2012</v>
      </c>
      <c r="B7311" t="s">
        <v>303</v>
      </c>
      <c r="C7311" s="733">
        <v>40932</v>
      </c>
      <c r="D73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11" t="s">
        <v>485</v>
      </c>
      <c r="F7311" t="s">
        <v>2054</v>
      </c>
      <c r="G7311" t="s">
        <v>7372</v>
      </c>
      <c r="H7311">
        <v>10185</v>
      </c>
      <c r="I7311" t="s">
        <v>423</v>
      </c>
      <c r="J7311" t="s">
        <v>2098</v>
      </c>
      <c r="K7311" t="s">
        <v>2057</v>
      </c>
      <c r="L7311" t="s">
        <v>2058</v>
      </c>
      <c r="M7311">
        <v>565</v>
      </c>
      <c r="N7311">
        <v>45.84</v>
      </c>
      <c r="O7311">
        <v>15494.84</v>
      </c>
      <c r="P7311">
        <v>0</v>
      </c>
      <c r="Q7311">
        <v>15494.84</v>
      </c>
      <c r="R7311">
        <v>2479.17</v>
      </c>
      <c r="S7311">
        <v>619.79</v>
      </c>
      <c r="T7311">
        <v>17354.22</v>
      </c>
      <c r="U7311" t="s">
        <v>2073</v>
      </c>
      <c r="V7311" t="s">
        <v>9409</v>
      </c>
      <c r="W7311" t="s">
        <v>423</v>
      </c>
    </row>
    <row r="7312" spans="1:23" hidden="1" x14ac:dyDescent="0.2">
      <c r="A7312">
        <v>2012</v>
      </c>
      <c r="B7312" t="s">
        <v>303</v>
      </c>
      <c r="C7312" s="733">
        <v>40939</v>
      </c>
      <c r="D731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12" t="s">
        <v>485</v>
      </c>
      <c r="F7312" t="s">
        <v>2054</v>
      </c>
      <c r="G7312" t="s">
        <v>2243</v>
      </c>
      <c r="H7312">
        <v>9961</v>
      </c>
      <c r="I7312" t="s">
        <v>423</v>
      </c>
      <c r="J7312" t="s">
        <v>2098</v>
      </c>
      <c r="K7312" t="s">
        <v>2057</v>
      </c>
      <c r="L7312" t="s">
        <v>2058</v>
      </c>
      <c r="M7312">
        <v>565</v>
      </c>
      <c r="N7312">
        <v>46.53</v>
      </c>
      <c r="O7312">
        <v>15728.07</v>
      </c>
      <c r="P7312">
        <v>0</v>
      </c>
      <c r="Q7312">
        <v>15728.07</v>
      </c>
      <c r="R7312">
        <v>2516.4899999999998</v>
      </c>
      <c r="S7312">
        <v>629.12</v>
      </c>
      <c r="T7312">
        <v>17615.439999999999</v>
      </c>
      <c r="U7312" t="s">
        <v>2073</v>
      </c>
      <c r="V7312" t="s">
        <v>9409</v>
      </c>
      <c r="W7312" t="s">
        <v>423</v>
      </c>
    </row>
    <row r="7313" spans="1:23" hidden="1" x14ac:dyDescent="0.2">
      <c r="A7313">
        <v>2012</v>
      </c>
      <c r="B7313" t="s">
        <v>304</v>
      </c>
      <c r="C7313" s="733">
        <v>40948.556192129632</v>
      </c>
      <c r="D73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13" t="s">
        <v>485</v>
      </c>
      <c r="F7313" t="s">
        <v>2054</v>
      </c>
      <c r="G7313" t="s">
        <v>7363</v>
      </c>
      <c r="H7313">
        <v>10354</v>
      </c>
      <c r="I7313" t="s">
        <v>423</v>
      </c>
      <c r="J7313" t="s">
        <v>2098</v>
      </c>
      <c r="K7313" t="s">
        <v>2057</v>
      </c>
      <c r="L7313" t="s">
        <v>2058</v>
      </c>
      <c r="M7313">
        <v>565</v>
      </c>
      <c r="N7313">
        <v>46.4</v>
      </c>
      <c r="O7313">
        <v>15684.13</v>
      </c>
      <c r="P7313">
        <v>0</v>
      </c>
      <c r="Q7313">
        <v>15684.13</v>
      </c>
      <c r="R7313">
        <v>1725.25</v>
      </c>
      <c r="S7313">
        <v>627.37</v>
      </c>
      <c r="T7313">
        <v>16782.009999999998</v>
      </c>
      <c r="U7313" t="s">
        <v>2082</v>
      </c>
      <c r="V7313" t="s">
        <v>9409</v>
      </c>
      <c r="W7313" t="s">
        <v>423</v>
      </c>
    </row>
    <row r="7314" spans="1:23" x14ac:dyDescent="0.2">
      <c r="A7314">
        <v>2012</v>
      </c>
      <c r="B7314" t="s">
        <v>304</v>
      </c>
      <c r="C7314" s="733">
        <v>40968.454444444447</v>
      </c>
      <c r="D731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14" t="s">
        <v>485</v>
      </c>
      <c r="F7314" t="s">
        <v>2054</v>
      </c>
      <c r="G7314" t="s">
        <v>9522</v>
      </c>
      <c r="H7314">
        <v>10607</v>
      </c>
      <c r="I7314" t="s">
        <v>423</v>
      </c>
      <c r="J7314" t="s">
        <v>2098</v>
      </c>
      <c r="K7314" t="s">
        <v>2057</v>
      </c>
      <c r="L7314" t="s">
        <v>2058</v>
      </c>
      <c r="M7314">
        <v>565</v>
      </c>
      <c r="N7314">
        <v>46.48</v>
      </c>
      <c r="O7314">
        <v>15711.17</v>
      </c>
      <c r="P7314">
        <v>0</v>
      </c>
      <c r="Q7314">
        <v>15711.17</v>
      </c>
      <c r="R7314">
        <v>1728.23</v>
      </c>
      <c r="S7314">
        <v>628.45000000000005</v>
      </c>
      <c r="T7314">
        <v>16810.95</v>
      </c>
      <c r="V7314" t="s">
        <v>9409</v>
      </c>
      <c r="W7314" t="s">
        <v>423</v>
      </c>
    </row>
    <row r="7315" spans="1:23" hidden="1" x14ac:dyDescent="0.2">
      <c r="A7315">
        <v>2012</v>
      </c>
      <c r="B7315" t="s">
        <v>304</v>
      </c>
      <c r="C7315" s="733">
        <v>40957.602118055554</v>
      </c>
      <c r="D73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15" t="s">
        <v>485</v>
      </c>
      <c r="F7315" t="s">
        <v>2054</v>
      </c>
      <c r="G7315" t="s">
        <v>7901</v>
      </c>
      <c r="H7315">
        <v>10471</v>
      </c>
      <c r="I7315" t="s">
        <v>423</v>
      </c>
      <c r="J7315" t="s">
        <v>4560</v>
      </c>
      <c r="K7315" t="s">
        <v>2057</v>
      </c>
      <c r="L7315" t="s">
        <v>2058</v>
      </c>
      <c r="M7315">
        <v>403</v>
      </c>
      <c r="N7315">
        <v>47.59</v>
      </c>
      <c r="O7315">
        <v>13005.4</v>
      </c>
      <c r="P7315">
        <v>0</v>
      </c>
      <c r="Q7315">
        <v>13005.4</v>
      </c>
      <c r="R7315">
        <v>1430.59</v>
      </c>
      <c r="S7315">
        <v>520.22</v>
      </c>
      <c r="T7315">
        <v>13915.77</v>
      </c>
      <c r="U7315" t="s">
        <v>8864</v>
      </c>
      <c r="V7315" t="s">
        <v>9409</v>
      </c>
      <c r="W7315" t="s">
        <v>423</v>
      </c>
    </row>
    <row r="7316" spans="1:23" hidden="1" x14ac:dyDescent="0.2">
      <c r="A7316">
        <v>2012</v>
      </c>
      <c r="B7316" t="s">
        <v>304</v>
      </c>
      <c r="C7316" s="733">
        <v>40948.477719907409</v>
      </c>
      <c r="D73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16" t="s">
        <v>485</v>
      </c>
      <c r="F7316" t="s">
        <v>2065</v>
      </c>
      <c r="G7316" t="s">
        <v>7435</v>
      </c>
      <c r="H7316">
        <v>41635</v>
      </c>
      <c r="I7316" t="s">
        <v>423</v>
      </c>
      <c r="J7316" t="s">
        <v>2101</v>
      </c>
      <c r="K7316" t="s">
        <v>2102</v>
      </c>
      <c r="L7316" t="s">
        <v>2103</v>
      </c>
      <c r="M7316">
        <v>119</v>
      </c>
      <c r="N7316">
        <v>34.200000000000003</v>
      </c>
      <c r="O7316">
        <v>5736.37</v>
      </c>
      <c r="P7316">
        <v>0</v>
      </c>
      <c r="Q7316">
        <v>5736.37</v>
      </c>
      <c r="R7316">
        <v>917.82</v>
      </c>
      <c r="S7316">
        <v>229.45</v>
      </c>
      <c r="T7316">
        <v>6424.74</v>
      </c>
      <c r="U7316" t="s">
        <v>7462</v>
      </c>
      <c r="V7316" t="s">
        <v>9408</v>
      </c>
      <c r="W7316" t="s">
        <v>423</v>
      </c>
    </row>
    <row r="7317" spans="1:23" hidden="1" x14ac:dyDescent="0.2">
      <c r="A7317">
        <v>2012</v>
      </c>
      <c r="B7317" t="s">
        <v>303</v>
      </c>
      <c r="C7317" s="733">
        <v>40918</v>
      </c>
      <c r="D731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17" t="s">
        <v>478</v>
      </c>
      <c r="F7317" t="s">
        <v>2136</v>
      </c>
      <c r="G7317" t="s">
        <v>7434</v>
      </c>
      <c r="H7317">
        <v>34300</v>
      </c>
      <c r="I7317" t="s">
        <v>423</v>
      </c>
      <c r="J7317" t="s">
        <v>5384</v>
      </c>
      <c r="K7317" t="s">
        <v>425</v>
      </c>
      <c r="L7317" t="s">
        <v>2145</v>
      </c>
      <c r="M7317">
        <v>1472</v>
      </c>
      <c r="N7317">
        <v>37.03</v>
      </c>
      <c r="O7317">
        <v>26450.16</v>
      </c>
      <c r="P7317">
        <v>0</v>
      </c>
      <c r="Q7317">
        <v>26450.16</v>
      </c>
      <c r="R7317">
        <v>4232.03</v>
      </c>
      <c r="S7317">
        <v>1058.01</v>
      </c>
      <c r="T7317">
        <v>29624.18</v>
      </c>
      <c r="U7317" t="s">
        <v>7523</v>
      </c>
      <c r="V7317" t="s">
        <v>9408</v>
      </c>
      <c r="W7317" t="s">
        <v>423</v>
      </c>
    </row>
    <row r="7318" spans="1:23" hidden="1" x14ac:dyDescent="0.2">
      <c r="A7318">
        <v>2012</v>
      </c>
      <c r="B7318" t="s">
        <v>303</v>
      </c>
      <c r="C7318" s="733">
        <v>40932</v>
      </c>
      <c r="D731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18" t="s">
        <v>485</v>
      </c>
      <c r="F7318" t="s">
        <v>2054</v>
      </c>
      <c r="G7318" t="s">
        <v>2245</v>
      </c>
      <c r="H7318">
        <v>10182</v>
      </c>
      <c r="I7318" t="s">
        <v>423</v>
      </c>
      <c r="J7318" t="s">
        <v>2098</v>
      </c>
      <c r="K7318" t="s">
        <v>2057</v>
      </c>
      <c r="L7318" t="s">
        <v>2058</v>
      </c>
      <c r="M7318">
        <v>565</v>
      </c>
      <c r="N7318">
        <v>24.68</v>
      </c>
      <c r="O7318">
        <v>8342.33</v>
      </c>
      <c r="P7318">
        <v>0</v>
      </c>
      <c r="Q7318">
        <v>8342.33</v>
      </c>
      <c r="R7318">
        <v>1334.77</v>
      </c>
      <c r="S7318">
        <v>333.69</v>
      </c>
      <c r="T7318">
        <v>9343.41</v>
      </c>
      <c r="U7318" t="s">
        <v>2073</v>
      </c>
      <c r="V7318" t="s">
        <v>9408</v>
      </c>
      <c r="W7318" t="s">
        <v>423</v>
      </c>
    </row>
    <row r="7319" spans="1:23" hidden="1" x14ac:dyDescent="0.2">
      <c r="A7319">
        <v>2012</v>
      </c>
      <c r="B7319" t="s">
        <v>303</v>
      </c>
      <c r="C7319" s="733">
        <v>40928</v>
      </c>
      <c r="D731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19" t="s">
        <v>478</v>
      </c>
      <c r="F7319" t="s">
        <v>2136</v>
      </c>
      <c r="G7319" t="s">
        <v>7260</v>
      </c>
      <c r="H7319">
        <v>34647</v>
      </c>
      <c r="I7319" t="s">
        <v>423</v>
      </c>
      <c r="J7319" t="s">
        <v>4699</v>
      </c>
      <c r="K7319" t="s">
        <v>425</v>
      </c>
      <c r="L7319" t="s">
        <v>2145</v>
      </c>
      <c r="M7319">
        <v>555</v>
      </c>
      <c r="N7319">
        <v>26.16</v>
      </c>
      <c r="O7319">
        <v>8358.1200000000008</v>
      </c>
      <c r="P7319">
        <v>0</v>
      </c>
      <c r="Q7319">
        <v>8358.1200000000008</v>
      </c>
      <c r="R7319">
        <v>1337.3</v>
      </c>
      <c r="S7319">
        <v>334.32</v>
      </c>
      <c r="T7319">
        <v>9361.1</v>
      </c>
      <c r="U7319" t="s">
        <v>2355</v>
      </c>
      <c r="V7319" t="s">
        <v>9408</v>
      </c>
      <c r="W7319" t="s">
        <v>423</v>
      </c>
    </row>
    <row r="7320" spans="1:23" hidden="1" x14ac:dyDescent="0.2">
      <c r="A7320">
        <v>2012</v>
      </c>
      <c r="B7320" t="s">
        <v>304</v>
      </c>
      <c r="C7320" s="733">
        <v>40963</v>
      </c>
      <c r="D73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20" t="s">
        <v>485</v>
      </c>
      <c r="F7320" t="s">
        <v>2065</v>
      </c>
      <c r="G7320" t="s">
        <v>8777</v>
      </c>
      <c r="H7320">
        <v>42515</v>
      </c>
      <c r="I7320" t="s">
        <v>423</v>
      </c>
      <c r="J7320" t="s">
        <v>5260</v>
      </c>
      <c r="K7320" t="s">
        <v>2102</v>
      </c>
      <c r="L7320" t="s">
        <v>2115</v>
      </c>
      <c r="M7320">
        <v>832</v>
      </c>
      <c r="N7320">
        <v>50.82</v>
      </c>
      <c r="O7320">
        <v>25357.66</v>
      </c>
      <c r="P7320">
        <v>0</v>
      </c>
      <c r="Q7320">
        <v>25357.66</v>
      </c>
      <c r="R7320">
        <v>4057.22</v>
      </c>
      <c r="S7320">
        <v>1014.31</v>
      </c>
      <c r="T7320">
        <v>28400.57</v>
      </c>
      <c r="V7320" t="s">
        <v>9409</v>
      </c>
      <c r="W7320" t="s">
        <v>423</v>
      </c>
    </row>
    <row r="7321" spans="1:23" hidden="1" x14ac:dyDescent="0.2">
      <c r="A7321">
        <v>2012</v>
      </c>
      <c r="B7321" t="s">
        <v>304</v>
      </c>
      <c r="C7321" s="733">
        <v>40952</v>
      </c>
      <c r="D732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21" t="s">
        <v>478</v>
      </c>
      <c r="F7321" t="s">
        <v>2136</v>
      </c>
      <c r="G7321" t="s">
        <v>7438</v>
      </c>
      <c r="H7321">
        <v>35509</v>
      </c>
      <c r="I7321" t="s">
        <v>423</v>
      </c>
      <c r="J7321" t="s">
        <v>5249</v>
      </c>
      <c r="K7321" t="s">
        <v>425</v>
      </c>
      <c r="L7321" t="s">
        <v>2145</v>
      </c>
      <c r="M7321">
        <v>134</v>
      </c>
      <c r="N7321">
        <v>35.49</v>
      </c>
      <c r="O7321">
        <v>6458.83</v>
      </c>
      <c r="P7321">
        <v>0</v>
      </c>
      <c r="Q7321">
        <v>6458.83</v>
      </c>
      <c r="R7321">
        <v>1033.4100000000001</v>
      </c>
      <c r="S7321">
        <v>258.35000000000002</v>
      </c>
      <c r="T7321">
        <v>7233.89</v>
      </c>
      <c r="U7321" t="s">
        <v>7523</v>
      </c>
      <c r="V7321" t="s">
        <v>9408</v>
      </c>
      <c r="W7321" t="s">
        <v>423</v>
      </c>
    </row>
    <row r="7322" spans="1:23" hidden="1" x14ac:dyDescent="0.2">
      <c r="A7322">
        <v>2012</v>
      </c>
      <c r="B7322" t="s">
        <v>304</v>
      </c>
      <c r="C7322" s="733">
        <v>40953</v>
      </c>
      <c r="D732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22" t="s">
        <v>478</v>
      </c>
      <c r="F7322" t="s">
        <v>2136</v>
      </c>
      <c r="G7322" t="s">
        <v>7439</v>
      </c>
      <c r="H7322">
        <v>35571</v>
      </c>
      <c r="I7322" t="s">
        <v>423</v>
      </c>
      <c r="J7322" t="s">
        <v>5249</v>
      </c>
      <c r="K7322" t="s">
        <v>425</v>
      </c>
      <c r="L7322" t="s">
        <v>2145</v>
      </c>
      <c r="M7322">
        <v>134</v>
      </c>
      <c r="N7322">
        <v>41.94</v>
      </c>
      <c r="O7322">
        <v>7632.66</v>
      </c>
      <c r="P7322">
        <v>0</v>
      </c>
      <c r="Q7322">
        <v>7632.66</v>
      </c>
      <c r="R7322">
        <v>1221.23</v>
      </c>
      <c r="S7322">
        <v>305.31</v>
      </c>
      <c r="T7322">
        <v>8548.58</v>
      </c>
      <c r="U7322" t="s">
        <v>7523</v>
      </c>
      <c r="V7322" t="s">
        <v>9409</v>
      </c>
      <c r="W7322" t="s">
        <v>423</v>
      </c>
    </row>
    <row r="7323" spans="1:23" hidden="1" x14ac:dyDescent="0.2">
      <c r="A7323">
        <v>2012</v>
      </c>
      <c r="B7323" t="s">
        <v>303</v>
      </c>
      <c r="C7323" s="733">
        <v>40925</v>
      </c>
      <c r="D73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23" t="s">
        <v>478</v>
      </c>
      <c r="F7323" t="s">
        <v>2136</v>
      </c>
      <c r="G7323" t="s">
        <v>7440</v>
      </c>
      <c r="H7323">
        <v>34522</v>
      </c>
      <c r="I7323" t="s">
        <v>423</v>
      </c>
      <c r="J7323" t="s">
        <v>5249</v>
      </c>
      <c r="K7323" t="s">
        <v>425</v>
      </c>
      <c r="L7323" t="s">
        <v>2145</v>
      </c>
      <c r="M7323">
        <v>134</v>
      </c>
      <c r="N7323">
        <v>32.200000000000003</v>
      </c>
      <c r="O7323">
        <v>5860.08</v>
      </c>
      <c r="P7323">
        <v>0</v>
      </c>
      <c r="Q7323">
        <v>5860.08</v>
      </c>
      <c r="R7323">
        <v>937.61</v>
      </c>
      <c r="S7323">
        <v>234.4</v>
      </c>
      <c r="T7323">
        <v>6563.29</v>
      </c>
      <c r="V7323" t="s">
        <v>9408</v>
      </c>
      <c r="W7323" t="s">
        <v>423</v>
      </c>
    </row>
    <row r="7324" spans="1:23" hidden="1" x14ac:dyDescent="0.2">
      <c r="A7324">
        <v>2012</v>
      </c>
      <c r="B7324" t="s">
        <v>304</v>
      </c>
      <c r="C7324" s="733">
        <v>40955</v>
      </c>
      <c r="D732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24" t="s">
        <v>505</v>
      </c>
      <c r="F7324" t="s">
        <v>1915</v>
      </c>
      <c r="G7324" t="s">
        <v>7774</v>
      </c>
      <c r="H7324">
        <v>22767</v>
      </c>
      <c r="I7324" t="s">
        <v>423</v>
      </c>
      <c r="J7324" t="s">
        <v>4259</v>
      </c>
      <c r="K7324" t="s">
        <v>1918</v>
      </c>
      <c r="L7324" t="s">
        <v>1919</v>
      </c>
      <c r="M7324">
        <v>467</v>
      </c>
      <c r="N7324">
        <v>25.3</v>
      </c>
      <c r="O7324">
        <v>7851.6</v>
      </c>
      <c r="P7324">
        <v>0</v>
      </c>
      <c r="Q7324">
        <v>7851.6</v>
      </c>
      <c r="R7324">
        <v>1256.26</v>
      </c>
      <c r="S7324">
        <v>314.06</v>
      </c>
      <c r="T7324">
        <v>8793.7999999999993</v>
      </c>
      <c r="U7324" t="s">
        <v>7529</v>
      </c>
      <c r="V7324" t="s">
        <v>9408</v>
      </c>
      <c r="W7324" t="s">
        <v>423</v>
      </c>
    </row>
    <row r="7325" spans="1:23" hidden="1" x14ac:dyDescent="0.2">
      <c r="A7325">
        <v>2012</v>
      </c>
      <c r="B7325" t="s">
        <v>303</v>
      </c>
      <c r="C7325" s="733">
        <v>40918</v>
      </c>
      <c r="D73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25" t="s">
        <v>505</v>
      </c>
      <c r="F7325" t="s">
        <v>1915</v>
      </c>
      <c r="G7325" t="s">
        <v>7416</v>
      </c>
      <c r="H7325">
        <v>21883</v>
      </c>
      <c r="I7325" t="s">
        <v>423</v>
      </c>
      <c r="J7325" t="s">
        <v>4259</v>
      </c>
      <c r="K7325" t="s">
        <v>1918</v>
      </c>
      <c r="L7325" t="s">
        <v>1919</v>
      </c>
      <c r="M7325">
        <v>467</v>
      </c>
      <c r="N7325">
        <v>25.54</v>
      </c>
      <c r="O7325">
        <v>7926.08</v>
      </c>
      <c r="P7325">
        <v>0</v>
      </c>
      <c r="Q7325">
        <v>7926.08</v>
      </c>
      <c r="R7325">
        <v>1268.17</v>
      </c>
      <c r="S7325">
        <v>317.04000000000002</v>
      </c>
      <c r="T7325">
        <v>8877.2099999999991</v>
      </c>
      <c r="U7325" t="s">
        <v>1931</v>
      </c>
      <c r="V7325" t="s">
        <v>9408</v>
      </c>
      <c r="W7325" t="s">
        <v>423</v>
      </c>
    </row>
    <row r="7326" spans="1:23" hidden="1" x14ac:dyDescent="0.2">
      <c r="A7326">
        <v>2012</v>
      </c>
      <c r="B7326" t="s">
        <v>304</v>
      </c>
      <c r="C7326" s="733">
        <v>40949</v>
      </c>
      <c r="D73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26" t="s">
        <v>505</v>
      </c>
      <c r="F7326" t="s">
        <v>1915</v>
      </c>
      <c r="G7326" t="s">
        <v>7415</v>
      </c>
      <c r="H7326">
        <v>22598</v>
      </c>
      <c r="I7326" t="s">
        <v>423</v>
      </c>
      <c r="J7326" t="s">
        <v>4259</v>
      </c>
      <c r="K7326" t="s">
        <v>1918</v>
      </c>
      <c r="L7326" t="s">
        <v>1919</v>
      </c>
      <c r="M7326">
        <v>467</v>
      </c>
      <c r="N7326">
        <v>25.64</v>
      </c>
      <c r="O7326">
        <v>7957.12</v>
      </c>
      <c r="P7326">
        <v>0</v>
      </c>
      <c r="Q7326">
        <v>7957.12</v>
      </c>
      <c r="R7326">
        <v>1273.1400000000001</v>
      </c>
      <c r="S7326">
        <v>318.27999999999997</v>
      </c>
      <c r="T7326">
        <v>8911.98</v>
      </c>
      <c r="U7326" t="s">
        <v>7522</v>
      </c>
      <c r="V7326" t="s">
        <v>9408</v>
      </c>
      <c r="W7326" t="s">
        <v>423</v>
      </c>
    </row>
    <row r="7327" spans="1:23" hidden="1" x14ac:dyDescent="0.2">
      <c r="A7327">
        <v>2012</v>
      </c>
      <c r="B7327" t="s">
        <v>304</v>
      </c>
      <c r="C7327" s="733">
        <v>40942</v>
      </c>
      <c r="D73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27" t="s">
        <v>505</v>
      </c>
      <c r="F7327" t="s">
        <v>1915</v>
      </c>
      <c r="G7327" t="s">
        <v>7414</v>
      </c>
      <c r="H7327">
        <v>22478</v>
      </c>
      <c r="I7327" t="s">
        <v>423</v>
      </c>
      <c r="J7327" t="s">
        <v>4259</v>
      </c>
      <c r="K7327" t="s">
        <v>1918</v>
      </c>
      <c r="L7327" t="s">
        <v>1919</v>
      </c>
      <c r="M7327">
        <v>467</v>
      </c>
      <c r="N7327">
        <v>53.27</v>
      </c>
      <c r="O7327">
        <v>16531.810000000001</v>
      </c>
      <c r="P7327">
        <v>0</v>
      </c>
      <c r="Q7327">
        <v>16531.810000000001</v>
      </c>
      <c r="R7327">
        <v>2645.09</v>
      </c>
      <c r="S7327">
        <v>661.27</v>
      </c>
      <c r="T7327">
        <v>18515.63</v>
      </c>
      <c r="U7327" t="s">
        <v>1924</v>
      </c>
      <c r="V7327" t="s">
        <v>9409</v>
      </c>
      <c r="W7327" t="s">
        <v>423</v>
      </c>
    </row>
    <row r="7328" spans="1:23" hidden="1" x14ac:dyDescent="0.2">
      <c r="A7328">
        <v>2012</v>
      </c>
      <c r="B7328" t="s">
        <v>305</v>
      </c>
      <c r="C7328" s="733">
        <v>40969</v>
      </c>
      <c r="D7328" s="733" t="str">
        <f>CHOOSE(MONTH(Tabla_sqldatos_bonampakdb_Bon_v_ingresos2012[[#This Row],[fecha_guia]]),"Enero","Febrero","Marzo","Abril","Mayo","Junio","Julio","Agosto","Septiembre","Octubre","Noviembre","Diciembre")</f>
        <v>Marzo</v>
      </c>
      <c r="E7328" t="s">
        <v>505</v>
      </c>
      <c r="F7328" t="s">
        <v>1915</v>
      </c>
      <c r="G7328" t="s">
        <v>9528</v>
      </c>
      <c r="H7328">
        <v>23118</v>
      </c>
      <c r="I7328" t="s">
        <v>423</v>
      </c>
      <c r="J7328" t="s">
        <v>4259</v>
      </c>
      <c r="K7328" t="s">
        <v>1918</v>
      </c>
      <c r="L7328" t="s">
        <v>1919</v>
      </c>
      <c r="M7328">
        <v>467</v>
      </c>
      <c r="N7328">
        <v>23.75</v>
      </c>
      <c r="O7328">
        <v>7370.58</v>
      </c>
      <c r="P7328">
        <v>0</v>
      </c>
      <c r="Q7328">
        <v>7370.58</v>
      </c>
      <c r="R7328">
        <v>1179.29</v>
      </c>
      <c r="S7328">
        <v>294.82</v>
      </c>
      <c r="T7328">
        <v>8255.0499999999993</v>
      </c>
      <c r="V7328" t="s">
        <v>9408</v>
      </c>
      <c r="W7328" t="s">
        <v>423</v>
      </c>
    </row>
    <row r="7329" spans="1:23" hidden="1" x14ac:dyDescent="0.2">
      <c r="A7329">
        <v>2012</v>
      </c>
      <c r="B7329" t="s">
        <v>304</v>
      </c>
      <c r="C7329" s="733">
        <v>40952</v>
      </c>
      <c r="D732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29" t="s">
        <v>505</v>
      </c>
      <c r="F7329" t="s">
        <v>1915</v>
      </c>
      <c r="G7329" t="s">
        <v>3035</v>
      </c>
      <c r="H7329">
        <v>22661</v>
      </c>
      <c r="I7329" t="s">
        <v>423</v>
      </c>
      <c r="J7329" t="s">
        <v>1917</v>
      </c>
      <c r="K7329" t="s">
        <v>1918</v>
      </c>
      <c r="L7329" t="s">
        <v>1919</v>
      </c>
      <c r="M7329">
        <v>267</v>
      </c>
      <c r="N7329">
        <v>25.93</v>
      </c>
      <c r="O7329">
        <v>5830.1</v>
      </c>
      <c r="P7329">
        <v>0</v>
      </c>
      <c r="Q7329">
        <v>5830.1</v>
      </c>
      <c r="R7329">
        <v>932.82</v>
      </c>
      <c r="S7329">
        <v>233.2</v>
      </c>
      <c r="T7329">
        <v>6529.72</v>
      </c>
      <c r="U7329" t="s">
        <v>7522</v>
      </c>
      <c r="V7329" t="s">
        <v>9408</v>
      </c>
      <c r="W7329" t="s">
        <v>423</v>
      </c>
    </row>
    <row r="7330" spans="1:23" hidden="1" x14ac:dyDescent="0.2">
      <c r="A7330">
        <v>2012</v>
      </c>
      <c r="B7330" t="s">
        <v>303</v>
      </c>
      <c r="C7330" s="733">
        <v>40931</v>
      </c>
      <c r="D733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30" t="s">
        <v>505</v>
      </c>
      <c r="F7330" t="s">
        <v>1915</v>
      </c>
      <c r="G7330" t="s">
        <v>7420</v>
      </c>
      <c r="H7330">
        <v>22181</v>
      </c>
      <c r="I7330" t="s">
        <v>424</v>
      </c>
      <c r="J7330" t="s">
        <v>1917</v>
      </c>
      <c r="K7330" t="s">
        <v>1918</v>
      </c>
      <c r="L7330" t="s">
        <v>1919</v>
      </c>
      <c r="M7330">
        <v>267</v>
      </c>
      <c r="N7330">
        <v>27</v>
      </c>
      <c r="O7330">
        <v>2636.97</v>
      </c>
      <c r="P7330">
        <v>1515.4402889999999</v>
      </c>
      <c r="Q7330">
        <v>4152.4102890000004</v>
      </c>
      <c r="R7330">
        <v>664.38564599999995</v>
      </c>
      <c r="S7330">
        <v>166.09641199999999</v>
      </c>
      <c r="T7330">
        <v>4650.6995230000002</v>
      </c>
      <c r="U7330" t="s">
        <v>1928</v>
      </c>
      <c r="V7330" t="s">
        <v>9408</v>
      </c>
      <c r="W7330" t="s">
        <v>424</v>
      </c>
    </row>
    <row r="7331" spans="1:23" hidden="1" x14ac:dyDescent="0.2">
      <c r="A7331">
        <v>2012</v>
      </c>
      <c r="B7331" t="s">
        <v>304</v>
      </c>
      <c r="C7331" s="733">
        <v>40959.621076388888</v>
      </c>
      <c r="D733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31" t="s">
        <v>505</v>
      </c>
      <c r="F7331" t="s">
        <v>1915</v>
      </c>
      <c r="G7331" t="s">
        <v>8057</v>
      </c>
      <c r="H7331">
        <v>22901</v>
      </c>
      <c r="I7331" t="s">
        <v>424</v>
      </c>
      <c r="J7331" t="s">
        <v>1917</v>
      </c>
      <c r="K7331" t="s">
        <v>1918</v>
      </c>
      <c r="L7331" t="s">
        <v>1919</v>
      </c>
      <c r="M7331">
        <v>267</v>
      </c>
      <c r="N7331">
        <v>30</v>
      </c>
      <c r="O7331">
        <v>4613.7</v>
      </c>
      <c r="P7331">
        <v>0</v>
      </c>
      <c r="Q7331">
        <v>4613.7</v>
      </c>
      <c r="R7331">
        <v>738.19</v>
      </c>
      <c r="S7331">
        <v>184.55</v>
      </c>
      <c r="T7331">
        <v>5167.34</v>
      </c>
      <c r="U7331" t="s">
        <v>8491</v>
      </c>
      <c r="V7331" t="s">
        <v>9408</v>
      </c>
      <c r="W7331" t="s">
        <v>424</v>
      </c>
    </row>
    <row r="7332" spans="1:23" hidden="1" x14ac:dyDescent="0.2">
      <c r="A7332">
        <v>2012</v>
      </c>
      <c r="B7332" t="s">
        <v>304</v>
      </c>
      <c r="C7332" s="733">
        <v>40946</v>
      </c>
      <c r="D73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32" t="s">
        <v>478</v>
      </c>
      <c r="F7332" t="s">
        <v>2136</v>
      </c>
      <c r="G7332" t="s">
        <v>7425</v>
      </c>
      <c r="H7332">
        <v>35232</v>
      </c>
      <c r="I7332" t="s">
        <v>423</v>
      </c>
      <c r="J7332" t="s">
        <v>4282</v>
      </c>
      <c r="K7332" t="s">
        <v>425</v>
      </c>
      <c r="L7332" t="s">
        <v>2145</v>
      </c>
      <c r="M7332">
        <v>1405</v>
      </c>
      <c r="N7332">
        <v>45.14</v>
      </c>
      <c r="O7332">
        <v>45565.22</v>
      </c>
      <c r="P7332">
        <v>0</v>
      </c>
      <c r="Q7332">
        <v>45565.22</v>
      </c>
      <c r="R7332">
        <v>7290.44</v>
      </c>
      <c r="S7332">
        <v>1822.61</v>
      </c>
      <c r="T7332">
        <v>51033.05</v>
      </c>
      <c r="U7332" t="s">
        <v>3115</v>
      </c>
      <c r="V7332" t="s">
        <v>9409</v>
      </c>
      <c r="W7332" t="s">
        <v>423</v>
      </c>
    </row>
    <row r="7333" spans="1:23" hidden="1" x14ac:dyDescent="0.2">
      <c r="A7333">
        <v>2012</v>
      </c>
      <c r="B7333" t="s">
        <v>304</v>
      </c>
      <c r="C7333" s="733">
        <v>40953.484155092592</v>
      </c>
      <c r="D733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33" t="s">
        <v>485</v>
      </c>
      <c r="F7333" t="s">
        <v>2136</v>
      </c>
      <c r="G7333" t="s">
        <v>2140</v>
      </c>
      <c r="H7333">
        <v>41917</v>
      </c>
      <c r="I7333" t="s">
        <v>423</v>
      </c>
      <c r="J7333" t="s">
        <v>2141</v>
      </c>
      <c r="K7333" t="s">
        <v>2102</v>
      </c>
      <c r="L7333" t="s">
        <v>2103</v>
      </c>
      <c r="M7333">
        <v>114</v>
      </c>
      <c r="N7333">
        <v>23.86</v>
      </c>
      <c r="O7333">
        <v>3833.82</v>
      </c>
      <c r="P7333">
        <v>0</v>
      </c>
      <c r="Q7333">
        <v>3833.82</v>
      </c>
      <c r="R7333">
        <v>613.41</v>
      </c>
      <c r="S7333">
        <v>153.35</v>
      </c>
      <c r="T7333">
        <v>4293.88</v>
      </c>
      <c r="U7333" t="s">
        <v>8051</v>
      </c>
      <c r="V7333" t="s">
        <v>9408</v>
      </c>
      <c r="W7333" t="s">
        <v>423</v>
      </c>
    </row>
    <row r="7334" spans="1:23" hidden="1" x14ac:dyDescent="0.2">
      <c r="A7334">
        <v>2012</v>
      </c>
      <c r="B7334" t="s">
        <v>304</v>
      </c>
      <c r="C7334" s="733">
        <v>40956</v>
      </c>
      <c r="D733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34" t="s">
        <v>485</v>
      </c>
      <c r="F7334" t="s">
        <v>2065</v>
      </c>
      <c r="G7334" t="s">
        <v>7931</v>
      </c>
      <c r="H7334">
        <v>42027</v>
      </c>
      <c r="I7334" t="s">
        <v>423</v>
      </c>
      <c r="J7334" t="s">
        <v>2189</v>
      </c>
      <c r="K7334" t="s">
        <v>2183</v>
      </c>
      <c r="L7334" t="s">
        <v>2184</v>
      </c>
      <c r="M7334">
        <v>720</v>
      </c>
      <c r="N7334">
        <v>24.91</v>
      </c>
      <c r="O7334">
        <v>11057.3</v>
      </c>
      <c r="P7334">
        <v>0</v>
      </c>
      <c r="Q7334">
        <v>11057.3</v>
      </c>
      <c r="R7334">
        <v>1769.17</v>
      </c>
      <c r="S7334">
        <v>442.29</v>
      </c>
      <c r="T7334">
        <v>12384.18</v>
      </c>
      <c r="U7334" t="s">
        <v>8048</v>
      </c>
      <c r="V7334" t="s">
        <v>9408</v>
      </c>
      <c r="W7334" t="s">
        <v>423</v>
      </c>
    </row>
    <row r="7335" spans="1:23" hidden="1" x14ac:dyDescent="0.2">
      <c r="A7335">
        <v>2012</v>
      </c>
      <c r="B7335" t="s">
        <v>304</v>
      </c>
      <c r="C7335" s="733">
        <v>40940</v>
      </c>
      <c r="D733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35" t="s">
        <v>485</v>
      </c>
      <c r="F7335" t="s">
        <v>2065</v>
      </c>
      <c r="G7335" t="s">
        <v>3058</v>
      </c>
      <c r="H7335">
        <v>39860</v>
      </c>
      <c r="I7335" t="s">
        <v>423</v>
      </c>
      <c r="J7335" t="s">
        <v>2189</v>
      </c>
      <c r="K7335" t="s">
        <v>2183</v>
      </c>
      <c r="L7335" t="s">
        <v>2184</v>
      </c>
      <c r="M7335">
        <v>720</v>
      </c>
      <c r="N7335">
        <v>24.67</v>
      </c>
      <c r="O7335">
        <v>10950.77</v>
      </c>
      <c r="P7335">
        <v>0</v>
      </c>
      <c r="Q7335">
        <v>10950.77</v>
      </c>
      <c r="R7335">
        <v>1752.12</v>
      </c>
      <c r="S7335">
        <v>438.03</v>
      </c>
      <c r="T7335">
        <v>12264.86</v>
      </c>
      <c r="U7335" t="s">
        <v>2192</v>
      </c>
      <c r="V7335" t="s">
        <v>9408</v>
      </c>
      <c r="W7335" t="s">
        <v>423</v>
      </c>
    </row>
    <row r="7336" spans="1:23" hidden="1" x14ac:dyDescent="0.2">
      <c r="A7336">
        <v>2012</v>
      </c>
      <c r="B7336" t="s">
        <v>304</v>
      </c>
      <c r="C7336" s="733">
        <v>40940</v>
      </c>
      <c r="D733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36" t="s">
        <v>485</v>
      </c>
      <c r="F7336" t="s">
        <v>2065</v>
      </c>
      <c r="G7336" t="s">
        <v>3059</v>
      </c>
      <c r="H7336">
        <v>41181</v>
      </c>
      <c r="I7336" t="s">
        <v>423</v>
      </c>
      <c r="J7336" t="s">
        <v>2186</v>
      </c>
      <c r="K7336" t="s">
        <v>2183</v>
      </c>
      <c r="L7336" t="s">
        <v>2184</v>
      </c>
      <c r="M7336">
        <v>19</v>
      </c>
      <c r="N7336">
        <v>16.28</v>
      </c>
      <c r="O7336">
        <v>2411.7199999999998</v>
      </c>
      <c r="P7336">
        <v>0</v>
      </c>
      <c r="Q7336">
        <v>2411.7199999999998</v>
      </c>
      <c r="R7336">
        <v>385.88</v>
      </c>
      <c r="S7336">
        <v>96.47</v>
      </c>
      <c r="T7336">
        <v>2701.13</v>
      </c>
      <c r="U7336" t="s">
        <v>9411</v>
      </c>
      <c r="V7336" t="s">
        <v>9408</v>
      </c>
      <c r="W7336" t="s">
        <v>423</v>
      </c>
    </row>
    <row r="7337" spans="1:23" hidden="1" x14ac:dyDescent="0.2">
      <c r="A7337">
        <v>2012</v>
      </c>
      <c r="B7337" t="s">
        <v>303</v>
      </c>
      <c r="C7337" s="733">
        <v>40925</v>
      </c>
      <c r="D733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37" t="s">
        <v>485</v>
      </c>
      <c r="F7337" t="s">
        <v>2065</v>
      </c>
      <c r="G7337" t="s">
        <v>7339</v>
      </c>
      <c r="H7337">
        <v>40435</v>
      </c>
      <c r="I7337" t="s">
        <v>423</v>
      </c>
      <c r="J7337" t="s">
        <v>2186</v>
      </c>
      <c r="K7337" t="s">
        <v>2183</v>
      </c>
      <c r="L7337" t="s">
        <v>2184</v>
      </c>
      <c r="M7337">
        <v>19</v>
      </c>
      <c r="N7337">
        <v>16.36</v>
      </c>
      <c r="O7337">
        <v>1846.55</v>
      </c>
      <c r="P7337">
        <v>0</v>
      </c>
      <c r="Q7337">
        <v>1846.55</v>
      </c>
      <c r="R7337">
        <v>295.45</v>
      </c>
      <c r="S7337">
        <v>73.86</v>
      </c>
      <c r="T7337">
        <v>2068.14</v>
      </c>
      <c r="U7337" t="s">
        <v>7587</v>
      </c>
      <c r="V7337" t="s">
        <v>9408</v>
      </c>
      <c r="W7337" t="s">
        <v>423</v>
      </c>
    </row>
    <row r="7338" spans="1:23" hidden="1" x14ac:dyDescent="0.2">
      <c r="A7338">
        <v>2012</v>
      </c>
      <c r="B7338" t="s">
        <v>304</v>
      </c>
      <c r="C7338" s="733">
        <v>40948</v>
      </c>
      <c r="D73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38" t="s">
        <v>485</v>
      </c>
      <c r="F7338" t="s">
        <v>2065</v>
      </c>
      <c r="G7338" t="s">
        <v>3045</v>
      </c>
      <c r="H7338">
        <v>41608</v>
      </c>
      <c r="I7338" t="s">
        <v>423</v>
      </c>
      <c r="J7338" t="s">
        <v>2186</v>
      </c>
      <c r="K7338" t="s">
        <v>2183</v>
      </c>
      <c r="L7338" t="s">
        <v>2184</v>
      </c>
      <c r="M7338">
        <v>19</v>
      </c>
      <c r="N7338">
        <v>16.07</v>
      </c>
      <c r="O7338">
        <v>1813.82</v>
      </c>
      <c r="P7338">
        <v>0</v>
      </c>
      <c r="Q7338">
        <v>1813.82</v>
      </c>
      <c r="R7338">
        <v>290.20999999999998</v>
      </c>
      <c r="S7338">
        <v>72.55</v>
      </c>
      <c r="T7338">
        <v>2031.48</v>
      </c>
      <c r="U7338" t="s">
        <v>2192</v>
      </c>
      <c r="V7338" t="s">
        <v>9408</v>
      </c>
      <c r="W7338" t="s">
        <v>423</v>
      </c>
    </row>
    <row r="7339" spans="1:23" hidden="1" x14ac:dyDescent="0.2">
      <c r="A7339">
        <v>2012</v>
      </c>
      <c r="B7339" t="s">
        <v>304</v>
      </c>
      <c r="C7339" s="733">
        <v>40942</v>
      </c>
      <c r="D73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39" t="s">
        <v>485</v>
      </c>
      <c r="F7339" t="s">
        <v>2065</v>
      </c>
      <c r="G7339" t="s">
        <v>3044</v>
      </c>
      <c r="H7339">
        <v>41386</v>
      </c>
      <c r="I7339" t="s">
        <v>423</v>
      </c>
      <c r="J7339" t="s">
        <v>2186</v>
      </c>
      <c r="K7339" t="s">
        <v>2183</v>
      </c>
      <c r="L7339" t="s">
        <v>2184</v>
      </c>
      <c r="M7339">
        <v>19</v>
      </c>
      <c r="N7339">
        <v>15.05</v>
      </c>
      <c r="O7339">
        <v>1698.69</v>
      </c>
      <c r="P7339">
        <v>0</v>
      </c>
      <c r="Q7339">
        <v>1698.69</v>
      </c>
      <c r="R7339">
        <v>271.79000000000002</v>
      </c>
      <c r="S7339">
        <v>67.95</v>
      </c>
      <c r="T7339">
        <v>1902.53</v>
      </c>
      <c r="U7339" t="s">
        <v>2192</v>
      </c>
      <c r="V7339" t="s">
        <v>9408</v>
      </c>
      <c r="W7339" t="s">
        <v>423</v>
      </c>
    </row>
    <row r="7340" spans="1:23" hidden="1" x14ac:dyDescent="0.2">
      <c r="A7340">
        <v>2012</v>
      </c>
      <c r="B7340" t="s">
        <v>304</v>
      </c>
      <c r="C7340" s="733">
        <v>40952</v>
      </c>
      <c r="D734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40" t="s">
        <v>485</v>
      </c>
      <c r="F7340" t="s">
        <v>2065</v>
      </c>
      <c r="G7340" t="s">
        <v>3040</v>
      </c>
      <c r="H7340">
        <v>41707</v>
      </c>
      <c r="I7340" t="s">
        <v>423</v>
      </c>
      <c r="J7340" t="s">
        <v>2186</v>
      </c>
      <c r="K7340" t="s">
        <v>2183</v>
      </c>
      <c r="L7340" t="s">
        <v>2184</v>
      </c>
      <c r="M7340">
        <v>19</v>
      </c>
      <c r="N7340">
        <v>15.83</v>
      </c>
      <c r="O7340">
        <v>2345.06</v>
      </c>
      <c r="P7340">
        <v>0</v>
      </c>
      <c r="Q7340">
        <v>2345.06</v>
      </c>
      <c r="R7340">
        <v>375.21</v>
      </c>
      <c r="S7340">
        <v>93.8</v>
      </c>
      <c r="T7340">
        <v>2626.47</v>
      </c>
      <c r="U7340" t="s">
        <v>8048</v>
      </c>
      <c r="V7340" t="s">
        <v>9408</v>
      </c>
      <c r="W7340" t="s">
        <v>423</v>
      </c>
    </row>
    <row r="7341" spans="1:23" hidden="1" x14ac:dyDescent="0.2">
      <c r="A7341">
        <v>2012</v>
      </c>
      <c r="B7341" t="s">
        <v>303</v>
      </c>
      <c r="C7341" s="733">
        <v>40939</v>
      </c>
      <c r="D734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41" t="s">
        <v>485</v>
      </c>
      <c r="F7341" t="s">
        <v>2065</v>
      </c>
      <c r="G7341" t="s">
        <v>3042</v>
      </c>
      <c r="H7341">
        <v>39705</v>
      </c>
      <c r="I7341" t="s">
        <v>423</v>
      </c>
      <c r="J7341" t="s">
        <v>2186</v>
      </c>
      <c r="K7341" t="s">
        <v>2183</v>
      </c>
      <c r="L7341" t="s">
        <v>2184</v>
      </c>
      <c r="M7341">
        <v>19</v>
      </c>
      <c r="N7341">
        <v>14.99</v>
      </c>
      <c r="O7341">
        <v>1691.92</v>
      </c>
      <c r="P7341">
        <v>0</v>
      </c>
      <c r="Q7341">
        <v>1691.92</v>
      </c>
      <c r="R7341">
        <v>270.70999999999998</v>
      </c>
      <c r="S7341">
        <v>67.680000000000007</v>
      </c>
      <c r="T7341">
        <v>1894.95</v>
      </c>
      <c r="U7341" t="s">
        <v>2187</v>
      </c>
      <c r="V7341" t="s">
        <v>9408</v>
      </c>
      <c r="W7341" t="s">
        <v>423</v>
      </c>
    </row>
    <row r="7342" spans="1:23" hidden="1" x14ac:dyDescent="0.2">
      <c r="A7342">
        <v>2012</v>
      </c>
      <c r="B7342" t="s">
        <v>304</v>
      </c>
      <c r="C7342" s="733">
        <v>40966</v>
      </c>
      <c r="D734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42" t="s">
        <v>485</v>
      </c>
      <c r="F7342" t="s">
        <v>2065</v>
      </c>
      <c r="G7342" t="s">
        <v>8802</v>
      </c>
      <c r="H7342">
        <v>42694</v>
      </c>
      <c r="I7342" t="s">
        <v>423</v>
      </c>
      <c r="J7342" t="s">
        <v>2186</v>
      </c>
      <c r="K7342" t="s">
        <v>2183</v>
      </c>
      <c r="L7342" t="s">
        <v>2184</v>
      </c>
      <c r="M7342">
        <v>19</v>
      </c>
      <c r="N7342">
        <v>16.03</v>
      </c>
      <c r="O7342">
        <v>1809.31</v>
      </c>
      <c r="P7342">
        <v>0</v>
      </c>
      <c r="Q7342">
        <v>1809.31</v>
      </c>
      <c r="R7342">
        <v>289.49</v>
      </c>
      <c r="S7342">
        <v>72.37</v>
      </c>
      <c r="T7342">
        <v>2026.43</v>
      </c>
      <c r="V7342" t="s">
        <v>9408</v>
      </c>
      <c r="W7342" t="s">
        <v>423</v>
      </c>
    </row>
    <row r="7343" spans="1:23" hidden="1" x14ac:dyDescent="0.2">
      <c r="A7343">
        <v>2012</v>
      </c>
      <c r="B7343" t="s">
        <v>304</v>
      </c>
      <c r="C7343" s="733">
        <v>40942.683391203704</v>
      </c>
      <c r="D734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43" t="s">
        <v>478</v>
      </c>
      <c r="F7343" t="s">
        <v>3787</v>
      </c>
      <c r="G7343" t="s">
        <v>7301</v>
      </c>
      <c r="H7343">
        <v>35297</v>
      </c>
      <c r="I7343" t="s">
        <v>423</v>
      </c>
      <c r="J7343" t="s">
        <v>3789</v>
      </c>
      <c r="K7343" t="s">
        <v>3481</v>
      </c>
      <c r="L7343" t="s">
        <v>3482</v>
      </c>
      <c r="M7343">
        <v>27</v>
      </c>
      <c r="N7343">
        <v>27.254999999999999</v>
      </c>
      <c r="O7343">
        <v>3076.27</v>
      </c>
      <c r="P7343">
        <v>0</v>
      </c>
      <c r="Q7343">
        <v>3076.27</v>
      </c>
      <c r="R7343">
        <v>492.2</v>
      </c>
      <c r="S7343">
        <v>123.05</v>
      </c>
      <c r="T7343">
        <v>3445.42</v>
      </c>
      <c r="U7343" t="s">
        <v>3483</v>
      </c>
      <c r="V7343" t="s">
        <v>9408</v>
      </c>
      <c r="W7343" t="s">
        <v>423</v>
      </c>
    </row>
    <row r="7344" spans="1:23" hidden="1" x14ac:dyDescent="0.2">
      <c r="A7344">
        <v>2012</v>
      </c>
      <c r="B7344" t="s">
        <v>303</v>
      </c>
      <c r="C7344" s="733">
        <v>40926.834710648145</v>
      </c>
      <c r="D73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44" t="s">
        <v>478</v>
      </c>
      <c r="F7344" t="s">
        <v>2622</v>
      </c>
      <c r="G7344" t="s">
        <v>7318</v>
      </c>
      <c r="H7344">
        <v>34704</v>
      </c>
      <c r="I7344" t="s">
        <v>423</v>
      </c>
      <c r="J7344" t="s">
        <v>2629</v>
      </c>
      <c r="K7344" t="s">
        <v>2625</v>
      </c>
      <c r="L7344" t="s">
        <v>2626</v>
      </c>
      <c r="M7344">
        <v>33</v>
      </c>
      <c r="N7344">
        <v>26.18</v>
      </c>
      <c r="O7344">
        <v>3053.64</v>
      </c>
      <c r="P7344">
        <v>0</v>
      </c>
      <c r="Q7344">
        <v>3053.64</v>
      </c>
      <c r="R7344">
        <v>488.58</v>
      </c>
      <c r="S7344">
        <v>122.15</v>
      </c>
      <c r="T7344">
        <v>3420.07</v>
      </c>
      <c r="U7344" t="s">
        <v>2627</v>
      </c>
      <c r="V7344" t="s">
        <v>9408</v>
      </c>
      <c r="W7344" t="s">
        <v>423</v>
      </c>
    </row>
    <row r="7345" spans="1:23" hidden="1" x14ac:dyDescent="0.2">
      <c r="A7345">
        <v>2012</v>
      </c>
      <c r="B7345" t="s">
        <v>304</v>
      </c>
      <c r="C7345" s="733">
        <v>40959</v>
      </c>
      <c r="D734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45" t="s">
        <v>485</v>
      </c>
      <c r="F7345" t="s">
        <v>2065</v>
      </c>
      <c r="G7345" t="s">
        <v>7943</v>
      </c>
      <c r="H7345">
        <v>42100</v>
      </c>
      <c r="I7345" t="s">
        <v>423</v>
      </c>
      <c r="J7345" t="s">
        <v>2189</v>
      </c>
      <c r="K7345" t="s">
        <v>2183</v>
      </c>
      <c r="L7345" t="s">
        <v>2184</v>
      </c>
      <c r="M7345">
        <v>720</v>
      </c>
      <c r="N7345">
        <v>26.69</v>
      </c>
      <c r="O7345">
        <v>11847.42</v>
      </c>
      <c r="P7345">
        <v>0</v>
      </c>
      <c r="Q7345">
        <v>11847.42</v>
      </c>
      <c r="R7345">
        <v>1895.59</v>
      </c>
      <c r="S7345">
        <v>473.9</v>
      </c>
      <c r="T7345">
        <v>13269.11</v>
      </c>
      <c r="U7345" t="s">
        <v>9411</v>
      </c>
      <c r="V7345" t="s">
        <v>9408</v>
      </c>
      <c r="W7345" t="s">
        <v>423</v>
      </c>
    </row>
    <row r="7346" spans="1:23" hidden="1" x14ac:dyDescent="0.2">
      <c r="A7346">
        <v>2012</v>
      </c>
      <c r="B7346" t="s">
        <v>304</v>
      </c>
      <c r="C7346" s="733">
        <v>40953</v>
      </c>
      <c r="D73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46" t="s">
        <v>485</v>
      </c>
      <c r="F7346" t="s">
        <v>2048</v>
      </c>
      <c r="G7346" t="s">
        <v>7381</v>
      </c>
      <c r="H7346">
        <v>41868</v>
      </c>
      <c r="I7346" t="s">
        <v>423</v>
      </c>
      <c r="J7346" t="s">
        <v>2274</v>
      </c>
      <c r="K7346" t="s">
        <v>2051</v>
      </c>
      <c r="L7346" t="s">
        <v>2052</v>
      </c>
      <c r="M7346">
        <v>573</v>
      </c>
      <c r="N7346">
        <v>54.4</v>
      </c>
      <c r="O7346">
        <v>17652.8</v>
      </c>
      <c r="P7346">
        <v>0</v>
      </c>
      <c r="Q7346">
        <v>17652.8</v>
      </c>
      <c r="R7346">
        <v>2824.45</v>
      </c>
      <c r="S7346">
        <v>706.11</v>
      </c>
      <c r="T7346">
        <v>19771.14</v>
      </c>
      <c r="U7346" t="s">
        <v>7568</v>
      </c>
      <c r="V7346" t="s">
        <v>9409</v>
      </c>
      <c r="W7346" t="s">
        <v>423</v>
      </c>
    </row>
    <row r="7347" spans="1:23" hidden="1" x14ac:dyDescent="0.2">
      <c r="A7347">
        <v>2012</v>
      </c>
      <c r="B7347" t="s">
        <v>303</v>
      </c>
      <c r="C7347" s="733">
        <v>40919</v>
      </c>
      <c r="D734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47" t="s">
        <v>478</v>
      </c>
      <c r="F7347" t="s">
        <v>2136</v>
      </c>
      <c r="G7347" t="s">
        <v>7424</v>
      </c>
      <c r="H7347">
        <v>34312</v>
      </c>
      <c r="I7347" t="s">
        <v>423</v>
      </c>
      <c r="J7347" t="s">
        <v>4282</v>
      </c>
      <c r="K7347" t="s">
        <v>425</v>
      </c>
      <c r="L7347" t="s">
        <v>2145</v>
      </c>
      <c r="M7347">
        <v>1405</v>
      </c>
      <c r="N7347">
        <v>49.96</v>
      </c>
      <c r="O7347">
        <v>50430.62</v>
      </c>
      <c r="P7347">
        <v>0</v>
      </c>
      <c r="Q7347">
        <v>50430.62</v>
      </c>
      <c r="R7347">
        <v>8068.9</v>
      </c>
      <c r="S7347">
        <v>2017.22</v>
      </c>
      <c r="T7347">
        <v>56482.3</v>
      </c>
      <c r="U7347" t="s">
        <v>2350</v>
      </c>
      <c r="V7347" t="s">
        <v>9409</v>
      </c>
      <c r="W7347" t="s">
        <v>423</v>
      </c>
    </row>
    <row r="7348" spans="1:23" hidden="1" x14ac:dyDescent="0.2">
      <c r="A7348">
        <v>2012</v>
      </c>
      <c r="B7348" t="s">
        <v>303</v>
      </c>
      <c r="C7348" s="733">
        <v>40934</v>
      </c>
      <c r="D73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48" t="s">
        <v>478</v>
      </c>
      <c r="F7348" t="s">
        <v>2136</v>
      </c>
      <c r="G7348" t="s">
        <v>7426</v>
      </c>
      <c r="H7348">
        <v>34943</v>
      </c>
      <c r="I7348" t="s">
        <v>423</v>
      </c>
      <c r="J7348" t="s">
        <v>4282</v>
      </c>
      <c r="K7348" t="s">
        <v>425</v>
      </c>
      <c r="L7348" t="s">
        <v>2145</v>
      </c>
      <c r="M7348">
        <v>1405</v>
      </c>
      <c r="N7348">
        <v>51.45</v>
      </c>
      <c r="O7348">
        <v>51934.66</v>
      </c>
      <c r="P7348">
        <v>0</v>
      </c>
      <c r="Q7348">
        <v>51934.66</v>
      </c>
      <c r="R7348">
        <v>8309.5499999999993</v>
      </c>
      <c r="S7348">
        <v>2077.39</v>
      </c>
      <c r="T7348">
        <v>58166.82</v>
      </c>
      <c r="U7348" t="s">
        <v>3234</v>
      </c>
      <c r="V7348" t="s">
        <v>9409</v>
      </c>
      <c r="W7348" t="s">
        <v>423</v>
      </c>
    </row>
    <row r="7349" spans="1:23" hidden="1" x14ac:dyDescent="0.2">
      <c r="A7349">
        <v>2012</v>
      </c>
      <c r="B7349" t="s">
        <v>303</v>
      </c>
      <c r="C7349" s="733">
        <v>40927</v>
      </c>
      <c r="D73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49" t="s">
        <v>478</v>
      </c>
      <c r="F7349" t="s">
        <v>2136</v>
      </c>
      <c r="G7349" t="s">
        <v>2143</v>
      </c>
      <c r="H7349">
        <v>34652</v>
      </c>
      <c r="I7349" t="s">
        <v>423</v>
      </c>
      <c r="J7349" t="s">
        <v>2144</v>
      </c>
      <c r="K7349" t="s">
        <v>425</v>
      </c>
      <c r="L7349" t="s">
        <v>2145</v>
      </c>
      <c r="M7349">
        <v>1354</v>
      </c>
      <c r="N7349">
        <v>50.58</v>
      </c>
      <c r="O7349">
        <v>45865.440000000002</v>
      </c>
      <c r="P7349">
        <v>0</v>
      </c>
      <c r="Q7349">
        <v>45865.440000000002</v>
      </c>
      <c r="R7349">
        <v>7338.47</v>
      </c>
      <c r="S7349">
        <v>1834.62</v>
      </c>
      <c r="T7349">
        <v>51369.29</v>
      </c>
      <c r="U7349" t="s">
        <v>2146</v>
      </c>
      <c r="V7349" t="s">
        <v>9409</v>
      </c>
      <c r="W7349" t="s">
        <v>423</v>
      </c>
    </row>
    <row r="7350" spans="1:23" hidden="1" x14ac:dyDescent="0.2">
      <c r="A7350">
        <v>2012</v>
      </c>
      <c r="B7350" t="s">
        <v>304</v>
      </c>
      <c r="C7350" s="733">
        <v>40949</v>
      </c>
      <c r="D73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50" t="s">
        <v>478</v>
      </c>
      <c r="F7350" t="s">
        <v>2136</v>
      </c>
      <c r="G7350" t="s">
        <v>7277</v>
      </c>
      <c r="H7350">
        <v>35369</v>
      </c>
      <c r="I7350" t="s">
        <v>423</v>
      </c>
      <c r="J7350" t="s">
        <v>2144</v>
      </c>
      <c r="K7350" t="s">
        <v>425</v>
      </c>
      <c r="L7350" t="s">
        <v>2145</v>
      </c>
      <c r="M7350">
        <v>1354</v>
      </c>
      <c r="N7350">
        <v>48.15</v>
      </c>
      <c r="O7350">
        <v>43661.94</v>
      </c>
      <c r="P7350">
        <v>0</v>
      </c>
      <c r="Q7350">
        <v>43661.94</v>
      </c>
      <c r="R7350">
        <v>6985.91</v>
      </c>
      <c r="S7350">
        <v>1746.48</v>
      </c>
      <c r="T7350">
        <v>48901.37</v>
      </c>
      <c r="U7350" t="s">
        <v>7523</v>
      </c>
      <c r="V7350" t="s">
        <v>9409</v>
      </c>
      <c r="W7350" t="s">
        <v>423</v>
      </c>
    </row>
    <row r="7351" spans="1:23" hidden="1" x14ac:dyDescent="0.2">
      <c r="A7351">
        <v>2012</v>
      </c>
      <c r="B7351" t="s">
        <v>303</v>
      </c>
      <c r="C7351" s="733">
        <v>40924</v>
      </c>
      <c r="D735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51" t="s">
        <v>478</v>
      </c>
      <c r="F7351" t="s">
        <v>2136</v>
      </c>
      <c r="G7351" t="s">
        <v>7275</v>
      </c>
      <c r="H7351">
        <v>34468</v>
      </c>
      <c r="I7351" t="s">
        <v>423</v>
      </c>
      <c r="J7351" t="s">
        <v>2144</v>
      </c>
      <c r="K7351" t="s">
        <v>425</v>
      </c>
      <c r="L7351" t="s">
        <v>2145</v>
      </c>
      <c r="M7351">
        <v>1354</v>
      </c>
      <c r="N7351">
        <v>51.57</v>
      </c>
      <c r="O7351">
        <v>46763.16</v>
      </c>
      <c r="P7351">
        <v>0</v>
      </c>
      <c r="Q7351">
        <v>46763.16</v>
      </c>
      <c r="R7351">
        <v>7482.11</v>
      </c>
      <c r="S7351">
        <v>1870.53</v>
      </c>
      <c r="T7351">
        <v>52374.74</v>
      </c>
      <c r="U7351" t="s">
        <v>2146</v>
      </c>
      <c r="V7351" t="s">
        <v>9409</v>
      </c>
      <c r="W7351" t="s">
        <v>423</v>
      </c>
    </row>
    <row r="7352" spans="1:23" hidden="1" x14ac:dyDescent="0.2">
      <c r="A7352">
        <v>2012</v>
      </c>
      <c r="B7352" t="s">
        <v>304</v>
      </c>
      <c r="C7352" s="733">
        <v>40962</v>
      </c>
      <c r="D735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52" t="s">
        <v>505</v>
      </c>
      <c r="F7352" t="s">
        <v>1915</v>
      </c>
      <c r="G7352" t="s">
        <v>8446</v>
      </c>
      <c r="H7352">
        <v>22953</v>
      </c>
      <c r="I7352" t="s">
        <v>423</v>
      </c>
      <c r="J7352" t="s">
        <v>5606</v>
      </c>
      <c r="K7352" t="s">
        <v>1918</v>
      </c>
      <c r="L7352" t="s">
        <v>1919</v>
      </c>
      <c r="M7352">
        <v>383</v>
      </c>
      <c r="N7352">
        <v>24.89</v>
      </c>
      <c r="O7352">
        <v>6873.12</v>
      </c>
      <c r="P7352">
        <v>0</v>
      </c>
      <c r="Q7352">
        <v>6873.12</v>
      </c>
      <c r="R7352">
        <v>1099.7</v>
      </c>
      <c r="S7352">
        <v>274.92</v>
      </c>
      <c r="T7352">
        <v>7697.9</v>
      </c>
      <c r="U7352" t="s">
        <v>8778</v>
      </c>
      <c r="V7352" t="s">
        <v>9408</v>
      </c>
      <c r="W7352" t="s">
        <v>423</v>
      </c>
    </row>
    <row r="7353" spans="1:23" hidden="1" x14ac:dyDescent="0.2">
      <c r="A7353">
        <v>2012</v>
      </c>
      <c r="B7353" t="s">
        <v>304</v>
      </c>
      <c r="C7353" s="733">
        <v>40946</v>
      </c>
      <c r="D735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53" t="s">
        <v>478</v>
      </c>
      <c r="F7353" t="s">
        <v>2622</v>
      </c>
      <c r="G7353" t="s">
        <v>7311</v>
      </c>
      <c r="H7353">
        <v>35336</v>
      </c>
      <c r="I7353" t="s">
        <v>423</v>
      </c>
      <c r="J7353" t="s">
        <v>2624</v>
      </c>
      <c r="K7353" t="s">
        <v>2625</v>
      </c>
      <c r="L7353" t="s">
        <v>2626</v>
      </c>
      <c r="M7353">
        <v>10</v>
      </c>
      <c r="N7353">
        <v>25.49</v>
      </c>
      <c r="O7353">
        <v>2876.55</v>
      </c>
      <c r="P7353">
        <v>0</v>
      </c>
      <c r="Q7353">
        <v>2876.55</v>
      </c>
      <c r="R7353">
        <v>460.25</v>
      </c>
      <c r="S7353">
        <v>115.06</v>
      </c>
      <c r="T7353">
        <v>3221.74</v>
      </c>
      <c r="U7353" t="s">
        <v>2652</v>
      </c>
      <c r="V7353" t="s">
        <v>9408</v>
      </c>
      <c r="W7353" t="s">
        <v>423</v>
      </c>
    </row>
    <row r="7354" spans="1:23" hidden="1" x14ac:dyDescent="0.2">
      <c r="A7354">
        <v>2012</v>
      </c>
      <c r="B7354" t="s">
        <v>303</v>
      </c>
      <c r="C7354" s="733">
        <v>40926</v>
      </c>
      <c r="D73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54" t="s">
        <v>478</v>
      </c>
      <c r="F7354" t="s">
        <v>2622</v>
      </c>
      <c r="G7354" t="s">
        <v>7312</v>
      </c>
      <c r="H7354">
        <v>34589</v>
      </c>
      <c r="I7354" t="s">
        <v>423</v>
      </c>
      <c r="J7354" t="s">
        <v>2624</v>
      </c>
      <c r="K7354" t="s">
        <v>2625</v>
      </c>
      <c r="L7354" t="s">
        <v>2626</v>
      </c>
      <c r="M7354">
        <v>10</v>
      </c>
      <c r="N7354">
        <v>21.78</v>
      </c>
      <c r="O7354">
        <v>2457.87</v>
      </c>
      <c r="P7354">
        <v>0</v>
      </c>
      <c r="Q7354">
        <v>2457.87</v>
      </c>
      <c r="R7354">
        <v>393.26</v>
      </c>
      <c r="S7354">
        <v>98.31</v>
      </c>
      <c r="T7354">
        <v>2752.82</v>
      </c>
      <c r="U7354" t="s">
        <v>2627</v>
      </c>
      <c r="V7354" t="s">
        <v>9408</v>
      </c>
      <c r="W7354" t="s">
        <v>423</v>
      </c>
    </row>
    <row r="7355" spans="1:23" hidden="1" x14ac:dyDescent="0.2">
      <c r="A7355">
        <v>2012</v>
      </c>
      <c r="B7355" t="s">
        <v>305</v>
      </c>
      <c r="C7355" s="733">
        <v>40970.943101851852</v>
      </c>
      <c r="D7355" s="733" t="str">
        <f>CHOOSE(MONTH(Tabla_sqldatos_bonampakdb_Bon_v_ingresos2012[[#This Row],[fecha_guia]]),"Enero","Febrero","Marzo","Abril","Mayo","Junio","Julio","Agosto","Septiembre","Octubre","Noviembre","Diciembre")</f>
        <v>Marzo</v>
      </c>
      <c r="E7355" t="s">
        <v>478</v>
      </c>
      <c r="F7355" t="s">
        <v>2622</v>
      </c>
      <c r="G7355" t="s">
        <v>9788</v>
      </c>
      <c r="H7355">
        <v>36265</v>
      </c>
      <c r="I7355" t="s">
        <v>423</v>
      </c>
      <c r="J7355" t="s">
        <v>2624</v>
      </c>
      <c r="K7355" t="s">
        <v>2625</v>
      </c>
      <c r="L7355" t="s">
        <v>2626</v>
      </c>
      <c r="M7355">
        <v>10</v>
      </c>
      <c r="N7355">
        <v>22.48</v>
      </c>
      <c r="O7355">
        <v>2536.87</v>
      </c>
      <c r="P7355">
        <v>0</v>
      </c>
      <c r="Q7355">
        <v>2536.87</v>
      </c>
      <c r="R7355">
        <v>405.9</v>
      </c>
      <c r="S7355">
        <v>101.47</v>
      </c>
      <c r="T7355">
        <v>2841.3</v>
      </c>
      <c r="V7355" t="s">
        <v>9408</v>
      </c>
      <c r="W7355" t="s">
        <v>423</v>
      </c>
    </row>
    <row r="7356" spans="1:23" hidden="1" x14ac:dyDescent="0.2">
      <c r="A7356">
        <v>2012</v>
      </c>
      <c r="B7356" t="s">
        <v>304</v>
      </c>
      <c r="C7356" s="733">
        <v>40949</v>
      </c>
      <c r="D73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56" t="s">
        <v>478</v>
      </c>
      <c r="F7356" t="s">
        <v>2622</v>
      </c>
      <c r="G7356" t="s">
        <v>7302</v>
      </c>
      <c r="H7356">
        <v>35536</v>
      </c>
      <c r="I7356" t="s">
        <v>423</v>
      </c>
      <c r="J7356" t="s">
        <v>2624</v>
      </c>
      <c r="K7356" t="s">
        <v>2625</v>
      </c>
      <c r="L7356" t="s">
        <v>2626</v>
      </c>
      <c r="M7356">
        <v>10</v>
      </c>
      <c r="N7356">
        <v>25.87</v>
      </c>
      <c r="O7356">
        <v>2919.43</v>
      </c>
      <c r="P7356">
        <v>0</v>
      </c>
      <c r="Q7356">
        <v>2919.43</v>
      </c>
      <c r="R7356">
        <v>467.11</v>
      </c>
      <c r="S7356">
        <v>116.78</v>
      </c>
      <c r="T7356">
        <v>3269.76</v>
      </c>
      <c r="U7356" t="s">
        <v>7548</v>
      </c>
      <c r="V7356" t="s">
        <v>9408</v>
      </c>
      <c r="W7356" t="s">
        <v>423</v>
      </c>
    </row>
    <row r="7357" spans="1:23" hidden="1" x14ac:dyDescent="0.2">
      <c r="A7357">
        <v>2012</v>
      </c>
      <c r="B7357" t="s">
        <v>304</v>
      </c>
      <c r="C7357" s="733">
        <v>40952.967453703706</v>
      </c>
      <c r="D735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57" t="s">
        <v>478</v>
      </c>
      <c r="F7357" t="s">
        <v>2622</v>
      </c>
      <c r="G7357" t="s">
        <v>7320</v>
      </c>
      <c r="H7357">
        <v>35577</v>
      </c>
      <c r="I7357" t="s">
        <v>423</v>
      </c>
      <c r="J7357" t="s">
        <v>2624</v>
      </c>
      <c r="K7357" t="s">
        <v>2625</v>
      </c>
      <c r="L7357" t="s">
        <v>2626</v>
      </c>
      <c r="M7357">
        <v>10</v>
      </c>
      <c r="N7357">
        <v>21.26</v>
      </c>
      <c r="O7357">
        <v>2399.19</v>
      </c>
      <c r="P7357">
        <v>0</v>
      </c>
      <c r="Q7357">
        <v>2399.19</v>
      </c>
      <c r="R7357">
        <v>383.87</v>
      </c>
      <c r="S7357">
        <v>95.97</v>
      </c>
      <c r="T7357">
        <v>2687.09</v>
      </c>
      <c r="U7357" t="s">
        <v>7548</v>
      </c>
      <c r="V7357" t="s">
        <v>9408</v>
      </c>
      <c r="W7357" t="s">
        <v>423</v>
      </c>
    </row>
    <row r="7358" spans="1:23" hidden="1" x14ac:dyDescent="0.2">
      <c r="A7358">
        <v>2012</v>
      </c>
      <c r="B7358" t="s">
        <v>303</v>
      </c>
      <c r="C7358" s="733">
        <v>40920.85597222222</v>
      </c>
      <c r="D735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58" t="s">
        <v>478</v>
      </c>
      <c r="F7358" t="s">
        <v>2622</v>
      </c>
      <c r="G7358" t="s">
        <v>7304</v>
      </c>
      <c r="H7358">
        <v>34474</v>
      </c>
      <c r="I7358" t="s">
        <v>423</v>
      </c>
      <c r="J7358" t="s">
        <v>2624</v>
      </c>
      <c r="K7358" t="s">
        <v>2625</v>
      </c>
      <c r="L7358" t="s">
        <v>2626</v>
      </c>
      <c r="M7358">
        <v>10</v>
      </c>
      <c r="N7358">
        <v>26.18</v>
      </c>
      <c r="O7358">
        <v>2954.41</v>
      </c>
      <c r="P7358">
        <v>0</v>
      </c>
      <c r="Q7358">
        <v>2954.41</v>
      </c>
      <c r="R7358">
        <v>472.71</v>
      </c>
      <c r="S7358">
        <v>118.18</v>
      </c>
      <c r="T7358">
        <v>3308.94</v>
      </c>
      <c r="U7358" t="s">
        <v>2635</v>
      </c>
      <c r="V7358" t="s">
        <v>9408</v>
      </c>
      <c r="W7358" t="s">
        <v>423</v>
      </c>
    </row>
    <row r="7359" spans="1:23" hidden="1" x14ac:dyDescent="0.2">
      <c r="A7359">
        <v>2012</v>
      </c>
      <c r="B7359" t="s">
        <v>304</v>
      </c>
      <c r="C7359" s="733">
        <v>40946</v>
      </c>
      <c r="D73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59" t="s">
        <v>478</v>
      </c>
      <c r="F7359" t="s">
        <v>2622</v>
      </c>
      <c r="G7359" t="s">
        <v>7319</v>
      </c>
      <c r="H7359">
        <v>35339</v>
      </c>
      <c r="I7359" t="s">
        <v>423</v>
      </c>
      <c r="J7359" t="s">
        <v>2668</v>
      </c>
      <c r="K7359" t="s">
        <v>2625</v>
      </c>
      <c r="L7359" t="s">
        <v>2626</v>
      </c>
      <c r="M7359">
        <v>76</v>
      </c>
      <c r="N7359">
        <v>34.049999999999997</v>
      </c>
      <c r="O7359">
        <v>3842.54</v>
      </c>
      <c r="P7359">
        <v>0</v>
      </c>
      <c r="Q7359">
        <v>3842.54</v>
      </c>
      <c r="R7359">
        <v>614.80999999999995</v>
      </c>
      <c r="S7359">
        <v>153.69999999999999</v>
      </c>
      <c r="T7359">
        <v>4303.6499999999996</v>
      </c>
      <c r="V7359" t="s">
        <v>9408</v>
      </c>
      <c r="W7359" t="s">
        <v>423</v>
      </c>
    </row>
    <row r="7360" spans="1:23" hidden="1" x14ac:dyDescent="0.2">
      <c r="A7360">
        <v>2012</v>
      </c>
      <c r="B7360" t="s">
        <v>303</v>
      </c>
      <c r="C7360" s="733">
        <v>40934</v>
      </c>
      <c r="D736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60" t="s">
        <v>478</v>
      </c>
      <c r="F7360" t="s">
        <v>2142</v>
      </c>
      <c r="G7360" t="s">
        <v>7307</v>
      </c>
      <c r="H7360">
        <v>34769</v>
      </c>
      <c r="I7360" t="s">
        <v>423</v>
      </c>
      <c r="J7360" t="s">
        <v>2639</v>
      </c>
      <c r="K7360" t="s">
        <v>2640</v>
      </c>
      <c r="L7360" t="s">
        <v>2641</v>
      </c>
      <c r="M7360">
        <v>274</v>
      </c>
      <c r="N7360">
        <v>53.7</v>
      </c>
      <c r="O7360">
        <v>6902.6</v>
      </c>
      <c r="P7360">
        <v>0</v>
      </c>
      <c r="Q7360">
        <v>6902.6</v>
      </c>
      <c r="R7360">
        <v>1104.42</v>
      </c>
      <c r="S7360">
        <v>276.10000000000002</v>
      </c>
      <c r="T7360">
        <v>7730.92</v>
      </c>
      <c r="U7360" t="s">
        <v>2642</v>
      </c>
      <c r="V7360" t="s">
        <v>9409</v>
      </c>
      <c r="W7360" t="s">
        <v>423</v>
      </c>
    </row>
    <row r="7361" spans="1:23" hidden="1" x14ac:dyDescent="0.2">
      <c r="A7361">
        <v>2012</v>
      </c>
      <c r="B7361" t="s">
        <v>304</v>
      </c>
      <c r="C7361" s="733">
        <v>40967</v>
      </c>
      <c r="D736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61" t="s">
        <v>478</v>
      </c>
      <c r="F7361" t="s">
        <v>2142</v>
      </c>
      <c r="G7361" t="s">
        <v>9315</v>
      </c>
      <c r="H7361">
        <v>35978</v>
      </c>
      <c r="I7361" t="s">
        <v>423</v>
      </c>
      <c r="J7361" t="s">
        <v>2639</v>
      </c>
      <c r="K7361" t="s">
        <v>2640</v>
      </c>
      <c r="L7361" t="s">
        <v>2641</v>
      </c>
      <c r="M7361">
        <v>274</v>
      </c>
      <c r="N7361">
        <v>55.36</v>
      </c>
      <c r="O7361">
        <v>7115.97</v>
      </c>
      <c r="P7361">
        <v>0</v>
      </c>
      <c r="Q7361">
        <v>7115.97</v>
      </c>
      <c r="R7361">
        <v>1138.56</v>
      </c>
      <c r="S7361">
        <v>284.64</v>
      </c>
      <c r="T7361">
        <v>7969.89</v>
      </c>
      <c r="U7361" t="s">
        <v>9475</v>
      </c>
      <c r="V7361" t="s">
        <v>9409</v>
      </c>
      <c r="W7361" t="s">
        <v>423</v>
      </c>
    </row>
    <row r="7362" spans="1:23" hidden="1" x14ac:dyDescent="0.2">
      <c r="A7362">
        <v>2012</v>
      </c>
      <c r="B7362" t="s">
        <v>304</v>
      </c>
      <c r="C7362" s="733">
        <v>40953</v>
      </c>
      <c r="D73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62" t="s">
        <v>478</v>
      </c>
      <c r="F7362" t="s">
        <v>2142</v>
      </c>
      <c r="G7362" t="s">
        <v>7308</v>
      </c>
      <c r="H7362">
        <v>35464</v>
      </c>
      <c r="I7362" t="s">
        <v>423</v>
      </c>
      <c r="J7362" t="s">
        <v>2639</v>
      </c>
      <c r="K7362" t="s">
        <v>2640</v>
      </c>
      <c r="L7362" t="s">
        <v>2641</v>
      </c>
      <c r="M7362">
        <v>274</v>
      </c>
      <c r="N7362">
        <v>54.92</v>
      </c>
      <c r="O7362">
        <v>7059.42</v>
      </c>
      <c r="P7362">
        <v>0</v>
      </c>
      <c r="Q7362">
        <v>7059.42</v>
      </c>
      <c r="R7362">
        <v>1129.51</v>
      </c>
      <c r="S7362">
        <v>282.38</v>
      </c>
      <c r="T7362">
        <v>7906.55</v>
      </c>
      <c r="U7362" t="s">
        <v>7598</v>
      </c>
      <c r="V7362" t="s">
        <v>9409</v>
      </c>
      <c r="W7362" t="s">
        <v>423</v>
      </c>
    </row>
    <row r="7363" spans="1:23" hidden="1" x14ac:dyDescent="0.2">
      <c r="A7363">
        <v>2012</v>
      </c>
      <c r="B7363" t="s">
        <v>304</v>
      </c>
      <c r="C7363" s="733">
        <v>40966</v>
      </c>
      <c r="D736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63" t="s">
        <v>478</v>
      </c>
      <c r="F7363" t="s">
        <v>2622</v>
      </c>
      <c r="G7363" t="s">
        <v>9314</v>
      </c>
      <c r="H7363">
        <v>36037</v>
      </c>
      <c r="I7363" t="s">
        <v>423</v>
      </c>
      <c r="J7363" t="s">
        <v>2624</v>
      </c>
      <c r="K7363" t="s">
        <v>2625</v>
      </c>
      <c r="L7363" t="s">
        <v>2626</v>
      </c>
      <c r="M7363">
        <v>10</v>
      </c>
      <c r="N7363">
        <v>22.86</v>
      </c>
      <c r="O7363">
        <v>2579.75</v>
      </c>
      <c r="P7363">
        <v>0</v>
      </c>
      <c r="Q7363">
        <v>2579.75</v>
      </c>
      <c r="R7363">
        <v>412.76</v>
      </c>
      <c r="S7363">
        <v>103.19</v>
      </c>
      <c r="T7363">
        <v>2889.32</v>
      </c>
      <c r="U7363" t="s">
        <v>9428</v>
      </c>
      <c r="V7363" t="s">
        <v>9408</v>
      </c>
      <c r="W7363" t="s">
        <v>423</v>
      </c>
    </row>
    <row r="7364" spans="1:23" hidden="1" x14ac:dyDescent="0.2">
      <c r="A7364">
        <v>2012</v>
      </c>
      <c r="B7364" t="s">
        <v>303</v>
      </c>
      <c r="C7364" s="733">
        <v>40918.875717592593</v>
      </c>
      <c r="D736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64" t="s">
        <v>478</v>
      </c>
      <c r="F7364" t="s">
        <v>2136</v>
      </c>
      <c r="G7364" t="s">
        <v>7306</v>
      </c>
      <c r="H7364">
        <v>34417</v>
      </c>
      <c r="I7364" t="s">
        <v>423</v>
      </c>
      <c r="J7364" t="s">
        <v>2624</v>
      </c>
      <c r="K7364" t="s">
        <v>2625</v>
      </c>
      <c r="L7364" t="s">
        <v>2626</v>
      </c>
      <c r="M7364">
        <v>10</v>
      </c>
      <c r="N7364">
        <v>22.59</v>
      </c>
      <c r="O7364">
        <v>2549.2800000000002</v>
      </c>
      <c r="P7364">
        <v>0</v>
      </c>
      <c r="Q7364">
        <v>2549.2800000000002</v>
      </c>
      <c r="R7364">
        <v>407.89</v>
      </c>
      <c r="S7364">
        <v>101.97</v>
      </c>
      <c r="T7364">
        <v>2855.2</v>
      </c>
      <c r="U7364" t="s">
        <v>2627</v>
      </c>
      <c r="V7364" t="s">
        <v>9408</v>
      </c>
      <c r="W7364" t="s">
        <v>423</v>
      </c>
    </row>
    <row r="7365" spans="1:23" hidden="1" x14ac:dyDescent="0.2">
      <c r="A7365">
        <v>2012</v>
      </c>
      <c r="B7365" t="s">
        <v>303</v>
      </c>
      <c r="C7365" s="733">
        <v>40939</v>
      </c>
      <c r="D73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65" t="s">
        <v>478</v>
      </c>
      <c r="F7365" t="s">
        <v>2622</v>
      </c>
      <c r="G7365" t="s">
        <v>7303</v>
      </c>
      <c r="H7365">
        <v>35107</v>
      </c>
      <c r="I7365" t="s">
        <v>423</v>
      </c>
      <c r="J7365" t="s">
        <v>2624</v>
      </c>
      <c r="K7365" t="s">
        <v>2625</v>
      </c>
      <c r="L7365" t="s">
        <v>2626</v>
      </c>
      <c r="M7365">
        <v>10</v>
      </c>
      <c r="N7365">
        <v>24.76</v>
      </c>
      <c r="O7365">
        <v>2794.17</v>
      </c>
      <c r="P7365">
        <v>0</v>
      </c>
      <c r="Q7365">
        <v>2794.17</v>
      </c>
      <c r="R7365">
        <v>447.07</v>
      </c>
      <c r="S7365">
        <v>111.77</v>
      </c>
      <c r="T7365">
        <v>3129.47</v>
      </c>
      <c r="U7365" t="s">
        <v>2630</v>
      </c>
      <c r="V7365" t="s">
        <v>9408</v>
      </c>
      <c r="W7365" t="s">
        <v>423</v>
      </c>
    </row>
    <row r="7366" spans="1:23" hidden="1" x14ac:dyDescent="0.2">
      <c r="A7366">
        <v>2012</v>
      </c>
      <c r="B7366" t="s">
        <v>304</v>
      </c>
      <c r="C7366" s="733">
        <v>40960.422106481485</v>
      </c>
      <c r="D73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66" t="s">
        <v>478</v>
      </c>
      <c r="F7366" t="s">
        <v>2622</v>
      </c>
      <c r="G7366" t="s">
        <v>8434</v>
      </c>
      <c r="H7366">
        <v>35849</v>
      </c>
      <c r="I7366" t="s">
        <v>423</v>
      </c>
      <c r="J7366" t="s">
        <v>2624</v>
      </c>
      <c r="K7366" t="s">
        <v>2625</v>
      </c>
      <c r="L7366" t="s">
        <v>2626</v>
      </c>
      <c r="M7366">
        <v>10</v>
      </c>
      <c r="N7366">
        <v>20.95</v>
      </c>
      <c r="O7366">
        <v>2364.21</v>
      </c>
      <c r="P7366">
        <v>0</v>
      </c>
      <c r="Q7366">
        <v>2364.21</v>
      </c>
      <c r="R7366">
        <v>378.27</v>
      </c>
      <c r="S7366">
        <v>94.57</v>
      </c>
      <c r="T7366">
        <v>2647.91</v>
      </c>
      <c r="U7366" t="s">
        <v>8267</v>
      </c>
      <c r="V7366" t="s">
        <v>9408</v>
      </c>
      <c r="W7366" t="s">
        <v>423</v>
      </c>
    </row>
    <row r="7367" spans="1:23" hidden="1" x14ac:dyDescent="0.2">
      <c r="A7367">
        <v>2012</v>
      </c>
      <c r="B7367" t="s">
        <v>304</v>
      </c>
      <c r="C7367" s="733">
        <v>40960.423275462963</v>
      </c>
      <c r="D736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67" t="s">
        <v>478</v>
      </c>
      <c r="F7367" t="s">
        <v>2622</v>
      </c>
      <c r="G7367" t="s">
        <v>8435</v>
      </c>
      <c r="H7367">
        <v>35853</v>
      </c>
      <c r="I7367" t="s">
        <v>423</v>
      </c>
      <c r="J7367" t="s">
        <v>2624</v>
      </c>
      <c r="K7367" t="s">
        <v>2625</v>
      </c>
      <c r="L7367" t="s">
        <v>2626</v>
      </c>
      <c r="M7367">
        <v>10</v>
      </c>
      <c r="N7367">
        <v>25.25</v>
      </c>
      <c r="O7367">
        <v>2849.46</v>
      </c>
      <c r="P7367">
        <v>0</v>
      </c>
      <c r="Q7367">
        <v>2849.46</v>
      </c>
      <c r="R7367">
        <v>455.91</v>
      </c>
      <c r="S7367">
        <v>113.98</v>
      </c>
      <c r="T7367">
        <v>3191.39</v>
      </c>
      <c r="U7367" t="s">
        <v>8267</v>
      </c>
      <c r="V7367" t="s">
        <v>9408</v>
      </c>
      <c r="W7367" t="s">
        <v>423</v>
      </c>
    </row>
    <row r="7368" spans="1:23" hidden="1" x14ac:dyDescent="0.2">
      <c r="A7368">
        <v>2012</v>
      </c>
      <c r="B7368" t="s">
        <v>303</v>
      </c>
      <c r="C7368" s="733">
        <v>40910</v>
      </c>
      <c r="D736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68" t="s">
        <v>478</v>
      </c>
      <c r="F7368" t="s">
        <v>2142</v>
      </c>
      <c r="G7368" t="s">
        <v>7331</v>
      </c>
      <c r="H7368">
        <v>33907</v>
      </c>
      <c r="I7368" t="s">
        <v>423</v>
      </c>
      <c r="J7368" t="s">
        <v>2639</v>
      </c>
      <c r="K7368" t="s">
        <v>2640</v>
      </c>
      <c r="L7368" t="s">
        <v>2641</v>
      </c>
      <c r="M7368">
        <v>274</v>
      </c>
      <c r="N7368">
        <v>45.97</v>
      </c>
      <c r="O7368">
        <v>2487.9</v>
      </c>
      <c r="P7368">
        <v>2801.1017310000002</v>
      </c>
      <c r="Q7368">
        <v>5289.0017310000003</v>
      </c>
      <c r="R7368">
        <v>846.24027699999999</v>
      </c>
      <c r="S7368">
        <v>211.560069</v>
      </c>
      <c r="T7368">
        <v>5923.6819390000001</v>
      </c>
      <c r="U7368" t="s">
        <v>4102</v>
      </c>
      <c r="V7368" t="s">
        <v>9409</v>
      </c>
      <c r="W7368" t="s">
        <v>423</v>
      </c>
    </row>
    <row r="7369" spans="1:23" hidden="1" x14ac:dyDescent="0.2">
      <c r="A7369">
        <v>2012</v>
      </c>
      <c r="B7369" t="s">
        <v>304</v>
      </c>
      <c r="C7369" s="733">
        <v>40961</v>
      </c>
      <c r="D73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69" t="s">
        <v>478</v>
      </c>
      <c r="F7369" t="s">
        <v>2142</v>
      </c>
      <c r="G7369" t="s">
        <v>8445</v>
      </c>
      <c r="H7369">
        <v>35750</v>
      </c>
      <c r="I7369" t="s">
        <v>423</v>
      </c>
      <c r="J7369" t="s">
        <v>2639</v>
      </c>
      <c r="K7369" t="s">
        <v>2640</v>
      </c>
      <c r="L7369" t="s">
        <v>2641</v>
      </c>
      <c r="M7369">
        <v>274</v>
      </c>
      <c r="N7369">
        <v>54.63</v>
      </c>
      <c r="O7369">
        <v>7022.14</v>
      </c>
      <c r="P7369">
        <v>0</v>
      </c>
      <c r="Q7369">
        <v>7022.14</v>
      </c>
      <c r="R7369">
        <v>1123.54</v>
      </c>
      <c r="S7369">
        <v>280.89</v>
      </c>
      <c r="T7369">
        <v>7864.79</v>
      </c>
      <c r="U7369" t="s">
        <v>8307</v>
      </c>
      <c r="V7369" t="s">
        <v>9409</v>
      </c>
      <c r="W7369" t="s">
        <v>423</v>
      </c>
    </row>
    <row r="7370" spans="1:23" hidden="1" x14ac:dyDescent="0.2">
      <c r="A7370">
        <v>2012</v>
      </c>
      <c r="B7370" t="s">
        <v>303</v>
      </c>
      <c r="C7370" s="733">
        <v>40939</v>
      </c>
      <c r="D737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70" t="s">
        <v>478</v>
      </c>
      <c r="F7370" t="s">
        <v>2142</v>
      </c>
      <c r="G7370" t="s">
        <v>7309</v>
      </c>
      <c r="H7370">
        <v>34996</v>
      </c>
      <c r="I7370" t="s">
        <v>423</v>
      </c>
      <c r="J7370" t="s">
        <v>2639</v>
      </c>
      <c r="K7370" t="s">
        <v>2640</v>
      </c>
      <c r="L7370" t="s">
        <v>2641</v>
      </c>
      <c r="M7370">
        <v>274</v>
      </c>
      <c r="N7370">
        <v>53.61</v>
      </c>
      <c r="O7370">
        <v>6891.03</v>
      </c>
      <c r="P7370">
        <v>0</v>
      </c>
      <c r="Q7370">
        <v>6891.03</v>
      </c>
      <c r="R7370">
        <v>1102.56</v>
      </c>
      <c r="S7370">
        <v>275.64</v>
      </c>
      <c r="T7370">
        <v>7717.95</v>
      </c>
      <c r="U7370" t="s">
        <v>2990</v>
      </c>
      <c r="V7370" t="s">
        <v>9409</v>
      </c>
      <c r="W7370" t="s">
        <v>423</v>
      </c>
    </row>
    <row r="7371" spans="1:23" hidden="1" x14ac:dyDescent="0.2">
      <c r="A7371">
        <v>2012</v>
      </c>
      <c r="B7371" t="s">
        <v>304</v>
      </c>
      <c r="C7371" s="733">
        <v>40949</v>
      </c>
      <c r="D73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71" t="s">
        <v>478</v>
      </c>
      <c r="F7371" t="s">
        <v>2622</v>
      </c>
      <c r="G7371" t="s">
        <v>7313</v>
      </c>
      <c r="H7371">
        <v>35533</v>
      </c>
      <c r="I7371" t="s">
        <v>423</v>
      </c>
      <c r="J7371" t="s">
        <v>2668</v>
      </c>
      <c r="K7371" t="s">
        <v>2625</v>
      </c>
      <c r="L7371" t="s">
        <v>2626</v>
      </c>
      <c r="M7371">
        <v>76</v>
      </c>
      <c r="N7371">
        <v>38.53</v>
      </c>
      <c r="O7371">
        <v>4348.1099999999997</v>
      </c>
      <c r="P7371">
        <v>0</v>
      </c>
      <c r="Q7371">
        <v>4348.1099999999997</v>
      </c>
      <c r="R7371">
        <v>695.7</v>
      </c>
      <c r="S7371">
        <v>173.92</v>
      </c>
      <c r="T7371">
        <v>4869.8900000000003</v>
      </c>
      <c r="U7371" t="s">
        <v>7548</v>
      </c>
      <c r="V7371" t="s">
        <v>9408</v>
      </c>
      <c r="W7371" t="s">
        <v>423</v>
      </c>
    </row>
    <row r="7372" spans="1:23" hidden="1" x14ac:dyDescent="0.2">
      <c r="A7372">
        <v>2012</v>
      </c>
      <c r="B7372" t="s">
        <v>304</v>
      </c>
      <c r="C7372" s="733">
        <v>40953</v>
      </c>
      <c r="D737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72" t="s">
        <v>485</v>
      </c>
      <c r="F7372" t="s">
        <v>2048</v>
      </c>
      <c r="G7372" t="s">
        <v>7380</v>
      </c>
      <c r="H7372">
        <v>41874</v>
      </c>
      <c r="I7372" t="s">
        <v>423</v>
      </c>
      <c r="J7372" t="s">
        <v>4093</v>
      </c>
      <c r="K7372" t="s">
        <v>2051</v>
      </c>
      <c r="L7372" t="s">
        <v>2052</v>
      </c>
      <c r="M7372">
        <v>647</v>
      </c>
      <c r="N7372">
        <v>28.2</v>
      </c>
      <c r="O7372">
        <v>10668.91</v>
      </c>
      <c r="P7372">
        <v>0</v>
      </c>
      <c r="Q7372">
        <v>10668.91</v>
      </c>
      <c r="R7372">
        <v>1707.02</v>
      </c>
      <c r="S7372">
        <v>426.76</v>
      </c>
      <c r="T7372">
        <v>11949.17</v>
      </c>
      <c r="U7372" t="s">
        <v>8257</v>
      </c>
      <c r="V7372" t="s">
        <v>9408</v>
      </c>
      <c r="W7372" t="s">
        <v>423</v>
      </c>
    </row>
    <row r="7373" spans="1:23" x14ac:dyDescent="0.2">
      <c r="A7373">
        <v>2012</v>
      </c>
      <c r="B7373" t="s">
        <v>304</v>
      </c>
      <c r="C7373" s="733">
        <v>40967</v>
      </c>
      <c r="D73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73" t="s">
        <v>485</v>
      </c>
      <c r="F7373" t="s">
        <v>2065</v>
      </c>
      <c r="G7373" t="s">
        <v>9316</v>
      </c>
      <c r="H7373">
        <v>42086</v>
      </c>
      <c r="I7373" t="s">
        <v>423</v>
      </c>
      <c r="J7373" t="s">
        <v>2848</v>
      </c>
      <c r="K7373" t="s">
        <v>2814</v>
      </c>
      <c r="L7373" t="s">
        <v>2815</v>
      </c>
      <c r="M7373">
        <v>708</v>
      </c>
      <c r="N7373">
        <v>24.113</v>
      </c>
      <c r="O7373">
        <v>9894.5300000000007</v>
      </c>
      <c r="P7373">
        <v>0</v>
      </c>
      <c r="Q7373">
        <v>9894.5300000000007</v>
      </c>
      <c r="R7373">
        <v>1088.4000000000001</v>
      </c>
      <c r="S7373">
        <v>395.78</v>
      </c>
      <c r="T7373">
        <v>10587.15</v>
      </c>
      <c r="U7373" t="s">
        <v>8877</v>
      </c>
      <c r="V7373" t="s">
        <v>9408</v>
      </c>
      <c r="W7373" t="s">
        <v>423</v>
      </c>
    </row>
    <row r="7374" spans="1:23" hidden="1" x14ac:dyDescent="0.2">
      <c r="A7374">
        <v>2012</v>
      </c>
      <c r="B7374" t="s">
        <v>303</v>
      </c>
      <c r="C7374" s="733">
        <v>40935</v>
      </c>
      <c r="D73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74" t="s">
        <v>478</v>
      </c>
      <c r="F7374" t="s">
        <v>2136</v>
      </c>
      <c r="G7374" t="s">
        <v>7258</v>
      </c>
      <c r="H7374">
        <v>34978</v>
      </c>
      <c r="I7374" t="s">
        <v>423</v>
      </c>
      <c r="J7374" t="s">
        <v>2936</v>
      </c>
      <c r="K7374" t="s">
        <v>425</v>
      </c>
      <c r="L7374" t="s">
        <v>2145</v>
      </c>
      <c r="M7374">
        <v>604</v>
      </c>
      <c r="N7374">
        <v>24.92</v>
      </c>
      <c r="O7374">
        <v>7802.2</v>
      </c>
      <c r="P7374">
        <v>0</v>
      </c>
      <c r="Q7374">
        <v>7802.2</v>
      </c>
      <c r="R7374">
        <v>1248.3499999999999</v>
      </c>
      <c r="S7374">
        <v>312.08999999999997</v>
      </c>
      <c r="T7374">
        <v>8738.4599999999991</v>
      </c>
      <c r="U7374" t="s">
        <v>2580</v>
      </c>
      <c r="V7374" t="s">
        <v>9409</v>
      </c>
      <c r="W7374" t="s">
        <v>423</v>
      </c>
    </row>
    <row r="7375" spans="1:23" hidden="1" x14ac:dyDescent="0.2">
      <c r="A7375">
        <v>2012</v>
      </c>
      <c r="B7375" t="s">
        <v>303</v>
      </c>
      <c r="C7375" s="733">
        <v>40934</v>
      </c>
      <c r="D73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75" t="s">
        <v>478</v>
      </c>
      <c r="F7375" t="s">
        <v>2136</v>
      </c>
      <c r="G7375" t="s">
        <v>7266</v>
      </c>
      <c r="H7375">
        <v>34939</v>
      </c>
      <c r="I7375" t="s">
        <v>423</v>
      </c>
      <c r="J7375" t="s">
        <v>2936</v>
      </c>
      <c r="K7375" t="s">
        <v>425</v>
      </c>
      <c r="L7375" t="s">
        <v>2145</v>
      </c>
      <c r="M7375">
        <v>604</v>
      </c>
      <c r="N7375">
        <v>22.66</v>
      </c>
      <c r="O7375">
        <v>7094.62</v>
      </c>
      <c r="P7375">
        <v>0</v>
      </c>
      <c r="Q7375">
        <v>7094.62</v>
      </c>
      <c r="R7375">
        <v>1135.1400000000001</v>
      </c>
      <c r="S7375">
        <v>283.77999999999997</v>
      </c>
      <c r="T7375">
        <v>7945.98</v>
      </c>
      <c r="U7375" t="s">
        <v>2355</v>
      </c>
      <c r="V7375" t="s">
        <v>9408</v>
      </c>
      <c r="W7375" t="s">
        <v>423</v>
      </c>
    </row>
    <row r="7376" spans="1:23" hidden="1" x14ac:dyDescent="0.2">
      <c r="A7376">
        <v>2012</v>
      </c>
      <c r="B7376" t="s">
        <v>304</v>
      </c>
      <c r="C7376" s="733">
        <v>40963</v>
      </c>
      <c r="D73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76" t="s">
        <v>478</v>
      </c>
      <c r="F7376" t="s">
        <v>2136</v>
      </c>
      <c r="G7376" t="s">
        <v>8614</v>
      </c>
      <c r="H7376">
        <v>35363</v>
      </c>
      <c r="I7376" t="s">
        <v>423</v>
      </c>
      <c r="J7376" t="s">
        <v>2936</v>
      </c>
      <c r="K7376" t="s">
        <v>425</v>
      </c>
      <c r="L7376" t="s">
        <v>2145</v>
      </c>
      <c r="M7376">
        <v>604</v>
      </c>
      <c r="N7376">
        <v>27.16</v>
      </c>
      <c r="O7376">
        <v>8503.52</v>
      </c>
      <c r="P7376">
        <v>0</v>
      </c>
      <c r="Q7376">
        <v>8503.52</v>
      </c>
      <c r="R7376">
        <v>1360.56</v>
      </c>
      <c r="S7376">
        <v>340.14</v>
      </c>
      <c r="T7376">
        <v>9523.94</v>
      </c>
      <c r="U7376" t="s">
        <v>8510</v>
      </c>
      <c r="V7376" t="s">
        <v>9408</v>
      </c>
      <c r="W7376" t="s">
        <v>423</v>
      </c>
    </row>
    <row r="7377" spans="1:23" hidden="1" x14ac:dyDescent="0.2">
      <c r="A7377">
        <v>2012</v>
      </c>
      <c r="B7377" t="s">
        <v>303</v>
      </c>
      <c r="C7377" s="733">
        <v>40914</v>
      </c>
      <c r="D737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77" t="s">
        <v>478</v>
      </c>
      <c r="F7377" t="s">
        <v>2136</v>
      </c>
      <c r="G7377" t="s">
        <v>7267</v>
      </c>
      <c r="H7377">
        <v>34255</v>
      </c>
      <c r="I7377" t="s">
        <v>423</v>
      </c>
      <c r="J7377" t="s">
        <v>2936</v>
      </c>
      <c r="K7377" t="s">
        <v>425</v>
      </c>
      <c r="L7377" t="s">
        <v>2145</v>
      </c>
      <c r="M7377">
        <v>604</v>
      </c>
      <c r="N7377">
        <v>25.37</v>
      </c>
      <c r="O7377">
        <v>7943.09</v>
      </c>
      <c r="P7377">
        <v>0</v>
      </c>
      <c r="Q7377">
        <v>7943.09</v>
      </c>
      <c r="R7377">
        <v>1270.8900000000001</v>
      </c>
      <c r="S7377">
        <v>317.72000000000003</v>
      </c>
      <c r="T7377">
        <v>8896.26</v>
      </c>
      <c r="U7377" t="s">
        <v>2352</v>
      </c>
      <c r="V7377" t="s">
        <v>9408</v>
      </c>
      <c r="W7377" t="s">
        <v>423</v>
      </c>
    </row>
    <row r="7378" spans="1:23" hidden="1" x14ac:dyDescent="0.2">
      <c r="A7378">
        <v>2012</v>
      </c>
      <c r="B7378" t="s">
        <v>304</v>
      </c>
      <c r="C7378" s="733">
        <v>40942</v>
      </c>
      <c r="D73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78" t="s">
        <v>478</v>
      </c>
      <c r="F7378" t="s">
        <v>2142</v>
      </c>
      <c r="G7378" t="s">
        <v>7429</v>
      </c>
      <c r="H7378">
        <v>35279</v>
      </c>
      <c r="I7378" t="s">
        <v>423</v>
      </c>
      <c r="J7378" t="s">
        <v>2936</v>
      </c>
      <c r="K7378" t="s">
        <v>425</v>
      </c>
      <c r="L7378" t="s">
        <v>2145</v>
      </c>
      <c r="M7378">
        <v>604</v>
      </c>
      <c r="N7378">
        <v>45.86</v>
      </c>
      <c r="O7378">
        <v>14358.31</v>
      </c>
      <c r="P7378">
        <v>0</v>
      </c>
      <c r="Q7378">
        <v>14358.31</v>
      </c>
      <c r="R7378">
        <v>2297.33</v>
      </c>
      <c r="S7378">
        <v>574.33000000000004</v>
      </c>
      <c r="T7378">
        <v>16081.31</v>
      </c>
      <c r="U7378" t="s">
        <v>2938</v>
      </c>
      <c r="V7378" t="s">
        <v>9409</v>
      </c>
      <c r="W7378" t="s">
        <v>423</v>
      </c>
    </row>
    <row r="7379" spans="1:23" hidden="1" x14ac:dyDescent="0.2">
      <c r="A7379">
        <v>2012</v>
      </c>
      <c r="B7379" t="s">
        <v>303</v>
      </c>
      <c r="C7379" s="733">
        <v>40918</v>
      </c>
      <c r="D73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79" t="s">
        <v>478</v>
      </c>
      <c r="F7379" t="s">
        <v>2136</v>
      </c>
      <c r="G7379" t="s">
        <v>7257</v>
      </c>
      <c r="H7379">
        <v>34304</v>
      </c>
      <c r="I7379" t="s">
        <v>423</v>
      </c>
      <c r="J7379" t="s">
        <v>2936</v>
      </c>
      <c r="K7379" t="s">
        <v>425</v>
      </c>
      <c r="L7379" t="s">
        <v>2145</v>
      </c>
      <c r="M7379">
        <v>604</v>
      </c>
      <c r="N7379">
        <v>24.55</v>
      </c>
      <c r="O7379">
        <v>7686.36</v>
      </c>
      <c r="P7379">
        <v>8653.9958600000009</v>
      </c>
      <c r="Q7379">
        <v>16340.35586</v>
      </c>
      <c r="R7379">
        <v>2614.4569379999998</v>
      </c>
      <c r="S7379">
        <v>653.61423400000001</v>
      </c>
      <c r="T7379">
        <v>18301.198563999998</v>
      </c>
      <c r="U7379" t="s">
        <v>2350</v>
      </c>
      <c r="V7379" t="s">
        <v>9408</v>
      </c>
      <c r="W7379" t="s">
        <v>423</v>
      </c>
    </row>
    <row r="7380" spans="1:23" hidden="1" x14ac:dyDescent="0.2">
      <c r="A7380">
        <v>2012</v>
      </c>
      <c r="B7380" t="s">
        <v>303</v>
      </c>
      <c r="C7380" s="733">
        <v>40924</v>
      </c>
      <c r="D73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80" t="s">
        <v>478</v>
      </c>
      <c r="F7380" t="s">
        <v>2622</v>
      </c>
      <c r="G7380" t="s">
        <v>7265</v>
      </c>
      <c r="H7380">
        <v>34527</v>
      </c>
      <c r="I7380" t="s">
        <v>423</v>
      </c>
      <c r="J7380" t="s">
        <v>3329</v>
      </c>
      <c r="K7380" t="s">
        <v>425</v>
      </c>
      <c r="L7380" t="s">
        <v>2145</v>
      </c>
      <c r="M7380">
        <v>596</v>
      </c>
      <c r="N7380">
        <v>51.26</v>
      </c>
      <c r="O7380">
        <v>7003.14</v>
      </c>
      <c r="P7380">
        <v>0</v>
      </c>
      <c r="Q7380">
        <v>7003.14</v>
      </c>
      <c r="R7380">
        <v>1120.5</v>
      </c>
      <c r="S7380">
        <v>280.13</v>
      </c>
      <c r="T7380">
        <v>7843.51</v>
      </c>
      <c r="V7380" t="s">
        <v>9409</v>
      </c>
      <c r="W7380" t="s">
        <v>423</v>
      </c>
    </row>
    <row r="7381" spans="1:23" hidden="1" x14ac:dyDescent="0.2">
      <c r="A7381">
        <v>2012</v>
      </c>
      <c r="B7381" t="s">
        <v>305</v>
      </c>
      <c r="C7381" s="733">
        <v>40969</v>
      </c>
      <c r="D7381" s="733" t="str">
        <f>CHOOSE(MONTH(Tabla_sqldatos_bonampakdb_Bon_v_ingresos2012[[#This Row],[fecha_guia]]),"Enero","Febrero","Marzo","Abril","Mayo","Junio","Julio","Agosto","Septiembre","Octubre","Noviembre","Diciembre")</f>
        <v>Marzo</v>
      </c>
      <c r="E7381" t="s">
        <v>478</v>
      </c>
      <c r="F7381" t="s">
        <v>2136</v>
      </c>
      <c r="G7381" t="s">
        <v>9554</v>
      </c>
      <c r="H7381">
        <v>36159</v>
      </c>
      <c r="I7381" t="s">
        <v>423</v>
      </c>
      <c r="J7381" t="s">
        <v>5307</v>
      </c>
      <c r="K7381" t="s">
        <v>425</v>
      </c>
      <c r="L7381" t="s">
        <v>2145</v>
      </c>
      <c r="M7381">
        <v>1365</v>
      </c>
      <c r="N7381">
        <v>40.86</v>
      </c>
      <c r="O7381">
        <v>37051.440000000002</v>
      </c>
      <c r="P7381">
        <v>0</v>
      </c>
      <c r="Q7381">
        <v>37051.440000000002</v>
      </c>
      <c r="R7381">
        <v>5928.23</v>
      </c>
      <c r="S7381">
        <v>1482.06</v>
      </c>
      <c r="T7381">
        <v>41497.61</v>
      </c>
      <c r="V7381" t="s">
        <v>9409</v>
      </c>
      <c r="W7381" t="s">
        <v>423</v>
      </c>
    </row>
    <row r="7382" spans="1:23" hidden="1" x14ac:dyDescent="0.2">
      <c r="A7382">
        <v>2012</v>
      </c>
      <c r="B7382" t="s">
        <v>303</v>
      </c>
      <c r="C7382" s="733">
        <v>40922</v>
      </c>
      <c r="D738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82" t="s">
        <v>478</v>
      </c>
      <c r="F7382" t="s">
        <v>2136</v>
      </c>
      <c r="G7382" t="s">
        <v>7273</v>
      </c>
      <c r="H7382">
        <v>34482</v>
      </c>
      <c r="I7382" t="s">
        <v>423</v>
      </c>
      <c r="J7382" t="s">
        <v>4270</v>
      </c>
      <c r="K7382" t="s">
        <v>425</v>
      </c>
      <c r="L7382" t="s">
        <v>2145</v>
      </c>
      <c r="M7382">
        <v>560</v>
      </c>
      <c r="N7382">
        <v>25.35</v>
      </c>
      <c r="O7382">
        <v>8226.08</v>
      </c>
      <c r="P7382">
        <v>0</v>
      </c>
      <c r="Q7382">
        <v>8226.08</v>
      </c>
      <c r="R7382">
        <v>1316.17</v>
      </c>
      <c r="S7382">
        <v>329.04</v>
      </c>
      <c r="T7382">
        <v>9213.2099999999991</v>
      </c>
      <c r="U7382" t="s">
        <v>2355</v>
      </c>
      <c r="V7382" t="s">
        <v>9409</v>
      </c>
      <c r="W7382" t="s">
        <v>423</v>
      </c>
    </row>
    <row r="7383" spans="1:23" hidden="1" x14ac:dyDescent="0.2">
      <c r="A7383">
        <v>2012</v>
      </c>
      <c r="B7383" t="s">
        <v>304</v>
      </c>
      <c r="C7383" s="733">
        <v>40948</v>
      </c>
      <c r="D73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83" t="s">
        <v>478</v>
      </c>
      <c r="F7383" t="s">
        <v>2136</v>
      </c>
      <c r="G7383" t="s">
        <v>7272</v>
      </c>
      <c r="H7383">
        <v>35473</v>
      </c>
      <c r="I7383" t="s">
        <v>423</v>
      </c>
      <c r="J7383" t="s">
        <v>4270</v>
      </c>
      <c r="K7383" t="s">
        <v>425</v>
      </c>
      <c r="L7383" t="s">
        <v>2145</v>
      </c>
      <c r="M7383">
        <v>560</v>
      </c>
      <c r="N7383">
        <v>23.38</v>
      </c>
      <c r="O7383">
        <v>7469.91</v>
      </c>
      <c r="P7383">
        <v>0</v>
      </c>
      <c r="Q7383">
        <v>7469.91</v>
      </c>
      <c r="R7383">
        <v>1195.19</v>
      </c>
      <c r="S7383">
        <v>298.8</v>
      </c>
      <c r="T7383">
        <v>8366.2999999999993</v>
      </c>
      <c r="U7383" t="s">
        <v>2938</v>
      </c>
      <c r="V7383" t="s">
        <v>9408</v>
      </c>
      <c r="W7383" t="s">
        <v>423</v>
      </c>
    </row>
    <row r="7384" spans="1:23" hidden="1" x14ac:dyDescent="0.2">
      <c r="A7384">
        <v>2012</v>
      </c>
      <c r="B7384" t="s">
        <v>303</v>
      </c>
      <c r="C7384" s="733">
        <v>40934</v>
      </c>
      <c r="D73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84" t="s">
        <v>478</v>
      </c>
      <c r="F7384" t="s">
        <v>2136</v>
      </c>
      <c r="G7384" t="s">
        <v>7271</v>
      </c>
      <c r="H7384">
        <v>34938</v>
      </c>
      <c r="I7384" t="s">
        <v>423</v>
      </c>
      <c r="J7384" t="s">
        <v>4270</v>
      </c>
      <c r="K7384" t="s">
        <v>425</v>
      </c>
      <c r="L7384" t="s">
        <v>2145</v>
      </c>
      <c r="M7384">
        <v>560</v>
      </c>
      <c r="N7384">
        <v>47.78</v>
      </c>
      <c r="O7384">
        <v>15265.71</v>
      </c>
      <c r="P7384">
        <v>0</v>
      </c>
      <c r="Q7384">
        <v>15265.71</v>
      </c>
      <c r="R7384">
        <v>2442.5100000000002</v>
      </c>
      <c r="S7384">
        <v>610.63</v>
      </c>
      <c r="T7384">
        <v>17097.59</v>
      </c>
      <c r="U7384" t="s">
        <v>2355</v>
      </c>
      <c r="V7384" t="s">
        <v>9409</v>
      </c>
      <c r="W7384" t="s">
        <v>423</v>
      </c>
    </row>
    <row r="7385" spans="1:23" hidden="1" x14ac:dyDescent="0.2">
      <c r="A7385">
        <v>2012</v>
      </c>
      <c r="B7385" t="s">
        <v>304</v>
      </c>
      <c r="C7385" s="733">
        <v>40942</v>
      </c>
      <c r="D738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85" t="s">
        <v>505</v>
      </c>
      <c r="F7385" t="s">
        <v>1915</v>
      </c>
      <c r="G7385" t="s">
        <v>7412</v>
      </c>
      <c r="H7385">
        <v>22357</v>
      </c>
      <c r="I7385" t="s">
        <v>1979</v>
      </c>
      <c r="J7385" t="s">
        <v>4254</v>
      </c>
      <c r="K7385" t="s">
        <v>1918</v>
      </c>
      <c r="L7385" t="s">
        <v>1919</v>
      </c>
      <c r="M7385">
        <v>2819</v>
      </c>
      <c r="N7385">
        <v>50.36</v>
      </c>
      <c r="O7385">
        <v>58690.05</v>
      </c>
      <c r="P7385">
        <v>0</v>
      </c>
      <c r="Q7385">
        <v>58690.05</v>
      </c>
      <c r="R7385">
        <v>9390.41</v>
      </c>
      <c r="S7385">
        <v>2347.6</v>
      </c>
      <c r="T7385">
        <v>65732.86</v>
      </c>
      <c r="U7385" t="s">
        <v>1924</v>
      </c>
      <c r="V7385" t="s">
        <v>9409</v>
      </c>
      <c r="W7385" t="s">
        <v>1979</v>
      </c>
    </row>
    <row r="7386" spans="1:23" hidden="1" x14ac:dyDescent="0.2">
      <c r="A7386">
        <v>2012</v>
      </c>
      <c r="B7386" t="s">
        <v>304</v>
      </c>
      <c r="C7386" s="733">
        <v>40967</v>
      </c>
      <c r="D73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86" t="s">
        <v>505</v>
      </c>
      <c r="F7386" t="s">
        <v>1915</v>
      </c>
      <c r="G7386" t="s">
        <v>9311</v>
      </c>
      <c r="H7386">
        <v>23008</v>
      </c>
      <c r="I7386" t="s">
        <v>1979</v>
      </c>
      <c r="J7386" t="s">
        <v>4254</v>
      </c>
      <c r="K7386" t="s">
        <v>1918</v>
      </c>
      <c r="L7386" t="s">
        <v>1919</v>
      </c>
      <c r="M7386">
        <v>2819</v>
      </c>
      <c r="N7386">
        <v>49.52</v>
      </c>
      <c r="O7386">
        <v>57711.1</v>
      </c>
      <c r="P7386">
        <v>0</v>
      </c>
      <c r="Q7386">
        <v>57711.1</v>
      </c>
      <c r="R7386">
        <v>9233.7800000000007</v>
      </c>
      <c r="S7386">
        <v>2308.44</v>
      </c>
      <c r="T7386">
        <v>64636.44</v>
      </c>
      <c r="V7386" t="s">
        <v>9409</v>
      </c>
      <c r="W7386" t="s">
        <v>1979</v>
      </c>
    </row>
    <row r="7387" spans="1:23" hidden="1" x14ac:dyDescent="0.2">
      <c r="A7387">
        <v>2012</v>
      </c>
      <c r="B7387" t="s">
        <v>303</v>
      </c>
      <c r="C7387" s="733">
        <v>40928</v>
      </c>
      <c r="D738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87" t="s">
        <v>505</v>
      </c>
      <c r="F7387" t="s">
        <v>1915</v>
      </c>
      <c r="G7387" t="s">
        <v>7411</v>
      </c>
      <c r="H7387">
        <v>22124</v>
      </c>
      <c r="I7387" t="s">
        <v>423</v>
      </c>
      <c r="J7387" t="s">
        <v>5251</v>
      </c>
      <c r="K7387" t="s">
        <v>1918</v>
      </c>
      <c r="L7387" t="s">
        <v>1919</v>
      </c>
      <c r="M7387">
        <v>307</v>
      </c>
      <c r="N7387">
        <v>25.36</v>
      </c>
      <c r="O7387">
        <v>5701.94</v>
      </c>
      <c r="P7387">
        <v>0</v>
      </c>
      <c r="Q7387">
        <v>5701.94</v>
      </c>
      <c r="R7387">
        <v>912.31</v>
      </c>
      <c r="S7387">
        <v>228.08</v>
      </c>
      <c r="T7387">
        <v>6386.17</v>
      </c>
      <c r="U7387" t="s">
        <v>1936</v>
      </c>
      <c r="V7387" t="s">
        <v>9408</v>
      </c>
      <c r="W7387" t="s">
        <v>423</v>
      </c>
    </row>
    <row r="7388" spans="1:23" x14ac:dyDescent="0.2">
      <c r="A7388">
        <v>2012</v>
      </c>
      <c r="B7388" t="s">
        <v>304</v>
      </c>
      <c r="C7388" s="733">
        <v>40968</v>
      </c>
      <c r="D738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88" t="s">
        <v>485</v>
      </c>
      <c r="F7388" t="s">
        <v>2065</v>
      </c>
      <c r="G7388" t="s">
        <v>9294</v>
      </c>
      <c r="H7388">
        <v>42769</v>
      </c>
      <c r="I7388" t="s">
        <v>423</v>
      </c>
      <c r="J7388" t="s">
        <v>3204</v>
      </c>
      <c r="K7388" t="s">
        <v>2183</v>
      </c>
      <c r="L7388" t="s">
        <v>2184</v>
      </c>
      <c r="M7388">
        <v>80</v>
      </c>
      <c r="N7388">
        <v>50.89</v>
      </c>
      <c r="O7388">
        <v>5743.95</v>
      </c>
      <c r="P7388">
        <v>0</v>
      </c>
      <c r="Q7388">
        <v>5743.95</v>
      </c>
      <c r="R7388">
        <v>919.03</v>
      </c>
      <c r="S7388">
        <v>229.76</v>
      </c>
      <c r="T7388">
        <v>6433.22</v>
      </c>
      <c r="V7388" t="s">
        <v>9409</v>
      </c>
      <c r="W7388" t="s">
        <v>423</v>
      </c>
    </row>
    <row r="7389" spans="1:23" hidden="1" x14ac:dyDescent="0.2">
      <c r="A7389">
        <v>2012</v>
      </c>
      <c r="B7389" t="s">
        <v>303</v>
      </c>
      <c r="C7389" s="733">
        <v>40939</v>
      </c>
      <c r="D73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89" t="s">
        <v>485</v>
      </c>
      <c r="F7389" t="s">
        <v>2065</v>
      </c>
      <c r="G7389" t="s">
        <v>7341</v>
      </c>
      <c r="H7389">
        <v>41067</v>
      </c>
      <c r="I7389" t="s">
        <v>423</v>
      </c>
      <c r="J7389" t="s">
        <v>3204</v>
      </c>
      <c r="K7389" t="s">
        <v>2183</v>
      </c>
      <c r="L7389" t="s">
        <v>2184</v>
      </c>
      <c r="M7389">
        <v>80</v>
      </c>
      <c r="N7389">
        <v>51.28</v>
      </c>
      <c r="O7389">
        <v>5787.97</v>
      </c>
      <c r="P7389">
        <v>0</v>
      </c>
      <c r="Q7389">
        <v>5787.97</v>
      </c>
      <c r="R7389">
        <v>926.08</v>
      </c>
      <c r="S7389">
        <v>231.52</v>
      </c>
      <c r="T7389">
        <v>6482.53</v>
      </c>
      <c r="U7389" t="s">
        <v>2192</v>
      </c>
      <c r="V7389" t="s">
        <v>9409</v>
      </c>
      <c r="W7389" t="s">
        <v>423</v>
      </c>
    </row>
    <row r="7390" spans="1:23" hidden="1" x14ac:dyDescent="0.2">
      <c r="A7390">
        <v>2012</v>
      </c>
      <c r="B7390" t="s">
        <v>303</v>
      </c>
      <c r="C7390" s="733">
        <v>40921</v>
      </c>
      <c r="D73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90" t="s">
        <v>485</v>
      </c>
      <c r="F7390" t="s">
        <v>2065</v>
      </c>
      <c r="G7390" t="s">
        <v>7336</v>
      </c>
      <c r="H7390">
        <v>40194</v>
      </c>
      <c r="I7390" t="s">
        <v>423</v>
      </c>
      <c r="J7390" t="s">
        <v>3204</v>
      </c>
      <c r="K7390" t="s">
        <v>2183</v>
      </c>
      <c r="L7390" t="s">
        <v>2184</v>
      </c>
      <c r="M7390">
        <v>80</v>
      </c>
      <c r="N7390">
        <v>50.23</v>
      </c>
      <c r="O7390">
        <v>5669.46</v>
      </c>
      <c r="P7390">
        <v>0</v>
      </c>
      <c r="Q7390">
        <v>5669.46</v>
      </c>
      <c r="R7390">
        <v>907.11</v>
      </c>
      <c r="S7390">
        <v>226.78</v>
      </c>
      <c r="T7390">
        <v>6349.79</v>
      </c>
      <c r="U7390" t="s">
        <v>7520</v>
      </c>
      <c r="V7390" t="s">
        <v>9409</v>
      </c>
      <c r="W7390" t="s">
        <v>423</v>
      </c>
    </row>
    <row r="7391" spans="1:23" hidden="1" x14ac:dyDescent="0.2">
      <c r="A7391">
        <v>2012</v>
      </c>
      <c r="B7391" t="s">
        <v>303</v>
      </c>
      <c r="C7391" s="733">
        <v>40925</v>
      </c>
      <c r="D73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91" t="s">
        <v>485</v>
      </c>
      <c r="F7391" t="s">
        <v>2065</v>
      </c>
      <c r="G7391" t="s">
        <v>3060</v>
      </c>
      <c r="H7391">
        <v>40432</v>
      </c>
      <c r="I7391" t="s">
        <v>423</v>
      </c>
      <c r="J7391" t="s">
        <v>2182</v>
      </c>
      <c r="K7391" t="s">
        <v>2183</v>
      </c>
      <c r="L7391" t="s">
        <v>2184</v>
      </c>
      <c r="M7391">
        <v>62</v>
      </c>
      <c r="N7391">
        <v>17.16</v>
      </c>
      <c r="O7391">
        <v>2542.08</v>
      </c>
      <c r="P7391">
        <v>0</v>
      </c>
      <c r="Q7391">
        <v>2542.08</v>
      </c>
      <c r="R7391">
        <v>406.73</v>
      </c>
      <c r="S7391">
        <v>101.68</v>
      </c>
      <c r="T7391">
        <v>2847.13</v>
      </c>
      <c r="U7391" t="s">
        <v>7554</v>
      </c>
      <c r="V7391" t="s">
        <v>9408</v>
      </c>
      <c r="W7391" t="s">
        <v>423</v>
      </c>
    </row>
    <row r="7392" spans="1:23" hidden="1" x14ac:dyDescent="0.2">
      <c r="A7392">
        <v>2012</v>
      </c>
      <c r="B7392" t="s">
        <v>303</v>
      </c>
      <c r="C7392" s="733">
        <v>40938</v>
      </c>
      <c r="D739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92" t="s">
        <v>485</v>
      </c>
      <c r="F7392" t="s">
        <v>2065</v>
      </c>
      <c r="G7392" t="s">
        <v>2133</v>
      </c>
      <c r="H7392">
        <v>40943</v>
      </c>
      <c r="I7392" t="s">
        <v>423</v>
      </c>
      <c r="J7392" t="s">
        <v>2114</v>
      </c>
      <c r="K7392" t="s">
        <v>2102</v>
      </c>
      <c r="L7392" t="s">
        <v>2115</v>
      </c>
      <c r="M7392">
        <v>500</v>
      </c>
      <c r="N7392">
        <v>52.01</v>
      </c>
      <c r="O7392">
        <v>17488.36</v>
      </c>
      <c r="P7392">
        <v>0</v>
      </c>
      <c r="Q7392">
        <v>17488.36</v>
      </c>
      <c r="R7392">
        <v>2798.14</v>
      </c>
      <c r="S7392">
        <v>699.53</v>
      </c>
      <c r="T7392">
        <v>19586.97</v>
      </c>
      <c r="U7392" t="s">
        <v>2110</v>
      </c>
      <c r="V7392" t="s">
        <v>9409</v>
      </c>
      <c r="W7392" t="s">
        <v>423</v>
      </c>
    </row>
    <row r="7393" spans="1:23" hidden="1" x14ac:dyDescent="0.2">
      <c r="A7393">
        <v>2012</v>
      </c>
      <c r="B7393" t="s">
        <v>304</v>
      </c>
      <c r="C7393" s="733">
        <v>40954</v>
      </c>
      <c r="D739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93" t="s">
        <v>485</v>
      </c>
      <c r="F7393" t="s">
        <v>2065</v>
      </c>
      <c r="G7393" t="s">
        <v>7453</v>
      </c>
      <c r="H7393">
        <v>41365</v>
      </c>
      <c r="I7393" t="s">
        <v>424</v>
      </c>
      <c r="J7393" t="s">
        <v>2135</v>
      </c>
      <c r="K7393" t="s">
        <v>2102</v>
      </c>
      <c r="L7393" t="s">
        <v>2115</v>
      </c>
      <c r="M7393">
        <v>494</v>
      </c>
      <c r="N7393">
        <v>54</v>
      </c>
      <c r="O7393">
        <v>11375.64</v>
      </c>
      <c r="P7393">
        <v>0</v>
      </c>
      <c r="Q7393">
        <v>11375.64</v>
      </c>
      <c r="R7393">
        <v>1820.1</v>
      </c>
      <c r="S7393">
        <v>455.03</v>
      </c>
      <c r="T7393">
        <v>12740.71</v>
      </c>
      <c r="U7393" t="s">
        <v>8262</v>
      </c>
      <c r="V7393" t="s">
        <v>9409</v>
      </c>
      <c r="W7393" t="s">
        <v>424</v>
      </c>
    </row>
    <row r="7394" spans="1:23" hidden="1" x14ac:dyDescent="0.2">
      <c r="A7394">
        <v>2012</v>
      </c>
      <c r="B7394" t="s">
        <v>303</v>
      </c>
      <c r="C7394" s="733">
        <v>40920</v>
      </c>
      <c r="D73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94" t="s">
        <v>485</v>
      </c>
      <c r="F7394" t="s">
        <v>2065</v>
      </c>
      <c r="G7394" t="s">
        <v>7243</v>
      </c>
      <c r="H7394">
        <v>40178</v>
      </c>
      <c r="I7394" t="s">
        <v>423</v>
      </c>
      <c r="J7394" t="s">
        <v>2182</v>
      </c>
      <c r="K7394" t="s">
        <v>2183</v>
      </c>
      <c r="L7394" t="s">
        <v>2184</v>
      </c>
      <c r="M7394">
        <v>62</v>
      </c>
      <c r="N7394">
        <v>24.86</v>
      </c>
      <c r="O7394">
        <v>3682.76</v>
      </c>
      <c r="P7394">
        <v>0</v>
      </c>
      <c r="Q7394">
        <v>3682.76</v>
      </c>
      <c r="R7394">
        <v>589.24</v>
      </c>
      <c r="S7394">
        <v>147.31</v>
      </c>
      <c r="T7394">
        <v>4124.6899999999996</v>
      </c>
      <c r="U7394" t="s">
        <v>7520</v>
      </c>
      <c r="V7394" t="s">
        <v>9408</v>
      </c>
      <c r="W7394" t="s">
        <v>423</v>
      </c>
    </row>
    <row r="7395" spans="1:23" hidden="1" x14ac:dyDescent="0.2">
      <c r="A7395">
        <v>2012</v>
      </c>
      <c r="B7395" t="s">
        <v>303</v>
      </c>
      <c r="C7395" s="733">
        <v>40926</v>
      </c>
      <c r="D739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395" t="s">
        <v>485</v>
      </c>
      <c r="F7395" t="s">
        <v>2065</v>
      </c>
      <c r="G7395" t="s">
        <v>7342</v>
      </c>
      <c r="H7395">
        <v>40487</v>
      </c>
      <c r="I7395" t="s">
        <v>423</v>
      </c>
      <c r="J7395" t="s">
        <v>3204</v>
      </c>
      <c r="K7395" t="s">
        <v>2183</v>
      </c>
      <c r="L7395" t="s">
        <v>2184</v>
      </c>
      <c r="M7395">
        <v>80</v>
      </c>
      <c r="N7395">
        <v>50.87</v>
      </c>
      <c r="O7395">
        <v>5741.7</v>
      </c>
      <c r="P7395">
        <v>0</v>
      </c>
      <c r="Q7395">
        <v>5741.7</v>
      </c>
      <c r="R7395">
        <v>918.67</v>
      </c>
      <c r="S7395">
        <v>229.67</v>
      </c>
      <c r="T7395">
        <v>6430.7</v>
      </c>
      <c r="U7395" t="s">
        <v>7554</v>
      </c>
      <c r="V7395" t="s">
        <v>9409</v>
      </c>
      <c r="W7395" t="s">
        <v>423</v>
      </c>
    </row>
    <row r="7396" spans="1:23" x14ac:dyDescent="0.2">
      <c r="A7396">
        <v>2012</v>
      </c>
      <c r="B7396" t="s">
        <v>304</v>
      </c>
      <c r="C7396" s="733">
        <v>40967</v>
      </c>
      <c r="D739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96" t="s">
        <v>485</v>
      </c>
      <c r="F7396" t="s">
        <v>2065</v>
      </c>
      <c r="G7396" t="s">
        <v>9293</v>
      </c>
      <c r="H7396">
        <v>42628</v>
      </c>
      <c r="I7396" t="s">
        <v>423</v>
      </c>
      <c r="J7396" t="s">
        <v>3419</v>
      </c>
      <c r="K7396" t="s">
        <v>2183</v>
      </c>
      <c r="L7396" t="s">
        <v>2184</v>
      </c>
      <c r="M7396">
        <v>80</v>
      </c>
      <c r="N7396">
        <v>53.74</v>
      </c>
      <c r="O7396">
        <v>6065.63</v>
      </c>
      <c r="P7396">
        <v>0</v>
      </c>
      <c r="Q7396">
        <v>6065.63</v>
      </c>
      <c r="R7396">
        <v>970.5</v>
      </c>
      <c r="S7396">
        <v>242.63</v>
      </c>
      <c r="T7396">
        <v>6793.5</v>
      </c>
      <c r="V7396" t="s">
        <v>9409</v>
      </c>
      <c r="W7396" t="s">
        <v>423</v>
      </c>
    </row>
    <row r="7397" spans="1:23" hidden="1" x14ac:dyDescent="0.2">
      <c r="A7397">
        <v>2012</v>
      </c>
      <c r="B7397" t="s">
        <v>304</v>
      </c>
      <c r="C7397" s="733">
        <v>40940</v>
      </c>
      <c r="D73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97" t="s">
        <v>485</v>
      </c>
      <c r="F7397" t="s">
        <v>2065</v>
      </c>
      <c r="G7397" t="s">
        <v>7247</v>
      </c>
      <c r="H7397">
        <v>39947</v>
      </c>
      <c r="I7397" t="s">
        <v>423</v>
      </c>
      <c r="J7397" t="s">
        <v>2182</v>
      </c>
      <c r="K7397" t="s">
        <v>2183</v>
      </c>
      <c r="L7397" t="s">
        <v>2115</v>
      </c>
      <c r="M7397">
        <v>62</v>
      </c>
      <c r="N7397">
        <v>45.8</v>
      </c>
      <c r="O7397">
        <v>6784.81</v>
      </c>
      <c r="P7397">
        <v>0</v>
      </c>
      <c r="Q7397">
        <v>6784.81</v>
      </c>
      <c r="R7397">
        <v>1085.57</v>
      </c>
      <c r="S7397">
        <v>271.39</v>
      </c>
      <c r="T7397">
        <v>7598.99</v>
      </c>
      <c r="U7397" t="s">
        <v>2187</v>
      </c>
      <c r="V7397" t="s">
        <v>9409</v>
      </c>
      <c r="W7397" t="s">
        <v>423</v>
      </c>
    </row>
    <row r="7398" spans="1:23" hidden="1" x14ac:dyDescent="0.2">
      <c r="A7398">
        <v>2012</v>
      </c>
      <c r="B7398" t="s">
        <v>304</v>
      </c>
      <c r="C7398" s="733">
        <v>40963</v>
      </c>
      <c r="D739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98" t="s">
        <v>485</v>
      </c>
      <c r="F7398" t="s">
        <v>2065</v>
      </c>
      <c r="G7398" t="s">
        <v>8613</v>
      </c>
      <c r="H7398">
        <v>42427</v>
      </c>
      <c r="I7398" t="s">
        <v>423</v>
      </c>
      <c r="J7398" t="s">
        <v>2182</v>
      </c>
      <c r="K7398" t="s">
        <v>2183</v>
      </c>
      <c r="L7398" t="s">
        <v>2184</v>
      </c>
      <c r="M7398">
        <v>62</v>
      </c>
      <c r="N7398">
        <v>24.36</v>
      </c>
      <c r="O7398">
        <v>3608.69</v>
      </c>
      <c r="P7398">
        <v>0</v>
      </c>
      <c r="Q7398">
        <v>3608.69</v>
      </c>
      <c r="R7398">
        <v>577.39</v>
      </c>
      <c r="S7398">
        <v>144.35</v>
      </c>
      <c r="T7398">
        <v>4041.73</v>
      </c>
      <c r="U7398" t="s">
        <v>9411</v>
      </c>
      <c r="V7398" t="s">
        <v>9408</v>
      </c>
      <c r="W7398" t="s">
        <v>423</v>
      </c>
    </row>
    <row r="7399" spans="1:23" hidden="1" x14ac:dyDescent="0.2">
      <c r="A7399">
        <v>2012</v>
      </c>
      <c r="B7399" t="s">
        <v>304</v>
      </c>
      <c r="C7399" s="733">
        <v>40954</v>
      </c>
      <c r="D739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399" t="s">
        <v>505</v>
      </c>
      <c r="F7399" t="s">
        <v>1915</v>
      </c>
      <c r="G7399" t="s">
        <v>7516</v>
      </c>
      <c r="H7399">
        <v>22712</v>
      </c>
      <c r="I7399" t="s">
        <v>423</v>
      </c>
      <c r="J7399" t="s">
        <v>3207</v>
      </c>
      <c r="K7399" t="s">
        <v>1918</v>
      </c>
      <c r="L7399" t="s">
        <v>1919</v>
      </c>
      <c r="M7399">
        <v>334</v>
      </c>
      <c r="N7399">
        <v>49.68</v>
      </c>
      <c r="O7399">
        <v>13718.64</v>
      </c>
      <c r="P7399">
        <v>0</v>
      </c>
      <c r="Q7399">
        <v>13718.64</v>
      </c>
      <c r="R7399">
        <v>2194.98</v>
      </c>
      <c r="S7399">
        <v>548.75</v>
      </c>
      <c r="T7399">
        <v>15364.87</v>
      </c>
      <c r="U7399" t="s">
        <v>7529</v>
      </c>
      <c r="V7399" t="s">
        <v>9409</v>
      </c>
      <c r="W7399" t="s">
        <v>423</v>
      </c>
    </row>
    <row r="7400" spans="1:23" hidden="1" x14ac:dyDescent="0.2">
      <c r="A7400">
        <v>2012</v>
      </c>
      <c r="B7400" t="s">
        <v>303</v>
      </c>
      <c r="C7400" s="733">
        <v>40931</v>
      </c>
      <c r="D740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00" t="s">
        <v>505</v>
      </c>
      <c r="F7400" t="s">
        <v>1915</v>
      </c>
      <c r="G7400" t="s">
        <v>7390</v>
      </c>
      <c r="H7400">
        <v>22187</v>
      </c>
      <c r="I7400" t="s">
        <v>423</v>
      </c>
      <c r="J7400" t="s">
        <v>3207</v>
      </c>
      <c r="K7400" t="s">
        <v>1918</v>
      </c>
      <c r="L7400" t="s">
        <v>1919</v>
      </c>
      <c r="M7400">
        <v>334</v>
      </c>
      <c r="N7400">
        <v>51.25</v>
      </c>
      <c r="O7400">
        <v>14152.18</v>
      </c>
      <c r="P7400">
        <v>0</v>
      </c>
      <c r="Q7400">
        <v>14152.18</v>
      </c>
      <c r="R7400">
        <v>2264.35</v>
      </c>
      <c r="S7400">
        <v>566.09</v>
      </c>
      <c r="T7400">
        <v>15850.44</v>
      </c>
      <c r="V7400" t="s">
        <v>9409</v>
      </c>
      <c r="W7400" t="s">
        <v>423</v>
      </c>
    </row>
    <row r="7401" spans="1:23" x14ac:dyDescent="0.2">
      <c r="A7401">
        <v>2012</v>
      </c>
      <c r="B7401" t="s">
        <v>304</v>
      </c>
      <c r="C7401" s="733">
        <v>40967</v>
      </c>
      <c r="D740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01" t="s">
        <v>485</v>
      </c>
      <c r="F7401" t="s">
        <v>2065</v>
      </c>
      <c r="G7401" t="s">
        <v>8783</v>
      </c>
      <c r="H7401">
        <v>42574</v>
      </c>
      <c r="I7401" t="s">
        <v>423</v>
      </c>
      <c r="J7401" t="s">
        <v>3204</v>
      </c>
      <c r="K7401" t="s">
        <v>2183</v>
      </c>
      <c r="L7401" t="s">
        <v>2184</v>
      </c>
      <c r="M7401">
        <v>80</v>
      </c>
      <c r="N7401">
        <v>15.63</v>
      </c>
      <c r="O7401">
        <v>2315.4299999999998</v>
      </c>
      <c r="P7401">
        <v>0</v>
      </c>
      <c r="Q7401">
        <v>2315.4299999999998</v>
      </c>
      <c r="R7401">
        <v>370.47</v>
      </c>
      <c r="S7401">
        <v>92.62</v>
      </c>
      <c r="T7401">
        <v>2593.2800000000002</v>
      </c>
      <c r="V7401" t="s">
        <v>9408</v>
      </c>
      <c r="W7401" t="s">
        <v>423</v>
      </c>
    </row>
    <row r="7402" spans="1:23" hidden="1" x14ac:dyDescent="0.2">
      <c r="A7402">
        <v>2012</v>
      </c>
      <c r="B7402" t="s">
        <v>303</v>
      </c>
      <c r="C7402" s="733">
        <v>40927</v>
      </c>
      <c r="D740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02" t="s">
        <v>485</v>
      </c>
      <c r="F7402" t="s">
        <v>2065</v>
      </c>
      <c r="G7402" t="s">
        <v>7338</v>
      </c>
      <c r="H7402">
        <v>40473</v>
      </c>
      <c r="I7402" t="s">
        <v>423</v>
      </c>
      <c r="J7402" t="s">
        <v>3147</v>
      </c>
      <c r="K7402" t="s">
        <v>2183</v>
      </c>
      <c r="L7402" t="s">
        <v>2184</v>
      </c>
      <c r="M7402">
        <v>528</v>
      </c>
      <c r="N7402">
        <v>24.6</v>
      </c>
      <c r="O7402">
        <v>7616.16</v>
      </c>
      <c r="P7402">
        <v>0</v>
      </c>
      <c r="Q7402">
        <v>7616.16</v>
      </c>
      <c r="R7402">
        <v>1218.5899999999999</v>
      </c>
      <c r="S7402">
        <v>304.64999999999998</v>
      </c>
      <c r="T7402">
        <v>8530.1</v>
      </c>
      <c r="U7402" t="s">
        <v>7554</v>
      </c>
      <c r="V7402" t="s">
        <v>9408</v>
      </c>
      <c r="W7402" t="s">
        <v>423</v>
      </c>
    </row>
    <row r="7403" spans="1:23" hidden="1" x14ac:dyDescent="0.2">
      <c r="A7403">
        <v>2012</v>
      </c>
      <c r="B7403" t="s">
        <v>303</v>
      </c>
      <c r="C7403" s="733">
        <v>40934</v>
      </c>
      <c r="D740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03" t="s">
        <v>485</v>
      </c>
      <c r="F7403" t="s">
        <v>2136</v>
      </c>
      <c r="G7403" t="s">
        <v>2137</v>
      </c>
      <c r="H7403">
        <v>40825</v>
      </c>
      <c r="I7403" t="s">
        <v>423</v>
      </c>
      <c r="J7403" t="s">
        <v>2135</v>
      </c>
      <c r="K7403" t="s">
        <v>2102</v>
      </c>
      <c r="L7403" t="s">
        <v>2115</v>
      </c>
      <c r="M7403">
        <v>494</v>
      </c>
      <c r="N7403">
        <v>25.01</v>
      </c>
      <c r="O7403">
        <v>8409.61</v>
      </c>
      <c r="P7403">
        <v>0</v>
      </c>
      <c r="Q7403">
        <v>8409.61</v>
      </c>
      <c r="R7403">
        <v>1345.54</v>
      </c>
      <c r="S7403">
        <v>336.38</v>
      </c>
      <c r="T7403">
        <v>9418.77</v>
      </c>
      <c r="U7403" t="s">
        <v>2110</v>
      </c>
      <c r="V7403" t="s">
        <v>9408</v>
      </c>
      <c r="W7403" t="s">
        <v>423</v>
      </c>
    </row>
    <row r="7404" spans="1:23" hidden="1" x14ac:dyDescent="0.2">
      <c r="A7404">
        <v>2012</v>
      </c>
      <c r="B7404" t="s">
        <v>303</v>
      </c>
      <c r="C7404" s="733">
        <v>40935</v>
      </c>
      <c r="D740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04" t="s">
        <v>485</v>
      </c>
      <c r="F7404" t="s">
        <v>2065</v>
      </c>
      <c r="G7404" t="s">
        <v>7252</v>
      </c>
      <c r="H7404">
        <v>40887</v>
      </c>
      <c r="I7404" t="s">
        <v>423</v>
      </c>
      <c r="J7404" t="s">
        <v>2345</v>
      </c>
      <c r="K7404" t="s">
        <v>2102</v>
      </c>
      <c r="L7404" t="s">
        <v>2115</v>
      </c>
      <c r="M7404">
        <v>426</v>
      </c>
      <c r="N7404">
        <v>52.97</v>
      </c>
      <c r="O7404">
        <v>17811.16</v>
      </c>
      <c r="P7404">
        <v>0</v>
      </c>
      <c r="Q7404">
        <v>17811.16</v>
      </c>
      <c r="R7404">
        <v>2849.79</v>
      </c>
      <c r="S7404">
        <v>712.45</v>
      </c>
      <c r="T7404">
        <v>19948.5</v>
      </c>
      <c r="U7404" t="s">
        <v>2110</v>
      </c>
      <c r="V7404" t="s">
        <v>9409</v>
      </c>
      <c r="W7404" t="s">
        <v>423</v>
      </c>
    </row>
    <row r="7405" spans="1:23" hidden="1" x14ac:dyDescent="0.2">
      <c r="A7405">
        <v>2012</v>
      </c>
      <c r="B7405" t="s">
        <v>303</v>
      </c>
      <c r="C7405" s="733">
        <v>40931.528900462959</v>
      </c>
      <c r="D740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05" t="s">
        <v>505</v>
      </c>
      <c r="F7405" t="s">
        <v>1915</v>
      </c>
      <c r="G7405" t="s">
        <v>7398</v>
      </c>
      <c r="H7405">
        <v>22100</v>
      </c>
      <c r="I7405" t="s">
        <v>423</v>
      </c>
      <c r="J7405" t="s">
        <v>1945</v>
      </c>
      <c r="K7405" t="s">
        <v>1918</v>
      </c>
      <c r="L7405" t="s">
        <v>1919</v>
      </c>
      <c r="M7405">
        <v>949</v>
      </c>
      <c r="N7405">
        <v>24.81</v>
      </c>
      <c r="O7405">
        <v>18561.11</v>
      </c>
      <c r="P7405">
        <v>0</v>
      </c>
      <c r="Q7405">
        <v>18561.11</v>
      </c>
      <c r="R7405">
        <v>2969.78</v>
      </c>
      <c r="S7405">
        <v>742.44</v>
      </c>
      <c r="T7405">
        <v>20788.45</v>
      </c>
      <c r="U7405" t="s">
        <v>1936</v>
      </c>
      <c r="V7405" t="s">
        <v>9409</v>
      </c>
      <c r="W7405" t="s">
        <v>423</v>
      </c>
    </row>
    <row r="7406" spans="1:23" hidden="1" x14ac:dyDescent="0.2">
      <c r="A7406">
        <v>2012</v>
      </c>
      <c r="B7406" t="s">
        <v>303</v>
      </c>
      <c r="C7406" s="733">
        <v>40918</v>
      </c>
      <c r="D740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06" t="s">
        <v>505</v>
      </c>
      <c r="F7406" t="s">
        <v>1915</v>
      </c>
      <c r="G7406" t="s">
        <v>7389</v>
      </c>
      <c r="H7406">
        <v>21889</v>
      </c>
      <c r="I7406" t="s">
        <v>423</v>
      </c>
      <c r="J7406" t="s">
        <v>3207</v>
      </c>
      <c r="K7406" t="s">
        <v>1918</v>
      </c>
      <c r="L7406" t="s">
        <v>1919</v>
      </c>
      <c r="M7406">
        <v>334</v>
      </c>
      <c r="N7406">
        <v>50.07</v>
      </c>
      <c r="O7406">
        <v>13826.33</v>
      </c>
      <c r="P7406">
        <v>0</v>
      </c>
      <c r="Q7406">
        <v>13826.33</v>
      </c>
      <c r="R7406">
        <v>2212.21</v>
      </c>
      <c r="S7406">
        <v>553.04999999999995</v>
      </c>
      <c r="T7406">
        <v>15485.49</v>
      </c>
      <c r="U7406" t="s">
        <v>1931</v>
      </c>
      <c r="V7406" t="s">
        <v>9409</v>
      </c>
      <c r="W7406" t="s">
        <v>423</v>
      </c>
    </row>
    <row r="7407" spans="1:23" hidden="1" x14ac:dyDescent="0.2">
      <c r="A7407">
        <v>2012</v>
      </c>
      <c r="B7407" t="s">
        <v>303</v>
      </c>
      <c r="C7407" s="733">
        <v>40921</v>
      </c>
      <c r="D740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07" t="s">
        <v>505</v>
      </c>
      <c r="F7407" t="s">
        <v>1915</v>
      </c>
      <c r="G7407" t="s">
        <v>7405</v>
      </c>
      <c r="H7407">
        <v>21947</v>
      </c>
      <c r="I7407" t="s">
        <v>423</v>
      </c>
      <c r="J7407" t="s">
        <v>3207</v>
      </c>
      <c r="K7407" t="s">
        <v>1918</v>
      </c>
      <c r="L7407" t="s">
        <v>1919</v>
      </c>
      <c r="M7407">
        <v>334</v>
      </c>
      <c r="N7407">
        <v>26.03</v>
      </c>
      <c r="O7407">
        <v>7187.92</v>
      </c>
      <c r="P7407">
        <v>0</v>
      </c>
      <c r="Q7407">
        <v>7187.92</v>
      </c>
      <c r="R7407">
        <v>1150.07</v>
      </c>
      <c r="S7407">
        <v>287.52</v>
      </c>
      <c r="T7407">
        <v>8050.47</v>
      </c>
      <c r="U7407" t="s">
        <v>1931</v>
      </c>
      <c r="V7407" t="s">
        <v>9409</v>
      </c>
      <c r="W7407" t="s">
        <v>423</v>
      </c>
    </row>
    <row r="7408" spans="1:23" hidden="1" x14ac:dyDescent="0.2">
      <c r="A7408">
        <v>2012</v>
      </c>
      <c r="B7408" t="s">
        <v>303</v>
      </c>
      <c r="C7408" s="733">
        <v>40910</v>
      </c>
      <c r="D740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08" t="s">
        <v>505</v>
      </c>
      <c r="F7408" t="s">
        <v>1915</v>
      </c>
      <c r="G7408" t="s">
        <v>7400</v>
      </c>
      <c r="H7408">
        <v>21649</v>
      </c>
      <c r="I7408" t="s">
        <v>423</v>
      </c>
      <c r="J7408" t="s">
        <v>1945</v>
      </c>
      <c r="K7408" t="s">
        <v>1918</v>
      </c>
      <c r="L7408" t="s">
        <v>1919</v>
      </c>
      <c r="M7408">
        <v>949</v>
      </c>
      <c r="N7408">
        <v>26.65</v>
      </c>
      <c r="O7408">
        <v>8394.2099999999991</v>
      </c>
      <c r="P7408">
        <v>9450.9570970000004</v>
      </c>
      <c r="Q7408">
        <v>17845.167097000001</v>
      </c>
      <c r="R7408">
        <v>2855.2267360000001</v>
      </c>
      <c r="S7408">
        <v>713.80668400000002</v>
      </c>
      <c r="T7408">
        <v>19986.587148999999</v>
      </c>
      <c r="U7408" t="s">
        <v>1984</v>
      </c>
      <c r="V7408" t="s">
        <v>9408</v>
      </c>
      <c r="W7408" t="s">
        <v>423</v>
      </c>
    </row>
    <row r="7409" spans="1:23" hidden="1" x14ac:dyDescent="0.2">
      <c r="A7409">
        <v>2012</v>
      </c>
      <c r="B7409" t="s">
        <v>304</v>
      </c>
      <c r="C7409" s="733">
        <v>40967.388287037036</v>
      </c>
      <c r="D740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09" t="s">
        <v>478</v>
      </c>
      <c r="F7409" t="s">
        <v>2136</v>
      </c>
      <c r="G7409" t="s">
        <v>8902</v>
      </c>
      <c r="H7409">
        <v>36092</v>
      </c>
      <c r="I7409" t="s">
        <v>423</v>
      </c>
      <c r="J7409" t="s">
        <v>3797</v>
      </c>
      <c r="K7409" t="s">
        <v>3481</v>
      </c>
      <c r="L7409" t="s">
        <v>3482</v>
      </c>
      <c r="M7409">
        <v>266</v>
      </c>
      <c r="N7409">
        <v>30.114999999999998</v>
      </c>
      <c r="O7409">
        <v>6725.28</v>
      </c>
      <c r="P7409">
        <v>0</v>
      </c>
      <c r="Q7409">
        <v>6725.28</v>
      </c>
      <c r="R7409">
        <v>1076.05</v>
      </c>
      <c r="S7409">
        <v>269.01</v>
      </c>
      <c r="T7409">
        <v>7532.32</v>
      </c>
      <c r="U7409" t="s">
        <v>9462</v>
      </c>
      <c r="V7409" t="s">
        <v>9408</v>
      </c>
      <c r="W7409" t="s">
        <v>423</v>
      </c>
    </row>
    <row r="7410" spans="1:23" hidden="1" x14ac:dyDescent="0.2">
      <c r="A7410">
        <v>2012</v>
      </c>
      <c r="B7410" t="s">
        <v>305</v>
      </c>
      <c r="C7410" s="733">
        <v>40970.411585648151</v>
      </c>
      <c r="D7410" s="733" t="str">
        <f>CHOOSE(MONTH(Tabla_sqldatos_bonampakdb_Bon_v_ingresos2012[[#This Row],[fecha_guia]]),"Enero","Febrero","Marzo","Abril","Mayo","Junio","Julio","Agosto","Septiembre","Octubre","Noviembre","Diciembre")</f>
        <v>Marzo</v>
      </c>
      <c r="E7410" t="s">
        <v>485</v>
      </c>
      <c r="F7410" t="s">
        <v>2065</v>
      </c>
      <c r="G7410" t="s">
        <v>9539</v>
      </c>
      <c r="H7410">
        <v>42977</v>
      </c>
      <c r="I7410" t="s">
        <v>423</v>
      </c>
      <c r="J7410" t="s">
        <v>2182</v>
      </c>
      <c r="K7410" t="s">
        <v>2183</v>
      </c>
      <c r="L7410" t="s">
        <v>2184</v>
      </c>
      <c r="M7410">
        <v>62</v>
      </c>
      <c r="N7410">
        <v>48.17</v>
      </c>
      <c r="O7410">
        <v>7135.9</v>
      </c>
      <c r="P7410">
        <v>0</v>
      </c>
      <c r="Q7410">
        <v>7135.9</v>
      </c>
      <c r="R7410">
        <v>1141.74</v>
      </c>
      <c r="S7410">
        <v>285.44</v>
      </c>
      <c r="T7410">
        <v>7992.2</v>
      </c>
      <c r="V7410" t="s">
        <v>9409</v>
      </c>
      <c r="W7410" t="s">
        <v>423</v>
      </c>
    </row>
    <row r="7411" spans="1:23" hidden="1" x14ac:dyDescent="0.2">
      <c r="A7411">
        <v>2012</v>
      </c>
      <c r="B7411" t="s">
        <v>303</v>
      </c>
      <c r="C7411" s="733">
        <v>40924</v>
      </c>
      <c r="D741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11" t="s">
        <v>485</v>
      </c>
      <c r="F7411" t="s">
        <v>2136</v>
      </c>
      <c r="G7411" t="s">
        <v>7246</v>
      </c>
      <c r="H7411">
        <v>40303</v>
      </c>
      <c r="I7411" t="s">
        <v>423</v>
      </c>
      <c r="J7411" t="s">
        <v>2182</v>
      </c>
      <c r="K7411" t="s">
        <v>2183</v>
      </c>
      <c r="L7411" t="s">
        <v>2184</v>
      </c>
      <c r="M7411">
        <v>62</v>
      </c>
      <c r="N7411">
        <v>27.15</v>
      </c>
      <c r="O7411">
        <v>4022</v>
      </c>
      <c r="P7411">
        <v>0</v>
      </c>
      <c r="Q7411">
        <v>4022</v>
      </c>
      <c r="R7411">
        <v>643.52</v>
      </c>
      <c r="S7411">
        <v>160.88</v>
      </c>
      <c r="T7411">
        <v>4504.6400000000003</v>
      </c>
      <c r="U7411" t="s">
        <v>7587</v>
      </c>
      <c r="V7411" t="s">
        <v>9408</v>
      </c>
      <c r="W7411" t="s">
        <v>423</v>
      </c>
    </row>
    <row r="7412" spans="1:23" hidden="1" x14ac:dyDescent="0.2">
      <c r="A7412">
        <v>2012</v>
      </c>
      <c r="B7412" t="s">
        <v>304</v>
      </c>
      <c r="C7412" s="733">
        <v>40955.407083333332</v>
      </c>
      <c r="D741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12" t="s">
        <v>478</v>
      </c>
      <c r="F7412" t="s">
        <v>3358</v>
      </c>
      <c r="G7412" t="s">
        <v>7939</v>
      </c>
      <c r="H7412">
        <v>35693</v>
      </c>
      <c r="I7412" t="s">
        <v>423</v>
      </c>
      <c r="J7412" t="s">
        <v>3360</v>
      </c>
      <c r="K7412" t="s">
        <v>483</v>
      </c>
      <c r="L7412" t="s">
        <v>3361</v>
      </c>
      <c r="M7412">
        <v>49</v>
      </c>
      <c r="N7412">
        <v>30.23</v>
      </c>
      <c r="O7412">
        <v>3412.06</v>
      </c>
      <c r="P7412">
        <v>0</v>
      </c>
      <c r="Q7412">
        <v>3412.06</v>
      </c>
      <c r="R7412">
        <v>545.92999999999995</v>
      </c>
      <c r="S7412">
        <v>136.47999999999999</v>
      </c>
      <c r="T7412">
        <v>3821.51</v>
      </c>
      <c r="U7412" t="s">
        <v>8266</v>
      </c>
      <c r="V7412" t="s">
        <v>9408</v>
      </c>
      <c r="W7412" t="s">
        <v>423</v>
      </c>
    </row>
    <row r="7413" spans="1:23" hidden="1" x14ac:dyDescent="0.2">
      <c r="A7413">
        <v>2012</v>
      </c>
      <c r="B7413" t="s">
        <v>304</v>
      </c>
      <c r="C7413" s="733">
        <v>40941</v>
      </c>
      <c r="D741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13" t="s">
        <v>485</v>
      </c>
      <c r="F7413" t="s">
        <v>2065</v>
      </c>
      <c r="G7413" t="s">
        <v>7250</v>
      </c>
      <c r="H7413">
        <v>39862</v>
      </c>
      <c r="I7413" t="s">
        <v>423</v>
      </c>
      <c r="J7413" t="s">
        <v>2114</v>
      </c>
      <c r="K7413" t="s">
        <v>2102</v>
      </c>
      <c r="L7413" t="s">
        <v>2115</v>
      </c>
      <c r="M7413">
        <v>500</v>
      </c>
      <c r="N7413">
        <v>52.24</v>
      </c>
      <c r="O7413">
        <v>17565.7</v>
      </c>
      <c r="P7413">
        <v>0</v>
      </c>
      <c r="Q7413">
        <v>17565.7</v>
      </c>
      <c r="R7413">
        <v>2810.51</v>
      </c>
      <c r="S7413">
        <v>702.63</v>
      </c>
      <c r="T7413">
        <v>19673.580000000002</v>
      </c>
      <c r="U7413" t="s">
        <v>2110</v>
      </c>
      <c r="V7413" t="s">
        <v>9409</v>
      </c>
      <c r="W7413" t="s">
        <v>423</v>
      </c>
    </row>
    <row r="7414" spans="1:23" hidden="1" x14ac:dyDescent="0.2">
      <c r="A7414">
        <v>2012</v>
      </c>
      <c r="B7414" t="s">
        <v>303</v>
      </c>
      <c r="C7414" s="733">
        <v>40918</v>
      </c>
      <c r="D741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14" t="s">
        <v>505</v>
      </c>
      <c r="F7414" t="s">
        <v>1915</v>
      </c>
      <c r="G7414" t="s">
        <v>7399</v>
      </c>
      <c r="H7414">
        <v>21823</v>
      </c>
      <c r="I7414" t="s">
        <v>423</v>
      </c>
      <c r="J7414" t="s">
        <v>1945</v>
      </c>
      <c r="K7414" t="s">
        <v>1918</v>
      </c>
      <c r="L7414" t="s">
        <v>1919</v>
      </c>
      <c r="M7414">
        <v>949</v>
      </c>
      <c r="N7414">
        <v>50.32</v>
      </c>
      <c r="O7414">
        <v>29384.87</v>
      </c>
      <c r="P7414">
        <v>0</v>
      </c>
      <c r="Q7414">
        <v>29384.87</v>
      </c>
      <c r="R7414">
        <v>4701.58</v>
      </c>
      <c r="S7414">
        <v>1175.3900000000001</v>
      </c>
      <c r="T7414">
        <v>32911.06</v>
      </c>
      <c r="U7414" t="s">
        <v>1931</v>
      </c>
      <c r="V7414" t="s">
        <v>9409</v>
      </c>
      <c r="W7414" t="s">
        <v>423</v>
      </c>
    </row>
    <row r="7415" spans="1:23" hidden="1" x14ac:dyDescent="0.2">
      <c r="A7415">
        <v>2012</v>
      </c>
      <c r="B7415" t="s">
        <v>304</v>
      </c>
      <c r="C7415" s="733">
        <v>40955.409525462965</v>
      </c>
      <c r="D741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15" t="s">
        <v>478</v>
      </c>
      <c r="F7415" t="s">
        <v>3358</v>
      </c>
      <c r="G7415" t="s">
        <v>7944</v>
      </c>
      <c r="H7415">
        <v>35700</v>
      </c>
      <c r="I7415" t="s">
        <v>423</v>
      </c>
      <c r="J7415" t="s">
        <v>4396</v>
      </c>
      <c r="K7415" t="s">
        <v>4397</v>
      </c>
      <c r="L7415" t="s">
        <v>4398</v>
      </c>
      <c r="M7415">
        <v>112</v>
      </c>
      <c r="N7415">
        <v>23.344999999999999</v>
      </c>
      <c r="O7415">
        <v>2634.95</v>
      </c>
      <c r="P7415">
        <v>0</v>
      </c>
      <c r="Q7415">
        <v>2634.95</v>
      </c>
      <c r="R7415">
        <v>421.59</v>
      </c>
      <c r="S7415">
        <v>105.4</v>
      </c>
      <c r="T7415">
        <v>2951.14</v>
      </c>
      <c r="U7415" t="s">
        <v>7540</v>
      </c>
      <c r="V7415" t="s">
        <v>9408</v>
      </c>
      <c r="W7415" t="s">
        <v>423</v>
      </c>
    </row>
    <row r="7416" spans="1:23" hidden="1" x14ac:dyDescent="0.2">
      <c r="A7416">
        <v>2012</v>
      </c>
      <c r="B7416" t="s">
        <v>304</v>
      </c>
      <c r="C7416" s="733">
        <v>40955.408460648148</v>
      </c>
      <c r="D741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16" t="s">
        <v>478</v>
      </c>
      <c r="F7416" t="s">
        <v>3358</v>
      </c>
      <c r="G7416" t="s">
        <v>7941</v>
      </c>
      <c r="H7416">
        <v>35696</v>
      </c>
      <c r="I7416" t="s">
        <v>423</v>
      </c>
      <c r="J7416" t="s">
        <v>4396</v>
      </c>
      <c r="K7416" t="s">
        <v>4397</v>
      </c>
      <c r="L7416" t="s">
        <v>4398</v>
      </c>
      <c r="M7416">
        <v>112</v>
      </c>
      <c r="N7416">
        <v>31.44</v>
      </c>
      <c r="O7416">
        <v>3548.63</v>
      </c>
      <c r="P7416">
        <v>0</v>
      </c>
      <c r="Q7416">
        <v>3548.63</v>
      </c>
      <c r="R7416">
        <v>567.78</v>
      </c>
      <c r="S7416">
        <v>141.94999999999999</v>
      </c>
      <c r="T7416">
        <v>3974.46</v>
      </c>
      <c r="U7416" t="s">
        <v>7540</v>
      </c>
      <c r="V7416" t="s">
        <v>9408</v>
      </c>
      <c r="W7416" t="s">
        <v>423</v>
      </c>
    </row>
    <row r="7417" spans="1:23" hidden="1" x14ac:dyDescent="0.2">
      <c r="A7417">
        <v>2012</v>
      </c>
      <c r="B7417" t="s">
        <v>304</v>
      </c>
      <c r="C7417" s="733">
        <v>40941</v>
      </c>
      <c r="D741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17" t="s">
        <v>505</v>
      </c>
      <c r="F7417" t="s">
        <v>1915</v>
      </c>
      <c r="G7417" t="s">
        <v>7404</v>
      </c>
      <c r="H7417">
        <v>22369</v>
      </c>
      <c r="I7417" t="s">
        <v>423</v>
      </c>
      <c r="J7417" t="s">
        <v>4153</v>
      </c>
      <c r="K7417" t="s">
        <v>1918</v>
      </c>
      <c r="L7417" t="s">
        <v>1919</v>
      </c>
      <c r="M7417">
        <v>850</v>
      </c>
      <c r="N7417">
        <v>49.75</v>
      </c>
      <c r="O7417">
        <v>31086.78</v>
      </c>
      <c r="P7417">
        <v>0</v>
      </c>
      <c r="Q7417">
        <v>31086.78</v>
      </c>
      <c r="R7417">
        <v>4973.8900000000003</v>
      </c>
      <c r="S7417">
        <v>1243.47</v>
      </c>
      <c r="T7417">
        <v>34817.199999999997</v>
      </c>
      <c r="U7417" t="s">
        <v>1926</v>
      </c>
      <c r="V7417" t="s">
        <v>9409</v>
      </c>
      <c r="W7417" t="s">
        <v>423</v>
      </c>
    </row>
    <row r="7418" spans="1:23" hidden="1" x14ac:dyDescent="0.2">
      <c r="A7418">
        <v>2012</v>
      </c>
      <c r="B7418" t="s">
        <v>305</v>
      </c>
      <c r="C7418" s="733">
        <v>40969</v>
      </c>
      <c r="D7418" s="733" t="str">
        <f>CHOOSE(MONTH(Tabla_sqldatos_bonampakdb_Bon_v_ingresos2012[[#This Row],[fecha_guia]]),"Enero","Febrero","Marzo","Abril","Mayo","Junio","Julio","Agosto","Septiembre","Octubre","Noviembre","Diciembre")</f>
        <v>Marzo</v>
      </c>
      <c r="E7418" t="s">
        <v>505</v>
      </c>
      <c r="F7418" t="s">
        <v>1915</v>
      </c>
      <c r="G7418" t="s">
        <v>9551</v>
      </c>
      <c r="H7418">
        <v>23070</v>
      </c>
      <c r="I7418" t="s">
        <v>423</v>
      </c>
      <c r="J7418" t="s">
        <v>4153</v>
      </c>
      <c r="K7418" t="s">
        <v>1918</v>
      </c>
      <c r="L7418" t="s">
        <v>1919</v>
      </c>
      <c r="M7418">
        <v>850</v>
      </c>
      <c r="N7418">
        <v>50.33</v>
      </c>
      <c r="O7418">
        <v>31449.200000000001</v>
      </c>
      <c r="P7418">
        <v>0</v>
      </c>
      <c r="Q7418">
        <v>31449.200000000001</v>
      </c>
      <c r="R7418">
        <v>5031.87</v>
      </c>
      <c r="S7418">
        <v>1257.97</v>
      </c>
      <c r="T7418">
        <v>35223.1</v>
      </c>
      <c r="V7418" t="s">
        <v>9409</v>
      </c>
      <c r="W7418" t="s">
        <v>423</v>
      </c>
    </row>
    <row r="7419" spans="1:23" hidden="1" x14ac:dyDescent="0.2">
      <c r="A7419">
        <v>2012</v>
      </c>
      <c r="B7419" t="s">
        <v>304</v>
      </c>
      <c r="C7419" s="733">
        <v>40962</v>
      </c>
      <c r="D741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19" t="s">
        <v>505</v>
      </c>
      <c r="F7419" t="s">
        <v>1915</v>
      </c>
      <c r="G7419" t="s">
        <v>8473</v>
      </c>
      <c r="H7419">
        <v>22894</v>
      </c>
      <c r="I7419" t="s">
        <v>423</v>
      </c>
      <c r="J7419" t="s">
        <v>4153</v>
      </c>
      <c r="K7419" t="s">
        <v>1918</v>
      </c>
      <c r="L7419" t="s">
        <v>1919</v>
      </c>
      <c r="M7419">
        <v>850</v>
      </c>
      <c r="N7419">
        <v>49.72</v>
      </c>
      <c r="O7419">
        <v>31068.04</v>
      </c>
      <c r="P7419">
        <v>0</v>
      </c>
      <c r="Q7419">
        <v>31068.04</v>
      </c>
      <c r="R7419">
        <v>4970.8900000000003</v>
      </c>
      <c r="S7419">
        <v>1242.72</v>
      </c>
      <c r="T7419">
        <v>34796.21</v>
      </c>
      <c r="U7419" t="s">
        <v>8778</v>
      </c>
      <c r="V7419" t="s">
        <v>9409</v>
      </c>
      <c r="W7419" t="s">
        <v>423</v>
      </c>
    </row>
    <row r="7420" spans="1:23" hidden="1" x14ac:dyDescent="0.2">
      <c r="A7420">
        <v>2012</v>
      </c>
      <c r="B7420" t="s">
        <v>304</v>
      </c>
      <c r="C7420" s="733">
        <v>40949</v>
      </c>
      <c r="D742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20" t="s">
        <v>478</v>
      </c>
      <c r="F7420" t="s">
        <v>2136</v>
      </c>
      <c r="G7420" t="s">
        <v>7441</v>
      </c>
      <c r="H7420">
        <v>35463</v>
      </c>
      <c r="I7420" t="s">
        <v>423</v>
      </c>
      <c r="J7420" t="s">
        <v>4294</v>
      </c>
      <c r="K7420" t="s">
        <v>425</v>
      </c>
      <c r="L7420" t="s">
        <v>2145</v>
      </c>
      <c r="M7420">
        <v>1089</v>
      </c>
      <c r="N7420">
        <v>29</v>
      </c>
      <c r="O7420">
        <v>14638.33</v>
      </c>
      <c r="P7420">
        <v>0</v>
      </c>
      <c r="Q7420">
        <v>14638.33</v>
      </c>
      <c r="R7420">
        <v>2342.13</v>
      </c>
      <c r="S7420">
        <v>585.53</v>
      </c>
      <c r="T7420">
        <v>16394.93</v>
      </c>
      <c r="V7420" t="s">
        <v>9408</v>
      </c>
      <c r="W7420" t="s">
        <v>423</v>
      </c>
    </row>
    <row r="7421" spans="1:23" hidden="1" x14ac:dyDescent="0.2">
      <c r="A7421">
        <v>2012</v>
      </c>
      <c r="B7421" t="s">
        <v>303</v>
      </c>
      <c r="C7421" s="733">
        <v>40912</v>
      </c>
      <c r="D742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21" t="s">
        <v>485</v>
      </c>
      <c r="F7421" t="s">
        <v>2065</v>
      </c>
      <c r="G7421" t="s">
        <v>7294</v>
      </c>
      <c r="H7421">
        <v>39588</v>
      </c>
      <c r="I7421" t="s">
        <v>423</v>
      </c>
      <c r="J7421" t="s">
        <v>3355</v>
      </c>
      <c r="K7421" t="s">
        <v>2814</v>
      </c>
      <c r="L7421" t="s">
        <v>2815</v>
      </c>
      <c r="M7421">
        <v>417</v>
      </c>
      <c r="N7421">
        <v>24.13</v>
      </c>
      <c r="O7421">
        <v>2818.87</v>
      </c>
      <c r="P7421">
        <v>3173.7375440000001</v>
      </c>
      <c r="Q7421">
        <v>5992.6075440000004</v>
      </c>
      <c r="R7421">
        <v>958.81720700000005</v>
      </c>
      <c r="S7421">
        <v>239.70430200000001</v>
      </c>
      <c r="T7421">
        <v>6711.7204490000004</v>
      </c>
      <c r="U7421" t="s">
        <v>2846</v>
      </c>
      <c r="V7421" t="s">
        <v>9408</v>
      </c>
      <c r="W7421" t="s">
        <v>423</v>
      </c>
    </row>
    <row r="7422" spans="1:23" hidden="1" x14ac:dyDescent="0.2">
      <c r="A7422">
        <v>2012</v>
      </c>
      <c r="B7422" t="s">
        <v>303</v>
      </c>
      <c r="C7422" s="733">
        <v>40938</v>
      </c>
      <c r="D742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22" t="s">
        <v>485</v>
      </c>
      <c r="F7422" t="s">
        <v>2084</v>
      </c>
      <c r="G7422" t="s">
        <v>7295</v>
      </c>
      <c r="H7422">
        <v>39934</v>
      </c>
      <c r="I7422" t="s">
        <v>423</v>
      </c>
      <c r="J7422" t="s">
        <v>3355</v>
      </c>
      <c r="K7422" t="s">
        <v>2814</v>
      </c>
      <c r="L7422" t="s">
        <v>2815</v>
      </c>
      <c r="M7422">
        <v>417</v>
      </c>
      <c r="N7422">
        <v>24.117000000000001</v>
      </c>
      <c r="O7422">
        <v>6691.74</v>
      </c>
      <c r="P7422">
        <v>0</v>
      </c>
      <c r="Q7422">
        <v>6691.74</v>
      </c>
      <c r="R7422">
        <v>1070.68</v>
      </c>
      <c r="S7422">
        <v>267.67</v>
      </c>
      <c r="T7422">
        <v>7494.75</v>
      </c>
      <c r="U7422" t="s">
        <v>2826</v>
      </c>
      <c r="V7422" t="s">
        <v>9408</v>
      </c>
      <c r="W7422" t="s">
        <v>423</v>
      </c>
    </row>
    <row r="7423" spans="1:23" hidden="1" x14ac:dyDescent="0.2">
      <c r="A7423">
        <v>2012</v>
      </c>
      <c r="B7423" t="s">
        <v>303</v>
      </c>
      <c r="C7423" s="733">
        <v>40919</v>
      </c>
      <c r="D742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23" t="s">
        <v>485</v>
      </c>
      <c r="F7423" t="s">
        <v>3450</v>
      </c>
      <c r="G7423" t="s">
        <v>7333</v>
      </c>
      <c r="H7423">
        <v>40127</v>
      </c>
      <c r="I7423" t="s">
        <v>423</v>
      </c>
      <c r="J7423" t="s">
        <v>3952</v>
      </c>
      <c r="K7423" t="s">
        <v>3953</v>
      </c>
      <c r="L7423" t="s">
        <v>3454</v>
      </c>
      <c r="M7423">
        <v>54</v>
      </c>
      <c r="N7423">
        <v>27.48</v>
      </c>
      <c r="O7423">
        <v>3101.67</v>
      </c>
      <c r="P7423">
        <v>0</v>
      </c>
      <c r="Q7423">
        <v>3101.67</v>
      </c>
      <c r="R7423">
        <v>496.27</v>
      </c>
      <c r="S7423">
        <v>124.07</v>
      </c>
      <c r="T7423">
        <v>3473.87</v>
      </c>
      <c r="U7423" t="s">
        <v>3459</v>
      </c>
      <c r="V7423" t="s">
        <v>9408</v>
      </c>
      <c r="W7423" t="s">
        <v>423</v>
      </c>
    </row>
    <row r="7424" spans="1:23" hidden="1" x14ac:dyDescent="0.2">
      <c r="A7424">
        <v>2012</v>
      </c>
      <c r="B7424" t="s">
        <v>303</v>
      </c>
      <c r="C7424" s="733">
        <v>40931</v>
      </c>
      <c r="D742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24" t="s">
        <v>485</v>
      </c>
      <c r="F7424" t="s">
        <v>3450</v>
      </c>
      <c r="G7424" t="s">
        <v>7334</v>
      </c>
      <c r="H7424">
        <v>40130</v>
      </c>
      <c r="I7424" t="s">
        <v>423</v>
      </c>
      <c r="J7424" t="s">
        <v>3952</v>
      </c>
      <c r="K7424" t="s">
        <v>3953</v>
      </c>
      <c r="L7424" t="s">
        <v>3454</v>
      </c>
      <c r="M7424">
        <v>54</v>
      </c>
      <c r="N7424">
        <v>28.29</v>
      </c>
      <c r="O7424">
        <v>3193.09</v>
      </c>
      <c r="P7424">
        <v>0</v>
      </c>
      <c r="Q7424">
        <v>3193.09</v>
      </c>
      <c r="R7424">
        <v>510.89</v>
      </c>
      <c r="S7424">
        <v>127.72</v>
      </c>
      <c r="T7424">
        <v>3576.26</v>
      </c>
      <c r="U7424" t="s">
        <v>3459</v>
      </c>
      <c r="V7424" t="s">
        <v>9408</v>
      </c>
      <c r="W7424" t="s">
        <v>423</v>
      </c>
    </row>
    <row r="7425" spans="1:23" hidden="1" x14ac:dyDescent="0.2">
      <c r="A7425">
        <v>2012</v>
      </c>
      <c r="B7425" t="s">
        <v>303</v>
      </c>
      <c r="C7425" s="733">
        <v>40921</v>
      </c>
      <c r="D742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25" t="s">
        <v>478</v>
      </c>
      <c r="F7425" t="s">
        <v>2136</v>
      </c>
      <c r="G7425" t="s">
        <v>7451</v>
      </c>
      <c r="H7425">
        <v>34472</v>
      </c>
      <c r="I7425" t="s">
        <v>423</v>
      </c>
      <c r="J7425" t="s">
        <v>4289</v>
      </c>
      <c r="K7425" t="s">
        <v>425</v>
      </c>
      <c r="L7425" t="s">
        <v>2145</v>
      </c>
      <c r="M7425">
        <v>775</v>
      </c>
      <c r="N7425">
        <v>24.4</v>
      </c>
      <c r="O7425">
        <v>9343.49</v>
      </c>
      <c r="P7425">
        <v>0</v>
      </c>
      <c r="Q7425">
        <v>9343.49</v>
      </c>
      <c r="R7425">
        <v>1494.96</v>
      </c>
      <c r="S7425">
        <v>373.74</v>
      </c>
      <c r="T7425">
        <v>10464.709999999999</v>
      </c>
      <c r="U7425" t="s">
        <v>2927</v>
      </c>
      <c r="V7425" t="s">
        <v>9408</v>
      </c>
      <c r="W7425" t="s">
        <v>423</v>
      </c>
    </row>
    <row r="7426" spans="1:23" hidden="1" x14ac:dyDescent="0.2">
      <c r="A7426">
        <v>2012</v>
      </c>
      <c r="B7426" t="s">
        <v>304</v>
      </c>
      <c r="C7426" s="733">
        <v>40942</v>
      </c>
      <c r="D742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26" t="s">
        <v>478</v>
      </c>
      <c r="F7426" t="s">
        <v>2142</v>
      </c>
      <c r="G7426" t="s">
        <v>7444</v>
      </c>
      <c r="H7426">
        <v>35226</v>
      </c>
      <c r="I7426" t="s">
        <v>423</v>
      </c>
      <c r="J7426" t="s">
        <v>4294</v>
      </c>
      <c r="K7426" t="s">
        <v>425</v>
      </c>
      <c r="L7426" t="s">
        <v>2145</v>
      </c>
      <c r="M7426">
        <v>1089</v>
      </c>
      <c r="N7426">
        <v>47.36</v>
      </c>
      <c r="O7426">
        <v>23905.91</v>
      </c>
      <c r="P7426">
        <v>0</v>
      </c>
      <c r="Q7426">
        <v>23905.91</v>
      </c>
      <c r="R7426">
        <v>3824.95</v>
      </c>
      <c r="S7426">
        <v>956.24</v>
      </c>
      <c r="T7426">
        <v>26774.62</v>
      </c>
      <c r="U7426" t="s">
        <v>3115</v>
      </c>
      <c r="V7426" t="s">
        <v>9409</v>
      </c>
      <c r="W7426" t="s">
        <v>423</v>
      </c>
    </row>
    <row r="7427" spans="1:23" hidden="1" x14ac:dyDescent="0.2">
      <c r="A7427">
        <v>2012</v>
      </c>
      <c r="B7427" t="s">
        <v>304</v>
      </c>
      <c r="C7427" s="733">
        <v>40961</v>
      </c>
      <c r="D742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27" t="s">
        <v>478</v>
      </c>
      <c r="F7427" t="s">
        <v>2136</v>
      </c>
      <c r="G7427" t="s">
        <v>8470</v>
      </c>
      <c r="H7427">
        <v>35919</v>
      </c>
      <c r="I7427" t="s">
        <v>423</v>
      </c>
      <c r="J7427" t="s">
        <v>4294</v>
      </c>
      <c r="K7427" t="s">
        <v>425</v>
      </c>
      <c r="L7427" t="s">
        <v>2145</v>
      </c>
      <c r="M7427">
        <v>1089</v>
      </c>
      <c r="N7427">
        <v>44.06</v>
      </c>
      <c r="O7427">
        <v>22240.17</v>
      </c>
      <c r="P7427">
        <v>0</v>
      </c>
      <c r="Q7427">
        <v>22240.17</v>
      </c>
      <c r="R7427">
        <v>3558.43</v>
      </c>
      <c r="S7427">
        <v>889.61</v>
      </c>
      <c r="T7427">
        <v>24908.99</v>
      </c>
      <c r="U7427" t="s">
        <v>9430</v>
      </c>
      <c r="V7427" t="s">
        <v>9409</v>
      </c>
      <c r="W7427" t="s">
        <v>423</v>
      </c>
    </row>
    <row r="7428" spans="1:23" hidden="1" x14ac:dyDescent="0.2">
      <c r="A7428">
        <v>2012</v>
      </c>
      <c r="B7428" t="s">
        <v>303</v>
      </c>
      <c r="C7428" s="733">
        <v>40912</v>
      </c>
      <c r="D742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28" t="s">
        <v>478</v>
      </c>
      <c r="F7428" t="s">
        <v>2136</v>
      </c>
      <c r="G7428" t="s">
        <v>7443</v>
      </c>
      <c r="H7428">
        <v>34127</v>
      </c>
      <c r="I7428" t="s">
        <v>423</v>
      </c>
      <c r="J7428" t="s">
        <v>4294</v>
      </c>
      <c r="K7428" t="s">
        <v>425</v>
      </c>
      <c r="L7428" t="s">
        <v>2145</v>
      </c>
      <c r="M7428">
        <v>1089</v>
      </c>
      <c r="N7428">
        <v>45.65</v>
      </c>
      <c r="O7428">
        <v>9701.5400000000009</v>
      </c>
      <c r="P7428">
        <v>10922.866871</v>
      </c>
      <c r="Q7428">
        <v>20624.406870999999</v>
      </c>
      <c r="R7428">
        <v>3299.9050990000001</v>
      </c>
      <c r="S7428">
        <v>824.97627499999999</v>
      </c>
      <c r="T7428">
        <v>23099.335695000002</v>
      </c>
      <c r="U7428" t="s">
        <v>3118</v>
      </c>
      <c r="V7428" t="s">
        <v>9409</v>
      </c>
      <c r="W7428" t="s">
        <v>423</v>
      </c>
    </row>
    <row r="7429" spans="1:23" hidden="1" x14ac:dyDescent="0.2">
      <c r="A7429">
        <v>2012</v>
      </c>
      <c r="B7429" t="s">
        <v>303</v>
      </c>
      <c r="C7429" s="733">
        <v>40920</v>
      </c>
      <c r="D742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29" t="s">
        <v>478</v>
      </c>
      <c r="F7429" t="s">
        <v>2136</v>
      </c>
      <c r="G7429" t="s">
        <v>7442</v>
      </c>
      <c r="H7429">
        <v>34414</v>
      </c>
      <c r="I7429" t="s">
        <v>423</v>
      </c>
      <c r="J7429" t="s">
        <v>4294</v>
      </c>
      <c r="K7429" t="s">
        <v>425</v>
      </c>
      <c r="L7429" t="s">
        <v>2145</v>
      </c>
      <c r="M7429">
        <v>1089</v>
      </c>
      <c r="N7429">
        <v>46.56</v>
      </c>
      <c r="O7429">
        <v>23502.09</v>
      </c>
      <c r="P7429">
        <v>0</v>
      </c>
      <c r="Q7429">
        <v>23502.09</v>
      </c>
      <c r="R7429">
        <v>3760.33</v>
      </c>
      <c r="S7429">
        <v>940.08</v>
      </c>
      <c r="T7429">
        <v>26322.34</v>
      </c>
      <c r="U7429" t="s">
        <v>2350</v>
      </c>
      <c r="V7429" t="s">
        <v>9409</v>
      </c>
      <c r="W7429" t="s">
        <v>423</v>
      </c>
    </row>
    <row r="7430" spans="1:23" hidden="1" x14ac:dyDescent="0.2">
      <c r="A7430">
        <v>2012</v>
      </c>
      <c r="B7430" t="s">
        <v>304</v>
      </c>
      <c r="C7430" s="733">
        <v>40956</v>
      </c>
      <c r="D743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30" t="s">
        <v>485</v>
      </c>
      <c r="F7430" t="s">
        <v>2065</v>
      </c>
      <c r="G7430" t="s">
        <v>7942</v>
      </c>
      <c r="H7430">
        <v>42102</v>
      </c>
      <c r="I7430" t="s">
        <v>423</v>
      </c>
      <c r="J7430" t="s">
        <v>4533</v>
      </c>
      <c r="K7430" t="s">
        <v>2183</v>
      </c>
      <c r="L7430" t="s">
        <v>2184</v>
      </c>
      <c r="M7430">
        <v>253</v>
      </c>
      <c r="N7430">
        <v>51.2</v>
      </c>
      <c r="O7430">
        <v>10755.07</v>
      </c>
      <c r="P7430">
        <v>0</v>
      </c>
      <c r="Q7430">
        <v>10755.07</v>
      </c>
      <c r="R7430">
        <v>1720.81</v>
      </c>
      <c r="S7430">
        <v>430.2</v>
      </c>
      <c r="T7430">
        <v>12045.68</v>
      </c>
      <c r="U7430" t="s">
        <v>8048</v>
      </c>
      <c r="V7430" t="s">
        <v>9409</v>
      </c>
      <c r="W7430" t="s">
        <v>423</v>
      </c>
    </row>
    <row r="7431" spans="1:23" hidden="1" x14ac:dyDescent="0.2">
      <c r="A7431">
        <v>2012</v>
      </c>
      <c r="B7431" t="s">
        <v>303</v>
      </c>
      <c r="C7431" s="733">
        <v>40938</v>
      </c>
      <c r="D743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31" t="s">
        <v>485</v>
      </c>
      <c r="F7431" t="s">
        <v>2084</v>
      </c>
      <c r="G7431" t="s">
        <v>7296</v>
      </c>
      <c r="H7431">
        <v>39854</v>
      </c>
      <c r="I7431" t="s">
        <v>423</v>
      </c>
      <c r="J7431" t="s">
        <v>3355</v>
      </c>
      <c r="K7431" t="s">
        <v>2814</v>
      </c>
      <c r="L7431" t="s">
        <v>2815</v>
      </c>
      <c r="M7431">
        <v>417</v>
      </c>
      <c r="N7431">
        <v>23.738</v>
      </c>
      <c r="O7431">
        <v>6586.58</v>
      </c>
      <c r="P7431">
        <v>0</v>
      </c>
      <c r="Q7431">
        <v>6586.58</v>
      </c>
      <c r="R7431">
        <v>1053.8499999999999</v>
      </c>
      <c r="S7431">
        <v>263.45999999999998</v>
      </c>
      <c r="T7431">
        <v>7376.97</v>
      </c>
      <c r="U7431" t="s">
        <v>2826</v>
      </c>
      <c r="V7431" t="s">
        <v>9408</v>
      </c>
      <c r="W7431" t="s">
        <v>423</v>
      </c>
    </row>
    <row r="7432" spans="1:23" hidden="1" x14ac:dyDescent="0.2">
      <c r="A7432">
        <v>2012</v>
      </c>
      <c r="B7432" t="s">
        <v>304</v>
      </c>
      <c r="C7432" s="733">
        <v>40962</v>
      </c>
      <c r="D743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32" t="s">
        <v>478</v>
      </c>
      <c r="F7432" t="s">
        <v>4128</v>
      </c>
      <c r="G7432" t="s">
        <v>8588</v>
      </c>
      <c r="H7432">
        <v>35925</v>
      </c>
      <c r="I7432" t="s">
        <v>423</v>
      </c>
      <c r="J7432" t="s">
        <v>4396</v>
      </c>
      <c r="K7432" t="s">
        <v>4397</v>
      </c>
      <c r="L7432" t="s">
        <v>4398</v>
      </c>
      <c r="M7432">
        <v>112</v>
      </c>
      <c r="N7432">
        <v>22.414999999999999</v>
      </c>
      <c r="O7432">
        <v>2529.98</v>
      </c>
      <c r="P7432">
        <v>0</v>
      </c>
      <c r="Q7432">
        <v>2529.98</v>
      </c>
      <c r="R7432">
        <v>404.8</v>
      </c>
      <c r="S7432">
        <v>101.2</v>
      </c>
      <c r="T7432">
        <v>2833.58</v>
      </c>
      <c r="U7432" t="s">
        <v>8982</v>
      </c>
      <c r="V7432" t="s">
        <v>9408</v>
      </c>
      <c r="W7432" t="s">
        <v>423</v>
      </c>
    </row>
    <row r="7433" spans="1:23" hidden="1" x14ac:dyDescent="0.2">
      <c r="A7433">
        <v>2012</v>
      </c>
      <c r="B7433" t="s">
        <v>303</v>
      </c>
      <c r="C7433" s="733">
        <v>40915.896412037036</v>
      </c>
      <c r="D743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33" t="s">
        <v>505</v>
      </c>
      <c r="F7433" t="s">
        <v>1915</v>
      </c>
      <c r="G7433" t="s">
        <v>7407</v>
      </c>
      <c r="H7433">
        <v>21829</v>
      </c>
      <c r="I7433" t="s">
        <v>423</v>
      </c>
      <c r="J7433" t="s">
        <v>4153</v>
      </c>
      <c r="K7433" t="s">
        <v>1918</v>
      </c>
      <c r="L7433" t="s">
        <v>1919</v>
      </c>
      <c r="M7433">
        <v>850</v>
      </c>
      <c r="N7433">
        <v>24.86</v>
      </c>
      <c r="O7433">
        <v>6540.15</v>
      </c>
      <c r="P7433">
        <v>7363.4894830000003</v>
      </c>
      <c r="Q7433">
        <v>13903.639483000001</v>
      </c>
      <c r="R7433">
        <v>2224.5823169999999</v>
      </c>
      <c r="S7433">
        <v>556.145579</v>
      </c>
      <c r="T7433">
        <v>15572.076220999999</v>
      </c>
      <c r="U7433" t="s">
        <v>1931</v>
      </c>
      <c r="V7433" t="s">
        <v>9408</v>
      </c>
      <c r="W7433" t="s">
        <v>423</v>
      </c>
    </row>
    <row r="7434" spans="1:23" hidden="1" x14ac:dyDescent="0.2">
      <c r="A7434">
        <v>2012</v>
      </c>
      <c r="B7434" t="s">
        <v>303</v>
      </c>
      <c r="C7434" s="733">
        <v>40931</v>
      </c>
      <c r="D743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34" t="s">
        <v>478</v>
      </c>
      <c r="F7434" t="s">
        <v>2136</v>
      </c>
      <c r="G7434" t="s">
        <v>7274</v>
      </c>
      <c r="H7434">
        <v>34765</v>
      </c>
      <c r="I7434" t="s">
        <v>423</v>
      </c>
      <c r="J7434" t="s">
        <v>3636</v>
      </c>
      <c r="K7434" t="s">
        <v>425</v>
      </c>
      <c r="L7434" t="s">
        <v>2145</v>
      </c>
      <c r="M7434">
        <v>244</v>
      </c>
      <c r="N7434">
        <v>23.36</v>
      </c>
      <c r="O7434">
        <v>3801.84</v>
      </c>
      <c r="P7434">
        <v>0</v>
      </c>
      <c r="Q7434">
        <v>3801.84</v>
      </c>
      <c r="R7434">
        <v>608.29</v>
      </c>
      <c r="S7434">
        <v>152.07</v>
      </c>
      <c r="T7434">
        <v>4258.0600000000004</v>
      </c>
      <c r="U7434" t="s">
        <v>3234</v>
      </c>
      <c r="V7434" t="s">
        <v>9409</v>
      </c>
      <c r="W7434" t="s">
        <v>423</v>
      </c>
    </row>
    <row r="7435" spans="1:23" hidden="1" x14ac:dyDescent="0.2">
      <c r="A7435">
        <v>2012</v>
      </c>
      <c r="B7435" t="s">
        <v>303</v>
      </c>
      <c r="C7435" s="733">
        <v>40924</v>
      </c>
      <c r="D743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35" t="s">
        <v>478</v>
      </c>
      <c r="F7435" t="s">
        <v>2136</v>
      </c>
      <c r="G7435" t="s">
        <v>7428</v>
      </c>
      <c r="H7435">
        <v>34524</v>
      </c>
      <c r="I7435" t="s">
        <v>423</v>
      </c>
      <c r="J7435" t="s">
        <v>4285</v>
      </c>
      <c r="K7435" t="s">
        <v>425</v>
      </c>
      <c r="L7435" t="s">
        <v>2145</v>
      </c>
      <c r="M7435">
        <v>110</v>
      </c>
      <c r="N7435">
        <v>24.93</v>
      </c>
      <c r="O7435">
        <v>4057.36</v>
      </c>
      <c r="P7435">
        <v>0</v>
      </c>
      <c r="Q7435">
        <v>4057.36</v>
      </c>
      <c r="R7435">
        <v>649.17999999999995</v>
      </c>
      <c r="S7435">
        <v>162.29</v>
      </c>
      <c r="T7435">
        <v>4544.25</v>
      </c>
      <c r="U7435" t="s">
        <v>2146</v>
      </c>
      <c r="V7435" t="s">
        <v>9409</v>
      </c>
      <c r="W7435" t="s">
        <v>423</v>
      </c>
    </row>
    <row r="7436" spans="1:23" hidden="1" x14ac:dyDescent="0.2">
      <c r="A7436">
        <v>2012</v>
      </c>
      <c r="B7436" t="s">
        <v>303</v>
      </c>
      <c r="C7436" s="733">
        <v>40926</v>
      </c>
      <c r="D743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36" t="s">
        <v>485</v>
      </c>
      <c r="F7436" t="s">
        <v>3450</v>
      </c>
      <c r="G7436" t="s">
        <v>7280</v>
      </c>
      <c r="H7436">
        <v>40184</v>
      </c>
      <c r="I7436" t="s">
        <v>423</v>
      </c>
      <c r="J7436" t="s">
        <v>3452</v>
      </c>
      <c r="K7436" t="s">
        <v>3453</v>
      </c>
      <c r="L7436" t="s">
        <v>3454</v>
      </c>
      <c r="M7436">
        <v>19</v>
      </c>
      <c r="N7436">
        <v>29.01</v>
      </c>
      <c r="O7436">
        <v>3274.36</v>
      </c>
      <c r="P7436">
        <v>0</v>
      </c>
      <c r="Q7436">
        <v>3274.36</v>
      </c>
      <c r="R7436">
        <v>523.9</v>
      </c>
      <c r="S7436">
        <v>130.97</v>
      </c>
      <c r="T7436">
        <v>3667.29</v>
      </c>
      <c r="U7436" t="s">
        <v>3459</v>
      </c>
      <c r="V7436" t="s">
        <v>9408</v>
      </c>
      <c r="W7436" t="s">
        <v>423</v>
      </c>
    </row>
    <row r="7437" spans="1:23" hidden="1" x14ac:dyDescent="0.2">
      <c r="A7437">
        <v>2012</v>
      </c>
      <c r="B7437" t="s">
        <v>304</v>
      </c>
      <c r="C7437" s="733">
        <v>40948</v>
      </c>
      <c r="D743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37" t="s">
        <v>485</v>
      </c>
      <c r="F7437" t="s">
        <v>3450</v>
      </c>
      <c r="G7437" t="s">
        <v>7281</v>
      </c>
      <c r="H7437">
        <v>40124</v>
      </c>
      <c r="I7437" t="s">
        <v>423</v>
      </c>
      <c r="J7437" t="s">
        <v>3452</v>
      </c>
      <c r="K7437" t="s">
        <v>3453</v>
      </c>
      <c r="L7437" t="s">
        <v>3454</v>
      </c>
      <c r="M7437">
        <v>19</v>
      </c>
      <c r="N7437">
        <v>26.71</v>
      </c>
      <c r="O7437">
        <v>3014.76</v>
      </c>
      <c r="P7437">
        <v>0</v>
      </c>
      <c r="Q7437">
        <v>3014.76</v>
      </c>
      <c r="R7437">
        <v>482.36</v>
      </c>
      <c r="S7437">
        <v>120.59</v>
      </c>
      <c r="T7437">
        <v>3376.53</v>
      </c>
      <c r="U7437" t="s">
        <v>3455</v>
      </c>
      <c r="V7437" t="s">
        <v>9408</v>
      </c>
      <c r="W7437" t="s">
        <v>423</v>
      </c>
    </row>
    <row r="7438" spans="1:23" hidden="1" x14ac:dyDescent="0.2">
      <c r="A7438">
        <v>2012</v>
      </c>
      <c r="B7438" t="s">
        <v>304</v>
      </c>
      <c r="C7438" s="733">
        <v>40948</v>
      </c>
      <c r="D743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38" t="s">
        <v>485</v>
      </c>
      <c r="F7438" t="s">
        <v>3450</v>
      </c>
      <c r="G7438" t="s">
        <v>7283</v>
      </c>
      <c r="H7438">
        <v>41175</v>
      </c>
      <c r="I7438" t="s">
        <v>423</v>
      </c>
      <c r="J7438" t="s">
        <v>3452</v>
      </c>
      <c r="K7438" t="s">
        <v>3453</v>
      </c>
      <c r="L7438" t="s">
        <v>3454</v>
      </c>
      <c r="M7438">
        <v>19</v>
      </c>
      <c r="N7438">
        <v>27.04</v>
      </c>
      <c r="O7438">
        <v>3052</v>
      </c>
      <c r="P7438">
        <v>0</v>
      </c>
      <c r="Q7438">
        <v>3052</v>
      </c>
      <c r="R7438">
        <v>488.32</v>
      </c>
      <c r="S7438">
        <v>122.08</v>
      </c>
      <c r="T7438">
        <v>3418.24</v>
      </c>
      <c r="U7438" t="s">
        <v>3455</v>
      </c>
      <c r="V7438" t="s">
        <v>9408</v>
      </c>
      <c r="W7438" t="s">
        <v>423</v>
      </c>
    </row>
    <row r="7439" spans="1:23" x14ac:dyDescent="0.2">
      <c r="A7439">
        <v>2012</v>
      </c>
      <c r="B7439" t="s">
        <v>304</v>
      </c>
      <c r="C7439" s="733">
        <v>40968</v>
      </c>
      <c r="D743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39" t="s">
        <v>485</v>
      </c>
      <c r="F7439" t="s">
        <v>3450</v>
      </c>
      <c r="G7439" t="s">
        <v>9549</v>
      </c>
      <c r="H7439">
        <v>42677</v>
      </c>
      <c r="I7439" t="s">
        <v>423</v>
      </c>
      <c r="J7439" t="s">
        <v>3452</v>
      </c>
      <c r="K7439" t="s">
        <v>3453</v>
      </c>
      <c r="L7439" t="s">
        <v>3454</v>
      </c>
      <c r="M7439">
        <v>19</v>
      </c>
      <c r="N7439">
        <v>25.98</v>
      </c>
      <c r="O7439">
        <v>2932.36</v>
      </c>
      <c r="P7439">
        <v>0</v>
      </c>
      <c r="Q7439">
        <v>2932.36</v>
      </c>
      <c r="R7439">
        <v>469.18</v>
      </c>
      <c r="S7439">
        <v>117.29</v>
      </c>
      <c r="T7439">
        <v>3284.25</v>
      </c>
      <c r="V7439" t="s">
        <v>9408</v>
      </c>
      <c r="W7439" t="s">
        <v>423</v>
      </c>
    </row>
    <row r="7440" spans="1:23" hidden="1" x14ac:dyDescent="0.2">
      <c r="A7440">
        <v>2012</v>
      </c>
      <c r="B7440" t="s">
        <v>303</v>
      </c>
      <c r="C7440" s="733">
        <v>40931</v>
      </c>
      <c r="D744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40" t="s">
        <v>478</v>
      </c>
      <c r="F7440" t="s">
        <v>2142</v>
      </c>
      <c r="G7440" t="s">
        <v>7430</v>
      </c>
      <c r="H7440">
        <v>34812</v>
      </c>
      <c r="I7440" t="s">
        <v>423</v>
      </c>
      <c r="J7440" t="s">
        <v>4279</v>
      </c>
      <c r="K7440" t="s">
        <v>425</v>
      </c>
      <c r="L7440" t="s">
        <v>2145</v>
      </c>
      <c r="M7440">
        <v>381</v>
      </c>
      <c r="N7440">
        <v>30.61</v>
      </c>
      <c r="O7440">
        <v>7664.44</v>
      </c>
      <c r="P7440">
        <v>0</v>
      </c>
      <c r="Q7440">
        <v>7664.44</v>
      </c>
      <c r="R7440">
        <v>1226.31</v>
      </c>
      <c r="S7440">
        <v>306.58</v>
      </c>
      <c r="T7440">
        <v>8584.17</v>
      </c>
      <c r="U7440" t="s">
        <v>3234</v>
      </c>
      <c r="V7440" t="s">
        <v>9408</v>
      </c>
      <c r="W7440" t="s">
        <v>423</v>
      </c>
    </row>
    <row r="7441" spans="1:23" x14ac:dyDescent="0.2">
      <c r="A7441">
        <v>2012</v>
      </c>
      <c r="B7441" t="s">
        <v>304</v>
      </c>
      <c r="C7441" s="733">
        <v>40968</v>
      </c>
      <c r="D744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41" t="s">
        <v>485</v>
      </c>
      <c r="F7441" t="s">
        <v>3450</v>
      </c>
      <c r="G7441" t="s">
        <v>9550</v>
      </c>
      <c r="H7441">
        <v>42674</v>
      </c>
      <c r="I7441" t="s">
        <v>423</v>
      </c>
      <c r="J7441" t="s">
        <v>3452</v>
      </c>
      <c r="K7441" t="s">
        <v>3453</v>
      </c>
      <c r="L7441" t="s">
        <v>3454</v>
      </c>
      <c r="M7441">
        <v>19</v>
      </c>
      <c r="N7441">
        <v>25.55</v>
      </c>
      <c r="O7441">
        <v>2883.83</v>
      </c>
      <c r="P7441">
        <v>0</v>
      </c>
      <c r="Q7441">
        <v>2883.83</v>
      </c>
      <c r="R7441">
        <v>461.41</v>
      </c>
      <c r="S7441">
        <v>115.35</v>
      </c>
      <c r="T7441">
        <v>3229.89</v>
      </c>
      <c r="V7441" t="s">
        <v>9408</v>
      </c>
      <c r="W7441" t="s">
        <v>423</v>
      </c>
    </row>
    <row r="7442" spans="1:23" hidden="1" x14ac:dyDescent="0.2">
      <c r="A7442">
        <v>2012</v>
      </c>
      <c r="B7442" t="s">
        <v>303</v>
      </c>
      <c r="C7442" s="733">
        <v>40926</v>
      </c>
      <c r="D744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42" t="s">
        <v>485</v>
      </c>
      <c r="F7442" t="s">
        <v>3450</v>
      </c>
      <c r="G7442" t="s">
        <v>7282</v>
      </c>
      <c r="H7442">
        <v>40133</v>
      </c>
      <c r="I7442" t="s">
        <v>423</v>
      </c>
      <c r="J7442" t="s">
        <v>3457</v>
      </c>
      <c r="K7442" t="s">
        <v>3453</v>
      </c>
      <c r="L7442" t="s">
        <v>3454</v>
      </c>
      <c r="M7442">
        <v>29</v>
      </c>
      <c r="N7442">
        <v>28.21</v>
      </c>
      <c r="O7442">
        <v>3184.06</v>
      </c>
      <c r="P7442">
        <v>0</v>
      </c>
      <c r="Q7442">
        <v>3184.06</v>
      </c>
      <c r="R7442">
        <v>509.45</v>
      </c>
      <c r="S7442">
        <v>127.36</v>
      </c>
      <c r="T7442">
        <v>3566.15</v>
      </c>
      <c r="U7442" t="s">
        <v>3640</v>
      </c>
      <c r="V7442" t="s">
        <v>9408</v>
      </c>
      <c r="W7442" t="s">
        <v>423</v>
      </c>
    </row>
    <row r="7443" spans="1:23" hidden="1" x14ac:dyDescent="0.2">
      <c r="A7443">
        <v>2012</v>
      </c>
      <c r="B7443" t="s">
        <v>303</v>
      </c>
      <c r="C7443" s="733">
        <v>40927.415138888886</v>
      </c>
      <c r="D744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43" t="s">
        <v>478</v>
      </c>
      <c r="F7443" t="s">
        <v>4128</v>
      </c>
      <c r="G7443" t="s">
        <v>7332</v>
      </c>
      <c r="H7443">
        <v>34714</v>
      </c>
      <c r="I7443" t="s">
        <v>423</v>
      </c>
      <c r="J7443" t="s">
        <v>4509</v>
      </c>
      <c r="K7443" t="s">
        <v>4397</v>
      </c>
      <c r="L7443" t="s">
        <v>4398</v>
      </c>
      <c r="M7443">
        <v>183</v>
      </c>
      <c r="N7443">
        <v>24.535</v>
      </c>
      <c r="O7443">
        <v>4237.6899999999996</v>
      </c>
      <c r="P7443">
        <v>0</v>
      </c>
      <c r="Q7443">
        <v>4237.6899999999996</v>
      </c>
      <c r="R7443">
        <v>678.03</v>
      </c>
      <c r="S7443">
        <v>169.51</v>
      </c>
      <c r="T7443">
        <v>4746.21</v>
      </c>
      <c r="U7443" t="s">
        <v>4404</v>
      </c>
      <c r="V7443" t="s">
        <v>9408</v>
      </c>
      <c r="W7443" t="s">
        <v>423</v>
      </c>
    </row>
    <row r="7444" spans="1:23" hidden="1" x14ac:dyDescent="0.2">
      <c r="A7444">
        <v>2012</v>
      </c>
      <c r="B7444" t="s">
        <v>303</v>
      </c>
      <c r="C7444" s="733">
        <v>40938</v>
      </c>
      <c r="D744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44" t="s">
        <v>485</v>
      </c>
      <c r="F7444" t="s">
        <v>2048</v>
      </c>
      <c r="G7444" t="s">
        <v>7374</v>
      </c>
      <c r="H7444">
        <v>41121</v>
      </c>
      <c r="I7444" t="s">
        <v>423</v>
      </c>
      <c r="J7444" t="s">
        <v>4086</v>
      </c>
      <c r="K7444" t="s">
        <v>2051</v>
      </c>
      <c r="L7444" t="s">
        <v>2052</v>
      </c>
      <c r="M7444">
        <v>341</v>
      </c>
      <c r="N7444">
        <v>25.25</v>
      </c>
      <c r="O7444">
        <v>6174.89</v>
      </c>
      <c r="P7444">
        <v>0</v>
      </c>
      <c r="Q7444">
        <v>6174.89</v>
      </c>
      <c r="R7444">
        <v>987.98</v>
      </c>
      <c r="S7444">
        <v>247</v>
      </c>
      <c r="T7444">
        <v>6915.87</v>
      </c>
      <c r="U7444" t="s">
        <v>2064</v>
      </c>
      <c r="V7444" t="s">
        <v>9408</v>
      </c>
      <c r="W7444" t="s">
        <v>423</v>
      </c>
    </row>
    <row r="7445" spans="1:23" hidden="1" x14ac:dyDescent="0.2">
      <c r="A7445">
        <v>2012</v>
      </c>
      <c r="B7445" t="s">
        <v>303</v>
      </c>
      <c r="C7445" s="733">
        <v>40931.925868055558</v>
      </c>
      <c r="D744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45" t="s">
        <v>478</v>
      </c>
      <c r="F7445" t="s">
        <v>2136</v>
      </c>
      <c r="G7445" t="s">
        <v>7421</v>
      </c>
      <c r="H7445">
        <v>34879</v>
      </c>
      <c r="I7445" t="s">
        <v>423</v>
      </c>
      <c r="J7445" t="s">
        <v>4276</v>
      </c>
      <c r="K7445" t="s">
        <v>425</v>
      </c>
      <c r="L7445" t="s">
        <v>2145</v>
      </c>
      <c r="M7445">
        <v>60</v>
      </c>
      <c r="N7445">
        <v>23.18</v>
      </c>
      <c r="O7445">
        <v>3111.92</v>
      </c>
      <c r="P7445">
        <v>0</v>
      </c>
      <c r="Q7445">
        <v>3111.92</v>
      </c>
      <c r="R7445">
        <v>497.91</v>
      </c>
      <c r="S7445">
        <v>124.48</v>
      </c>
      <c r="T7445">
        <v>3485.35</v>
      </c>
      <c r="U7445" t="s">
        <v>2355</v>
      </c>
      <c r="V7445" t="s">
        <v>9408</v>
      </c>
      <c r="W7445" t="s">
        <v>423</v>
      </c>
    </row>
    <row r="7446" spans="1:23" hidden="1" x14ac:dyDescent="0.2">
      <c r="A7446">
        <v>2012</v>
      </c>
      <c r="B7446" t="s">
        <v>304</v>
      </c>
      <c r="C7446" s="733">
        <v>40962</v>
      </c>
      <c r="D744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46" t="s">
        <v>485</v>
      </c>
      <c r="F7446" t="s">
        <v>2054</v>
      </c>
      <c r="G7446" t="s">
        <v>8634</v>
      </c>
      <c r="H7446">
        <v>42503</v>
      </c>
      <c r="I7446" t="s">
        <v>423</v>
      </c>
      <c r="J7446" t="s">
        <v>4086</v>
      </c>
      <c r="K7446" t="s">
        <v>2051</v>
      </c>
      <c r="L7446" t="s">
        <v>2052</v>
      </c>
      <c r="M7446">
        <v>341</v>
      </c>
      <c r="N7446">
        <v>26.6</v>
      </c>
      <c r="O7446">
        <v>6505.03</v>
      </c>
      <c r="P7446">
        <v>0</v>
      </c>
      <c r="Q7446">
        <v>6505.03</v>
      </c>
      <c r="R7446">
        <v>1040.8</v>
      </c>
      <c r="S7446">
        <v>260.2</v>
      </c>
      <c r="T7446">
        <v>7285.63</v>
      </c>
      <c r="U7446" t="s">
        <v>8780</v>
      </c>
      <c r="V7446" t="s">
        <v>9408</v>
      </c>
      <c r="W7446" t="s">
        <v>423</v>
      </c>
    </row>
    <row r="7447" spans="1:23" hidden="1" x14ac:dyDescent="0.2">
      <c r="A7447">
        <v>2012</v>
      </c>
      <c r="B7447" t="s">
        <v>304</v>
      </c>
      <c r="C7447" s="733">
        <v>40960</v>
      </c>
      <c r="D744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47" t="s">
        <v>485</v>
      </c>
      <c r="F7447" t="s">
        <v>2065</v>
      </c>
      <c r="G7447" t="s">
        <v>8244</v>
      </c>
      <c r="H7447">
        <v>42219</v>
      </c>
      <c r="I7447" t="s">
        <v>423</v>
      </c>
      <c r="J7447" t="s">
        <v>2189</v>
      </c>
      <c r="K7447" t="s">
        <v>2183</v>
      </c>
      <c r="L7447" t="s">
        <v>2184</v>
      </c>
      <c r="M7447">
        <v>720</v>
      </c>
      <c r="N7447">
        <v>25.42</v>
      </c>
      <c r="O7447">
        <v>10302.469999999999</v>
      </c>
      <c r="P7447">
        <v>0</v>
      </c>
      <c r="Q7447">
        <v>10302.469999999999</v>
      </c>
      <c r="R7447">
        <v>1648.4</v>
      </c>
      <c r="S7447">
        <v>412.1</v>
      </c>
      <c r="T7447">
        <v>11538.77</v>
      </c>
      <c r="U7447" t="s">
        <v>9411</v>
      </c>
      <c r="V7447" t="s">
        <v>9408</v>
      </c>
      <c r="W7447" t="s">
        <v>423</v>
      </c>
    </row>
    <row r="7448" spans="1:23" hidden="1" x14ac:dyDescent="0.2">
      <c r="A7448">
        <v>2012</v>
      </c>
      <c r="B7448" t="s">
        <v>303</v>
      </c>
      <c r="C7448" s="733">
        <v>40933</v>
      </c>
      <c r="D744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48" t="s">
        <v>485</v>
      </c>
      <c r="F7448" t="s">
        <v>2065</v>
      </c>
      <c r="G7448" t="s">
        <v>7344</v>
      </c>
      <c r="H7448">
        <v>40759</v>
      </c>
      <c r="I7448" t="s">
        <v>423</v>
      </c>
      <c r="J7448" t="s">
        <v>2189</v>
      </c>
      <c r="K7448" t="s">
        <v>2183</v>
      </c>
      <c r="L7448" t="s">
        <v>2184</v>
      </c>
      <c r="M7448">
        <v>720</v>
      </c>
      <c r="N7448">
        <v>22.39</v>
      </c>
      <c r="O7448">
        <v>9074.64</v>
      </c>
      <c r="P7448">
        <v>0</v>
      </c>
      <c r="Q7448">
        <v>9074.64</v>
      </c>
      <c r="R7448">
        <v>1451.94</v>
      </c>
      <c r="S7448">
        <v>362.99</v>
      </c>
      <c r="T7448">
        <v>10163.59</v>
      </c>
      <c r="U7448" t="s">
        <v>2187</v>
      </c>
      <c r="V7448" t="s">
        <v>9408</v>
      </c>
      <c r="W7448" t="s">
        <v>423</v>
      </c>
    </row>
    <row r="7449" spans="1:23" hidden="1" x14ac:dyDescent="0.2">
      <c r="A7449">
        <v>2012</v>
      </c>
      <c r="B7449" t="s">
        <v>303</v>
      </c>
      <c r="C7449" s="733">
        <v>40925</v>
      </c>
      <c r="D744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49" t="s">
        <v>485</v>
      </c>
      <c r="F7449" t="s">
        <v>2065</v>
      </c>
      <c r="G7449" t="s">
        <v>7343</v>
      </c>
      <c r="H7449">
        <v>40247</v>
      </c>
      <c r="I7449" t="s">
        <v>423</v>
      </c>
      <c r="J7449" t="s">
        <v>3965</v>
      </c>
      <c r="K7449" t="s">
        <v>2183</v>
      </c>
      <c r="L7449" t="s">
        <v>2184</v>
      </c>
      <c r="M7449">
        <v>696</v>
      </c>
      <c r="N7449">
        <v>27</v>
      </c>
      <c r="O7449">
        <v>10942.83</v>
      </c>
      <c r="P7449">
        <v>0</v>
      </c>
      <c r="Q7449">
        <v>10942.83</v>
      </c>
      <c r="R7449">
        <v>1750.85</v>
      </c>
      <c r="S7449">
        <v>437.71</v>
      </c>
      <c r="T7449">
        <v>12255.97</v>
      </c>
      <c r="U7449" t="s">
        <v>7587</v>
      </c>
      <c r="V7449" t="s">
        <v>9408</v>
      </c>
      <c r="W7449" t="s">
        <v>423</v>
      </c>
    </row>
    <row r="7450" spans="1:23" hidden="1" x14ac:dyDescent="0.2">
      <c r="A7450">
        <v>2012</v>
      </c>
      <c r="B7450" t="s">
        <v>304</v>
      </c>
      <c r="C7450" s="733">
        <v>40952</v>
      </c>
      <c r="D745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50" t="s">
        <v>485</v>
      </c>
      <c r="F7450" t="s">
        <v>2048</v>
      </c>
      <c r="G7450" t="s">
        <v>7360</v>
      </c>
      <c r="H7450">
        <v>41845</v>
      </c>
      <c r="I7450" t="s">
        <v>423</v>
      </c>
      <c r="J7450" t="s">
        <v>3570</v>
      </c>
      <c r="K7450" t="s">
        <v>2051</v>
      </c>
      <c r="L7450" t="s">
        <v>2052</v>
      </c>
      <c r="M7450">
        <v>678</v>
      </c>
      <c r="N7450">
        <v>24.7</v>
      </c>
      <c r="O7450">
        <v>9041.19</v>
      </c>
      <c r="P7450">
        <v>0</v>
      </c>
      <c r="Q7450">
        <v>9041.19</v>
      </c>
      <c r="R7450">
        <v>1446.59</v>
      </c>
      <c r="S7450">
        <v>361.65</v>
      </c>
      <c r="T7450">
        <v>10126.129999999999</v>
      </c>
      <c r="U7450" t="s">
        <v>8257</v>
      </c>
      <c r="V7450" t="s">
        <v>9408</v>
      </c>
      <c r="W7450" t="s">
        <v>423</v>
      </c>
    </row>
    <row r="7451" spans="1:23" hidden="1" x14ac:dyDescent="0.2">
      <c r="A7451">
        <v>2012</v>
      </c>
      <c r="B7451" t="s">
        <v>304</v>
      </c>
      <c r="C7451" s="733">
        <v>40966</v>
      </c>
      <c r="D745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51" t="s">
        <v>485</v>
      </c>
      <c r="F7451" t="s">
        <v>2065</v>
      </c>
      <c r="G7451" t="s">
        <v>8846</v>
      </c>
      <c r="H7451">
        <v>42631</v>
      </c>
      <c r="I7451" t="s">
        <v>423</v>
      </c>
      <c r="J7451" t="s">
        <v>3965</v>
      </c>
      <c r="K7451" t="s">
        <v>2183</v>
      </c>
      <c r="L7451" t="s">
        <v>2184</v>
      </c>
      <c r="M7451">
        <v>696</v>
      </c>
      <c r="N7451">
        <v>26.77</v>
      </c>
      <c r="O7451">
        <v>10849.61</v>
      </c>
      <c r="P7451">
        <v>0</v>
      </c>
      <c r="Q7451">
        <v>10849.61</v>
      </c>
      <c r="R7451">
        <v>1735.94</v>
      </c>
      <c r="S7451">
        <v>433.98</v>
      </c>
      <c r="T7451">
        <v>12151.57</v>
      </c>
      <c r="V7451" t="s">
        <v>9408</v>
      </c>
      <c r="W7451" t="s">
        <v>423</v>
      </c>
    </row>
    <row r="7452" spans="1:23" hidden="1" x14ac:dyDescent="0.2">
      <c r="A7452">
        <v>2012</v>
      </c>
      <c r="B7452" t="s">
        <v>303</v>
      </c>
      <c r="C7452" s="733">
        <v>40939</v>
      </c>
      <c r="D745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52" t="s">
        <v>505</v>
      </c>
      <c r="F7452" t="s">
        <v>1915</v>
      </c>
      <c r="G7452" t="s">
        <v>2474</v>
      </c>
      <c r="H7452">
        <v>21709</v>
      </c>
      <c r="I7452" t="s">
        <v>423</v>
      </c>
      <c r="J7452" t="s">
        <v>1947</v>
      </c>
      <c r="K7452" t="s">
        <v>1918</v>
      </c>
      <c r="L7452" t="s">
        <v>1919</v>
      </c>
      <c r="M7452">
        <v>973</v>
      </c>
      <c r="N7452">
        <v>53.96</v>
      </c>
      <c r="O7452">
        <v>31510.48</v>
      </c>
      <c r="P7452">
        <v>0</v>
      </c>
      <c r="Q7452">
        <v>31510.48</v>
      </c>
      <c r="R7452">
        <v>5041.68</v>
      </c>
      <c r="S7452">
        <v>1260.42</v>
      </c>
      <c r="T7452">
        <v>35291.74</v>
      </c>
      <c r="U7452" t="s">
        <v>1936</v>
      </c>
      <c r="V7452" t="s">
        <v>9409</v>
      </c>
      <c r="W7452" t="s">
        <v>423</v>
      </c>
    </row>
    <row r="7453" spans="1:23" hidden="1" x14ac:dyDescent="0.2">
      <c r="A7453">
        <v>2012</v>
      </c>
      <c r="B7453" t="s">
        <v>303</v>
      </c>
      <c r="C7453" s="733">
        <v>40918</v>
      </c>
      <c r="D745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53" t="s">
        <v>478</v>
      </c>
      <c r="F7453" t="s">
        <v>2136</v>
      </c>
      <c r="G7453" t="s">
        <v>7422</v>
      </c>
      <c r="H7453">
        <v>34349</v>
      </c>
      <c r="I7453" t="s">
        <v>423</v>
      </c>
      <c r="J7453" t="s">
        <v>4276</v>
      </c>
      <c r="K7453" t="s">
        <v>425</v>
      </c>
      <c r="L7453" t="s">
        <v>2145</v>
      </c>
      <c r="M7453">
        <v>60</v>
      </c>
      <c r="N7453">
        <v>25.25</v>
      </c>
      <c r="O7453">
        <v>3389.81</v>
      </c>
      <c r="P7453">
        <v>0</v>
      </c>
      <c r="Q7453">
        <v>3389.81</v>
      </c>
      <c r="R7453">
        <v>542.37</v>
      </c>
      <c r="S7453">
        <v>135.59</v>
      </c>
      <c r="T7453">
        <v>3796.59</v>
      </c>
      <c r="U7453" t="s">
        <v>2352</v>
      </c>
      <c r="V7453" t="s">
        <v>9408</v>
      </c>
      <c r="W7453" t="s">
        <v>423</v>
      </c>
    </row>
    <row r="7454" spans="1:23" hidden="1" x14ac:dyDescent="0.2">
      <c r="A7454">
        <v>2012</v>
      </c>
      <c r="B7454" t="s">
        <v>303</v>
      </c>
      <c r="C7454" s="733">
        <v>40927</v>
      </c>
      <c r="D745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54" t="s">
        <v>478</v>
      </c>
      <c r="F7454" t="s">
        <v>2136</v>
      </c>
      <c r="G7454" t="s">
        <v>7423</v>
      </c>
      <c r="H7454">
        <v>34711</v>
      </c>
      <c r="I7454" t="s">
        <v>423</v>
      </c>
      <c r="J7454" t="s">
        <v>4276</v>
      </c>
      <c r="K7454" t="s">
        <v>425</v>
      </c>
      <c r="L7454" t="s">
        <v>2145</v>
      </c>
      <c r="M7454">
        <v>60</v>
      </c>
      <c r="N7454">
        <v>49.26</v>
      </c>
      <c r="O7454">
        <v>6613.16</v>
      </c>
      <c r="P7454">
        <v>0</v>
      </c>
      <c r="Q7454">
        <v>6613.16</v>
      </c>
      <c r="R7454">
        <v>1058.0999999999999</v>
      </c>
      <c r="S7454">
        <v>264.52999999999997</v>
      </c>
      <c r="T7454">
        <v>7406.73</v>
      </c>
      <c r="U7454" t="s">
        <v>2146</v>
      </c>
      <c r="V7454" t="s">
        <v>9409</v>
      </c>
      <c r="W7454" t="s">
        <v>423</v>
      </c>
    </row>
    <row r="7455" spans="1:23" hidden="1" x14ac:dyDescent="0.2">
      <c r="A7455">
        <v>2012</v>
      </c>
      <c r="B7455" t="s">
        <v>304</v>
      </c>
      <c r="C7455" s="733">
        <v>40968</v>
      </c>
      <c r="D745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55" t="s">
        <v>505</v>
      </c>
      <c r="F7455" t="s">
        <v>1915</v>
      </c>
      <c r="G7455" t="s">
        <v>9298</v>
      </c>
      <c r="H7455">
        <v>23011</v>
      </c>
      <c r="I7455" t="s">
        <v>423</v>
      </c>
      <c r="J7455" t="s">
        <v>1947</v>
      </c>
      <c r="K7455" t="s">
        <v>1918</v>
      </c>
      <c r="L7455" t="s">
        <v>1919</v>
      </c>
      <c r="M7455">
        <v>973</v>
      </c>
      <c r="N7455">
        <v>50.39</v>
      </c>
      <c r="O7455">
        <v>29425.74</v>
      </c>
      <c r="P7455">
        <v>0</v>
      </c>
      <c r="Q7455">
        <v>29425.74</v>
      </c>
      <c r="R7455">
        <v>4708.12</v>
      </c>
      <c r="S7455">
        <v>1177.03</v>
      </c>
      <c r="T7455">
        <v>32956.83</v>
      </c>
      <c r="V7455" t="s">
        <v>9409</v>
      </c>
      <c r="W7455" t="s">
        <v>423</v>
      </c>
    </row>
    <row r="7456" spans="1:23" hidden="1" x14ac:dyDescent="0.2">
      <c r="A7456">
        <v>2012</v>
      </c>
      <c r="B7456" t="s">
        <v>304</v>
      </c>
      <c r="C7456" s="733">
        <v>40941</v>
      </c>
      <c r="D745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56" t="s">
        <v>505</v>
      </c>
      <c r="F7456" t="s">
        <v>1915</v>
      </c>
      <c r="G7456" t="s">
        <v>7410</v>
      </c>
      <c r="H7456">
        <v>22422</v>
      </c>
      <c r="I7456" t="s">
        <v>423</v>
      </c>
      <c r="J7456" t="s">
        <v>4163</v>
      </c>
      <c r="K7456" t="s">
        <v>1918</v>
      </c>
      <c r="L7456" t="s">
        <v>1919</v>
      </c>
      <c r="M7456">
        <v>250</v>
      </c>
      <c r="N7456">
        <v>25.35</v>
      </c>
      <c r="O7456">
        <v>5699.69</v>
      </c>
      <c r="P7456">
        <v>0</v>
      </c>
      <c r="Q7456">
        <v>5699.69</v>
      </c>
      <c r="R7456">
        <v>911.95</v>
      </c>
      <c r="S7456">
        <v>227.99</v>
      </c>
      <c r="T7456">
        <v>6383.65</v>
      </c>
      <c r="U7456" t="s">
        <v>1926</v>
      </c>
      <c r="V7456" t="s">
        <v>9408</v>
      </c>
      <c r="W7456" t="s">
        <v>423</v>
      </c>
    </row>
    <row r="7457" spans="1:23" hidden="1" x14ac:dyDescent="0.2">
      <c r="A7457">
        <v>2012</v>
      </c>
      <c r="B7457" t="s">
        <v>303</v>
      </c>
      <c r="C7457" s="733">
        <v>40924</v>
      </c>
      <c r="D745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57" t="s">
        <v>505</v>
      </c>
      <c r="F7457" t="s">
        <v>1915</v>
      </c>
      <c r="G7457" t="s">
        <v>7406</v>
      </c>
      <c r="H7457">
        <v>22010</v>
      </c>
      <c r="I7457" t="s">
        <v>423</v>
      </c>
      <c r="J7457" t="s">
        <v>4158</v>
      </c>
      <c r="K7457" t="s">
        <v>1918</v>
      </c>
      <c r="L7457" t="s">
        <v>1919</v>
      </c>
      <c r="M7457">
        <v>274</v>
      </c>
      <c r="N7457">
        <v>53.87</v>
      </c>
      <c r="O7457">
        <v>14873.51</v>
      </c>
      <c r="P7457">
        <v>0</v>
      </c>
      <c r="Q7457">
        <v>14873.51</v>
      </c>
      <c r="R7457">
        <v>2379.7600000000002</v>
      </c>
      <c r="S7457">
        <v>594.94000000000005</v>
      </c>
      <c r="T7457">
        <v>16658.330000000002</v>
      </c>
      <c r="U7457" t="s">
        <v>1936</v>
      </c>
      <c r="V7457" t="s">
        <v>9409</v>
      </c>
      <c r="W7457" t="s">
        <v>423</v>
      </c>
    </row>
    <row r="7458" spans="1:23" hidden="1" x14ac:dyDescent="0.2">
      <c r="A7458">
        <v>2012</v>
      </c>
      <c r="B7458" t="s">
        <v>304</v>
      </c>
      <c r="C7458" s="733">
        <v>40953</v>
      </c>
      <c r="D745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58" t="s">
        <v>485</v>
      </c>
      <c r="F7458" t="s">
        <v>2065</v>
      </c>
      <c r="G7458" t="s">
        <v>2241</v>
      </c>
      <c r="H7458">
        <v>41871</v>
      </c>
      <c r="I7458" t="s">
        <v>423</v>
      </c>
      <c r="J7458" t="s">
        <v>2050</v>
      </c>
      <c r="K7458" t="s">
        <v>2051</v>
      </c>
      <c r="L7458" t="s">
        <v>2052</v>
      </c>
      <c r="M7458">
        <v>90</v>
      </c>
      <c r="N7458">
        <v>50.35</v>
      </c>
      <c r="O7458">
        <v>7064.61</v>
      </c>
      <c r="P7458">
        <v>0</v>
      </c>
      <c r="Q7458">
        <v>7064.61</v>
      </c>
      <c r="R7458">
        <v>1130.3399999999999</v>
      </c>
      <c r="S7458">
        <v>282.58</v>
      </c>
      <c r="T7458">
        <v>7912.37</v>
      </c>
      <c r="U7458" t="s">
        <v>7568</v>
      </c>
      <c r="V7458" t="s">
        <v>9409</v>
      </c>
      <c r="W7458" t="s">
        <v>423</v>
      </c>
    </row>
    <row r="7459" spans="1:23" hidden="1" x14ac:dyDescent="0.2">
      <c r="A7459">
        <v>2012</v>
      </c>
      <c r="B7459" t="s">
        <v>304</v>
      </c>
      <c r="C7459" s="733">
        <v>40960</v>
      </c>
      <c r="D745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59" t="s">
        <v>485</v>
      </c>
      <c r="F7459" t="s">
        <v>2065</v>
      </c>
      <c r="G7459" t="s">
        <v>8249</v>
      </c>
      <c r="H7459">
        <v>42284</v>
      </c>
      <c r="I7459" t="s">
        <v>423</v>
      </c>
      <c r="J7459" t="s">
        <v>2050</v>
      </c>
      <c r="K7459" t="s">
        <v>2051</v>
      </c>
      <c r="L7459" t="s">
        <v>2052</v>
      </c>
      <c r="M7459">
        <v>90</v>
      </c>
      <c r="N7459">
        <v>23.95</v>
      </c>
      <c r="O7459">
        <v>3360.42</v>
      </c>
      <c r="P7459">
        <v>0</v>
      </c>
      <c r="Q7459">
        <v>3360.42</v>
      </c>
      <c r="R7459">
        <v>537.66999999999996</v>
      </c>
      <c r="S7459">
        <v>134.41999999999999</v>
      </c>
      <c r="T7459">
        <v>3763.67</v>
      </c>
      <c r="U7459" t="s">
        <v>8780</v>
      </c>
      <c r="V7459" t="s">
        <v>9408</v>
      </c>
      <c r="W7459" t="s">
        <v>423</v>
      </c>
    </row>
    <row r="7460" spans="1:23" hidden="1" x14ac:dyDescent="0.2">
      <c r="A7460">
        <v>2012</v>
      </c>
      <c r="B7460" t="s">
        <v>304</v>
      </c>
      <c r="C7460" s="733">
        <v>40952</v>
      </c>
      <c r="D746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60" t="s">
        <v>485</v>
      </c>
      <c r="F7460" t="s">
        <v>2048</v>
      </c>
      <c r="G7460" t="s">
        <v>2223</v>
      </c>
      <c r="H7460">
        <v>41847</v>
      </c>
      <c r="I7460" t="s">
        <v>423</v>
      </c>
      <c r="J7460" t="s">
        <v>2050</v>
      </c>
      <c r="K7460" t="s">
        <v>2051</v>
      </c>
      <c r="L7460" t="s">
        <v>2052</v>
      </c>
      <c r="M7460">
        <v>90</v>
      </c>
      <c r="N7460">
        <v>30</v>
      </c>
      <c r="O7460">
        <v>4209.3</v>
      </c>
      <c r="P7460">
        <v>0</v>
      </c>
      <c r="Q7460">
        <v>4209.3</v>
      </c>
      <c r="R7460">
        <v>673.49</v>
      </c>
      <c r="S7460">
        <v>168.37</v>
      </c>
      <c r="T7460">
        <v>4714.42</v>
      </c>
      <c r="U7460" t="s">
        <v>7568</v>
      </c>
      <c r="V7460" t="s">
        <v>9408</v>
      </c>
      <c r="W7460" t="s">
        <v>423</v>
      </c>
    </row>
    <row r="7461" spans="1:23" hidden="1" x14ac:dyDescent="0.2">
      <c r="A7461">
        <v>2012</v>
      </c>
      <c r="B7461" t="s">
        <v>303</v>
      </c>
      <c r="C7461" s="733">
        <v>40927.633217592593</v>
      </c>
      <c r="D746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61" t="s">
        <v>485</v>
      </c>
      <c r="F7461" t="s">
        <v>2054</v>
      </c>
      <c r="G7461" t="s">
        <v>7364</v>
      </c>
      <c r="H7461">
        <v>10127</v>
      </c>
      <c r="I7461" t="s">
        <v>423</v>
      </c>
      <c r="J7461" t="s">
        <v>4545</v>
      </c>
      <c r="K7461" t="s">
        <v>2057</v>
      </c>
      <c r="L7461" t="s">
        <v>2058</v>
      </c>
      <c r="M7461">
        <v>144</v>
      </c>
      <c r="N7461">
        <v>23.72</v>
      </c>
      <c r="O7461">
        <v>3792.59</v>
      </c>
      <c r="P7461">
        <v>0</v>
      </c>
      <c r="Q7461">
        <v>3792.59</v>
      </c>
      <c r="R7461">
        <v>606.80999999999995</v>
      </c>
      <c r="S7461">
        <v>151.69999999999999</v>
      </c>
      <c r="T7461">
        <v>4247.7</v>
      </c>
      <c r="U7461" t="s">
        <v>2077</v>
      </c>
      <c r="V7461" t="s">
        <v>9408</v>
      </c>
      <c r="W7461" t="s">
        <v>423</v>
      </c>
    </row>
    <row r="7462" spans="1:23" hidden="1" x14ac:dyDescent="0.2">
      <c r="A7462">
        <v>2012</v>
      </c>
      <c r="B7462" t="s">
        <v>304</v>
      </c>
      <c r="C7462" s="733">
        <v>40948</v>
      </c>
      <c r="D746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62" t="s">
        <v>485</v>
      </c>
      <c r="F7462" t="s">
        <v>2065</v>
      </c>
      <c r="G7462" t="s">
        <v>2450</v>
      </c>
      <c r="H7462">
        <v>41644</v>
      </c>
      <c r="I7462" t="s">
        <v>423</v>
      </c>
      <c r="J7462" t="s">
        <v>2171</v>
      </c>
      <c r="K7462" t="s">
        <v>2051</v>
      </c>
      <c r="L7462" t="s">
        <v>2052</v>
      </c>
      <c r="M7462">
        <v>57</v>
      </c>
      <c r="N7462">
        <v>27</v>
      </c>
      <c r="O7462">
        <v>3788.37</v>
      </c>
      <c r="P7462">
        <v>0</v>
      </c>
      <c r="Q7462">
        <v>3788.37</v>
      </c>
      <c r="R7462">
        <v>606.14</v>
      </c>
      <c r="S7462">
        <v>151.53</v>
      </c>
      <c r="T7462">
        <v>4242.9799999999996</v>
      </c>
      <c r="U7462" t="s">
        <v>7568</v>
      </c>
      <c r="V7462" t="s">
        <v>9408</v>
      </c>
      <c r="W7462" t="s">
        <v>423</v>
      </c>
    </row>
    <row r="7463" spans="1:23" hidden="1" x14ac:dyDescent="0.2">
      <c r="A7463">
        <v>2012</v>
      </c>
      <c r="B7463" t="s">
        <v>303</v>
      </c>
      <c r="C7463" s="733">
        <v>40935</v>
      </c>
      <c r="D746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63" t="s">
        <v>485</v>
      </c>
      <c r="F7463" t="s">
        <v>2048</v>
      </c>
      <c r="G7463" t="s">
        <v>2449</v>
      </c>
      <c r="H7463">
        <v>40996</v>
      </c>
      <c r="I7463" t="s">
        <v>423</v>
      </c>
      <c r="J7463" t="s">
        <v>2171</v>
      </c>
      <c r="K7463" t="s">
        <v>2051</v>
      </c>
      <c r="L7463" t="s">
        <v>2052</v>
      </c>
      <c r="M7463">
        <v>57</v>
      </c>
      <c r="N7463">
        <v>29.1</v>
      </c>
      <c r="O7463">
        <v>4083.02</v>
      </c>
      <c r="P7463">
        <v>0</v>
      </c>
      <c r="Q7463">
        <v>4083.02</v>
      </c>
      <c r="R7463">
        <v>653.28</v>
      </c>
      <c r="S7463">
        <v>163.32</v>
      </c>
      <c r="T7463">
        <v>4572.9799999999996</v>
      </c>
      <c r="U7463" t="s">
        <v>2053</v>
      </c>
      <c r="V7463" t="s">
        <v>9408</v>
      </c>
      <c r="W7463" t="s">
        <v>423</v>
      </c>
    </row>
    <row r="7464" spans="1:23" x14ac:dyDescent="0.2">
      <c r="A7464">
        <v>2012</v>
      </c>
      <c r="B7464" t="s">
        <v>304</v>
      </c>
      <c r="C7464" s="733">
        <v>40968</v>
      </c>
      <c r="D7464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64" t="s">
        <v>485</v>
      </c>
      <c r="F7464" t="s">
        <v>2065</v>
      </c>
      <c r="G7464" t="s">
        <v>9421</v>
      </c>
      <c r="H7464">
        <v>42861</v>
      </c>
      <c r="I7464" t="s">
        <v>423</v>
      </c>
      <c r="J7464" t="s">
        <v>2050</v>
      </c>
      <c r="K7464" t="s">
        <v>2051</v>
      </c>
      <c r="L7464" t="s">
        <v>2052</v>
      </c>
      <c r="M7464">
        <v>90</v>
      </c>
      <c r="N7464">
        <v>55.2</v>
      </c>
      <c r="O7464">
        <v>7745.11</v>
      </c>
      <c r="P7464">
        <v>0</v>
      </c>
      <c r="Q7464">
        <v>7745.11</v>
      </c>
      <c r="R7464">
        <v>1239.22</v>
      </c>
      <c r="S7464">
        <v>309.8</v>
      </c>
      <c r="T7464">
        <v>8674.5300000000007</v>
      </c>
      <c r="V7464" t="s">
        <v>9409</v>
      </c>
      <c r="W7464" t="s">
        <v>423</v>
      </c>
    </row>
    <row r="7465" spans="1:23" hidden="1" x14ac:dyDescent="0.2">
      <c r="A7465">
        <v>2012</v>
      </c>
      <c r="B7465" t="s">
        <v>303</v>
      </c>
      <c r="C7465" s="733">
        <v>40932</v>
      </c>
      <c r="D746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65" t="s">
        <v>485</v>
      </c>
      <c r="F7465" t="s">
        <v>2048</v>
      </c>
      <c r="G7465" t="s">
        <v>2231</v>
      </c>
      <c r="H7465">
        <v>39995</v>
      </c>
      <c r="I7465" t="s">
        <v>423</v>
      </c>
      <c r="J7465" t="s">
        <v>2050</v>
      </c>
      <c r="K7465" t="s">
        <v>2051</v>
      </c>
      <c r="L7465" t="s">
        <v>2052</v>
      </c>
      <c r="M7465">
        <v>90</v>
      </c>
      <c r="N7465">
        <v>51.45</v>
      </c>
      <c r="O7465">
        <v>7218.95</v>
      </c>
      <c r="P7465">
        <v>0</v>
      </c>
      <c r="Q7465">
        <v>7218.95</v>
      </c>
      <c r="R7465">
        <v>1155.03</v>
      </c>
      <c r="S7465">
        <v>288.76</v>
      </c>
      <c r="T7465">
        <v>8085.22</v>
      </c>
      <c r="U7465" t="s">
        <v>2053</v>
      </c>
      <c r="V7465" t="s">
        <v>9409</v>
      </c>
      <c r="W7465" t="s">
        <v>423</v>
      </c>
    </row>
    <row r="7466" spans="1:23" hidden="1" x14ac:dyDescent="0.2">
      <c r="A7466">
        <v>2012</v>
      </c>
      <c r="B7466" t="s">
        <v>304</v>
      </c>
      <c r="C7466" s="733">
        <v>40959</v>
      </c>
      <c r="D746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66" t="s">
        <v>505</v>
      </c>
      <c r="F7466" t="s">
        <v>1915</v>
      </c>
      <c r="G7466" t="s">
        <v>7940</v>
      </c>
      <c r="H7466">
        <v>22825</v>
      </c>
      <c r="I7466" t="s">
        <v>423</v>
      </c>
      <c r="J7466" t="s">
        <v>5504</v>
      </c>
      <c r="K7466" t="s">
        <v>1918</v>
      </c>
      <c r="L7466" t="s">
        <v>1919</v>
      </c>
      <c r="M7466">
        <v>1115</v>
      </c>
      <c r="N7466">
        <v>26.14</v>
      </c>
      <c r="O7466">
        <v>19287.919999999998</v>
      </c>
      <c r="P7466">
        <v>0</v>
      </c>
      <c r="Q7466">
        <v>19287.919999999998</v>
      </c>
      <c r="R7466">
        <v>3086.07</v>
      </c>
      <c r="S7466">
        <v>771.52</v>
      </c>
      <c r="T7466">
        <v>21602.47</v>
      </c>
      <c r="U7466" t="s">
        <v>8491</v>
      </c>
      <c r="V7466" t="s">
        <v>9408</v>
      </c>
      <c r="W7466" t="s">
        <v>423</v>
      </c>
    </row>
    <row r="7467" spans="1:23" hidden="1" x14ac:dyDescent="0.2">
      <c r="A7467">
        <v>2012</v>
      </c>
      <c r="B7467" t="s">
        <v>303</v>
      </c>
      <c r="C7467" s="733">
        <v>40934</v>
      </c>
      <c r="D7467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67" t="s">
        <v>505</v>
      </c>
      <c r="F7467" t="s">
        <v>1915</v>
      </c>
      <c r="G7467" t="s">
        <v>7408</v>
      </c>
      <c r="H7467">
        <v>22241</v>
      </c>
      <c r="I7467" t="s">
        <v>423</v>
      </c>
      <c r="J7467" t="s">
        <v>5504</v>
      </c>
      <c r="K7467" t="s">
        <v>1918</v>
      </c>
      <c r="L7467" t="s">
        <v>1919</v>
      </c>
      <c r="M7467">
        <v>1115</v>
      </c>
      <c r="N7467">
        <v>25.85</v>
      </c>
      <c r="O7467">
        <v>19073.939999999999</v>
      </c>
      <c r="P7467">
        <v>0</v>
      </c>
      <c r="Q7467">
        <v>19073.939999999999</v>
      </c>
      <c r="R7467">
        <v>3051.83</v>
      </c>
      <c r="S7467">
        <v>762.96</v>
      </c>
      <c r="T7467">
        <v>21362.81</v>
      </c>
      <c r="U7467" t="s">
        <v>1926</v>
      </c>
      <c r="V7467" t="s">
        <v>9408</v>
      </c>
      <c r="W7467" t="s">
        <v>423</v>
      </c>
    </row>
    <row r="7468" spans="1:23" hidden="1" x14ac:dyDescent="0.2">
      <c r="A7468">
        <v>2012</v>
      </c>
      <c r="B7468" t="s">
        <v>304</v>
      </c>
      <c r="C7468" s="733">
        <v>40962</v>
      </c>
      <c r="D746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68" t="s">
        <v>505</v>
      </c>
      <c r="F7468" t="s">
        <v>1915</v>
      </c>
      <c r="G7468" t="s">
        <v>8633</v>
      </c>
      <c r="H7468">
        <v>22947</v>
      </c>
      <c r="I7468" t="s">
        <v>424</v>
      </c>
      <c r="J7468" t="s">
        <v>6461</v>
      </c>
      <c r="K7468" t="s">
        <v>1918</v>
      </c>
      <c r="L7468" t="s">
        <v>1919</v>
      </c>
      <c r="M7468">
        <v>433</v>
      </c>
      <c r="N7468">
        <v>30</v>
      </c>
      <c r="O7468">
        <v>4155.6899999999996</v>
      </c>
      <c r="P7468">
        <v>2388.23</v>
      </c>
      <c r="Q7468">
        <v>6543.92</v>
      </c>
      <c r="R7468">
        <v>1047.03</v>
      </c>
      <c r="S7468">
        <v>261.76</v>
      </c>
      <c r="T7468">
        <v>7329.19</v>
      </c>
      <c r="U7468" t="s">
        <v>8778</v>
      </c>
      <c r="V7468" t="s">
        <v>9408</v>
      </c>
      <c r="W7468" t="s">
        <v>424</v>
      </c>
    </row>
    <row r="7469" spans="1:23" hidden="1" x14ac:dyDescent="0.2">
      <c r="A7469">
        <v>2012</v>
      </c>
      <c r="B7469" t="s">
        <v>304</v>
      </c>
      <c r="C7469" s="733">
        <v>40948</v>
      </c>
      <c r="D7469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69" t="s">
        <v>505</v>
      </c>
      <c r="F7469" t="s">
        <v>1915</v>
      </c>
      <c r="G7469" t="s">
        <v>7409</v>
      </c>
      <c r="H7469">
        <v>22536</v>
      </c>
      <c r="I7469" t="s">
        <v>423</v>
      </c>
      <c r="J7469" t="s">
        <v>5504</v>
      </c>
      <c r="K7469" t="s">
        <v>1918</v>
      </c>
      <c r="L7469" t="s">
        <v>1919</v>
      </c>
      <c r="M7469">
        <v>1115</v>
      </c>
      <c r="N7469">
        <v>25.64</v>
      </c>
      <c r="O7469">
        <v>18918.990000000002</v>
      </c>
      <c r="P7469">
        <v>0</v>
      </c>
      <c r="Q7469">
        <v>18918.990000000002</v>
      </c>
      <c r="R7469">
        <v>3027.04</v>
      </c>
      <c r="S7469">
        <v>756.76</v>
      </c>
      <c r="T7469">
        <v>21189.27</v>
      </c>
      <c r="U7469" t="s">
        <v>1924</v>
      </c>
      <c r="V7469" t="s">
        <v>9408</v>
      </c>
      <c r="W7469" t="s">
        <v>423</v>
      </c>
    </row>
    <row r="7470" spans="1:23" hidden="1" x14ac:dyDescent="0.2">
      <c r="A7470">
        <v>2012</v>
      </c>
      <c r="B7470" t="s">
        <v>304</v>
      </c>
      <c r="C7470" s="733">
        <v>40967.40483796296</v>
      </c>
      <c r="D7470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70" t="s">
        <v>478</v>
      </c>
      <c r="F7470" t="s">
        <v>2136</v>
      </c>
      <c r="G7470" t="s">
        <v>9362</v>
      </c>
      <c r="H7470">
        <v>36130</v>
      </c>
      <c r="I7470" t="s">
        <v>423</v>
      </c>
      <c r="J7470" t="s">
        <v>2662</v>
      </c>
      <c r="K7470" t="s">
        <v>2625</v>
      </c>
      <c r="L7470" t="s">
        <v>2626</v>
      </c>
      <c r="M7470">
        <v>66</v>
      </c>
      <c r="N7470">
        <v>26.04</v>
      </c>
      <c r="O7470">
        <v>3065.69</v>
      </c>
      <c r="P7470">
        <v>0</v>
      </c>
      <c r="Q7470">
        <v>3065.69</v>
      </c>
      <c r="R7470">
        <v>490.51</v>
      </c>
      <c r="S7470">
        <v>122.63</v>
      </c>
      <c r="T7470">
        <v>3433.57</v>
      </c>
      <c r="U7470" t="s">
        <v>9428</v>
      </c>
      <c r="V7470" t="s">
        <v>9408</v>
      </c>
      <c r="W7470" t="s">
        <v>423</v>
      </c>
    </row>
    <row r="7471" spans="1:23" hidden="1" x14ac:dyDescent="0.2">
      <c r="A7471">
        <v>2012</v>
      </c>
      <c r="B7471" t="s">
        <v>304</v>
      </c>
      <c r="C7471" s="733">
        <v>40963</v>
      </c>
      <c r="D747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71" t="s">
        <v>478</v>
      </c>
      <c r="F7471" t="s">
        <v>2622</v>
      </c>
      <c r="G7471" t="s">
        <v>9361</v>
      </c>
      <c r="H7471">
        <v>35892</v>
      </c>
      <c r="I7471" t="s">
        <v>423</v>
      </c>
      <c r="J7471" t="s">
        <v>2662</v>
      </c>
      <c r="K7471" t="s">
        <v>2625</v>
      </c>
      <c r="L7471" t="s">
        <v>2626</v>
      </c>
      <c r="M7471">
        <v>66</v>
      </c>
      <c r="N7471">
        <v>22.97</v>
      </c>
      <c r="O7471">
        <v>2704.26</v>
      </c>
      <c r="P7471">
        <v>0</v>
      </c>
      <c r="Q7471">
        <v>2704.26</v>
      </c>
      <c r="R7471">
        <v>432.68</v>
      </c>
      <c r="S7471">
        <v>108.17</v>
      </c>
      <c r="T7471">
        <v>3028.77</v>
      </c>
      <c r="U7471" t="s">
        <v>9428</v>
      </c>
      <c r="V7471" t="s">
        <v>9408</v>
      </c>
      <c r="W7471" t="s">
        <v>423</v>
      </c>
    </row>
    <row r="7472" spans="1:23" hidden="1" x14ac:dyDescent="0.2">
      <c r="A7472">
        <v>2012</v>
      </c>
      <c r="B7472" t="s">
        <v>303</v>
      </c>
      <c r="C7472" s="733">
        <v>40938</v>
      </c>
      <c r="D7472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72" t="s">
        <v>478</v>
      </c>
      <c r="F7472" t="s">
        <v>2622</v>
      </c>
      <c r="G7472" t="s">
        <v>7321</v>
      </c>
      <c r="H7472">
        <v>35052</v>
      </c>
      <c r="I7472" t="s">
        <v>423</v>
      </c>
      <c r="J7472" t="s">
        <v>2662</v>
      </c>
      <c r="K7472" t="s">
        <v>2625</v>
      </c>
      <c r="L7472" t="s">
        <v>2626</v>
      </c>
      <c r="M7472">
        <v>66</v>
      </c>
      <c r="N7472">
        <v>22.54</v>
      </c>
      <c r="O7472">
        <v>2653.63</v>
      </c>
      <c r="P7472">
        <v>0</v>
      </c>
      <c r="Q7472">
        <v>2653.63</v>
      </c>
      <c r="R7472">
        <v>424.58</v>
      </c>
      <c r="S7472">
        <v>106.15</v>
      </c>
      <c r="T7472">
        <v>2972.06</v>
      </c>
      <c r="U7472" t="s">
        <v>2630</v>
      </c>
      <c r="V7472" t="s">
        <v>9408</v>
      </c>
      <c r="W7472" t="s">
        <v>423</v>
      </c>
    </row>
    <row r="7473" spans="1:23" x14ac:dyDescent="0.2">
      <c r="A7473">
        <v>2012</v>
      </c>
      <c r="B7473" t="s">
        <v>304</v>
      </c>
      <c r="C7473" s="733">
        <v>40967.566874999997</v>
      </c>
      <c r="D747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73" t="s">
        <v>485</v>
      </c>
      <c r="F7473" t="s">
        <v>2054</v>
      </c>
      <c r="G7473" t="s">
        <v>9377</v>
      </c>
      <c r="H7473">
        <v>10605</v>
      </c>
      <c r="I7473" t="s">
        <v>423</v>
      </c>
      <c r="J7473" t="s">
        <v>4078</v>
      </c>
      <c r="K7473" t="s">
        <v>2057</v>
      </c>
      <c r="L7473" t="s">
        <v>2058</v>
      </c>
      <c r="M7473">
        <v>154</v>
      </c>
      <c r="N7473">
        <v>22.73</v>
      </c>
      <c r="O7473">
        <v>3830.46</v>
      </c>
      <c r="P7473">
        <v>0</v>
      </c>
      <c r="Q7473">
        <v>3830.46</v>
      </c>
      <c r="R7473">
        <v>421.35</v>
      </c>
      <c r="S7473">
        <v>153.22</v>
      </c>
      <c r="T7473">
        <v>4098.59</v>
      </c>
      <c r="V7473" t="s">
        <v>9408</v>
      </c>
      <c r="W7473" t="s">
        <v>423</v>
      </c>
    </row>
    <row r="7474" spans="1:23" hidden="1" x14ac:dyDescent="0.2">
      <c r="A7474">
        <v>2012</v>
      </c>
      <c r="B7474" t="s">
        <v>303</v>
      </c>
      <c r="C7474" s="733">
        <v>40926.769745370373</v>
      </c>
      <c r="D747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74" t="s">
        <v>485</v>
      </c>
      <c r="F7474" t="s">
        <v>2054</v>
      </c>
      <c r="G7474" t="s">
        <v>7370</v>
      </c>
      <c r="H7474">
        <v>10118</v>
      </c>
      <c r="I7474" t="s">
        <v>423</v>
      </c>
      <c r="J7474" t="s">
        <v>4078</v>
      </c>
      <c r="K7474" t="s">
        <v>2057</v>
      </c>
      <c r="L7474" t="s">
        <v>2058</v>
      </c>
      <c r="M7474">
        <v>154</v>
      </c>
      <c r="N7474">
        <v>23.45</v>
      </c>
      <c r="O7474">
        <v>3951.79</v>
      </c>
      <c r="P7474">
        <v>0</v>
      </c>
      <c r="Q7474">
        <v>3951.79</v>
      </c>
      <c r="R7474">
        <v>632.29</v>
      </c>
      <c r="S7474">
        <v>158.07</v>
      </c>
      <c r="T7474">
        <v>4426.01</v>
      </c>
      <c r="U7474" t="s">
        <v>2073</v>
      </c>
      <c r="V7474" t="s">
        <v>9408</v>
      </c>
      <c r="W7474" t="s">
        <v>423</v>
      </c>
    </row>
    <row r="7475" spans="1:23" hidden="1" x14ac:dyDescent="0.2">
      <c r="A7475">
        <v>2012</v>
      </c>
      <c r="B7475" t="s">
        <v>303</v>
      </c>
      <c r="C7475" s="733">
        <v>40924</v>
      </c>
      <c r="D747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75" t="s">
        <v>485</v>
      </c>
      <c r="F7475" t="s">
        <v>2054</v>
      </c>
      <c r="G7475" t="s">
        <v>7369</v>
      </c>
      <c r="H7475">
        <v>10065</v>
      </c>
      <c r="I7475" t="s">
        <v>423</v>
      </c>
      <c r="J7475" t="s">
        <v>4078</v>
      </c>
      <c r="K7475" t="s">
        <v>2057</v>
      </c>
      <c r="L7475" t="s">
        <v>2058</v>
      </c>
      <c r="M7475">
        <v>154</v>
      </c>
      <c r="N7475">
        <v>46.6</v>
      </c>
      <c r="O7475">
        <v>7853.03</v>
      </c>
      <c r="P7475">
        <v>0</v>
      </c>
      <c r="Q7475">
        <v>7853.03</v>
      </c>
      <c r="R7475">
        <v>1256.49</v>
      </c>
      <c r="S7475">
        <v>314.12</v>
      </c>
      <c r="T7475">
        <v>8795.4</v>
      </c>
      <c r="U7475" t="s">
        <v>2059</v>
      </c>
      <c r="V7475" t="s">
        <v>9409</v>
      </c>
      <c r="W7475" t="s">
        <v>423</v>
      </c>
    </row>
    <row r="7476" spans="1:23" hidden="1" x14ac:dyDescent="0.2">
      <c r="A7476">
        <v>2012</v>
      </c>
      <c r="B7476" t="s">
        <v>304</v>
      </c>
      <c r="C7476" s="733">
        <v>40963</v>
      </c>
      <c r="D747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76" t="s">
        <v>478</v>
      </c>
      <c r="F7476" t="s">
        <v>2622</v>
      </c>
      <c r="G7476" t="s">
        <v>9360</v>
      </c>
      <c r="H7476">
        <v>35900</v>
      </c>
      <c r="I7476" t="s">
        <v>423</v>
      </c>
      <c r="J7476" t="s">
        <v>2662</v>
      </c>
      <c r="K7476" t="s">
        <v>2625</v>
      </c>
      <c r="L7476" t="s">
        <v>2626</v>
      </c>
      <c r="M7476">
        <v>66</v>
      </c>
      <c r="N7476">
        <v>23.25</v>
      </c>
      <c r="O7476">
        <v>2737.22</v>
      </c>
      <c r="P7476">
        <v>0</v>
      </c>
      <c r="Q7476">
        <v>2737.22</v>
      </c>
      <c r="R7476">
        <v>437.96</v>
      </c>
      <c r="S7476">
        <v>109.49</v>
      </c>
      <c r="T7476">
        <v>3065.69</v>
      </c>
      <c r="U7476" t="s">
        <v>9428</v>
      </c>
      <c r="V7476" t="s">
        <v>9408</v>
      </c>
      <c r="W7476" t="s">
        <v>423</v>
      </c>
    </row>
    <row r="7477" spans="1:23" hidden="1" x14ac:dyDescent="0.2">
      <c r="A7477">
        <v>2012</v>
      </c>
      <c r="B7477" t="s">
        <v>304</v>
      </c>
      <c r="C7477" s="733">
        <v>40963.407673611109</v>
      </c>
      <c r="D747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77" t="s">
        <v>478</v>
      </c>
      <c r="F7477" t="s">
        <v>2622</v>
      </c>
      <c r="G7477" t="s">
        <v>9359</v>
      </c>
      <c r="H7477">
        <v>35985</v>
      </c>
      <c r="I7477" t="s">
        <v>423</v>
      </c>
      <c r="J7477" t="s">
        <v>2662</v>
      </c>
      <c r="K7477" t="s">
        <v>2625</v>
      </c>
      <c r="L7477" t="s">
        <v>2626</v>
      </c>
      <c r="M7477">
        <v>66</v>
      </c>
      <c r="N7477">
        <v>24.7</v>
      </c>
      <c r="O7477">
        <v>2907.93</v>
      </c>
      <c r="P7477">
        <v>0</v>
      </c>
      <c r="Q7477">
        <v>2907.93</v>
      </c>
      <c r="R7477">
        <v>465.27</v>
      </c>
      <c r="S7477">
        <v>116.32</v>
      </c>
      <c r="T7477">
        <v>3256.88</v>
      </c>
      <c r="U7477" t="s">
        <v>9428</v>
      </c>
      <c r="V7477" t="s">
        <v>9408</v>
      </c>
      <c r="W7477" t="s">
        <v>423</v>
      </c>
    </row>
    <row r="7478" spans="1:23" hidden="1" x14ac:dyDescent="0.2">
      <c r="A7478">
        <v>2012</v>
      </c>
      <c r="B7478" t="s">
        <v>304</v>
      </c>
      <c r="C7478" s="733">
        <v>40966</v>
      </c>
      <c r="D7478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78" t="s">
        <v>485</v>
      </c>
      <c r="F7478" t="s">
        <v>2054</v>
      </c>
      <c r="G7478" t="s">
        <v>9376</v>
      </c>
      <c r="H7478">
        <v>10575</v>
      </c>
      <c r="I7478" t="s">
        <v>423</v>
      </c>
      <c r="J7478" t="s">
        <v>4078</v>
      </c>
      <c r="K7478" t="s">
        <v>2057</v>
      </c>
      <c r="L7478" t="s">
        <v>2058</v>
      </c>
      <c r="M7478">
        <v>154</v>
      </c>
      <c r="N7478">
        <v>47.78</v>
      </c>
      <c r="O7478">
        <v>8051.89</v>
      </c>
      <c r="P7478">
        <v>0</v>
      </c>
      <c r="Q7478">
        <v>8051.89</v>
      </c>
      <c r="R7478">
        <v>885.71</v>
      </c>
      <c r="S7478">
        <v>322.08</v>
      </c>
      <c r="T7478">
        <v>8615.52</v>
      </c>
      <c r="U7478" t="s">
        <v>8864</v>
      </c>
      <c r="V7478" t="s">
        <v>9409</v>
      </c>
      <c r="W7478" t="s">
        <v>423</v>
      </c>
    </row>
    <row r="7479" spans="1:23" hidden="1" x14ac:dyDescent="0.2">
      <c r="A7479">
        <v>2012</v>
      </c>
      <c r="B7479" t="s">
        <v>303</v>
      </c>
      <c r="C7479" s="733">
        <v>40922</v>
      </c>
      <c r="D747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79" t="s">
        <v>505</v>
      </c>
      <c r="F7479" t="s">
        <v>1915</v>
      </c>
      <c r="G7479" t="s">
        <v>2473</v>
      </c>
      <c r="H7479">
        <v>21892</v>
      </c>
      <c r="I7479" t="s">
        <v>1979</v>
      </c>
      <c r="J7479" t="s">
        <v>1980</v>
      </c>
      <c r="K7479" t="s">
        <v>1918</v>
      </c>
      <c r="L7479" t="s">
        <v>1919</v>
      </c>
      <c r="M7479">
        <v>732</v>
      </c>
      <c r="N7479">
        <v>49.85</v>
      </c>
      <c r="O7479">
        <v>21864.21</v>
      </c>
      <c r="P7479">
        <v>0</v>
      </c>
      <c r="Q7479">
        <v>21864.21</v>
      </c>
      <c r="R7479">
        <v>3498.27</v>
      </c>
      <c r="S7479">
        <v>874.57</v>
      </c>
      <c r="T7479">
        <v>24487.91</v>
      </c>
      <c r="U7479" t="s">
        <v>1931</v>
      </c>
      <c r="V7479" t="s">
        <v>9409</v>
      </c>
      <c r="W7479" t="s">
        <v>1979</v>
      </c>
    </row>
    <row r="7480" spans="1:23" hidden="1" x14ac:dyDescent="0.2">
      <c r="A7480">
        <v>2012</v>
      </c>
      <c r="B7480" t="s">
        <v>303</v>
      </c>
      <c r="C7480" s="733">
        <v>40939</v>
      </c>
      <c r="D748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80" t="s">
        <v>505</v>
      </c>
      <c r="F7480" t="s">
        <v>1915</v>
      </c>
      <c r="G7480" t="s">
        <v>7402</v>
      </c>
      <c r="H7480">
        <v>21712</v>
      </c>
      <c r="I7480" t="s">
        <v>423</v>
      </c>
      <c r="J7480" t="s">
        <v>1945</v>
      </c>
      <c r="K7480" t="s">
        <v>1918</v>
      </c>
      <c r="L7480" t="s">
        <v>1919</v>
      </c>
      <c r="M7480">
        <v>949</v>
      </c>
      <c r="N7480">
        <v>53.61</v>
      </c>
      <c r="O7480">
        <v>12987.56</v>
      </c>
      <c r="P7480">
        <v>14622.563928</v>
      </c>
      <c r="Q7480">
        <v>27610.123928000001</v>
      </c>
      <c r="R7480">
        <v>4417.6198290000002</v>
      </c>
      <c r="S7480">
        <v>1104.404957</v>
      </c>
      <c r="T7480">
        <v>30923.338800000001</v>
      </c>
      <c r="U7480" t="s">
        <v>1936</v>
      </c>
      <c r="V7480" t="s">
        <v>9409</v>
      </c>
      <c r="W7480" t="s">
        <v>423</v>
      </c>
    </row>
    <row r="7481" spans="1:23" hidden="1" x14ac:dyDescent="0.2">
      <c r="A7481">
        <v>2012</v>
      </c>
      <c r="B7481" t="s">
        <v>304</v>
      </c>
      <c r="C7481" s="733">
        <v>40953.549687500003</v>
      </c>
      <c r="D7481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81" t="s">
        <v>485</v>
      </c>
      <c r="F7481" t="s">
        <v>2054</v>
      </c>
      <c r="G7481" t="s">
        <v>7382</v>
      </c>
      <c r="H7481">
        <v>10433</v>
      </c>
      <c r="I7481" t="s">
        <v>423</v>
      </c>
      <c r="J7481" t="s">
        <v>4078</v>
      </c>
      <c r="K7481" t="s">
        <v>2057</v>
      </c>
      <c r="L7481" t="s">
        <v>2058</v>
      </c>
      <c r="M7481">
        <v>154</v>
      </c>
      <c r="N7481">
        <v>24.22</v>
      </c>
      <c r="O7481">
        <v>4081.55</v>
      </c>
      <c r="P7481">
        <v>0</v>
      </c>
      <c r="Q7481">
        <v>4081.55</v>
      </c>
      <c r="R7481">
        <v>448.97</v>
      </c>
      <c r="S7481">
        <v>163.26</v>
      </c>
      <c r="T7481">
        <v>4367.26</v>
      </c>
      <c r="U7481" t="s">
        <v>8047</v>
      </c>
      <c r="V7481" t="s">
        <v>9408</v>
      </c>
      <c r="W7481" t="s">
        <v>423</v>
      </c>
    </row>
    <row r="7482" spans="1:23" hidden="1" x14ac:dyDescent="0.2">
      <c r="A7482">
        <v>2012</v>
      </c>
      <c r="B7482" t="s">
        <v>304</v>
      </c>
      <c r="C7482" s="733">
        <v>40941</v>
      </c>
      <c r="D748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82" t="s">
        <v>478</v>
      </c>
      <c r="F7482" t="s">
        <v>2136</v>
      </c>
      <c r="G7482" t="s">
        <v>7450</v>
      </c>
      <c r="H7482">
        <v>35057</v>
      </c>
      <c r="I7482" t="s">
        <v>423</v>
      </c>
      <c r="J7482" t="s">
        <v>3636</v>
      </c>
      <c r="K7482" t="s">
        <v>425</v>
      </c>
      <c r="L7482" t="s">
        <v>2145</v>
      </c>
      <c r="M7482">
        <v>244</v>
      </c>
      <c r="N7482">
        <v>25.65</v>
      </c>
      <c r="O7482">
        <v>4284.0600000000004</v>
      </c>
      <c r="P7482">
        <v>0</v>
      </c>
      <c r="Q7482">
        <v>4284.0600000000004</v>
      </c>
      <c r="R7482">
        <v>685.45</v>
      </c>
      <c r="S7482">
        <v>171.36</v>
      </c>
      <c r="T7482">
        <v>4798.1499999999996</v>
      </c>
      <c r="U7482" t="s">
        <v>2914</v>
      </c>
      <c r="V7482" t="s">
        <v>9408</v>
      </c>
      <c r="W7482" t="s">
        <v>423</v>
      </c>
    </row>
    <row r="7483" spans="1:23" hidden="1" x14ac:dyDescent="0.2">
      <c r="A7483">
        <v>2012</v>
      </c>
      <c r="B7483" t="s">
        <v>304</v>
      </c>
      <c r="C7483" s="733">
        <v>40966</v>
      </c>
      <c r="D7483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83" t="s">
        <v>505</v>
      </c>
      <c r="F7483" t="s">
        <v>1915</v>
      </c>
      <c r="G7483" t="s">
        <v>9378</v>
      </c>
      <c r="H7483">
        <v>23014</v>
      </c>
      <c r="I7483" t="s">
        <v>423</v>
      </c>
      <c r="J7483" t="s">
        <v>1980</v>
      </c>
      <c r="K7483" t="s">
        <v>1918</v>
      </c>
      <c r="L7483" t="s">
        <v>1919</v>
      </c>
      <c r="M7483">
        <v>732</v>
      </c>
      <c r="N7483">
        <v>53.65</v>
      </c>
      <c r="O7483">
        <v>23530.89</v>
      </c>
      <c r="P7483">
        <v>0</v>
      </c>
      <c r="Q7483">
        <v>23530.89</v>
      </c>
      <c r="R7483">
        <v>3764.94</v>
      </c>
      <c r="S7483">
        <v>941.24</v>
      </c>
      <c r="T7483">
        <v>26354.59</v>
      </c>
      <c r="U7483" t="s">
        <v>9415</v>
      </c>
      <c r="V7483" t="s">
        <v>9409</v>
      </c>
      <c r="W7483" t="s">
        <v>423</v>
      </c>
    </row>
    <row r="7484" spans="1:23" hidden="1" x14ac:dyDescent="0.2">
      <c r="A7484">
        <v>2012</v>
      </c>
      <c r="B7484" t="s">
        <v>303</v>
      </c>
      <c r="C7484" s="733">
        <v>40931</v>
      </c>
      <c r="D748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84" t="s">
        <v>505</v>
      </c>
      <c r="F7484" t="s">
        <v>1915</v>
      </c>
      <c r="G7484" t="s">
        <v>7403</v>
      </c>
      <c r="H7484">
        <v>22130</v>
      </c>
      <c r="I7484" t="s">
        <v>1979</v>
      </c>
      <c r="J7484" t="s">
        <v>1980</v>
      </c>
      <c r="K7484" t="s">
        <v>1918</v>
      </c>
      <c r="L7484" t="s">
        <v>1919</v>
      </c>
      <c r="M7484">
        <v>732</v>
      </c>
      <c r="N7484">
        <v>49.82</v>
      </c>
      <c r="O7484">
        <v>21851.05</v>
      </c>
      <c r="P7484">
        <v>0</v>
      </c>
      <c r="Q7484">
        <v>21851.05</v>
      </c>
      <c r="R7484">
        <v>3496.17</v>
      </c>
      <c r="S7484">
        <v>874.04</v>
      </c>
      <c r="T7484">
        <v>24473.18</v>
      </c>
      <c r="U7484" t="s">
        <v>1936</v>
      </c>
      <c r="V7484" t="s">
        <v>9409</v>
      </c>
      <c r="W7484" t="s">
        <v>1979</v>
      </c>
    </row>
    <row r="7485" spans="1:23" hidden="1" x14ac:dyDescent="0.2">
      <c r="A7485">
        <v>2012</v>
      </c>
      <c r="B7485" t="s">
        <v>303</v>
      </c>
      <c r="C7485" s="733">
        <v>40913</v>
      </c>
      <c r="D7485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85" t="s">
        <v>505</v>
      </c>
      <c r="F7485" t="s">
        <v>1915</v>
      </c>
      <c r="G7485" t="s">
        <v>7401</v>
      </c>
      <c r="H7485">
        <v>21462</v>
      </c>
      <c r="I7485" t="s">
        <v>423</v>
      </c>
      <c r="J7485" t="s">
        <v>1943</v>
      </c>
      <c r="K7485" t="s">
        <v>1918</v>
      </c>
      <c r="L7485" t="s">
        <v>1919</v>
      </c>
      <c r="M7485">
        <v>319</v>
      </c>
      <c r="N7485">
        <v>53.52</v>
      </c>
      <c r="O7485">
        <v>27563.759999999998</v>
      </c>
      <c r="P7485">
        <v>0</v>
      </c>
      <c r="Q7485">
        <v>27563.759999999998</v>
      </c>
      <c r="R7485">
        <v>4410.2</v>
      </c>
      <c r="S7485">
        <v>1102.55</v>
      </c>
      <c r="T7485">
        <v>30871.41</v>
      </c>
      <c r="U7485" t="s">
        <v>1984</v>
      </c>
      <c r="V7485" t="s">
        <v>9409</v>
      </c>
      <c r="W7485" t="s">
        <v>423</v>
      </c>
    </row>
    <row r="7486" spans="1:23" hidden="1" x14ac:dyDescent="0.2">
      <c r="A7486">
        <v>2012</v>
      </c>
      <c r="B7486" t="s">
        <v>304</v>
      </c>
      <c r="C7486" s="733">
        <v>40949</v>
      </c>
      <c r="D7486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86" t="s">
        <v>505</v>
      </c>
      <c r="F7486" t="s">
        <v>1915</v>
      </c>
      <c r="G7486" t="s">
        <v>7393</v>
      </c>
      <c r="H7486">
        <v>22596</v>
      </c>
      <c r="I7486" t="s">
        <v>423</v>
      </c>
      <c r="J7486" t="s">
        <v>4140</v>
      </c>
      <c r="K7486" t="s">
        <v>1918</v>
      </c>
      <c r="L7486" t="s">
        <v>1919</v>
      </c>
      <c r="M7486">
        <v>1</v>
      </c>
      <c r="N7486">
        <v>25.01</v>
      </c>
      <c r="O7486">
        <v>2415.4699999999998</v>
      </c>
      <c r="P7486">
        <v>0</v>
      </c>
      <c r="Q7486">
        <v>2415.4699999999998</v>
      </c>
      <c r="R7486">
        <v>386.47</v>
      </c>
      <c r="S7486">
        <v>96.62</v>
      </c>
      <c r="T7486">
        <v>2705.32</v>
      </c>
      <c r="U7486" t="s">
        <v>7522</v>
      </c>
      <c r="V7486" t="s">
        <v>9408</v>
      </c>
      <c r="W7486" t="s">
        <v>423</v>
      </c>
    </row>
    <row r="7487" spans="1:23" hidden="1" x14ac:dyDescent="0.2">
      <c r="A7487">
        <v>2012</v>
      </c>
      <c r="B7487" t="s">
        <v>304</v>
      </c>
      <c r="C7487" s="733">
        <v>40961</v>
      </c>
      <c r="D748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87" t="s">
        <v>505</v>
      </c>
      <c r="F7487" t="s">
        <v>1915</v>
      </c>
      <c r="G7487" t="s">
        <v>8289</v>
      </c>
      <c r="H7487">
        <v>22950</v>
      </c>
      <c r="I7487" t="s">
        <v>423</v>
      </c>
      <c r="J7487" t="s">
        <v>4140</v>
      </c>
      <c r="K7487" t="s">
        <v>1918</v>
      </c>
      <c r="L7487" t="s">
        <v>1919</v>
      </c>
      <c r="M7487">
        <v>1</v>
      </c>
      <c r="N7487">
        <v>25.09</v>
      </c>
      <c r="O7487">
        <v>2423.19</v>
      </c>
      <c r="P7487">
        <v>0</v>
      </c>
      <c r="Q7487">
        <v>2423.19</v>
      </c>
      <c r="R7487">
        <v>387.71</v>
      </c>
      <c r="S7487">
        <v>96.93</v>
      </c>
      <c r="T7487">
        <v>2713.97</v>
      </c>
      <c r="U7487" t="s">
        <v>8491</v>
      </c>
      <c r="V7487" t="s">
        <v>9408</v>
      </c>
      <c r="W7487" t="s">
        <v>423</v>
      </c>
    </row>
    <row r="7488" spans="1:23" hidden="1" x14ac:dyDescent="0.2">
      <c r="A7488">
        <v>2012</v>
      </c>
      <c r="B7488" t="s">
        <v>303</v>
      </c>
      <c r="C7488" s="733">
        <v>40918.778333333335</v>
      </c>
      <c r="D7488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88" t="s">
        <v>478</v>
      </c>
      <c r="F7488" t="s">
        <v>2622</v>
      </c>
      <c r="G7488" t="s">
        <v>7322</v>
      </c>
      <c r="H7488">
        <v>34411</v>
      </c>
      <c r="I7488" t="s">
        <v>423</v>
      </c>
      <c r="J7488" t="s">
        <v>2644</v>
      </c>
      <c r="K7488" t="s">
        <v>2625</v>
      </c>
      <c r="L7488" t="s">
        <v>2626</v>
      </c>
      <c r="M7488">
        <v>52</v>
      </c>
      <c r="N7488">
        <v>25.54</v>
      </c>
      <c r="O7488">
        <v>3006.82</v>
      </c>
      <c r="P7488">
        <v>0</v>
      </c>
      <c r="Q7488">
        <v>3006.82</v>
      </c>
      <c r="R7488">
        <v>481.09</v>
      </c>
      <c r="S7488">
        <v>120.27</v>
      </c>
      <c r="T7488">
        <v>3367.64</v>
      </c>
      <c r="U7488" t="s">
        <v>2627</v>
      </c>
      <c r="V7488" t="s">
        <v>9408</v>
      </c>
      <c r="W7488" t="s">
        <v>423</v>
      </c>
    </row>
    <row r="7489" spans="1:23" hidden="1" x14ac:dyDescent="0.2">
      <c r="A7489">
        <v>2012</v>
      </c>
      <c r="B7489" t="s">
        <v>303</v>
      </c>
      <c r="C7489" s="733">
        <v>40935</v>
      </c>
      <c r="D7489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89" t="s">
        <v>505</v>
      </c>
      <c r="F7489" t="s">
        <v>1915</v>
      </c>
      <c r="G7489" t="s">
        <v>7413</v>
      </c>
      <c r="H7489">
        <v>22307</v>
      </c>
      <c r="I7489" t="s">
        <v>423</v>
      </c>
      <c r="J7489" t="s">
        <v>5285</v>
      </c>
      <c r="K7489" t="s">
        <v>1918</v>
      </c>
      <c r="L7489" t="s">
        <v>1919</v>
      </c>
      <c r="M7489">
        <v>433</v>
      </c>
      <c r="N7489">
        <v>25.26</v>
      </c>
      <c r="O7489">
        <v>7981.65</v>
      </c>
      <c r="P7489">
        <v>0</v>
      </c>
      <c r="Q7489">
        <v>7981.65</v>
      </c>
      <c r="R7489">
        <v>1277.06</v>
      </c>
      <c r="S7489">
        <v>319.27</v>
      </c>
      <c r="T7489">
        <v>8939.44</v>
      </c>
      <c r="U7489" t="s">
        <v>1926</v>
      </c>
      <c r="V7489" t="s">
        <v>9408</v>
      </c>
      <c r="W7489" t="s">
        <v>423</v>
      </c>
    </row>
    <row r="7490" spans="1:23" hidden="1" x14ac:dyDescent="0.2">
      <c r="A7490">
        <v>2012</v>
      </c>
      <c r="B7490" t="s">
        <v>303</v>
      </c>
      <c r="C7490" s="733">
        <v>40915</v>
      </c>
      <c r="D7490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90" t="s">
        <v>505</v>
      </c>
      <c r="F7490" t="s">
        <v>1915</v>
      </c>
      <c r="G7490" t="s">
        <v>7391</v>
      </c>
      <c r="H7490">
        <v>21767</v>
      </c>
      <c r="I7490" t="s">
        <v>423</v>
      </c>
      <c r="J7490" t="s">
        <v>4140</v>
      </c>
      <c r="K7490" t="s">
        <v>1918</v>
      </c>
      <c r="L7490" t="s">
        <v>1919</v>
      </c>
      <c r="M7490">
        <v>1</v>
      </c>
      <c r="N7490">
        <v>25.25</v>
      </c>
      <c r="O7490">
        <v>2438.64</v>
      </c>
      <c r="P7490">
        <v>0</v>
      </c>
      <c r="Q7490">
        <v>2438.64</v>
      </c>
      <c r="R7490">
        <v>390.18</v>
      </c>
      <c r="S7490">
        <v>97.55</v>
      </c>
      <c r="T7490">
        <v>2731.27</v>
      </c>
      <c r="U7490" t="s">
        <v>1920</v>
      </c>
      <c r="V7490" t="s">
        <v>9408</v>
      </c>
      <c r="W7490" t="s">
        <v>423</v>
      </c>
    </row>
    <row r="7491" spans="1:23" hidden="1" x14ac:dyDescent="0.2">
      <c r="A7491">
        <v>2012</v>
      </c>
      <c r="B7491" t="s">
        <v>303</v>
      </c>
      <c r="C7491" s="733">
        <v>40935</v>
      </c>
      <c r="D7491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91" t="s">
        <v>485</v>
      </c>
      <c r="F7491" t="s">
        <v>2048</v>
      </c>
      <c r="G7491" t="s">
        <v>7376</v>
      </c>
      <c r="H7491">
        <v>40993</v>
      </c>
      <c r="I7491" t="s">
        <v>423</v>
      </c>
      <c r="J7491" t="s">
        <v>2274</v>
      </c>
      <c r="K7491" t="s">
        <v>2051</v>
      </c>
      <c r="L7491" t="s">
        <v>2052</v>
      </c>
      <c r="M7491">
        <v>573</v>
      </c>
      <c r="N7491">
        <v>24.3</v>
      </c>
      <c r="O7491">
        <v>7885.35</v>
      </c>
      <c r="P7491">
        <v>0</v>
      </c>
      <c r="Q7491">
        <v>7885.35</v>
      </c>
      <c r="R7491">
        <v>1261.6600000000001</v>
      </c>
      <c r="S7491">
        <v>315.41000000000003</v>
      </c>
      <c r="T7491">
        <v>8831.6</v>
      </c>
      <c r="U7491" t="s">
        <v>2053</v>
      </c>
      <c r="V7491" t="s">
        <v>9408</v>
      </c>
      <c r="W7491" t="s">
        <v>423</v>
      </c>
    </row>
    <row r="7492" spans="1:23" hidden="1" x14ac:dyDescent="0.2">
      <c r="A7492">
        <v>2012</v>
      </c>
      <c r="B7492" t="s">
        <v>304</v>
      </c>
      <c r="C7492" s="733">
        <v>40946</v>
      </c>
      <c r="D7492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92" t="s">
        <v>485</v>
      </c>
      <c r="F7492" t="s">
        <v>2048</v>
      </c>
      <c r="G7492" t="s">
        <v>2451</v>
      </c>
      <c r="H7492">
        <v>41514</v>
      </c>
      <c r="I7492" t="s">
        <v>423</v>
      </c>
      <c r="J7492" t="s">
        <v>2274</v>
      </c>
      <c r="K7492" t="s">
        <v>2051</v>
      </c>
      <c r="L7492" t="s">
        <v>2052</v>
      </c>
      <c r="M7492">
        <v>573</v>
      </c>
      <c r="N7492">
        <v>24.65</v>
      </c>
      <c r="O7492">
        <v>7998.92</v>
      </c>
      <c r="P7492">
        <v>0</v>
      </c>
      <c r="Q7492">
        <v>7998.92</v>
      </c>
      <c r="R7492">
        <v>1279.83</v>
      </c>
      <c r="S7492">
        <v>319.95999999999998</v>
      </c>
      <c r="T7492">
        <v>8958.7900000000009</v>
      </c>
      <c r="U7492" t="s">
        <v>7568</v>
      </c>
      <c r="V7492" t="s">
        <v>9408</v>
      </c>
      <c r="W7492" t="s">
        <v>423</v>
      </c>
    </row>
    <row r="7493" spans="1:23" hidden="1" x14ac:dyDescent="0.2">
      <c r="A7493">
        <v>2012</v>
      </c>
      <c r="B7493" t="s">
        <v>303</v>
      </c>
      <c r="C7493" s="733">
        <v>40935</v>
      </c>
      <c r="D7493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93" t="s">
        <v>485</v>
      </c>
      <c r="F7493" t="s">
        <v>2048</v>
      </c>
      <c r="G7493" t="s">
        <v>7353</v>
      </c>
      <c r="H7493">
        <v>41003</v>
      </c>
      <c r="I7493" t="s">
        <v>423</v>
      </c>
      <c r="J7493" t="s">
        <v>2274</v>
      </c>
      <c r="K7493" t="s">
        <v>2051</v>
      </c>
      <c r="L7493" t="s">
        <v>2052</v>
      </c>
      <c r="M7493">
        <v>573</v>
      </c>
      <c r="N7493">
        <v>25.4</v>
      </c>
      <c r="O7493">
        <v>8242.2999999999993</v>
      </c>
      <c r="P7493">
        <v>0</v>
      </c>
      <c r="Q7493">
        <v>8242.2999999999993</v>
      </c>
      <c r="R7493">
        <v>1318.77</v>
      </c>
      <c r="S7493">
        <v>329.69</v>
      </c>
      <c r="T7493">
        <v>9231.3799999999992</v>
      </c>
      <c r="U7493" t="s">
        <v>2053</v>
      </c>
      <c r="V7493" t="s">
        <v>9408</v>
      </c>
      <c r="W7493" t="s">
        <v>423</v>
      </c>
    </row>
    <row r="7494" spans="1:23" hidden="1" x14ac:dyDescent="0.2">
      <c r="A7494">
        <v>2012</v>
      </c>
      <c r="B7494" t="s">
        <v>303</v>
      </c>
      <c r="C7494" s="733">
        <v>40928</v>
      </c>
      <c r="D7494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94" t="s">
        <v>485</v>
      </c>
      <c r="F7494" t="s">
        <v>2048</v>
      </c>
      <c r="G7494" t="s">
        <v>7354</v>
      </c>
      <c r="H7494">
        <v>40650</v>
      </c>
      <c r="I7494" t="s">
        <v>423</v>
      </c>
      <c r="J7494" t="s">
        <v>2274</v>
      </c>
      <c r="K7494" t="s">
        <v>2051</v>
      </c>
      <c r="L7494" t="s">
        <v>2052</v>
      </c>
      <c r="M7494">
        <v>573</v>
      </c>
      <c r="N7494">
        <v>49.65</v>
      </c>
      <c r="O7494">
        <v>16111.42</v>
      </c>
      <c r="P7494">
        <v>0</v>
      </c>
      <c r="Q7494">
        <v>16111.42</v>
      </c>
      <c r="R7494">
        <v>2577.83</v>
      </c>
      <c r="S7494">
        <v>644.46</v>
      </c>
      <c r="T7494">
        <v>18044.79</v>
      </c>
      <c r="U7494" t="s">
        <v>2053</v>
      </c>
      <c r="V7494" t="s">
        <v>9409</v>
      </c>
      <c r="W7494" t="s">
        <v>423</v>
      </c>
    </row>
    <row r="7495" spans="1:23" x14ac:dyDescent="0.2">
      <c r="A7495">
        <v>2012</v>
      </c>
      <c r="B7495" t="s">
        <v>304</v>
      </c>
      <c r="C7495" s="733">
        <v>40967</v>
      </c>
      <c r="D7495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95" t="s">
        <v>485</v>
      </c>
      <c r="F7495" t="s">
        <v>2084</v>
      </c>
      <c r="G7495" t="s">
        <v>9291</v>
      </c>
      <c r="H7495">
        <v>42089</v>
      </c>
      <c r="I7495" t="s">
        <v>423</v>
      </c>
      <c r="J7495" t="s">
        <v>2813</v>
      </c>
      <c r="K7495" t="s">
        <v>2814</v>
      </c>
      <c r="L7495" t="s">
        <v>2815</v>
      </c>
      <c r="M7495">
        <v>365</v>
      </c>
      <c r="N7495">
        <v>24.187000000000001</v>
      </c>
      <c r="O7495">
        <v>6510.66</v>
      </c>
      <c r="P7495">
        <v>0</v>
      </c>
      <c r="Q7495">
        <v>6510.66</v>
      </c>
      <c r="R7495">
        <v>716.17</v>
      </c>
      <c r="S7495">
        <v>260.43</v>
      </c>
      <c r="T7495">
        <v>6966.4</v>
      </c>
      <c r="U7495" t="s">
        <v>8877</v>
      </c>
      <c r="V7495" t="s">
        <v>9408</v>
      </c>
      <c r="W7495" t="s">
        <v>423</v>
      </c>
    </row>
    <row r="7496" spans="1:23" hidden="1" x14ac:dyDescent="0.2">
      <c r="A7496">
        <v>2012</v>
      </c>
      <c r="B7496" t="s">
        <v>303</v>
      </c>
      <c r="C7496" s="733">
        <v>40936</v>
      </c>
      <c r="D7496" s="733" t="str">
        <f>CHOOSE(MONTH(Tabla_sqldatos_bonampakdb_Bon_v_ingresos2012[[#This Row],[fecha_guia]]),"Enero","Febrero","Marzo","Abril","Mayo","Junio","Julio","Agosto","Septiembre","Octubre","Noviembre","Diciembre")</f>
        <v>Enero</v>
      </c>
      <c r="E7496" t="s">
        <v>478</v>
      </c>
      <c r="F7496" t="s">
        <v>2142</v>
      </c>
      <c r="G7496" t="s">
        <v>7432</v>
      </c>
      <c r="H7496">
        <v>34999</v>
      </c>
      <c r="I7496" t="s">
        <v>423</v>
      </c>
      <c r="J7496" t="s">
        <v>4291</v>
      </c>
      <c r="K7496" t="s">
        <v>425</v>
      </c>
      <c r="L7496" t="s">
        <v>2145</v>
      </c>
      <c r="M7496">
        <v>163</v>
      </c>
      <c r="N7496">
        <v>49.93</v>
      </c>
      <c r="O7496">
        <v>8873.06</v>
      </c>
      <c r="P7496">
        <v>0</v>
      </c>
      <c r="Q7496">
        <v>8873.06</v>
      </c>
      <c r="R7496">
        <v>1419.69</v>
      </c>
      <c r="S7496">
        <v>354.92</v>
      </c>
      <c r="T7496">
        <v>9937.83</v>
      </c>
      <c r="U7496" t="s">
        <v>9455</v>
      </c>
      <c r="V7496" t="s">
        <v>9409</v>
      </c>
      <c r="W7496" t="s">
        <v>423</v>
      </c>
    </row>
    <row r="7497" spans="1:23" hidden="1" x14ac:dyDescent="0.2">
      <c r="A7497">
        <v>2012</v>
      </c>
      <c r="B7497" t="s">
        <v>304</v>
      </c>
      <c r="C7497" s="733">
        <v>40941</v>
      </c>
      <c r="D7497" s="733" t="str">
        <f>CHOOSE(MONTH(Tabla_sqldatos_bonampakdb_Bon_v_ingresos2012[[#This Row],[fecha_guia]]),"Enero","Febrero","Marzo","Abril","Mayo","Junio","Julio","Agosto","Septiembre","Octubre","Noviembre","Diciembre")</f>
        <v>Febrero</v>
      </c>
      <c r="E7497" t="s">
        <v>485</v>
      </c>
      <c r="F7497" t="s">
        <v>2065</v>
      </c>
      <c r="G7497" t="s">
        <v>7433</v>
      </c>
      <c r="H7497">
        <v>39857</v>
      </c>
      <c r="I7497" t="s">
        <v>423</v>
      </c>
      <c r="J7497" t="s">
        <v>6837</v>
      </c>
      <c r="K7497" t="s">
        <v>2102</v>
      </c>
      <c r="L7497" t="s">
        <v>2115</v>
      </c>
      <c r="M7497">
        <v>279</v>
      </c>
      <c r="N7497">
        <v>25.87</v>
      </c>
      <c r="O7497">
        <v>7260.93</v>
      </c>
      <c r="P7497">
        <v>0</v>
      </c>
      <c r="Q7497">
        <v>7260.93</v>
      </c>
      <c r="R7497">
        <v>1161.75</v>
      </c>
      <c r="S7497">
        <v>290.44</v>
      </c>
      <c r="T7497">
        <v>8132.24</v>
      </c>
      <c r="U7497" t="s">
        <v>2110</v>
      </c>
      <c r="V7497" t="s">
        <v>9408</v>
      </c>
      <c r="W7497" t="s">
        <v>423</v>
      </c>
    </row>
    <row r="7498" spans="1:23" hidden="1" x14ac:dyDescent="0.2">
      <c r="A7498">
        <v>2012</v>
      </c>
      <c r="B7498" t="s">
        <v>305</v>
      </c>
      <c r="C7498" s="733">
        <v>40969</v>
      </c>
      <c r="D7498" s="733" t="str">
        <f>CHOOSE(MONTH(Tabla_sqldatos_bonampakdb_Bon_v_ingresos2012[[#This Row],[fecha_guia]]),"Enero","Febrero","Marzo","Abril","Mayo","Junio","Julio","Agosto","Septiembre","Octubre","Noviembre","Diciembre")</f>
        <v>Marzo</v>
      </c>
      <c r="E7498" t="s">
        <v>505</v>
      </c>
      <c r="F7498" t="s">
        <v>1915</v>
      </c>
      <c r="G7498" t="s">
        <v>9506</v>
      </c>
      <c r="H7498">
        <v>23127</v>
      </c>
      <c r="I7498" t="s">
        <v>423</v>
      </c>
      <c r="J7498" t="s">
        <v>4140</v>
      </c>
      <c r="K7498" t="s">
        <v>1918</v>
      </c>
      <c r="L7498" t="s">
        <v>1919</v>
      </c>
      <c r="M7498">
        <v>1</v>
      </c>
      <c r="N7498">
        <v>25.82</v>
      </c>
      <c r="O7498">
        <v>2493.6999999999998</v>
      </c>
      <c r="P7498">
        <v>0</v>
      </c>
      <c r="Q7498">
        <v>2493.6999999999998</v>
      </c>
      <c r="R7498">
        <v>398.99</v>
      </c>
      <c r="S7498">
        <v>99.75</v>
      </c>
      <c r="T7498">
        <v>2792.94</v>
      </c>
      <c r="V7498" t="s">
        <v>9408</v>
      </c>
      <c r="W7498" t="s">
        <v>423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74"/>
  <sheetViews>
    <sheetView zoomScale="90" zoomScaleNormal="90" workbookViewId="0">
      <pane xSplit="4" ySplit="4" topLeftCell="E55" activePane="bottomRight" state="frozen"/>
      <selection pane="topRight" activeCell="E1" sqref="E1"/>
      <selection pane="bottomLeft" activeCell="A5" sqref="A5"/>
      <selection pane="bottomRight" activeCell="E72" sqref="E72"/>
    </sheetView>
  </sheetViews>
  <sheetFormatPr baseColWidth="10" defaultRowHeight="12.75" x14ac:dyDescent="0.2"/>
  <cols>
    <col min="1" max="2" width="4.42578125" customWidth="1"/>
    <col min="3" max="3" width="15.85546875" customWidth="1"/>
    <col min="4" max="4" width="38.85546875" customWidth="1"/>
    <col min="5" max="5" width="12.42578125" customWidth="1"/>
    <col min="6" max="10" width="13.7109375" customWidth="1"/>
    <col min="11" max="12" width="14.5703125" bestFit="1" customWidth="1"/>
    <col min="13" max="14" width="15" customWidth="1"/>
    <col min="15" max="15" width="15.140625" customWidth="1"/>
    <col min="16" max="16" width="18" customWidth="1"/>
    <col min="17" max="17" width="14.85546875" bestFit="1" customWidth="1"/>
  </cols>
  <sheetData>
    <row r="1" spans="2:17" ht="18.75" x14ac:dyDescent="0.3">
      <c r="B1" s="1213" t="s">
        <v>9798</v>
      </c>
    </row>
    <row r="2" spans="2:17" ht="18.75" x14ac:dyDescent="0.3">
      <c r="B2" s="1213" t="s">
        <v>10091</v>
      </c>
    </row>
    <row r="3" spans="2:17" ht="18.75" x14ac:dyDescent="0.3">
      <c r="B3" s="1213" t="s">
        <v>10192</v>
      </c>
    </row>
    <row r="7" spans="2:17" x14ac:dyDescent="0.2">
      <c r="C7" s="1281"/>
      <c r="D7" s="1282"/>
      <c r="E7" s="1287" t="s">
        <v>10155</v>
      </c>
      <c r="F7" s="1282"/>
      <c r="G7" s="1282"/>
      <c r="H7" s="1282"/>
      <c r="I7" s="1282"/>
      <c r="J7" s="1282"/>
      <c r="K7" s="1282"/>
      <c r="L7" s="1282"/>
      <c r="M7" s="1282"/>
      <c r="N7" s="1282"/>
      <c r="O7" s="1282"/>
      <c r="P7" s="1283"/>
    </row>
    <row r="8" spans="2:17" x14ac:dyDescent="0.2">
      <c r="C8" s="1287" t="s">
        <v>10156</v>
      </c>
      <c r="D8" s="1287" t="s">
        <v>10157</v>
      </c>
      <c r="E8" s="1281" t="s">
        <v>10180</v>
      </c>
      <c r="F8" s="1284" t="s">
        <v>10181</v>
      </c>
      <c r="G8" s="1284" t="s">
        <v>10182</v>
      </c>
      <c r="H8" s="1284" t="s">
        <v>10183</v>
      </c>
      <c r="I8" s="1284" t="s">
        <v>10184</v>
      </c>
      <c r="J8" s="1284" t="s">
        <v>10185</v>
      </c>
      <c r="K8" s="1284" t="s">
        <v>10186</v>
      </c>
      <c r="L8" s="1284" t="s">
        <v>10187</v>
      </c>
      <c r="M8" s="1284" t="s">
        <v>10188</v>
      </c>
      <c r="N8" s="1284" t="s">
        <v>10189</v>
      </c>
      <c r="O8" s="1284" t="s">
        <v>10190</v>
      </c>
      <c r="P8" s="1288" t="s">
        <v>10191</v>
      </c>
      <c r="Q8" s="1289" t="s">
        <v>135</v>
      </c>
    </row>
    <row r="9" spans="2:17" x14ac:dyDescent="0.2">
      <c r="C9" s="1281" t="s">
        <v>10158</v>
      </c>
      <c r="D9" s="1281" t="s">
        <v>10159</v>
      </c>
      <c r="E9" s="1290">
        <v>129467.95999999999</v>
      </c>
      <c r="F9" s="1291">
        <v>129467.95999999999</v>
      </c>
      <c r="G9" s="1291">
        <v>129467.95999999999</v>
      </c>
      <c r="H9" s="1291">
        <v>129467.95999999999</v>
      </c>
      <c r="I9" s="1291">
        <v>129467.95999999999</v>
      </c>
      <c r="J9" s="1291">
        <v>129467.95999999999</v>
      </c>
      <c r="K9" s="1291">
        <v>129467.95999999999</v>
      </c>
      <c r="L9" s="1291">
        <v>129467.95999999999</v>
      </c>
      <c r="M9" s="1291">
        <v>129467.95999999999</v>
      </c>
      <c r="N9" s="1291">
        <v>129467.95999999999</v>
      </c>
      <c r="O9" s="1291">
        <v>129467.95999999999</v>
      </c>
      <c r="P9" s="1292">
        <v>129467.95999999999</v>
      </c>
      <c r="Q9" s="1293">
        <f>SUM(E9:P9)</f>
        <v>1553615.5199999998</v>
      </c>
    </row>
    <row r="10" spans="2:17" x14ac:dyDescent="0.2">
      <c r="C10" s="1281" t="s">
        <v>10121</v>
      </c>
      <c r="D10" s="1281" t="s">
        <v>10160</v>
      </c>
      <c r="E10" s="1290">
        <v>87225.550000000017</v>
      </c>
      <c r="F10" s="1291">
        <v>85929.600000000006</v>
      </c>
      <c r="G10" s="1291">
        <v>85746.890000000014</v>
      </c>
      <c r="H10" s="1291">
        <v>82601.040000000008</v>
      </c>
      <c r="I10" s="1291">
        <v>81838.340000000011</v>
      </c>
      <c r="J10" s="1291">
        <v>81393.670000000013</v>
      </c>
      <c r="K10" s="1291">
        <v>79487.770000000019</v>
      </c>
      <c r="L10" s="1291">
        <v>77693.910000000018</v>
      </c>
      <c r="M10" s="1291">
        <v>77548.280000000013</v>
      </c>
      <c r="N10" s="1291">
        <v>76226.640000000014</v>
      </c>
      <c r="O10" s="1291">
        <v>75347.250000000015</v>
      </c>
      <c r="P10" s="1292">
        <v>74574.580000000016</v>
      </c>
      <c r="Q10" s="1293">
        <f t="shared" ref="Q10:Q21" si="0">SUM(E10:P10)</f>
        <v>965613.52000000025</v>
      </c>
    </row>
    <row r="11" spans="2:17" x14ac:dyDescent="0.2">
      <c r="C11" s="1281" t="s">
        <v>10161</v>
      </c>
      <c r="D11" s="1281" t="s">
        <v>10162</v>
      </c>
      <c r="E11" s="1290">
        <v>2652.4700000000003</v>
      </c>
      <c r="F11" s="1291">
        <v>2652.4700000000003</v>
      </c>
      <c r="G11" s="1291">
        <v>2652.4700000000003</v>
      </c>
      <c r="H11" s="1291">
        <v>2652.4700000000003</v>
      </c>
      <c r="I11" s="1291">
        <v>2652.4700000000003</v>
      </c>
      <c r="J11" s="1291">
        <v>2652.4700000000003</v>
      </c>
      <c r="K11" s="1291">
        <v>2652.4700000000003</v>
      </c>
      <c r="L11" s="1291">
        <v>2652.4700000000003</v>
      </c>
      <c r="M11" s="1291">
        <v>2652.4700000000003</v>
      </c>
      <c r="N11" s="1291">
        <v>2652.4700000000003</v>
      </c>
      <c r="O11" s="1291">
        <v>2652.4700000000003</v>
      </c>
      <c r="P11" s="1292">
        <v>2652.4700000000003</v>
      </c>
      <c r="Q11" s="1293">
        <f t="shared" si="0"/>
        <v>31829.64000000001</v>
      </c>
    </row>
    <row r="12" spans="2:17" x14ac:dyDescent="0.2">
      <c r="C12" s="1281" t="s">
        <v>10163</v>
      </c>
      <c r="D12" s="1281" t="s">
        <v>10164</v>
      </c>
      <c r="E12" s="1290">
        <v>18394.18</v>
      </c>
      <c r="F12" s="1291">
        <v>18353.510000000002</v>
      </c>
      <c r="G12" s="1291">
        <v>18345.18</v>
      </c>
      <c r="H12" s="1291">
        <v>18345.18</v>
      </c>
      <c r="I12" s="1291">
        <v>18190.130000000005</v>
      </c>
      <c r="J12" s="1291">
        <v>18190.130000000005</v>
      </c>
      <c r="K12" s="1291">
        <v>18190.130000000005</v>
      </c>
      <c r="L12" s="1291">
        <v>17942.820000000022</v>
      </c>
      <c r="M12" s="1291">
        <v>17763.450000000033</v>
      </c>
      <c r="N12" s="1291">
        <v>17640.410000000033</v>
      </c>
      <c r="O12" s="1291">
        <v>17534.770000000033</v>
      </c>
      <c r="P12" s="1292">
        <v>16330.260000000058</v>
      </c>
      <c r="Q12" s="1293">
        <f t="shared" si="0"/>
        <v>215220.1500000002</v>
      </c>
    </row>
    <row r="13" spans="2:17" x14ac:dyDescent="0.2">
      <c r="C13" s="1281" t="s">
        <v>10165</v>
      </c>
      <c r="D13" s="1281" t="s">
        <v>10166</v>
      </c>
      <c r="E13" s="1290">
        <v>0</v>
      </c>
      <c r="F13" s="1291">
        <v>0</v>
      </c>
      <c r="G13" s="1291">
        <v>0</v>
      </c>
      <c r="H13" s="1291">
        <v>0</v>
      </c>
      <c r="I13" s="1291">
        <v>0</v>
      </c>
      <c r="J13" s="1291">
        <v>0</v>
      </c>
      <c r="K13" s="1291">
        <v>0</v>
      </c>
      <c r="L13" s="1291">
        <v>0</v>
      </c>
      <c r="M13" s="1291">
        <v>0</v>
      </c>
      <c r="N13" s="1291">
        <v>0</v>
      </c>
      <c r="O13" s="1291">
        <v>0</v>
      </c>
      <c r="P13" s="1292">
        <v>0</v>
      </c>
      <c r="Q13" s="1293">
        <f t="shared" si="0"/>
        <v>0</v>
      </c>
    </row>
    <row r="14" spans="2:17" x14ac:dyDescent="0.2">
      <c r="C14" s="1281" t="s">
        <v>10167</v>
      </c>
      <c r="D14" s="1281" t="s">
        <v>10168</v>
      </c>
      <c r="E14" s="1290">
        <v>285.52</v>
      </c>
      <c r="F14" s="1291">
        <v>285.52</v>
      </c>
      <c r="G14" s="1291">
        <v>285.52</v>
      </c>
      <c r="H14" s="1291">
        <v>285.52</v>
      </c>
      <c r="I14" s="1291">
        <v>285.52</v>
      </c>
      <c r="J14" s="1291">
        <v>285.52</v>
      </c>
      <c r="K14" s="1291">
        <v>285.52</v>
      </c>
      <c r="L14" s="1291">
        <v>285.52</v>
      </c>
      <c r="M14" s="1291">
        <v>285.52</v>
      </c>
      <c r="N14" s="1291">
        <v>285.52</v>
      </c>
      <c r="O14" s="1291">
        <v>285.52</v>
      </c>
      <c r="P14" s="1292">
        <v>285.52</v>
      </c>
      <c r="Q14" s="1293">
        <f t="shared" si="0"/>
        <v>3426.24</v>
      </c>
    </row>
    <row r="15" spans="2:17" x14ac:dyDescent="0.2">
      <c r="C15" s="1281" t="s">
        <v>10169</v>
      </c>
      <c r="D15" s="1281" t="s">
        <v>10092</v>
      </c>
      <c r="E15" s="1290">
        <v>1512200.92</v>
      </c>
      <c r="F15" s="1291">
        <v>1512200.92</v>
      </c>
      <c r="G15" s="1291">
        <v>1512200.92</v>
      </c>
      <c r="H15" s="1291">
        <v>1512200.92</v>
      </c>
      <c r="I15" s="1291">
        <v>1512200.92</v>
      </c>
      <c r="J15" s="1291">
        <v>1512200.92</v>
      </c>
      <c r="K15" s="1291">
        <v>1416650.1600000001</v>
      </c>
      <c r="L15" s="1291">
        <v>1407849.8800000004</v>
      </c>
      <c r="M15" s="1291">
        <v>1407849.8800000004</v>
      </c>
      <c r="N15" s="1291">
        <v>1397408.0000000005</v>
      </c>
      <c r="O15" s="1291">
        <v>1272883.0500000012</v>
      </c>
      <c r="P15" s="1292">
        <v>1272883.0500000012</v>
      </c>
      <c r="Q15" s="1293">
        <f t="shared" si="0"/>
        <v>17248729.540000003</v>
      </c>
    </row>
    <row r="16" spans="2:17" x14ac:dyDescent="0.2">
      <c r="C16" s="1281" t="s">
        <v>10170</v>
      </c>
      <c r="D16" s="1281" t="s">
        <v>10171</v>
      </c>
      <c r="E16" s="1290">
        <v>0</v>
      </c>
      <c r="F16" s="1291">
        <v>0</v>
      </c>
      <c r="G16" s="1291">
        <v>0</v>
      </c>
      <c r="H16" s="1291">
        <v>0</v>
      </c>
      <c r="I16" s="1291">
        <v>0</v>
      </c>
      <c r="J16" s="1291">
        <v>0</v>
      </c>
      <c r="K16" s="1291">
        <v>0</v>
      </c>
      <c r="L16" s="1291">
        <v>0</v>
      </c>
      <c r="M16" s="1291">
        <v>0</v>
      </c>
      <c r="N16" s="1291">
        <v>0</v>
      </c>
      <c r="O16" s="1291">
        <v>0</v>
      </c>
      <c r="P16" s="1292">
        <v>0</v>
      </c>
      <c r="Q16" s="1293">
        <f t="shared" si="0"/>
        <v>0</v>
      </c>
    </row>
    <row r="17" spans="3:17" x14ac:dyDescent="0.2">
      <c r="C17" s="1281" t="s">
        <v>10172</v>
      </c>
      <c r="D17" s="1281" t="s">
        <v>10173</v>
      </c>
      <c r="E17" s="1290">
        <v>35971.289999999994</v>
      </c>
      <c r="F17" s="1291">
        <v>35897.729999999996</v>
      </c>
      <c r="G17" s="1291">
        <v>35854.35</v>
      </c>
      <c r="H17" s="1291">
        <v>35719.249999999993</v>
      </c>
      <c r="I17" s="1291">
        <v>35642.78</v>
      </c>
      <c r="J17" s="1291">
        <v>35600.449999999997</v>
      </c>
      <c r="K17" s="1291">
        <v>35044.28</v>
      </c>
      <c r="L17" s="1291">
        <v>35044.28</v>
      </c>
      <c r="M17" s="1291">
        <v>35044.28</v>
      </c>
      <c r="N17" s="1291">
        <v>35001.71</v>
      </c>
      <c r="O17" s="1291">
        <v>35001.71</v>
      </c>
      <c r="P17" s="1292">
        <v>35001.71</v>
      </c>
      <c r="Q17" s="1293">
        <f t="shared" si="0"/>
        <v>424823.82</v>
      </c>
    </row>
    <row r="18" spans="3:17" x14ac:dyDescent="0.2">
      <c r="C18" s="1281" t="s">
        <v>10174</v>
      </c>
      <c r="D18" s="1281" t="s">
        <v>10175</v>
      </c>
      <c r="E18" s="1290">
        <v>302.49</v>
      </c>
      <c r="F18" s="1291">
        <v>302.49</v>
      </c>
      <c r="G18" s="1291">
        <v>302.49</v>
      </c>
      <c r="H18" s="1291">
        <v>302.49</v>
      </c>
      <c r="I18" s="1291">
        <v>302.49</v>
      </c>
      <c r="J18" s="1291">
        <v>302.49</v>
      </c>
      <c r="K18" s="1291">
        <v>302.49</v>
      </c>
      <c r="L18" s="1291">
        <v>302.49</v>
      </c>
      <c r="M18" s="1291">
        <v>302.49</v>
      </c>
      <c r="N18" s="1291">
        <v>302.49</v>
      </c>
      <c r="O18" s="1291">
        <v>302.49</v>
      </c>
      <c r="P18" s="1292">
        <v>302.49</v>
      </c>
      <c r="Q18" s="1293">
        <f t="shared" si="0"/>
        <v>3629.8799999999992</v>
      </c>
    </row>
    <row r="19" spans="3:17" x14ac:dyDescent="0.2">
      <c r="C19" s="1281" t="s">
        <v>10176</v>
      </c>
      <c r="D19" s="1281" t="s">
        <v>10177</v>
      </c>
      <c r="E19" s="1290">
        <v>7856.1600000000008</v>
      </c>
      <c r="F19" s="1291">
        <v>7856.1600000000008</v>
      </c>
      <c r="G19" s="1291">
        <v>7856.1600000000008</v>
      </c>
      <c r="H19" s="1291">
        <v>7856.1600000000008</v>
      </c>
      <c r="I19" s="1291">
        <v>7856.1600000000008</v>
      </c>
      <c r="J19" s="1291">
        <v>7856.1600000000008</v>
      </c>
      <c r="K19" s="1291">
        <v>7856.1600000000008</v>
      </c>
      <c r="L19" s="1291">
        <v>7856.1600000000008</v>
      </c>
      <c r="M19" s="1291">
        <v>7856.1600000000008</v>
      </c>
      <c r="N19" s="1291">
        <v>7856.1600000000008</v>
      </c>
      <c r="O19" s="1291">
        <v>7856.1600000000008</v>
      </c>
      <c r="P19" s="1292">
        <v>7856.1600000000008</v>
      </c>
      <c r="Q19" s="1293">
        <f t="shared" si="0"/>
        <v>94273.920000000027</v>
      </c>
    </row>
    <row r="20" spans="3:17" x14ac:dyDescent="0.2">
      <c r="C20" s="1281" t="s">
        <v>10178</v>
      </c>
      <c r="D20" s="1281" t="s">
        <v>10179</v>
      </c>
      <c r="E20" s="1290">
        <v>18309.95</v>
      </c>
      <c r="F20" s="1291">
        <v>18309.95</v>
      </c>
      <c r="G20" s="1291">
        <v>18309.95</v>
      </c>
      <c r="H20" s="1291">
        <v>18309.95</v>
      </c>
      <c r="I20" s="1291">
        <v>18309.95</v>
      </c>
      <c r="J20" s="1291">
        <v>18309.95</v>
      </c>
      <c r="K20" s="1291">
        <v>18309.95</v>
      </c>
      <c r="L20" s="1291">
        <v>18309.95</v>
      </c>
      <c r="M20" s="1291">
        <v>18309.95</v>
      </c>
      <c r="N20" s="1291">
        <v>18309.95</v>
      </c>
      <c r="O20" s="1291">
        <v>18309.95</v>
      </c>
      <c r="P20" s="1292">
        <v>18309.95</v>
      </c>
      <c r="Q20" s="1293">
        <f t="shared" si="0"/>
        <v>219719.40000000005</v>
      </c>
    </row>
    <row r="21" spans="3:17" x14ac:dyDescent="0.2">
      <c r="C21" s="1285" t="s">
        <v>1897</v>
      </c>
      <c r="D21" s="1286"/>
      <c r="E21" s="1294">
        <f>SUM(E9:E20)</f>
        <v>1812666.4899999998</v>
      </c>
      <c r="F21" s="1294">
        <f t="shared" ref="F21:P21" si="1">SUM(F9:F20)</f>
        <v>1811256.3099999998</v>
      </c>
      <c r="G21" s="1294">
        <f t="shared" si="1"/>
        <v>1811021.89</v>
      </c>
      <c r="H21" s="1294">
        <f t="shared" si="1"/>
        <v>1807740.9399999997</v>
      </c>
      <c r="I21" s="1294">
        <f t="shared" si="1"/>
        <v>1806746.7199999997</v>
      </c>
      <c r="J21" s="1294">
        <f t="shared" si="1"/>
        <v>1806259.7199999997</v>
      </c>
      <c r="K21" s="1294">
        <f t="shared" si="1"/>
        <v>1708246.8900000001</v>
      </c>
      <c r="L21" s="1294">
        <f t="shared" si="1"/>
        <v>1697405.4400000002</v>
      </c>
      <c r="M21" s="1294">
        <f t="shared" si="1"/>
        <v>1697080.4400000002</v>
      </c>
      <c r="N21" s="1294">
        <f t="shared" si="1"/>
        <v>1685151.3100000003</v>
      </c>
      <c r="O21" s="1294">
        <f t="shared" si="1"/>
        <v>1559641.330000001</v>
      </c>
      <c r="P21" s="1292">
        <f t="shared" si="1"/>
        <v>1557664.1500000011</v>
      </c>
      <c r="Q21" s="1293">
        <f t="shared" si="0"/>
        <v>20760881.629999999</v>
      </c>
    </row>
    <row r="25" spans="3:17" ht="25.5" x14ac:dyDescent="0.2">
      <c r="C25" s="1243" t="s">
        <v>10193</v>
      </c>
      <c r="D25" s="1427" t="s">
        <v>10339</v>
      </c>
      <c r="E25" s="1428" t="s">
        <v>10180</v>
      </c>
      <c r="F25" s="1429" t="s">
        <v>10181</v>
      </c>
      <c r="G25" s="1429" t="s">
        <v>10182</v>
      </c>
      <c r="H25" s="1429" t="s">
        <v>10183</v>
      </c>
      <c r="I25" s="1429" t="s">
        <v>10184</v>
      </c>
      <c r="J25" s="1429" t="s">
        <v>10185</v>
      </c>
      <c r="K25" s="1429" t="s">
        <v>10186</v>
      </c>
      <c r="L25" s="1429" t="s">
        <v>10187</v>
      </c>
      <c r="M25" s="1429" t="s">
        <v>10188</v>
      </c>
      <c r="N25" s="1429" t="s">
        <v>10189</v>
      </c>
      <c r="O25" s="1429" t="s">
        <v>10190</v>
      </c>
      <c r="P25" s="1430" t="s">
        <v>10191</v>
      </c>
    </row>
    <row r="26" spans="3:17" x14ac:dyDescent="0.2">
      <c r="C26">
        <v>48</v>
      </c>
      <c r="D26" s="1214" t="s">
        <v>10129</v>
      </c>
      <c r="E26" s="738"/>
      <c r="F26" s="738">
        <f>'Inversiones 2014'!L105/C26</f>
        <v>0</v>
      </c>
      <c r="G26" s="738">
        <f>F26+(('Inversiones 2014'!M105+(92100*6*13))/'Depreciación 2014'!$C26)</f>
        <v>161338.125</v>
      </c>
      <c r="H26" s="738">
        <f>G26+('Inversiones 2014'!N105/'Depreciación 2014'!$C26)</f>
        <v>351797.1875</v>
      </c>
      <c r="I26" s="738">
        <f>H26+('Inversiones 2014'!O105/'Depreciación 2014'!$C26)</f>
        <v>464522.8125</v>
      </c>
      <c r="J26" s="738">
        <f>I26+('Inversiones 2014'!P105/'Depreciación 2014'!$C26)</f>
        <v>678298.4375</v>
      </c>
      <c r="K26" s="738">
        <f>J26+('Inversiones 2014'!Q105/'Depreciación 2014'!$C26)</f>
        <v>678298.4375</v>
      </c>
      <c r="L26" s="738">
        <f>K26+('Inversiones 2014'!R105/'Depreciación 2014'!$C26)</f>
        <v>678298.4375</v>
      </c>
      <c r="M26" s="738">
        <f>L26+('Inversiones 2014'!S105/'Depreciación 2014'!$C26)</f>
        <v>678298.4375</v>
      </c>
      <c r="N26" s="738">
        <f>M26+('Inversiones 2014'!T105/'Depreciación 2014'!$C26)</f>
        <v>678298.4375</v>
      </c>
      <c r="O26" s="738">
        <f>N26+('Inversiones 2014'!U105/'Depreciación 2014'!$C26)</f>
        <v>678298.4375</v>
      </c>
      <c r="P26" s="738">
        <f>O26+('Inversiones 2014'!V105/'Depreciación 2014'!$C26)</f>
        <v>678298.4375</v>
      </c>
      <c r="Q26" s="1147"/>
    </row>
    <row r="27" spans="3:17" x14ac:dyDescent="0.2">
      <c r="C27">
        <v>96</v>
      </c>
      <c r="D27" s="1214" t="s">
        <v>10207</v>
      </c>
      <c r="E27" s="738"/>
      <c r="F27" s="738">
        <f>'Inversiones 2014'!L106/'Depreciación 2014'!C27</f>
        <v>19148.4375</v>
      </c>
      <c r="G27" s="738">
        <f>F27+('Inversiones 2014'!M106/'Depreciación 2014'!$C27)</f>
        <v>19148.4375</v>
      </c>
      <c r="H27" s="738">
        <f>G27+('Inversiones 2014'!N106/'Depreciación 2014'!$C27)</f>
        <v>38296.875</v>
      </c>
      <c r="I27" s="738">
        <f>H27+('Inversiones 2014'!O106/'Depreciación 2014'!$C27)</f>
        <v>38296.875</v>
      </c>
      <c r="J27" s="738">
        <f>I27+('Inversiones 2014'!P106/'Depreciación 2014'!$C27)</f>
        <v>38296.875</v>
      </c>
      <c r="K27" s="738">
        <f>J27+('Inversiones 2014'!Q106/'Depreciación 2014'!$C27)</f>
        <v>81291.666666666657</v>
      </c>
      <c r="L27" s="738">
        <f>K27+('Inversiones 2014'!R106/'Depreciación 2014'!$C27)</f>
        <v>112098.95833333333</v>
      </c>
      <c r="M27" s="738">
        <f>L27+('Inversiones 2014'!S106/'Depreciación 2014'!$C27)</f>
        <v>112098.95833333333</v>
      </c>
      <c r="N27" s="738">
        <f>M27+('Inversiones 2014'!T106/'Depreciación 2014'!$C27)</f>
        <v>112098.95833333333</v>
      </c>
      <c r="O27" s="738">
        <f>N27+('Inversiones 2014'!U106/'Depreciación 2014'!$C27)</f>
        <v>112098.95833333333</v>
      </c>
      <c r="P27" s="738">
        <f>O27+('Inversiones 2014'!V106/'Depreciación 2014'!$C27)</f>
        <v>112098.95833333333</v>
      </c>
      <c r="Q27" s="1147"/>
    </row>
    <row r="28" spans="3:17" x14ac:dyDescent="0.2">
      <c r="C28">
        <v>36</v>
      </c>
      <c r="D28" s="1214" t="s">
        <v>10093</v>
      </c>
      <c r="E28" s="738"/>
      <c r="F28" s="738">
        <f>'Inversiones 2014'!L112/'Depreciación 2014'!C28</f>
        <v>125</v>
      </c>
      <c r="G28" s="738">
        <f>F28+('Inversiones 2014'!M112/'Depreciación 2014'!$C28)</f>
        <v>125</v>
      </c>
      <c r="H28" s="738">
        <f>G28+('Inversiones 2014'!N112/'Depreciación 2014'!$C28)</f>
        <v>125</v>
      </c>
      <c r="I28" s="738">
        <f>H28+('Inversiones 2014'!O112/'Depreciación 2014'!$C28)</f>
        <v>7291.666666666667</v>
      </c>
      <c r="J28" s="738">
        <f>I28+('Inversiones 2014'!P112/'Depreciación 2014'!$C28)</f>
        <v>14458.333333333334</v>
      </c>
      <c r="K28" s="738">
        <f>J28+('Inversiones 2014'!Q112/'Depreciación 2014'!$C28)</f>
        <v>21625</v>
      </c>
      <c r="L28" s="738">
        <f>K28+('Inversiones 2014'!R112/'Depreciación 2014'!$C28)</f>
        <v>28791.666666666668</v>
      </c>
      <c r="M28" s="738">
        <f>L28+('Inversiones 2014'!S112/'Depreciación 2014'!$C28)</f>
        <v>33450</v>
      </c>
      <c r="N28" s="738">
        <f>M28+('Inversiones 2014'!T112/'Depreciación 2014'!$C28)</f>
        <v>33450</v>
      </c>
      <c r="O28" s="738">
        <f>N28+('Inversiones 2014'!U112/'Depreciación 2014'!$C28)</f>
        <v>33450</v>
      </c>
      <c r="P28" s="738">
        <f>O28+('Inversiones 2014'!V112/'Depreciación 2014'!$C28)</f>
        <v>33450</v>
      </c>
      <c r="Q28" s="1147"/>
    </row>
    <row r="29" spans="3:17" x14ac:dyDescent="0.2">
      <c r="C29">
        <v>120</v>
      </c>
      <c r="D29" s="1214" t="s">
        <v>10094</v>
      </c>
      <c r="E29" s="738"/>
      <c r="F29" s="738">
        <f>E29+('Inversiones 2014'!L109/'Depreciación 2014'!$C29)</f>
        <v>66.666666666666671</v>
      </c>
      <c r="G29" s="738">
        <f>F29+('Inversiones 2014'!M109/'Depreciación 2014'!$C29)</f>
        <v>66.666666666666671</v>
      </c>
      <c r="H29" s="738">
        <f>G29+('Inversiones 2014'!N109/'Depreciación 2014'!$C29)</f>
        <v>195.83333333333331</v>
      </c>
      <c r="I29" s="738">
        <f>H29+('Inversiones 2014'!O109/'Depreciación 2014'!$C29)</f>
        <v>195.83333333333331</v>
      </c>
      <c r="J29" s="738">
        <f>I29+('Inversiones 2014'!P109/'Depreciación 2014'!$C29)</f>
        <v>3112.5</v>
      </c>
      <c r="K29" s="738">
        <f>J29+('Inversiones 2014'!Q109/'Depreciación 2014'!$C29)</f>
        <v>3112.5</v>
      </c>
      <c r="L29" s="738">
        <f>K29+('Inversiones 2014'!R109/'Depreciación 2014'!$C29)</f>
        <v>3237.5</v>
      </c>
      <c r="M29" s="738">
        <f>L29+('Inversiones 2014'!S109/'Depreciación 2014'!$C29)</f>
        <v>3237.5</v>
      </c>
      <c r="N29" s="738">
        <f>M29+('Inversiones 2014'!T109/'Depreciación 2014'!$C29)</f>
        <v>5104.166666666667</v>
      </c>
      <c r="O29" s="738">
        <f>N29+('Inversiones 2014'!U109/'Depreciación 2014'!$C29)</f>
        <v>5104.166666666667</v>
      </c>
      <c r="P29" s="738">
        <f>O29+('Inversiones 2014'!V109/'Depreciación 2014'!$C29)</f>
        <v>6770.8333333333339</v>
      </c>
      <c r="Q29" s="1147"/>
    </row>
    <row r="30" spans="3:17" x14ac:dyDescent="0.2">
      <c r="C30">
        <v>120</v>
      </c>
      <c r="D30" s="1214" t="s">
        <v>10095</v>
      </c>
      <c r="E30" s="738"/>
      <c r="F30" s="738">
        <f>E30+('Inversiones 2014'!L111/'Depreciación 2014'!$C30)</f>
        <v>541.66666666666663</v>
      </c>
      <c r="G30" s="738">
        <f>F30+('Inversiones 2014'!M111/'Depreciación 2014'!$C30)</f>
        <v>541.66666666666663</v>
      </c>
      <c r="H30" s="738">
        <f>G30+('Inversiones 2014'!N111/'Depreciación 2014'!$C30)</f>
        <v>541.66666666666663</v>
      </c>
      <c r="I30" s="738">
        <f>H30+('Inversiones 2014'!O111/'Depreciación 2014'!$C30)</f>
        <v>541.66666666666663</v>
      </c>
      <c r="J30" s="738">
        <f>I30+('Inversiones 2014'!P111/'Depreciación 2014'!$C30)</f>
        <v>541.66666666666663</v>
      </c>
      <c r="K30" s="738">
        <f>J30+('Inversiones 2014'!Q111/'Depreciación 2014'!$C30)</f>
        <v>541.66666666666663</v>
      </c>
      <c r="L30" s="738">
        <f>K30+('Inversiones 2014'!R111/'Depreciación 2014'!$C30)</f>
        <v>541.66666666666663</v>
      </c>
      <c r="M30" s="738">
        <f>L30+('Inversiones 2014'!S111/'Depreciación 2014'!$C30)</f>
        <v>541.66666666666663</v>
      </c>
      <c r="N30" s="738">
        <f>M30+('Inversiones 2014'!T111/'Depreciación 2014'!$C30)</f>
        <v>541.66666666666663</v>
      </c>
      <c r="O30" s="738">
        <f>N30+('Inversiones 2014'!U111/'Depreciación 2014'!$C30)</f>
        <v>541.66666666666663</v>
      </c>
      <c r="P30" s="738">
        <f>O30+('Inversiones 2014'!V111/'Depreciación 2014'!$C30)</f>
        <v>541.66666666666663</v>
      </c>
      <c r="Q30" s="1147"/>
    </row>
    <row r="31" spans="3:17" x14ac:dyDescent="0.2">
      <c r="C31">
        <v>120</v>
      </c>
      <c r="D31" s="1214" t="s">
        <v>10130</v>
      </c>
      <c r="E31" s="738"/>
      <c r="F31" s="738">
        <f>E31+('Inversiones 2014'!L110/'Depreciación 2014'!$C31)</f>
        <v>0</v>
      </c>
      <c r="G31" s="738">
        <f>F31+('Inversiones 2014'!M110/'Depreciación 2014'!$C31)</f>
        <v>0</v>
      </c>
      <c r="H31" s="738">
        <f>G31+('Inversiones 2014'!N110/'Depreciación 2014'!$C31)</f>
        <v>1250</v>
      </c>
      <c r="I31" s="738">
        <f>H31+('Inversiones 2014'!O110/'Depreciación 2014'!$C31)</f>
        <v>1250</v>
      </c>
      <c r="J31" s="738">
        <f>I31+('Inversiones 2014'!P110/'Depreciación 2014'!$C31)</f>
        <v>1250</v>
      </c>
      <c r="K31" s="738">
        <f>J31+('Inversiones 2014'!Q110/'Depreciación 2014'!$C31)</f>
        <v>1250</v>
      </c>
      <c r="L31" s="738">
        <f>K31+('Inversiones 2014'!R110/'Depreciación 2014'!$C31)</f>
        <v>6250</v>
      </c>
      <c r="M31" s="738">
        <f>L31+('Inversiones 2014'!S110/'Depreciación 2014'!$C31)</f>
        <v>15416.666666666666</v>
      </c>
      <c r="N31" s="738">
        <f>M31+('Inversiones 2014'!T110/'Depreciación 2014'!$C31)</f>
        <v>16000</v>
      </c>
      <c r="O31" s="738">
        <f>N31+('Inversiones 2014'!U110/'Depreciación 2014'!$C31)</f>
        <v>18500</v>
      </c>
      <c r="P31" s="738">
        <f>O31+('Inversiones 2014'!V110/'Depreciación 2014'!$C31)</f>
        <v>18500</v>
      </c>
      <c r="Q31" s="1147"/>
    </row>
    <row r="32" spans="3:17" x14ac:dyDescent="0.2">
      <c r="C32">
        <v>48</v>
      </c>
      <c r="D32" s="1214" t="s">
        <v>10337</v>
      </c>
      <c r="E32" s="738"/>
      <c r="F32" s="738">
        <f>E32+('Inversiones 2014'!L107/'Depreciación 2014'!$C32)</f>
        <v>0</v>
      </c>
      <c r="G32" s="738">
        <f>F32+('Inversiones 2014'!M107/'Depreciación 2014'!$C32)</f>
        <v>0</v>
      </c>
      <c r="H32" s="738">
        <f>G32+('Inversiones 2014'!N107/'Depreciación 2014'!$C32)</f>
        <v>0</v>
      </c>
      <c r="I32" s="738">
        <f>H32+('Inversiones 2014'!O107/'Depreciación 2014'!$C32)</f>
        <v>0</v>
      </c>
      <c r="J32" s="738">
        <f>I32+('Inversiones 2014'!P107/'Depreciación 2014'!$C32)</f>
        <v>0</v>
      </c>
      <c r="K32" s="738">
        <f>J32+('Inversiones 2014'!Q107/'Depreciación 2014'!$C32)</f>
        <v>0</v>
      </c>
      <c r="L32" s="738">
        <f>K32+('Inversiones 2014'!R107/'Depreciación 2014'!$C32)</f>
        <v>3458.3333333333335</v>
      </c>
      <c r="M32" s="738">
        <f>L32+('Inversiones 2014'!S107/'Depreciación 2014'!$C32)</f>
        <v>8250</v>
      </c>
      <c r="N32" s="738">
        <f>M32+('Inversiones 2014'!T107/'Depreciación 2014'!$C32)</f>
        <v>13041.666666666668</v>
      </c>
      <c r="O32" s="738">
        <f>N32+('Inversiones 2014'!U107/'Depreciación 2014'!$C32)</f>
        <v>13041.666666666668</v>
      </c>
      <c r="P32" s="738">
        <f>O32+('Inversiones 2014'!V107/'Depreciación 2014'!$C32)</f>
        <v>13041.666666666668</v>
      </c>
      <c r="Q32" s="1147"/>
    </row>
    <row r="33" spans="3:17" ht="13.5" thickBot="1" x14ac:dyDescent="0.25">
      <c r="D33" s="1214" t="s">
        <v>10116</v>
      </c>
      <c r="E33" s="1215">
        <f>SUM(E26:E32)</f>
        <v>0</v>
      </c>
      <c r="F33" s="1215">
        <f t="shared" ref="F33:P33" si="2">SUM(F26:F32)</f>
        <v>19881.770833333336</v>
      </c>
      <c r="G33" s="1215">
        <f t="shared" si="2"/>
        <v>181219.89583333331</v>
      </c>
      <c r="H33" s="1215">
        <f t="shared" si="2"/>
        <v>392206.5625</v>
      </c>
      <c r="I33" s="1215">
        <f>SUM(I26:I32)</f>
        <v>512098.85416666669</v>
      </c>
      <c r="J33" s="1215">
        <f t="shared" si="2"/>
        <v>735957.8125</v>
      </c>
      <c r="K33" s="1215">
        <f t="shared" si="2"/>
        <v>786119.27083333326</v>
      </c>
      <c r="L33" s="1215">
        <f t="shared" si="2"/>
        <v>832676.5625</v>
      </c>
      <c r="M33" s="1215">
        <f t="shared" si="2"/>
        <v>851293.22916666663</v>
      </c>
      <c r="N33" s="1215">
        <f t="shared" si="2"/>
        <v>858534.89583333326</v>
      </c>
      <c r="O33" s="1215">
        <f t="shared" si="2"/>
        <v>861034.89583333326</v>
      </c>
      <c r="P33" s="1215">
        <f t="shared" si="2"/>
        <v>862701.5625</v>
      </c>
      <c r="Q33" s="1296">
        <f>SUM(E33:P33)</f>
        <v>6893725.3124999991</v>
      </c>
    </row>
    <row r="34" spans="3:17" x14ac:dyDescent="0.2">
      <c r="D34" s="1214" t="s">
        <v>10117</v>
      </c>
      <c r="E34" s="1258"/>
      <c r="F34" s="1258"/>
      <c r="G34" s="1258"/>
      <c r="H34" s="1258"/>
      <c r="I34" s="1258"/>
      <c r="J34" s="1258"/>
      <c r="K34" s="1258"/>
      <c r="L34" s="1258"/>
      <c r="M34" s="1258"/>
      <c r="N34" s="1258"/>
      <c r="O34" s="1258"/>
      <c r="P34" s="1258"/>
    </row>
    <row r="38" spans="3:17" x14ac:dyDescent="0.2">
      <c r="C38" s="1281"/>
      <c r="D38" s="1282"/>
      <c r="E38" s="1281" t="s">
        <v>10155</v>
      </c>
      <c r="F38" s="1282"/>
      <c r="G38" s="1282"/>
      <c r="H38" s="1282"/>
      <c r="I38" s="1282"/>
      <c r="J38" s="1282"/>
      <c r="K38" s="1282"/>
      <c r="L38" s="1282"/>
      <c r="M38" s="1282"/>
      <c r="N38" s="1282"/>
      <c r="O38" s="1282"/>
      <c r="P38" s="1283"/>
    </row>
    <row r="39" spans="3:17" x14ac:dyDescent="0.2">
      <c r="C39" s="1281" t="s">
        <v>10156</v>
      </c>
      <c r="D39" s="1281" t="s">
        <v>10157</v>
      </c>
      <c r="E39" s="1281" t="s">
        <v>10180</v>
      </c>
      <c r="F39" s="1284" t="s">
        <v>10181</v>
      </c>
      <c r="G39" s="1284" t="s">
        <v>10182</v>
      </c>
      <c r="H39" s="1284" t="s">
        <v>10183</v>
      </c>
      <c r="I39" s="1284" t="s">
        <v>10184</v>
      </c>
      <c r="J39" s="1284" t="s">
        <v>10185</v>
      </c>
      <c r="K39" s="1284" t="s">
        <v>10186</v>
      </c>
      <c r="L39" s="1284" t="s">
        <v>10187</v>
      </c>
      <c r="M39" s="1284" t="s">
        <v>10188</v>
      </c>
      <c r="N39" s="1284" t="s">
        <v>10189</v>
      </c>
      <c r="O39" s="1284" t="s">
        <v>10190</v>
      </c>
      <c r="P39" s="1288" t="s">
        <v>10191</v>
      </c>
      <c r="Q39" s="1289" t="s">
        <v>135</v>
      </c>
    </row>
    <row r="40" spans="3:17" x14ac:dyDescent="0.2">
      <c r="C40" s="1281" t="s">
        <v>10158</v>
      </c>
      <c r="D40" s="1281" t="s">
        <v>10159</v>
      </c>
      <c r="E40" s="1290">
        <f>E9+E18</f>
        <v>129770.45</v>
      </c>
      <c r="F40" s="1290">
        <f>F9</f>
        <v>129467.95999999999</v>
      </c>
      <c r="G40" s="1290">
        <f t="shared" ref="G40:P40" si="3">G9</f>
        <v>129467.95999999999</v>
      </c>
      <c r="H40" s="1290">
        <f t="shared" si="3"/>
        <v>129467.95999999999</v>
      </c>
      <c r="I40" s="1290">
        <f t="shared" si="3"/>
        <v>129467.95999999999</v>
      </c>
      <c r="J40" s="1290">
        <f t="shared" si="3"/>
        <v>129467.95999999999</v>
      </c>
      <c r="K40" s="1290">
        <f t="shared" si="3"/>
        <v>129467.95999999999</v>
      </c>
      <c r="L40" s="1290">
        <f t="shared" si="3"/>
        <v>129467.95999999999</v>
      </c>
      <c r="M40" s="1290">
        <f t="shared" si="3"/>
        <v>129467.95999999999</v>
      </c>
      <c r="N40" s="1290">
        <f t="shared" si="3"/>
        <v>129467.95999999999</v>
      </c>
      <c r="O40" s="1290">
        <f t="shared" si="3"/>
        <v>129467.95999999999</v>
      </c>
      <c r="P40" s="1290">
        <f t="shared" si="3"/>
        <v>129467.95999999999</v>
      </c>
      <c r="Q40" s="1293">
        <f>SUM(E40:P40)</f>
        <v>1553918.0099999998</v>
      </c>
    </row>
    <row r="41" spans="3:17" x14ac:dyDescent="0.2">
      <c r="C41" s="1281" t="s">
        <v>10121</v>
      </c>
      <c r="D41" s="1281" t="s">
        <v>10160</v>
      </c>
      <c r="E41" s="1290">
        <f>E10+E28</f>
        <v>87225.550000000017</v>
      </c>
      <c r="F41" s="1290">
        <f t="shared" ref="F41:P41" si="4">F10+F28</f>
        <v>86054.6</v>
      </c>
      <c r="G41" s="1290">
        <f t="shared" si="4"/>
        <v>85871.890000000014</v>
      </c>
      <c r="H41" s="1290">
        <f t="shared" si="4"/>
        <v>82726.040000000008</v>
      </c>
      <c r="I41" s="1290">
        <f t="shared" si="4"/>
        <v>89130.006666666683</v>
      </c>
      <c r="J41" s="1290">
        <f t="shared" si="4"/>
        <v>95852.003333333341</v>
      </c>
      <c r="K41" s="1290">
        <f t="shared" si="4"/>
        <v>101112.77000000002</v>
      </c>
      <c r="L41" s="1290">
        <f t="shared" si="4"/>
        <v>106485.57666666669</v>
      </c>
      <c r="M41" s="1290">
        <f t="shared" si="4"/>
        <v>110998.28000000001</v>
      </c>
      <c r="N41" s="1290">
        <f t="shared" si="4"/>
        <v>109676.64000000001</v>
      </c>
      <c r="O41" s="1290">
        <f t="shared" si="4"/>
        <v>108797.25000000001</v>
      </c>
      <c r="P41" s="1290">
        <f t="shared" si="4"/>
        <v>108024.58000000002</v>
      </c>
      <c r="Q41" s="1293">
        <f t="shared" ref="Q41:Q52" si="5">SUM(E41:P41)</f>
        <v>1171955.186666667</v>
      </c>
    </row>
    <row r="42" spans="3:17" x14ac:dyDescent="0.2">
      <c r="C42" s="1281" t="s">
        <v>10161</v>
      </c>
      <c r="D42" s="1281" t="s">
        <v>10162</v>
      </c>
      <c r="E42" s="1290">
        <f t="shared" ref="E42:P42" si="6">E11</f>
        <v>2652.4700000000003</v>
      </c>
      <c r="F42" s="1290">
        <f t="shared" si="6"/>
        <v>2652.4700000000003</v>
      </c>
      <c r="G42" s="1290">
        <f t="shared" si="6"/>
        <v>2652.4700000000003</v>
      </c>
      <c r="H42" s="1290">
        <f t="shared" si="6"/>
        <v>2652.4700000000003</v>
      </c>
      <c r="I42" s="1290">
        <f t="shared" si="6"/>
        <v>2652.4700000000003</v>
      </c>
      <c r="J42" s="1290">
        <f t="shared" si="6"/>
        <v>2652.4700000000003</v>
      </c>
      <c r="K42" s="1290">
        <f t="shared" si="6"/>
        <v>2652.4700000000003</v>
      </c>
      <c r="L42" s="1290">
        <f t="shared" si="6"/>
        <v>2652.4700000000003</v>
      </c>
      <c r="M42" s="1290">
        <f t="shared" si="6"/>
        <v>2652.4700000000003</v>
      </c>
      <c r="N42" s="1290">
        <f t="shared" si="6"/>
        <v>2652.4700000000003</v>
      </c>
      <c r="O42" s="1290">
        <f t="shared" si="6"/>
        <v>2652.4700000000003</v>
      </c>
      <c r="P42" s="1290">
        <f t="shared" si="6"/>
        <v>2652.4700000000003</v>
      </c>
      <c r="Q42" s="1293">
        <f t="shared" si="5"/>
        <v>31829.64000000001</v>
      </c>
    </row>
    <row r="43" spans="3:17" x14ac:dyDescent="0.2">
      <c r="C43" s="1281" t="s">
        <v>10163</v>
      </c>
      <c r="D43" s="1281" t="s">
        <v>10164</v>
      </c>
      <c r="E43" s="1290">
        <f>E12+E30</f>
        <v>18394.18</v>
      </c>
      <c r="F43" s="1290">
        <f t="shared" ref="F43:P43" si="7">F12+F30</f>
        <v>18895.17666666667</v>
      </c>
      <c r="G43" s="1290">
        <f t="shared" si="7"/>
        <v>18886.846666666668</v>
      </c>
      <c r="H43" s="1290">
        <f t="shared" si="7"/>
        <v>18886.846666666668</v>
      </c>
      <c r="I43" s="1290">
        <f t="shared" si="7"/>
        <v>18731.796666666673</v>
      </c>
      <c r="J43" s="1290">
        <f t="shared" si="7"/>
        <v>18731.796666666673</v>
      </c>
      <c r="K43" s="1290">
        <f t="shared" si="7"/>
        <v>18731.796666666673</v>
      </c>
      <c r="L43" s="1290">
        <f t="shared" si="7"/>
        <v>18484.486666666689</v>
      </c>
      <c r="M43" s="1290">
        <f t="shared" si="7"/>
        <v>18305.116666666701</v>
      </c>
      <c r="N43" s="1290">
        <f t="shared" si="7"/>
        <v>18182.0766666667</v>
      </c>
      <c r="O43" s="1290">
        <f t="shared" si="7"/>
        <v>18076.436666666701</v>
      </c>
      <c r="P43" s="1290">
        <f t="shared" si="7"/>
        <v>16871.926666666724</v>
      </c>
      <c r="Q43" s="1293">
        <f t="shared" si="5"/>
        <v>221178.48333333354</v>
      </c>
    </row>
    <row r="44" spans="3:17" x14ac:dyDescent="0.2">
      <c r="C44" s="1281" t="s">
        <v>10165</v>
      </c>
      <c r="D44" s="1281" t="s">
        <v>10166</v>
      </c>
      <c r="E44" s="1290">
        <f t="shared" ref="E44:P44" si="8">E13</f>
        <v>0</v>
      </c>
      <c r="F44" s="1290">
        <f t="shared" si="8"/>
        <v>0</v>
      </c>
      <c r="G44" s="1290">
        <f t="shared" si="8"/>
        <v>0</v>
      </c>
      <c r="H44" s="1290">
        <f t="shared" si="8"/>
        <v>0</v>
      </c>
      <c r="I44" s="1290">
        <f t="shared" si="8"/>
        <v>0</v>
      </c>
      <c r="J44" s="1290">
        <f t="shared" si="8"/>
        <v>0</v>
      </c>
      <c r="K44" s="1290">
        <f t="shared" si="8"/>
        <v>0</v>
      </c>
      <c r="L44" s="1290">
        <f t="shared" si="8"/>
        <v>0</v>
      </c>
      <c r="M44" s="1290">
        <f t="shared" si="8"/>
        <v>0</v>
      </c>
      <c r="N44" s="1290">
        <f t="shared" si="8"/>
        <v>0</v>
      </c>
      <c r="O44" s="1290">
        <f t="shared" si="8"/>
        <v>0</v>
      </c>
      <c r="P44" s="1290">
        <f t="shared" si="8"/>
        <v>0</v>
      </c>
      <c r="Q44" s="1293">
        <f t="shared" si="5"/>
        <v>0</v>
      </c>
    </row>
    <row r="45" spans="3:17" x14ac:dyDescent="0.2">
      <c r="C45" s="1281" t="s">
        <v>10167</v>
      </c>
      <c r="D45" s="1281" t="s">
        <v>10168</v>
      </c>
      <c r="E45" s="1290">
        <f t="shared" ref="E45:P45" si="9">E14</f>
        <v>285.52</v>
      </c>
      <c r="F45" s="1290">
        <f t="shared" si="9"/>
        <v>285.52</v>
      </c>
      <c r="G45" s="1290">
        <f t="shared" si="9"/>
        <v>285.52</v>
      </c>
      <c r="H45" s="1290">
        <f t="shared" si="9"/>
        <v>285.52</v>
      </c>
      <c r="I45" s="1290">
        <f t="shared" si="9"/>
        <v>285.52</v>
      </c>
      <c r="J45" s="1290">
        <f t="shared" si="9"/>
        <v>285.52</v>
      </c>
      <c r="K45" s="1290">
        <f t="shared" si="9"/>
        <v>285.52</v>
      </c>
      <c r="L45" s="1290">
        <f t="shared" si="9"/>
        <v>285.52</v>
      </c>
      <c r="M45" s="1290">
        <f t="shared" si="9"/>
        <v>285.52</v>
      </c>
      <c r="N45" s="1290">
        <f t="shared" si="9"/>
        <v>285.52</v>
      </c>
      <c r="O45" s="1290">
        <f t="shared" si="9"/>
        <v>285.52</v>
      </c>
      <c r="P45" s="1290">
        <f t="shared" si="9"/>
        <v>285.52</v>
      </c>
      <c r="Q45" s="1293">
        <f t="shared" si="5"/>
        <v>3426.24</v>
      </c>
    </row>
    <row r="46" spans="3:17" x14ac:dyDescent="0.2">
      <c r="C46" s="1281" t="s">
        <v>10169</v>
      </c>
      <c r="D46" s="1281" t="s">
        <v>10092</v>
      </c>
      <c r="E46" s="1290">
        <f>E15+E26+E32</f>
        <v>1512200.92</v>
      </c>
      <c r="F46" s="1290">
        <f>F15+F26+F27+F32</f>
        <v>1531349.3574999999</v>
      </c>
      <c r="G46" s="1290">
        <f t="shared" ref="G46:P46" si="10">G15+G26+G27+G32</f>
        <v>1692687.4824999999</v>
      </c>
      <c r="H46" s="1290">
        <f t="shared" si="10"/>
        <v>1902294.9824999999</v>
      </c>
      <c r="I46" s="1290">
        <f t="shared" si="10"/>
        <v>2015020.6074999999</v>
      </c>
      <c r="J46" s="1290">
        <f t="shared" si="10"/>
        <v>2228796.2324999999</v>
      </c>
      <c r="K46" s="1290">
        <f t="shared" si="10"/>
        <v>2176240.2641666667</v>
      </c>
      <c r="L46" s="1290">
        <f t="shared" si="10"/>
        <v>2201705.6091666673</v>
      </c>
      <c r="M46" s="1290">
        <f t="shared" si="10"/>
        <v>2206497.2758333338</v>
      </c>
      <c r="N46" s="1290">
        <f t="shared" si="10"/>
        <v>2200847.0625000005</v>
      </c>
      <c r="O46" s="1290">
        <f t="shared" si="10"/>
        <v>2076322.1125000012</v>
      </c>
      <c r="P46" s="1290">
        <f t="shared" si="10"/>
        <v>2076322.1125000012</v>
      </c>
      <c r="Q46" s="1293">
        <f t="shared" si="5"/>
        <v>23820284.019166667</v>
      </c>
    </row>
    <row r="47" spans="3:17" x14ac:dyDescent="0.2">
      <c r="C47" s="1281" t="s">
        <v>10170</v>
      </c>
      <c r="D47" s="1281" t="s">
        <v>10171</v>
      </c>
      <c r="E47" s="1290">
        <f t="shared" ref="E47:P47" si="11">E16</f>
        <v>0</v>
      </c>
      <c r="F47" s="1290">
        <f t="shared" si="11"/>
        <v>0</v>
      </c>
      <c r="G47" s="1290">
        <f t="shared" si="11"/>
        <v>0</v>
      </c>
      <c r="H47" s="1290">
        <f t="shared" si="11"/>
        <v>0</v>
      </c>
      <c r="I47" s="1290">
        <f t="shared" si="11"/>
        <v>0</v>
      </c>
      <c r="J47" s="1290">
        <f t="shared" si="11"/>
        <v>0</v>
      </c>
      <c r="K47" s="1290">
        <f t="shared" si="11"/>
        <v>0</v>
      </c>
      <c r="L47" s="1290">
        <f t="shared" si="11"/>
        <v>0</v>
      </c>
      <c r="M47" s="1290">
        <f t="shared" si="11"/>
        <v>0</v>
      </c>
      <c r="N47" s="1290">
        <f t="shared" si="11"/>
        <v>0</v>
      </c>
      <c r="O47" s="1290">
        <f t="shared" si="11"/>
        <v>0</v>
      </c>
      <c r="P47" s="1290">
        <f t="shared" si="11"/>
        <v>0</v>
      </c>
      <c r="Q47" s="1293">
        <f t="shared" si="5"/>
        <v>0</v>
      </c>
    </row>
    <row r="48" spans="3:17" x14ac:dyDescent="0.2">
      <c r="C48" s="1281" t="s">
        <v>10172</v>
      </c>
      <c r="D48" s="1281" t="s">
        <v>10173</v>
      </c>
      <c r="E48" s="1290">
        <f>E17+E29</f>
        <v>35971.289999999994</v>
      </c>
      <c r="F48" s="1290">
        <f t="shared" ref="F48:P48" si="12">F17+F29</f>
        <v>35964.39666666666</v>
      </c>
      <c r="G48" s="1290">
        <f t="shared" si="12"/>
        <v>35921.016666666663</v>
      </c>
      <c r="H48" s="1290">
        <f t="shared" si="12"/>
        <v>35915.083333333328</v>
      </c>
      <c r="I48" s="1290">
        <f t="shared" si="12"/>
        <v>35838.613333333335</v>
      </c>
      <c r="J48" s="1290">
        <f t="shared" si="12"/>
        <v>38712.949999999997</v>
      </c>
      <c r="K48" s="1290">
        <f t="shared" si="12"/>
        <v>38156.78</v>
      </c>
      <c r="L48" s="1290">
        <f t="shared" si="12"/>
        <v>38281.78</v>
      </c>
      <c r="M48" s="1290">
        <f t="shared" si="12"/>
        <v>38281.78</v>
      </c>
      <c r="N48" s="1290">
        <f t="shared" si="12"/>
        <v>40105.876666666663</v>
      </c>
      <c r="O48" s="1290">
        <f t="shared" si="12"/>
        <v>40105.876666666663</v>
      </c>
      <c r="P48" s="1290">
        <f t="shared" si="12"/>
        <v>41772.543333333335</v>
      </c>
      <c r="Q48" s="1293">
        <f t="shared" si="5"/>
        <v>455027.98666666658</v>
      </c>
    </row>
    <row r="49" spans="3:17" x14ac:dyDescent="0.2">
      <c r="C49" s="1281" t="s">
        <v>10174</v>
      </c>
      <c r="D49" s="1281" t="s">
        <v>10175</v>
      </c>
      <c r="E49" s="1290">
        <f t="shared" ref="E49" si="13">E18</f>
        <v>302.49</v>
      </c>
      <c r="F49" s="1290">
        <f>F18+F31</f>
        <v>302.49</v>
      </c>
      <c r="G49" s="1290">
        <f t="shared" ref="G49:P49" si="14">G18+G31</f>
        <v>302.49</v>
      </c>
      <c r="H49" s="1290">
        <f t="shared" si="14"/>
        <v>1552.49</v>
      </c>
      <c r="I49" s="1290">
        <f t="shared" si="14"/>
        <v>1552.49</v>
      </c>
      <c r="J49" s="1290">
        <f t="shared" si="14"/>
        <v>1552.49</v>
      </c>
      <c r="K49" s="1290">
        <f t="shared" si="14"/>
        <v>1552.49</v>
      </c>
      <c r="L49" s="1290">
        <f t="shared" si="14"/>
        <v>6552.49</v>
      </c>
      <c r="M49" s="1290">
        <f t="shared" si="14"/>
        <v>15719.156666666666</v>
      </c>
      <c r="N49" s="1290">
        <f t="shared" si="14"/>
        <v>16302.49</v>
      </c>
      <c r="O49" s="1290">
        <f t="shared" si="14"/>
        <v>18802.490000000002</v>
      </c>
      <c r="P49" s="1290">
        <f t="shared" si="14"/>
        <v>18802.490000000002</v>
      </c>
      <c r="Q49" s="1293">
        <f t="shared" si="5"/>
        <v>83296.546666666676</v>
      </c>
    </row>
    <row r="50" spans="3:17" x14ac:dyDescent="0.2">
      <c r="C50" s="1281" t="s">
        <v>10176</v>
      </c>
      <c r="D50" s="1281" t="s">
        <v>10177</v>
      </c>
      <c r="E50" s="1290">
        <f t="shared" ref="E50:P50" si="15">E19</f>
        <v>7856.1600000000008</v>
      </c>
      <c r="F50" s="1290">
        <f t="shared" si="15"/>
        <v>7856.1600000000008</v>
      </c>
      <c r="G50" s="1290">
        <f t="shared" si="15"/>
        <v>7856.1600000000008</v>
      </c>
      <c r="H50" s="1290">
        <f t="shared" si="15"/>
        <v>7856.1600000000008</v>
      </c>
      <c r="I50" s="1290">
        <f t="shared" si="15"/>
        <v>7856.1600000000008</v>
      </c>
      <c r="J50" s="1290">
        <f t="shared" si="15"/>
        <v>7856.1600000000008</v>
      </c>
      <c r="K50" s="1290">
        <f t="shared" si="15"/>
        <v>7856.1600000000008</v>
      </c>
      <c r="L50" s="1290">
        <f t="shared" si="15"/>
        <v>7856.1600000000008</v>
      </c>
      <c r="M50" s="1290">
        <f t="shared" si="15"/>
        <v>7856.1600000000008</v>
      </c>
      <c r="N50" s="1290">
        <f t="shared" si="15"/>
        <v>7856.1600000000008</v>
      </c>
      <c r="O50" s="1290">
        <f t="shared" si="15"/>
        <v>7856.1600000000008</v>
      </c>
      <c r="P50" s="1290">
        <f t="shared" si="15"/>
        <v>7856.1600000000008</v>
      </c>
      <c r="Q50" s="1293">
        <f t="shared" si="5"/>
        <v>94273.920000000027</v>
      </c>
    </row>
    <row r="51" spans="3:17" x14ac:dyDescent="0.2">
      <c r="C51" s="1281" t="s">
        <v>10178</v>
      </c>
      <c r="D51" s="1281" t="s">
        <v>10179</v>
      </c>
      <c r="E51" s="1290">
        <f t="shared" ref="E51:P51" si="16">E20</f>
        <v>18309.95</v>
      </c>
      <c r="F51" s="1290">
        <f t="shared" si="16"/>
        <v>18309.95</v>
      </c>
      <c r="G51" s="1290">
        <f t="shared" si="16"/>
        <v>18309.95</v>
      </c>
      <c r="H51" s="1290">
        <f t="shared" si="16"/>
        <v>18309.95</v>
      </c>
      <c r="I51" s="1290">
        <f t="shared" si="16"/>
        <v>18309.95</v>
      </c>
      <c r="J51" s="1290">
        <f t="shared" si="16"/>
        <v>18309.95</v>
      </c>
      <c r="K51" s="1290">
        <f t="shared" si="16"/>
        <v>18309.95</v>
      </c>
      <c r="L51" s="1290">
        <f t="shared" si="16"/>
        <v>18309.95</v>
      </c>
      <c r="M51" s="1290">
        <f t="shared" si="16"/>
        <v>18309.95</v>
      </c>
      <c r="N51" s="1290">
        <f t="shared" si="16"/>
        <v>18309.95</v>
      </c>
      <c r="O51" s="1290">
        <f t="shared" si="16"/>
        <v>18309.95</v>
      </c>
      <c r="P51" s="1290">
        <f t="shared" si="16"/>
        <v>18309.95</v>
      </c>
      <c r="Q51" s="1293">
        <f t="shared" si="5"/>
        <v>219719.40000000005</v>
      </c>
    </row>
    <row r="52" spans="3:17" x14ac:dyDescent="0.2">
      <c r="C52" s="1285" t="s">
        <v>1897</v>
      </c>
      <c r="D52" s="1286"/>
      <c r="E52" s="1294">
        <f>SUM(E40:E51)</f>
        <v>1812968.9799999997</v>
      </c>
      <c r="F52" s="1294">
        <f t="shared" ref="F52" si="17">SUM(F40:F51)</f>
        <v>1831138.0808333331</v>
      </c>
      <c r="G52" s="1294">
        <f t="shared" ref="G52" si="18">SUM(G40:G51)</f>
        <v>1992241.7858333332</v>
      </c>
      <c r="H52" s="1294">
        <f t="shared" ref="H52" si="19">SUM(H40:H51)</f>
        <v>2199947.5025000009</v>
      </c>
      <c r="I52" s="1294">
        <f t="shared" ref="I52" si="20">SUM(I40:I51)</f>
        <v>2318845.5741666672</v>
      </c>
      <c r="J52" s="1294">
        <f t="shared" ref="J52" si="21">SUM(J40:J51)</f>
        <v>2542217.5325000007</v>
      </c>
      <c r="K52" s="1294">
        <f t="shared" ref="K52" si="22">SUM(K40:K51)</f>
        <v>2494366.1608333336</v>
      </c>
      <c r="L52" s="1294">
        <f t="shared" ref="L52" si="23">SUM(L40:L51)</f>
        <v>2530082.0025000009</v>
      </c>
      <c r="M52" s="1294">
        <f t="shared" ref="M52" si="24">SUM(M40:M51)</f>
        <v>2548373.6691666674</v>
      </c>
      <c r="N52" s="1294">
        <f t="shared" ref="N52" si="25">SUM(N40:N51)</f>
        <v>2543686.205833334</v>
      </c>
      <c r="O52" s="1294">
        <f t="shared" ref="O52" si="26">SUM(O40:O51)</f>
        <v>2420676.225833335</v>
      </c>
      <c r="P52" s="1292">
        <f t="shared" ref="P52" si="27">SUM(P40:P51)</f>
        <v>2420365.7125000018</v>
      </c>
      <c r="Q52" s="1293">
        <f t="shared" si="5"/>
        <v>27654909.432500005</v>
      </c>
    </row>
    <row r="55" spans="3:17" x14ac:dyDescent="0.2">
      <c r="F55" s="1431"/>
      <c r="G55" s="1431"/>
      <c r="H55" s="1431"/>
      <c r="I55" s="1431"/>
      <c r="J55" s="1431"/>
      <c r="K55" s="1431"/>
      <c r="L55" s="1431"/>
      <c r="M55" s="1431"/>
      <c r="N55" s="1431"/>
      <c r="O55" s="1431"/>
      <c r="P55" s="1431"/>
    </row>
    <row r="56" spans="3:17" x14ac:dyDescent="0.2">
      <c r="F56" s="1147"/>
      <c r="G56" s="1147"/>
      <c r="H56" s="1147"/>
      <c r="I56" s="1147"/>
      <c r="J56" s="1147"/>
      <c r="K56" s="1147"/>
      <c r="L56" s="1147"/>
      <c r="M56" s="1147"/>
      <c r="N56" s="1147"/>
      <c r="O56" s="1147"/>
      <c r="P56" s="1147"/>
    </row>
    <row r="57" spans="3:17" x14ac:dyDescent="0.2">
      <c r="D57" s="734" t="s">
        <v>10340</v>
      </c>
      <c r="E57" s="734" t="s">
        <v>8</v>
      </c>
      <c r="F57" s="1432" t="s">
        <v>9</v>
      </c>
      <c r="G57" s="734" t="s">
        <v>10</v>
      </c>
      <c r="H57" s="1432" t="s">
        <v>11</v>
      </c>
      <c r="I57" s="734" t="s">
        <v>12</v>
      </c>
      <c r="J57" s="1432" t="s">
        <v>13</v>
      </c>
      <c r="K57" s="734" t="s">
        <v>14</v>
      </c>
      <c r="L57" s="1432" t="s">
        <v>15</v>
      </c>
      <c r="M57" s="734" t="s">
        <v>16</v>
      </c>
      <c r="N57" s="1432" t="s">
        <v>17</v>
      </c>
      <c r="O57" s="734" t="s">
        <v>18</v>
      </c>
      <c r="P57" s="1432" t="s">
        <v>19</v>
      </c>
      <c r="Q57" s="734" t="s">
        <v>135</v>
      </c>
    </row>
    <row r="58" spans="3:17" x14ac:dyDescent="0.2">
      <c r="D58" s="734" t="s">
        <v>10341</v>
      </c>
      <c r="E58" s="738">
        <f>'[10]DEDUCCION INMEDIATA'!$J$68</f>
        <v>1386925.5483333336</v>
      </c>
      <c r="F58" s="738">
        <f>'[10]DEDUCCION INMEDIATA'!$J$68</f>
        <v>1386925.5483333336</v>
      </c>
      <c r="G58" s="738">
        <f>'[10]DEDUCCION INMEDIATA'!$J$68</f>
        <v>1386925.5483333336</v>
      </c>
      <c r="H58" s="738">
        <f>'[10]DEDUCCION INMEDIATA'!$J$68</f>
        <v>1386925.5483333336</v>
      </c>
      <c r="I58" s="738">
        <f>'[10]DEDUCCION INMEDIATA'!$J$68</f>
        <v>1386925.5483333336</v>
      </c>
      <c r="J58" s="738">
        <f>'[10]DEDUCCION INMEDIATA'!$J$68</f>
        <v>1386925.5483333336</v>
      </c>
      <c r="K58" s="738">
        <f>'[10]DEDUCCION INMEDIATA'!$J$68</f>
        <v>1386925.5483333336</v>
      </c>
      <c r="L58" s="738">
        <f>'[10]DEDUCCION INMEDIATA'!$J$68</f>
        <v>1386925.5483333336</v>
      </c>
      <c r="M58" s="738">
        <f>'[10]DEDUCCION INMEDIATA'!$J$68</f>
        <v>1386925.5483333336</v>
      </c>
      <c r="N58" s="738">
        <f>'[10]DEDUCCION INMEDIATA'!$J$68</f>
        <v>1386925.5483333336</v>
      </c>
      <c r="O58" s="738">
        <f>'[10]DEDUCCION INMEDIATA'!$J$68</f>
        <v>1386925.5483333336</v>
      </c>
      <c r="P58" s="738">
        <f>'[10]DEDUCCION INMEDIATA'!$J$68</f>
        <v>1386925.5483333336</v>
      </c>
      <c r="Q58" s="1147">
        <f>SUM(E58:P58)</f>
        <v>16643106.580000004</v>
      </c>
    </row>
    <row r="60" spans="3:17" ht="25.5" x14ac:dyDescent="0.2">
      <c r="C60" s="1243" t="s">
        <v>10193</v>
      </c>
      <c r="D60" s="1150" t="s">
        <v>10344</v>
      </c>
      <c r="E60" s="1428" t="s">
        <v>10180</v>
      </c>
      <c r="F60" s="1429" t="s">
        <v>10181</v>
      </c>
      <c r="G60" s="1429" t="s">
        <v>10182</v>
      </c>
      <c r="H60" s="1429" t="s">
        <v>10183</v>
      </c>
      <c r="I60" s="1429" t="s">
        <v>10184</v>
      </c>
      <c r="J60" s="1429" t="s">
        <v>10185</v>
      </c>
      <c r="K60" s="1429" t="s">
        <v>10186</v>
      </c>
      <c r="L60" s="1429" t="s">
        <v>10187</v>
      </c>
      <c r="M60" s="1429" t="s">
        <v>10188</v>
      </c>
      <c r="N60" s="1429" t="s">
        <v>10189</v>
      </c>
      <c r="O60" s="1429" t="s">
        <v>10190</v>
      </c>
      <c r="P60" s="1430" t="s">
        <v>10191</v>
      </c>
    </row>
    <row r="61" spans="3:17" x14ac:dyDescent="0.2">
      <c r="C61">
        <v>48</v>
      </c>
      <c r="D61" s="1214" t="s">
        <v>10129</v>
      </c>
      <c r="E61" s="738"/>
      <c r="F61" s="738">
        <f>E61+('Inversiones 2014'!L105/'Depreciación 2014'!$C61)</f>
        <v>0</v>
      </c>
      <c r="G61" s="738">
        <f>F61+(('Inversiones 2014'!M105+(92100*6*13))/'Depreciación 2014'!$C61)</f>
        <v>161338.125</v>
      </c>
      <c r="H61" s="738">
        <f>G61+('Inversiones 2014'!N105/'Depreciación 2014'!$C61)</f>
        <v>351797.1875</v>
      </c>
      <c r="I61" s="738">
        <f>H61+('Inversiones 2014'!O105/'Depreciación 2014'!$C61)</f>
        <v>464522.8125</v>
      </c>
      <c r="J61" s="738">
        <f>I61+('Inversiones 2014'!P105/'Depreciación 2014'!$C61)</f>
        <v>678298.4375</v>
      </c>
      <c r="K61" s="738">
        <f>J61+('Inversiones 2014'!Q105/'Depreciación 2014'!$C61)</f>
        <v>678298.4375</v>
      </c>
      <c r="L61" s="738">
        <f>K61+('Inversiones 2014'!R105/'Depreciación 2014'!$C61)</f>
        <v>678298.4375</v>
      </c>
      <c r="M61" s="738">
        <f>L61+('Inversiones 2014'!S105/'Depreciación 2014'!$C61)</f>
        <v>678298.4375</v>
      </c>
      <c r="N61" s="738">
        <f>M61+('Inversiones 2014'!T105/'Depreciación 2014'!$C61)</f>
        <v>678298.4375</v>
      </c>
      <c r="O61" s="738">
        <f>N61+('Inversiones 2014'!U105/'Depreciación 2014'!$C61)</f>
        <v>678298.4375</v>
      </c>
      <c r="P61" s="738">
        <f>O61+('Inversiones 2014'!V105/'Depreciación 2014'!$C61)</f>
        <v>678298.4375</v>
      </c>
    </row>
    <row r="62" spans="3:17" x14ac:dyDescent="0.2">
      <c r="C62">
        <v>48</v>
      </c>
      <c r="D62" s="1214" t="s">
        <v>10207</v>
      </c>
      <c r="E62" s="738"/>
      <c r="F62" s="738">
        <f>E62+('Inversiones 2014'!L106/'Depreciación 2014'!$C62)</f>
        <v>38296.875</v>
      </c>
      <c r="G62" s="738">
        <f>F62+('Inversiones 2014'!M106/'Depreciación 2014'!$C62)</f>
        <v>38296.875</v>
      </c>
      <c r="H62" s="738">
        <f>G62+('Inversiones 2014'!N106/'Depreciación 2014'!$C62)</f>
        <v>76593.75</v>
      </c>
      <c r="I62" s="738">
        <f>H62+('Inversiones 2014'!O106/'Depreciación 2014'!$C62)</f>
        <v>76593.75</v>
      </c>
      <c r="J62" s="738">
        <f>I62+('Inversiones 2014'!P106/'Depreciación 2014'!$C62)</f>
        <v>76593.75</v>
      </c>
      <c r="K62" s="738">
        <f>J62+('Inversiones 2014'!Q106/'Depreciación 2014'!$C62)</f>
        <v>162583.33333333331</v>
      </c>
      <c r="L62" s="738">
        <f>K62+('Inversiones 2014'!R106/'Depreciación 2014'!$C62)</f>
        <v>224197.91666666666</v>
      </c>
      <c r="M62" s="738">
        <f>L62+('Inversiones 2014'!S106/'Depreciación 2014'!$C62)</f>
        <v>224197.91666666666</v>
      </c>
      <c r="N62" s="738">
        <f>M62+('Inversiones 2014'!T106/'Depreciación 2014'!$C62)</f>
        <v>224197.91666666666</v>
      </c>
      <c r="O62" s="738">
        <f>N62+('Inversiones 2014'!U106/'Depreciación 2014'!$C62)</f>
        <v>224197.91666666666</v>
      </c>
      <c r="P62" s="738">
        <f>O62+('Inversiones 2014'!V106/'Depreciación 2014'!$C62)</f>
        <v>224197.91666666666</v>
      </c>
    </row>
    <row r="63" spans="3:17" x14ac:dyDescent="0.2">
      <c r="C63">
        <v>39</v>
      </c>
      <c r="D63" s="1214" t="s">
        <v>10093</v>
      </c>
      <c r="E63" s="738"/>
      <c r="F63" s="738">
        <f>E63+('Inversiones 2014'!L112/'Depreciación 2014'!$C63)</f>
        <v>115.38461538461539</v>
      </c>
      <c r="G63" s="738">
        <f>F63+('Inversiones 2014'!M112/'Depreciación 2014'!$C63)</f>
        <v>115.38461538461539</v>
      </c>
      <c r="H63" s="738">
        <f>G63+('Inversiones 2014'!N112/'Depreciación 2014'!$C63)</f>
        <v>115.38461538461539</v>
      </c>
      <c r="I63" s="738">
        <f>H63+('Inversiones 2014'!O112/'Depreciación 2014'!$C63)</f>
        <v>6730.7692307692305</v>
      </c>
      <c r="J63" s="738">
        <f>I63+('Inversiones 2014'!P112/'Depreciación 2014'!$C63)</f>
        <v>13346.153846153846</v>
      </c>
      <c r="K63" s="738">
        <f>J63+('Inversiones 2014'!Q112/'Depreciación 2014'!$C63)</f>
        <v>19961.538461538461</v>
      </c>
      <c r="L63" s="738">
        <f>K63+('Inversiones 2014'!R112/'Depreciación 2014'!$C63)</f>
        <v>26576.923076923078</v>
      </c>
      <c r="M63" s="738">
        <f>L63+('Inversiones 2014'!S112/'Depreciación 2014'!$C63)</f>
        <v>30876.923076923078</v>
      </c>
      <c r="N63" s="738">
        <f>M63+('Inversiones 2014'!T112/'Depreciación 2014'!$C63)</f>
        <v>30876.923076923078</v>
      </c>
      <c r="O63" s="738">
        <f>N63+('Inversiones 2014'!U112/'Depreciación 2014'!$C63)</f>
        <v>30876.923076923078</v>
      </c>
      <c r="P63" s="738">
        <f>O63+('Inversiones 2014'!V112/'Depreciación 2014'!$C63)</f>
        <v>30876.923076923078</v>
      </c>
    </row>
    <row r="64" spans="3:17" x14ac:dyDescent="0.2">
      <c r="C64">
        <v>120</v>
      </c>
      <c r="D64" s="1214" t="s">
        <v>10094</v>
      </c>
      <c r="E64" s="738"/>
      <c r="F64" s="738">
        <f>E64+('Inversiones 2014'!L109/'Depreciación 2014'!$C64)</f>
        <v>66.666666666666671</v>
      </c>
      <c r="G64" s="738">
        <f>F64+('Inversiones 2014'!M109/'Depreciación 2014'!$C64)</f>
        <v>66.666666666666671</v>
      </c>
      <c r="H64" s="738">
        <f>G64+('Inversiones 2014'!N109/'Depreciación 2014'!$C64)</f>
        <v>195.83333333333331</v>
      </c>
      <c r="I64" s="738">
        <f>H64+('Inversiones 2014'!O109/'Depreciación 2014'!$C64)</f>
        <v>195.83333333333331</v>
      </c>
      <c r="J64" s="738">
        <f>I64+('Inversiones 2014'!P109/'Depreciación 2014'!$C64)</f>
        <v>3112.5</v>
      </c>
      <c r="K64" s="738">
        <f>J64+('Inversiones 2014'!Q109/'Depreciación 2014'!$C64)</f>
        <v>3112.5</v>
      </c>
      <c r="L64" s="738">
        <f>K64+('Inversiones 2014'!R109/'Depreciación 2014'!$C64)</f>
        <v>3237.5</v>
      </c>
      <c r="M64" s="738">
        <f>L64+('Inversiones 2014'!S109/'Depreciación 2014'!$C64)</f>
        <v>3237.5</v>
      </c>
      <c r="N64" s="738">
        <f>M64+('Inversiones 2014'!T109/'Depreciación 2014'!$C64)</f>
        <v>5104.166666666667</v>
      </c>
      <c r="O64" s="738">
        <f>N64+('Inversiones 2014'!U109/'Depreciación 2014'!$C64)</f>
        <v>5104.166666666667</v>
      </c>
      <c r="P64" s="738">
        <f>O64+('Inversiones 2014'!V109/'Depreciación 2014'!$C64)</f>
        <v>6770.8333333333339</v>
      </c>
    </row>
    <row r="65" spans="3:17" x14ac:dyDescent="0.2">
      <c r="C65">
        <v>120</v>
      </c>
      <c r="D65" s="1214" t="s">
        <v>10095</v>
      </c>
      <c r="E65" s="738"/>
      <c r="F65" s="738">
        <f>E65+('Inversiones 2014'!L111/'Depreciación 2014'!$C65)</f>
        <v>541.66666666666663</v>
      </c>
      <c r="G65" s="738">
        <f>F65+('Inversiones 2014'!M111/'Depreciación 2014'!$C65)</f>
        <v>541.66666666666663</v>
      </c>
      <c r="H65" s="738">
        <f>G65+('Inversiones 2014'!N111/'Depreciación 2014'!$C65)</f>
        <v>541.66666666666663</v>
      </c>
      <c r="I65" s="738">
        <f>H65+('Inversiones 2014'!O111/'Depreciación 2014'!$C65)</f>
        <v>541.66666666666663</v>
      </c>
      <c r="J65" s="738">
        <f>I65+('Inversiones 2014'!P111/'Depreciación 2014'!$C65)</f>
        <v>541.66666666666663</v>
      </c>
      <c r="K65" s="738">
        <f>J65+('Inversiones 2014'!Q111/'Depreciación 2014'!$C65)</f>
        <v>541.66666666666663</v>
      </c>
      <c r="L65" s="738">
        <f>K65+('Inversiones 2014'!R111/'Depreciación 2014'!$C65)</f>
        <v>541.66666666666663</v>
      </c>
      <c r="M65" s="738">
        <f>L65+('Inversiones 2014'!S111/'Depreciación 2014'!$C65)</f>
        <v>541.66666666666663</v>
      </c>
      <c r="N65" s="738">
        <f>M65+('Inversiones 2014'!T111/'Depreciación 2014'!$C65)</f>
        <v>541.66666666666663</v>
      </c>
      <c r="O65" s="738">
        <f>N65+('Inversiones 2014'!U111/'Depreciación 2014'!$C65)</f>
        <v>541.66666666666663</v>
      </c>
      <c r="P65" s="738">
        <f>O65+('Inversiones 2014'!V111/'Depreciación 2014'!$C65)</f>
        <v>541.66666666666663</v>
      </c>
    </row>
    <row r="66" spans="3:17" x14ac:dyDescent="0.2">
      <c r="C66">
        <v>120</v>
      </c>
      <c r="D66" s="1214" t="s">
        <v>10130</v>
      </c>
      <c r="E66" s="738"/>
      <c r="F66" s="738">
        <f>E66+('Inversiones 2014'!L110/'Depreciación 2014'!$C66)</f>
        <v>0</v>
      </c>
      <c r="G66" s="738">
        <f>F66+('Inversiones 2014'!M110/'Depreciación 2014'!$C66)</f>
        <v>0</v>
      </c>
      <c r="H66" s="738">
        <f>G66+('Inversiones 2014'!N110/'Depreciación 2014'!$C66)</f>
        <v>1250</v>
      </c>
      <c r="I66" s="738">
        <f>H66+('Inversiones 2014'!O110/'Depreciación 2014'!$C66)</f>
        <v>1250</v>
      </c>
      <c r="J66" s="738">
        <f>I66+('Inversiones 2014'!P110/'Depreciación 2014'!$C66)</f>
        <v>1250</v>
      </c>
      <c r="K66" s="738">
        <f>J66+('Inversiones 2014'!Q110/'Depreciación 2014'!$C66)</f>
        <v>1250</v>
      </c>
      <c r="L66" s="738">
        <f>K66+('Inversiones 2014'!R110/'Depreciación 2014'!$C66)</f>
        <v>6250</v>
      </c>
      <c r="M66" s="738">
        <f>L66+('Inversiones 2014'!S110/'Depreciación 2014'!$C66)</f>
        <v>15416.666666666666</v>
      </c>
      <c r="N66" s="738">
        <f>M66+('Inversiones 2014'!T110/'Depreciación 2014'!$C66)</f>
        <v>16000</v>
      </c>
      <c r="O66" s="738">
        <f>N66+('Inversiones 2014'!U110/'Depreciación 2014'!$C66)</f>
        <v>18500</v>
      </c>
      <c r="P66" s="738">
        <f>O66+('Inversiones 2014'!V110/'Depreciación 2014'!$C66)</f>
        <v>18500</v>
      </c>
    </row>
    <row r="67" spans="3:17" x14ac:dyDescent="0.2">
      <c r="C67">
        <v>48</v>
      </c>
      <c r="D67" s="1214" t="s">
        <v>10337</v>
      </c>
      <c r="E67" s="738"/>
      <c r="F67" s="738">
        <f>E67+('Inversiones 2014'!L107/'Depreciación 2014'!$C67)</f>
        <v>0</v>
      </c>
      <c r="G67" s="738">
        <f>F67+('Inversiones 2014'!M107/'Depreciación 2014'!$C67)</f>
        <v>0</v>
      </c>
      <c r="H67" s="738">
        <f>G67+('Inversiones 2014'!N107/'Depreciación 2014'!$C67)</f>
        <v>0</v>
      </c>
      <c r="I67" s="738">
        <f>H67+('Inversiones 2014'!O107/'Depreciación 2014'!$C67)</f>
        <v>0</v>
      </c>
      <c r="J67" s="738">
        <f>I67+('Inversiones 2014'!P107/'Depreciación 2014'!$C67)</f>
        <v>0</v>
      </c>
      <c r="K67" s="738">
        <f>J67+('Inversiones 2014'!Q107/'Depreciación 2014'!$C67)</f>
        <v>0</v>
      </c>
      <c r="L67" s="738">
        <f>K67+('Inversiones 2014'!R107/'Depreciación 2014'!$C67)</f>
        <v>3458.3333333333335</v>
      </c>
      <c r="M67" s="738">
        <f>L67+('Inversiones 2014'!S107/'Depreciación 2014'!$C67)</f>
        <v>8250</v>
      </c>
      <c r="N67" s="738">
        <f>M67+('Inversiones 2014'!T107/'Depreciación 2014'!$C67)</f>
        <v>13041.666666666668</v>
      </c>
      <c r="O67" s="738">
        <f>N67+('Inversiones 2014'!U107/'Depreciación 2014'!$C67)</f>
        <v>13041.666666666668</v>
      </c>
      <c r="P67" s="738">
        <f>O67+('Inversiones 2014'!V107/'Depreciación 2014'!$C67)</f>
        <v>13041.666666666668</v>
      </c>
    </row>
    <row r="68" spans="3:17" ht="13.5" thickBot="1" x14ac:dyDescent="0.25">
      <c r="D68" s="1214" t="s">
        <v>10116</v>
      </c>
      <c r="E68" s="1215">
        <f>SUM(E61:E67)</f>
        <v>0</v>
      </c>
      <c r="F68" s="1215">
        <f t="shared" ref="F68:H68" si="28">SUM(F61:F67)</f>
        <v>39020.592948717946</v>
      </c>
      <c r="G68" s="1215">
        <f t="shared" si="28"/>
        <v>200358.71794871794</v>
      </c>
      <c r="H68" s="1215">
        <f t="shared" si="28"/>
        <v>430493.82211538462</v>
      </c>
      <c r="I68" s="1215">
        <f>SUM(I61:I67)</f>
        <v>549834.83173076925</v>
      </c>
      <c r="J68" s="1215">
        <f t="shared" ref="J68:P68" si="29">SUM(J61:J67)</f>
        <v>773142.5080128205</v>
      </c>
      <c r="K68" s="1215">
        <f t="shared" si="29"/>
        <v>865747.47596153838</v>
      </c>
      <c r="L68" s="1215">
        <f t="shared" si="29"/>
        <v>942560.77724358975</v>
      </c>
      <c r="M68" s="1215">
        <f t="shared" si="29"/>
        <v>960819.11057692301</v>
      </c>
      <c r="N68" s="1215">
        <f t="shared" si="29"/>
        <v>968060.77724358963</v>
      </c>
      <c r="O68" s="1215">
        <f t="shared" si="29"/>
        <v>970560.77724358963</v>
      </c>
      <c r="P68" s="1215">
        <f t="shared" si="29"/>
        <v>972227.44391025638</v>
      </c>
    </row>
    <row r="72" spans="3:17" x14ac:dyDescent="0.2">
      <c r="D72" s="734" t="s">
        <v>10342</v>
      </c>
      <c r="E72" s="738">
        <f>E58+E68</f>
        <v>1386925.5483333336</v>
      </c>
      <c r="F72" s="738">
        <f t="shared" ref="F72:P72" si="30">F58+F68</f>
        <v>1425946.1412820516</v>
      </c>
      <c r="G72" s="738">
        <f t="shared" si="30"/>
        <v>1587284.2662820516</v>
      </c>
      <c r="H72" s="738">
        <f t="shared" si="30"/>
        <v>1817419.3704487183</v>
      </c>
      <c r="I72" s="738">
        <f t="shared" si="30"/>
        <v>1936760.3800641028</v>
      </c>
      <c r="J72" s="738">
        <f t="shared" si="30"/>
        <v>2160068.0563461538</v>
      </c>
      <c r="K72" s="738">
        <f t="shared" si="30"/>
        <v>2252673.0242948718</v>
      </c>
      <c r="L72" s="738">
        <f t="shared" si="30"/>
        <v>2329486.3255769233</v>
      </c>
      <c r="M72" s="738">
        <f t="shared" si="30"/>
        <v>2347744.6589102568</v>
      </c>
      <c r="N72" s="738">
        <f t="shared" si="30"/>
        <v>2354986.3255769233</v>
      </c>
      <c r="O72" s="738">
        <f t="shared" si="30"/>
        <v>2357486.3255769233</v>
      </c>
      <c r="P72" s="738">
        <f t="shared" si="30"/>
        <v>2359152.9922435898</v>
      </c>
      <c r="Q72" s="738">
        <f>SUM(E72:P72)</f>
        <v>24315933.414935902</v>
      </c>
    </row>
    <row r="74" spans="3:17" x14ac:dyDescent="0.2">
      <c r="G74" s="1147"/>
    </row>
  </sheetData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6"/>
  <sheetViews>
    <sheetView topLeftCell="A37" workbookViewId="0">
      <selection activeCell="F55" sqref="F55"/>
    </sheetView>
  </sheetViews>
  <sheetFormatPr baseColWidth="10" defaultRowHeight="12.75" x14ac:dyDescent="0.2"/>
  <cols>
    <col min="1" max="1" width="40.140625" customWidth="1"/>
    <col min="2" max="2" width="11" customWidth="1"/>
    <col min="3" max="3" width="16.28515625" style="742" customWidth="1"/>
    <col min="4" max="4" width="10.85546875" style="742" bestFit="1" customWidth="1"/>
    <col min="5" max="5" width="9.85546875" style="742" bestFit="1" customWidth="1"/>
    <col min="6" max="13" width="14.42578125" style="89" bestFit="1" customWidth="1"/>
    <col min="14" max="14" width="18.5703125" style="89" bestFit="1" customWidth="1"/>
    <col min="15" max="15" width="14.42578125" style="89" bestFit="1" customWidth="1"/>
    <col min="16" max="16" width="18.5703125" style="89" bestFit="1" customWidth="1"/>
    <col min="17" max="17" width="16.85546875" style="89" bestFit="1" customWidth="1"/>
    <col min="18" max="31" width="11.42578125" style="53"/>
  </cols>
  <sheetData>
    <row r="1" spans="1:31" ht="21.75" thickBot="1" x14ac:dyDescent="0.4">
      <c r="A1" s="1164" t="s">
        <v>9798</v>
      </c>
      <c r="B1" s="1164"/>
      <c r="C1" s="1165"/>
    </row>
    <row r="2" spans="1:31" ht="22.5" thickTop="1" thickBot="1" x14ac:dyDescent="0.4">
      <c r="A2" s="1164" t="s">
        <v>10194</v>
      </c>
      <c r="B2" s="1164"/>
      <c r="C2" s="1165"/>
    </row>
    <row r="3" spans="1:31" s="746" customFormat="1" ht="15.75" thickTop="1" x14ac:dyDescent="0.25">
      <c r="A3" s="743"/>
      <c r="B3" s="743"/>
      <c r="C3" s="744" t="s">
        <v>9800</v>
      </c>
      <c r="D3" s="1166" t="s">
        <v>9801</v>
      </c>
      <c r="E3" s="1166" t="s">
        <v>9802</v>
      </c>
      <c r="F3" s="744" t="s">
        <v>303</v>
      </c>
      <c r="G3" s="744" t="s">
        <v>304</v>
      </c>
      <c r="H3" s="744" t="s">
        <v>305</v>
      </c>
      <c r="I3" s="744" t="s">
        <v>306</v>
      </c>
      <c r="J3" s="744" t="s">
        <v>307</v>
      </c>
      <c r="K3" s="744" t="s">
        <v>308</v>
      </c>
      <c r="L3" s="744" t="s">
        <v>309</v>
      </c>
      <c r="M3" s="744" t="s">
        <v>310</v>
      </c>
      <c r="N3" s="744" t="s">
        <v>311</v>
      </c>
      <c r="O3" s="744" t="s">
        <v>312</v>
      </c>
      <c r="P3" s="744" t="s">
        <v>313</v>
      </c>
      <c r="Q3" s="744" t="s">
        <v>314</v>
      </c>
      <c r="R3" s="745"/>
      <c r="S3" s="745"/>
      <c r="T3" s="745"/>
      <c r="U3" s="745"/>
      <c r="V3" s="745"/>
      <c r="W3" s="745"/>
      <c r="X3" s="745"/>
      <c r="Y3" s="745"/>
      <c r="Z3" s="745"/>
      <c r="AA3" s="745"/>
      <c r="AB3" s="745"/>
      <c r="AC3" s="745"/>
      <c r="AD3" s="745"/>
      <c r="AE3" s="745"/>
    </row>
    <row r="4" spans="1:31" s="751" customFormat="1" ht="12" x14ac:dyDescent="0.2">
      <c r="A4" s="747" t="s">
        <v>9803</v>
      </c>
      <c r="B4" s="747" t="s">
        <v>10360</v>
      </c>
      <c r="C4" s="1167" t="s">
        <v>10361</v>
      </c>
      <c r="D4" s="1168"/>
      <c r="E4" s="1168"/>
      <c r="F4" s="749"/>
      <c r="G4" s="749"/>
      <c r="H4" s="748"/>
      <c r="I4" s="748"/>
      <c r="J4" s="748"/>
      <c r="K4" s="748"/>
      <c r="L4" s="748"/>
      <c r="M4" s="748"/>
      <c r="N4" s="748"/>
      <c r="O4" s="748"/>
      <c r="P4" s="748"/>
      <c r="Q4" s="748"/>
      <c r="R4" s="750"/>
      <c r="S4" s="750"/>
      <c r="T4" s="750"/>
      <c r="U4" s="750"/>
      <c r="V4" s="750"/>
      <c r="W4" s="750"/>
      <c r="X4" s="750"/>
      <c r="Y4" s="750"/>
      <c r="Z4" s="750"/>
      <c r="AA4" s="750"/>
      <c r="AB4" s="750"/>
      <c r="AC4" s="750"/>
      <c r="AD4" s="750"/>
      <c r="AE4" s="750"/>
    </row>
    <row r="5" spans="1:31" s="751" customFormat="1" ht="12" x14ac:dyDescent="0.2">
      <c r="A5" s="752" t="s">
        <v>9804</v>
      </c>
      <c r="B5" s="1169">
        <f>5336596+8965482+1434477</f>
        <v>15736555</v>
      </c>
      <c r="C5" s="748">
        <v>13261709</v>
      </c>
      <c r="D5" s="1168"/>
      <c r="E5" s="1168"/>
      <c r="F5" s="748">
        <f>VLOOKUP(F3,[13]CÉDULA!$A$18:$AC$29,(4),FALSE)+VLOOKUP(F3,[13]CÉDULA!$A$18:$AC$29,8,FALSE)+VLOOKUP(F3,[13]CÉDULA!$A$18:$AC$29,9,FALSE)</f>
        <v>215468</v>
      </c>
      <c r="G5" s="748">
        <f>VLOOKUP(G3,[13]CÉDULA!$A$18:$AC$29,(4),FALSE)+VLOOKUP(G3,[13]CÉDULA!$A$18:$AC$29,8,FALSE)+VLOOKUP(G3,[13]CÉDULA!$A$18:$AC$29,9,FALSE)</f>
        <v>214069</v>
      </c>
      <c r="H5" s="748">
        <f>VLOOKUP(H3,[13]CÉDULA!$A$18:$AC$29,(4),FALSE)+VLOOKUP(H3,[13]CÉDULA!$A$18:$AC$29,8,FALSE)+VLOOKUP(H3,[13]CÉDULA!$A$18:$AC$29,9,FALSE)</f>
        <v>212659</v>
      </c>
      <c r="I5" s="748">
        <f>VLOOKUP(I3,[13]CÉDULA!$A$18:$AC$29,(4),FALSE)+VLOOKUP(I3,[13]CÉDULA!$A$18:$AC$29,8,FALSE)+VLOOKUP(I3,[13]CÉDULA!$A$18:$AC$29,9,FALSE)</f>
        <v>211241</v>
      </c>
      <c r="J5" s="748">
        <f>VLOOKUP(J3,[13]CÉDULA!$A$18:$AC$29,(4),FALSE)+VLOOKUP(J3,[13]CÉDULA!$A$18:$AC$29,8,FALSE)+VLOOKUP(J3,[13]CÉDULA!$A$18:$AC$29,9,FALSE)</f>
        <v>209815</v>
      </c>
      <c r="K5" s="748">
        <f>VLOOKUP(K3,[13]CÉDULA!$A$18:$AC$29,(4),FALSE)+VLOOKUP(K3,[13]CÉDULA!$A$18:$AC$29,8,FALSE)+VLOOKUP(K3,[13]CÉDULA!$A$18:$AC$29,9,FALSE)</f>
        <v>208379</v>
      </c>
      <c r="L5" s="748">
        <f>VLOOKUP(L3,[13]CÉDULA!$A$18:$AC$29,(4),FALSE)+VLOOKUP(L3,[13]CÉDULA!$A$18:$AC$29,8,FALSE)+VLOOKUP(L3,[13]CÉDULA!$A$18:$AC$29,9,FALSE)</f>
        <v>206934</v>
      </c>
      <c r="M5" s="748">
        <f>VLOOKUP(M3,[13]CÉDULA!$A$18:$AC$29,(4),FALSE)+VLOOKUP(M3,[13]CÉDULA!$A$18:$AC$29,8,FALSE)+VLOOKUP(M3,[13]CÉDULA!$A$18:$AC$29,9,FALSE)</f>
        <v>205481</v>
      </c>
      <c r="N5" s="748">
        <f>VLOOKUP(N3,[13]CÉDULA!$A$18:$AC$29,(4),FALSE)+VLOOKUP(N3,[13]CÉDULA!$A$18:$AC$29,8,FALSE)+VLOOKUP(N3,[13]CÉDULA!$A$18:$AC$29,9,FALSE)</f>
        <v>204018</v>
      </c>
      <c r="O5" s="748">
        <f>VLOOKUP(O3,[13]CÉDULA!$A$18:$AC$29,(4),FALSE)+VLOOKUP(O3,[13]CÉDULA!$A$18:$AC$29,8,FALSE)+VLOOKUP(O3,[13]CÉDULA!$A$18:$AC$29,9,FALSE)</f>
        <v>202545</v>
      </c>
      <c r="P5" s="748">
        <f>VLOOKUP(P3,[13]CÉDULA!$A$18:$AC$29,(4),FALSE)+VLOOKUP(P3,[13]CÉDULA!$A$18:$AC$29,8,FALSE)+VLOOKUP(P3,[13]CÉDULA!$A$18:$AC$29,9,FALSE)</f>
        <v>201064</v>
      </c>
      <c r="Q5" s="748">
        <f>VLOOKUP(Q3,[13]CÉDULA!$A$18:$AC$29,(4),FALSE)+VLOOKUP(Q3,[13]CÉDULA!$A$18:$AC$29,8,FALSE)+VLOOKUP(Q3,[13]CÉDULA!$A$18:$AC$29,9,FALSE)</f>
        <v>216860</v>
      </c>
      <c r="R5" s="753"/>
      <c r="S5" s="750"/>
      <c r="T5" s="750"/>
      <c r="U5" s="750"/>
      <c r="V5" s="750"/>
      <c r="W5" s="750"/>
      <c r="X5" s="750"/>
      <c r="Y5" s="750"/>
      <c r="Z5" s="750"/>
      <c r="AA5" s="750"/>
      <c r="AB5" s="750"/>
      <c r="AC5" s="750"/>
      <c r="AD5" s="750"/>
      <c r="AE5" s="750"/>
    </row>
    <row r="6" spans="1:31" s="751" customFormat="1" ht="12" x14ac:dyDescent="0.2">
      <c r="A6" s="752" t="s">
        <v>4524</v>
      </c>
      <c r="B6" s="1169">
        <f>17032995+2677464+428394</f>
        <v>20138853</v>
      </c>
      <c r="C6" s="748">
        <v>16974691</v>
      </c>
      <c r="D6" s="1168"/>
      <c r="E6" s="1168"/>
      <c r="F6" s="748">
        <f>VLOOKUP(F3,[13]CÉDULA!$A$18:$AC$29,(14),FALSE)+VLOOKUP(F3,[13]CÉDULA!$A$18:$AC$29,18,FALSE)+VLOOKUP(F3,[13]CÉDULA!$A$18:$AC$29,19,FALSE)</f>
        <v>275746</v>
      </c>
      <c r="G6" s="748">
        <f>VLOOKUP(G3,[13]CÉDULA!$A$18:$AC$29,(14),FALSE)+VLOOKUP(G3,[13]CÉDULA!$A$18:$AC$29,18,FALSE)+VLOOKUP(G3,[13]CÉDULA!$A$18:$AC$29,19,FALSE)</f>
        <v>273954</v>
      </c>
      <c r="H6" s="748">
        <f>VLOOKUP(H3,[13]CÉDULA!$A$18:$AC$29,(14),FALSE)+VLOOKUP(H3,[13]CÉDULA!$A$18:$AC$29,18,FALSE)+VLOOKUP(H3,[13]CÉDULA!$A$18:$AC$29,19,FALSE)</f>
        <v>272150</v>
      </c>
      <c r="I6" s="748">
        <f>VLOOKUP(I3,[13]CÉDULA!$A$18:$AC$29,(14),FALSE)+VLOOKUP(I3,[13]CÉDULA!$A$18:$AC$29,18,FALSE)+VLOOKUP(I3,[13]CÉDULA!$A$18:$AC$29,19,FALSE)</f>
        <v>270336</v>
      </c>
      <c r="J6" s="748">
        <f>VLOOKUP(J3,[13]CÉDULA!$A$18:$AC$29,(14),FALSE)+VLOOKUP(J3,[13]CÉDULA!$A$18:$AC$29,18,FALSE)+VLOOKUP(J3,[13]CÉDULA!$A$18:$AC$29,19,FALSE)</f>
        <v>268510</v>
      </c>
      <c r="K6" s="748">
        <f>VLOOKUP(K3,[13]CÉDULA!$A$18:$AC$29,(14),FALSE)+VLOOKUP(K3,[13]CÉDULA!$A$18:$AC$29,18,FALSE)+VLOOKUP(K3,[13]CÉDULA!$A$18:$AC$29,19,FALSE)</f>
        <v>266673</v>
      </c>
      <c r="L6" s="748">
        <f>VLOOKUP(L3,[13]CÉDULA!$A$18:$AC$29,(14),FALSE)+VLOOKUP(L3,[13]CÉDULA!$A$18:$AC$29,18,FALSE)+VLOOKUP(L3,[13]CÉDULA!$A$18:$AC$29,19,FALSE)</f>
        <v>264823</v>
      </c>
      <c r="M6" s="748">
        <f>VLOOKUP(M3,[13]CÉDULA!$A$18:$AC$29,(14),FALSE)+VLOOKUP(M3,[13]CÉDULA!$A$18:$AC$29,18,FALSE)+VLOOKUP(M3,[13]CÉDULA!$A$18:$AC$29,19,FALSE)</f>
        <v>262964</v>
      </c>
      <c r="N6" s="748">
        <f>VLOOKUP(N3,[13]CÉDULA!$A$18:$AC$29,(14),FALSE)+VLOOKUP(N3,[13]CÉDULA!$A$18:$AC$29,18,FALSE)+VLOOKUP(N3,[13]CÉDULA!$A$18:$AC$29,19,FALSE)</f>
        <v>261091</v>
      </c>
      <c r="O6" s="748">
        <f>VLOOKUP(O3,[13]CÉDULA!$A$18:$AC$29,(14),FALSE)+VLOOKUP(O3,[13]CÉDULA!$A$18:$AC$29,18,FALSE)+VLOOKUP(O3,[13]CÉDULA!$A$18:$AC$29,19,FALSE)</f>
        <v>259208</v>
      </c>
      <c r="P6" s="748">
        <f>VLOOKUP(P3,[13]CÉDULA!$A$18:$AC$29,(14),FALSE)+VLOOKUP(P3,[13]CÉDULA!$A$18:$AC$29,18,FALSE)+VLOOKUP(P3,[13]CÉDULA!$A$18:$AC$29,19,FALSE)</f>
        <v>257313</v>
      </c>
      <c r="Q6" s="748">
        <f>VLOOKUP(Q3,[13]CÉDULA!$A$18:$AC$29,(14),FALSE)+VLOOKUP(Q3,[13]CÉDULA!$A$18:$AC$29,18,FALSE)+VLOOKUP(Q3,[13]CÉDULA!$A$18:$AC$29,19,FALSE)</f>
        <v>277527</v>
      </c>
      <c r="R6" s="753"/>
      <c r="S6" s="750"/>
      <c r="T6" s="750"/>
      <c r="U6" s="750"/>
      <c r="V6" s="750"/>
      <c r="W6" s="750"/>
      <c r="X6" s="750"/>
      <c r="Y6" s="750"/>
      <c r="Z6" s="750"/>
      <c r="AA6" s="750"/>
      <c r="AB6" s="750"/>
      <c r="AC6" s="750"/>
      <c r="AD6" s="750"/>
      <c r="AE6" s="750"/>
    </row>
    <row r="7" spans="1:31" s="751" customFormat="1" ht="12" x14ac:dyDescent="0.2">
      <c r="A7" s="752" t="s">
        <v>9805</v>
      </c>
      <c r="B7" s="1169">
        <f>4906517+1622684+259629</f>
        <v>6788830</v>
      </c>
      <c r="C7" s="748">
        <v>5721169</v>
      </c>
      <c r="D7" s="1170"/>
      <c r="E7" s="1170"/>
      <c r="F7" s="748">
        <f>VLOOKUP(F3,[13]CÉDULA!$A$18:$AC$29,(23),FALSE)+VLOOKUP(F3,[13]CÉDULA!$A$18:$AC$29,27,FALSE)+VLOOKUP(F3,[13]CÉDULA!$A$18:$AC$29,28,FALSE)</f>
        <v>92954</v>
      </c>
      <c r="G7" s="748">
        <f>VLOOKUP(G3,[13]CÉDULA!$A$18:$AC$29,(23),FALSE)+VLOOKUP(G3,[13]CÉDULA!$A$18:$AC$29,27,FALSE)+VLOOKUP(G3,[13]CÉDULA!$A$18:$AC$29,28,FALSE)</f>
        <v>92351</v>
      </c>
      <c r="H7" s="748">
        <f>VLOOKUP(H3,[13]CÉDULA!$A$18:$AC$29,(23),FALSE)+VLOOKUP(H3,[13]CÉDULA!$A$18:$AC$29,27,FALSE)+VLOOKUP(H3,[13]CÉDULA!$A$18:$AC$29,28,FALSE)</f>
        <v>91742</v>
      </c>
      <c r="I7" s="748">
        <f>VLOOKUP(I3,[13]CÉDULA!$A$18:$AC$29,(23),FALSE)+VLOOKUP(I3,[13]CÉDULA!$A$18:$AC$29,27,FALSE)+VLOOKUP(I3,[13]CÉDULA!$A$18:$AC$29,28,FALSE)</f>
        <v>91130</v>
      </c>
      <c r="J7" s="748">
        <f>VLOOKUP(J3,[13]CÉDULA!$A$18:$AC$29,(23),FALSE)+VLOOKUP(J3,[13]CÉDULA!$A$18:$AC$29,27,FALSE)+VLOOKUP(J3,[13]CÉDULA!$A$18:$AC$29,28,FALSE)</f>
        <v>90515</v>
      </c>
      <c r="K7" s="748">
        <f>VLOOKUP(K3,[13]CÉDULA!$A$18:$AC$29,(23),FALSE)+VLOOKUP(K3,[13]CÉDULA!$A$18:$AC$29,27,FALSE)+VLOOKUP(K3,[13]CÉDULA!$A$18:$AC$29,28,FALSE)</f>
        <v>89896</v>
      </c>
      <c r="L7" s="748">
        <f>VLOOKUP(L3,[13]CÉDULA!$A$18:$AC$29,(23),FALSE)+VLOOKUP(L3,[13]CÉDULA!$A$18:$AC$29,27,FALSE)+VLOOKUP(L3,[13]CÉDULA!$A$18:$AC$29,28,FALSE)</f>
        <v>89272</v>
      </c>
      <c r="M7" s="748">
        <f>VLOOKUP(M3,[13]CÉDULA!$A$18:$AC$29,(23),FALSE)+VLOOKUP(M3,[13]CÉDULA!$A$18:$AC$29,27,FALSE)+VLOOKUP(M3,[13]CÉDULA!$A$18:$AC$29,28,FALSE)</f>
        <v>88645</v>
      </c>
      <c r="N7" s="748">
        <f>VLOOKUP(N3,[13]CÉDULA!$A$18:$AC$29,(23),FALSE)+VLOOKUP(N3,[13]CÉDULA!$A$18:$AC$29,27,FALSE)+VLOOKUP(N3,[13]CÉDULA!$A$18:$AC$29,28,FALSE)</f>
        <v>88014</v>
      </c>
      <c r="O7" s="748">
        <f>VLOOKUP(O3,[13]CÉDULA!$A$18:$AC$29,(23),FALSE)+VLOOKUP(O3,[13]CÉDULA!$A$18:$AC$29,27,FALSE)+VLOOKUP(O3,[13]CÉDULA!$A$18:$AC$29,28,FALSE)</f>
        <v>87380</v>
      </c>
      <c r="P7" s="748">
        <f>VLOOKUP(P3,[13]CÉDULA!$A$18:$AC$29,(23),FALSE)+VLOOKUP(P3,[13]CÉDULA!$A$18:$AC$29,27,FALSE)+VLOOKUP(P3,[13]CÉDULA!$A$18:$AC$29,28,FALSE)</f>
        <v>86740</v>
      </c>
      <c r="Q7" s="748">
        <f>VLOOKUP(Q3,[13]CÉDULA!$A$18:$AC$29,(23),FALSE)+VLOOKUP(Q3,[13]CÉDULA!$A$18:$AC$29,27,FALSE)+VLOOKUP(Q3,[13]CÉDULA!$A$18:$AC$29,28,FALSE)</f>
        <v>93555</v>
      </c>
      <c r="R7" s="753"/>
      <c r="S7" s="750"/>
      <c r="T7" s="750"/>
      <c r="U7" s="750"/>
      <c r="V7" s="750"/>
      <c r="W7" s="750"/>
      <c r="X7" s="750"/>
      <c r="Y7" s="750"/>
      <c r="Z7" s="750"/>
      <c r="AA7" s="750"/>
      <c r="AB7" s="750"/>
      <c r="AC7" s="750"/>
      <c r="AD7" s="750"/>
      <c r="AE7" s="750"/>
    </row>
    <row r="8" spans="1:31" s="758" customFormat="1" thickBot="1" x14ac:dyDescent="0.25">
      <c r="A8" s="754"/>
      <c r="B8" s="755">
        <f>SUM(B5:B7)</f>
        <v>42664238</v>
      </c>
      <c r="C8" s="755">
        <f>SUM(C5:C7)</f>
        <v>35957569</v>
      </c>
      <c r="D8" s="1170"/>
      <c r="E8" s="1170"/>
      <c r="F8" s="755">
        <f t="shared" ref="F8:Q8" si="0">SUM(F5:F7)</f>
        <v>584168</v>
      </c>
      <c r="G8" s="755">
        <f t="shared" si="0"/>
        <v>580374</v>
      </c>
      <c r="H8" s="755">
        <f t="shared" si="0"/>
        <v>576551</v>
      </c>
      <c r="I8" s="755">
        <f t="shared" si="0"/>
        <v>572707</v>
      </c>
      <c r="J8" s="755">
        <f t="shared" si="0"/>
        <v>568840</v>
      </c>
      <c r="K8" s="755">
        <f t="shared" si="0"/>
        <v>564948</v>
      </c>
      <c r="L8" s="755">
        <f t="shared" si="0"/>
        <v>561029</v>
      </c>
      <c r="M8" s="755">
        <f t="shared" si="0"/>
        <v>557090</v>
      </c>
      <c r="N8" s="755">
        <f t="shared" si="0"/>
        <v>553123</v>
      </c>
      <c r="O8" s="755">
        <f t="shared" si="0"/>
        <v>549133</v>
      </c>
      <c r="P8" s="755">
        <f t="shared" si="0"/>
        <v>545117</v>
      </c>
      <c r="Q8" s="755">
        <f t="shared" si="0"/>
        <v>587942</v>
      </c>
      <c r="R8" s="756"/>
      <c r="S8" s="757"/>
      <c r="T8" s="757"/>
      <c r="U8" s="757"/>
      <c r="V8" s="757"/>
      <c r="W8" s="757"/>
      <c r="X8" s="757"/>
      <c r="Y8" s="757"/>
      <c r="Z8" s="757"/>
      <c r="AA8" s="757"/>
      <c r="AB8" s="757"/>
      <c r="AC8" s="757"/>
      <c r="AD8" s="757"/>
      <c r="AE8" s="757"/>
    </row>
    <row r="9" spans="1:31" s="751" customFormat="1" thickTop="1" x14ac:dyDescent="0.2">
      <c r="A9" s="747" t="s">
        <v>9806</v>
      </c>
      <c r="B9" s="747"/>
      <c r="C9" s="748"/>
      <c r="D9" s="1168"/>
      <c r="E9" s="1168"/>
      <c r="F9" s="748"/>
      <c r="G9" s="748"/>
      <c r="H9" s="748"/>
      <c r="I9" s="748"/>
      <c r="J9" s="748"/>
      <c r="K9" s="748"/>
      <c r="L9" s="748"/>
      <c r="M9" s="748"/>
      <c r="N9" s="748"/>
      <c r="O9" s="748"/>
      <c r="P9" s="748"/>
      <c r="Q9" s="748"/>
      <c r="R9" s="750"/>
      <c r="S9" s="750"/>
      <c r="T9" s="750"/>
      <c r="U9" s="750"/>
      <c r="V9" s="750"/>
      <c r="W9" s="750"/>
      <c r="X9" s="750"/>
      <c r="Y9" s="750"/>
      <c r="Z9" s="750"/>
      <c r="AA9" s="750"/>
      <c r="AB9" s="750"/>
      <c r="AC9" s="750"/>
      <c r="AD9" s="750"/>
      <c r="AE9" s="750"/>
    </row>
    <row r="10" spans="1:31" s="751" customFormat="1" ht="12" x14ac:dyDescent="0.2">
      <c r="A10" s="752" t="s">
        <v>9804</v>
      </c>
      <c r="B10" s="752"/>
      <c r="C10" s="748"/>
      <c r="D10" s="1168"/>
      <c r="E10" s="1168"/>
      <c r="F10" s="748">
        <f>VLOOKUP(F3,[13]CÉDULA!$A$18:$AC$29,(3),FALSE)+VLOOKUP(F3,[13]CÉDULA!$A$18:$AC$29,7,FALSE)</f>
        <v>202523</v>
      </c>
      <c r="G10" s="748">
        <f>VLOOKUP(G3,[13]CÉDULA!$A$18:$AC$29,(3),FALSE)+VLOOKUP(G3,[13]CÉDULA!$A$18:$AC$29,7,FALSE)</f>
        <v>203796</v>
      </c>
      <c r="H10" s="748">
        <f>VLOOKUP(H3,[13]CÉDULA!$A$18:$AC$29,(3),FALSE)+VLOOKUP(H3,[13]CÉDULA!$A$18:$AC$29,7,FALSE)</f>
        <v>205076</v>
      </c>
      <c r="I10" s="748">
        <f>VLOOKUP(I3,[13]CÉDULA!$A$18:$AC$29,(3),FALSE)+VLOOKUP(I3,[13]CÉDULA!$A$18:$AC$29,7,FALSE)</f>
        <v>206365</v>
      </c>
      <c r="J10" s="748">
        <f>VLOOKUP(J3,[13]CÉDULA!$A$18:$AC$29,(3),FALSE)+VLOOKUP(J3,[13]CÉDULA!$A$18:$AC$29,7,FALSE)</f>
        <v>207662</v>
      </c>
      <c r="K10" s="748">
        <f>VLOOKUP(K3,[13]CÉDULA!$A$18:$AC$29,(3),FALSE)+VLOOKUP(K3,[13]CÉDULA!$A$18:$AC$29,7,FALSE)</f>
        <v>208967</v>
      </c>
      <c r="L10" s="748">
        <f>VLOOKUP(L3,[13]CÉDULA!$A$18:$AC$29,(3),FALSE)+VLOOKUP(L3,[13]CÉDULA!$A$18:$AC$29,7,FALSE)</f>
        <v>210280</v>
      </c>
      <c r="M10" s="748">
        <f>VLOOKUP(M3,[13]CÉDULA!$A$18:$AC$29,(3),FALSE)+VLOOKUP(M3,[13]CÉDULA!$A$18:$AC$29,7,FALSE)</f>
        <v>211601</v>
      </c>
      <c r="N10" s="748">
        <f>VLOOKUP(N3,[13]CÉDULA!$A$18:$AC$29,(3),FALSE)+VLOOKUP(N3,[13]CÉDULA!$A$18:$AC$29,7,FALSE)</f>
        <v>212931</v>
      </c>
      <c r="O10" s="748">
        <f>VLOOKUP(O3,[13]CÉDULA!$A$18:$AC$29,(3),FALSE)+VLOOKUP(O3,[13]CÉDULA!$A$18:$AC$29,7,FALSE)</f>
        <v>214268</v>
      </c>
      <c r="P10" s="748">
        <f>VLOOKUP(P3,[13]CÉDULA!$A$18:$AC$29,(3),FALSE)+VLOOKUP(P3,[13]CÉDULA!$A$18:$AC$29,7,FALSE)</f>
        <v>215614</v>
      </c>
      <c r="Q10" s="748">
        <f>VLOOKUP(Q3,[13]CÉDULA!$A$18:$AC$29,(3),FALSE)+VLOOKUP(Q3,[13]CÉDULA!$A$18:$AC$29,7,FALSE)</f>
        <v>201259</v>
      </c>
      <c r="R10" s="753"/>
      <c r="S10" s="750"/>
      <c r="T10" s="750"/>
      <c r="U10" s="750"/>
      <c r="V10" s="750"/>
      <c r="W10" s="750"/>
      <c r="X10" s="750"/>
      <c r="Y10" s="750"/>
      <c r="Z10" s="750"/>
      <c r="AA10" s="750"/>
      <c r="AB10" s="750"/>
      <c r="AC10" s="750"/>
      <c r="AD10" s="750"/>
      <c r="AE10" s="750"/>
    </row>
    <row r="11" spans="1:31" s="751" customFormat="1" ht="12" x14ac:dyDescent="0.2">
      <c r="A11" s="752" t="s">
        <v>4524</v>
      </c>
      <c r="B11" s="752"/>
      <c r="C11" s="748"/>
      <c r="D11" s="1168"/>
      <c r="E11" s="1168"/>
      <c r="F11" s="748">
        <f>VLOOKUP(F3,[13]CÉDULA!$A$18:$AC$29,(13),FALSE)+VLOOKUP(F3,[13]CÉDULA!$A$18:$AC$29,17,FALSE)</f>
        <v>279108</v>
      </c>
      <c r="G11" s="748">
        <f>VLOOKUP(G3,[13]CÉDULA!$A$18:$AC$29,(13),FALSE)+VLOOKUP(G3,[13]CÉDULA!$A$18:$AC$29,17,FALSE)</f>
        <v>280862</v>
      </c>
      <c r="H11" s="748">
        <f>VLOOKUP(H3,[13]CÉDULA!$A$18:$AC$29,(13),FALSE)+VLOOKUP(H3,[13]CÉDULA!$A$18:$AC$29,17,FALSE)</f>
        <v>282627</v>
      </c>
      <c r="I11" s="748">
        <f>VLOOKUP(I3,[13]CÉDULA!$A$18:$AC$29,(13),FALSE)+VLOOKUP(I3,[13]CÉDULA!$A$18:$AC$29,17,FALSE)</f>
        <v>284403</v>
      </c>
      <c r="J11" s="748">
        <f>VLOOKUP(J3,[13]CÉDULA!$A$18:$AC$29,(13),FALSE)+VLOOKUP(J3,[13]CÉDULA!$A$18:$AC$29,17,FALSE)</f>
        <v>286190</v>
      </c>
      <c r="K11" s="748">
        <f>VLOOKUP(K3,[13]CÉDULA!$A$18:$AC$29,(13),FALSE)+VLOOKUP(K3,[13]CÉDULA!$A$18:$AC$29,17,FALSE)</f>
        <v>287988</v>
      </c>
      <c r="L11" s="748">
        <f>VLOOKUP(L3,[13]CÉDULA!$A$18:$AC$29,(13),FALSE)+VLOOKUP(L3,[13]CÉDULA!$A$18:$AC$29,17,FALSE)</f>
        <v>289797</v>
      </c>
      <c r="M11" s="748">
        <f>VLOOKUP(M3,[13]CÉDULA!$A$18:$AC$29,(13),FALSE)+VLOOKUP(M3,[13]CÉDULA!$A$18:$AC$29,17,FALSE)</f>
        <v>291618</v>
      </c>
      <c r="N11" s="748">
        <f>VLOOKUP(N3,[13]CÉDULA!$A$18:$AC$29,(13),FALSE)+VLOOKUP(N3,[13]CÉDULA!$A$18:$AC$29,17,FALSE)</f>
        <v>293450</v>
      </c>
      <c r="O11" s="748">
        <f>VLOOKUP(O3,[13]CÉDULA!$A$18:$AC$29,(13),FALSE)+VLOOKUP(O3,[13]CÉDULA!$A$18:$AC$29,17,FALSE)</f>
        <v>295295</v>
      </c>
      <c r="P11" s="748">
        <f>VLOOKUP(P3,[13]CÉDULA!$A$18:$AC$29,(13),FALSE)+VLOOKUP(P3,[13]CÉDULA!$A$18:$AC$29,17,FALSE)</f>
        <v>297150</v>
      </c>
      <c r="Q11" s="748">
        <f>VLOOKUP(Q3,[13]CÉDULA!$A$18:$AC$29,(13),FALSE)+VLOOKUP(Q3,[13]CÉDULA!$A$18:$AC$29,17,FALSE)</f>
        <v>277365</v>
      </c>
      <c r="R11" s="753"/>
      <c r="S11" s="750"/>
      <c r="T11" s="750"/>
      <c r="U11" s="750"/>
      <c r="V11" s="750"/>
      <c r="W11" s="750"/>
      <c r="X11" s="750"/>
      <c r="Y11" s="750"/>
      <c r="Z11" s="750"/>
      <c r="AA11" s="750"/>
      <c r="AB11" s="750"/>
      <c r="AC11" s="750"/>
      <c r="AD11" s="750"/>
      <c r="AE11" s="750"/>
    </row>
    <row r="12" spans="1:31" s="751" customFormat="1" ht="12" x14ac:dyDescent="0.2">
      <c r="A12" s="752" t="s">
        <v>9805</v>
      </c>
      <c r="B12" s="752"/>
      <c r="C12" s="748"/>
      <c r="D12" s="1168"/>
      <c r="E12" s="1168"/>
      <c r="F12" s="748">
        <f>VLOOKUP(F3,[13]CÉDULA!$A$18:$AC$29,(22),FALSE)+VLOOKUP(F3,[13]CÉDULA!$A$18:$AC$29,26,FALSE)</f>
        <v>92456</v>
      </c>
      <c r="G12" s="748">
        <f>VLOOKUP(G3,[13]CÉDULA!$A$18:$AC$29,(22),FALSE)+VLOOKUP(G3,[13]CÉDULA!$A$18:$AC$29,26,FALSE)</f>
        <v>93037</v>
      </c>
      <c r="H12" s="748">
        <f>VLOOKUP(H3,[13]CÉDULA!$A$18:$AC$29,(22),FALSE)+VLOOKUP(H3,[13]CÉDULA!$A$18:$AC$29,26,FALSE)</f>
        <v>93622</v>
      </c>
      <c r="I12" s="748">
        <f>VLOOKUP(I3,[13]CÉDULA!$A$18:$AC$29,(22),FALSE)+VLOOKUP(I3,[13]CÉDULA!$A$18:$AC$29,26,FALSE)</f>
        <v>94210</v>
      </c>
      <c r="J12" s="748">
        <f>VLOOKUP(J3,[13]CÉDULA!$A$18:$AC$29,(22),FALSE)+VLOOKUP(J3,[13]CÉDULA!$A$18:$AC$29,26,FALSE)</f>
        <v>94802</v>
      </c>
      <c r="K12" s="748">
        <f>VLOOKUP(K3,[13]CÉDULA!$A$18:$AC$29,(22),FALSE)+VLOOKUP(K3,[13]CÉDULA!$A$18:$AC$29,26,FALSE)</f>
        <v>95398</v>
      </c>
      <c r="L12" s="748">
        <f>VLOOKUP(L3,[13]CÉDULA!$A$18:$AC$29,(22),FALSE)+VLOOKUP(L3,[13]CÉDULA!$A$18:$AC$29,26,FALSE)</f>
        <v>95997</v>
      </c>
      <c r="M12" s="748">
        <f>VLOOKUP(M3,[13]CÉDULA!$A$18:$AC$29,(22),FALSE)+VLOOKUP(M3,[13]CÉDULA!$A$18:$AC$29,26,FALSE)</f>
        <v>96600</v>
      </c>
      <c r="N12" s="748">
        <f>VLOOKUP(N3,[13]CÉDULA!$A$18:$AC$29,(22),FALSE)+VLOOKUP(N3,[13]CÉDULA!$A$18:$AC$29,26,FALSE)</f>
        <v>97208</v>
      </c>
      <c r="O12" s="748">
        <f>VLOOKUP(O3,[13]CÉDULA!$A$18:$AC$29,(22),FALSE)+VLOOKUP(O3,[13]CÉDULA!$A$18:$AC$29,26,FALSE)</f>
        <v>97818</v>
      </c>
      <c r="P12" s="748">
        <f>VLOOKUP(P3,[13]CÉDULA!$A$18:$AC$29,(22),FALSE)+VLOOKUP(P3,[13]CÉDULA!$A$18:$AC$29,26,FALSE)</f>
        <v>98432</v>
      </c>
      <c r="Q12" s="748">
        <f>VLOOKUP(Q3,[13]CÉDULA!$A$18:$AC$29,(22),FALSE)+VLOOKUP(Q3,[13]CÉDULA!$A$18:$AC$29,26,FALSE)</f>
        <v>91879</v>
      </c>
      <c r="R12" s="753"/>
      <c r="S12" s="750"/>
      <c r="T12" s="750"/>
      <c r="U12" s="750"/>
      <c r="V12" s="750"/>
      <c r="W12" s="750"/>
      <c r="X12" s="750"/>
      <c r="Y12" s="750"/>
      <c r="Z12" s="750"/>
      <c r="AA12" s="750"/>
      <c r="AB12" s="750"/>
      <c r="AC12" s="750"/>
      <c r="AD12" s="750"/>
      <c r="AE12" s="750"/>
    </row>
    <row r="13" spans="1:31" s="751" customFormat="1" ht="12" x14ac:dyDescent="0.2">
      <c r="A13" s="752"/>
      <c r="B13" s="752"/>
      <c r="C13" s="749"/>
      <c r="D13" s="1171"/>
      <c r="E13" s="1171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8"/>
      <c r="Q13" s="748"/>
      <c r="R13" s="750"/>
      <c r="S13" s="750"/>
      <c r="T13" s="750"/>
      <c r="U13" s="750"/>
      <c r="V13" s="750"/>
      <c r="W13" s="750"/>
      <c r="X13" s="750"/>
      <c r="Y13" s="750"/>
      <c r="Z13" s="750"/>
      <c r="AA13" s="750"/>
      <c r="AB13" s="750"/>
      <c r="AC13" s="750"/>
      <c r="AD13" s="750"/>
      <c r="AE13" s="750"/>
    </row>
    <row r="14" spans="1:31" s="751" customFormat="1" ht="12" x14ac:dyDescent="0.2">
      <c r="A14" s="747" t="s">
        <v>433</v>
      </c>
      <c r="B14" s="747" t="s">
        <v>10089</v>
      </c>
      <c r="C14" s="1167" t="s">
        <v>10090</v>
      </c>
      <c r="D14" s="1168"/>
      <c r="E14" s="1168"/>
      <c r="F14" s="748"/>
      <c r="G14" s="748"/>
      <c r="H14" s="748"/>
      <c r="I14" s="748"/>
      <c r="J14" s="748"/>
      <c r="K14" s="748"/>
      <c r="L14" s="748"/>
      <c r="M14" s="748"/>
      <c r="N14" s="748"/>
      <c r="O14" s="748"/>
      <c r="P14" s="748"/>
      <c r="Q14" s="748"/>
      <c r="R14" s="750"/>
      <c r="S14" s="750"/>
      <c r="T14" s="750"/>
      <c r="U14" s="750"/>
      <c r="V14" s="750"/>
      <c r="W14" s="750"/>
      <c r="X14" s="750"/>
      <c r="Y14" s="750"/>
      <c r="Z14" s="750"/>
      <c r="AA14" s="750"/>
      <c r="AB14" s="750"/>
      <c r="AC14" s="750"/>
      <c r="AD14" s="750"/>
      <c r="AE14" s="750"/>
    </row>
    <row r="15" spans="1:31" s="751" customFormat="1" x14ac:dyDescent="0.2">
      <c r="A15" s="752" t="s">
        <v>9804</v>
      </c>
      <c r="B15" s="748">
        <v>49236555</v>
      </c>
      <c r="C15" s="748">
        <v>44210984</v>
      </c>
      <c r="D15" s="1172">
        <f>+C15-E15</f>
        <v>39202109</v>
      </c>
      <c r="E15" s="1172">
        <f>SUM(F15:Q15)</f>
        <v>5008875</v>
      </c>
      <c r="F15" s="748">
        <f t="shared" ref="F15:Q17" si="1">+F5+F10</f>
        <v>417991</v>
      </c>
      <c r="G15" s="748">
        <f t="shared" si="1"/>
        <v>417865</v>
      </c>
      <c r="H15" s="748">
        <f t="shared" si="1"/>
        <v>417735</v>
      </c>
      <c r="I15" s="748">
        <f t="shared" si="1"/>
        <v>417606</v>
      </c>
      <c r="J15" s="748">
        <f t="shared" si="1"/>
        <v>417477</v>
      </c>
      <c r="K15" s="748">
        <f t="shared" si="1"/>
        <v>417346</v>
      </c>
      <c r="L15" s="748">
        <f t="shared" si="1"/>
        <v>417214</v>
      </c>
      <c r="M15" s="748">
        <f t="shared" si="1"/>
        <v>417082</v>
      </c>
      <c r="N15" s="748">
        <f t="shared" si="1"/>
        <v>416949</v>
      </c>
      <c r="O15" s="748">
        <f t="shared" si="1"/>
        <v>416813</v>
      </c>
      <c r="P15" s="748">
        <f t="shared" si="1"/>
        <v>416678</v>
      </c>
      <c r="Q15" s="748">
        <f t="shared" si="1"/>
        <v>418119</v>
      </c>
      <c r="R15" s="750"/>
      <c r="S15" s="750"/>
      <c r="T15" s="750"/>
      <c r="U15" s="750"/>
      <c r="V15" s="750"/>
      <c r="W15" s="750"/>
      <c r="X15" s="750"/>
      <c r="Y15" s="750"/>
      <c r="Z15" s="750"/>
      <c r="AA15" s="750"/>
      <c r="AB15" s="750"/>
      <c r="AC15" s="750"/>
      <c r="AD15" s="750"/>
      <c r="AE15" s="750"/>
    </row>
    <row r="16" spans="1:31" s="751" customFormat="1" x14ac:dyDescent="0.2">
      <c r="A16" s="752" t="s">
        <v>4524</v>
      </c>
      <c r="B16" s="748">
        <v>66306995</v>
      </c>
      <c r="C16" s="748">
        <v>66306995</v>
      </c>
      <c r="D16" s="1172">
        <f>+C16-E16</f>
        <v>59650847</v>
      </c>
      <c r="E16" s="1172">
        <f t="shared" ref="E16:E17" si="2">SUM(F16:Q16)</f>
        <v>6656148</v>
      </c>
      <c r="F16" s="748">
        <f t="shared" si="1"/>
        <v>554854</v>
      </c>
      <c r="G16" s="748">
        <f t="shared" si="1"/>
        <v>554816</v>
      </c>
      <c r="H16" s="748">
        <f t="shared" si="1"/>
        <v>554777</v>
      </c>
      <c r="I16" s="748">
        <f t="shared" si="1"/>
        <v>554739</v>
      </c>
      <c r="J16" s="748">
        <f t="shared" si="1"/>
        <v>554700</v>
      </c>
      <c r="K16" s="748">
        <f t="shared" si="1"/>
        <v>554661</v>
      </c>
      <c r="L16" s="748">
        <f t="shared" si="1"/>
        <v>554620</v>
      </c>
      <c r="M16" s="748">
        <f t="shared" si="1"/>
        <v>554582</v>
      </c>
      <c r="N16" s="748">
        <f t="shared" si="1"/>
        <v>554541</v>
      </c>
      <c r="O16" s="748">
        <f t="shared" si="1"/>
        <v>554503</v>
      </c>
      <c r="P16" s="748">
        <f t="shared" si="1"/>
        <v>554463</v>
      </c>
      <c r="Q16" s="748">
        <f t="shared" si="1"/>
        <v>554892</v>
      </c>
      <c r="R16" s="750"/>
      <c r="S16" s="750"/>
      <c r="T16" s="750"/>
      <c r="U16" s="750"/>
      <c r="V16" s="750"/>
      <c r="W16" s="750"/>
      <c r="X16" s="750"/>
      <c r="Y16" s="750"/>
      <c r="Z16" s="750"/>
      <c r="AA16" s="750"/>
      <c r="AB16" s="750"/>
      <c r="AC16" s="750"/>
      <c r="AD16" s="750"/>
      <c r="AE16" s="750"/>
    </row>
    <row r="17" spans="1:31" s="751" customFormat="1" x14ac:dyDescent="0.2">
      <c r="A17" s="752" t="s">
        <v>9805</v>
      </c>
      <c r="B17" s="748">
        <v>22082289</v>
      </c>
      <c r="C17" s="748">
        <v>22082289</v>
      </c>
      <c r="D17" s="1172">
        <f>+C17-E17</f>
        <v>19858636</v>
      </c>
      <c r="E17" s="1172">
        <f t="shared" si="2"/>
        <v>2223653</v>
      </c>
      <c r="F17" s="748">
        <f t="shared" si="1"/>
        <v>185410</v>
      </c>
      <c r="G17" s="748">
        <f t="shared" si="1"/>
        <v>185388</v>
      </c>
      <c r="H17" s="748">
        <f t="shared" si="1"/>
        <v>185364</v>
      </c>
      <c r="I17" s="748">
        <f t="shared" si="1"/>
        <v>185340</v>
      </c>
      <c r="J17" s="748">
        <f t="shared" si="1"/>
        <v>185317</v>
      </c>
      <c r="K17" s="748">
        <f t="shared" si="1"/>
        <v>185294</v>
      </c>
      <c r="L17" s="748">
        <f t="shared" si="1"/>
        <v>185269</v>
      </c>
      <c r="M17" s="748">
        <f t="shared" si="1"/>
        <v>185245</v>
      </c>
      <c r="N17" s="748">
        <f t="shared" si="1"/>
        <v>185222</v>
      </c>
      <c r="O17" s="748">
        <f t="shared" si="1"/>
        <v>185198</v>
      </c>
      <c r="P17" s="748">
        <f t="shared" si="1"/>
        <v>185172</v>
      </c>
      <c r="Q17" s="748">
        <f t="shared" si="1"/>
        <v>185434</v>
      </c>
      <c r="R17" s="750"/>
      <c r="S17" s="750"/>
      <c r="T17" s="750"/>
      <c r="U17" s="750"/>
      <c r="V17" s="750"/>
      <c r="W17" s="750"/>
      <c r="X17" s="750"/>
      <c r="Y17" s="750"/>
      <c r="Z17" s="750"/>
      <c r="AA17" s="750"/>
      <c r="AB17" s="750"/>
      <c r="AC17" s="750"/>
      <c r="AD17" s="750"/>
      <c r="AE17" s="750"/>
    </row>
    <row r="18" spans="1:31" s="1177" customFormat="1" ht="13.5" thickBot="1" x14ac:dyDescent="0.25">
      <c r="A18" s="1173"/>
      <c r="B18" s="1174">
        <f>SUM(B15:B17)</f>
        <v>137625839</v>
      </c>
      <c r="C18" s="1174">
        <f>SUM(C15:C17)</f>
        <v>132600268</v>
      </c>
      <c r="D18" s="1175">
        <f>SUM(D15:D17)</f>
        <v>118711592</v>
      </c>
      <c r="E18" s="1175">
        <f t="shared" ref="E18:Q18" si="3">SUM(E15:E17)</f>
        <v>13888676</v>
      </c>
      <c r="F18" s="1174">
        <f t="shared" si="3"/>
        <v>1158255</v>
      </c>
      <c r="G18" s="1174">
        <f t="shared" si="3"/>
        <v>1158069</v>
      </c>
      <c r="H18" s="1174">
        <f t="shared" si="3"/>
        <v>1157876</v>
      </c>
      <c r="I18" s="1174">
        <f t="shared" si="3"/>
        <v>1157685</v>
      </c>
      <c r="J18" s="1174">
        <f t="shared" si="3"/>
        <v>1157494</v>
      </c>
      <c r="K18" s="1174">
        <f t="shared" si="3"/>
        <v>1157301</v>
      </c>
      <c r="L18" s="1174">
        <f t="shared" si="3"/>
        <v>1157103</v>
      </c>
      <c r="M18" s="1174">
        <f t="shared" si="3"/>
        <v>1156909</v>
      </c>
      <c r="N18" s="1174">
        <f t="shared" si="3"/>
        <v>1156712</v>
      </c>
      <c r="O18" s="1174">
        <f t="shared" si="3"/>
        <v>1156514</v>
      </c>
      <c r="P18" s="1174">
        <f t="shared" si="3"/>
        <v>1156313</v>
      </c>
      <c r="Q18" s="1174">
        <f t="shared" si="3"/>
        <v>1158445</v>
      </c>
      <c r="R18" s="1176"/>
      <c r="S18" s="1176"/>
      <c r="T18" s="1176"/>
      <c r="U18" s="1176"/>
      <c r="V18" s="1176"/>
      <c r="W18" s="1176"/>
      <c r="X18" s="1176"/>
      <c r="Y18" s="1176"/>
      <c r="Z18" s="1176"/>
      <c r="AA18" s="1176"/>
      <c r="AB18" s="1176"/>
      <c r="AC18" s="1176"/>
      <c r="AD18" s="1176"/>
      <c r="AE18" s="1176"/>
    </row>
    <row r="19" spans="1:31" s="1158" customFormat="1" ht="15.75" thickBot="1" x14ac:dyDescent="0.3">
      <c r="A19" s="1178"/>
      <c r="B19" s="1178"/>
      <c r="C19" s="1179"/>
      <c r="D19" s="1179"/>
      <c r="E19" s="1179"/>
      <c r="F19" s="1179"/>
      <c r="G19" s="1179"/>
      <c r="H19" s="1179"/>
      <c r="I19" s="1179"/>
      <c r="J19" s="1179"/>
      <c r="K19" s="1179"/>
      <c r="L19" s="1179"/>
      <c r="M19" s="1179"/>
      <c r="N19" s="1179"/>
      <c r="O19" s="1179"/>
      <c r="P19" s="1179"/>
      <c r="Q19" s="1179"/>
      <c r="R19" s="1180"/>
      <c r="S19" s="1180"/>
      <c r="T19" s="1180"/>
      <c r="U19" s="1180"/>
      <c r="V19" s="1180"/>
      <c r="W19" s="1180"/>
      <c r="X19" s="1180"/>
      <c r="Y19" s="1180"/>
      <c r="Z19" s="1180"/>
      <c r="AA19" s="1180"/>
      <c r="AB19" s="1180"/>
      <c r="AC19" s="1180"/>
      <c r="AD19" s="1180"/>
      <c r="AE19" s="1180"/>
    </row>
    <row r="20" spans="1:31" s="1187" customFormat="1" ht="17.25" x14ac:dyDescent="0.3">
      <c r="A20" s="1181" t="s">
        <v>9807</v>
      </c>
      <c r="B20" s="1182"/>
      <c r="C20" s="1183" t="s">
        <v>9800</v>
      </c>
      <c r="D20" s="1184" t="s">
        <v>9801</v>
      </c>
      <c r="E20" s="1184" t="s">
        <v>9802</v>
      </c>
      <c r="F20" s="1183" t="s">
        <v>303</v>
      </c>
      <c r="G20" s="1183" t="s">
        <v>304</v>
      </c>
      <c r="H20" s="1183" t="s">
        <v>305</v>
      </c>
      <c r="I20" s="1183" t="s">
        <v>306</v>
      </c>
      <c r="J20" s="1183" t="s">
        <v>307</v>
      </c>
      <c r="K20" s="1183" t="s">
        <v>308</v>
      </c>
      <c r="L20" s="1183" t="s">
        <v>309</v>
      </c>
      <c r="M20" s="1183" t="s">
        <v>310</v>
      </c>
      <c r="N20" s="1183" t="s">
        <v>311</v>
      </c>
      <c r="O20" s="1183" t="s">
        <v>312</v>
      </c>
      <c r="P20" s="1183" t="s">
        <v>313</v>
      </c>
      <c r="Q20" s="1185" t="s">
        <v>314</v>
      </c>
      <c r="R20" s="1186"/>
      <c r="S20" s="1186"/>
      <c r="T20" s="1186"/>
      <c r="U20" s="1186"/>
      <c r="V20" s="1186"/>
      <c r="W20" s="1186"/>
      <c r="X20" s="1186"/>
      <c r="Y20" s="1186"/>
      <c r="Z20" s="1186"/>
      <c r="AA20" s="1186"/>
      <c r="AB20" s="1186"/>
      <c r="AC20" s="1186"/>
      <c r="AD20" s="1186"/>
      <c r="AE20" s="1186"/>
    </row>
    <row r="21" spans="1:31" ht="19.5" x14ac:dyDescent="0.3">
      <c r="A21" s="1188" t="s">
        <v>9811</v>
      </c>
      <c r="B21" s="1189"/>
      <c r="C21" s="772"/>
      <c r="D21" s="1190"/>
      <c r="E21" s="1190"/>
      <c r="F21" s="772"/>
      <c r="G21" s="772"/>
      <c r="H21" s="772"/>
      <c r="I21" s="772"/>
      <c r="J21" s="772"/>
      <c r="K21" s="772"/>
      <c r="L21" s="772"/>
      <c r="M21" s="772"/>
      <c r="N21" s="772"/>
      <c r="O21" s="772"/>
      <c r="P21" s="772"/>
      <c r="Q21" s="1191"/>
    </row>
    <row r="22" spans="1:31" ht="15" x14ac:dyDescent="0.25">
      <c r="A22" s="1192" t="s">
        <v>9804</v>
      </c>
      <c r="B22" s="1193"/>
      <c r="C22" s="772">
        <f>+C5</f>
        <v>13261709</v>
      </c>
      <c r="D22" s="1190"/>
      <c r="E22" s="1190"/>
      <c r="F22" s="772">
        <f>+C22</f>
        <v>13261709</v>
      </c>
      <c r="G22" s="772">
        <f t="shared" ref="G22:Q24" si="4">+F22-G5</f>
        <v>13047640</v>
      </c>
      <c r="H22" s="772">
        <f t="shared" si="4"/>
        <v>12834981</v>
      </c>
      <c r="I22" s="772">
        <f t="shared" si="4"/>
        <v>12623740</v>
      </c>
      <c r="J22" s="772">
        <f t="shared" si="4"/>
        <v>12413925</v>
      </c>
      <c r="K22" s="772">
        <f t="shared" si="4"/>
        <v>12205546</v>
      </c>
      <c r="L22" s="772">
        <f t="shared" si="4"/>
        <v>11998612</v>
      </c>
      <c r="M22" s="772">
        <f t="shared" si="4"/>
        <v>11793131</v>
      </c>
      <c r="N22" s="772">
        <f t="shared" si="4"/>
        <v>11589113</v>
      </c>
      <c r="O22" s="772">
        <f t="shared" si="4"/>
        <v>11386568</v>
      </c>
      <c r="P22" s="772">
        <f t="shared" si="4"/>
        <v>11185504</v>
      </c>
      <c r="Q22" s="1191">
        <f t="shared" si="4"/>
        <v>10968644</v>
      </c>
    </row>
    <row r="23" spans="1:31" ht="15" x14ac:dyDescent="0.25">
      <c r="A23" s="1192" t="s">
        <v>4524</v>
      </c>
      <c r="B23" s="1193"/>
      <c r="C23" s="772">
        <f>+C6</f>
        <v>16974691</v>
      </c>
      <c r="D23" s="1190"/>
      <c r="E23" s="1190"/>
      <c r="F23" s="772">
        <f>+C23</f>
        <v>16974691</v>
      </c>
      <c r="G23" s="772">
        <f t="shared" si="4"/>
        <v>16700737</v>
      </c>
      <c r="H23" s="772">
        <f t="shared" si="4"/>
        <v>16428587</v>
      </c>
      <c r="I23" s="772">
        <f t="shared" si="4"/>
        <v>16158251</v>
      </c>
      <c r="J23" s="772">
        <f t="shared" si="4"/>
        <v>15889741</v>
      </c>
      <c r="K23" s="772">
        <f t="shared" si="4"/>
        <v>15623068</v>
      </c>
      <c r="L23" s="772">
        <f t="shared" si="4"/>
        <v>15358245</v>
      </c>
      <c r="M23" s="772">
        <f t="shared" si="4"/>
        <v>15095281</v>
      </c>
      <c r="N23" s="772">
        <f t="shared" si="4"/>
        <v>14834190</v>
      </c>
      <c r="O23" s="772">
        <f t="shared" si="4"/>
        <v>14574982</v>
      </c>
      <c r="P23" s="772">
        <f t="shared" si="4"/>
        <v>14317669</v>
      </c>
      <c r="Q23" s="1191">
        <f t="shared" si="4"/>
        <v>14040142</v>
      </c>
    </row>
    <row r="24" spans="1:31" ht="15" x14ac:dyDescent="0.25">
      <c r="A24" s="1192" t="s">
        <v>9805</v>
      </c>
      <c r="B24" s="1193"/>
      <c r="C24" s="772">
        <f>+C7</f>
        <v>5721169</v>
      </c>
      <c r="D24" s="1190"/>
      <c r="E24" s="1190"/>
      <c r="F24" s="772">
        <f>+C24</f>
        <v>5721169</v>
      </c>
      <c r="G24" s="772">
        <f t="shared" si="4"/>
        <v>5628818</v>
      </c>
      <c r="H24" s="772">
        <f t="shared" si="4"/>
        <v>5537076</v>
      </c>
      <c r="I24" s="772">
        <f t="shared" si="4"/>
        <v>5445946</v>
      </c>
      <c r="J24" s="772">
        <f t="shared" si="4"/>
        <v>5355431</v>
      </c>
      <c r="K24" s="772">
        <f t="shared" si="4"/>
        <v>5265535</v>
      </c>
      <c r="L24" s="772">
        <f t="shared" si="4"/>
        <v>5176263</v>
      </c>
      <c r="M24" s="772">
        <f t="shared" si="4"/>
        <v>5087618</v>
      </c>
      <c r="N24" s="772">
        <f t="shared" si="4"/>
        <v>4999604</v>
      </c>
      <c r="O24" s="772">
        <f t="shared" si="4"/>
        <v>4912224</v>
      </c>
      <c r="P24" s="772">
        <f t="shared" si="4"/>
        <v>4825484</v>
      </c>
      <c r="Q24" s="1191">
        <f t="shared" si="4"/>
        <v>4731929</v>
      </c>
    </row>
    <row r="25" spans="1:31" s="771" customFormat="1" ht="18" thickBot="1" x14ac:dyDescent="0.35">
      <c r="A25" s="1194" t="s">
        <v>9803</v>
      </c>
      <c r="B25" s="1195"/>
      <c r="C25" s="768">
        <f>+C8</f>
        <v>35957569</v>
      </c>
      <c r="D25" s="1196"/>
      <c r="E25" s="1196"/>
      <c r="F25" s="768">
        <f>SUM(F22:F24)</f>
        <v>35957569</v>
      </c>
      <c r="G25" s="768">
        <f t="shared" ref="G25:Q25" si="5">SUM(G22:G24)</f>
        <v>35377195</v>
      </c>
      <c r="H25" s="768">
        <f t="shared" si="5"/>
        <v>34800644</v>
      </c>
      <c r="I25" s="768">
        <f t="shared" si="5"/>
        <v>34227937</v>
      </c>
      <c r="J25" s="768">
        <f t="shared" si="5"/>
        <v>33659097</v>
      </c>
      <c r="K25" s="768">
        <f t="shared" si="5"/>
        <v>33094149</v>
      </c>
      <c r="L25" s="768">
        <f t="shared" si="5"/>
        <v>32533120</v>
      </c>
      <c r="M25" s="768">
        <f t="shared" si="5"/>
        <v>31976030</v>
      </c>
      <c r="N25" s="768">
        <f t="shared" si="5"/>
        <v>31422907</v>
      </c>
      <c r="O25" s="768">
        <f t="shared" si="5"/>
        <v>30873774</v>
      </c>
      <c r="P25" s="768">
        <f t="shared" si="5"/>
        <v>30328657</v>
      </c>
      <c r="Q25" s="1197">
        <f t="shared" si="5"/>
        <v>29740715</v>
      </c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spans="1:31" ht="15" x14ac:dyDescent="0.25">
      <c r="A26" s="1192"/>
      <c r="B26" s="1193"/>
      <c r="C26" s="772"/>
      <c r="D26" s="1190"/>
      <c r="E26" s="1190"/>
      <c r="F26" s="772"/>
      <c r="G26" s="772"/>
      <c r="H26" s="772"/>
      <c r="I26" s="772"/>
      <c r="J26" s="772"/>
      <c r="K26" s="772"/>
      <c r="L26" s="772"/>
      <c r="M26" s="772"/>
      <c r="N26" s="772"/>
      <c r="O26" s="772"/>
      <c r="P26" s="772"/>
      <c r="Q26" s="1191"/>
    </row>
    <row r="27" spans="1:31" ht="15" x14ac:dyDescent="0.25">
      <c r="A27" s="1192" t="s">
        <v>9804</v>
      </c>
      <c r="B27" s="1193"/>
      <c r="C27" s="772">
        <f>+E15</f>
        <v>5008875</v>
      </c>
      <c r="D27" s="1190"/>
      <c r="E27" s="1190"/>
      <c r="F27" s="772">
        <f>+C27</f>
        <v>5008875</v>
      </c>
      <c r="G27" s="772">
        <f t="shared" ref="G27:Q29" si="6">+F27-G15</f>
        <v>4591010</v>
      </c>
      <c r="H27" s="772">
        <f t="shared" si="6"/>
        <v>4173275</v>
      </c>
      <c r="I27" s="772">
        <f t="shared" si="6"/>
        <v>3755669</v>
      </c>
      <c r="J27" s="772">
        <f t="shared" si="6"/>
        <v>3338192</v>
      </c>
      <c r="K27" s="772">
        <f t="shared" si="6"/>
        <v>2920846</v>
      </c>
      <c r="L27" s="772">
        <f t="shared" si="6"/>
        <v>2503632</v>
      </c>
      <c r="M27" s="772">
        <f t="shared" si="6"/>
        <v>2086550</v>
      </c>
      <c r="N27" s="772">
        <f t="shared" si="6"/>
        <v>1669601</v>
      </c>
      <c r="O27" s="772">
        <f t="shared" si="6"/>
        <v>1252788</v>
      </c>
      <c r="P27" s="772">
        <f t="shared" si="6"/>
        <v>836110</v>
      </c>
      <c r="Q27" s="1191">
        <f t="shared" si="6"/>
        <v>417991</v>
      </c>
    </row>
    <row r="28" spans="1:31" ht="15" x14ac:dyDescent="0.25">
      <c r="A28" s="1192" t="s">
        <v>4524</v>
      </c>
      <c r="B28" s="1193"/>
      <c r="C28" s="772">
        <f>+E16</f>
        <v>6656148</v>
      </c>
      <c r="D28" s="1190"/>
      <c r="E28" s="1190"/>
      <c r="F28" s="772">
        <f t="shared" ref="F28:F29" si="7">+C28</f>
        <v>6656148</v>
      </c>
      <c r="G28" s="772">
        <f t="shared" si="6"/>
        <v>6101332</v>
      </c>
      <c r="H28" s="772">
        <f t="shared" si="6"/>
        <v>5546555</v>
      </c>
      <c r="I28" s="772">
        <f t="shared" si="6"/>
        <v>4991816</v>
      </c>
      <c r="J28" s="772">
        <f t="shared" si="6"/>
        <v>4437116</v>
      </c>
      <c r="K28" s="772">
        <f t="shared" si="6"/>
        <v>3882455</v>
      </c>
      <c r="L28" s="772">
        <f t="shared" si="6"/>
        <v>3327835</v>
      </c>
      <c r="M28" s="772">
        <f t="shared" si="6"/>
        <v>2773253</v>
      </c>
      <c r="N28" s="772">
        <f t="shared" si="6"/>
        <v>2218712</v>
      </c>
      <c r="O28" s="772">
        <f t="shared" si="6"/>
        <v>1664209</v>
      </c>
      <c r="P28" s="772">
        <f t="shared" si="6"/>
        <v>1109746</v>
      </c>
      <c r="Q28" s="1191">
        <f t="shared" si="6"/>
        <v>554854</v>
      </c>
    </row>
    <row r="29" spans="1:31" ht="15" x14ac:dyDescent="0.25">
      <c r="A29" s="1192" t="s">
        <v>9805</v>
      </c>
      <c r="B29" s="1193"/>
      <c r="C29" s="772">
        <f>+E17</f>
        <v>2223653</v>
      </c>
      <c r="D29" s="1190"/>
      <c r="E29" s="1190"/>
      <c r="F29" s="772">
        <f t="shared" si="7"/>
        <v>2223653</v>
      </c>
      <c r="G29" s="772">
        <f t="shared" si="6"/>
        <v>2038265</v>
      </c>
      <c r="H29" s="772">
        <f t="shared" si="6"/>
        <v>1852901</v>
      </c>
      <c r="I29" s="772">
        <f t="shared" si="6"/>
        <v>1667561</v>
      </c>
      <c r="J29" s="772">
        <f t="shared" si="6"/>
        <v>1482244</v>
      </c>
      <c r="K29" s="772">
        <f t="shared" si="6"/>
        <v>1296950</v>
      </c>
      <c r="L29" s="772">
        <f t="shared" si="6"/>
        <v>1111681</v>
      </c>
      <c r="M29" s="772">
        <f t="shared" si="6"/>
        <v>926436</v>
      </c>
      <c r="N29" s="772">
        <f t="shared" si="6"/>
        <v>741214</v>
      </c>
      <c r="O29" s="772">
        <f t="shared" si="6"/>
        <v>556016</v>
      </c>
      <c r="P29" s="772">
        <f t="shared" si="6"/>
        <v>370844</v>
      </c>
      <c r="Q29" s="1191">
        <f t="shared" si="6"/>
        <v>185410</v>
      </c>
    </row>
    <row r="30" spans="1:31" s="771" customFormat="1" ht="16.5" thickBot="1" x14ac:dyDescent="0.3">
      <c r="A30" s="1198" t="s">
        <v>9812</v>
      </c>
      <c r="B30" s="1199"/>
      <c r="C30" s="768">
        <f>SUM(C27:C29)</f>
        <v>13888676</v>
      </c>
      <c r="D30" s="1196"/>
      <c r="E30" s="1196"/>
      <c r="F30" s="768">
        <f t="shared" ref="F30:Q30" si="8">SUM(F27:F29)</f>
        <v>13888676</v>
      </c>
      <c r="G30" s="768">
        <f t="shared" si="8"/>
        <v>12730607</v>
      </c>
      <c r="H30" s="768">
        <f t="shared" si="8"/>
        <v>11572731</v>
      </c>
      <c r="I30" s="768">
        <f t="shared" si="8"/>
        <v>10415046</v>
      </c>
      <c r="J30" s="768">
        <f t="shared" si="8"/>
        <v>9257552</v>
      </c>
      <c r="K30" s="768">
        <f t="shared" si="8"/>
        <v>8100251</v>
      </c>
      <c r="L30" s="768">
        <f t="shared" si="8"/>
        <v>6943148</v>
      </c>
      <c r="M30" s="768">
        <f t="shared" si="8"/>
        <v>5786239</v>
      </c>
      <c r="N30" s="768">
        <f t="shared" si="8"/>
        <v>4629527</v>
      </c>
      <c r="O30" s="768">
        <f t="shared" si="8"/>
        <v>3473013</v>
      </c>
      <c r="P30" s="768">
        <f t="shared" si="8"/>
        <v>2316700</v>
      </c>
      <c r="Q30" s="1197">
        <f t="shared" si="8"/>
        <v>1158255</v>
      </c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spans="1:31" ht="15" x14ac:dyDescent="0.25">
      <c r="A31" s="1192"/>
      <c r="B31" s="1193"/>
      <c r="C31" s="772"/>
      <c r="D31" s="1190"/>
      <c r="E31" s="1190"/>
      <c r="F31" s="772"/>
      <c r="G31" s="772"/>
      <c r="H31" s="772"/>
      <c r="I31" s="772"/>
      <c r="J31" s="772"/>
      <c r="K31" s="772"/>
      <c r="L31" s="772"/>
      <c r="M31" s="772"/>
      <c r="N31" s="772"/>
      <c r="O31" s="772"/>
      <c r="P31" s="772"/>
      <c r="Q31" s="1191"/>
    </row>
    <row r="32" spans="1:31" ht="15" x14ac:dyDescent="0.25">
      <c r="A32" s="1192" t="s">
        <v>9804</v>
      </c>
      <c r="B32" s="1193"/>
      <c r="C32" s="772">
        <f>+D15</f>
        <v>39202109</v>
      </c>
      <c r="D32" s="1190"/>
      <c r="E32" s="1190"/>
      <c r="F32" s="772">
        <f>+C32</f>
        <v>39202109</v>
      </c>
      <c r="G32" s="772">
        <f>+F32</f>
        <v>39202109</v>
      </c>
      <c r="H32" s="772">
        <f t="shared" ref="H32:Q32" si="9">+G32</f>
        <v>39202109</v>
      </c>
      <c r="I32" s="772">
        <f t="shared" si="9"/>
        <v>39202109</v>
      </c>
      <c r="J32" s="772">
        <f t="shared" si="9"/>
        <v>39202109</v>
      </c>
      <c r="K32" s="772">
        <f t="shared" si="9"/>
        <v>39202109</v>
      </c>
      <c r="L32" s="772">
        <f t="shared" si="9"/>
        <v>39202109</v>
      </c>
      <c r="M32" s="772">
        <f t="shared" si="9"/>
        <v>39202109</v>
      </c>
      <c r="N32" s="772">
        <f t="shared" si="9"/>
        <v>39202109</v>
      </c>
      <c r="O32" s="772">
        <f t="shared" si="9"/>
        <v>39202109</v>
      </c>
      <c r="P32" s="772">
        <f t="shared" si="9"/>
        <v>39202109</v>
      </c>
      <c r="Q32" s="1191">
        <f t="shared" si="9"/>
        <v>39202109</v>
      </c>
    </row>
    <row r="33" spans="1:31" ht="15" x14ac:dyDescent="0.25">
      <c r="A33" s="1192" t="s">
        <v>4524</v>
      </c>
      <c r="B33" s="1193"/>
      <c r="C33" s="772">
        <f>+D16</f>
        <v>59650847</v>
      </c>
      <c r="D33" s="1190"/>
      <c r="E33" s="1190"/>
      <c r="F33" s="772">
        <f t="shared" ref="F33:F34" si="10">+C33</f>
        <v>59650847</v>
      </c>
      <c r="G33" s="772">
        <f t="shared" ref="G33:Q34" si="11">+F33</f>
        <v>59650847</v>
      </c>
      <c r="H33" s="772">
        <f t="shared" si="11"/>
        <v>59650847</v>
      </c>
      <c r="I33" s="772">
        <f t="shared" si="11"/>
        <v>59650847</v>
      </c>
      <c r="J33" s="772">
        <f t="shared" si="11"/>
        <v>59650847</v>
      </c>
      <c r="K33" s="772">
        <f t="shared" si="11"/>
        <v>59650847</v>
      </c>
      <c r="L33" s="772">
        <f t="shared" si="11"/>
        <v>59650847</v>
      </c>
      <c r="M33" s="772">
        <f t="shared" si="11"/>
        <v>59650847</v>
      </c>
      <c r="N33" s="772">
        <f t="shared" si="11"/>
        <v>59650847</v>
      </c>
      <c r="O33" s="772">
        <f t="shared" si="11"/>
        <v>59650847</v>
      </c>
      <c r="P33" s="772">
        <f t="shared" si="11"/>
        <v>59650847</v>
      </c>
      <c r="Q33" s="1191">
        <f t="shared" si="11"/>
        <v>59650847</v>
      </c>
    </row>
    <row r="34" spans="1:31" ht="15" x14ac:dyDescent="0.25">
      <c r="A34" s="1192" t="s">
        <v>9805</v>
      </c>
      <c r="B34" s="1193"/>
      <c r="C34" s="772">
        <f>+D17</f>
        <v>19858636</v>
      </c>
      <c r="D34" s="1190"/>
      <c r="E34" s="1190"/>
      <c r="F34" s="772">
        <f t="shared" si="10"/>
        <v>19858636</v>
      </c>
      <c r="G34" s="772">
        <f t="shared" si="11"/>
        <v>19858636</v>
      </c>
      <c r="H34" s="772">
        <f t="shared" si="11"/>
        <v>19858636</v>
      </c>
      <c r="I34" s="772">
        <f t="shared" si="11"/>
        <v>19858636</v>
      </c>
      <c r="J34" s="772">
        <f t="shared" si="11"/>
        <v>19858636</v>
      </c>
      <c r="K34" s="772">
        <f t="shared" si="11"/>
        <v>19858636</v>
      </c>
      <c r="L34" s="772">
        <f t="shared" si="11"/>
        <v>19858636</v>
      </c>
      <c r="M34" s="772">
        <f t="shared" si="11"/>
        <v>19858636</v>
      </c>
      <c r="N34" s="772">
        <f t="shared" si="11"/>
        <v>19858636</v>
      </c>
      <c r="O34" s="772">
        <f t="shared" si="11"/>
        <v>19858636</v>
      </c>
      <c r="P34" s="772">
        <f t="shared" si="11"/>
        <v>19858636</v>
      </c>
      <c r="Q34" s="1191">
        <f t="shared" si="11"/>
        <v>19858636</v>
      </c>
    </row>
    <row r="35" spans="1:31" s="771" customFormat="1" ht="16.5" thickBot="1" x14ac:dyDescent="0.3">
      <c r="A35" s="1198" t="s">
        <v>9813</v>
      </c>
      <c r="B35" s="1199"/>
      <c r="C35" s="768">
        <f>SUM(C32:C34)</f>
        <v>118711592</v>
      </c>
      <c r="D35" s="1196"/>
      <c r="E35" s="1196"/>
      <c r="F35" s="768">
        <f t="shared" ref="F35:Q35" si="12">SUM(F32:F34)</f>
        <v>118711592</v>
      </c>
      <c r="G35" s="768">
        <f t="shared" si="12"/>
        <v>118711592</v>
      </c>
      <c r="H35" s="768">
        <f t="shared" si="12"/>
        <v>118711592</v>
      </c>
      <c r="I35" s="768">
        <f t="shared" si="12"/>
        <v>118711592</v>
      </c>
      <c r="J35" s="768">
        <f t="shared" si="12"/>
        <v>118711592</v>
      </c>
      <c r="K35" s="768">
        <f t="shared" si="12"/>
        <v>118711592</v>
      </c>
      <c r="L35" s="768">
        <f t="shared" si="12"/>
        <v>118711592</v>
      </c>
      <c r="M35" s="768">
        <f t="shared" si="12"/>
        <v>118711592</v>
      </c>
      <c r="N35" s="768">
        <f t="shared" si="12"/>
        <v>118711592</v>
      </c>
      <c r="O35" s="768">
        <f t="shared" si="12"/>
        <v>118711592</v>
      </c>
      <c r="P35" s="768">
        <f t="shared" si="12"/>
        <v>118711592</v>
      </c>
      <c r="Q35" s="1197">
        <f t="shared" si="12"/>
        <v>118711592</v>
      </c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spans="1:31" ht="15" x14ac:dyDescent="0.25">
      <c r="A36" s="1192"/>
      <c r="B36" s="1193"/>
      <c r="C36" s="772"/>
      <c r="D36" s="1190"/>
      <c r="E36" s="1190"/>
      <c r="F36" s="772"/>
      <c r="G36" s="772"/>
      <c r="H36" s="772"/>
      <c r="I36" s="772"/>
      <c r="J36" s="772"/>
      <c r="K36" s="772"/>
      <c r="L36" s="772"/>
      <c r="M36" s="772"/>
      <c r="N36" s="772"/>
      <c r="O36" s="772"/>
      <c r="P36" s="772"/>
      <c r="Q36" s="1191"/>
    </row>
    <row r="37" spans="1:31" ht="15.75" x14ac:dyDescent="0.25">
      <c r="A37" s="1200" t="s">
        <v>9814</v>
      </c>
      <c r="B37" s="1201"/>
      <c r="C37" s="772"/>
      <c r="D37" s="1190"/>
      <c r="E37" s="1190"/>
      <c r="F37" s="772"/>
      <c r="G37" s="772"/>
      <c r="H37" s="772"/>
      <c r="I37" s="772"/>
      <c r="J37" s="772"/>
      <c r="K37" s="772"/>
      <c r="L37" s="772"/>
      <c r="M37" s="772"/>
      <c r="N37" s="772"/>
      <c r="O37" s="772"/>
      <c r="P37" s="772"/>
      <c r="Q37" s="1191"/>
    </row>
    <row r="38" spans="1:31" ht="15" x14ac:dyDescent="0.25">
      <c r="A38" s="1192" t="s">
        <v>9804</v>
      </c>
      <c r="B38" s="1193"/>
      <c r="C38" s="772">
        <f>SUM(F38:Q38)</f>
        <v>2067752</v>
      </c>
      <c r="D38" s="1190"/>
      <c r="E38" s="1190"/>
      <c r="F38" s="772">
        <f>VLOOKUP(F3,[13]CÉDULA!$A$32:$AC$43,(4),FALSE)+VLOOKUP(F3,[13]CÉDULA!$A$32:$AC$43,8,FALSE)</f>
        <v>180018</v>
      </c>
      <c r="G38" s="772">
        <f>VLOOKUP(G3,[13]CÉDULA!$A$32:$AC$43,(4),FALSE)+VLOOKUP(G3,[13]CÉDULA!$A$32:$AC$43,8,FALSE)</f>
        <v>178646</v>
      </c>
      <c r="H38" s="772">
        <f>VLOOKUP(H3,[13]CÉDULA!$A$32:$AC$43,(4),FALSE)+VLOOKUP(H3,[13]CÉDULA!$A$32:$AC$43,8,FALSE)</f>
        <v>177266</v>
      </c>
      <c r="I38" s="772">
        <f>VLOOKUP(I3,[13]CÉDULA!$A$32:$AC$43,(4),FALSE)+VLOOKUP(I3,[13]CÉDULA!$A$32:$AC$43,8,FALSE)</f>
        <v>175877</v>
      </c>
      <c r="J38" s="772">
        <f>VLOOKUP(J3,[13]CÉDULA!$A$32:$AC$43,(4),FALSE)+VLOOKUP(J3,[13]CÉDULA!$A$32:$AC$43,8,FALSE)</f>
        <v>174479</v>
      </c>
      <c r="K38" s="772">
        <f>VLOOKUP(K3,[13]CÉDULA!$A$32:$AC$43,(4),FALSE)+VLOOKUP(K3,[13]CÉDULA!$A$32:$AC$43,8,FALSE)</f>
        <v>173072</v>
      </c>
      <c r="L38" s="772">
        <f>VLOOKUP(L3,[13]CÉDULA!$A$32:$AC$43,(4),FALSE)+VLOOKUP(L3,[13]CÉDULA!$A$32:$AC$43,8,FALSE)</f>
        <v>171657</v>
      </c>
      <c r="M38" s="772">
        <f>VLOOKUP(M3,[13]CÉDULA!$A$32:$AC$43,(4),FALSE)+VLOOKUP(M3,[13]CÉDULA!$A$32:$AC$43,8,FALSE)</f>
        <v>170232</v>
      </c>
      <c r="N38" s="772">
        <f>VLOOKUP(N3,[13]CÉDULA!$A$32:$AC$43,(4),FALSE)+VLOOKUP(N3,[13]CÉDULA!$A$32:$AC$43,8,FALSE)</f>
        <v>168799</v>
      </c>
      <c r="O38" s="772">
        <f>VLOOKUP(O3,[13]CÉDULA!$A$32:$AC$43,(4),FALSE)+VLOOKUP(O3,[13]CÉDULA!$A$32:$AC$43,8,FALSE)</f>
        <v>167356</v>
      </c>
      <c r="P38" s="772">
        <f>VLOOKUP(P3,[13]CÉDULA!$A$32:$AC$43,(4),FALSE)+VLOOKUP(P3,[13]CÉDULA!$A$32:$AC$43,8,FALSE)</f>
        <v>165905</v>
      </c>
      <c r="Q38" s="772">
        <f>VLOOKUP(Q3,[13]CÉDULA!$A$32:$AC$43,(4),FALSE)+VLOOKUP(Q3,[13]CÉDULA!$A$32:$AC$43,8,FALSE)</f>
        <v>164445</v>
      </c>
    </row>
    <row r="39" spans="1:31" ht="15" x14ac:dyDescent="0.25">
      <c r="A39" s="1192" t="s">
        <v>4524</v>
      </c>
      <c r="B39" s="1193"/>
      <c r="C39" s="772">
        <f>SUM(F39:Q39)</f>
        <v>2849676</v>
      </c>
      <c r="D39" s="1190"/>
      <c r="E39" s="1190"/>
      <c r="F39" s="772">
        <f>VLOOKUP(F3,[13]CÉDULA!$A$32:$AC$43,(14),FALSE)+VLOOKUP(F3,[13]CÉDULA!$A$32:$AC$43,18,FALSE)</f>
        <v>248093</v>
      </c>
      <c r="G39" s="772">
        <f>VLOOKUP(G3,[13]CÉDULA!$A$32:$AC$43,(14),FALSE)+VLOOKUP(G3,[13]CÉDULA!$A$32:$AC$43,18,FALSE)</f>
        <v>246202</v>
      </c>
      <c r="H39" s="772">
        <f>VLOOKUP(H3,[13]CÉDULA!$A$32:$AC$43,(14),FALSE)+VLOOKUP(H3,[13]CÉDULA!$A$32:$AC$43,18,FALSE)</f>
        <v>244300</v>
      </c>
      <c r="I39" s="772">
        <f>VLOOKUP(I3,[13]CÉDULA!$A$32:$AC$43,(14),FALSE)+VLOOKUP(I3,[13]CÉDULA!$A$32:$AC$43,18,FALSE)</f>
        <v>242384</v>
      </c>
      <c r="J39" s="772">
        <f>VLOOKUP(J3,[13]CÉDULA!$A$32:$AC$43,(14),FALSE)+VLOOKUP(J3,[13]CÉDULA!$A$32:$AC$43,18,FALSE)</f>
        <v>240459</v>
      </c>
      <c r="K39" s="772">
        <f>VLOOKUP(K3,[13]CÉDULA!$A$32:$AC$43,(14),FALSE)+VLOOKUP(K3,[13]CÉDULA!$A$32:$AC$43,18,FALSE)</f>
        <v>238519</v>
      </c>
      <c r="L39" s="772">
        <f>VLOOKUP(L3,[13]CÉDULA!$A$32:$AC$43,(14),FALSE)+VLOOKUP(L3,[13]CÉDULA!$A$32:$AC$43,18,FALSE)</f>
        <v>236569</v>
      </c>
      <c r="M39" s="772">
        <f>VLOOKUP(M3,[13]CÉDULA!$A$32:$AC$43,(14),FALSE)+VLOOKUP(M3,[13]CÉDULA!$A$32:$AC$43,18,FALSE)</f>
        <v>234606</v>
      </c>
      <c r="N39" s="772">
        <f>VLOOKUP(N3,[13]CÉDULA!$A$32:$AC$43,(14),FALSE)+VLOOKUP(N3,[13]CÉDULA!$A$32:$AC$43,18,FALSE)</f>
        <v>232630</v>
      </c>
      <c r="O39" s="772">
        <f>VLOOKUP(O3,[13]CÉDULA!$A$32:$AC$43,(14),FALSE)+VLOOKUP(O3,[13]CÉDULA!$A$32:$AC$43,18,FALSE)</f>
        <v>230642</v>
      </c>
      <c r="P39" s="772">
        <f>VLOOKUP(P3,[13]CÉDULA!$A$32:$AC$43,(14),FALSE)+VLOOKUP(P3,[13]CÉDULA!$A$32:$AC$43,18,FALSE)</f>
        <v>228643</v>
      </c>
      <c r="Q39" s="772">
        <f>VLOOKUP(Q3,[13]CÉDULA!$A$32:$AC$43,(14),FALSE)+VLOOKUP(Q3,[13]CÉDULA!$A$32:$AC$43,18,FALSE)</f>
        <v>226629</v>
      </c>
    </row>
    <row r="40" spans="1:31" ht="15" x14ac:dyDescent="0.25">
      <c r="A40" s="1192" t="s">
        <v>9805</v>
      </c>
      <c r="B40" s="1193"/>
      <c r="C40" s="772">
        <f>SUM(F40:Q40)</f>
        <v>943973</v>
      </c>
      <c r="D40" s="1190"/>
      <c r="E40" s="1190"/>
      <c r="F40" s="772">
        <f>VLOOKUP(F3,[13]CÉDULA!$A$32:$AC$43,(23),FALSE)+VLOOKUP(F3,[13]CÉDULA!$A$32:$AC$43,27,FALSE)</f>
        <v>82182</v>
      </c>
      <c r="G40" s="772">
        <f>VLOOKUP(G3,[13]CÉDULA!$A$32:$AC$43,(23),FALSE)+VLOOKUP(G3,[13]CÉDULA!$A$32:$AC$43,27,FALSE)</f>
        <v>81556</v>
      </c>
      <c r="H40" s="772">
        <f>VLOOKUP(H3,[13]CÉDULA!$A$32:$AC$43,(23),FALSE)+VLOOKUP(H3,[13]CÉDULA!$A$32:$AC$43,27,FALSE)</f>
        <v>80925</v>
      </c>
      <c r="I40" s="772">
        <f>VLOOKUP(I3,[13]CÉDULA!$A$32:$AC$43,(23),FALSE)+VLOOKUP(I3,[13]CÉDULA!$A$32:$AC$43,27,FALSE)</f>
        <v>80292</v>
      </c>
      <c r="J40" s="772">
        <f>VLOOKUP(J3,[13]CÉDULA!$A$32:$AC$43,(23),FALSE)+VLOOKUP(J3,[13]CÉDULA!$A$32:$AC$43,27,FALSE)</f>
        <v>79653</v>
      </c>
      <c r="K40" s="772">
        <f>VLOOKUP(K3,[13]CÉDULA!$A$32:$AC$43,(23),FALSE)+VLOOKUP(K3,[13]CÉDULA!$A$32:$AC$43,27,FALSE)</f>
        <v>79011</v>
      </c>
      <c r="L40" s="772">
        <f>VLOOKUP(L3,[13]CÉDULA!$A$32:$AC$43,(23),FALSE)+VLOOKUP(L3,[13]CÉDULA!$A$32:$AC$43,27,FALSE)</f>
        <v>78365</v>
      </c>
      <c r="M40" s="772">
        <f>VLOOKUP(M3,[13]CÉDULA!$A$32:$AC$43,(23),FALSE)+VLOOKUP(M3,[13]CÉDULA!$A$32:$AC$43,27,FALSE)</f>
        <v>77714</v>
      </c>
      <c r="N40" s="772">
        <f>VLOOKUP(N3,[13]CÉDULA!$A$32:$AC$43,(23),FALSE)+VLOOKUP(N3,[13]CÉDULA!$A$32:$AC$43,27,FALSE)</f>
        <v>77061</v>
      </c>
      <c r="O40" s="772">
        <f>VLOOKUP(O3,[13]CÉDULA!$A$32:$AC$43,(23),FALSE)+VLOOKUP(O3,[13]CÉDULA!$A$32:$AC$43,27,FALSE)</f>
        <v>76402</v>
      </c>
      <c r="P40" s="772">
        <f>VLOOKUP(P3,[13]CÉDULA!$A$32:$AC$43,(23),FALSE)+VLOOKUP(P3,[13]CÉDULA!$A$32:$AC$43,27,FALSE)</f>
        <v>75739</v>
      </c>
      <c r="Q40" s="772">
        <f>VLOOKUP(Q3,[13]CÉDULA!$A$32:$AC$43,(23),FALSE)+VLOOKUP(Q3,[13]CÉDULA!$A$32:$AC$43,27,FALSE)</f>
        <v>75073</v>
      </c>
    </row>
    <row r="41" spans="1:31" s="771" customFormat="1" ht="18" thickBot="1" x14ac:dyDescent="0.35">
      <c r="A41" s="1194" t="s">
        <v>9815</v>
      </c>
      <c r="B41" s="1195"/>
      <c r="C41" s="768">
        <f t="shared" ref="C41" si="13">SUM(C38:C40)</f>
        <v>5861401</v>
      </c>
      <c r="D41" s="1196"/>
      <c r="E41" s="1196"/>
      <c r="F41" s="768">
        <f t="shared" ref="F41:Q41" si="14">SUM(F38:F40)</f>
        <v>510293</v>
      </c>
      <c r="G41" s="768">
        <f t="shared" si="14"/>
        <v>506404</v>
      </c>
      <c r="H41" s="768">
        <f t="shared" si="14"/>
        <v>502491</v>
      </c>
      <c r="I41" s="768">
        <f t="shared" si="14"/>
        <v>498553</v>
      </c>
      <c r="J41" s="768">
        <f t="shared" si="14"/>
        <v>494591</v>
      </c>
      <c r="K41" s="768">
        <f t="shared" si="14"/>
        <v>490602</v>
      </c>
      <c r="L41" s="768">
        <f t="shared" si="14"/>
        <v>486591</v>
      </c>
      <c r="M41" s="768">
        <f t="shared" si="14"/>
        <v>482552</v>
      </c>
      <c r="N41" s="768">
        <f t="shared" si="14"/>
        <v>478490</v>
      </c>
      <c r="O41" s="768">
        <f t="shared" si="14"/>
        <v>474400</v>
      </c>
      <c r="P41" s="768">
        <f t="shared" si="14"/>
        <v>470287</v>
      </c>
      <c r="Q41" s="1197">
        <f t="shared" si="14"/>
        <v>466147</v>
      </c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spans="1:31" s="771" customFormat="1" ht="17.25" x14ac:dyDescent="0.3">
      <c r="A42" s="1194"/>
      <c r="B42" s="1195"/>
      <c r="C42" s="769"/>
      <c r="D42" s="1196"/>
      <c r="E42" s="1196"/>
      <c r="F42" s="769"/>
      <c r="G42" s="769"/>
      <c r="H42" s="769"/>
      <c r="I42" s="769"/>
      <c r="J42" s="769"/>
      <c r="K42" s="769"/>
      <c r="L42" s="769"/>
      <c r="M42" s="769"/>
      <c r="N42" s="769"/>
      <c r="O42" s="769"/>
      <c r="P42" s="769"/>
      <c r="Q42" s="1202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spans="1:31" s="771" customFormat="1" ht="17.25" x14ac:dyDescent="0.3">
      <c r="A43" s="1194"/>
      <c r="B43" s="1195"/>
      <c r="C43" s="769"/>
      <c r="D43" s="1196"/>
      <c r="E43" s="1196"/>
      <c r="F43" s="769"/>
      <c r="G43" s="769"/>
      <c r="H43" s="769"/>
      <c r="I43" s="769"/>
      <c r="J43" s="769"/>
      <c r="K43" s="769"/>
      <c r="L43" s="769"/>
      <c r="M43" s="769"/>
      <c r="N43" s="769"/>
      <c r="O43" s="769"/>
      <c r="P43" s="769"/>
      <c r="Q43" s="1202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spans="1:31" s="771" customFormat="1" ht="17.25" x14ac:dyDescent="0.3">
      <c r="A44" s="1194" t="s">
        <v>10195</v>
      </c>
      <c r="B44" s="1195"/>
      <c r="C44" s="772">
        <f>SUM(F44:Q44)</f>
        <v>72801.67</v>
      </c>
      <c r="D44" s="1196"/>
      <c r="E44" s="1196"/>
      <c r="F44" s="769">
        <v>7758.12</v>
      </c>
      <c r="G44" s="769">
        <v>7456.76</v>
      </c>
      <c r="H44" s="769">
        <v>7153.58</v>
      </c>
      <c r="I44" s="769">
        <v>6848.57</v>
      </c>
      <c r="J44" s="769">
        <v>6541.71</v>
      </c>
      <c r="K44" s="769">
        <v>6233.01</v>
      </c>
      <c r="L44" s="769">
        <v>5922.43</v>
      </c>
      <c r="M44" s="769">
        <v>5609.98</v>
      </c>
      <c r="N44" s="769">
        <v>5295.65</v>
      </c>
      <c r="O44" s="769">
        <v>4979.41</v>
      </c>
      <c r="P44" s="769">
        <v>4661.26</v>
      </c>
      <c r="Q44" s="1202">
        <v>4341.1899999999996</v>
      </c>
      <c r="R44" s="770">
        <v>4019.19</v>
      </c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spans="1:31" s="771" customFormat="1" ht="18" thickBot="1" x14ac:dyDescent="0.35">
      <c r="A45" s="1194" t="s">
        <v>9815</v>
      </c>
      <c r="B45" s="1195"/>
      <c r="C45" s="768">
        <f t="shared" ref="C45" si="15">SUM(C42:C44)</f>
        <v>72801.67</v>
      </c>
      <c r="D45" s="1196"/>
      <c r="E45" s="1196"/>
      <c r="F45" s="768">
        <f t="shared" ref="F45:Q45" si="16">SUM(F42:F44)</f>
        <v>7758.12</v>
      </c>
      <c r="G45" s="768">
        <f t="shared" si="16"/>
        <v>7456.76</v>
      </c>
      <c r="H45" s="768">
        <f t="shared" si="16"/>
        <v>7153.58</v>
      </c>
      <c r="I45" s="768">
        <f t="shared" si="16"/>
        <v>6848.57</v>
      </c>
      <c r="J45" s="768">
        <f t="shared" si="16"/>
        <v>6541.71</v>
      </c>
      <c r="K45" s="768">
        <f t="shared" si="16"/>
        <v>6233.01</v>
      </c>
      <c r="L45" s="768">
        <f t="shared" si="16"/>
        <v>5922.43</v>
      </c>
      <c r="M45" s="768">
        <f t="shared" si="16"/>
        <v>5609.98</v>
      </c>
      <c r="N45" s="768">
        <f t="shared" si="16"/>
        <v>5295.65</v>
      </c>
      <c r="O45" s="768">
        <f t="shared" si="16"/>
        <v>4979.41</v>
      </c>
      <c r="P45" s="768">
        <f t="shared" si="16"/>
        <v>4661.26</v>
      </c>
      <c r="Q45" s="1197">
        <f t="shared" si="16"/>
        <v>4341.1899999999996</v>
      </c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spans="1:31" s="771" customFormat="1" ht="17.25" x14ac:dyDescent="0.3">
      <c r="A46" s="1194"/>
      <c r="B46" s="1195"/>
      <c r="C46" s="769"/>
      <c r="D46" s="1196"/>
      <c r="E46" s="1196"/>
      <c r="F46" s="769"/>
      <c r="G46" s="769"/>
      <c r="H46" s="769"/>
      <c r="I46" s="769"/>
      <c r="J46" s="769"/>
      <c r="K46" s="769"/>
      <c r="L46" s="769"/>
      <c r="M46" s="769"/>
      <c r="N46" s="769"/>
      <c r="O46" s="769"/>
      <c r="P46" s="769"/>
      <c r="Q46" s="1202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spans="1:31" ht="15" x14ac:dyDescent="0.25">
      <c r="A47" s="1192" t="s">
        <v>9804</v>
      </c>
      <c r="B47" s="1193"/>
      <c r="C47" s="772">
        <f>SUM(G47:Q47)</f>
        <v>275000</v>
      </c>
      <c r="D47" s="1190"/>
      <c r="E47" s="1190"/>
      <c r="F47" s="1203">
        <v>25000</v>
      </c>
      <c r="G47" s="1203">
        <v>25000</v>
      </c>
      <c r="H47" s="1203">
        <v>25000</v>
      </c>
      <c r="I47" s="1203">
        <v>25000</v>
      </c>
      <c r="J47" s="1203">
        <v>25000</v>
      </c>
      <c r="K47" s="1203">
        <v>25000</v>
      </c>
      <c r="L47" s="1203">
        <v>25000</v>
      </c>
      <c r="M47" s="1203">
        <v>25000</v>
      </c>
      <c r="N47" s="1203">
        <v>25000</v>
      </c>
      <c r="O47" s="1203">
        <v>25000</v>
      </c>
      <c r="P47" s="1203">
        <v>25000</v>
      </c>
      <c r="Q47" s="1203">
        <v>25000</v>
      </c>
    </row>
    <row r="48" spans="1:31" ht="15" x14ac:dyDescent="0.25">
      <c r="A48" s="1192" t="s">
        <v>4524</v>
      </c>
      <c r="B48" s="1193"/>
      <c r="C48" s="772">
        <f t="shared" ref="C48:C49" si="17">SUM(G48:Q48)</f>
        <v>14300</v>
      </c>
      <c r="D48" s="1190"/>
      <c r="E48" s="1190"/>
      <c r="F48" s="1203">
        <v>1300</v>
      </c>
      <c r="G48" s="1203">
        <v>1300</v>
      </c>
      <c r="H48" s="1203">
        <v>1300</v>
      </c>
      <c r="I48" s="1203">
        <v>1300</v>
      </c>
      <c r="J48" s="1203">
        <v>1300</v>
      </c>
      <c r="K48" s="1203">
        <v>1300</v>
      </c>
      <c r="L48" s="1203">
        <v>1300</v>
      </c>
      <c r="M48" s="1203">
        <v>1300</v>
      </c>
      <c r="N48" s="1203">
        <v>1300</v>
      </c>
      <c r="O48" s="1203">
        <v>1300</v>
      </c>
      <c r="P48" s="1203">
        <v>1300</v>
      </c>
      <c r="Q48" s="1203">
        <v>1300</v>
      </c>
    </row>
    <row r="49" spans="1:31" ht="15" x14ac:dyDescent="0.25">
      <c r="A49" s="1192" t="s">
        <v>9805</v>
      </c>
      <c r="B49" s="1193"/>
      <c r="C49" s="772">
        <f t="shared" si="17"/>
        <v>14300</v>
      </c>
      <c r="D49" s="1190"/>
      <c r="E49" s="1190"/>
      <c r="F49" s="1203">
        <v>1300</v>
      </c>
      <c r="G49" s="1203">
        <v>1300</v>
      </c>
      <c r="H49" s="1203">
        <v>1300</v>
      </c>
      <c r="I49" s="1203">
        <v>1300</v>
      </c>
      <c r="J49" s="1203">
        <v>1300</v>
      </c>
      <c r="K49" s="1203">
        <v>1300</v>
      </c>
      <c r="L49" s="1203">
        <v>1300</v>
      </c>
      <c r="M49" s="1203">
        <v>1300</v>
      </c>
      <c r="N49" s="1203">
        <v>1300</v>
      </c>
      <c r="O49" s="1203">
        <v>1300</v>
      </c>
      <c r="P49" s="1203">
        <v>1300</v>
      </c>
      <c r="Q49" s="1203">
        <v>1300</v>
      </c>
    </row>
    <row r="50" spans="1:31" s="771" customFormat="1" ht="18" thickBot="1" x14ac:dyDescent="0.35">
      <c r="A50" s="1194" t="s">
        <v>9816</v>
      </c>
      <c r="B50" s="1195"/>
      <c r="C50" s="768">
        <f t="shared" ref="C50" si="18">SUM(C47:C49)</f>
        <v>303600</v>
      </c>
      <c r="D50" s="1196"/>
      <c r="E50" s="1196"/>
      <c r="F50" s="1204">
        <f>SUM(F47:F49)</f>
        <v>27600</v>
      </c>
      <c r="G50" s="1204">
        <f t="shared" ref="G50:Q50" si="19">SUM(G47:G49)</f>
        <v>27600</v>
      </c>
      <c r="H50" s="1204">
        <f t="shared" si="19"/>
        <v>27600</v>
      </c>
      <c r="I50" s="1204">
        <f t="shared" si="19"/>
        <v>27600</v>
      </c>
      <c r="J50" s="1204">
        <f t="shared" si="19"/>
        <v>27600</v>
      </c>
      <c r="K50" s="1204">
        <f t="shared" si="19"/>
        <v>27600</v>
      </c>
      <c r="L50" s="1204">
        <f t="shared" si="19"/>
        <v>27600</v>
      </c>
      <c r="M50" s="1204">
        <f t="shared" si="19"/>
        <v>27600</v>
      </c>
      <c r="N50" s="1204">
        <f t="shared" si="19"/>
        <v>27600</v>
      </c>
      <c r="O50" s="1204">
        <f t="shared" si="19"/>
        <v>27600</v>
      </c>
      <c r="P50" s="1204">
        <f t="shared" si="19"/>
        <v>27600</v>
      </c>
      <c r="Q50" s="1205">
        <f t="shared" si="19"/>
        <v>27600</v>
      </c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spans="1:31" ht="17.25" x14ac:dyDescent="0.3">
      <c r="A51" s="1194"/>
      <c r="B51" s="1195"/>
      <c r="C51" s="772"/>
      <c r="D51" s="1190"/>
      <c r="E51" s="1190"/>
      <c r="F51" s="772"/>
      <c r="G51" s="772"/>
      <c r="H51" s="772"/>
      <c r="I51" s="772"/>
      <c r="J51" s="772"/>
      <c r="K51" s="772"/>
      <c r="L51" s="772"/>
      <c r="M51" s="772"/>
      <c r="N51" s="772"/>
      <c r="O51" s="772"/>
      <c r="P51" s="772"/>
      <c r="Q51" s="1191"/>
    </row>
    <row r="52" spans="1:31" ht="15" x14ac:dyDescent="0.25">
      <c r="A52" s="1192" t="s">
        <v>9804</v>
      </c>
      <c r="B52" s="1193"/>
      <c r="C52" s="772">
        <f>SUM(G52:Q52)</f>
        <v>2162734</v>
      </c>
      <c r="D52" s="1190"/>
      <c r="E52" s="1190"/>
      <c r="F52" s="772">
        <f>+F38+F47</f>
        <v>205018</v>
      </c>
      <c r="G52" s="772">
        <f t="shared" ref="G52:Q52" si="20">+G38+G47</f>
        <v>203646</v>
      </c>
      <c r="H52" s="772">
        <f t="shared" si="20"/>
        <v>202266</v>
      </c>
      <c r="I52" s="772">
        <f t="shared" si="20"/>
        <v>200877</v>
      </c>
      <c r="J52" s="772">
        <f t="shared" si="20"/>
        <v>199479</v>
      </c>
      <c r="K52" s="772">
        <f t="shared" si="20"/>
        <v>198072</v>
      </c>
      <c r="L52" s="772">
        <f t="shared" si="20"/>
        <v>196657</v>
      </c>
      <c r="M52" s="772">
        <f t="shared" si="20"/>
        <v>195232</v>
      </c>
      <c r="N52" s="772">
        <f t="shared" si="20"/>
        <v>193799</v>
      </c>
      <c r="O52" s="772">
        <f t="shared" si="20"/>
        <v>192356</v>
      </c>
      <c r="P52" s="772">
        <f t="shared" si="20"/>
        <v>190905</v>
      </c>
      <c r="Q52" s="1191">
        <f t="shared" si="20"/>
        <v>189445</v>
      </c>
    </row>
    <row r="53" spans="1:31" ht="15" x14ac:dyDescent="0.25">
      <c r="A53" s="1192" t="s">
        <v>4524</v>
      </c>
      <c r="B53" s="1193"/>
      <c r="C53" s="772">
        <f t="shared" ref="C53:C54" si="21">SUM(G53:Q53)</f>
        <v>2615883</v>
      </c>
      <c r="D53" s="1190"/>
      <c r="E53" s="1190"/>
      <c r="F53" s="772">
        <f>+F39+F48</f>
        <v>249393</v>
      </c>
      <c r="G53" s="772">
        <f t="shared" ref="G53:Q53" si="22">+G39+G48</f>
        <v>247502</v>
      </c>
      <c r="H53" s="772">
        <f t="shared" si="22"/>
        <v>245600</v>
      </c>
      <c r="I53" s="772">
        <f t="shared" si="22"/>
        <v>243684</v>
      </c>
      <c r="J53" s="772">
        <f t="shared" si="22"/>
        <v>241759</v>
      </c>
      <c r="K53" s="772">
        <f t="shared" si="22"/>
        <v>239819</v>
      </c>
      <c r="L53" s="772">
        <f t="shared" si="22"/>
        <v>237869</v>
      </c>
      <c r="M53" s="772">
        <f t="shared" si="22"/>
        <v>235906</v>
      </c>
      <c r="N53" s="772">
        <f t="shared" si="22"/>
        <v>233930</v>
      </c>
      <c r="O53" s="772">
        <f t="shared" si="22"/>
        <v>231942</v>
      </c>
      <c r="P53" s="772">
        <f t="shared" si="22"/>
        <v>229943</v>
      </c>
      <c r="Q53" s="1191">
        <f t="shared" si="22"/>
        <v>227929</v>
      </c>
    </row>
    <row r="54" spans="1:31" ht="15" x14ac:dyDescent="0.25">
      <c r="A54" s="1192" t="s">
        <v>9805</v>
      </c>
      <c r="B54" s="1193"/>
      <c r="C54" s="772">
        <f t="shared" si="21"/>
        <v>876091</v>
      </c>
      <c r="D54" s="1190"/>
      <c r="E54" s="1190"/>
      <c r="F54" s="772">
        <f>+F40+F49</f>
        <v>83482</v>
      </c>
      <c r="G54" s="772">
        <f t="shared" ref="G54:Q54" si="23">+G40+G49</f>
        <v>82856</v>
      </c>
      <c r="H54" s="772">
        <f t="shared" si="23"/>
        <v>82225</v>
      </c>
      <c r="I54" s="772">
        <f t="shared" si="23"/>
        <v>81592</v>
      </c>
      <c r="J54" s="772">
        <f t="shared" si="23"/>
        <v>80953</v>
      </c>
      <c r="K54" s="772">
        <f t="shared" si="23"/>
        <v>80311</v>
      </c>
      <c r="L54" s="772">
        <f t="shared" si="23"/>
        <v>79665</v>
      </c>
      <c r="M54" s="772">
        <f t="shared" si="23"/>
        <v>79014</v>
      </c>
      <c r="N54" s="772">
        <f t="shared" si="23"/>
        <v>78361</v>
      </c>
      <c r="O54" s="772">
        <f t="shared" si="23"/>
        <v>77702</v>
      </c>
      <c r="P54" s="772">
        <f t="shared" si="23"/>
        <v>77039</v>
      </c>
      <c r="Q54" s="1191">
        <f t="shared" si="23"/>
        <v>76373</v>
      </c>
    </row>
    <row r="55" spans="1:31" ht="16.5" thickBot="1" x14ac:dyDescent="0.3">
      <c r="A55" s="1206" t="s">
        <v>9817</v>
      </c>
      <c r="B55" s="1207"/>
      <c r="C55" s="768">
        <f>SUM(C52:C54)+C45</f>
        <v>5727509.6699999999</v>
      </c>
      <c r="D55" s="1196"/>
      <c r="E55" s="1196"/>
      <c r="F55" s="768">
        <f>SUM(F52:F54)+F45</f>
        <v>545651.12</v>
      </c>
      <c r="G55" s="768">
        <f t="shared" ref="G55:Q55" si="24">SUM(G52:G54)+G45</f>
        <v>541460.76</v>
      </c>
      <c r="H55" s="768">
        <f t="shared" si="24"/>
        <v>537244.57999999996</v>
      </c>
      <c r="I55" s="768">
        <f t="shared" si="24"/>
        <v>533001.56999999995</v>
      </c>
      <c r="J55" s="768">
        <f t="shared" si="24"/>
        <v>528732.71</v>
      </c>
      <c r="K55" s="768">
        <f t="shared" si="24"/>
        <v>524435.01</v>
      </c>
      <c r="L55" s="768">
        <f t="shared" si="24"/>
        <v>520113.43</v>
      </c>
      <c r="M55" s="768">
        <f t="shared" si="24"/>
        <v>515761.98</v>
      </c>
      <c r="N55" s="768">
        <f t="shared" si="24"/>
        <v>511385.65</v>
      </c>
      <c r="O55" s="768">
        <f t="shared" si="24"/>
        <v>506979.41</v>
      </c>
      <c r="P55" s="768">
        <f t="shared" si="24"/>
        <v>502548.26</v>
      </c>
      <c r="Q55" s="768">
        <f t="shared" si="24"/>
        <v>498088.19</v>
      </c>
    </row>
    <row r="56" spans="1:31" ht="15.75" thickBot="1" x14ac:dyDescent="0.3">
      <c r="A56" s="1208"/>
      <c r="B56" s="1209"/>
      <c r="C56" s="1210"/>
      <c r="D56" s="1211"/>
      <c r="E56" s="1211"/>
      <c r="F56" s="1210"/>
      <c r="G56" s="1210"/>
      <c r="H56" s="1210"/>
      <c r="I56" s="1210"/>
      <c r="J56" s="1210"/>
      <c r="K56" s="1210"/>
      <c r="L56" s="1210"/>
      <c r="M56" s="1210"/>
      <c r="N56" s="1210"/>
      <c r="O56" s="1210"/>
      <c r="P56" s="1210"/>
      <c r="Q56" s="121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56"/>
  <sheetViews>
    <sheetView zoomScale="90" zoomScaleNormal="90" workbookViewId="0">
      <pane xSplit="5" ySplit="16" topLeftCell="Q105" activePane="bottomRight" state="frozen"/>
      <selection activeCell="B7" sqref="B7"/>
      <selection pane="topRight" activeCell="B7" sqref="B7"/>
      <selection pane="bottomLeft" activeCell="B7" sqref="B7"/>
      <selection pane="bottomRight" activeCell="D112" sqref="D112"/>
    </sheetView>
  </sheetViews>
  <sheetFormatPr baseColWidth="10" defaultRowHeight="12.75" x14ac:dyDescent="0.2"/>
  <cols>
    <col min="1" max="1" width="2.42578125" style="1027" customWidth="1"/>
    <col min="2" max="2" width="51.42578125" style="1027" customWidth="1"/>
    <col min="3" max="3" width="14.42578125" style="1027" customWidth="1"/>
    <col min="4" max="4" width="35.42578125" style="1027" customWidth="1"/>
    <col min="5" max="5" width="0" style="1027" hidden="1" customWidth="1"/>
    <col min="6" max="6" width="15" style="1027" customWidth="1"/>
    <col min="7" max="7" width="15.5703125" style="1027" customWidth="1"/>
    <col min="8" max="8" width="14.5703125" style="1027" customWidth="1"/>
    <col min="9" max="11" width="14.85546875" style="1027" customWidth="1"/>
    <col min="12" max="12" width="14.5703125" style="1027" customWidth="1"/>
    <col min="13" max="13" width="14" style="1027" customWidth="1"/>
    <col min="14" max="14" width="15.140625" style="1027" customWidth="1"/>
    <col min="15" max="15" width="14.140625" style="1027" customWidth="1"/>
    <col min="16" max="16" width="14.7109375" style="1027" customWidth="1"/>
    <col min="17" max="17" width="14.28515625" style="1027" customWidth="1"/>
    <col min="18" max="19" width="15.140625" style="1027" customWidth="1"/>
    <col min="20" max="16384" width="11.42578125" style="1027"/>
  </cols>
  <sheetData>
    <row r="1" spans="1:18" x14ac:dyDescent="0.2">
      <c r="A1" s="1633"/>
    </row>
    <row r="2" spans="1:18" ht="25.5" x14ac:dyDescent="0.35">
      <c r="B2" s="1634" t="s">
        <v>10466</v>
      </c>
    </row>
    <row r="3" spans="1:18" x14ac:dyDescent="0.2">
      <c r="B3" s="1635"/>
    </row>
    <row r="4" spans="1:18" ht="15.75" x14ac:dyDescent="0.25">
      <c r="B4" s="1636" t="str">
        <f>caratula!B26</f>
        <v>PRESUPUESTO  2014</v>
      </c>
    </row>
    <row r="5" spans="1:18" ht="15.75" x14ac:dyDescent="0.25">
      <c r="B5" s="1636" t="s">
        <v>10467</v>
      </c>
    </row>
    <row r="6" spans="1:18" ht="15.75" x14ac:dyDescent="0.25">
      <c r="B6" s="1636" t="s">
        <v>10267</v>
      </c>
    </row>
    <row r="7" spans="1:18" ht="16.5" thickBot="1" x14ac:dyDescent="0.3">
      <c r="B7" s="1636" t="s">
        <v>10468</v>
      </c>
    </row>
    <row r="8" spans="1:18" ht="13.5" thickTop="1" x14ac:dyDescent="0.2">
      <c r="B8" s="1637"/>
      <c r="C8" s="1638"/>
      <c r="D8" s="1638"/>
      <c r="E8" s="1638"/>
      <c r="F8" s="1639"/>
      <c r="G8" s="1639"/>
      <c r="H8" s="1639"/>
      <c r="I8" s="1639"/>
      <c r="J8" s="1639"/>
      <c r="K8" s="1639"/>
      <c r="L8" s="1639"/>
      <c r="M8" s="1639"/>
      <c r="N8" s="1639"/>
      <c r="O8" s="1639"/>
      <c r="P8" s="1639"/>
      <c r="Q8" s="1639"/>
      <c r="R8" s="1640"/>
    </row>
    <row r="9" spans="1:18" ht="18" x14ac:dyDescent="0.25">
      <c r="B9" s="1641" t="s">
        <v>5</v>
      </c>
      <c r="C9" s="1642" t="s">
        <v>10469</v>
      </c>
      <c r="D9" s="1642" t="s">
        <v>10470</v>
      </c>
      <c r="E9" s="1642"/>
      <c r="F9" s="1643" t="s">
        <v>8</v>
      </c>
      <c r="G9" s="1643" t="s">
        <v>9</v>
      </c>
      <c r="H9" s="1643" t="s">
        <v>10</v>
      </c>
      <c r="I9" s="1643" t="s">
        <v>11</v>
      </c>
      <c r="J9" s="1643" t="s">
        <v>12</v>
      </c>
      <c r="K9" s="1643" t="s">
        <v>13</v>
      </c>
      <c r="L9" s="1643" t="s">
        <v>14</v>
      </c>
      <c r="M9" s="1643" t="s">
        <v>15</v>
      </c>
      <c r="N9" s="1643" t="s">
        <v>16</v>
      </c>
      <c r="O9" s="1643" t="s">
        <v>17</v>
      </c>
      <c r="P9" s="1643" t="s">
        <v>18</v>
      </c>
      <c r="Q9" s="1643" t="s">
        <v>19</v>
      </c>
      <c r="R9" s="1644" t="s">
        <v>135</v>
      </c>
    </row>
    <row r="10" spans="1:18" x14ac:dyDescent="0.2">
      <c r="B10" s="1645" t="s">
        <v>28</v>
      </c>
      <c r="C10" s="1646"/>
      <c r="D10" s="1646"/>
      <c r="E10" s="1647"/>
      <c r="F10" s="1648"/>
      <c r="G10" s="1648"/>
      <c r="H10" s="1648"/>
      <c r="I10" s="1648"/>
      <c r="J10" s="1648"/>
      <c r="K10" s="1648"/>
      <c r="L10" s="1648"/>
      <c r="M10" s="1648"/>
      <c r="N10" s="1648"/>
      <c r="O10" s="1648"/>
      <c r="P10" s="1648"/>
      <c r="Q10" s="1648"/>
      <c r="R10" s="1649"/>
    </row>
    <row r="11" spans="1:18" hidden="1" x14ac:dyDescent="0.2">
      <c r="B11" s="1650" t="s">
        <v>10471</v>
      </c>
      <c r="C11" s="1651"/>
      <c r="D11" s="1651"/>
      <c r="E11" s="1652"/>
      <c r="F11" s="1653">
        <v>39.999999999999993</v>
      </c>
      <c r="G11" s="1653">
        <v>40</v>
      </c>
      <c r="H11" s="1653">
        <v>41</v>
      </c>
      <c r="I11" s="1653">
        <v>42.999999999999993</v>
      </c>
      <c r="J11" s="1653">
        <v>42.999999999999993</v>
      </c>
      <c r="K11" s="1653">
        <v>46.000190036106858</v>
      </c>
      <c r="L11" s="1653">
        <v>46.000071994711661</v>
      </c>
      <c r="M11" s="1653">
        <v>46.000257091438854</v>
      </c>
      <c r="N11" s="1653">
        <v>46.000052320618089</v>
      </c>
      <c r="O11" s="1653">
        <v>44.999999999999993</v>
      </c>
      <c r="P11" s="1653">
        <v>44.000724735387308</v>
      </c>
      <c r="Q11" s="1653">
        <v>0</v>
      </c>
      <c r="R11" s="1654"/>
    </row>
    <row r="12" spans="1:18" ht="15" hidden="1" x14ac:dyDescent="0.2">
      <c r="B12" s="1655" t="s">
        <v>10472</v>
      </c>
      <c r="C12" s="1656"/>
      <c r="D12" s="1656"/>
      <c r="E12" s="1657"/>
      <c r="F12" s="1658"/>
      <c r="G12" s="1658"/>
      <c r="H12" s="1658"/>
      <c r="I12" s="1658"/>
      <c r="J12" s="1658"/>
      <c r="K12" s="1658"/>
      <c r="L12" s="1658"/>
      <c r="M12" s="1658"/>
      <c r="N12" s="1658"/>
      <c r="O12" s="1658"/>
      <c r="P12" s="1658"/>
      <c r="Q12" s="1658"/>
      <c r="R12" s="1659">
        <f>SUM(F12:Q12)</f>
        <v>0</v>
      </c>
    </row>
    <row r="13" spans="1:18" ht="15" hidden="1" x14ac:dyDescent="0.2">
      <c r="B13" s="1655" t="s">
        <v>10473</v>
      </c>
      <c r="C13" s="1656"/>
      <c r="D13" s="1656"/>
      <c r="E13" s="1657"/>
      <c r="F13" s="1658"/>
      <c r="G13" s="1658"/>
      <c r="H13" s="1658"/>
      <c r="I13" s="1658"/>
      <c r="J13" s="1658"/>
      <c r="K13" s="1658"/>
      <c r="L13" s="1658"/>
      <c r="M13" s="1658"/>
      <c r="N13" s="1658"/>
      <c r="O13" s="1658"/>
      <c r="P13" s="1658"/>
      <c r="Q13" s="1658"/>
      <c r="R13" s="1659">
        <f>SUM(F13:Q13)</f>
        <v>0</v>
      </c>
    </row>
    <row r="14" spans="1:18" ht="15" hidden="1" x14ac:dyDescent="0.2">
      <c r="B14" s="1660" t="s">
        <v>10103</v>
      </c>
      <c r="C14" s="1656"/>
      <c r="D14" s="1656"/>
      <c r="E14" s="1657"/>
      <c r="F14" s="1658"/>
      <c r="G14" s="1658"/>
      <c r="H14" s="1658"/>
      <c r="I14" s="1658"/>
      <c r="J14" s="1658"/>
      <c r="K14" s="1658"/>
      <c r="L14" s="1658"/>
      <c r="M14" s="1658"/>
      <c r="N14" s="1658"/>
      <c r="O14" s="1658"/>
      <c r="P14" s="1658"/>
      <c r="Q14" s="1658"/>
      <c r="R14" s="1659">
        <f>SUM(F14:Q14)</f>
        <v>0</v>
      </c>
    </row>
    <row r="15" spans="1:18" ht="15" hidden="1" x14ac:dyDescent="0.2">
      <c r="B15" s="1660" t="s">
        <v>10474</v>
      </c>
      <c r="C15" s="1656"/>
      <c r="D15" s="1656"/>
      <c r="E15" s="1657"/>
      <c r="F15" s="1658"/>
      <c r="G15" s="1658"/>
      <c r="H15" s="1658"/>
      <c r="I15" s="1658"/>
      <c r="J15" s="1658"/>
      <c r="K15" s="1658"/>
      <c r="L15" s="1658"/>
      <c r="M15" s="1658"/>
      <c r="N15" s="1658"/>
      <c r="O15" s="1658"/>
      <c r="P15" s="1658"/>
      <c r="Q15" s="1658"/>
      <c r="R15" s="1659">
        <f>SUM(F15:Q15)</f>
        <v>0</v>
      </c>
    </row>
    <row r="16" spans="1:18" ht="15" hidden="1" x14ac:dyDescent="0.2">
      <c r="B16" s="1660" t="s">
        <v>10475</v>
      </c>
      <c r="C16" s="1656"/>
      <c r="D16" s="1656"/>
      <c r="E16" s="1657"/>
      <c r="F16" s="1658"/>
      <c r="G16" s="1658"/>
      <c r="H16" s="1658"/>
      <c r="I16" s="1658"/>
      <c r="J16" s="1658"/>
      <c r="K16" s="1658"/>
      <c r="L16" s="1658"/>
      <c r="M16" s="1658"/>
      <c r="N16" s="1658"/>
      <c r="O16" s="1658"/>
      <c r="P16" s="1658"/>
      <c r="Q16" s="1658"/>
      <c r="R16" s="1659">
        <f>SUM(F16:Q16)</f>
        <v>0</v>
      </c>
    </row>
    <row r="17" spans="2:18" ht="15.75" x14ac:dyDescent="0.25">
      <c r="B17" s="1661" t="s">
        <v>10476</v>
      </c>
      <c r="C17" s="1656"/>
      <c r="D17" s="1662"/>
      <c r="E17" s="1662"/>
      <c r="F17" s="1657"/>
      <c r="G17" s="1657"/>
      <c r="H17" s="1657"/>
      <c r="I17" s="1657"/>
      <c r="J17" s="1657"/>
      <c r="K17" s="1657"/>
      <c r="L17" s="1657"/>
      <c r="M17" s="1657"/>
      <c r="N17" s="1657"/>
      <c r="O17" s="1657"/>
      <c r="P17" s="1657"/>
      <c r="Q17" s="1657"/>
      <c r="R17" s="1663"/>
    </row>
    <row r="18" spans="2:18" ht="15.75" x14ac:dyDescent="0.25">
      <c r="B18" s="1661"/>
      <c r="C18" s="1662"/>
      <c r="D18" s="1662"/>
      <c r="E18" s="1664"/>
      <c r="F18" s="1657"/>
      <c r="G18" s="1657"/>
      <c r="H18" s="1657"/>
      <c r="I18" s="1657"/>
      <c r="J18" s="1657"/>
      <c r="K18" s="1657"/>
      <c r="L18" s="1657"/>
      <c r="M18" s="1657"/>
      <c r="N18" s="1657"/>
      <c r="O18" s="1657"/>
      <c r="P18" s="1657"/>
      <c r="Q18" s="1657"/>
      <c r="R18" s="1663"/>
    </row>
    <row r="19" spans="2:18" ht="15.75" x14ac:dyDescent="0.25">
      <c r="B19" s="1661" t="s">
        <v>10477</v>
      </c>
      <c r="C19" s="1662"/>
      <c r="D19" s="1662"/>
      <c r="E19" s="1662"/>
      <c r="F19" s="1657"/>
      <c r="G19" s="1657"/>
      <c r="H19" s="1657"/>
      <c r="I19" s="1657"/>
      <c r="J19" s="1657"/>
      <c r="K19" s="1657"/>
      <c r="L19" s="1657"/>
      <c r="M19" s="1657"/>
      <c r="N19" s="1657"/>
      <c r="O19" s="1657"/>
      <c r="P19" s="1657"/>
      <c r="Q19" s="1657"/>
      <c r="R19" s="1663"/>
    </row>
    <row r="20" spans="2:18" ht="15.75" x14ac:dyDescent="0.25">
      <c r="B20" s="1710"/>
      <c r="C20" s="1665"/>
      <c r="D20" s="1662"/>
      <c r="E20" s="1662"/>
      <c r="F20" s="1657"/>
      <c r="G20" s="1657"/>
      <c r="H20" s="1657"/>
      <c r="I20" s="1657"/>
      <c r="J20" s="1657"/>
      <c r="K20" s="1657"/>
      <c r="L20" s="1657"/>
      <c r="M20" s="1657"/>
      <c r="N20" s="1657"/>
      <c r="O20" s="1657"/>
      <c r="P20" s="1657"/>
      <c r="Q20" s="1657"/>
      <c r="R20" s="1663"/>
    </row>
    <row r="21" spans="2:18" ht="15.75" x14ac:dyDescent="0.25">
      <c r="B21" s="1666" t="s">
        <v>10478</v>
      </c>
      <c r="C21" s="1667" t="s">
        <v>10479</v>
      </c>
      <c r="D21" s="1668" t="str">
        <f>VLOOKUP(C21,'[2]Cat. cuentas'!$A$1:$B$195,2,FALSE)</f>
        <v>TALACHAS</v>
      </c>
      <c r="E21" s="1662"/>
      <c r="F21" s="1657">
        <f>'[6]Gastos de Operación'!F21+'[7]Gastos de Operación'!F21+'[8]Gastos de Operación'!F21+'[3]Gastos de Operación'!F21+'[9]Gastos de Operación'!F21+'[2]Gastos de Operación'!F21</f>
        <v>3269.0689616968584</v>
      </c>
      <c r="G21" s="1657">
        <f>'[6]Gastos de Operación'!G21+'[7]Gastos de Operación'!G21+'[8]Gastos de Operación'!G21+'[3]Gastos de Operación'!G21+'[9]Gastos de Operación'!G21+'[2]Gastos de Operación'!G21</f>
        <v>3265.8122338234525</v>
      </c>
      <c r="H21" s="1657">
        <f>'[6]Gastos de Operación'!H21+'[7]Gastos de Operación'!H21+'[8]Gastos de Operación'!H21+'[3]Gastos de Operación'!H21+'[9]Gastos de Operación'!H21+'[2]Gastos de Operación'!H21</f>
        <v>3277.2614504760304</v>
      </c>
      <c r="I21" s="1657">
        <f>'[6]Gastos de Operación'!I21+'[7]Gastos de Operación'!I21+'[8]Gastos de Operación'!I21+'[3]Gastos de Operación'!I21+'[9]Gastos de Operación'!I21+'[2]Gastos de Operación'!I21</f>
        <v>3296.9656345808116</v>
      </c>
      <c r="J21" s="1657">
        <f>'[6]Gastos de Operación'!J21+'[7]Gastos de Operación'!J21+'[8]Gastos de Operación'!J21+'[3]Gastos de Operación'!J21+'[9]Gastos de Operación'!J21+'[2]Gastos de Operación'!J21</f>
        <v>3288.1348179755787</v>
      </c>
      <c r="K21" s="1657">
        <f>'[6]Gastos de Operación'!K21+'[7]Gastos de Operación'!K21+'[8]Gastos de Operación'!K21+'[3]Gastos de Operación'!K21+'[9]Gastos de Operación'!K21+'[2]Gastos de Operación'!K21</f>
        <v>3292.493869271299</v>
      </c>
      <c r="L21" s="1657">
        <f>'[6]Gastos de Operación'!L21+'[7]Gastos de Operación'!L21+'[8]Gastos de Operación'!L21+'[3]Gastos de Operación'!L21+'[9]Gastos de Operación'!L21+'[2]Gastos de Operación'!L21</f>
        <v>3322.7978205896784</v>
      </c>
      <c r="M21" s="1657">
        <f>'[6]Gastos de Operación'!M21+'[7]Gastos de Operación'!M21+'[8]Gastos de Operación'!M21+'[3]Gastos de Operación'!M21+'[9]Gastos de Operación'!M21+'[2]Gastos de Operación'!M21</f>
        <v>3317.6404060039276</v>
      </c>
      <c r="N21" s="1657">
        <f>'[6]Gastos de Operación'!N21+'[7]Gastos de Operación'!N21+'[8]Gastos de Operación'!N21+'[3]Gastos de Operación'!N21+'[9]Gastos de Operación'!N21+'[2]Gastos de Operación'!N21</f>
        <v>3282.3496497142291</v>
      </c>
      <c r="O21" s="1657">
        <f>'[6]Gastos de Operación'!O21+'[7]Gastos de Operación'!O21+'[8]Gastos de Operación'!O21+'[3]Gastos de Operación'!O21+'[9]Gastos de Operación'!O21+'[2]Gastos de Operación'!O21</f>
        <v>3385.8305398454227</v>
      </c>
      <c r="P21" s="1657">
        <f>'[6]Gastos de Operación'!P21+'[7]Gastos de Operación'!P21+'[8]Gastos de Operación'!P21+'[3]Gastos de Operación'!P21+'[9]Gastos de Operación'!P21+'[2]Gastos de Operación'!P21</f>
        <v>3332.9029772003382</v>
      </c>
      <c r="Q21" s="1657">
        <f>'[6]Gastos de Operación'!Q21+'[7]Gastos de Operación'!Q21+'[8]Gastos de Operación'!Q21+'[3]Gastos de Operación'!Q21+'[9]Gastos de Operación'!Q21+'[2]Gastos de Operación'!Q21</f>
        <v>3335.9472466556408</v>
      </c>
      <c r="R21" s="1669">
        <f>SUM(F21:Q21)</f>
        <v>39667.205607833275</v>
      </c>
    </row>
    <row r="22" spans="2:18" ht="15.75" x14ac:dyDescent="0.25">
      <c r="B22" s="1666" t="s">
        <v>10480</v>
      </c>
      <c r="C22" s="1670" t="s">
        <v>10481</v>
      </c>
      <c r="D22" s="1668" t="s">
        <v>10593</v>
      </c>
      <c r="E22" s="1662"/>
      <c r="F22" s="1657">
        <f>'[6]Gastos de Operación'!F22+'[7]Gastos de Operación'!F22+'[8]Gastos de Operación'!F22+'[3]Gastos de Operación'!F22+'[9]Gastos de Operación'!F22+'[2]Gastos de Operación'!F22</f>
        <v>453886.36036852031</v>
      </c>
      <c r="G22" s="1657">
        <f>'[6]Gastos de Operación'!G22+'[7]Gastos de Operación'!G22+'[8]Gastos de Operación'!G22+'[3]Gastos de Operación'!G22+'[9]Gastos de Operación'!G22+'[2]Gastos de Operación'!G22</f>
        <v>476959.86508195731</v>
      </c>
      <c r="H22" s="1657">
        <f>'[6]Gastos de Operación'!H22+'[7]Gastos de Operación'!H22+'[8]Gastos de Operación'!H22+'[3]Gastos de Operación'!H22+'[9]Gastos de Operación'!H22+'[2]Gastos de Operación'!H22</f>
        <v>484877.59392929386</v>
      </c>
      <c r="I22" s="1657">
        <f>'[6]Gastos de Operación'!I22+'[7]Gastos de Operación'!I22+'[8]Gastos de Operación'!I22+'[3]Gastos de Operación'!I22+'[9]Gastos de Operación'!I22+'[2]Gastos de Operación'!I22</f>
        <v>504781.817762641</v>
      </c>
      <c r="J22" s="1657">
        <f>'[6]Gastos de Operación'!J22+'[7]Gastos de Operación'!J22+'[8]Gastos de Operación'!J22+'[3]Gastos de Operación'!J22+'[9]Gastos de Operación'!J22+'[2]Gastos de Operación'!J22</f>
        <v>519756.37324851158</v>
      </c>
      <c r="K22" s="1657">
        <f>'[6]Gastos de Operación'!K22+'[7]Gastos de Operación'!K22+'[8]Gastos de Operación'!K22+'[3]Gastos de Operación'!K22+'[9]Gastos de Operación'!K22+'[2]Gastos de Operación'!K22</f>
        <v>518095.31516824022</v>
      </c>
      <c r="L22" s="1657">
        <f>'[6]Gastos de Operación'!L22+'[7]Gastos de Operación'!L22+'[8]Gastos de Operación'!L22+'[3]Gastos de Operación'!L22+'[9]Gastos de Operación'!L22+'[2]Gastos de Operación'!L22</f>
        <v>534178.84886882489</v>
      </c>
      <c r="M22" s="1657">
        <f>'[6]Gastos de Operación'!M22+'[7]Gastos de Operación'!M22+'[8]Gastos de Operación'!M22+'[3]Gastos de Operación'!M22+'[9]Gastos de Operación'!M22+'[2]Gastos de Operación'!M22</f>
        <v>529009.78024932172</v>
      </c>
      <c r="N22" s="1657">
        <f>'[6]Gastos de Operación'!N22+'[7]Gastos de Operación'!N22+'[8]Gastos de Operación'!N22+'[3]Gastos de Operación'!N22+'[9]Gastos de Operación'!N22+'[2]Gastos de Operación'!N22</f>
        <v>510787.15495770448</v>
      </c>
      <c r="O22" s="1657">
        <f>'[6]Gastos de Operación'!O22+'[7]Gastos de Operación'!O22+'[8]Gastos de Operación'!O22+'[3]Gastos de Operación'!O22+'[9]Gastos de Operación'!O22+'[2]Gastos de Operación'!O22</f>
        <v>553261.2182989585</v>
      </c>
      <c r="P22" s="1657">
        <f>'[6]Gastos de Operación'!P22+'[7]Gastos de Operación'!P22+'[8]Gastos de Operación'!P22+'[3]Gastos de Operación'!P22+'[9]Gastos de Operación'!P22+'[2]Gastos de Operación'!P22</f>
        <v>527346.6232609672</v>
      </c>
      <c r="Q22" s="1657">
        <f>'[6]Gastos de Operación'!Q22+'[7]Gastos de Operación'!Q22+'[8]Gastos de Operación'!Q22+'[3]Gastos de Operación'!Q22+'[9]Gastos de Operación'!Q22+'[2]Gastos de Operación'!Q22</f>
        <v>532744.05443102086</v>
      </c>
      <c r="R22" s="1669">
        <f t="shared" ref="R22:R51" si="0">SUM(F22:Q22)</f>
        <v>6145685.0056259623</v>
      </c>
    </row>
    <row r="23" spans="2:18" ht="15.75" x14ac:dyDescent="0.25">
      <c r="B23" s="1666" t="s">
        <v>10482</v>
      </c>
      <c r="C23" s="1670" t="s">
        <v>10483</v>
      </c>
      <c r="D23" s="1668" t="s">
        <v>10594</v>
      </c>
      <c r="E23" s="1662"/>
      <c r="F23" s="1657">
        <f>'[6]Gastos de Operación'!F23+'[7]Gastos de Operación'!F23+'[8]Gastos de Operación'!F23+'[3]Gastos de Operación'!F23+'[9]Gastos de Operación'!F23+'[2]Gastos de Operación'!F23</f>
        <v>355691.9097070701</v>
      </c>
      <c r="G23" s="1657">
        <f>'[6]Gastos de Operación'!G23+'[7]Gastos de Operación'!G23+'[8]Gastos de Operación'!G23+'[3]Gastos de Operación'!G23+'[9]Gastos de Operación'!G23+'[2]Gastos de Operación'!G23</f>
        <v>370299.06635396241</v>
      </c>
      <c r="H23" s="1657">
        <f>'[6]Gastos de Operación'!H23+'[7]Gastos de Operación'!H23+'[8]Gastos de Operación'!H23+'[3]Gastos de Operación'!H23+'[9]Gastos de Operación'!H23+'[2]Gastos de Operación'!H23</f>
        <v>379088.64465210307</v>
      </c>
      <c r="I23" s="1657">
        <f>'[6]Gastos de Operación'!I23+'[7]Gastos de Operación'!I23+'[8]Gastos de Operación'!I23+'[3]Gastos de Operación'!I23+'[9]Gastos de Operación'!I23+'[2]Gastos de Operación'!I23</f>
        <v>396120.13769212109</v>
      </c>
      <c r="J23" s="1657">
        <f>'[6]Gastos de Operación'!J23+'[7]Gastos de Operación'!J23+'[8]Gastos de Operación'!J23+'[3]Gastos de Operación'!J23+'[9]Gastos de Operación'!J23+'[2]Gastos de Operación'!J23</f>
        <v>412742.18700516445</v>
      </c>
      <c r="K23" s="1657">
        <f>'[6]Gastos de Operación'!K23+'[7]Gastos de Operación'!K23+'[8]Gastos de Operación'!K23+'[3]Gastos de Operación'!K23+'[9]Gastos de Operación'!K23+'[2]Gastos de Operación'!K23</f>
        <v>412026.40348634979</v>
      </c>
      <c r="L23" s="1657">
        <f>'[6]Gastos de Operación'!L23+'[7]Gastos de Operación'!L23+'[8]Gastos de Operación'!L23+'[3]Gastos de Operación'!L23+'[9]Gastos de Operación'!L23+'[2]Gastos de Operación'!L23</f>
        <v>432044.67046396236</v>
      </c>
      <c r="M23" s="1657">
        <f>'[6]Gastos de Operación'!M23+'[7]Gastos de Operación'!M23+'[8]Gastos de Operación'!M23+'[3]Gastos de Operación'!M23+'[9]Gastos de Operación'!M23+'[2]Gastos de Operación'!M23</f>
        <v>426101.87464645575</v>
      </c>
      <c r="N23" s="1657">
        <f>'[6]Gastos de Operación'!N23+'[7]Gastos de Operación'!N23+'[8]Gastos de Operación'!N23+'[3]Gastos de Operación'!N23+'[9]Gastos de Operación'!N23+'[2]Gastos de Operación'!N23</f>
        <v>400819.34531333041</v>
      </c>
      <c r="O23" s="1657">
        <f>'[6]Gastos de Operación'!O23+'[7]Gastos de Operación'!O23+'[8]Gastos de Operación'!O23+'[3]Gastos de Operación'!O23+'[9]Gastos de Operación'!O23+'[2]Gastos de Operación'!O23</f>
        <v>459006.87544749316</v>
      </c>
      <c r="P23" s="1657">
        <f>'[6]Gastos de Operación'!P23+'[7]Gastos de Operación'!P23+'[8]Gastos de Operación'!P23+'[3]Gastos de Operación'!P23+'[9]Gastos de Operación'!P23+'[2]Gastos de Operación'!P23</f>
        <v>426717.5419707658</v>
      </c>
      <c r="Q23" s="1657">
        <f>'[6]Gastos de Operación'!Q23+'[7]Gastos de Operación'!Q23+'[8]Gastos de Operación'!Q23+'[3]Gastos de Operación'!Q23+'[9]Gastos de Operación'!Q23+'[2]Gastos de Operación'!Q23</f>
        <v>431188.14091432048</v>
      </c>
      <c r="R23" s="1669">
        <f t="shared" si="0"/>
        <v>4901846.7976530995</v>
      </c>
    </row>
    <row r="24" spans="2:18" ht="15.75" x14ac:dyDescent="0.25">
      <c r="B24" s="1666" t="s">
        <v>10484</v>
      </c>
      <c r="C24" s="1670" t="s">
        <v>10485</v>
      </c>
      <c r="D24" s="1668" t="s">
        <v>10595</v>
      </c>
      <c r="E24" s="1662"/>
      <c r="F24" s="1657">
        <f>'[6]Gastos de Operación'!F24+'[7]Gastos de Operación'!F24+'[8]Gastos de Operación'!F24+'[3]Gastos de Operación'!F24+'[9]Gastos de Operación'!F24+'[2]Gastos de Operación'!F24</f>
        <v>48747.548348313656</v>
      </c>
      <c r="G24" s="1657">
        <f>'[6]Gastos de Operación'!G24+'[7]Gastos de Operación'!G24+'[8]Gastos de Operación'!G24+'[3]Gastos de Operación'!G24+'[9]Gastos de Operación'!G24+'[2]Gastos de Operación'!G24</f>
        <v>49115.887494562703</v>
      </c>
      <c r="H24" s="1657">
        <f>'[6]Gastos de Operación'!H24+'[7]Gastos de Operación'!H24+'[8]Gastos de Operación'!H24+'[3]Gastos de Operación'!H24+'[9]Gastos de Operación'!H24+'[2]Gastos de Operación'!H24</f>
        <v>49738.443834642654</v>
      </c>
      <c r="I24" s="1657">
        <f>'[6]Gastos de Operación'!I24+'[7]Gastos de Operación'!I24+'[8]Gastos de Operación'!I24+'[3]Gastos de Operación'!I24+'[9]Gastos de Operación'!I24+'[2]Gastos de Operación'!I24</f>
        <v>51078.837422015873</v>
      </c>
      <c r="J24" s="1657">
        <f>'[6]Gastos de Operación'!J24+'[7]Gastos de Operación'!J24+'[8]Gastos de Operación'!J24+'[3]Gastos de Operación'!J24+'[9]Gastos de Operación'!J24+'[2]Gastos de Operación'!J24</f>
        <v>50602.06631609035</v>
      </c>
      <c r="K24" s="1657">
        <f>'[6]Gastos de Operación'!K24+'[7]Gastos de Operación'!K24+'[8]Gastos de Operación'!K24+'[3]Gastos de Operación'!K24+'[9]Gastos de Operación'!K24+'[2]Gastos de Operación'!K24</f>
        <v>50639.05940211736</v>
      </c>
      <c r="L24" s="1657">
        <f>'[6]Gastos de Operación'!L24+'[7]Gastos de Operación'!L24+'[8]Gastos de Operación'!L24+'[3]Gastos de Operación'!L24+'[9]Gastos de Operación'!L24+'[2]Gastos de Operación'!L24</f>
        <v>52016.77711981436</v>
      </c>
      <c r="M24" s="1657">
        <f>'[6]Gastos de Operación'!M24+'[7]Gastos de Operación'!M24+'[8]Gastos de Operación'!M24+'[3]Gastos de Operación'!M24+'[9]Gastos de Operación'!M24+'[2]Gastos de Operación'!M24</f>
        <v>51638.36998007333</v>
      </c>
      <c r="N24" s="1657">
        <f>'[6]Gastos de Operación'!N24+'[7]Gastos de Operación'!N24+'[8]Gastos de Operación'!N24+'[3]Gastos de Operación'!N24+'[9]Gastos de Operación'!N24+'[2]Gastos de Operación'!N24</f>
        <v>49726.201662381201</v>
      </c>
      <c r="O24" s="1657">
        <f>'[6]Gastos de Operación'!O24+'[7]Gastos de Operación'!O24+'[8]Gastos de Operación'!O24+'[3]Gastos de Operación'!O24+'[9]Gastos de Operación'!O24+'[2]Gastos de Operación'!O24</f>
        <v>54129.000973312155</v>
      </c>
      <c r="P24" s="1657">
        <f>'[6]Gastos de Operación'!P24+'[7]Gastos de Operación'!P24+'[8]Gastos de Operación'!P24+'[3]Gastos de Operación'!P24+'[9]Gastos de Operación'!P24+'[2]Gastos de Operación'!P24</f>
        <v>51865.354902962979</v>
      </c>
      <c r="Q24" s="1657">
        <f>'[6]Gastos de Operación'!Q24+'[7]Gastos de Operación'!Q24+'[8]Gastos de Operación'!Q24+'[3]Gastos de Operación'!Q24+'[9]Gastos de Operación'!Q24+'[2]Gastos de Operación'!Q24</f>
        <v>52008.031484232866</v>
      </c>
      <c r="R24" s="1669">
        <f t="shared" si="0"/>
        <v>611305.57894051948</v>
      </c>
    </row>
    <row r="25" spans="2:18" ht="15.75" x14ac:dyDescent="0.25">
      <c r="B25" s="1666"/>
      <c r="C25" s="1670" t="s">
        <v>10486</v>
      </c>
      <c r="D25" s="1668" t="s">
        <v>10596</v>
      </c>
      <c r="E25" s="1662"/>
      <c r="F25" s="1657">
        <f>'[6]Gastos de Operación'!F25+'[7]Gastos de Operación'!F25+'[8]Gastos de Operación'!F25+'[3]Gastos de Operación'!F25+'[9]Gastos de Operación'!F25+'[2]Gastos de Operación'!F25</f>
        <v>117394.28285311925</v>
      </c>
      <c r="G25" s="1657">
        <f>'[6]Gastos de Operación'!G25+'[7]Gastos de Operación'!G25+'[8]Gastos de Operación'!G25+'[3]Gastos de Operación'!G25+'[9]Gastos de Operación'!G25+'[2]Gastos de Operación'!G25</f>
        <v>122553.12130936258</v>
      </c>
      <c r="H25" s="1657">
        <f>'[6]Gastos de Operación'!H25+'[7]Gastos de Operación'!H25+'[8]Gastos de Operación'!H25+'[3]Gastos de Operación'!H25+'[9]Gastos de Operación'!H25+'[2]Gastos de Operación'!H25</f>
        <v>125168.04121639651</v>
      </c>
      <c r="I25" s="1657">
        <f>'[6]Gastos de Operación'!I25+'[7]Gastos de Operación'!I25+'[8]Gastos de Operación'!I25+'[3]Gastos de Operación'!I25+'[9]Gastos de Operación'!I25+'[2]Gastos de Operación'!I25</f>
        <v>130076.5304977225</v>
      </c>
      <c r="J25" s="1657">
        <f>'[6]Gastos de Operación'!J25+'[7]Gastos de Operación'!J25+'[8]Gastos de Operación'!J25+'[3]Gastos de Operación'!J25+'[9]Gastos de Operación'!J25+'[2]Gastos de Operación'!J25</f>
        <v>137173.88787013729</v>
      </c>
      <c r="K25" s="1657">
        <f>'[6]Gastos de Operación'!K25+'[7]Gastos de Operación'!K25+'[8]Gastos de Operación'!K25+'[3]Gastos de Operación'!K25+'[9]Gastos de Operación'!K25+'[2]Gastos de Operación'!K25</f>
        <v>136798.00241251418</v>
      </c>
      <c r="L25" s="1657">
        <f>'[6]Gastos de Operación'!L25+'[7]Gastos de Operación'!L25+'[8]Gastos de Operación'!L25+'[3]Gastos de Operación'!L25+'[9]Gastos de Operación'!L25+'[2]Gastos de Operación'!L25</f>
        <v>142865.69548929835</v>
      </c>
      <c r="M25" s="1657">
        <f>'[6]Gastos de Operación'!M25+'[7]Gastos de Operación'!M25+'[8]Gastos de Operación'!M25+'[3]Gastos de Operación'!M25+'[9]Gastos de Operación'!M25+'[2]Gastos de Operación'!M25</f>
        <v>140956.43899250959</v>
      </c>
      <c r="N25" s="1657">
        <f>'[6]Gastos de Operación'!N25+'[7]Gastos de Operación'!N25+'[8]Gastos de Operación'!N25+'[3]Gastos de Operación'!N25+'[9]Gastos de Operación'!N25+'[2]Gastos de Operación'!N25</f>
        <v>133391.06221050967</v>
      </c>
      <c r="O25" s="1657">
        <f>'[6]Gastos de Operación'!O25+'[7]Gastos de Operación'!O25+'[8]Gastos de Operación'!O25+'[3]Gastos de Operación'!O25+'[9]Gastos de Operación'!O25+'[2]Gastos de Operación'!O25</f>
        <v>150609.89639340734</v>
      </c>
      <c r="P25" s="1657">
        <f>'[6]Gastos de Operación'!P25+'[7]Gastos de Operación'!P25+'[8]Gastos de Operación'!P25+'[3]Gastos de Operación'!P25+'[9]Gastos de Operación'!P25+'[2]Gastos de Operación'!P25</f>
        <v>140752.75072959263</v>
      </c>
      <c r="Q25" s="1657">
        <f>'[6]Gastos de Operación'!Q25+'[7]Gastos de Operación'!Q25+'[8]Gastos de Operación'!Q25+'[3]Gastos de Operación'!Q25+'[9]Gastos de Operación'!Q25+'[2]Gastos de Operación'!Q25</f>
        <v>142262.97451999632</v>
      </c>
      <c r="R25" s="1669">
        <f t="shared" si="0"/>
        <v>1620002.6844945662</v>
      </c>
    </row>
    <row r="26" spans="2:18" ht="15.75" x14ac:dyDescent="0.25">
      <c r="B26" s="1666"/>
      <c r="C26" s="1670" t="s">
        <v>10487</v>
      </c>
      <c r="D26" s="1668" t="s">
        <v>10597</v>
      </c>
      <c r="E26" s="1662"/>
      <c r="F26" s="1657">
        <f>'[6]Gastos de Operación'!F26+'[7]Gastos de Operación'!F26+'[8]Gastos de Operación'!F26+'[3]Gastos de Operación'!F26+'[9]Gastos de Operación'!F26+'[2]Gastos de Operación'!F26</f>
        <v>44850.894092029761</v>
      </c>
      <c r="G26" s="1657">
        <f>'[6]Gastos de Operación'!G26+'[7]Gastos de Operación'!G26+'[8]Gastos de Operación'!G26+'[3]Gastos de Operación'!G26+'[9]Gastos de Operación'!G26+'[2]Gastos de Operación'!G26</f>
        <v>44587.611953132233</v>
      </c>
      <c r="H26" s="1657">
        <f>'[6]Gastos de Operación'!H26+'[7]Gastos de Operación'!H26+'[8]Gastos de Operación'!H26+'[3]Gastos de Operación'!H26+'[9]Gastos de Operación'!H26+'[2]Gastos de Operación'!H26</f>
        <v>46022.789339903095</v>
      </c>
      <c r="I26" s="1657">
        <f>'[6]Gastos de Operación'!I26+'[7]Gastos de Operación'!I26+'[8]Gastos de Operación'!I26+'[3]Gastos de Operación'!I26+'[9]Gastos de Operación'!I26+'[2]Gastos de Operación'!I26</f>
        <v>48295.437948527258</v>
      </c>
      <c r="J26" s="1657">
        <f>'[6]Gastos de Operación'!J26+'[7]Gastos de Operación'!J26+'[8]Gastos de Operación'!J26+'[3]Gastos de Operación'!J26+'[9]Gastos de Operación'!J26+'[2]Gastos de Operación'!J26</f>
        <v>48138.976011808605</v>
      </c>
      <c r="K26" s="1657">
        <f>'[6]Gastos de Operación'!K26+'[7]Gastos de Operación'!K26+'[8]Gastos de Operación'!K26+'[3]Gastos de Operación'!K26+'[9]Gastos de Operación'!K26+'[2]Gastos de Operación'!K26</f>
        <v>48399.694099063272</v>
      </c>
      <c r="L26" s="1657">
        <f>'[6]Gastos de Operación'!L26+'[7]Gastos de Operación'!L26+'[8]Gastos de Operación'!L26+'[3]Gastos de Operación'!L26+'[9]Gastos de Operación'!L26+'[2]Gastos de Operación'!L26</f>
        <v>51826.080906776071</v>
      </c>
      <c r="M26" s="1657">
        <f>'[6]Gastos de Operación'!M26+'[7]Gastos de Operación'!M26+'[8]Gastos de Operación'!M26+'[3]Gastos de Operación'!M26+'[9]Gastos de Operación'!M26+'[2]Gastos de Operación'!M26</f>
        <v>51015.060919681207</v>
      </c>
      <c r="N26" s="1657">
        <f>'[6]Gastos de Operación'!N26+'[7]Gastos de Operación'!N26+'[8]Gastos de Operación'!N26+'[3]Gastos de Operación'!N26+'[9]Gastos de Operación'!N26+'[2]Gastos de Operación'!N26</f>
        <v>46227.27548304927</v>
      </c>
      <c r="O26" s="1657">
        <f>'[6]Gastos de Operación'!O26+'[7]Gastos de Operación'!O26+'[8]Gastos de Operación'!O26+'[3]Gastos de Operación'!O26+'[9]Gastos de Operación'!O26+'[2]Gastos de Operación'!O26</f>
        <v>57419.114474243128</v>
      </c>
      <c r="P26" s="1657">
        <f>'[6]Gastos de Operación'!P26+'[7]Gastos de Operación'!P26+'[8]Gastos de Operación'!P26+'[3]Gastos de Operación'!P26+'[9]Gastos de Operación'!P26+'[2]Gastos de Operación'!P26</f>
        <v>51981.302588891223</v>
      </c>
      <c r="Q26" s="1657">
        <f>'[6]Gastos de Operación'!Q26+'[7]Gastos de Operación'!Q26+'[8]Gastos de Operación'!Q26+'[3]Gastos de Operación'!Q26+'[9]Gastos de Operación'!Q26+'[2]Gastos de Operación'!Q26</f>
        <v>52254.807533432504</v>
      </c>
      <c r="R26" s="1669">
        <f t="shared" si="0"/>
        <v>591019.04535053764</v>
      </c>
    </row>
    <row r="27" spans="2:18" ht="15.75" x14ac:dyDescent="0.25">
      <c r="B27" s="1666"/>
      <c r="C27" s="1670" t="s">
        <v>10488</v>
      </c>
      <c r="D27" s="1668" t="s">
        <v>10598</v>
      </c>
      <c r="E27" s="1662"/>
      <c r="F27" s="1657">
        <f>'[6]Gastos de Operación'!F27+'[7]Gastos de Operación'!F27+'[8]Gastos de Operación'!F27+'[3]Gastos de Operación'!F27+'[9]Gastos de Operación'!F27+'[2]Gastos de Operación'!F27</f>
        <v>4385.3483412351488</v>
      </c>
      <c r="G27" s="1657">
        <f>'[6]Gastos de Operación'!G27+'[7]Gastos de Operación'!G27+'[8]Gastos de Operación'!G27+'[3]Gastos de Operación'!G27+'[9]Gastos de Operación'!G27+'[2]Gastos de Operación'!G27</f>
        <v>4418.6759963228642</v>
      </c>
      <c r="H27" s="1657">
        <f>'[6]Gastos de Operación'!H27+'[7]Gastos de Operación'!H27+'[8]Gastos de Operación'!H27+'[3]Gastos de Operación'!H27+'[9]Gastos de Operación'!H27+'[2]Gastos de Operación'!H27</f>
        <v>4407.127932906702</v>
      </c>
      <c r="I27" s="1657">
        <f>'[6]Gastos de Operación'!I27+'[7]Gastos de Operación'!I27+'[8]Gastos de Operación'!I27+'[3]Gastos de Operación'!I27+'[9]Gastos de Operación'!I27+'[2]Gastos de Operación'!I27</f>
        <v>4380.9909538463016</v>
      </c>
      <c r="J27" s="1657">
        <f>'[6]Gastos de Operación'!J27+'[7]Gastos de Operación'!J27+'[8]Gastos de Operación'!J27+'[3]Gastos de Operación'!J27+'[9]Gastos de Operación'!J27+'[2]Gastos de Operación'!J27</f>
        <v>4422.5187264344549</v>
      </c>
      <c r="K27" s="1657">
        <f>'[6]Gastos de Operación'!K27+'[7]Gastos de Operación'!K27+'[8]Gastos de Operación'!K27+'[3]Gastos de Operación'!K27+'[9]Gastos de Operación'!K27+'[2]Gastos de Operación'!K27</f>
        <v>4433.317494760513</v>
      </c>
      <c r="L27" s="1657">
        <f>'[6]Gastos de Operación'!L27+'[7]Gastos de Operación'!L27+'[8]Gastos de Operación'!L27+'[3]Gastos de Operación'!L27+'[9]Gastos de Operación'!L27+'[2]Gastos de Operación'!L27</f>
        <v>4391.5885688905255</v>
      </c>
      <c r="M27" s="1657">
        <f>'[6]Gastos de Operación'!M27+'[7]Gastos de Operación'!M27+'[8]Gastos de Operación'!M27+'[3]Gastos de Operación'!M27+'[9]Gastos de Operación'!M27+'[2]Gastos de Operación'!M27</f>
        <v>4420.8648356742551</v>
      </c>
      <c r="N27" s="1657">
        <f>'[6]Gastos de Operación'!N27+'[7]Gastos de Operación'!N27+'[8]Gastos de Operación'!N27+'[3]Gastos de Operación'!N27+'[9]Gastos de Operación'!N27+'[2]Gastos de Operación'!N27</f>
        <v>4529.7302220064121</v>
      </c>
      <c r="O27" s="1657">
        <f>'[6]Gastos de Operación'!O27+'[7]Gastos de Operación'!O27+'[8]Gastos de Operación'!O27+'[3]Gastos de Operación'!O27+'[9]Gastos de Operación'!O27+'[2]Gastos de Operación'!O27</f>
        <v>4358.4101586474562</v>
      </c>
      <c r="P27" s="1657">
        <f>'[6]Gastos de Operación'!P27+'[7]Gastos de Operación'!P27+'[8]Gastos de Operación'!P27+'[3]Gastos de Operación'!P27+'[9]Gastos de Operación'!P27+'[2]Gastos de Operación'!P27</f>
        <v>4452.5282395379954</v>
      </c>
      <c r="Q27" s="1657">
        <f>'[6]Gastos de Operación'!Q27+'[7]Gastos de Operación'!Q27+'[8]Gastos de Operación'!Q27+'[3]Gastos de Operación'!Q27+'[9]Gastos de Operación'!Q27+'[2]Gastos de Operación'!Q27</f>
        <v>4466.8450505976034</v>
      </c>
      <c r="R27" s="1669">
        <f t="shared" si="0"/>
        <v>53067.946520860234</v>
      </c>
    </row>
    <row r="28" spans="2:18" ht="15.75" x14ac:dyDescent="0.25">
      <c r="B28" s="1666"/>
      <c r="C28" s="1670" t="s">
        <v>10489</v>
      </c>
      <c r="D28" s="1668" t="s">
        <v>10599</v>
      </c>
      <c r="E28" s="1662"/>
      <c r="F28" s="1657">
        <f>'[6]Gastos de Operación'!F28+'[7]Gastos de Operación'!F28+'[8]Gastos de Operación'!F28+'[3]Gastos de Operación'!F28+'[9]Gastos de Operación'!F28+'[2]Gastos de Operación'!F28</f>
        <v>17147.351710311141</v>
      </c>
      <c r="G28" s="1657">
        <f>'[6]Gastos de Operación'!G28+'[7]Gastos de Operación'!G28+'[8]Gastos de Operación'!G28+'[3]Gastos de Operación'!G28+'[9]Gastos de Operación'!G28+'[2]Gastos de Operación'!G28</f>
        <v>17614.93096715958</v>
      </c>
      <c r="H28" s="1657">
        <f>'[6]Gastos de Operación'!H28+'[7]Gastos de Operación'!H28+'[8]Gastos de Operación'!H28+'[3]Gastos de Operación'!H28+'[9]Gastos de Operación'!H28+'[2]Gastos de Operación'!H28</f>
        <v>17802.062772246616</v>
      </c>
      <c r="I28" s="1657">
        <f>'[6]Gastos de Operación'!I28+'[7]Gastos de Operación'!I28+'[8]Gastos de Operación'!I28+'[3]Gastos de Operación'!I28+'[9]Gastos de Operación'!I28+'[2]Gastos de Operación'!I28</f>
        <v>18026.546284308526</v>
      </c>
      <c r="J28" s="1657">
        <f>'[6]Gastos de Operación'!J28+'[7]Gastos de Operación'!J28+'[8]Gastos de Operación'!J28+'[3]Gastos de Operación'!J28+'[9]Gastos de Operación'!J28+'[2]Gastos de Operación'!J28</f>
        <v>19095.734163036541</v>
      </c>
      <c r="K28" s="1657">
        <f>'[6]Gastos de Operación'!K28+'[7]Gastos de Operación'!K28+'[8]Gastos de Operación'!K28+'[3]Gastos de Operación'!K28+'[9]Gastos de Operación'!K28+'[2]Gastos de Operación'!K28</f>
        <v>19085.617335625069</v>
      </c>
      <c r="L28" s="1657">
        <f>'[6]Gastos de Operación'!L28+'[7]Gastos de Operación'!L28+'[8]Gastos de Operación'!L28+'[3]Gastos de Operación'!L28+'[9]Gastos de Operación'!L28+'[2]Gastos de Operación'!L28</f>
        <v>19535.933355584719</v>
      </c>
      <c r="M28" s="1657">
        <f>'[6]Gastos de Operación'!M28+'[7]Gastos de Operación'!M28+'[8]Gastos de Operación'!M28+'[3]Gastos de Operación'!M28+'[9]Gastos de Operación'!M28+'[2]Gastos de Operación'!M28</f>
        <v>19428.317327635388</v>
      </c>
      <c r="N28" s="1657">
        <f>'[6]Gastos de Operación'!N28+'[7]Gastos de Operación'!N28+'[8]Gastos de Operación'!N28+'[3]Gastos de Operación'!N28+'[9]Gastos de Operación'!N28+'[2]Gastos de Operación'!N28</f>
        <v>18996.149302349309</v>
      </c>
      <c r="O28" s="1657">
        <f>'[6]Gastos de Operación'!O28+'[7]Gastos de Operación'!O28+'[8]Gastos de Operación'!O28+'[3]Gastos de Operación'!O28+'[9]Gastos de Operación'!O28+'[2]Gastos de Operación'!O28</f>
        <v>20146.352204185245</v>
      </c>
      <c r="P28" s="1657">
        <f>'[6]Gastos de Operación'!P28+'[7]Gastos de Operación'!P28+'[8]Gastos de Operación'!P28+'[3]Gastos de Operación'!P28+'[9]Gastos de Operación'!P28+'[2]Gastos de Operación'!P28</f>
        <v>19474.381733503902</v>
      </c>
      <c r="Q28" s="1657">
        <f>'[6]Gastos de Operación'!Q28+'[7]Gastos de Operación'!Q28+'[8]Gastos de Operación'!Q28+'[3]Gastos de Operación'!Q28+'[9]Gastos de Operación'!Q28+'[2]Gastos de Operación'!Q28</f>
        <v>19643.362816773835</v>
      </c>
      <c r="R28" s="1669">
        <f t="shared" si="0"/>
        <v>225996.73997271986</v>
      </c>
    </row>
    <row r="29" spans="2:18" ht="15.75" x14ac:dyDescent="0.25">
      <c r="B29" s="1666"/>
      <c r="C29" s="1670" t="s">
        <v>10490</v>
      </c>
      <c r="D29" s="1668" t="s">
        <v>10600</v>
      </c>
      <c r="E29" s="1662"/>
      <c r="F29" s="1657">
        <f>'[6]Gastos de Operación'!F29+'[7]Gastos de Operación'!F29+'[8]Gastos de Operación'!F29+'[3]Gastos de Operación'!F29+'[9]Gastos de Operación'!F29+'[2]Gastos de Operación'!F29</f>
        <v>22535.817864680626</v>
      </c>
      <c r="G29" s="1657">
        <f>'[6]Gastos de Operación'!G29+'[7]Gastos de Operación'!G29+'[8]Gastos de Operación'!G29+'[3]Gastos de Operación'!G29+'[9]Gastos de Operación'!G29+'[2]Gastos de Operación'!G29</f>
        <v>22707.08498110361</v>
      </c>
      <c r="H29" s="1657">
        <f>'[6]Gastos de Operación'!H29+'[7]Gastos de Operación'!H29+'[8]Gastos de Operación'!H29+'[3]Gastos de Operación'!H29+'[9]Gastos de Operación'!H29+'[2]Gastos de Operación'!H29</f>
        <v>22647.740766326107</v>
      </c>
      <c r="I29" s="1657">
        <f>'[6]Gastos de Operación'!I29+'[7]Gastos de Operación'!I29+'[8]Gastos de Operación'!I29+'[3]Gastos de Operación'!I29+'[9]Gastos de Operación'!I29+'[2]Gastos de Operación'!I29</f>
        <v>22513.425735043493</v>
      </c>
      <c r="J29" s="1657">
        <f>'[6]Gastos de Operación'!J29+'[7]Gastos de Operación'!J29+'[8]Gastos de Operación'!J29+'[3]Gastos de Operación'!J29+'[9]Gastos de Operación'!J29+'[2]Gastos de Operación'!J29</f>
        <v>22726.832344177059</v>
      </c>
      <c r="K29" s="1657">
        <f>'[6]Gastos de Operación'!K29+'[7]Gastos de Operación'!K29+'[8]Gastos de Operación'!K29+'[3]Gastos de Operación'!K29+'[9]Gastos de Operación'!K29+'[2]Gastos de Operación'!K29</f>
        <v>22782.326014741528</v>
      </c>
      <c r="L29" s="1657">
        <f>'[6]Gastos de Operación'!L29+'[7]Gastos de Operación'!L29+'[8]Gastos de Operación'!L29+'[3]Gastos de Operación'!L29+'[9]Gastos de Operación'!L29+'[2]Gastos de Operación'!L29</f>
        <v>22567.88570124298</v>
      </c>
      <c r="M29" s="1657">
        <f>'[6]Gastos de Operación'!M29+'[7]Gastos de Operación'!M29+'[8]Gastos de Operación'!M29+'[3]Gastos de Operación'!M29+'[9]Gastos de Operación'!M29+'[2]Gastos de Operación'!M29</f>
        <v>22718.333183326031</v>
      </c>
      <c r="N29" s="1657">
        <f>'[6]Gastos de Operación'!N29+'[7]Gastos de Operación'!N29+'[8]Gastos de Operación'!N29+'[3]Gastos de Operación'!N29+'[9]Gastos de Operación'!N29+'[2]Gastos de Operación'!N29</f>
        <v>23277.78030753295</v>
      </c>
      <c r="O29" s="1657">
        <f>'[6]Gastos de Operación'!O29+'[7]Gastos de Operación'!O29+'[8]Gastos de Operación'!O29+'[3]Gastos de Operación'!O29+'[9]Gastos de Operación'!O29+'[2]Gastos de Operación'!O29</f>
        <v>22397.385537493872</v>
      </c>
      <c r="P29" s="1657">
        <f>'[6]Gastos de Operación'!P29+'[7]Gastos de Operación'!P29+'[8]Gastos de Operación'!P29+'[3]Gastos de Operación'!P29+'[9]Gastos de Operación'!P29+'[2]Gastos de Operación'!P29</f>
        <v>22881.047897625809</v>
      </c>
      <c r="Q29" s="1657">
        <f>'[6]Gastos de Operación'!Q29+'[7]Gastos de Operación'!Q29+'[8]Gastos de Operación'!Q29+'[3]Gastos de Operación'!Q29+'[9]Gastos de Operación'!Q29+'[2]Gastos de Operación'!Q29</f>
        <v>22954.62039890435</v>
      </c>
      <c r="R29" s="1669">
        <f t="shared" si="0"/>
        <v>272710.28073219844</v>
      </c>
    </row>
    <row r="30" spans="2:18" ht="15.75" x14ac:dyDescent="0.25">
      <c r="B30" s="1666" t="s">
        <v>10491</v>
      </c>
      <c r="C30" s="1670" t="s">
        <v>10518</v>
      </c>
      <c r="D30" s="1668" t="s">
        <v>10601</v>
      </c>
      <c r="E30" s="1662"/>
      <c r="F30" s="1657">
        <f>'[6]Gastos de Operación'!F30+'[7]Gastos de Operación'!F30+'[8]Gastos de Operación'!F30+'[3]Gastos de Operación'!F30+'[9]Gastos de Operación'!F30</f>
        <v>0</v>
      </c>
      <c r="G30" s="1657">
        <f>'[6]Gastos de Operación'!G30+'[7]Gastos de Operación'!G30+'[8]Gastos de Operación'!G30+'[3]Gastos de Operación'!G30+'[9]Gastos de Operación'!G30</f>
        <v>0</v>
      </c>
      <c r="H30" s="1657">
        <f>'[6]Gastos de Operación'!H30+'[7]Gastos de Operación'!H30+'[8]Gastos de Operación'!H30+'[3]Gastos de Operación'!H30+'[9]Gastos de Operación'!H30</f>
        <v>0</v>
      </c>
      <c r="I30" s="1657">
        <f>'[6]Gastos de Operación'!I30+'[7]Gastos de Operación'!I30+'[8]Gastos de Operación'!I30+'[3]Gastos de Operación'!I30+'[9]Gastos de Operación'!I30</f>
        <v>0</v>
      </c>
      <c r="J30" s="1657">
        <f>'[6]Gastos de Operación'!J30+'[7]Gastos de Operación'!J30+'[8]Gastos de Operación'!J30+'[3]Gastos de Operación'!J30+'[9]Gastos de Operación'!J30</f>
        <v>0</v>
      </c>
      <c r="K30" s="1657">
        <f>'[6]Gastos de Operación'!K30+'[7]Gastos de Operación'!K30+'[8]Gastos de Operación'!K30+'[3]Gastos de Operación'!K30+'[9]Gastos de Operación'!K30</f>
        <v>0</v>
      </c>
      <c r="L30" s="1657">
        <f>'[6]Gastos de Operación'!L30+'[7]Gastos de Operación'!L30+'[8]Gastos de Operación'!L30+'[3]Gastos de Operación'!L30+'[9]Gastos de Operación'!L30</f>
        <v>0</v>
      </c>
      <c r="M30" s="1657">
        <f>'[6]Gastos de Operación'!M30+'[7]Gastos de Operación'!M30+'[8]Gastos de Operación'!M30+'[3]Gastos de Operación'!M30+'[9]Gastos de Operación'!M30</f>
        <v>0</v>
      </c>
      <c r="N30" s="1657">
        <f>'[6]Gastos de Operación'!N30+'[7]Gastos de Operación'!N30+'[8]Gastos de Operación'!N30+'[3]Gastos de Operación'!N30+'[9]Gastos de Operación'!N30</f>
        <v>0</v>
      </c>
      <c r="O30" s="1657">
        <f>'[6]Gastos de Operación'!O30+'[7]Gastos de Operación'!O30+'[8]Gastos de Operación'!O30+'[3]Gastos de Operación'!O30+'[9]Gastos de Operación'!O30</f>
        <v>0</v>
      </c>
      <c r="P30" s="1657">
        <f>'[6]Gastos de Operación'!P30+'[7]Gastos de Operación'!P30+'[8]Gastos de Operación'!P30+'[3]Gastos de Operación'!P30+'[9]Gastos de Operación'!P30</f>
        <v>0</v>
      </c>
      <c r="Q30" s="1657">
        <f>'[6]Gastos de Operación'!Q30+'[7]Gastos de Operación'!Q30+'[8]Gastos de Operación'!Q30+'[3]Gastos de Operación'!Q30+'[9]Gastos de Operación'!Q30</f>
        <v>0</v>
      </c>
      <c r="R30" s="1669">
        <f t="shared" si="0"/>
        <v>0</v>
      </c>
    </row>
    <row r="31" spans="2:18" ht="15.75" x14ac:dyDescent="0.25">
      <c r="B31" s="1666"/>
      <c r="C31" s="1670" t="s">
        <v>10492</v>
      </c>
      <c r="D31" s="1668" t="s">
        <v>10602</v>
      </c>
      <c r="E31" s="1662"/>
      <c r="F31" s="1657">
        <f>'[6]Gastos de Operación'!F31+'[7]Gastos de Operación'!F31+'[8]Gastos de Operación'!F31+'[3]Gastos de Operación'!F31+'[9]Gastos de Operación'!F31+'[2]Gastos de Operación'!F31</f>
        <v>1035678.2159214193</v>
      </c>
      <c r="G31" s="1657">
        <f>'[6]Gastos de Operación'!G31+'[7]Gastos de Operación'!G31+'[8]Gastos de Operación'!G31+'[3]Gastos de Operación'!G31+'[9]Gastos de Operación'!G31+'[2]Gastos de Operación'!G31</f>
        <v>1108378.8291261466</v>
      </c>
      <c r="H31" s="1657">
        <f>'[6]Gastos de Operación'!H31+'[7]Gastos de Operación'!H31+'[8]Gastos de Operación'!H31+'[3]Gastos de Operación'!H31+'[9]Gastos de Operación'!H31+'[2]Gastos de Operación'!H31</f>
        <v>1129792.2418887073</v>
      </c>
      <c r="I31" s="1657">
        <f>'[6]Gastos de Operación'!I31+'[7]Gastos de Operación'!I31+'[8]Gastos de Operación'!I31+'[3]Gastos de Operación'!I31+'[9]Gastos de Operación'!I31+'[2]Gastos de Operación'!I31</f>
        <v>1258287.5484790041</v>
      </c>
      <c r="J31" s="1657">
        <f>'[6]Gastos de Operación'!J31+'[7]Gastos de Operación'!J31+'[8]Gastos de Operación'!J31+'[3]Gastos de Operación'!J31+'[9]Gastos de Operación'!J31+'[2]Gastos de Operación'!J31</f>
        <v>1266241.7638218848</v>
      </c>
      <c r="K31" s="1657">
        <f>'[6]Gastos de Operación'!K31+'[7]Gastos de Operación'!K31+'[8]Gastos de Operación'!K31+'[3]Gastos de Operación'!K31+'[9]Gastos de Operación'!K31+'[2]Gastos de Operación'!K31</f>
        <v>1249849.5634888024</v>
      </c>
      <c r="L31" s="1657">
        <f>'[6]Gastos de Operación'!L31+'[7]Gastos de Operación'!L31+'[8]Gastos de Operación'!L31+'[3]Gastos de Operación'!L31+'[9]Gastos de Operación'!L31+'[2]Gastos de Operación'!L31</f>
        <v>1295794.3315419457</v>
      </c>
      <c r="M31" s="1657">
        <f>'[6]Gastos de Operación'!M31+'[7]Gastos de Operación'!M31+'[8]Gastos de Operación'!M31+'[3]Gastos de Operación'!M31+'[9]Gastos de Operación'!M31+'[2]Gastos de Operación'!M31</f>
        <v>1278918.7080203653</v>
      </c>
      <c r="N31" s="1657">
        <f>'[6]Gastos de Operación'!N31+'[7]Gastos de Operación'!N31+'[8]Gastos de Operación'!N31+'[3]Gastos de Operación'!N31+'[9]Gastos de Operación'!N31+'[2]Gastos de Operación'!N31</f>
        <v>1233400.1670948698</v>
      </c>
      <c r="O31" s="1657">
        <f>'[6]Gastos de Operación'!O31+'[7]Gastos de Operación'!O31+'[8]Gastos de Operación'!O31+'[3]Gastos de Operación'!O31+'[9]Gastos de Operación'!O31+'[2]Gastos de Operación'!O31</f>
        <v>1351133.334662494</v>
      </c>
      <c r="P31" s="1657">
        <f>'[6]Gastos de Operación'!P31+'[7]Gastos de Operación'!P31+'[8]Gastos de Operación'!P31+'[3]Gastos de Operación'!P31+'[9]Gastos de Operación'!P31+'[2]Gastos de Operación'!P31</f>
        <v>1273541.7281721632</v>
      </c>
      <c r="Q31" s="1657">
        <f>'[6]Gastos de Operación'!Q31+'[7]Gastos de Operación'!Q31+'[8]Gastos de Operación'!Q31+'[3]Gastos de Operación'!Q31+'[9]Gastos de Operación'!Q31+'[2]Gastos de Operación'!Q31</f>
        <v>1292265.2781927621</v>
      </c>
      <c r="R31" s="1669">
        <f t="shared" si="0"/>
        <v>14773281.710410563</v>
      </c>
    </row>
    <row r="32" spans="2:18" ht="15.75" x14ac:dyDescent="0.25">
      <c r="B32" s="1666"/>
      <c r="C32" s="1671" t="s">
        <v>10493</v>
      </c>
      <c r="D32" s="1668" t="s">
        <v>10603</v>
      </c>
      <c r="E32" s="1662"/>
      <c r="F32" s="1657">
        <f>'[6]Gastos de Operación'!F32+'[7]Gastos de Operación'!F32+'[8]Gastos de Operación'!F32+'[3]Gastos de Operación'!F32+'[9]Gastos de Operación'!F32+'[2]Gastos de Operación'!F32</f>
        <v>24555.701650395837</v>
      </c>
      <c r="G32" s="1657">
        <f>'[6]Gastos de Operación'!G32+'[7]Gastos de Operación'!G32+'[8]Gastos de Operación'!G32+'[3]Gastos de Operación'!G32+'[9]Gastos de Operación'!G32+'[2]Gastos de Operación'!G32</f>
        <v>25374.729825415219</v>
      </c>
      <c r="H32" s="1657">
        <f>'[6]Gastos de Operación'!H32+'[7]Gastos de Operación'!H32+'[8]Gastos de Operación'!H32+'[3]Gastos de Operación'!H32+'[9]Gastos de Operación'!H32+'[2]Gastos de Operación'!H32</f>
        <v>25649.869618163259</v>
      </c>
      <c r="I32" s="1657">
        <f>'[6]Gastos de Operación'!I32+'[7]Gastos de Operación'!I32+'[8]Gastos de Operación'!I32+'[3]Gastos de Operación'!I32+'[9]Gastos de Operación'!I32+'[2]Gastos de Operación'!I32</f>
        <v>26451.771533043608</v>
      </c>
      <c r="J32" s="1657">
        <f>'[6]Gastos de Operación'!J32+'[7]Gastos de Operación'!J32+'[8]Gastos de Operación'!J32+'[3]Gastos de Operación'!J32+'[9]Gastos de Operación'!J32+'[2]Gastos de Operación'!J32</f>
        <v>26558.707509618518</v>
      </c>
      <c r="K32" s="1657">
        <f>'[6]Gastos de Operación'!K32+'[7]Gastos de Operación'!K32+'[8]Gastos de Operación'!K32+'[3]Gastos de Operación'!K32+'[9]Gastos de Operación'!K32+'[2]Gastos de Operación'!K32</f>
        <v>26514.509684861743</v>
      </c>
      <c r="L32" s="1657">
        <f>'[6]Gastos de Operación'!L32+'[7]Gastos de Operación'!L32+'[8]Gastos de Operación'!L32+'[3]Gastos de Operación'!L32+'[9]Gastos de Operación'!L32+'[2]Gastos de Operación'!L32</f>
        <v>27017.760019830486</v>
      </c>
      <c r="M32" s="1657">
        <f>'[6]Gastos de Operación'!M32+'[7]Gastos de Operación'!M32+'[8]Gastos de Operación'!M32+'[3]Gastos de Operación'!M32+'[9]Gastos de Operación'!M32+'[2]Gastos de Operación'!M32</f>
        <v>26868.494986256803</v>
      </c>
      <c r="N32" s="1657">
        <f>'[6]Gastos de Operación'!N32+'[7]Gastos de Operación'!N32+'[8]Gastos de Operación'!N32+'[3]Gastos de Operación'!N32+'[9]Gastos de Operación'!N32+'[2]Gastos de Operación'!N32</f>
        <v>26323.295018454064</v>
      </c>
      <c r="O32" s="1657">
        <f>'[6]Gastos de Operación'!O32+'[7]Gastos de Operación'!O32+'[8]Gastos de Operación'!O32+'[3]Gastos de Operación'!O32+'[9]Gastos de Operación'!O32+'[2]Gastos de Operación'!O32</f>
        <v>27643.049721814445</v>
      </c>
      <c r="P32" s="1657">
        <f>'[6]Gastos de Operación'!P32+'[7]Gastos de Operación'!P32+'[8]Gastos de Operación'!P32+'[3]Gastos de Operación'!P32+'[9]Gastos de Operación'!P32+'[2]Gastos de Operación'!P32</f>
        <v>26846.221408739049</v>
      </c>
      <c r="Q32" s="1657">
        <f>'[6]Gastos de Operación'!Q32+'[7]Gastos de Operación'!Q32+'[8]Gastos de Operación'!Q32+'[3]Gastos de Operación'!Q32+'[9]Gastos de Operación'!Q32+'[2]Gastos de Operación'!Q32</f>
        <v>27023.131887408137</v>
      </c>
      <c r="R32" s="1669">
        <f t="shared" si="0"/>
        <v>316827.24286400113</v>
      </c>
    </row>
    <row r="33" spans="2:18" ht="15.75" x14ac:dyDescent="0.25">
      <c r="B33" s="1666"/>
      <c r="C33" s="1670" t="s">
        <v>10494</v>
      </c>
      <c r="D33" s="1668" t="s">
        <v>10604</v>
      </c>
      <c r="E33" s="1662"/>
      <c r="F33" s="1657">
        <f>'[6]Gastos de Operación'!F33+'[7]Gastos de Operación'!F33+'[8]Gastos de Operación'!F33+'[3]Gastos de Operación'!F33+'[9]Gastos de Operación'!F33+'[2]Gastos de Operación'!F33</f>
        <v>1512.0761585048817</v>
      </c>
      <c r="G33" s="1657">
        <f>'[6]Gastos de Operación'!G33+'[7]Gastos de Operación'!G33+'[8]Gastos de Operación'!G33+'[3]Gastos de Operación'!G33+'[9]Gastos de Operación'!G33+'[2]Gastos de Operación'!G33</f>
        <v>1608.0500282601815</v>
      </c>
      <c r="H33" s="1657">
        <f>'[6]Gastos de Operación'!H33+'[7]Gastos de Operación'!H33+'[8]Gastos de Operación'!H33+'[3]Gastos de Operación'!H33+'[9]Gastos de Operación'!H33+'[2]Gastos de Operación'!H33</f>
        <v>1614.2815132490041</v>
      </c>
      <c r="I33" s="1657">
        <f>'[6]Gastos de Operación'!I33+'[7]Gastos de Operación'!I33+'[8]Gastos de Operación'!I33+'[3]Gastos de Operación'!I33+'[9]Gastos de Operación'!I33+'[2]Gastos de Operación'!I33</f>
        <v>1609.0435627073209</v>
      </c>
      <c r="J33" s="1657">
        <f>'[6]Gastos de Operación'!J33+'[7]Gastos de Operación'!J33+'[8]Gastos de Operación'!J33+'[3]Gastos de Operación'!J33+'[9]Gastos de Operación'!J33+'[2]Gastos de Operación'!J33</f>
        <v>1816.7096041480429</v>
      </c>
      <c r="K33" s="1657">
        <f>'[6]Gastos de Operación'!K33+'[7]Gastos de Operación'!K33+'[8]Gastos de Operación'!K33+'[3]Gastos de Operación'!K33+'[9]Gastos de Operación'!K33+'[2]Gastos de Operación'!K33</f>
        <v>1809.7299074338512</v>
      </c>
      <c r="L33" s="1657">
        <f>'[6]Gastos de Operación'!L33+'[7]Gastos de Operación'!L33+'[8]Gastos de Operación'!L33+'[3]Gastos de Operación'!L33+'[9]Gastos de Operación'!L33+'[2]Gastos de Operación'!L33</f>
        <v>1807.975919904241</v>
      </c>
      <c r="M33" s="1657">
        <f>'[6]Gastos de Operación'!M33+'[7]Gastos de Operación'!M33+'[8]Gastos de Operación'!M33+'[3]Gastos de Operación'!M33+'[9]Gastos de Operación'!M33+'[2]Gastos de Operación'!M33</f>
        <v>1811.3005015485564</v>
      </c>
      <c r="N33" s="1657">
        <f>'[6]Gastos de Operación'!N33+'[7]Gastos de Operación'!N33+'[8]Gastos de Operación'!N33+'[3]Gastos de Operación'!N33+'[9]Gastos de Operación'!N33+'[2]Gastos de Operación'!N33</f>
        <v>1854.0151910080281</v>
      </c>
      <c r="O33" s="1657">
        <f>'[6]Gastos de Operación'!O33+'[7]Gastos de Operación'!O33+'[8]Gastos de Operación'!O33+'[3]Gastos de Operación'!O33+'[9]Gastos de Operación'!O33+'[2]Gastos de Operación'!O33</f>
        <v>1785.2817620072371</v>
      </c>
      <c r="P33" s="1657">
        <f>'[6]Gastos de Operación'!P33+'[7]Gastos de Operación'!P33+'[8]Gastos de Operación'!P33+'[3]Gastos de Operación'!P33+'[9]Gastos de Operación'!P33+'[2]Gastos de Operación'!P33</f>
        <v>1802.1577949216994</v>
      </c>
      <c r="Q33" s="1657">
        <f>'[6]Gastos de Operación'!Q33+'[7]Gastos de Operación'!Q33+'[8]Gastos de Operación'!Q33+'[3]Gastos de Operación'!Q33+'[9]Gastos de Operación'!Q33+'[2]Gastos de Operación'!Q33</f>
        <v>1828.9479614487846</v>
      </c>
      <c r="R33" s="1669">
        <f t="shared" si="0"/>
        <v>20859.569905141827</v>
      </c>
    </row>
    <row r="34" spans="2:18" ht="15.75" x14ac:dyDescent="0.25">
      <c r="B34" s="1666" t="s">
        <v>10495</v>
      </c>
      <c r="C34" s="1670" t="s">
        <v>10496</v>
      </c>
      <c r="D34" s="1668" t="s">
        <v>10605</v>
      </c>
      <c r="E34" s="1662"/>
      <c r="F34" s="1657">
        <f>'[6]Gastos de Operación'!F34+'[7]Gastos de Operación'!F34+'[8]Gastos de Operación'!F34+'[3]Gastos de Operación'!F34+'[9]Gastos de Operación'!F34+'[2]Gastos de Operación'!F34</f>
        <v>345799.30351450486</v>
      </c>
      <c r="G34" s="1657">
        <f>'[6]Gastos de Operación'!G34+'[7]Gastos de Operación'!G34+'[8]Gastos de Operación'!G34+'[3]Gastos de Operación'!G34+'[9]Gastos de Operación'!G34+'[2]Gastos de Operación'!G34</f>
        <v>354813.26771282352</v>
      </c>
      <c r="H34" s="1657">
        <f>'[6]Gastos de Operación'!H34+'[7]Gastos de Operación'!H34+'[8]Gastos de Operación'!H34+'[3]Gastos de Operación'!H34+'[9]Gastos de Operación'!H34+'[2]Gastos de Operación'!H34</f>
        <v>361425.91893853777</v>
      </c>
      <c r="I34" s="1657">
        <f>'[6]Gastos de Operación'!I34+'[7]Gastos de Operación'!I34+'[8]Gastos de Operación'!I34+'[3]Gastos de Operación'!I34+'[9]Gastos de Operación'!I34+'[2]Gastos de Operación'!I34</f>
        <v>377685.7873104288</v>
      </c>
      <c r="J34" s="1657">
        <f>'[6]Gastos de Operación'!J34+'[7]Gastos de Operación'!J34+'[8]Gastos de Operación'!J34+'[3]Gastos de Operación'!J34+'[9]Gastos de Operación'!J34+'[2]Gastos de Operación'!J34</f>
        <v>373815.50298610533</v>
      </c>
      <c r="K34" s="1657">
        <f>'[6]Gastos de Operación'!K34+'[7]Gastos de Operación'!K34+'[8]Gastos de Operación'!K34+'[3]Gastos de Operación'!K34+'[9]Gastos de Operación'!K34+'[2]Gastos de Operación'!K34</f>
        <v>373680.73087467457</v>
      </c>
      <c r="L34" s="1657">
        <f>'[6]Gastos de Operación'!L34+'[7]Gastos de Operación'!L34+'[8]Gastos de Operación'!L34+'[3]Gastos de Operación'!L34+'[9]Gastos de Operación'!L34+'[2]Gastos de Operación'!L34</f>
        <v>387426.80177004455</v>
      </c>
      <c r="M34" s="1657">
        <f>'[6]Gastos de Operación'!M34+'[7]Gastos de Operación'!M34+'[8]Gastos de Operación'!M34+'[3]Gastos de Operación'!M34+'[9]Gastos de Operación'!M34+'[2]Gastos de Operación'!M34</f>
        <v>383476.9959282293</v>
      </c>
      <c r="N34" s="1657">
        <f>'[6]Gastos de Operación'!N34+'[7]Gastos de Operación'!N34+'[8]Gastos de Operación'!N34+'[3]Gastos de Operación'!N34+'[9]Gastos de Operación'!N34+'[2]Gastos de Operación'!N34</f>
        <v>365405.35711992817</v>
      </c>
      <c r="O34" s="1657">
        <f>'[6]Gastos de Operación'!O34+'[7]Gastos de Operación'!O34+'[8]Gastos de Operación'!O34+'[3]Gastos de Operación'!O34+'[9]Gastos de Operación'!O34+'[2]Gastos de Operación'!O34</f>
        <v>407297.39651528845</v>
      </c>
      <c r="P34" s="1657">
        <f>'[6]Gastos de Operación'!P34+'[7]Gastos de Operación'!P34+'[8]Gastos de Operación'!P34+'[3]Gastos de Operación'!P34+'[9]Gastos de Operación'!P34+'[2]Gastos de Operación'!P34</f>
        <v>384749.20019053912</v>
      </c>
      <c r="Q34" s="1657">
        <f>'[6]Gastos de Operación'!Q34+'[7]Gastos de Operación'!Q34+'[8]Gastos de Operación'!Q34+'[3]Gastos de Operación'!Q34+'[9]Gastos de Operación'!Q34+'[2]Gastos de Operación'!Q34</f>
        <v>387035.32761280483</v>
      </c>
      <c r="R34" s="1669">
        <f t="shared" si="0"/>
        <v>4502611.5904739089</v>
      </c>
    </row>
    <row r="35" spans="2:18" ht="15.75" x14ac:dyDescent="0.25">
      <c r="B35" s="1666"/>
      <c r="C35" s="1716" t="s">
        <v>10500</v>
      </c>
      <c r="D35" s="1668" t="s">
        <v>10606</v>
      </c>
      <c r="E35" s="1662"/>
      <c r="F35" s="1657">
        <f>'[6]Gastos de Operación'!F35+'[7]Gastos de Operación'!F35+'[8]Gastos de Operación'!F35+'[3]Gastos de Operación'!F35+'[9]Gastos de Operación'!F35+'[2]Gastos de Operación'!F35</f>
        <v>547.0466749620781</v>
      </c>
      <c r="G35" s="1657">
        <f>'[6]Gastos de Operación'!G35+'[7]Gastos de Operación'!G35+'[8]Gastos de Operación'!G35+'[3]Gastos de Operación'!G35+'[9]Gastos de Operación'!G35+'[2]Gastos de Operación'!G35</f>
        <v>613.36368021700582</v>
      </c>
      <c r="H35" s="1657">
        <f>'[6]Gastos de Operación'!H35+'[7]Gastos de Operación'!H35+'[8]Gastos de Operación'!H35+'[3]Gastos de Operación'!H35+'[9]Gastos de Operación'!H35+'[2]Gastos de Operación'!H35</f>
        <v>618.32954250350247</v>
      </c>
      <c r="I35" s="1657">
        <f>'[6]Gastos de Operación'!I35+'[7]Gastos de Operación'!I35+'[8]Gastos de Operación'!I35+'[3]Gastos de Operación'!I35+'[9]Gastos de Operación'!I35+'[2]Gastos de Operación'!I35</f>
        <v>654.32150157636386</v>
      </c>
      <c r="J35" s="1657">
        <f>'[6]Gastos de Operación'!J35+'[7]Gastos de Operación'!J35+'[8]Gastos de Operación'!J35+'[3]Gastos de Operación'!J35+'[9]Gastos de Operación'!J35+'[2]Gastos de Operación'!J35</f>
        <v>665.11955610145901</v>
      </c>
      <c r="K35" s="1657">
        <f>'[6]Gastos de Operación'!K35+'[7]Gastos de Operación'!K35+'[8]Gastos de Operación'!K35+'[3]Gastos de Operación'!K35+'[9]Gastos de Operación'!K35+'[2]Gastos de Operación'!K35</f>
        <v>658.71202789539655</v>
      </c>
      <c r="L35" s="1657">
        <f>'[6]Gastos de Operación'!L35+'[7]Gastos de Operación'!L35+'[8]Gastos de Operación'!L35+'[3]Gastos de Operación'!L35+'[9]Gastos de Operación'!L35+'[2]Gastos de Operación'!L35</f>
        <v>658.78467764578454</v>
      </c>
      <c r="M35" s="1657">
        <f>'[6]Gastos de Operación'!M35+'[7]Gastos de Operación'!M35+'[8]Gastos de Operación'!M35+'[3]Gastos de Operación'!M35+'[9]Gastos de Operación'!M35+'[2]Gastos de Operación'!M35</f>
        <v>656.40447328557161</v>
      </c>
      <c r="N35" s="1657">
        <f>'[6]Gastos de Operación'!N35+'[7]Gastos de Operación'!N35+'[8]Gastos de Operación'!N35+'[3]Gastos de Operación'!N35+'[9]Gastos de Operación'!N35+'[2]Gastos de Operación'!N35</f>
        <v>668.50669853067473</v>
      </c>
      <c r="O35" s="1657">
        <f>'[6]Gastos de Operación'!O35+'[7]Gastos de Operación'!O35+'[8]Gastos de Operación'!O35+'[3]Gastos de Operación'!O35+'[9]Gastos de Operación'!O35+'[2]Gastos de Operación'!O35</f>
        <v>643.63168312471498</v>
      </c>
      <c r="P35" s="1657">
        <f>'[6]Gastos de Operación'!P35+'[7]Gastos de Operación'!P35+'[8]Gastos de Operación'!P35+'[3]Gastos de Operación'!P35+'[9]Gastos de Operación'!P35+'[2]Gastos de Operación'!P35</f>
        <v>643.63168312471498</v>
      </c>
      <c r="Q35" s="1657">
        <f>'[6]Gastos de Operación'!Q35+'[7]Gastos de Operación'!Q35+'[8]Gastos de Operación'!Q35+'[3]Gastos de Operación'!Q35+'[9]Gastos de Operación'!Q35+'[2]Gastos de Operación'!Q35</f>
        <v>654.22599005177449</v>
      </c>
      <c r="R35" s="1669">
        <f t="shared" si="0"/>
        <v>7682.0781890190419</v>
      </c>
    </row>
    <row r="36" spans="2:18" ht="15.75" x14ac:dyDescent="0.25">
      <c r="B36" s="1666"/>
      <c r="C36" s="1716" t="s">
        <v>10497</v>
      </c>
      <c r="D36" s="1668" t="s">
        <v>10607</v>
      </c>
      <c r="E36" s="1672"/>
      <c r="F36" s="1657">
        <f>'[6]Gastos de Operación'!F36+'[7]Gastos de Operación'!F36+'[8]Gastos de Operación'!F36+'[3]Gastos de Operación'!F36+'[9]Gastos de Operación'!F36+'[2]Gastos de Operación'!F36</f>
        <v>13156.045023705447</v>
      </c>
      <c r="G36" s="1657">
        <f>'[6]Gastos de Operación'!G36+'[7]Gastos de Operación'!G36+'[8]Gastos de Operación'!G36+'[3]Gastos de Operación'!G36+'[9]Gastos de Operación'!G36+'[2]Gastos de Operación'!G36</f>
        <v>13256.027988968595</v>
      </c>
      <c r="H36" s="1657">
        <f>'[6]Gastos de Operación'!H36+'[7]Gastos de Operación'!H36+'[8]Gastos de Operación'!H36+'[3]Gastos de Operación'!H36+'[9]Gastos de Operación'!H36+'[2]Gastos de Operación'!H36</f>
        <v>13221.383798720106</v>
      </c>
      <c r="I36" s="1657">
        <f>'[6]Gastos de Operación'!I36+'[7]Gastos de Operación'!I36+'[8]Gastos de Operación'!I36+'[3]Gastos de Operación'!I36+'[9]Gastos de Operación'!I36+'[2]Gastos de Operación'!I36</f>
        <v>13142.972861538905</v>
      </c>
      <c r="J36" s="1657">
        <f>'[6]Gastos de Operación'!J36+'[7]Gastos de Operación'!J36+'[8]Gastos de Operación'!J36+'[3]Gastos de Operación'!J36+'[9]Gastos de Operación'!J36+'[2]Gastos de Operación'!J36</f>
        <v>13267.556179303363</v>
      </c>
      <c r="K36" s="1657">
        <f>'[6]Gastos de Operación'!K36+'[7]Gastos de Operación'!K36+'[8]Gastos de Operación'!K36+'[3]Gastos de Operación'!K36+'[9]Gastos de Operación'!K36+'[2]Gastos de Operación'!K36</f>
        <v>13299.952484281541</v>
      </c>
      <c r="L36" s="1657">
        <f>'[6]Gastos de Operación'!L36+'[7]Gastos de Operación'!L36+'[8]Gastos de Operación'!L36+'[3]Gastos de Operación'!L36+'[9]Gastos de Operación'!L36+'[2]Gastos de Operación'!L36</f>
        <v>13174.765706671578</v>
      </c>
      <c r="M36" s="1657">
        <f>'[6]Gastos de Operación'!M36+'[7]Gastos de Operación'!M36+'[8]Gastos de Operación'!M36+'[3]Gastos de Operación'!M36+'[9]Gastos de Operación'!M36+'[2]Gastos de Operación'!M36</f>
        <v>13262.594507022766</v>
      </c>
      <c r="N36" s="1657">
        <f>'[6]Gastos de Operación'!N36+'[7]Gastos de Operación'!N36+'[8]Gastos de Operación'!N36+'[3]Gastos de Operación'!N36+'[9]Gastos de Operación'!N36+'[2]Gastos de Operación'!N36</f>
        <v>13589.190666019236</v>
      </c>
      <c r="O36" s="1657">
        <f>'[6]Gastos de Operación'!O36+'[7]Gastos de Operación'!O36+'[8]Gastos de Operación'!O36+'[3]Gastos de Operación'!O36+'[9]Gastos de Operación'!O36+'[2]Gastos de Operación'!O36</f>
        <v>13075.23047594237</v>
      </c>
      <c r="P36" s="1657">
        <f>'[6]Gastos de Operación'!P36+'[7]Gastos de Operación'!P36+'[8]Gastos de Operación'!P36+'[3]Gastos de Operación'!P36+'[9]Gastos de Operación'!P36+'[2]Gastos de Operación'!P36</f>
        <v>13357.584718613987</v>
      </c>
      <c r="Q36" s="1657">
        <f>'[6]Gastos de Operación'!Q36+'[7]Gastos de Operación'!Q36+'[8]Gastos de Operación'!Q36+'[3]Gastos de Operación'!Q36+'[9]Gastos de Operación'!Q36+'[2]Gastos de Operación'!Q36</f>
        <v>13400.53515179281</v>
      </c>
      <c r="R36" s="1669">
        <f t="shared" si="0"/>
        <v>159203.83956258069</v>
      </c>
    </row>
    <row r="37" spans="2:18" ht="15.75" x14ac:dyDescent="0.25">
      <c r="B37" s="1666"/>
      <c r="C37" s="1671" t="s">
        <v>10498</v>
      </c>
      <c r="D37" s="1668" t="s">
        <v>10608</v>
      </c>
      <c r="E37" s="1672"/>
      <c r="F37" s="1657">
        <f>'[6]Gastos de Operación'!F37+'[7]Gastos de Operación'!F37+'[8]Gastos de Operación'!F37+'[3]Gastos de Operación'!F37+'[9]Gastos de Operación'!F37+'[2]Gastos de Operación'!F37</f>
        <v>33641.501524379513</v>
      </c>
      <c r="G37" s="1657">
        <f>'[6]Gastos de Operación'!G37+'[7]Gastos de Operación'!G37+'[8]Gastos de Operación'!G37+'[3]Gastos de Operación'!G37+'[9]Gastos de Operación'!G37+'[2]Gastos de Operación'!G37</f>
        <v>33332.490138655296</v>
      </c>
      <c r="H37" s="1657">
        <f>'[6]Gastos de Operación'!H37+'[7]Gastos de Operación'!H37+'[8]Gastos de Operación'!H37+'[3]Gastos de Operación'!H37+'[9]Gastos de Operación'!H37+'[2]Gastos de Operación'!H37</f>
        <v>34322.408205415915</v>
      </c>
      <c r="I37" s="1657">
        <f>'[6]Gastos de Operación'!I37+'[7]Gastos de Operación'!I37+'[8]Gastos de Operación'!I37+'[3]Gastos de Operación'!I37+'[9]Gastos de Operación'!I37+'[2]Gastos de Operación'!I37</f>
        <v>35899.259116706795</v>
      </c>
      <c r="J37" s="1657">
        <f>'[6]Gastos de Operación'!J37+'[7]Gastos de Operación'!J37+'[8]Gastos de Operación'!J37+'[3]Gastos de Operación'!J37+'[9]Gastos de Operación'!J37+'[2]Gastos de Operación'!J37</f>
        <v>35458.211103426031</v>
      </c>
      <c r="K37" s="1657">
        <f>'[6]Gastos de Operación'!K37+'[7]Gastos de Operación'!K37+'[8]Gastos de Operación'!K37+'[3]Gastos de Operación'!K37+'[9]Gastos de Operación'!K37+'[2]Gastos de Operación'!K37</f>
        <v>35679.208660096629</v>
      </c>
      <c r="L37" s="1657">
        <f>'[6]Gastos de Operación'!L37+'[7]Gastos de Operación'!L37+'[8]Gastos de Operación'!L37+'[3]Gastos de Operación'!L37+'[9]Gastos de Operación'!L37+'[2]Gastos de Operación'!L37</f>
        <v>37976.493983148066</v>
      </c>
      <c r="M37" s="1657">
        <f>'[6]Gastos de Operación'!M37+'[7]Gastos de Operación'!M37+'[8]Gastos de Operación'!M37+'[3]Gastos de Operación'!M37+'[9]Gastos de Operación'!M37+'[2]Gastos de Operación'!M37</f>
        <v>37476.021337523605</v>
      </c>
      <c r="N37" s="1657">
        <f>'[6]Gastos de Operación'!N37+'[7]Gastos de Operación'!N37+'[8]Gastos de Operación'!N37+'[3]Gastos de Operación'!N37+'[9]Gastos de Operación'!N37+'[2]Gastos de Operación'!N37</f>
        <v>34291.759014086594</v>
      </c>
      <c r="O37" s="1657">
        <f>'[6]Gastos de Operación'!O37+'[7]Gastos de Operación'!O37+'[8]Gastos de Operación'!O37+'[3]Gastos de Operación'!O37+'[9]Gastos de Operación'!O37+'[2]Gastos de Operación'!O37</f>
        <v>41846.850571723895</v>
      </c>
      <c r="P37" s="1657">
        <f>'[6]Gastos de Operación'!P37+'[7]Gastos de Operación'!P37+'[8]Gastos de Operación'!P37+'[3]Gastos de Operación'!P37+'[9]Gastos de Operación'!P37+'[2]Gastos de Operación'!P37</f>
        <v>38249.925456963043</v>
      </c>
      <c r="Q37" s="1657">
        <f>'[6]Gastos de Operación'!Q37+'[7]Gastos de Operación'!Q37+'[8]Gastos de Operación'!Q37+'[3]Gastos de Operación'!Q37+'[9]Gastos de Operación'!Q37+'[2]Gastos de Operación'!Q37</f>
        <v>38419.572119704273</v>
      </c>
      <c r="R37" s="1669">
        <f t="shared" si="0"/>
        <v>436593.70123182965</v>
      </c>
    </row>
    <row r="38" spans="2:18" ht="15.75" x14ac:dyDescent="0.25">
      <c r="B38" s="1666"/>
      <c r="C38" s="1671" t="s">
        <v>10499</v>
      </c>
      <c r="D38" s="1668" t="s">
        <v>10609</v>
      </c>
      <c r="E38" s="1672"/>
      <c r="F38" s="1657">
        <f>'[6]Gastos de Operación'!F38+'[7]Gastos de Operación'!F38+'[8]Gastos de Operación'!F38+'[3]Gastos de Operación'!F38+'[9]Gastos de Operación'!F38+'[2]Gastos de Operación'!F38</f>
        <v>90952.197829423501</v>
      </c>
      <c r="G38" s="1657">
        <f>'[6]Gastos de Operación'!G38+'[7]Gastos de Operación'!G38+'[8]Gastos de Operación'!G38+'[3]Gastos de Operación'!G38+'[9]Gastos de Operación'!G38+'[2]Gastos de Operación'!G38</f>
        <v>93478.96828375214</v>
      </c>
      <c r="H38" s="1657">
        <f>'[6]Gastos de Operación'!H38+'[7]Gastos de Operación'!H38+'[8]Gastos de Operación'!H38+'[3]Gastos de Operación'!H38+'[9]Gastos de Operación'!H38+'[2]Gastos de Operación'!H38</f>
        <v>95526.511172416038</v>
      </c>
      <c r="I38" s="1657">
        <f>'[6]Gastos de Operación'!I38+'[7]Gastos de Operación'!I38+'[8]Gastos de Operación'!I38+'[3]Gastos de Operación'!I38+'[9]Gastos de Operación'!I38+'[2]Gastos de Operación'!I38</f>
        <v>99505.386975554458</v>
      </c>
      <c r="J38" s="1657">
        <f>'[6]Gastos de Operación'!J38+'[7]Gastos de Operación'!J38+'[8]Gastos de Operación'!J38+'[3]Gastos de Operación'!J38+'[9]Gastos de Operación'!J38+'[2]Gastos de Operación'!J38</f>
        <v>101702.70553306323</v>
      </c>
      <c r="K38" s="1657">
        <f>'[6]Gastos de Operación'!K38+'[7]Gastos de Operación'!K38+'[8]Gastos de Operación'!K38+'[3]Gastos de Operación'!K38+'[9]Gastos de Operación'!K38+'[2]Gastos de Operación'!K38</f>
        <v>101687.68137453304</v>
      </c>
      <c r="L38" s="1657">
        <f>'[6]Gastos de Operación'!L38+'[7]Gastos de Operación'!L38+'[8]Gastos de Operación'!L38+'[3]Gastos de Operación'!L38+'[9]Gastos de Operación'!L38+'[2]Gastos de Operación'!L38</f>
        <v>106311.4528472363</v>
      </c>
      <c r="M38" s="1657">
        <f>'[6]Gastos de Operación'!M38+'[7]Gastos de Operación'!M38+'[8]Gastos de Operación'!M38+'[3]Gastos de Operación'!M38+'[9]Gastos de Operación'!M38+'[2]Gastos de Operación'!M38</f>
        <v>105032.47376566846</v>
      </c>
      <c r="N38" s="1657">
        <f>'[6]Gastos de Operación'!N38+'[7]Gastos de Operación'!N38+'[8]Gastos de Operación'!N38+'[3]Gastos de Operación'!N38+'[9]Gastos de Operación'!N38+'[2]Gastos de Operación'!N38</f>
        <v>99065.274889176158</v>
      </c>
      <c r="O38" s="1657">
        <f>'[6]Gastos de Operación'!O38+'[7]Gastos de Operación'!O38+'[8]Gastos de Operación'!O38+'[3]Gastos de Operación'!O38+'[9]Gastos de Operación'!O38+'[2]Gastos de Operación'!O38</f>
        <v>112935.65444602071</v>
      </c>
      <c r="P38" s="1657">
        <f>'[6]Gastos de Operación'!P38+'[7]Gastos de Operación'!P38+'[8]Gastos de Operación'!P38+'[3]Gastos de Operación'!P38+'[9]Gastos de Operación'!P38+'[2]Gastos de Operación'!P38</f>
        <v>105531.32121577494</v>
      </c>
      <c r="Q38" s="1657">
        <f>'[6]Gastos de Operación'!Q38+'[7]Gastos de Operación'!Q38+'[8]Gastos de Operación'!Q38+'[3]Gastos de Operación'!Q38+'[9]Gastos de Operación'!Q38+'[2]Gastos de Operación'!Q38</f>
        <v>106398.91055202113</v>
      </c>
      <c r="R38" s="1669">
        <f t="shared" si="0"/>
        <v>1218128.53888464</v>
      </c>
    </row>
    <row r="39" spans="2:18" ht="15.75" x14ac:dyDescent="0.25">
      <c r="B39" s="1666"/>
      <c r="C39" s="1671" t="s">
        <v>10500</v>
      </c>
      <c r="D39" s="1668" t="s">
        <v>10606</v>
      </c>
      <c r="E39" s="1672"/>
      <c r="F39" s="1657">
        <f>'[6]Gastos de Operación'!F39+'[7]Gastos de Operación'!F39+'[8]Gastos de Operación'!F39+'[3]Gastos de Operación'!F39+'[9]Gastos de Operación'!F39+'[2]Gastos de Operación'!F39</f>
        <v>655.25685279104255</v>
      </c>
      <c r="G39" s="1657">
        <f>'[6]Gastos de Operación'!G39+'[7]Gastos de Operación'!G39+'[8]Gastos de Operación'!G39+'[3]Gastos de Operación'!G39+'[9]Gastos de Operación'!G39+'[2]Gastos de Operación'!G39</f>
        <v>679.97165452889203</v>
      </c>
      <c r="H39" s="1657">
        <f>'[6]Gastos de Operación'!H39+'[7]Gastos de Operación'!H39+'[8]Gastos de Operación'!H39+'[3]Gastos de Operación'!H39+'[9]Gastos de Operación'!H39+'[2]Gastos de Operación'!H39</f>
        <v>693.47387868095939</v>
      </c>
      <c r="I39" s="1657">
        <f>'[6]Gastos de Operación'!I39+'[7]Gastos de Operación'!I39+'[8]Gastos de Operación'!I39+'[3]Gastos de Operación'!I39+'[9]Gastos de Operación'!I39+'[2]Gastos de Operación'!I39</f>
        <v>710.63602475797461</v>
      </c>
      <c r="J39" s="1657">
        <f>'[6]Gastos de Operación'!J39+'[7]Gastos de Operación'!J39+'[8]Gastos de Operación'!J39+'[3]Gastos de Operación'!J39+'[9]Gastos de Operación'!J39+'[2]Gastos de Operación'!J39</f>
        <v>767.97219348494832</v>
      </c>
      <c r="K39" s="1657">
        <f>'[6]Gastos de Operación'!K39+'[7]Gastos de Operación'!K39+'[8]Gastos de Operación'!K39+'[3]Gastos de Operación'!K39+'[9]Gastos de Operación'!K39+'[2]Gastos de Operación'!K39</f>
        <v>767.83149946358844</v>
      </c>
      <c r="L39" s="1657">
        <f>'[6]Gastos de Operación'!L39+'[7]Gastos de Operación'!L39+'[8]Gastos de Operación'!L39+'[3]Gastos de Operación'!L39+'[9]Gastos de Operación'!L39+'[2]Gastos de Operación'!L39</f>
        <v>794.8038786703961</v>
      </c>
      <c r="M39" s="1657">
        <f>'[6]Gastos de Operación'!M39+'[7]Gastos de Operación'!M39+'[8]Gastos de Operación'!M39+'[3]Gastos de Operación'!M39+'[9]Gastos de Operación'!M39+'[2]Gastos de Operación'!M39</f>
        <v>788.9706933740863</v>
      </c>
      <c r="N39" s="1657">
        <f>'[6]Gastos de Operación'!N39+'[7]Gastos de Operación'!N39+'[8]Gastos de Operación'!N39+'[3]Gastos de Operación'!N39+'[9]Gastos de Operación'!N39+'[2]Gastos de Operación'!N39</f>
        <v>761.82379270330875</v>
      </c>
      <c r="O39" s="1657">
        <f>'[6]Gastos de Operación'!O39+'[7]Gastos de Operación'!O39+'[8]Gastos de Operación'!O39+'[3]Gastos de Operación'!O39+'[9]Gastos de Operación'!O39+'[2]Gastos de Operación'!O39</f>
        <v>832.56674385050701</v>
      </c>
      <c r="P39" s="1657">
        <f>'[6]Gastos de Operación'!P39+'[7]Gastos de Operación'!P39+'[8]Gastos de Operación'!P39+'[3]Gastos de Operación'!P39+'[9]Gastos de Operación'!P39+'[2]Gastos de Operación'!P39</f>
        <v>793.46060331054423</v>
      </c>
      <c r="Q39" s="1657">
        <f>'[6]Gastos de Operación'!Q39+'[7]Gastos de Operación'!Q39+'[8]Gastos de Operación'!Q39+'[3]Gastos de Operación'!Q39+'[9]Gastos de Operación'!Q39+'[2]Gastos de Operación'!Q39</f>
        <v>803.01040588817932</v>
      </c>
      <c r="R39" s="1669">
        <f t="shared" si="0"/>
        <v>9049.7782215044263</v>
      </c>
    </row>
    <row r="40" spans="2:18" ht="15.75" x14ac:dyDescent="0.25">
      <c r="B40" s="1666"/>
      <c r="C40" s="1671" t="s">
        <v>10501</v>
      </c>
      <c r="D40" s="1668" t="s">
        <v>10610</v>
      </c>
      <c r="E40" s="1672"/>
      <c r="F40" s="1657">
        <f>'[6]Gastos de Operación'!F40+'[7]Gastos de Operación'!F40+'[8]Gastos de Operación'!F40+'[3]Gastos de Operación'!F40+'[9]Gastos de Operación'!F40+'[2]Gastos de Operación'!F40</f>
        <v>1254.5710782675437</v>
      </c>
      <c r="G40" s="1657">
        <f>'[6]Gastos de Operación'!G40+'[7]Gastos de Operación'!G40+'[8]Gastos de Operación'!G40+'[3]Gastos de Operación'!G40+'[9]Gastos de Operación'!G40+'[2]Gastos de Operación'!G40</f>
        <v>1234.2662206732123</v>
      </c>
      <c r="H40" s="1657">
        <f>'[6]Gastos de Operación'!H40+'[7]Gastos de Operación'!H40+'[8]Gastos de Operación'!H40+'[3]Gastos de Operación'!H40+'[9]Gastos de Operación'!H40+'[2]Gastos de Operación'!H40</f>
        <v>1272.8337693440667</v>
      </c>
      <c r="I40" s="1657">
        <f>'[6]Gastos de Operación'!I40+'[7]Gastos de Operación'!I40+'[8]Gastos de Operación'!I40+'[3]Gastos de Operación'!I40+'[9]Gastos de Operación'!I40+'[2]Gastos de Operación'!I40</f>
        <v>1335.5100577022827</v>
      </c>
      <c r="J40" s="1657">
        <f>'[6]Gastos de Operación'!J40+'[7]Gastos de Operación'!J40+'[8]Gastos de Operación'!J40+'[3]Gastos de Operación'!J40+'[9]Gastos de Operación'!J40+'[2]Gastos de Operación'!J40</f>
        <v>1300.2259932317911</v>
      </c>
      <c r="K40" s="1657">
        <f>'[6]Gastos de Operación'!K40+'[7]Gastos de Operación'!K40+'[8]Gastos de Operación'!K40+'[3]Gastos de Operación'!K40+'[9]Gastos de Operación'!K40+'[2]Gastos de Operación'!K40</f>
        <v>1309.7375812278801</v>
      </c>
      <c r="L40" s="1657">
        <f>'[6]Gastos de Operación'!L40+'[7]Gastos de Operación'!L40+'[8]Gastos de Operación'!L40+'[3]Gastos de Operación'!L40+'[9]Gastos de Operación'!L40+'[2]Gastos de Operación'!L40</f>
        <v>1400.4869006831409</v>
      </c>
      <c r="M40" s="1657">
        <f>'[6]Gastos de Operación'!M40+'[7]Gastos de Operación'!M40+'[8]Gastos de Operación'!M40+'[3]Gastos de Operación'!M40+'[9]Gastos de Operación'!M40+'[2]Gastos de Operación'!M40</f>
        <v>1380.704560434421</v>
      </c>
      <c r="N40" s="1657">
        <f>'[6]Gastos de Operación'!N40+'[7]Gastos de Operación'!N40+'[8]Gastos de Operación'!N40+'[3]Gastos de Operación'!N40+'[9]Gastos de Operación'!N40+'[2]Gastos de Operación'!N40</f>
        <v>1251.9915414224013</v>
      </c>
      <c r="O40" s="1657">
        <f>'[6]Gastos de Operación'!O40+'[7]Gastos de Operación'!O40+'[8]Gastos de Operación'!O40+'[3]Gastos de Operación'!O40+'[9]Gastos de Operación'!O40+'[2]Gastos de Operación'!O40</f>
        <v>1555.5710094748954</v>
      </c>
      <c r="P40" s="1657">
        <f>'[6]Gastos de Operación'!P40+'[7]Gastos de Operación'!P40+'[8]Gastos de Operación'!P40+'[3]Gastos de Operación'!P40+'[9]Gastos de Operación'!P40+'[2]Gastos de Operación'!P40</f>
        <v>1412.5892691604797</v>
      </c>
      <c r="Q40" s="1657">
        <f>'[6]Gastos de Operación'!Q40+'[7]Gastos de Operación'!Q40+'[8]Gastos de Operación'!Q40+'[3]Gastos de Operación'!Q40+'[9]Gastos de Operación'!Q40+'[2]Gastos de Operación'!Q40</f>
        <v>1417.1313568426679</v>
      </c>
      <c r="R40" s="1669">
        <f t="shared" si="0"/>
        <v>16125.619338464785</v>
      </c>
    </row>
    <row r="41" spans="2:18" ht="15.75" x14ac:dyDescent="0.25">
      <c r="B41" s="1666"/>
      <c r="C41" s="1671" t="s">
        <v>10502</v>
      </c>
      <c r="D41" s="1668" t="s">
        <v>10611</v>
      </c>
      <c r="E41" s="1672"/>
      <c r="F41" s="1657">
        <f>'[6]Gastos de Operación'!F41+'[7]Gastos de Operación'!F41+'[8]Gastos de Operación'!F41+'[3]Gastos de Operación'!F41+'[9]Gastos de Operación'!F41+'[2]Gastos de Operación'!F41</f>
        <v>121.81523170097637</v>
      </c>
      <c r="G41" s="1657">
        <f>'[6]Gastos de Operación'!G41+'[7]Gastos de Operación'!G41+'[8]Gastos de Operación'!G41+'[3]Gastos de Operación'!G41+'[9]Gastos de Operación'!G41+'[2]Gastos de Operación'!G41</f>
        <v>122.74099989785735</v>
      </c>
      <c r="H41" s="1657">
        <f>'[6]Gastos de Operación'!H41+'[7]Gastos de Operación'!H41+'[8]Gastos de Operación'!H41+'[3]Gastos de Operación'!H41+'[9]Gastos de Operación'!H41+'[2]Gastos de Operación'!H41</f>
        <v>122.4202203585195</v>
      </c>
      <c r="I41" s="1657">
        <f>'[6]Gastos de Operación'!I41+'[7]Gastos de Operación'!I41+'[8]Gastos de Operación'!I41+'[3]Gastos de Operación'!I41+'[9]Gastos de Operación'!I41+'[2]Gastos de Operación'!I41</f>
        <v>121.69419316239727</v>
      </c>
      <c r="J41" s="1657">
        <f>'[6]Gastos de Operación'!J41+'[7]Gastos de Operación'!J41+'[8]Gastos de Operación'!J41+'[3]Gastos de Operación'!J41+'[9]Gastos de Operación'!J41+'[2]Gastos de Operación'!J41</f>
        <v>122.84774240095706</v>
      </c>
      <c r="K41" s="1657">
        <f>'[6]Gastos de Operación'!K41+'[7]Gastos de Operación'!K41+'[8]Gastos de Operación'!K41+'[3]Gastos de Operación'!K41+'[9]Gastos de Operación'!K41+'[2]Gastos de Operación'!K41</f>
        <v>123.14770818779203</v>
      </c>
      <c r="L41" s="1657">
        <f>'[6]Gastos de Operación'!L41+'[7]Gastos de Operación'!L41+'[8]Gastos de Operación'!L41+'[3]Gastos de Operación'!L41+'[9]Gastos de Operación'!L41+'[2]Gastos de Operación'!L41</f>
        <v>121.98857135807016</v>
      </c>
      <c r="M41" s="1657">
        <f>'[6]Gastos de Operación'!M41+'[7]Gastos de Operación'!M41+'[8]Gastos de Operación'!M41+'[3]Gastos de Operación'!M41+'[9]Gastos de Operación'!M41+'[2]Gastos de Operación'!M41</f>
        <v>122.80180099095152</v>
      </c>
      <c r="N41" s="1657">
        <f>'[6]Gastos de Operación'!N41+'[7]Gastos de Operación'!N41+'[8]Gastos de Operación'!N41+'[3]Gastos de Operación'!N41+'[9]Gastos de Operación'!N41+'[2]Gastos de Operación'!N41</f>
        <v>125.82583950017811</v>
      </c>
      <c r="O41" s="1657">
        <f>'[6]Gastos de Operación'!O41+'[7]Gastos de Operación'!O41+'[8]Gastos de Operación'!O41+'[3]Gastos de Operación'!O41+'[9]Gastos de Operación'!O41+'[2]Gastos de Operación'!O41</f>
        <v>121.06694885131823</v>
      </c>
      <c r="P41" s="1657">
        <f>'[6]Gastos de Operación'!P41+'[7]Gastos de Operación'!P41+'[8]Gastos de Operación'!P41+'[3]Gastos de Operación'!P41+'[9]Gastos de Operación'!P41+'[2]Gastos de Operación'!P41</f>
        <v>123.68133998716652</v>
      </c>
      <c r="Q41" s="1657">
        <f>'[6]Gastos de Operación'!Q41+'[7]Gastos de Operación'!Q41+'[8]Gastos de Operación'!Q41+'[3]Gastos de Operación'!Q41+'[9]Gastos de Operación'!Q41+'[2]Gastos de Operación'!Q41</f>
        <v>124.07902918326675</v>
      </c>
      <c r="R41" s="1669">
        <f t="shared" si="0"/>
        <v>1474.1096255794509</v>
      </c>
    </row>
    <row r="42" spans="2:18" ht="15.75" x14ac:dyDescent="0.25">
      <c r="B42" s="1666"/>
      <c r="C42" s="1670" t="s">
        <v>10503</v>
      </c>
      <c r="D42" s="1668" t="s">
        <v>10612</v>
      </c>
      <c r="E42" s="1672"/>
      <c r="F42" s="1657">
        <f>'[6]Gastos de Operación'!F42+'[7]Gastos de Operación'!F42+'[8]Gastos de Operación'!F42+'[3]Gastos de Operación'!F42+'[9]Gastos de Operación'!F42+'[2]Gastos de Operación'!F42</f>
        <v>465.77902843626237</v>
      </c>
      <c r="G42" s="1657">
        <f>'[6]Gastos de Operación'!G42+'[7]Gastos de Operación'!G42+'[8]Gastos de Operación'!G42+'[3]Gastos de Operación'!G42+'[9]Gastos de Operación'!G42+'[2]Gastos de Operación'!G42</f>
        <v>478.70578066811595</v>
      </c>
      <c r="H42" s="1657">
        <f>'[6]Gastos de Operación'!H42+'[7]Gastos de Operación'!H42+'[8]Gastos de Operación'!H42+'[3]Gastos de Operación'!H42+'[9]Gastos de Operación'!H42+'[2]Gastos de Operación'!H42</f>
        <v>478.61404012627037</v>
      </c>
      <c r="I42" s="1657">
        <f>'[6]Gastos de Operación'!I42+'[7]Gastos de Operación'!I42+'[8]Gastos de Operación'!I42+'[3]Gastos de Operación'!I42+'[9]Gastos de Operación'!I42+'[2]Gastos de Operación'!I42</f>
        <v>476.25731247556229</v>
      </c>
      <c r="J42" s="1657">
        <f>'[6]Gastos de Operación'!J42+'[7]Gastos de Operación'!J42+'[8]Gastos de Operación'!J42+'[3]Gastos de Operación'!J42+'[9]Gastos de Operación'!J42+'[2]Gastos de Operación'!J42</f>
        <v>502.15110410767761</v>
      </c>
      <c r="K42" s="1657">
        <f>'[6]Gastos de Operación'!K42+'[7]Gastos de Operación'!K42+'[8]Gastos de Operación'!K42+'[3]Gastos de Operación'!K42+'[9]Gastos de Operación'!K42+'[2]Gastos de Operación'!K42</f>
        <v>502.10883195169731</v>
      </c>
      <c r="L42" s="1657">
        <f>'[6]Gastos de Operación'!L42+'[7]Gastos de Operación'!L42+'[8]Gastos de Operación'!L42+'[3]Gastos de Operación'!L42+'[9]Gastos de Operación'!L42+'[2]Gastos de Operación'!L42</f>
        <v>499.08049886464266</v>
      </c>
      <c r="M42" s="1657">
        <f>'[6]Gastos de Operación'!M42+'[7]Gastos de Operación'!M42+'[8]Gastos de Operación'!M42+'[3]Gastos de Operación'!M42+'[9]Gastos de Operación'!M42+'[2]Gastos de Operación'!M42</f>
        <v>501.43779148327673</v>
      </c>
      <c r="N42" s="1657">
        <f>'[6]Gastos de Operación'!N42+'[7]Gastos de Operación'!N42+'[8]Gastos de Operación'!N42+'[3]Gastos de Operación'!N42+'[9]Gastos de Operación'!N42+'[2]Gastos de Operación'!N42</f>
        <v>513.5759622235496</v>
      </c>
      <c r="O42" s="1657">
        <f>'[6]Gastos de Operación'!O42+'[7]Gastos de Operación'!O42+'[8]Gastos de Operación'!O42+'[3]Gastos de Operación'!O42+'[9]Gastos de Operación'!O42+'[2]Gastos de Operación'!O42</f>
        <v>494.30607074847092</v>
      </c>
      <c r="P42" s="1657">
        <f>'[6]Gastos de Operación'!P42+'[7]Gastos de Operación'!P42+'[8]Gastos de Operación'!P42+'[3]Gastos de Operación'!P42+'[9]Gastos de Operación'!P42+'[2]Gastos de Operación'!P42</f>
        <v>502.57191940437366</v>
      </c>
      <c r="Q42" s="1657">
        <f>'[6]Gastos de Operación'!Q42+'[7]Gastos de Operación'!Q42+'[8]Gastos de Operación'!Q42+'[3]Gastos de Operación'!Q42+'[9]Gastos de Operación'!Q42+'[2]Gastos de Operación'!Q42</f>
        <v>506.5207337200726</v>
      </c>
      <c r="R42" s="1669">
        <f t="shared" si="0"/>
        <v>5921.1090742099732</v>
      </c>
    </row>
    <row r="43" spans="2:18" ht="15.75" x14ac:dyDescent="0.25">
      <c r="B43" s="1666"/>
      <c r="C43" s="1671" t="s">
        <v>10504</v>
      </c>
      <c r="D43" s="1668" t="s">
        <v>10613</v>
      </c>
      <c r="E43" s="1672"/>
      <c r="F43" s="1657">
        <f>'[6]Gastos de Operación'!F43+'[7]Gastos de Operación'!F43+'[8]Gastos de Operación'!F43+'[3]Gastos de Operación'!F43+'[9]Gastos de Operación'!F43+'[2]Gastos de Operación'!F43</f>
        <v>260.01866856217498</v>
      </c>
      <c r="G43" s="1657">
        <f>'[6]Gastos de Operación'!G43+'[7]Gastos de Operación'!G43+'[8]Gastos de Operación'!G43+'[3]Gastos de Operación'!G43+'[9]Gastos de Operación'!G43+'[2]Gastos de Operación'!G43</f>
        <v>267.58365682289184</v>
      </c>
      <c r="H43" s="1657">
        <f>'[6]Gastos de Operación'!H43+'[7]Gastos de Operación'!H43+'[8]Gastos de Operación'!H43+'[3]Gastos de Operación'!H43+'[9]Gastos de Operación'!H43+'[2]Gastos de Operación'!H43</f>
        <v>273.36324096222063</v>
      </c>
      <c r="I43" s="1657">
        <f>'[6]Gastos de Operación'!I43+'[7]Gastos de Operación'!I43+'[8]Gastos de Operación'!I43+'[3]Gastos de Operación'!I43+'[9]Gastos de Operación'!I43+'[2]Gastos de Operación'!I43</f>
        <v>281.16220915446752</v>
      </c>
      <c r="J43" s="1657">
        <f>'[6]Gastos de Operación'!J43+'[7]Gastos de Operación'!J43+'[8]Gastos de Operación'!J43+'[3]Gastos de Operación'!J43+'[9]Gastos de Operación'!J43+'[2]Gastos de Operación'!J43</f>
        <v>299.10429811131746</v>
      </c>
      <c r="K43" s="1657">
        <f>'[6]Gastos de Operación'!K43+'[7]Gastos de Operación'!K43+'[8]Gastos de Operación'!K43+'[3]Gastos de Operación'!K43+'[9]Gastos de Operación'!K43+'[2]Gastos de Operación'!K43</f>
        <v>299.37279026560151</v>
      </c>
      <c r="L43" s="1657">
        <f>'[6]Gastos de Operación'!L43+'[7]Gastos de Operación'!L43+'[8]Gastos de Operación'!L43+'[3]Gastos de Operación'!L43+'[9]Gastos de Operación'!L43+'[2]Gastos de Operación'!L43</f>
        <v>311.37269627362451</v>
      </c>
      <c r="M43" s="1657">
        <f>'[6]Gastos de Operación'!M43+'[7]Gastos de Operación'!M43+'[8]Gastos de Operación'!M43+'[3]Gastos de Operación'!M43+'[9]Gastos de Operación'!M43+'[2]Gastos de Operación'!M43</f>
        <v>308.7723480904109</v>
      </c>
      <c r="N43" s="1657">
        <f>'[6]Gastos de Operación'!N43+'[7]Gastos de Operación'!N43+'[8]Gastos de Operación'!N43+'[3]Gastos de Operación'!N43+'[9]Gastos de Operación'!N43+'[2]Gastos de Operación'!N43</f>
        <v>295.4554482474536</v>
      </c>
      <c r="O43" s="1657">
        <f>'[6]Gastos de Operación'!O43+'[7]Gastos de Operación'!O43+'[8]Gastos de Operación'!O43+'[3]Gastos de Operación'!O43+'[9]Gastos de Operación'!O43+'[2]Gastos de Operación'!O43</f>
        <v>329.1026772071333</v>
      </c>
      <c r="P43" s="1657">
        <f>'[6]Gastos de Operación'!P43+'[7]Gastos de Operación'!P43+'[8]Gastos de Operación'!P43+'[3]Gastos de Operación'!P43+'[9]Gastos de Operación'!P43+'[2]Gastos de Operación'!P43</f>
        <v>311.32623442286456</v>
      </c>
      <c r="Q43" s="1657">
        <f>'[6]Gastos de Operación'!Q43+'[7]Gastos de Operación'!Q43+'[8]Gastos de Operación'!Q43+'[3]Gastos de Operación'!Q43+'[9]Gastos de Operación'!Q43+'[2]Gastos de Operación'!Q43</f>
        <v>314.66011084473223</v>
      </c>
      <c r="R43" s="1669">
        <f t="shared" si="0"/>
        <v>3551.294378964893</v>
      </c>
    </row>
    <row r="44" spans="2:18" ht="15.75" x14ac:dyDescent="0.25">
      <c r="B44" s="1666"/>
      <c r="C44" s="1671"/>
      <c r="D44" s="1668"/>
      <c r="E44" s="1672"/>
      <c r="F44" s="1657">
        <f>'[6]Gastos de Operación'!F44+'[7]Gastos de Operación'!F44+'[8]Gastos de Operación'!F44+'[3]Gastos de Operación'!F44+'[9]Gastos de Operación'!F44+'[2]Gastos de Operación'!F44</f>
        <v>0</v>
      </c>
      <c r="G44" s="1657">
        <f>'[6]Gastos de Operación'!G44+'[7]Gastos de Operación'!G44+'[8]Gastos de Operación'!G44+'[3]Gastos de Operación'!G44+'[9]Gastos de Operación'!G44+'[2]Gastos de Operación'!G44</f>
        <v>0</v>
      </c>
      <c r="H44" s="1657">
        <f>'[6]Gastos de Operación'!H44+'[7]Gastos de Operación'!H44+'[8]Gastos de Operación'!H44+'[3]Gastos de Operación'!H44+'[9]Gastos de Operación'!H44+'[2]Gastos de Operación'!H44</f>
        <v>0</v>
      </c>
      <c r="I44" s="1657">
        <f>'[6]Gastos de Operación'!I44+'[7]Gastos de Operación'!I44+'[8]Gastos de Operación'!I44+'[3]Gastos de Operación'!I44+'[9]Gastos de Operación'!I44+'[2]Gastos de Operación'!I44</f>
        <v>0</v>
      </c>
      <c r="J44" s="1657">
        <f>'[6]Gastos de Operación'!J44+'[7]Gastos de Operación'!J44+'[8]Gastos de Operación'!J44+'[3]Gastos de Operación'!J44+'[9]Gastos de Operación'!J44+'[2]Gastos de Operación'!J44</f>
        <v>0</v>
      </c>
      <c r="K44" s="1657">
        <f>'[6]Gastos de Operación'!K44+'[7]Gastos de Operación'!K44+'[8]Gastos de Operación'!K44+'[3]Gastos de Operación'!K44+'[9]Gastos de Operación'!K44+'[2]Gastos de Operación'!K44</f>
        <v>0</v>
      </c>
      <c r="L44" s="1657">
        <f>'[6]Gastos de Operación'!L44+'[7]Gastos de Operación'!L44+'[8]Gastos de Operación'!L44+'[3]Gastos de Operación'!L44+'[9]Gastos de Operación'!L44+'[2]Gastos de Operación'!L44</f>
        <v>0</v>
      </c>
      <c r="M44" s="1657">
        <f>'[6]Gastos de Operación'!M44+'[7]Gastos de Operación'!M44+'[8]Gastos de Operación'!M44+'[3]Gastos de Operación'!M44+'[9]Gastos de Operación'!M44+'[2]Gastos de Operación'!M44</f>
        <v>0</v>
      </c>
      <c r="N44" s="1657">
        <f>'[6]Gastos de Operación'!N44+'[7]Gastos de Operación'!N44+'[8]Gastos de Operación'!N44+'[3]Gastos de Operación'!N44+'[9]Gastos de Operación'!N44+'[2]Gastos de Operación'!N44</f>
        <v>0</v>
      </c>
      <c r="O44" s="1657">
        <f>'[6]Gastos de Operación'!O44+'[7]Gastos de Operación'!O44+'[8]Gastos de Operación'!O44+'[3]Gastos de Operación'!O44+'[9]Gastos de Operación'!O44+'[2]Gastos de Operación'!O44</f>
        <v>0</v>
      </c>
      <c r="P44" s="1657">
        <f>'[6]Gastos de Operación'!P44+'[7]Gastos de Operación'!P44+'[8]Gastos de Operación'!P44+'[3]Gastos de Operación'!P44+'[9]Gastos de Operación'!P44+'[2]Gastos de Operación'!P44</f>
        <v>0</v>
      </c>
      <c r="Q44" s="1657">
        <f>'[6]Gastos de Operación'!Q44+'[7]Gastos de Operación'!Q44+'[8]Gastos de Operación'!Q44+'[3]Gastos de Operación'!Q44+'[9]Gastos de Operación'!Q44+'[2]Gastos de Operación'!Q44</f>
        <v>0</v>
      </c>
      <c r="R44" s="1669">
        <f t="shared" si="0"/>
        <v>0</v>
      </c>
    </row>
    <row r="45" spans="2:18" ht="15.75" x14ac:dyDescent="0.25">
      <c r="B45" s="1666" t="s">
        <v>10505</v>
      </c>
      <c r="C45" s="1671" t="s">
        <v>10506</v>
      </c>
      <c r="D45" s="1668" t="s">
        <v>10614</v>
      </c>
      <c r="E45" s="1672"/>
      <c r="F45" s="1657">
        <f>'[6]Gastos de Operación'!F45+'[7]Gastos de Operación'!F45+'[8]Gastos de Operación'!F45+'[3]Gastos de Operación'!F45+'[9]Gastos de Operación'!F45+'[2]Gastos de Operación'!F45</f>
        <v>17847.347900375604</v>
      </c>
      <c r="G45" s="1657">
        <f>'[6]Gastos de Operación'!G45+'[7]Gastos de Operación'!G45+'[8]Gastos de Operación'!G45+'[3]Gastos de Operación'!G45+'[9]Gastos de Operación'!G45+'[2]Gastos de Operación'!G45</f>
        <v>6949.9042988521887</v>
      </c>
      <c r="H45" s="1657">
        <f>'[6]Gastos de Operación'!H45+'[7]Gastos de Operación'!H45+'[8]Gastos de Operación'!H45+'[3]Gastos de Operación'!H45+'[9]Gastos de Operación'!H45+'[2]Gastos de Operación'!H45</f>
        <v>6908.8639212233775</v>
      </c>
      <c r="I45" s="1657">
        <f>'[6]Gastos de Operación'!I45+'[7]Gastos de Operación'!I45+'[8]Gastos de Operación'!I45+'[3]Gastos de Operación'!I45+'[9]Gastos de Operación'!I45+'[2]Gastos de Operación'!I45</f>
        <v>6845.2983653848451</v>
      </c>
      <c r="J45" s="1657">
        <f>'[6]Gastos de Operación'!J45+'[7]Gastos de Operación'!J45+'[8]Gastos de Operación'!J45+'[3]Gastos de Operación'!J45+'[9]Gastos de Operación'!J45+'[2]Gastos de Operación'!J45</f>
        <v>28637.621261337863</v>
      </c>
      <c r="K45" s="1657">
        <f>'[6]Gastos de Operación'!K45+'[7]Gastos de Operación'!K45+'[8]Gastos de Operación'!K45+'[3]Gastos de Operación'!K45+'[9]Gastos de Operación'!K45+'[2]Gastos de Operación'!K45</f>
        <v>6881.7836928472025</v>
      </c>
      <c r="L45" s="1657">
        <f>'[6]Gastos de Operación'!L45+'[7]Gastos de Operación'!L45+'[8]Gastos de Operación'!L45+'[3]Gastos de Operación'!L45+'[9]Gastos de Operación'!L45+'[2]Gastos de Operación'!L45</f>
        <v>6794.803160335503</v>
      </c>
      <c r="M45" s="1657">
        <f>'[6]Gastos de Operación'!M45+'[7]Gastos de Operación'!M45+'[8]Gastos de Operación'!M45+'[3]Gastos de Operación'!M45+'[9]Gastos de Operación'!M45+'[2]Gastos de Operación'!M45</f>
        <v>6817.8921978742574</v>
      </c>
      <c r="N45" s="1657">
        <f>'[6]Gastos de Operación'!N45+'[7]Gastos de Operación'!N45+'[8]Gastos de Operación'!N45+'[3]Gastos de Operación'!N45+'[9]Gastos de Operación'!N45+'[2]Gastos de Operación'!N45</f>
        <v>6963.1775257380123</v>
      </c>
      <c r="O45" s="1657">
        <f>'[6]Gastos de Operación'!O45+'[7]Gastos de Operación'!O45+'[8]Gastos de Operación'!O45+'[3]Gastos de Operación'!O45+'[9]Gastos de Operación'!O45+'[2]Gastos de Operación'!O45</f>
        <v>6678.2091140565853</v>
      </c>
      <c r="P45" s="1657">
        <f>'[6]Gastos de Operación'!P45+'[7]Gastos de Operación'!P45+'[8]Gastos de Operación'!P45+'[3]Gastos de Operación'!P45+'[9]Gastos de Operación'!P45+'[2]Gastos de Operación'!P45</f>
        <v>6800.4852533136582</v>
      </c>
      <c r="Q45" s="1657">
        <f>'[6]Gastos de Operación'!Q45+'[7]Gastos de Operación'!Q45+'[8]Gastos de Operación'!Q45+'[3]Gastos de Operación'!Q45+'[9]Gastos de Operación'!Q45+'[2]Gastos de Operación'!Q45</f>
        <v>6800.4852533136582</v>
      </c>
      <c r="R45" s="1669">
        <f t="shared" si="0"/>
        <v>114925.87194465274</v>
      </c>
    </row>
    <row r="46" spans="2:18" ht="15.75" x14ac:dyDescent="0.25">
      <c r="B46" s="1666" t="s">
        <v>10507</v>
      </c>
      <c r="C46" s="1673" t="s">
        <v>10508</v>
      </c>
      <c r="D46" s="1668" t="s">
        <v>10615</v>
      </c>
      <c r="E46" s="1672"/>
      <c r="F46" s="1657">
        <f>'[6]Gastos de Operación'!F46+'[7]Gastos de Operación'!F46+'[8]Gastos de Operación'!F46+'[3]Gastos de Operación'!F46+'[9]Gastos de Operación'!F46+'[2]Gastos de Operación'!F46</f>
        <v>1578.3368891488631</v>
      </c>
      <c r="G46" s="1657">
        <f>'[6]Gastos de Operación'!G46+'[7]Gastos de Operación'!G46+'[8]Gastos de Operación'!G46+'[3]Gastos de Operación'!G46+'[9]Gastos de Operación'!G46+'[2]Gastos de Operación'!G46</f>
        <v>2000</v>
      </c>
      <c r="H46" s="1657">
        <f>'[6]Gastos de Operación'!H46+'[7]Gastos de Operación'!H46+'[8]Gastos de Operación'!H46+'[3]Gastos de Operación'!H46+'[9]Gastos de Operación'!H46+'[2]Gastos de Operación'!H46</f>
        <v>0</v>
      </c>
      <c r="I46" s="1657">
        <f>'[6]Gastos de Operación'!I46+'[7]Gastos de Operación'!I46+'[8]Gastos de Operación'!I46+'[3]Gastos de Operación'!I46+'[9]Gastos de Operación'!I46+'[2]Gastos de Operación'!I46</f>
        <v>0</v>
      </c>
      <c r="J46" s="1657">
        <f>'[6]Gastos de Operación'!J46+'[7]Gastos de Operación'!J46+'[8]Gastos de Operación'!J46+'[3]Gastos de Operación'!J46+'[9]Gastos de Operación'!J46+'[2]Gastos de Operación'!J46</f>
        <v>0</v>
      </c>
      <c r="K46" s="1657">
        <f>'[6]Gastos de Operación'!K46+'[7]Gastos de Operación'!K46+'[8]Gastos de Operación'!K46+'[3]Gastos de Operación'!K46+'[9]Gastos de Operación'!K46+'[2]Gastos de Operación'!K46</f>
        <v>0</v>
      </c>
      <c r="L46" s="1657">
        <f>'[6]Gastos de Operación'!L46+'[7]Gastos de Operación'!L46+'[8]Gastos de Operación'!L46+'[3]Gastos de Operación'!L46+'[9]Gastos de Operación'!L46+'[2]Gastos de Operación'!L46</f>
        <v>0</v>
      </c>
      <c r="M46" s="1657">
        <f>'[6]Gastos de Operación'!M46+'[7]Gastos de Operación'!M46+'[8]Gastos de Operación'!M46+'[3]Gastos de Operación'!M46+'[9]Gastos de Operación'!M46+'[2]Gastos de Operación'!M46</f>
        <v>0</v>
      </c>
      <c r="N46" s="1657">
        <f>'[6]Gastos de Operación'!N46+'[7]Gastos de Operación'!N46+'[8]Gastos de Operación'!N46+'[3]Gastos de Operación'!N46+'[9]Gastos de Operación'!N46+'[2]Gastos de Operación'!N46</f>
        <v>2000</v>
      </c>
      <c r="O46" s="1657">
        <f>'[6]Gastos de Operación'!O46+'[7]Gastos de Operación'!O46+'[8]Gastos de Operación'!O46+'[3]Gastos de Operación'!O46+'[9]Gastos de Operación'!O46+'[2]Gastos de Operación'!O46</f>
        <v>0</v>
      </c>
      <c r="P46" s="1657">
        <f>'[6]Gastos de Operación'!P46+'[7]Gastos de Operación'!P46+'[8]Gastos de Operación'!P46+'[3]Gastos de Operación'!P46+'[9]Gastos de Operación'!P46+'[2]Gastos de Operación'!P46</f>
        <v>0</v>
      </c>
      <c r="Q46" s="1657">
        <f>'[6]Gastos de Operación'!Q46+'[7]Gastos de Operación'!Q46+'[8]Gastos de Operación'!Q46+'[3]Gastos de Operación'!Q46+'[9]Gastos de Operación'!Q46+'[2]Gastos de Operación'!Q46</f>
        <v>0</v>
      </c>
      <c r="R46" s="1669">
        <f t="shared" si="0"/>
        <v>5578.3368891488626</v>
      </c>
    </row>
    <row r="47" spans="2:18" ht="15.75" x14ac:dyDescent="0.25">
      <c r="B47" s="1666"/>
      <c r="C47" s="1670" t="s">
        <v>10509</v>
      </c>
      <c r="D47" s="1668" t="s">
        <v>10616</v>
      </c>
      <c r="E47" s="1672"/>
      <c r="F47" s="1657">
        <f>'[6]Gastos de Operación'!F47+'[7]Gastos de Operación'!F47+'[8]Gastos de Operación'!F47+'[3]Gastos de Operación'!F47+'[9]Gastos de Operación'!F47+'[2]Gastos de Operación'!F47</f>
        <v>0</v>
      </c>
      <c r="G47" s="1657">
        <f>'[6]Gastos de Operación'!G47+'[7]Gastos de Operación'!G47+'[8]Gastos de Operación'!G47+'[3]Gastos de Operación'!G47+'[9]Gastos de Operación'!G47+'[2]Gastos de Operación'!G47</f>
        <v>0</v>
      </c>
      <c r="H47" s="1657">
        <f>'[6]Gastos de Operación'!H47+'[7]Gastos de Operación'!H47+'[8]Gastos de Operación'!H47+'[3]Gastos de Operación'!H47+'[9]Gastos de Operación'!H47+'[2]Gastos de Operación'!H47</f>
        <v>1818.1220845324679</v>
      </c>
      <c r="I47" s="1657">
        <f>'[6]Gastos de Operación'!I47+'[7]Gastos de Operación'!I47+'[8]Gastos de Operación'!I47+'[3]Gastos de Operación'!I47+'[9]Gastos de Operación'!I47+'[2]Gastos de Operación'!I47</f>
        <v>0</v>
      </c>
      <c r="J47" s="1657">
        <f>'[6]Gastos de Operación'!J47+'[7]Gastos de Operación'!J47+'[8]Gastos de Operación'!J47+'[3]Gastos de Operación'!J47+'[9]Gastos de Operación'!J47+'[2]Gastos de Operación'!J47</f>
        <v>0</v>
      </c>
      <c r="K47" s="1657">
        <f>'[6]Gastos de Operación'!K47+'[7]Gastos de Operación'!K47+'[8]Gastos de Operación'!K47+'[3]Gastos de Operación'!K47+'[9]Gastos de Operación'!K47+'[2]Gastos de Operación'!K47</f>
        <v>0</v>
      </c>
      <c r="L47" s="1657">
        <f>'[6]Gastos de Operación'!L47+'[7]Gastos de Operación'!L47+'[8]Gastos de Operación'!L47+'[3]Gastos de Operación'!L47+'[9]Gastos de Operación'!L47+'[2]Gastos de Operación'!L47</f>
        <v>0</v>
      </c>
      <c r="M47" s="1657">
        <f>'[6]Gastos de Operación'!M47+'[7]Gastos de Operación'!M47+'[8]Gastos de Operación'!M47+'[3]Gastos de Operación'!M47+'[9]Gastos de Operación'!M47+'[2]Gastos de Operación'!M47</f>
        <v>0</v>
      </c>
      <c r="N47" s="1657">
        <f>'[6]Gastos de Operación'!N47+'[7]Gastos de Operación'!N47+'[8]Gastos de Operación'!N47+'[3]Gastos de Operación'!N47+'[9]Gastos de Operación'!N47+'[2]Gastos de Operación'!N47</f>
        <v>0</v>
      </c>
      <c r="O47" s="1657">
        <f>'[6]Gastos de Operación'!O47+'[7]Gastos de Operación'!O47+'[8]Gastos de Operación'!O47+'[3]Gastos de Operación'!O47+'[9]Gastos de Operación'!O47+'[2]Gastos de Operación'!O47</f>
        <v>0</v>
      </c>
      <c r="P47" s="1657">
        <f>'[6]Gastos de Operación'!P47+'[7]Gastos de Operación'!P47+'[8]Gastos de Operación'!P47+'[3]Gastos de Operación'!P47+'[9]Gastos de Operación'!P47+'[2]Gastos de Operación'!P47</f>
        <v>0</v>
      </c>
      <c r="Q47" s="1657">
        <f>'[6]Gastos de Operación'!Q47+'[7]Gastos de Operación'!Q47+'[8]Gastos de Operación'!Q47+'[3]Gastos de Operación'!Q47+'[9]Gastos de Operación'!Q47+'[2]Gastos de Operación'!Q47</f>
        <v>0</v>
      </c>
      <c r="R47" s="1669">
        <f t="shared" si="0"/>
        <v>1818.1220845324679</v>
      </c>
    </row>
    <row r="48" spans="2:18" ht="15.75" x14ac:dyDescent="0.25">
      <c r="B48" s="1666"/>
      <c r="C48" s="1671" t="s">
        <v>10510</v>
      </c>
      <c r="D48" s="1668" t="s">
        <v>10617</v>
      </c>
      <c r="E48" s="1672"/>
      <c r="F48" s="1657">
        <f>'[6]Gastos de Operación'!F48+'[7]Gastos de Operación'!F48+'[8]Gastos de Operación'!F48+'[3]Gastos de Operación'!F48+'[9]Gastos de Operación'!F48+'[2]Gastos de Operación'!F48</f>
        <v>7270.4667496207812</v>
      </c>
      <c r="G48" s="1657">
        <f>'[6]Gastos de Operación'!G48+'[7]Gastos de Operación'!G48+'[8]Gastos de Operación'!G48+'[3]Gastos de Operación'!G48+'[9]Gastos de Operación'!G48+'[2]Gastos de Operación'!G48</f>
        <v>7231.147871453607</v>
      </c>
      <c r="H48" s="1657">
        <f>'[6]Gastos de Operación'!H48+'[7]Gastos de Operación'!H48+'[8]Gastos de Operación'!H48+'[3]Gastos de Operación'!H48+'[9]Gastos de Operación'!H48+'[2]Gastos de Operación'!H48</f>
        <v>9270.3197947577282</v>
      </c>
      <c r="I48" s="1657">
        <f>'[6]Gastos de Operación'!I48+'[7]Gastos de Operación'!I48+'[8]Gastos de Operación'!I48+'[3]Gastos de Operación'!I48+'[9]Gastos de Operación'!I48+'[2]Gastos de Operación'!I48</f>
        <v>7640.3340913067677</v>
      </c>
      <c r="J48" s="1657">
        <f>'[6]Gastos de Operación'!J48+'[7]Gastos de Operación'!J48+'[8]Gastos de Operación'!J48+'[3]Gastos de Operación'!J48+'[9]Gastos de Operación'!J48+'[2]Gastos de Operación'!J48</f>
        <v>16061.239013387234</v>
      </c>
      <c r="K48" s="1657">
        <f>'[6]Gastos de Operación'!K48+'[7]Gastos de Operación'!K48+'[8]Gastos de Operación'!K48+'[3]Gastos de Operación'!K48+'[9]Gastos de Operación'!K48+'[2]Gastos de Operación'!K48</f>
        <v>16992.27379960661</v>
      </c>
      <c r="L48" s="1657">
        <f>'[6]Gastos de Operación'!L48+'[7]Gastos de Operación'!L48+'[8]Gastos de Operación'!L48+'[3]Gastos de Operación'!L48+'[9]Gastos de Operación'!L48+'[2]Gastos de Operación'!L48</f>
        <v>9839.8366329016299</v>
      </c>
      <c r="M48" s="1657">
        <f>'[6]Gastos de Operación'!M48+'[7]Gastos de Operación'!M48+'[8]Gastos de Operación'!M48+'[3]Gastos de Operación'!M48+'[9]Gastos de Operación'!M48+'[2]Gastos de Operación'!M48</f>
        <v>16930.204876524971</v>
      </c>
      <c r="N48" s="1657">
        <f>'[6]Gastos de Operación'!N48+'[7]Gastos de Operación'!N48+'[8]Gastos de Operación'!N48+'[3]Gastos de Operación'!N48+'[9]Gastos de Operación'!N48+'[2]Gastos de Operación'!N48</f>
        <v>8006.4110991224288</v>
      </c>
      <c r="O48" s="1657">
        <f>'[6]Gastos de Operación'!O48+'[7]Gastos de Operación'!O48+'[8]Gastos de Operación'!O48+'[3]Gastos de Operación'!O48+'[9]Gastos de Operación'!O48+'[2]Gastos de Operación'!O48</f>
        <v>7705.0770653876298</v>
      </c>
      <c r="P48" s="1657">
        <f>'[6]Gastos de Operación'!P48+'[7]Gastos de Operación'!P48+'[8]Gastos de Operación'!P48+'[3]Gastos de Operación'!P48+'[9]Gastos de Operación'!P48+'[2]Gastos de Operación'!P48</f>
        <v>9988.8388740771898</v>
      </c>
      <c r="Q48" s="1657">
        <f>'[6]Gastos de Operación'!Q48+'[7]Gastos de Operación'!Q48+'[8]Gastos de Operación'!Q48+'[3]Gastos de Operación'!Q48+'[9]Gastos de Operación'!Q48+'[2]Gastos de Operación'!Q48</f>
        <v>7833.4488060011327</v>
      </c>
      <c r="R48" s="1669">
        <f t="shared" si="0"/>
        <v>124769.59867414771</v>
      </c>
    </row>
    <row r="49" spans="2:20" ht="15.75" x14ac:dyDescent="0.25">
      <c r="B49" s="1711" t="s">
        <v>10511</v>
      </c>
      <c r="C49" s="1671" t="s">
        <v>10512</v>
      </c>
      <c r="D49" s="1668" t="s">
        <v>10618</v>
      </c>
      <c r="E49" s="1672"/>
      <c r="F49" s="1657">
        <f>'[6]Gastos de Operación'!F49+'[7]Gastos de Operación'!F49+'[8]Gastos de Operación'!F49+'[3]Gastos de Operación'!F49+'[9]Gastos de Operación'!F49+'[2]Gastos de Operación'!F49</f>
        <v>20231.528069393382</v>
      </c>
      <c r="G49" s="1657">
        <f>'[6]Gastos de Operación'!G49+'[7]Gastos de Operación'!G49+'[8]Gastos de Operación'!G49+'[3]Gastos de Operación'!G49+'[9]Gastos de Operación'!G49+'[2]Gastos de Operación'!G49</f>
        <v>20946.28682163922</v>
      </c>
      <c r="H49" s="1657">
        <f>'[6]Gastos de Operación'!H49+'[7]Gastos de Operación'!H49+'[8]Gastos de Operación'!H49+'[3]Gastos de Operación'!H49+'[9]Gastos de Operación'!H49+'[2]Gastos de Operación'!H49</f>
        <v>11298.770406189984</v>
      </c>
      <c r="I49" s="1657">
        <f>'[6]Gastos de Operación'!I49+'[7]Gastos de Operación'!I49+'[8]Gastos de Operación'!I49+'[3]Gastos de Operación'!I49+'[9]Gastos de Operación'!I49+'[2]Gastos de Operación'!I49</f>
        <v>11469.014656507317</v>
      </c>
      <c r="J49" s="1657">
        <f>'[6]Gastos de Operación'!J49+'[7]Gastos de Operación'!J49+'[8]Gastos de Operación'!J49+'[3]Gastos de Operación'!J49+'[9]Gastos de Operación'!J49+'[2]Gastos de Operación'!J49</f>
        <v>21907.892191732833</v>
      </c>
      <c r="K49" s="1657">
        <f>'[6]Gastos de Operación'!K49+'[7]Gastos de Operación'!K49+'[8]Gastos de Operación'!K49+'[3]Gastos de Operación'!K49+'[9]Gastos de Operación'!K49+'[2]Gastos de Operación'!K49</f>
        <v>21873.08655708894</v>
      </c>
      <c r="L49" s="1657">
        <f>'[6]Gastos de Operación'!L49+'[7]Gastos de Operación'!L49+'[8]Gastos de Operación'!L49+'[3]Gastos de Operación'!L49+'[9]Gastos de Operación'!L49+'[2]Gastos de Operación'!L49</f>
        <v>12151.29836009031</v>
      </c>
      <c r="M49" s="1657">
        <f>'[6]Gastos de Operación'!M49+'[7]Gastos de Operación'!M49+'[8]Gastos de Operación'!M49+'[3]Gastos de Operación'!M49+'[9]Gastos de Operación'!M49+'[2]Gastos de Operación'!M49</f>
        <v>12141.80482768623</v>
      </c>
      <c r="N49" s="1657">
        <f>'[6]Gastos de Operación'!N49+'[7]Gastos de Operación'!N49+'[8]Gastos de Operación'!N49+'[3]Gastos de Operación'!N49+'[9]Gastos de Operación'!N49+'[2]Gastos de Operación'!N49</f>
        <v>22252.683161858971</v>
      </c>
      <c r="O49" s="1657">
        <f>'[6]Gastos de Operación'!O49+'[7]Gastos de Operación'!O49+'[8]Gastos de Operación'!O49+'[3]Gastos de Operación'!O49+'[9]Gastos de Operación'!O49+'[2]Gastos de Operación'!O49</f>
        <v>21574.00579382111</v>
      </c>
      <c r="P49" s="1657">
        <f>'[6]Gastos de Operación'!P49+'[7]Gastos de Operación'!P49+'[8]Gastos de Operación'!P49+'[3]Gastos de Operación'!P49+'[9]Gastos de Operación'!P49+'[2]Gastos de Operación'!P49</f>
        <v>12038.083438832795</v>
      </c>
      <c r="Q49" s="1657">
        <f>'[6]Gastos de Operación'!Q49+'[7]Gastos de Operación'!Q49+'[8]Gastos de Operación'!Q49+'[3]Gastos de Operación'!Q49+'[9]Gastos de Operación'!Q49+'[2]Gastos de Operación'!Q49</f>
        <v>12176.113510466641</v>
      </c>
      <c r="R49" s="1669">
        <f t="shared" si="0"/>
        <v>200060.56779530775</v>
      </c>
    </row>
    <row r="50" spans="2:20" ht="15.75" x14ac:dyDescent="0.25">
      <c r="B50" s="1711" t="s">
        <v>10513</v>
      </c>
      <c r="C50" s="1671" t="s">
        <v>10514</v>
      </c>
      <c r="D50" s="1668" t="s">
        <v>10619</v>
      </c>
      <c r="E50" s="1672"/>
      <c r="F50" s="1657">
        <f>'[6]Gastos de Operación'!F50+'[7]Gastos de Operación'!F50+'[8]Gastos de Operación'!F50+'[3]Gastos de Operación'!F50+'[9]Gastos de Operación'!F50+'[2]Gastos de Operación'!F50</f>
        <v>26267.842394762236</v>
      </c>
      <c r="G50" s="1657">
        <f>'[6]Gastos de Operación'!G50+'[7]Gastos de Operación'!G50+'[8]Gastos de Operación'!G50+'[3]Gastos de Operación'!G50+'[9]Gastos de Operación'!G50+'[2]Gastos de Operación'!G50</f>
        <v>26364.251647511843</v>
      </c>
      <c r="H50" s="1657">
        <f>'[6]Gastos de Operación'!H50+'[7]Gastos de Operación'!H50+'[8]Gastos de Operación'!H50+'[3]Gastos de Operación'!H50+'[9]Gastos de Operación'!H50+'[2]Gastos de Operación'!H50</f>
        <v>26361.651117506495</v>
      </c>
      <c r="I50" s="1657">
        <f>'[6]Gastos de Operación'!I50+'[7]Gastos de Operación'!I50+'[8]Gastos de Operación'!I50+'[3]Gastos de Operación'!I50+'[9]Gastos de Operación'!I50+'[2]Gastos de Operación'!I50</f>
        <v>26327.436302294518</v>
      </c>
      <c r="J50" s="1657">
        <f>'[6]Gastos de Operación'!J50+'[7]Gastos de Operación'!J50+'[8]Gastos de Operación'!J50+'[3]Gastos de Operación'!J50+'[9]Gastos de Operación'!J50+'[2]Gastos de Operación'!J50</f>
        <v>26441.707598763838</v>
      </c>
      <c r="K50" s="1657">
        <f>'[6]Gastos de Operación'!K50+'[7]Gastos de Operación'!K50+'[8]Gastos de Operación'!K50+'[3]Gastos de Operación'!K50+'[9]Gastos de Operación'!K50+'[2]Gastos de Operación'!K50</f>
        <v>26488.643779434671</v>
      </c>
      <c r="L50" s="1657">
        <f>'[6]Gastos de Operación'!L50+'[7]Gastos de Operación'!L50+'[8]Gastos de Operación'!L50+'[3]Gastos de Operación'!L50+'[9]Gastos de Operación'!L50+'[2]Gastos de Operación'!L50</f>
        <v>26421.565839067371</v>
      </c>
      <c r="M50" s="1657">
        <f>'[6]Gastos de Operación'!M50+'[7]Gastos de Operación'!M50+'[8]Gastos de Operación'!M50+'[3]Gastos de Operación'!M50+'[9]Gastos de Operación'!M50+'[2]Gastos de Operación'!M50</f>
        <v>26508.971505788431</v>
      </c>
      <c r="N50" s="1657">
        <f>'[6]Gastos de Operación'!N50+'[7]Gastos de Operación'!N50+'[8]Gastos de Operación'!N50+'[3]Gastos de Operación'!N50+'[9]Gastos de Operación'!N50+'[2]Gastos de Operación'!N50</f>
        <v>26767.880737877909</v>
      </c>
      <c r="O50" s="1657">
        <f>'[6]Gastos de Operación'!O50+'[7]Gastos de Operación'!O50+'[8]Gastos de Operación'!O50+'[3]Gastos de Operación'!O50+'[9]Gastos de Operación'!O50+'[2]Gastos de Operación'!O50</f>
        <v>26422.925072360122</v>
      </c>
      <c r="P50" s="1657">
        <f>'[6]Gastos de Operación'!P50+'[7]Gastos de Operación'!P50+'[8]Gastos de Operación'!P50+'[3]Gastos de Operación'!P50+'[9]Gastos de Operación'!P50+'[2]Gastos de Operación'!P50</f>
        <v>26649.540706405132</v>
      </c>
      <c r="Q50" s="1657">
        <f>'[6]Gastos de Operación'!Q50+'[7]Gastos de Operación'!Q50+'[8]Gastos de Operación'!Q50+'[3]Gastos de Operación'!Q50+'[9]Gastos de Operación'!Q50+'[2]Gastos de Operación'!Q50</f>
        <v>26704.540706405132</v>
      </c>
      <c r="R50" s="1669">
        <f t="shared" si="0"/>
        <v>317726.95740817772</v>
      </c>
    </row>
    <row r="51" spans="2:20" ht="15.75" x14ac:dyDescent="0.25">
      <c r="B51" s="1711"/>
      <c r="C51" s="1671"/>
      <c r="D51" s="1668"/>
      <c r="E51" s="1672"/>
      <c r="F51" s="1657"/>
      <c r="G51" s="1657"/>
      <c r="H51" s="1657"/>
      <c r="I51" s="1657"/>
      <c r="J51" s="1657"/>
      <c r="K51" s="1657"/>
      <c r="L51" s="1657"/>
      <c r="M51" s="1657"/>
      <c r="N51" s="1657"/>
      <c r="O51" s="1657"/>
      <c r="P51" s="1657"/>
      <c r="Q51" s="1657"/>
      <c r="R51" s="1669">
        <f t="shared" si="0"/>
        <v>0</v>
      </c>
    </row>
    <row r="52" spans="2:20" ht="15.75" x14ac:dyDescent="0.25">
      <c r="B52" s="1712"/>
      <c r="C52" s="1674"/>
      <c r="D52" s="1675"/>
      <c r="E52" s="1672"/>
      <c r="F52" s="1658"/>
      <c r="G52" s="1658"/>
      <c r="H52" s="1658"/>
      <c r="I52" s="1658"/>
      <c r="J52" s="1658"/>
      <c r="K52" s="1658"/>
      <c r="L52" s="1658"/>
      <c r="M52" s="1658"/>
      <c r="N52" s="1658"/>
      <c r="O52" s="1658"/>
      <c r="P52" s="1658"/>
      <c r="Q52" s="1658"/>
      <c r="R52" s="1669"/>
    </row>
    <row r="53" spans="2:20" ht="15.75" x14ac:dyDescent="0.25">
      <c r="B53" s="1676"/>
      <c r="C53" s="1657"/>
      <c r="D53" s="1657"/>
      <c r="E53" s="1657"/>
      <c r="F53" s="1658"/>
      <c r="G53" s="1658"/>
      <c r="H53" s="1658"/>
      <c r="I53" s="1658"/>
      <c r="J53" s="1658"/>
      <c r="K53" s="1658"/>
      <c r="L53" s="1658"/>
      <c r="M53" s="1658"/>
      <c r="N53" s="1658"/>
      <c r="O53" s="1658"/>
      <c r="P53" s="1658"/>
      <c r="Q53" s="1658"/>
      <c r="R53" s="1669"/>
    </row>
    <row r="54" spans="2:20" ht="15.75" x14ac:dyDescent="0.25">
      <c r="B54" s="1661" t="s">
        <v>10515</v>
      </c>
      <c r="C54" s="1662"/>
      <c r="D54" s="1662"/>
      <c r="E54" s="1677">
        <f>+SUM(E36:E53)</f>
        <v>0</v>
      </c>
      <c r="F54" s="1678">
        <f>SUM(F21:F52)</f>
        <v>2689703.6334073306</v>
      </c>
      <c r="G54" s="1678">
        <f t="shared" ref="G54:Q54" si="1">SUM(G21:G52)</f>
        <v>2808652.6421076735</v>
      </c>
      <c r="H54" s="1678">
        <f t="shared" si="1"/>
        <v>2853699.0830456894</v>
      </c>
      <c r="I54" s="1678">
        <f t="shared" si="1"/>
        <v>3047014.1244841134</v>
      </c>
      <c r="J54" s="1678">
        <f t="shared" si="1"/>
        <v>3133513.7481935448</v>
      </c>
      <c r="K54" s="1678">
        <f t="shared" si="1"/>
        <v>3093970.3040253362</v>
      </c>
      <c r="L54" s="1678">
        <f t="shared" si="1"/>
        <v>3191253.881299655</v>
      </c>
      <c r="M54" s="1678">
        <f t="shared" si="1"/>
        <v>3161611.234662829</v>
      </c>
      <c r="N54" s="1678">
        <f t="shared" si="1"/>
        <v>3034573.439909345</v>
      </c>
      <c r="O54" s="1678">
        <f t="shared" si="1"/>
        <v>3346787.3443617593</v>
      </c>
      <c r="P54" s="1678">
        <f t="shared" si="1"/>
        <v>3152146.7825808013</v>
      </c>
      <c r="Q54" s="1678">
        <f t="shared" si="1"/>
        <v>3184564.7037765938</v>
      </c>
      <c r="R54" s="1679">
        <f>SUM(R21:R52)</f>
        <v>36697490.921854667</v>
      </c>
      <c r="S54" s="1713"/>
      <c r="T54" s="1412"/>
    </row>
    <row r="55" spans="2:20" ht="15" x14ac:dyDescent="0.2">
      <c r="B55" s="1676"/>
      <c r="C55" s="1657"/>
      <c r="D55" s="1657"/>
      <c r="E55" s="1657"/>
      <c r="F55" s="1657"/>
      <c r="G55" s="1657"/>
      <c r="H55" s="1657"/>
      <c r="I55" s="1657"/>
      <c r="J55" s="1657"/>
      <c r="K55" s="1657"/>
      <c r="L55" s="1657"/>
      <c r="M55" s="1657"/>
      <c r="N55" s="1657"/>
      <c r="O55" s="1657"/>
      <c r="P55" s="1657"/>
      <c r="Q55" s="1657"/>
      <c r="R55" s="1663"/>
    </row>
    <row r="56" spans="2:20" ht="15.75" x14ac:dyDescent="0.25">
      <c r="B56" s="1661" t="s">
        <v>10516</v>
      </c>
      <c r="C56" s="1662"/>
      <c r="D56" s="1662"/>
      <c r="E56" s="1662"/>
      <c r="F56" s="1657"/>
      <c r="G56" s="1657"/>
      <c r="H56" s="1657"/>
      <c r="I56" s="1657"/>
      <c r="J56" s="1657"/>
      <c r="K56" s="1657"/>
      <c r="L56" s="1657"/>
      <c r="M56" s="1657"/>
      <c r="N56" s="1657"/>
      <c r="O56" s="1657"/>
      <c r="P56" s="1657"/>
      <c r="Q56" s="1657"/>
      <c r="R56" s="1663"/>
    </row>
    <row r="57" spans="2:20" ht="15.75" x14ac:dyDescent="0.25">
      <c r="B57" s="1676"/>
      <c r="C57" s="1657"/>
      <c r="D57" s="1657"/>
      <c r="E57" s="1657"/>
      <c r="F57" s="1658"/>
      <c r="G57" s="1658"/>
      <c r="H57" s="1658"/>
      <c r="I57" s="1658"/>
      <c r="J57" s="1658"/>
      <c r="K57" s="1658"/>
      <c r="L57" s="1658"/>
      <c r="M57" s="1658"/>
      <c r="N57" s="1658"/>
      <c r="O57" s="1658"/>
      <c r="P57" s="1658"/>
      <c r="Q57" s="1658"/>
      <c r="R57" s="1669">
        <f>SUM(F57:Q57)</f>
        <v>0</v>
      </c>
    </row>
    <row r="58" spans="2:20" ht="15.75" x14ac:dyDescent="0.25">
      <c r="B58" s="1676" t="s">
        <v>10517</v>
      </c>
      <c r="C58" s="1657"/>
      <c r="D58" s="1657"/>
      <c r="E58" s="1657"/>
      <c r="F58" s="1657">
        <f>'[6]Gastos de Operación'!F58+'[7]Gastos de Operación'!F58+'[8]Gastos de Operación'!F58+'[3]Gastos de Operación'!F58+'[9]Gastos de Operación'!F58+'[2]Gastos de Operación'!F58</f>
        <v>345830.36</v>
      </c>
      <c r="G58" s="1657">
        <f>'[6]Gastos de Operación'!G58+'[7]Gastos de Operación'!G58+'[8]Gastos de Operación'!G58+'[3]Gastos de Operación'!G58+'[9]Gastos de Operación'!G58+'[2]Gastos de Operación'!G58</f>
        <v>345830.36</v>
      </c>
      <c r="H58" s="1657">
        <f>'[6]Gastos de Operación'!H58+'[7]Gastos de Operación'!H58+'[8]Gastos de Operación'!H58+'[3]Gastos de Operación'!H58+'[9]Gastos de Operación'!H58+'[2]Gastos de Operación'!H58</f>
        <v>345830.36</v>
      </c>
      <c r="I58" s="1657">
        <f>'[6]Gastos de Operación'!I58+'[7]Gastos de Operación'!I58+'[8]Gastos de Operación'!I58+'[3]Gastos de Operación'!I58+'[9]Gastos de Operación'!I58+'[2]Gastos de Operación'!I58</f>
        <v>345830.36</v>
      </c>
      <c r="J58" s="1657">
        <f>'[6]Gastos de Operación'!J58+'[7]Gastos de Operación'!J58+'[8]Gastos de Operación'!J58+'[3]Gastos de Operación'!J58+'[9]Gastos de Operación'!J58+'[2]Gastos de Operación'!J58</f>
        <v>345830.36</v>
      </c>
      <c r="K58" s="1657">
        <f>'[6]Gastos de Operación'!K58+'[7]Gastos de Operación'!K58+'[8]Gastos de Operación'!K58+'[3]Gastos de Operación'!K58+'[9]Gastos de Operación'!K58+'[2]Gastos de Operación'!K58</f>
        <v>345830.36</v>
      </c>
      <c r="L58" s="1657">
        <f>'[6]Gastos de Operación'!L58+'[7]Gastos de Operación'!L58+'[8]Gastos de Operación'!L58+'[3]Gastos de Operación'!L58+'[9]Gastos de Operación'!L58+'[2]Gastos de Operación'!L58</f>
        <v>345830.36</v>
      </c>
      <c r="M58" s="1657">
        <f>'[6]Gastos de Operación'!M58+'[7]Gastos de Operación'!M58+'[8]Gastos de Operación'!M58+'[3]Gastos de Operación'!M58+'[9]Gastos de Operación'!M58+'[2]Gastos de Operación'!M58</f>
        <v>345830.36</v>
      </c>
      <c r="N58" s="1657">
        <f>'[6]Gastos de Operación'!N58+'[7]Gastos de Operación'!N58+'[8]Gastos de Operación'!N58+'[3]Gastos de Operación'!N58+'[9]Gastos de Operación'!N58+'[2]Gastos de Operación'!N58</f>
        <v>345830.36</v>
      </c>
      <c r="O58" s="1657">
        <f>'[6]Gastos de Operación'!O58+'[7]Gastos de Operación'!O58+'[8]Gastos de Operación'!O58+'[3]Gastos de Operación'!O58+'[9]Gastos de Operación'!O58+'[2]Gastos de Operación'!O58</f>
        <v>345830.36</v>
      </c>
      <c r="P58" s="1657">
        <f>'[6]Gastos de Operación'!P58+'[7]Gastos de Operación'!P58+'[8]Gastos de Operación'!P58+'[3]Gastos de Operación'!P58+'[9]Gastos de Operación'!P58+'[2]Gastos de Operación'!P58</f>
        <v>345830.36</v>
      </c>
      <c r="Q58" s="1657">
        <f>'[6]Gastos de Operación'!Q58+'[7]Gastos de Operación'!Q58+'[8]Gastos de Operación'!Q58+'[3]Gastos de Operación'!Q58+'[9]Gastos de Operación'!Q58+'[2]Gastos de Operación'!Q58</f>
        <v>345830.36</v>
      </c>
      <c r="R58" s="1669">
        <f t="shared" ref="R58:R75" si="2">SUM(F58:Q58)</f>
        <v>4149964.3199999989</v>
      </c>
    </row>
    <row r="59" spans="2:20" ht="15.75" x14ac:dyDescent="0.25">
      <c r="B59" s="1676"/>
      <c r="C59" s="1670" t="s">
        <v>10518</v>
      </c>
      <c r="D59" s="1668" t="s">
        <v>10601</v>
      </c>
      <c r="E59" s="1657"/>
      <c r="F59" s="1657">
        <f>'[6]Gastos de Operación'!F59+'[7]Gastos de Operación'!F59+'[8]Gastos de Operación'!F59+'[3]Gastos de Operación'!F59+'[9]Gastos de Operación'!F59+'[2]Gastos de Operación'!F59</f>
        <v>439055.46638141992</v>
      </c>
      <c r="G59" s="1657">
        <f>'[6]Gastos de Operación'!G59+'[7]Gastos de Operación'!G59+'[8]Gastos de Operación'!G59+'[3]Gastos de Operación'!G59+'[9]Gastos de Operación'!G59+'[2]Gastos de Operación'!G59</f>
        <v>437082.69712243497</v>
      </c>
      <c r="H59" s="1657">
        <f>'[6]Gastos de Operación'!H59+'[7]Gastos de Operación'!H59+'[8]Gastos de Operación'!H59+'[3]Gastos de Operación'!H59+'[9]Gastos de Operación'!H59+'[2]Gastos de Operación'!H59</f>
        <v>445115.21630341327</v>
      </c>
      <c r="I59" s="1657">
        <f>'[6]Gastos de Operación'!I59+'[7]Gastos de Operación'!I59+'[8]Gastos de Operación'!I59+'[3]Gastos de Operación'!I59+'[9]Gastos de Operación'!I59+'[2]Gastos de Operación'!I59</f>
        <v>449795.24436611158</v>
      </c>
      <c r="J59" s="1657">
        <f>'[6]Gastos de Operación'!J59+'[7]Gastos de Operación'!J59+'[8]Gastos de Operación'!J59+'[3]Gastos de Operación'!J59+'[9]Gastos de Operación'!J59+'[2]Gastos de Operación'!J59</f>
        <v>446632.16556266078</v>
      </c>
      <c r="K59" s="1657">
        <f>'[6]Gastos de Operación'!K59+'[7]Gastos de Operación'!K59+'[8]Gastos de Operación'!K59+'[3]Gastos de Operación'!K59+'[9]Gastos de Operación'!K59+'[2]Gastos de Operación'!K59</f>
        <v>447045.63287693181</v>
      </c>
      <c r="L59" s="1657">
        <f>'[6]Gastos de Operación'!L59+'[7]Gastos de Operación'!L59+'[8]Gastos de Operación'!L59+'[3]Gastos de Operación'!L59+'[9]Gastos de Operación'!L59+'[2]Gastos de Operación'!L59</f>
        <v>453899.65292815387</v>
      </c>
      <c r="M59" s="1657">
        <f>'[6]Gastos de Operación'!M59+'[7]Gastos de Operación'!M59+'[8]Gastos de Operación'!M59+'[3]Gastos de Operación'!M59+'[9]Gastos de Operación'!M59+'[2]Gastos de Operación'!M59</f>
        <v>451974.58273238863</v>
      </c>
      <c r="N59" s="1657">
        <f>'[6]Gastos de Operación'!N59+'[7]Gastos de Operación'!N59+'[8]Gastos de Operación'!N59+'[3]Gastos de Operación'!N59+'[9]Gastos de Operación'!N59+'[2]Gastos de Operación'!N59</f>
        <v>441488.87097886275</v>
      </c>
      <c r="O59" s="1657">
        <f>'[6]Gastos de Operación'!O59+'[7]Gastos de Operación'!O59+'[8]Gastos de Operación'!O59+'[3]Gastos de Operación'!O59+'[9]Gastos de Operación'!O59+'[2]Gastos de Operación'!O59</f>
        <v>464998.99690762209</v>
      </c>
      <c r="P59" s="1657">
        <f>'[6]Gastos de Operación'!P59+'[7]Gastos de Operación'!P59+'[8]Gastos de Operación'!P59+'[3]Gastos de Operación'!P59+'[9]Gastos de Operación'!P59+'[2]Gastos de Operación'!P59</f>
        <v>453420.24067381507</v>
      </c>
      <c r="Q59" s="1657">
        <f>'[6]Gastos de Operación'!Q59+'[7]Gastos de Operación'!Q59+'[8]Gastos de Operación'!Q59+'[3]Gastos de Operación'!Q59+'[9]Gastos de Operación'!Q59+'[2]Gastos de Operación'!Q59</f>
        <v>453409.25112277706</v>
      </c>
      <c r="R59" s="1669">
        <f t="shared" si="2"/>
        <v>5383918.0179565921</v>
      </c>
    </row>
    <row r="60" spans="2:20" ht="15.75" x14ac:dyDescent="0.25">
      <c r="B60" s="1676" t="s">
        <v>10519</v>
      </c>
      <c r="C60" s="1671" t="s">
        <v>10520</v>
      </c>
      <c r="D60" s="1668" t="s">
        <v>10620</v>
      </c>
      <c r="E60" s="1657"/>
      <c r="F60" s="1657">
        <f>'[6]Gastos de Operación'!F60+'[7]Gastos de Operación'!F60+'[8]Gastos de Operación'!F60+'[3]Gastos de Operación'!F60+'[9]Gastos de Operación'!F60+'[2]Gastos de Operación'!F60</f>
        <v>8914</v>
      </c>
      <c r="G60" s="1657">
        <f>'[6]Gastos de Operación'!G60+'[7]Gastos de Operación'!G60+'[8]Gastos de Operación'!G60+'[3]Gastos de Operación'!G60+'[9]Gastos de Operación'!G60+'[2]Gastos de Operación'!G60</f>
        <v>3098.9999999999995</v>
      </c>
      <c r="H60" s="1657">
        <f>'[6]Gastos de Operación'!H60+'[7]Gastos de Operación'!H60+'[8]Gastos de Operación'!H60+'[3]Gastos de Operación'!H60+'[9]Gastos de Operación'!H60+'[2]Gastos de Operación'!H60</f>
        <v>3098.9999999999995</v>
      </c>
      <c r="I60" s="1657">
        <f>'[6]Gastos de Operación'!I60+'[7]Gastos de Operación'!I60+'[8]Gastos de Operación'!I60+'[3]Gastos de Operación'!I60+'[9]Gastos de Operación'!I60+'[2]Gastos de Operación'!I60</f>
        <v>6674</v>
      </c>
      <c r="J60" s="1657">
        <f>'[6]Gastos de Operación'!J60+'[7]Gastos de Operación'!J60+'[8]Gastos de Operación'!J60+'[3]Gastos de Operación'!J60+'[9]Gastos de Operación'!J60+'[2]Gastos de Operación'!J60</f>
        <v>11839</v>
      </c>
      <c r="K60" s="1657">
        <f>'[6]Gastos de Operación'!K60+'[7]Gastos de Operación'!K60+'[8]Gastos de Operación'!K60+'[3]Gastos de Operación'!K60+'[9]Gastos de Operación'!K60+'[2]Gastos de Operación'!K60</f>
        <v>8264</v>
      </c>
      <c r="L60" s="1657">
        <f>'[6]Gastos de Operación'!L60+'[7]Gastos de Operación'!L60+'[8]Gastos de Operación'!L60+'[3]Gastos de Operación'!L60+'[9]Gastos de Operación'!L60+'[2]Gastos de Operación'!L60</f>
        <v>3098.9999999999995</v>
      </c>
      <c r="M60" s="1657">
        <f>'[6]Gastos de Operación'!M60+'[7]Gastos de Operación'!M60+'[8]Gastos de Operación'!M60+'[3]Gastos de Operación'!M60+'[9]Gastos de Operación'!M60+'[2]Gastos de Operación'!M60</f>
        <v>15399</v>
      </c>
      <c r="N60" s="1657">
        <f>'[6]Gastos de Operación'!N60+'[7]Gastos de Operación'!N60+'[8]Gastos de Operación'!N60+'[3]Gastos de Operación'!N60+'[9]Gastos de Operación'!N60+'[2]Gastos de Operación'!N60</f>
        <v>8264</v>
      </c>
      <c r="O60" s="1657">
        <f>'[6]Gastos de Operación'!O60+'[7]Gastos de Operación'!O60+'[8]Gastos de Operación'!O60+'[3]Gastos de Operación'!O60+'[9]Gastos de Operación'!O60+'[2]Gastos de Operación'!O60</f>
        <v>3098.9999999999995</v>
      </c>
      <c r="P60" s="1657">
        <f>'[6]Gastos de Operación'!P60+'[7]Gastos de Operación'!P60+'[8]Gastos de Operación'!P60+'[3]Gastos de Operación'!P60+'[9]Gastos de Operación'!P60+'[2]Gastos de Operación'!P60</f>
        <v>15219</v>
      </c>
      <c r="Q60" s="1657">
        <f>'[6]Gastos de Operación'!Q60+'[7]Gastos de Operación'!Q60+'[8]Gastos de Operación'!Q60+'[3]Gastos de Operación'!Q60+'[9]Gastos de Operación'!Q60+'[2]Gastos de Operación'!Q60</f>
        <v>11839</v>
      </c>
      <c r="R60" s="1669">
        <f t="shared" si="2"/>
        <v>98808</v>
      </c>
    </row>
    <row r="61" spans="2:20" ht="15.75" x14ac:dyDescent="0.25">
      <c r="B61" s="1676" t="s">
        <v>10521</v>
      </c>
      <c r="C61" s="1671" t="s">
        <v>10522</v>
      </c>
      <c r="D61" s="1668" t="s">
        <v>10621</v>
      </c>
      <c r="E61" s="1657"/>
      <c r="F61" s="1657">
        <f>'[6]Gastos de Operación'!F61+'[7]Gastos de Operación'!F61+'[8]Gastos de Operación'!F61+'[3]Gastos de Operación'!F61+'[9]Gastos de Operación'!F61+'[2]Gastos de Operación'!F61</f>
        <v>3866.3333333333335</v>
      </c>
      <c r="G61" s="1657">
        <f>'[6]Gastos de Operación'!G61+'[7]Gastos de Operación'!G61+'[8]Gastos de Operación'!G61+'[3]Gastos de Operación'!G61+'[9]Gastos de Operación'!G61+'[2]Gastos de Operación'!G61</f>
        <v>3867.1666666666665</v>
      </c>
      <c r="H61" s="1657">
        <f>'[6]Gastos de Operación'!H61+'[7]Gastos de Operación'!H61+'[8]Gastos de Operación'!H61+'[3]Gastos de Operación'!H61+'[9]Gastos de Operación'!H61+'[2]Gastos de Operación'!H61</f>
        <v>3868</v>
      </c>
      <c r="I61" s="1657">
        <f>'[6]Gastos de Operación'!I61+'[7]Gastos de Operación'!I61+'[8]Gastos de Operación'!I61+'[3]Gastos de Operación'!I61+'[9]Gastos de Operación'!I61+'[2]Gastos de Operación'!I61</f>
        <v>3868.8333333333335</v>
      </c>
      <c r="J61" s="1657">
        <f>'[6]Gastos de Operación'!J61+'[7]Gastos de Operación'!J61+'[8]Gastos de Operación'!J61+'[3]Gastos de Operación'!J61+'[9]Gastos de Operación'!J61+'[2]Gastos de Operación'!J61</f>
        <v>3869.6666666666665</v>
      </c>
      <c r="K61" s="1657">
        <f>'[6]Gastos de Operación'!K61+'[7]Gastos de Operación'!K61+'[8]Gastos de Operación'!K61+'[3]Gastos de Operación'!K61+'[9]Gastos de Operación'!K61+'[2]Gastos de Operación'!K61</f>
        <v>3870.5</v>
      </c>
      <c r="L61" s="1657">
        <f>'[6]Gastos de Operación'!L61+'[7]Gastos de Operación'!L61+'[8]Gastos de Operación'!L61+'[3]Gastos de Operación'!L61+'[9]Gastos de Operación'!L61+'[2]Gastos de Operación'!L61</f>
        <v>3871.3333333333335</v>
      </c>
      <c r="M61" s="1657">
        <f>'[6]Gastos de Operación'!M61+'[7]Gastos de Operación'!M61+'[8]Gastos de Operación'!M61+'[3]Gastos de Operación'!M61+'[9]Gastos de Operación'!M61+'[2]Gastos de Operación'!M61</f>
        <v>3872.1666666666665</v>
      </c>
      <c r="N61" s="1657">
        <f>'[6]Gastos de Operación'!N61+'[7]Gastos de Operación'!N61+'[8]Gastos de Operación'!N61+'[3]Gastos de Operación'!N61+'[9]Gastos de Operación'!N61+'[2]Gastos de Operación'!N61</f>
        <v>3873</v>
      </c>
      <c r="O61" s="1657">
        <f>'[6]Gastos de Operación'!O61+'[7]Gastos de Operación'!O61+'[8]Gastos de Operación'!O61+'[3]Gastos de Operación'!O61+'[9]Gastos de Operación'!O61+'[2]Gastos de Operación'!O61</f>
        <v>3873.8333333333335</v>
      </c>
      <c r="P61" s="1657">
        <f>'[6]Gastos de Operación'!P61+'[7]Gastos de Operación'!P61+'[8]Gastos de Operación'!P61+'[3]Gastos de Operación'!P61+'[9]Gastos de Operación'!P61+'[2]Gastos de Operación'!P61</f>
        <v>3874.6666666666665</v>
      </c>
      <c r="Q61" s="1657">
        <f>'[6]Gastos de Operación'!Q61+'[7]Gastos de Operación'!Q61+'[8]Gastos de Operación'!Q61+'[3]Gastos de Operación'!Q61+'[9]Gastos de Operación'!Q61+'[2]Gastos de Operación'!Q61</f>
        <v>3875.5</v>
      </c>
      <c r="R61" s="1669">
        <f t="shared" ref="R61" si="3">SUM(F61:Q61)</f>
        <v>46451</v>
      </c>
    </row>
    <row r="62" spans="2:20" ht="15.75" x14ac:dyDescent="0.25">
      <c r="B62" s="1676" t="s">
        <v>10622</v>
      </c>
      <c r="C62" s="1671" t="s">
        <v>10623</v>
      </c>
      <c r="D62" s="1668" t="s">
        <v>10624</v>
      </c>
      <c r="E62" s="1657"/>
      <c r="F62" s="1657">
        <f>'[6]Gastos de Operación'!F62+'[7]Gastos de Operación'!F62+'[8]Gastos de Operación'!F62+'[3]Gastos de Operación'!F62+'[9]Gastos de Operación'!F62+'[2]Gastos de Operación'!F62</f>
        <v>0</v>
      </c>
      <c r="G62" s="1657">
        <f>'[6]Gastos de Operación'!G62+'[7]Gastos de Operación'!G62+'[8]Gastos de Operación'!G62+'[3]Gastos de Operación'!G62+'[9]Gastos de Operación'!G62+'[2]Gastos de Operación'!G62</f>
        <v>0</v>
      </c>
      <c r="H62" s="1657">
        <f>'[6]Gastos de Operación'!H62+'[7]Gastos de Operación'!H62+'[8]Gastos de Operación'!H62+'[3]Gastos de Operación'!H62+'[9]Gastos de Operación'!H62+'[2]Gastos de Operación'!H62</f>
        <v>0</v>
      </c>
      <c r="I62" s="1657">
        <f>'[6]Gastos de Operación'!I62+'[7]Gastos de Operación'!I62+'[8]Gastos de Operación'!I62+'[3]Gastos de Operación'!I62+'[9]Gastos de Operación'!I62+'[2]Gastos de Operación'!I62</f>
        <v>0</v>
      </c>
      <c r="J62" s="1657">
        <f>'[6]Gastos de Operación'!J62+'[7]Gastos de Operación'!J62+'[8]Gastos de Operación'!J62+'[3]Gastos de Operación'!J62+'[9]Gastos de Operación'!J62+'[2]Gastos de Operación'!J62</f>
        <v>0</v>
      </c>
      <c r="K62" s="1657">
        <f>'[6]Gastos de Operación'!K62+'[7]Gastos de Operación'!K62+'[8]Gastos de Operación'!K62+'[3]Gastos de Operación'!K62+'[9]Gastos de Operación'!K62+'[2]Gastos de Operación'!K62</f>
        <v>0</v>
      </c>
      <c r="L62" s="1657">
        <f>'[6]Gastos de Operación'!L62+'[7]Gastos de Operación'!L62+'[8]Gastos de Operación'!L62+'[3]Gastos de Operación'!L62+'[9]Gastos de Operación'!L62+'[2]Gastos de Operación'!L62</f>
        <v>0</v>
      </c>
      <c r="M62" s="1657">
        <f>'[6]Gastos de Operación'!M62+'[7]Gastos de Operación'!M62+'[8]Gastos de Operación'!M62+'[3]Gastos de Operación'!M62+'[9]Gastos de Operación'!M62+'[2]Gastos de Operación'!M62</f>
        <v>0</v>
      </c>
      <c r="N62" s="1657">
        <f>'[6]Gastos de Operación'!N62+'[7]Gastos de Operación'!N62+'[8]Gastos de Operación'!N62+'[3]Gastos de Operación'!N62+'[9]Gastos de Operación'!N62+'[2]Gastos de Operación'!N62</f>
        <v>0</v>
      </c>
      <c r="O62" s="1657">
        <f>'[6]Gastos de Operación'!O62+'[7]Gastos de Operación'!O62+'[8]Gastos de Operación'!O62+'[3]Gastos de Operación'!O62+'[9]Gastos de Operación'!O62+'[2]Gastos de Operación'!O62</f>
        <v>0</v>
      </c>
      <c r="P62" s="1657">
        <f>'[6]Gastos de Operación'!P62+'[7]Gastos de Operación'!P62+'[8]Gastos de Operación'!P62+'[3]Gastos de Operación'!P62+'[9]Gastos de Operación'!P62+'[2]Gastos de Operación'!P62</f>
        <v>0</v>
      </c>
      <c r="Q62" s="1657">
        <f>'[6]Gastos de Operación'!Q62+'[7]Gastos de Operación'!Q62+'[8]Gastos de Operación'!Q62+'[3]Gastos de Operación'!Q62+'[9]Gastos de Operación'!Q62+'[2]Gastos de Operación'!Q62</f>
        <v>0</v>
      </c>
      <c r="R62" s="1669">
        <f t="shared" si="2"/>
        <v>0</v>
      </c>
    </row>
    <row r="63" spans="2:20" ht="15.75" x14ac:dyDescent="0.25">
      <c r="B63" s="1676"/>
      <c r="C63" s="1671" t="s">
        <v>10625</v>
      </c>
      <c r="D63" s="1668" t="s">
        <v>10626</v>
      </c>
      <c r="E63" s="1657"/>
      <c r="F63" s="1657">
        <f>'[6]Gastos de Operación'!F63+'[7]Gastos de Operación'!F63+'[8]Gastos de Operación'!F63+'[3]Gastos de Operación'!F63+'[9]Gastos de Operación'!F63+'[2]Gastos de Operación'!F63</f>
        <v>0</v>
      </c>
      <c r="G63" s="1657">
        <f>'[6]Gastos de Operación'!G63+'[7]Gastos de Operación'!G63+'[8]Gastos de Operación'!G63+'[3]Gastos de Operación'!G63+'[9]Gastos de Operación'!G63+'[2]Gastos de Operación'!G63</f>
        <v>0</v>
      </c>
      <c r="H63" s="1657">
        <f>'[6]Gastos de Operación'!H63+'[7]Gastos de Operación'!H63+'[8]Gastos de Operación'!H63+'[3]Gastos de Operación'!H63+'[9]Gastos de Operación'!H63+'[2]Gastos de Operación'!H63</f>
        <v>0</v>
      </c>
      <c r="I63" s="1657">
        <f>'[6]Gastos de Operación'!I63+'[7]Gastos de Operación'!I63+'[8]Gastos de Operación'!I63+'[3]Gastos de Operación'!I63+'[9]Gastos de Operación'!I63+'[2]Gastos de Operación'!I63</f>
        <v>0</v>
      </c>
      <c r="J63" s="1657">
        <f>'[6]Gastos de Operación'!J63+'[7]Gastos de Operación'!J63+'[8]Gastos de Operación'!J63+'[3]Gastos de Operación'!J63+'[9]Gastos de Operación'!J63+'[2]Gastos de Operación'!J63</f>
        <v>0</v>
      </c>
      <c r="K63" s="1657">
        <f>'[6]Gastos de Operación'!K63+'[7]Gastos de Operación'!K63+'[8]Gastos de Operación'!K63+'[3]Gastos de Operación'!K63+'[9]Gastos de Operación'!K63+'[2]Gastos de Operación'!K63</f>
        <v>0</v>
      </c>
      <c r="L63" s="1657">
        <f>'[6]Gastos de Operación'!L63+'[7]Gastos de Operación'!L63+'[8]Gastos de Operación'!L63+'[3]Gastos de Operación'!L63+'[9]Gastos de Operación'!L63+'[2]Gastos de Operación'!L63</f>
        <v>0</v>
      </c>
      <c r="M63" s="1657">
        <f>'[6]Gastos de Operación'!M63+'[7]Gastos de Operación'!M63+'[8]Gastos de Operación'!M63+'[3]Gastos de Operación'!M63+'[9]Gastos de Operación'!M63+'[2]Gastos de Operación'!M63</f>
        <v>0</v>
      </c>
      <c r="N63" s="1657">
        <f>'[6]Gastos de Operación'!N63+'[7]Gastos de Operación'!N63+'[8]Gastos de Operación'!N63+'[3]Gastos de Operación'!N63+'[9]Gastos de Operación'!N63+'[2]Gastos de Operación'!N63</f>
        <v>0</v>
      </c>
      <c r="O63" s="1657">
        <f>'[6]Gastos de Operación'!O63+'[7]Gastos de Operación'!O63+'[8]Gastos de Operación'!O63+'[3]Gastos de Operación'!O63+'[9]Gastos de Operación'!O63+'[2]Gastos de Operación'!O63</f>
        <v>0</v>
      </c>
      <c r="P63" s="1657">
        <f>'[6]Gastos de Operación'!P63+'[7]Gastos de Operación'!P63+'[8]Gastos de Operación'!P63+'[3]Gastos de Operación'!P63+'[9]Gastos de Operación'!P63+'[2]Gastos de Operación'!P63</f>
        <v>0</v>
      </c>
      <c r="Q63" s="1657">
        <f>'[6]Gastos de Operación'!Q63+'[7]Gastos de Operación'!Q63+'[8]Gastos de Operación'!Q63+'[3]Gastos de Operación'!Q63+'[9]Gastos de Operación'!Q63+'[2]Gastos de Operación'!Q63</f>
        <v>0</v>
      </c>
      <c r="R63" s="1669">
        <f t="shared" si="2"/>
        <v>0</v>
      </c>
    </row>
    <row r="64" spans="2:20" ht="15.75" x14ac:dyDescent="0.25">
      <c r="B64" s="1676" t="s">
        <v>10627</v>
      </c>
      <c r="C64" s="1671"/>
      <c r="D64" s="1668"/>
      <c r="E64" s="1657"/>
      <c r="F64" s="1657">
        <f>'[6]Gastos de Operación'!F64+'[7]Gastos de Operación'!F64+'[8]Gastos de Operación'!F64+'[3]Gastos de Operación'!F64+'[9]Gastos de Operación'!F64+'[2]Gastos de Operación'!F64</f>
        <v>0</v>
      </c>
      <c r="G64" s="1657">
        <f>'[6]Gastos de Operación'!G64+'[7]Gastos de Operación'!G64+'[8]Gastos de Operación'!G64+'[3]Gastos de Operación'!G64+'[9]Gastos de Operación'!G64+'[2]Gastos de Operación'!G64</f>
        <v>0</v>
      </c>
      <c r="H64" s="1657">
        <f>'[6]Gastos de Operación'!H64+'[7]Gastos de Operación'!H64+'[8]Gastos de Operación'!H64+'[3]Gastos de Operación'!H64+'[9]Gastos de Operación'!H64+'[2]Gastos de Operación'!H64</f>
        <v>0</v>
      </c>
      <c r="I64" s="1657">
        <f>'[6]Gastos de Operación'!I64+'[7]Gastos de Operación'!I64+'[8]Gastos de Operación'!I64+'[3]Gastos de Operación'!I64+'[9]Gastos de Operación'!I64+'[2]Gastos de Operación'!I64</f>
        <v>0</v>
      </c>
      <c r="J64" s="1657">
        <f>'[6]Gastos de Operación'!J64+'[7]Gastos de Operación'!J64+'[8]Gastos de Operación'!J64+'[3]Gastos de Operación'!J64+'[9]Gastos de Operación'!J64+'[2]Gastos de Operación'!J64</f>
        <v>0</v>
      </c>
      <c r="K64" s="1657">
        <f>'[6]Gastos de Operación'!K64+'[7]Gastos de Operación'!K64+'[8]Gastos de Operación'!K64+'[3]Gastos de Operación'!K64+'[9]Gastos de Operación'!K64+'[2]Gastos de Operación'!K64</f>
        <v>0</v>
      </c>
      <c r="L64" s="1657">
        <f>'[6]Gastos de Operación'!L64+'[7]Gastos de Operación'!L64+'[8]Gastos de Operación'!L64+'[3]Gastos de Operación'!L64+'[9]Gastos de Operación'!L64+'[2]Gastos de Operación'!L64</f>
        <v>0</v>
      </c>
      <c r="M64" s="1657">
        <f>'[6]Gastos de Operación'!M64+'[7]Gastos de Operación'!M64+'[8]Gastos de Operación'!M64+'[3]Gastos de Operación'!M64+'[9]Gastos de Operación'!M64+'[2]Gastos de Operación'!M64</f>
        <v>0</v>
      </c>
      <c r="N64" s="1657">
        <f>'[6]Gastos de Operación'!N64+'[7]Gastos de Operación'!N64+'[8]Gastos de Operación'!N64+'[3]Gastos de Operación'!N64+'[9]Gastos de Operación'!N64+'[2]Gastos de Operación'!N64</f>
        <v>0</v>
      </c>
      <c r="O64" s="1657">
        <f>'[6]Gastos de Operación'!O64+'[7]Gastos de Operación'!O64+'[8]Gastos de Operación'!O64+'[3]Gastos de Operación'!O64+'[9]Gastos de Operación'!O64+'[2]Gastos de Operación'!O64</f>
        <v>0</v>
      </c>
      <c r="P64" s="1657">
        <f>'[6]Gastos de Operación'!P64+'[7]Gastos de Operación'!P64+'[8]Gastos de Operación'!P64+'[3]Gastos de Operación'!P64+'[9]Gastos de Operación'!P64+'[2]Gastos de Operación'!P64</f>
        <v>0</v>
      </c>
      <c r="Q64" s="1657">
        <f>'[6]Gastos de Operación'!Q64+'[7]Gastos de Operación'!Q64+'[8]Gastos de Operación'!Q64+'[3]Gastos de Operación'!Q64+'[9]Gastos de Operación'!Q64+'[2]Gastos de Operación'!Q64</f>
        <v>0</v>
      </c>
      <c r="R64" s="1669">
        <f t="shared" si="2"/>
        <v>0</v>
      </c>
    </row>
    <row r="65" spans="2:18" ht="15.75" x14ac:dyDescent="0.25">
      <c r="B65" s="1676" t="s">
        <v>10523</v>
      </c>
      <c r="C65" s="1671" t="s">
        <v>10524</v>
      </c>
      <c r="D65" s="1668" t="s">
        <v>10628</v>
      </c>
      <c r="E65" s="1657"/>
      <c r="F65" s="1657">
        <f>'[6]Gastos de Operación'!F65+'[7]Gastos de Operación'!F65+'[8]Gastos de Operación'!F65+'[3]Gastos de Operación'!F65+'[9]Gastos de Operación'!F65+'[2]Gastos de Operación'!F65</f>
        <v>4132</v>
      </c>
      <c r="G65" s="1657">
        <f>'[6]Gastos de Operación'!G65+'[7]Gastos de Operación'!G65+'[8]Gastos de Operación'!G65+'[3]Gastos de Operación'!G65+'[9]Gastos de Operación'!G65+'[2]Gastos de Operación'!G65</f>
        <v>4132</v>
      </c>
      <c r="H65" s="1657">
        <f>'[6]Gastos de Operación'!H65+'[7]Gastos de Operación'!H65+'[8]Gastos de Operación'!H65+'[3]Gastos de Operación'!H65+'[9]Gastos de Operación'!H65+'[2]Gastos de Operación'!H65</f>
        <v>10432</v>
      </c>
      <c r="I65" s="1657">
        <f>'[6]Gastos de Operación'!I65+'[7]Gastos de Operación'!I65+'[8]Gastos de Operación'!I65+'[3]Gastos de Operación'!I65+'[9]Gastos de Operación'!I65+'[2]Gastos de Operación'!I65</f>
        <v>10432</v>
      </c>
      <c r="J65" s="1657">
        <f>'[6]Gastos de Operación'!J65+'[7]Gastos de Operación'!J65+'[8]Gastos de Operación'!J65+'[3]Gastos de Operación'!J65+'[9]Gastos de Operación'!J65+'[2]Gastos de Operación'!J65</f>
        <v>10432</v>
      </c>
      <c r="K65" s="1657">
        <f>'[6]Gastos de Operación'!K65+'[7]Gastos de Operación'!K65+'[8]Gastos de Operación'!K65+'[3]Gastos de Operación'!K65+'[9]Gastos de Operación'!K65+'[2]Gastos de Operación'!K65</f>
        <v>10432</v>
      </c>
      <c r="L65" s="1657">
        <f>'[6]Gastos de Operación'!L65+'[7]Gastos de Operación'!L65+'[8]Gastos de Operación'!L65+'[3]Gastos de Operación'!L65+'[9]Gastos de Operación'!L65+'[2]Gastos de Operación'!L65</f>
        <v>10432</v>
      </c>
      <c r="M65" s="1657">
        <f>'[6]Gastos de Operación'!M65+'[7]Gastos de Operación'!M65+'[8]Gastos de Operación'!M65+'[3]Gastos de Operación'!M65+'[9]Gastos de Operación'!M65+'[2]Gastos de Operación'!M65</f>
        <v>10432</v>
      </c>
      <c r="N65" s="1657">
        <f>'[6]Gastos de Operación'!N65+'[7]Gastos de Operación'!N65+'[8]Gastos de Operación'!N65+'[3]Gastos de Operación'!N65+'[9]Gastos de Operación'!N65+'[2]Gastos de Operación'!N65</f>
        <v>10432</v>
      </c>
      <c r="O65" s="1657">
        <f>'[6]Gastos de Operación'!O65+'[7]Gastos de Operación'!O65+'[8]Gastos de Operación'!O65+'[3]Gastos de Operación'!O65+'[9]Gastos de Operación'!O65+'[2]Gastos de Operación'!O65</f>
        <v>10432</v>
      </c>
      <c r="P65" s="1657">
        <f>'[6]Gastos de Operación'!P65+'[7]Gastos de Operación'!P65+'[8]Gastos de Operación'!P65+'[3]Gastos de Operación'!P65+'[9]Gastos de Operación'!P65+'[2]Gastos de Operación'!P65</f>
        <v>4132</v>
      </c>
      <c r="Q65" s="1657">
        <f>'[6]Gastos de Operación'!Q65+'[7]Gastos de Operación'!Q65+'[8]Gastos de Operación'!Q65+'[3]Gastos de Operación'!Q65+'[9]Gastos de Operación'!Q65+'[2]Gastos de Operación'!Q65</f>
        <v>4132</v>
      </c>
      <c r="R65" s="1680">
        <f t="shared" si="2"/>
        <v>99984</v>
      </c>
    </row>
    <row r="66" spans="2:18" ht="15.75" x14ac:dyDescent="0.25">
      <c r="B66" s="1676" t="s">
        <v>10525</v>
      </c>
      <c r="C66" s="1671" t="s">
        <v>10526</v>
      </c>
      <c r="D66" s="1668" t="s">
        <v>10629</v>
      </c>
      <c r="E66" s="1657"/>
      <c r="F66" s="1657">
        <f>'[6]Gastos de Operación'!F66+'[7]Gastos de Operación'!F66+'[8]Gastos de Operación'!F66+'[3]Gastos de Operación'!F66+'[9]Gastos de Operación'!F66+'[2]Gastos de Operación'!F66</f>
        <v>22505.199666666667</v>
      </c>
      <c r="G66" s="1657">
        <f>'[6]Gastos de Operación'!G66+'[7]Gastos de Operación'!G66+'[8]Gastos de Operación'!G66+'[3]Gastos de Operación'!G66+'[9]Gastos de Operación'!G66+'[2]Gastos de Operación'!G66</f>
        <v>22527.866333333332</v>
      </c>
      <c r="H66" s="1657">
        <f>'[6]Gastos de Operación'!H66+'[7]Gastos de Operación'!H66+'[8]Gastos de Operación'!H66+'[3]Gastos de Operación'!H66+'[9]Gastos de Operación'!H66+'[2]Gastos de Operación'!H66</f>
        <v>22550.532999999999</v>
      </c>
      <c r="I66" s="1657">
        <f>'[6]Gastos de Operación'!I66+'[7]Gastos de Operación'!I66+'[8]Gastos de Operación'!I66+'[3]Gastos de Operación'!I66+'[9]Gastos de Operación'!I66+'[2]Gastos de Operación'!I66</f>
        <v>22573.199666666667</v>
      </c>
      <c r="J66" s="1657">
        <f>'[6]Gastos de Operación'!J66+'[7]Gastos de Operación'!J66+'[8]Gastos de Operación'!J66+'[3]Gastos de Operación'!J66+'[9]Gastos de Operación'!J66+'[2]Gastos de Operación'!J66</f>
        <v>22595.866333333332</v>
      </c>
      <c r="K66" s="1657">
        <f>'[6]Gastos de Operación'!K66+'[7]Gastos de Operación'!K66+'[8]Gastos de Operación'!K66+'[3]Gastos de Operación'!K66+'[9]Gastos de Operación'!K66+'[2]Gastos de Operación'!K66</f>
        <v>22618.532999999999</v>
      </c>
      <c r="L66" s="1657">
        <f>'[6]Gastos de Operación'!L66+'[7]Gastos de Operación'!L66+'[8]Gastos de Operación'!L66+'[3]Gastos de Operación'!L66+'[9]Gastos de Operación'!L66+'[2]Gastos de Operación'!L66</f>
        <v>22641.199666666667</v>
      </c>
      <c r="M66" s="1657">
        <f>'[6]Gastos de Operación'!M66+'[7]Gastos de Operación'!M66+'[8]Gastos de Operación'!M66+'[3]Gastos de Operación'!M66+'[9]Gastos de Operación'!M66+'[2]Gastos de Operación'!M66</f>
        <v>22663.866333333332</v>
      </c>
      <c r="N66" s="1657">
        <f>'[6]Gastos de Operación'!N66+'[7]Gastos de Operación'!N66+'[8]Gastos de Operación'!N66+'[3]Gastos de Operación'!N66+'[9]Gastos de Operación'!N66+'[2]Gastos de Operación'!N66</f>
        <v>22686.532999999999</v>
      </c>
      <c r="O66" s="1657">
        <f>'[6]Gastos de Operación'!O66+'[7]Gastos de Operación'!O66+'[8]Gastos de Operación'!O66+'[3]Gastos de Operación'!O66+'[9]Gastos de Operación'!O66+'[2]Gastos de Operación'!O66</f>
        <v>22709.199666666667</v>
      </c>
      <c r="P66" s="1657">
        <f>'[6]Gastos de Operación'!P66+'[7]Gastos de Operación'!P66+'[8]Gastos de Operación'!P66+'[3]Gastos de Operación'!P66+'[9]Gastos de Operación'!P66+'[2]Gastos de Operación'!P66</f>
        <v>22731.866333333332</v>
      </c>
      <c r="Q66" s="1657">
        <f>'[6]Gastos de Operación'!Q66+'[7]Gastos de Operación'!Q66+'[8]Gastos de Operación'!Q66+'[3]Gastos de Operación'!Q66+'[9]Gastos de Operación'!Q66+'[2]Gastos de Operación'!Q66</f>
        <v>22754.532999999999</v>
      </c>
      <c r="R66" s="1669">
        <f t="shared" si="2"/>
        <v>271558.39600000001</v>
      </c>
    </row>
    <row r="67" spans="2:18" ht="15.75" x14ac:dyDescent="0.25">
      <c r="B67" s="1676" t="s">
        <v>10527</v>
      </c>
      <c r="C67" s="1671" t="s">
        <v>10528</v>
      </c>
      <c r="D67" s="1668" t="s">
        <v>10630</v>
      </c>
      <c r="E67" s="1657"/>
      <c r="F67" s="1657">
        <f>'[6]Gastos de Operación'!F67+'[7]Gastos de Operación'!F67+'[8]Gastos de Operación'!F67+'[3]Gastos de Operación'!F67+'[9]Gastos de Operación'!F67+'[2]Gastos de Operación'!F67</f>
        <v>10313.799999999999</v>
      </c>
      <c r="G67" s="1657">
        <f>'[6]Gastos de Operación'!G67+'[7]Gastos de Operación'!G67+'[8]Gastos de Operación'!G67+'[3]Gastos de Operación'!G67+'[9]Gastos de Operación'!G67+'[2]Gastos de Operación'!G67</f>
        <v>8893.6933333333327</v>
      </c>
      <c r="H67" s="1657">
        <f>'[6]Gastos de Operación'!H67+'[7]Gastos de Operación'!H67+'[8]Gastos de Operación'!H67+'[3]Gastos de Operación'!H67+'[9]Gastos de Operación'!H67+'[2]Gastos de Operación'!H67</f>
        <v>10373.233333333332</v>
      </c>
      <c r="I67" s="1657">
        <f>'[6]Gastos de Operación'!I67+'[7]Gastos de Operación'!I67+'[8]Gastos de Operación'!I67+'[3]Gastos de Operación'!I67+'[9]Gastos de Operación'!I67+'[2]Gastos de Operación'!I67</f>
        <v>8960.7777777777774</v>
      </c>
      <c r="J67" s="1657">
        <f>'[6]Gastos de Operación'!J67+'[7]Gastos de Operación'!J67+'[8]Gastos de Operación'!J67+'[3]Gastos de Operación'!J67+'[9]Gastos de Operación'!J67+'[2]Gastos de Operación'!J67</f>
        <v>10467.653185185185</v>
      </c>
      <c r="K67" s="1657">
        <f>'[6]Gastos de Operación'!K67+'[7]Gastos de Operación'!K67+'[8]Gastos de Operación'!K67+'[3]Gastos de Operación'!K67+'[9]Gastos de Operación'!K67+'[2]Gastos de Operación'!K67</f>
        <v>9064.1062488888892</v>
      </c>
      <c r="L67" s="1657">
        <f>'[6]Gastos de Operación'!L67+'[7]Gastos de Operación'!L67+'[8]Gastos de Operación'!L67+'[3]Gastos de Operación'!L67+'[9]Gastos de Operación'!L67+'[2]Gastos de Operación'!L67</f>
        <v>10599.950194696296</v>
      </c>
      <c r="M67" s="1657">
        <f>'[6]Gastos de Operación'!M67+'[7]Gastos de Operación'!M67+'[8]Gastos de Operación'!M67+'[3]Gastos de Operación'!M67+'[9]Gastos de Operación'!M67+'[2]Gastos de Operación'!M67</f>
        <v>9207.3461998881976</v>
      </c>
      <c r="N67" s="1657">
        <f>'[6]Gastos de Operación'!N67+'[7]Gastos de Operación'!N67+'[8]Gastos de Operación'!N67+'[3]Gastos de Operación'!N67+'[9]Gastos de Operación'!N67+'[2]Gastos de Operación'!N67</f>
        <v>10774.626719218177</v>
      </c>
      <c r="O67" s="1657">
        <f>'[6]Gastos de Operación'!O67+'[7]Gastos de Operación'!O67+'[8]Gastos de Operación'!O67+'[3]Gastos de Operación'!O67+'[9]Gastos de Operación'!O67+'[2]Gastos de Operación'!O67</f>
        <v>9395.907609858783</v>
      </c>
      <c r="P67" s="1657">
        <f>'[6]Gastos de Operación'!P67+'[7]Gastos de Operación'!P67+'[8]Gastos de Operación'!P67+'[3]Gastos de Operación'!P67+'[9]Gastos de Operación'!P67+'[2]Gastos de Operación'!P67</f>
        <v>10998.089333331382</v>
      </c>
      <c r="Q67" s="1657">
        <f>'[6]Gastos de Operación'!Q67+'[7]Gastos de Operación'!Q67+'[8]Gastos de Operación'!Q67+'[3]Gastos de Operación'!Q67+'[9]Gastos de Operación'!Q67+'[2]Gastos de Operación'!Q67</f>
        <v>9637.3009066646373</v>
      </c>
      <c r="R67" s="1669">
        <f t="shared" si="2"/>
        <v>118686.484842176</v>
      </c>
    </row>
    <row r="68" spans="2:18" ht="15.75" x14ac:dyDescent="0.25">
      <c r="B68" s="1676" t="s">
        <v>10529</v>
      </c>
      <c r="C68" s="1671" t="s">
        <v>10530</v>
      </c>
      <c r="D68" s="1668" t="s">
        <v>10631</v>
      </c>
      <c r="E68" s="1657"/>
      <c r="F68" s="1657">
        <f>'[6]Gastos de Operación'!F68+'[7]Gastos de Operación'!F68+'[8]Gastos de Operación'!F68+'[3]Gastos de Operación'!F68+'[9]Gastos de Operación'!F68+'[2]Gastos de Operación'!F68</f>
        <v>11569.599999999999</v>
      </c>
      <c r="G68" s="1657">
        <f>'[6]Gastos de Operación'!G68+'[7]Gastos de Operación'!G68+'[8]Gastos de Operación'!G68+'[3]Gastos de Operación'!G68+'[9]Gastos de Operación'!G68+'[2]Gastos de Operación'!G68</f>
        <v>64677.2</v>
      </c>
      <c r="H68" s="1657">
        <f>'[6]Gastos de Operación'!H68+'[7]Gastos de Operación'!H68+'[8]Gastos de Operación'!H68+'[3]Gastos de Operación'!H68+'[9]Gastos de Operación'!H68+'[2]Gastos de Operación'!H68</f>
        <v>64677.2</v>
      </c>
      <c r="I68" s="1657">
        <f>'[6]Gastos de Operación'!I68+'[7]Gastos de Operación'!I68+'[8]Gastos de Operación'!I68+'[3]Gastos de Operación'!I68+'[9]Gastos de Operación'!I68+'[2]Gastos de Operación'!I68</f>
        <v>8677.1999999999989</v>
      </c>
      <c r="J68" s="1657">
        <f>'[6]Gastos de Operación'!J68+'[7]Gastos de Operación'!J68+'[8]Gastos de Operación'!J68+'[3]Gastos de Operación'!J68+'[9]Gastos de Operación'!J68+'[2]Gastos de Operación'!J68</f>
        <v>8677.1999999999989</v>
      </c>
      <c r="K68" s="1657">
        <f>'[6]Gastos de Operación'!K68+'[7]Gastos de Operación'!K68+'[8]Gastos de Operación'!K68+'[3]Gastos de Operación'!K68+'[9]Gastos de Operación'!K68+'[2]Gastos de Operación'!K68</f>
        <v>8677.1999999999989</v>
      </c>
      <c r="L68" s="1657">
        <f>'[6]Gastos de Operación'!L68+'[7]Gastos de Operación'!L68+'[8]Gastos de Operación'!L68+'[3]Gastos de Operación'!L68+'[9]Gastos de Operación'!L68+'[2]Gastos de Operación'!L68</f>
        <v>8677.1999999999989</v>
      </c>
      <c r="M68" s="1657">
        <f>'[6]Gastos de Operación'!M68+'[7]Gastos de Operación'!M68+'[8]Gastos de Operación'!M68+'[3]Gastos de Operación'!M68+'[9]Gastos de Operación'!M68+'[2]Gastos de Operación'!M68</f>
        <v>8677.1999999999989</v>
      </c>
      <c r="N68" s="1657">
        <f>'[6]Gastos de Operación'!N68+'[7]Gastos de Operación'!N68+'[8]Gastos de Operación'!N68+'[3]Gastos de Operación'!N68+'[9]Gastos de Operación'!N68+'[2]Gastos de Operación'!N68</f>
        <v>8677.1999999999989</v>
      </c>
      <c r="O68" s="1657">
        <f>'[6]Gastos de Operación'!O68+'[7]Gastos de Operación'!O68+'[8]Gastos de Operación'!O68+'[3]Gastos de Operación'!O68+'[9]Gastos de Operación'!O68+'[2]Gastos de Operación'!O68</f>
        <v>8677.1999999999989</v>
      </c>
      <c r="P68" s="1657">
        <f>'[6]Gastos de Operación'!P68+'[7]Gastos de Operación'!P68+'[8]Gastos de Operación'!P68+'[3]Gastos de Operación'!P68+'[9]Gastos de Operación'!P68+'[2]Gastos de Operación'!P68</f>
        <v>8677.1999999999989</v>
      </c>
      <c r="Q68" s="1657">
        <f>'[6]Gastos de Operación'!Q68+'[7]Gastos de Operación'!Q68+'[8]Gastos de Operación'!Q68+'[3]Gastos de Operación'!Q68+'[9]Gastos de Operación'!Q68+'[2]Gastos de Operación'!Q68</f>
        <v>8677.1999999999989</v>
      </c>
      <c r="R68" s="1680">
        <f t="shared" si="2"/>
        <v>219018.8000000001</v>
      </c>
    </row>
    <row r="69" spans="2:18" ht="15.75" x14ac:dyDescent="0.25">
      <c r="B69" s="1676"/>
      <c r="C69" s="1671" t="s">
        <v>10581</v>
      </c>
      <c r="D69" s="1668" t="s">
        <v>10632</v>
      </c>
      <c r="E69" s="1657"/>
      <c r="F69" s="1657">
        <f>'[6]Gastos de Operación'!F69+'[7]Gastos de Operación'!F69+'[8]Gastos de Operación'!F69+'[3]Gastos de Operación'!F69+'[9]Gastos de Operación'!F69+'[2]Gastos de Operación'!F69</f>
        <v>1033</v>
      </c>
      <c r="G69" s="1657">
        <f>'[6]Gastos de Operación'!G69+'[7]Gastos de Operación'!G69+'[8]Gastos de Operación'!G69+'[3]Gastos de Operación'!G69+'[9]Gastos de Operación'!G69+'[2]Gastos de Operación'!G69</f>
        <v>1033</v>
      </c>
      <c r="H69" s="1657">
        <f>'[6]Gastos de Operación'!H69+'[7]Gastos de Operación'!H69+'[8]Gastos de Operación'!H69+'[3]Gastos de Operación'!H69+'[9]Gastos de Operación'!H69+'[2]Gastos de Operación'!H69</f>
        <v>3533</v>
      </c>
      <c r="I69" s="1657">
        <f>'[6]Gastos de Operación'!I69+'[7]Gastos de Operación'!I69+'[8]Gastos de Operación'!I69+'[3]Gastos de Operación'!I69+'[9]Gastos de Operación'!I69+'[2]Gastos de Operación'!I69</f>
        <v>1033</v>
      </c>
      <c r="J69" s="1657">
        <f>'[6]Gastos de Operación'!J69+'[7]Gastos de Operación'!J69+'[8]Gastos de Operación'!J69+'[3]Gastos de Operación'!J69+'[9]Gastos de Operación'!J69+'[2]Gastos de Operación'!J69</f>
        <v>1033</v>
      </c>
      <c r="K69" s="1657">
        <f>'[6]Gastos de Operación'!K69+'[7]Gastos de Operación'!K69+'[8]Gastos de Operación'!K69+'[3]Gastos de Operación'!K69+'[9]Gastos de Operación'!K69+'[2]Gastos de Operación'!K69</f>
        <v>1033</v>
      </c>
      <c r="L69" s="1657">
        <f>'[6]Gastos de Operación'!L69+'[7]Gastos de Operación'!L69+'[8]Gastos de Operación'!L69+'[3]Gastos de Operación'!L69+'[9]Gastos de Operación'!L69+'[2]Gastos de Operación'!L69</f>
        <v>1033</v>
      </c>
      <c r="M69" s="1657">
        <f>'[6]Gastos de Operación'!M69+'[7]Gastos de Operación'!M69+'[8]Gastos de Operación'!M69+'[3]Gastos de Operación'!M69+'[9]Gastos de Operación'!M69+'[2]Gastos de Operación'!M69</f>
        <v>1033</v>
      </c>
      <c r="N69" s="1657">
        <f>'[6]Gastos de Operación'!N69+'[7]Gastos de Operación'!N69+'[8]Gastos de Operación'!N69+'[3]Gastos de Operación'!N69+'[9]Gastos de Operación'!N69+'[2]Gastos de Operación'!N69</f>
        <v>1033</v>
      </c>
      <c r="O69" s="1657">
        <f>'[6]Gastos de Operación'!O69+'[7]Gastos de Operación'!O69+'[8]Gastos de Operación'!O69+'[3]Gastos de Operación'!O69+'[9]Gastos de Operación'!O69+'[2]Gastos de Operación'!O69</f>
        <v>1033</v>
      </c>
      <c r="P69" s="1657">
        <f>'[6]Gastos de Operación'!P69+'[7]Gastos de Operación'!P69+'[8]Gastos de Operación'!P69+'[3]Gastos de Operación'!P69+'[9]Gastos de Operación'!P69+'[2]Gastos de Operación'!P69</f>
        <v>1033</v>
      </c>
      <c r="Q69" s="1657">
        <f>'[6]Gastos de Operación'!Q69+'[7]Gastos de Operación'!Q69+'[8]Gastos de Operación'!Q69+'[3]Gastos de Operación'!Q69+'[9]Gastos de Operación'!Q69+'[2]Gastos de Operación'!Q69</f>
        <v>1033</v>
      </c>
      <c r="R69" s="1669">
        <f t="shared" si="2"/>
        <v>14896</v>
      </c>
    </row>
    <row r="70" spans="2:18" ht="15.75" x14ac:dyDescent="0.25">
      <c r="B70" s="1676" t="s">
        <v>10531</v>
      </c>
      <c r="C70" s="1671" t="s">
        <v>10532</v>
      </c>
      <c r="D70" s="1668" t="s">
        <v>10677</v>
      </c>
      <c r="E70" s="1657"/>
      <c r="F70" s="1657">
        <f>'[6]Gastos de Operación'!F70+'[7]Gastos de Operación'!F70+'[8]Gastos de Operación'!F70+'[3]Gastos de Operación'!F70+'[9]Gastos de Operación'!F70+'[2]Gastos de Operación'!F70</f>
        <v>4810.9749999999995</v>
      </c>
      <c r="G70" s="1657">
        <f>'[6]Gastos de Operación'!G70+'[7]Gastos de Operación'!G70+'[8]Gastos de Operación'!G70+'[3]Gastos de Operación'!G70+'[9]Gastos de Operación'!G70+'[2]Gastos de Operación'!G70</f>
        <v>4763.7772299999997</v>
      </c>
      <c r="H70" s="1657">
        <f>'[6]Gastos de Operación'!H70+'[7]Gastos de Operación'!H70+'[8]Gastos de Operación'!H70+'[3]Gastos de Operación'!H70+'[9]Gastos de Operación'!H70+'[2]Gastos de Operación'!H70</f>
        <v>4767.3307500000001</v>
      </c>
      <c r="I70" s="1657">
        <f>'[6]Gastos de Operación'!I70+'[7]Gastos de Operación'!I70+'[8]Gastos de Operación'!I70+'[3]Gastos de Operación'!I70+'[9]Gastos de Operación'!I70+'[2]Gastos de Operación'!I70</f>
        <v>4781.5861500000001</v>
      </c>
      <c r="J70" s="1657">
        <f>'[6]Gastos de Operación'!J70+'[7]Gastos de Operación'!J70+'[8]Gastos de Operación'!J70+'[3]Gastos de Operación'!J70+'[9]Gastos de Operación'!J70+'[2]Gastos de Operación'!J70</f>
        <v>8718.5557499999977</v>
      </c>
      <c r="K70" s="1657">
        <f>'[6]Gastos de Operación'!K70+'[7]Gastos de Operación'!K70+'[8]Gastos de Operación'!K70+'[3]Gastos de Operación'!K70+'[9]Gastos de Operación'!K70+'[2]Gastos de Operación'!K70</f>
        <v>4862.625</v>
      </c>
      <c r="L70" s="1657">
        <f>'[6]Gastos de Operación'!L70+'[7]Gastos de Operación'!L70+'[8]Gastos de Operación'!L70+'[3]Gastos de Operación'!L70+'[9]Gastos de Operación'!L70+'[2]Gastos de Operación'!L70</f>
        <v>4824.33169</v>
      </c>
      <c r="M70" s="1657">
        <f>'[6]Gastos de Operación'!M70+'[7]Gastos de Operación'!M70+'[8]Gastos de Operación'!M70+'[3]Gastos de Operación'!M70+'[9]Gastos de Operación'!M70+'[2]Gastos de Operación'!M70</f>
        <v>4826.1084499999997</v>
      </c>
      <c r="N70" s="1657">
        <f>'[6]Gastos de Operación'!N70+'[7]Gastos de Operación'!N70+'[8]Gastos de Operación'!N70+'[3]Gastos de Operación'!N70+'[9]Gastos de Operación'!N70+'[2]Gastos de Operación'!N70</f>
        <v>4878.6468299999997</v>
      </c>
      <c r="O70" s="1657">
        <f>'[6]Gastos de Operación'!O70+'[7]Gastos de Operación'!O70+'[8]Gastos de Operación'!O70+'[3]Gastos de Operación'!O70+'[9]Gastos de Operación'!O70+'[2]Gastos de Operación'!O70</f>
        <v>4807.4111499999999</v>
      </c>
      <c r="P70" s="1657">
        <f>'[6]Gastos de Operación'!P70+'[7]Gastos de Operación'!P70+'[8]Gastos de Operación'!P70+'[3]Gastos de Operación'!P70+'[9]Gastos de Operación'!P70+'[2]Gastos de Operación'!P70</f>
        <v>1209.7200699999999</v>
      </c>
      <c r="Q70" s="1657">
        <f>'[6]Gastos de Operación'!Q70+'[7]Gastos de Operación'!Q70+'[8]Gastos de Operación'!Q70+'[3]Gastos de Operación'!Q70+'[9]Gastos de Operación'!Q70+'[2]Gastos de Operación'!Q70</f>
        <v>446.55</v>
      </c>
      <c r="R70" s="1669">
        <f t="shared" si="2"/>
        <v>53697.618069999997</v>
      </c>
    </row>
    <row r="71" spans="2:18" ht="15.75" x14ac:dyDescent="0.25">
      <c r="B71" s="1676" t="s">
        <v>10533</v>
      </c>
      <c r="C71" s="1671" t="s">
        <v>10534</v>
      </c>
      <c r="D71" s="1668" t="s">
        <v>10633</v>
      </c>
      <c r="E71" s="1657"/>
      <c r="F71" s="1657">
        <f>'[6]Gastos de Operación'!F71+'[7]Gastos de Operación'!F71+'[8]Gastos de Operación'!F71+'[3]Gastos de Operación'!F71+'[9]Gastos de Operación'!F71+'[2]Gastos de Operación'!F71</f>
        <v>4640.1210566000427</v>
      </c>
      <c r="G71" s="1657">
        <f>'[6]Gastos de Operación'!G71+'[7]Gastos de Operación'!G71+'[8]Gastos de Operación'!G71+'[3]Gastos de Operación'!G71+'[9]Gastos de Operación'!G71+'[2]Gastos de Operación'!G71</f>
        <v>4628.2506153000231</v>
      </c>
      <c r="H71" s="1657">
        <f>'[6]Gastos de Operación'!H71+'[7]Gastos de Operación'!H71+'[8]Gastos de Operación'!H71+'[3]Gastos de Operación'!H71+'[9]Gastos de Operación'!H71+'[2]Gastos de Operación'!H71</f>
        <v>4682.6766058264975</v>
      </c>
      <c r="I71" s="1657">
        <f>'[6]Gastos de Operación'!I71+'[7]Gastos de Operación'!I71+'[8]Gastos de Operación'!I71+'[3]Gastos de Operación'!I71+'[9]Gastos de Operación'!I71+'[2]Gastos de Operación'!I71</f>
        <v>4767.3977104906444</v>
      </c>
      <c r="J71" s="1657">
        <f>'[6]Gastos de Operación'!J71+'[7]Gastos de Operación'!J71+'[8]Gastos de Operación'!J71+'[3]Gastos de Operación'!J71+'[9]Gastos de Operación'!J71+'[2]Gastos de Operación'!J71</f>
        <v>4755.7139930709382</v>
      </c>
      <c r="K71" s="1657">
        <f>'[6]Gastos de Operación'!K71+'[7]Gastos de Operación'!K71+'[8]Gastos de Operación'!K71+'[3]Gastos de Operación'!K71+'[9]Gastos de Operación'!K71+'[2]Gastos de Operación'!K71</f>
        <v>4796.2608586763035</v>
      </c>
      <c r="L71" s="1657">
        <f>'[6]Gastos de Operación'!L71+'[7]Gastos de Operación'!L71+'[8]Gastos de Operación'!L71+'[3]Gastos de Operación'!L71+'[9]Gastos de Operación'!L71+'[2]Gastos de Operación'!L71</f>
        <v>4927.2228959555996</v>
      </c>
      <c r="M71" s="1657">
        <f>'[6]Gastos de Operación'!M71+'[7]Gastos de Operación'!M71+'[8]Gastos de Operación'!M71+'[3]Gastos de Operación'!M71+'[9]Gastos de Operación'!M71+'[2]Gastos de Operación'!M71</f>
        <v>4949.6292018198146</v>
      </c>
      <c r="N71" s="1657">
        <f>'[6]Gastos de Operación'!N71+'[7]Gastos de Operación'!N71+'[8]Gastos de Operación'!N71+'[3]Gastos de Operación'!N71+'[9]Gastos de Operación'!N71+'[2]Gastos de Operación'!N71</f>
        <v>4865.5834297994097</v>
      </c>
      <c r="O71" s="1657">
        <f>'[6]Gastos de Operación'!O71+'[7]Gastos de Operación'!O71+'[8]Gastos de Operación'!O71+'[3]Gastos de Operación'!O71+'[9]Gastos de Operación'!O71+'[2]Gastos de Operación'!O71</f>
        <v>5238.1913876220169</v>
      </c>
      <c r="P71" s="1657">
        <f>'[6]Gastos de Operación'!P71+'[7]Gastos de Operación'!P71+'[8]Gastos de Operación'!P71+'[3]Gastos de Operación'!P71+'[9]Gastos de Operación'!P71+'[2]Gastos de Operación'!P71</f>
        <v>5154.510349965276</v>
      </c>
      <c r="Q71" s="1657">
        <f>'[6]Gastos de Operación'!Q71+'[7]Gastos de Operación'!Q71+'[8]Gastos de Operación'!Q71+'[3]Gastos de Operación'!Q71+'[9]Gastos de Operación'!Q71+'[2]Gastos de Operación'!Q71</f>
        <v>5232.778646859012</v>
      </c>
      <c r="R71" s="1669">
        <f t="shared" si="2"/>
        <v>58638.336751985575</v>
      </c>
    </row>
    <row r="72" spans="2:18" ht="15.75" x14ac:dyDescent="0.25">
      <c r="B72" s="1676" t="s">
        <v>10535</v>
      </c>
      <c r="C72" s="1671" t="s">
        <v>10536</v>
      </c>
      <c r="D72" s="1668" t="s">
        <v>10634</v>
      </c>
      <c r="E72" s="1657"/>
      <c r="F72" s="1657">
        <f>'[6]Gastos de Operación'!F72+'[7]Gastos de Operación'!F72+'[8]Gastos de Operación'!F72+'[3]Gastos de Operación'!F72+'[9]Gastos de Operación'!F72+'[2]Gastos de Operación'!F72</f>
        <v>16120</v>
      </c>
      <c r="G72" s="1657">
        <f>'[6]Gastos de Operación'!G72+'[7]Gastos de Operación'!G72+'[8]Gastos de Operación'!G72+'[3]Gastos de Operación'!G72+'[9]Gastos de Operación'!G72+'[2]Gastos de Operación'!G72</f>
        <v>16120</v>
      </c>
      <c r="H72" s="1657">
        <f>'[6]Gastos de Operación'!H72+'[7]Gastos de Operación'!H72+'[8]Gastos de Operación'!H72+'[3]Gastos de Operación'!H72+'[9]Gastos de Operación'!H72+'[2]Gastos de Operación'!H72</f>
        <v>16759.964</v>
      </c>
      <c r="I72" s="1657">
        <f>'[6]Gastos de Operación'!I72+'[7]Gastos de Operación'!I72+'[8]Gastos de Operación'!I72+'[3]Gastos de Operación'!I72+'[9]Gastos de Operación'!I72+'[2]Gastos de Operación'!I72</f>
        <v>16759.964</v>
      </c>
      <c r="J72" s="1657">
        <f>'[6]Gastos de Operación'!J72+'[7]Gastos de Operación'!J72+'[8]Gastos de Operación'!J72+'[3]Gastos de Operación'!J72+'[9]Gastos de Operación'!J72+'[2]Gastos de Operación'!J72</f>
        <v>16759.964</v>
      </c>
      <c r="K72" s="1657">
        <f>'[6]Gastos de Operación'!K72+'[7]Gastos de Operación'!K72+'[8]Gastos de Operación'!K72+'[3]Gastos de Operación'!K72+'[9]Gastos de Operación'!K72+'[2]Gastos de Operación'!K72</f>
        <v>16759.964</v>
      </c>
      <c r="L72" s="1657">
        <f>'[6]Gastos de Operación'!L72+'[7]Gastos de Operación'!L72+'[8]Gastos de Operación'!L72+'[3]Gastos de Operación'!L72+'[9]Gastos de Operación'!L72+'[2]Gastos de Operación'!L72</f>
        <v>16759.964</v>
      </c>
      <c r="M72" s="1657">
        <f>'[6]Gastos de Operación'!M72+'[7]Gastos de Operación'!M72+'[8]Gastos de Operación'!M72+'[3]Gastos de Operación'!M72+'[9]Gastos de Operación'!M72+'[2]Gastos de Operación'!M72</f>
        <v>16759.964</v>
      </c>
      <c r="N72" s="1657">
        <f>'[6]Gastos de Operación'!N72+'[7]Gastos de Operación'!N72+'[8]Gastos de Operación'!N72+'[3]Gastos de Operación'!N72+'[9]Gastos de Operación'!N72+'[2]Gastos de Operación'!N72</f>
        <v>16759.964</v>
      </c>
      <c r="O72" s="1657">
        <f>'[6]Gastos de Operación'!O72+'[7]Gastos de Operación'!O72+'[8]Gastos de Operación'!O72+'[3]Gastos de Operación'!O72+'[9]Gastos de Operación'!O72+'[2]Gastos de Operación'!O72</f>
        <v>16759.964</v>
      </c>
      <c r="P72" s="1657">
        <f>'[6]Gastos de Operación'!P72+'[7]Gastos de Operación'!P72+'[8]Gastos de Operación'!P72+'[3]Gastos de Operación'!P72+'[9]Gastos de Operación'!P72+'[2]Gastos de Operación'!P72</f>
        <v>16759.964</v>
      </c>
      <c r="Q72" s="1657">
        <f>'[6]Gastos de Operación'!Q72+'[7]Gastos de Operación'!Q72+'[8]Gastos de Operación'!Q72+'[3]Gastos de Operación'!Q72+'[9]Gastos de Operación'!Q72+'[2]Gastos de Operación'!Q72</f>
        <v>16759.964</v>
      </c>
      <c r="R72" s="1669">
        <f t="shared" si="2"/>
        <v>199839.64000000004</v>
      </c>
    </row>
    <row r="73" spans="2:18" ht="15.75" x14ac:dyDescent="0.25">
      <c r="B73" s="1676"/>
      <c r="C73" s="1671" t="s">
        <v>10506</v>
      </c>
      <c r="D73" s="1668" t="s">
        <v>10614</v>
      </c>
      <c r="E73" s="1657"/>
      <c r="F73" s="1657">
        <f>'[6]Gastos de Operación'!F73+'[7]Gastos de Operación'!F73+'[8]Gastos de Operación'!F73+'[3]Gastos de Operación'!F73+'[9]Gastos de Operación'!F73+'[2]Gastos de Operación'!F73</f>
        <v>0</v>
      </c>
      <c r="G73" s="1657">
        <f>'[6]Gastos de Operación'!G73+'[7]Gastos de Operación'!G73+'[8]Gastos de Operación'!G73+'[3]Gastos de Operación'!G73+'[9]Gastos de Operación'!G73+'[2]Gastos de Operación'!G73</f>
        <v>0</v>
      </c>
      <c r="H73" s="1657">
        <f>'[6]Gastos de Operación'!H73+'[7]Gastos de Operación'!H73+'[8]Gastos de Operación'!H73+'[3]Gastos de Operación'!H73+'[9]Gastos de Operación'!H73+'[2]Gastos de Operación'!H73</f>
        <v>0</v>
      </c>
      <c r="I73" s="1657">
        <f>'[6]Gastos de Operación'!I73+'[7]Gastos de Operación'!I73+'[8]Gastos de Operación'!I73+'[3]Gastos de Operación'!I73+'[9]Gastos de Operación'!I73+'[2]Gastos de Operación'!I73</f>
        <v>0</v>
      </c>
      <c r="J73" s="1657">
        <f>'[6]Gastos de Operación'!J73+'[7]Gastos de Operación'!J73+'[8]Gastos de Operación'!J73+'[3]Gastos de Operación'!J73+'[9]Gastos de Operación'!J73+'[2]Gastos de Operación'!J73</f>
        <v>0</v>
      </c>
      <c r="K73" s="1657">
        <f>'[6]Gastos de Operación'!K73+'[7]Gastos de Operación'!K73+'[8]Gastos de Operación'!K73+'[3]Gastos de Operación'!K73+'[9]Gastos de Operación'!K73+'[2]Gastos de Operación'!K73</f>
        <v>0</v>
      </c>
      <c r="L73" s="1657">
        <f>'[6]Gastos de Operación'!L73+'[7]Gastos de Operación'!L73+'[8]Gastos de Operación'!L73+'[3]Gastos de Operación'!L73+'[9]Gastos de Operación'!L73+'[2]Gastos de Operación'!L73</f>
        <v>0</v>
      </c>
      <c r="M73" s="1657">
        <f>'[6]Gastos de Operación'!M73+'[7]Gastos de Operación'!M73+'[8]Gastos de Operación'!M73+'[3]Gastos de Operación'!M73+'[9]Gastos de Operación'!M73+'[2]Gastos de Operación'!M73</f>
        <v>0</v>
      </c>
      <c r="N73" s="1657">
        <f>'[6]Gastos de Operación'!N73+'[7]Gastos de Operación'!N73+'[8]Gastos de Operación'!N73+'[3]Gastos de Operación'!N73+'[9]Gastos de Operación'!N73+'[2]Gastos de Operación'!N73</f>
        <v>0</v>
      </c>
      <c r="O73" s="1657">
        <f>'[6]Gastos de Operación'!O73+'[7]Gastos de Operación'!O73+'[8]Gastos de Operación'!O73+'[3]Gastos de Operación'!O73+'[9]Gastos de Operación'!O73+'[2]Gastos de Operación'!O73</f>
        <v>0</v>
      </c>
      <c r="P73" s="1657">
        <f>'[6]Gastos de Operación'!P73+'[7]Gastos de Operación'!P73+'[8]Gastos de Operación'!P73+'[3]Gastos de Operación'!P73+'[9]Gastos de Operación'!P73+'[2]Gastos de Operación'!P73</f>
        <v>0</v>
      </c>
      <c r="Q73" s="1657">
        <f>'[6]Gastos de Operación'!Q73+'[7]Gastos de Operación'!Q73+'[8]Gastos de Operación'!Q73+'[3]Gastos de Operación'!Q73+'[9]Gastos de Operación'!Q73+'[2]Gastos de Operación'!Q73</f>
        <v>0</v>
      </c>
      <c r="R73" s="1669">
        <f t="shared" si="2"/>
        <v>0</v>
      </c>
    </row>
    <row r="74" spans="2:18" ht="15.75" x14ac:dyDescent="0.25">
      <c r="B74" s="1676"/>
      <c r="C74" s="1671" t="s">
        <v>10537</v>
      </c>
      <c r="D74" s="1668" t="s">
        <v>10635</v>
      </c>
      <c r="E74" s="1657"/>
      <c r="F74" s="1657">
        <f>'[6]Gastos de Operación'!F74+'[7]Gastos de Operación'!F74+'[8]Gastos de Operación'!F74+'[3]Gastos de Operación'!F74+'[9]Gastos de Operación'!F74+'[2]Gastos de Operación'!F74</f>
        <v>486.35199999999998</v>
      </c>
      <c r="G74" s="1657">
        <f>'[6]Gastos de Operación'!G74+'[7]Gastos de Operación'!G74+'[8]Gastos de Operación'!G74+'[3]Gastos de Operación'!G74+'[9]Gastos de Operación'!G74+'[2]Gastos de Operación'!G74</f>
        <v>486.35199999999998</v>
      </c>
      <c r="H74" s="1657">
        <f>'[6]Gastos de Operación'!H74+'[7]Gastos de Operación'!H74+'[8]Gastos de Operación'!H74+'[3]Gastos de Operación'!H74+'[9]Gastos de Operación'!H74+'[2]Gastos de Operación'!H74</f>
        <v>486.35199999999998</v>
      </c>
      <c r="I74" s="1657">
        <f>'[6]Gastos de Operación'!I74+'[7]Gastos de Operación'!I74+'[8]Gastos de Operación'!I74+'[3]Gastos de Operación'!I74+'[9]Gastos de Operación'!I74+'[2]Gastos de Operación'!I74</f>
        <v>486.35199999999998</v>
      </c>
      <c r="J74" s="1657">
        <f>'[6]Gastos de Operación'!J74+'[7]Gastos de Operación'!J74+'[8]Gastos de Operación'!J74+'[3]Gastos de Operación'!J74+'[9]Gastos de Operación'!J74+'[2]Gastos de Operación'!J74</f>
        <v>486.35199999999998</v>
      </c>
      <c r="K74" s="1657">
        <f>'[6]Gastos de Operación'!K74+'[7]Gastos de Operación'!K74+'[8]Gastos de Operación'!K74+'[3]Gastos de Operación'!K74+'[9]Gastos de Operación'!K74+'[2]Gastos de Operación'!K74</f>
        <v>486.35199999999998</v>
      </c>
      <c r="L74" s="1657">
        <f>'[6]Gastos de Operación'!L74+'[7]Gastos de Operación'!L74+'[8]Gastos de Operación'!L74+'[3]Gastos de Operación'!L74+'[9]Gastos de Operación'!L74+'[2]Gastos de Operación'!L74</f>
        <v>486.35199999999998</v>
      </c>
      <c r="M74" s="1657">
        <f>'[6]Gastos de Operación'!M74+'[7]Gastos de Operación'!M74+'[8]Gastos de Operación'!M74+'[3]Gastos de Operación'!M74+'[9]Gastos de Operación'!M74+'[2]Gastos de Operación'!M74</f>
        <v>486.35199999999998</v>
      </c>
      <c r="N74" s="1657">
        <f>'[6]Gastos de Operación'!N74+'[7]Gastos de Operación'!N74+'[8]Gastos de Operación'!N74+'[3]Gastos de Operación'!N74+'[9]Gastos de Operación'!N74+'[2]Gastos de Operación'!N74</f>
        <v>486.35199999999998</v>
      </c>
      <c r="O74" s="1657">
        <f>'[6]Gastos de Operación'!O74+'[7]Gastos de Operación'!O74+'[8]Gastos de Operación'!O74+'[3]Gastos de Operación'!O74+'[9]Gastos de Operación'!O74+'[2]Gastos de Operación'!O74</f>
        <v>486.35199999999998</v>
      </c>
      <c r="P74" s="1657">
        <f>'[6]Gastos de Operación'!P74+'[7]Gastos de Operación'!P74+'[8]Gastos de Operación'!P74+'[3]Gastos de Operación'!P74+'[9]Gastos de Operación'!P74+'[2]Gastos de Operación'!P74</f>
        <v>486.35199999999998</v>
      </c>
      <c r="Q74" s="1657">
        <f>'[6]Gastos de Operación'!Q74+'[7]Gastos de Operación'!Q74+'[8]Gastos de Operación'!Q74+'[3]Gastos de Operación'!Q74+'[9]Gastos de Operación'!Q74+'[2]Gastos de Operación'!Q74</f>
        <v>486.35199999999998</v>
      </c>
      <c r="R74" s="1669">
        <f t="shared" si="2"/>
        <v>5836.2239999999993</v>
      </c>
    </row>
    <row r="75" spans="2:18" ht="15.75" x14ac:dyDescent="0.25">
      <c r="B75" s="1676"/>
      <c r="C75" s="1671" t="s">
        <v>10539</v>
      </c>
      <c r="D75" s="1668" t="s">
        <v>10636</v>
      </c>
      <c r="E75" s="1657"/>
      <c r="F75" s="1657">
        <f>'[6]Gastos de Operación'!F75+'[7]Gastos de Operación'!F75+'[8]Gastos de Operación'!F75+'[3]Gastos de Operación'!F75+'[9]Gastos de Operación'!F75+'[2]Gastos de Operación'!F75</f>
        <v>16880.64</v>
      </c>
      <c r="G75" s="1657">
        <f>'[6]Gastos de Operación'!G75+'[7]Gastos de Operación'!G75+'[8]Gastos de Operación'!G75+'[3]Gastos de Operación'!G75+'[9]Gastos de Operación'!G75+'[2]Gastos de Operación'!G75</f>
        <v>16880.64</v>
      </c>
      <c r="H75" s="1657">
        <f>'[6]Gastos de Operación'!H75+'[7]Gastos de Operación'!H75+'[8]Gastos de Operación'!H75+'[3]Gastos de Operación'!H75+'[9]Gastos de Operación'!H75+'[2]Gastos de Operación'!H75</f>
        <v>16880.64</v>
      </c>
      <c r="I75" s="1657">
        <f>'[6]Gastos de Operación'!I75+'[7]Gastos de Operación'!I75+'[8]Gastos de Operación'!I75+'[3]Gastos de Operación'!I75+'[9]Gastos de Operación'!I75+'[2]Gastos de Operación'!I75</f>
        <v>16880.64</v>
      </c>
      <c r="J75" s="1657">
        <f>'[6]Gastos de Operación'!J75+'[7]Gastos de Operación'!J75+'[8]Gastos de Operación'!J75+'[3]Gastos de Operación'!J75+'[9]Gastos de Operación'!J75+'[2]Gastos de Operación'!J75</f>
        <v>16880.64</v>
      </c>
      <c r="K75" s="1657">
        <f>'[6]Gastos de Operación'!K75+'[7]Gastos de Operación'!K75+'[8]Gastos de Operación'!K75+'[3]Gastos de Operación'!K75+'[9]Gastos de Operación'!K75+'[2]Gastos de Operación'!K75</f>
        <v>16880.64</v>
      </c>
      <c r="L75" s="1657">
        <f>'[6]Gastos de Operación'!L75+'[7]Gastos de Operación'!L75+'[8]Gastos de Operación'!L75+'[3]Gastos de Operación'!L75+'[9]Gastos de Operación'!L75+'[2]Gastos de Operación'!L75</f>
        <v>16880.64</v>
      </c>
      <c r="M75" s="1657">
        <f>'[6]Gastos de Operación'!M75+'[7]Gastos de Operación'!M75+'[8]Gastos de Operación'!M75+'[3]Gastos de Operación'!M75+'[9]Gastos de Operación'!M75+'[2]Gastos de Operación'!M75</f>
        <v>16880.64</v>
      </c>
      <c r="N75" s="1657">
        <f>'[6]Gastos de Operación'!N75+'[7]Gastos de Operación'!N75+'[8]Gastos de Operación'!N75+'[3]Gastos de Operación'!N75+'[9]Gastos de Operación'!N75+'[2]Gastos de Operación'!N75</f>
        <v>16880.64</v>
      </c>
      <c r="O75" s="1657">
        <f>'[6]Gastos de Operación'!O75+'[7]Gastos de Operación'!O75+'[8]Gastos de Operación'!O75+'[3]Gastos de Operación'!O75+'[9]Gastos de Operación'!O75+'[2]Gastos de Operación'!O75</f>
        <v>16880.64</v>
      </c>
      <c r="P75" s="1657">
        <f>'[6]Gastos de Operación'!P75+'[7]Gastos de Operación'!P75+'[8]Gastos de Operación'!P75+'[3]Gastos de Operación'!P75+'[9]Gastos de Operación'!P75+'[2]Gastos de Operación'!P75</f>
        <v>16880.64</v>
      </c>
      <c r="Q75" s="1657">
        <f>'[6]Gastos de Operación'!Q75+'[7]Gastos de Operación'!Q75+'[8]Gastos de Operación'!Q75+'[3]Gastos de Operación'!Q75+'[9]Gastos de Operación'!Q75+'[2]Gastos de Operación'!Q75</f>
        <v>16880.64</v>
      </c>
      <c r="R75" s="1669">
        <f t="shared" si="2"/>
        <v>202567.68000000005</v>
      </c>
    </row>
    <row r="76" spans="2:18" ht="15.75" x14ac:dyDescent="0.25">
      <c r="B76" s="1676"/>
      <c r="C76" s="1671" t="s">
        <v>10637</v>
      </c>
      <c r="D76" s="1668" t="s">
        <v>10638</v>
      </c>
      <c r="E76" s="1657"/>
      <c r="F76" s="1657">
        <f>'[6]Gastos de Operación'!F76+'[7]Gastos de Operación'!F76+'[8]Gastos de Operación'!F76+'[3]Gastos de Operación'!F76+'[9]Gastos de Operación'!F76+'[2]Gastos de Operación'!F76</f>
        <v>0</v>
      </c>
      <c r="G76" s="1657">
        <f>'[6]Gastos de Operación'!G76+'[7]Gastos de Operación'!G76+'[8]Gastos de Operación'!G76+'[3]Gastos de Operación'!G76+'[9]Gastos de Operación'!G76+'[2]Gastos de Operación'!G76</f>
        <v>0</v>
      </c>
      <c r="H76" s="1657">
        <f>'[6]Gastos de Operación'!H76+'[7]Gastos de Operación'!H76+'[8]Gastos de Operación'!H76+'[3]Gastos de Operación'!H76+'[9]Gastos de Operación'!H76+'[2]Gastos de Operación'!H76</f>
        <v>0</v>
      </c>
      <c r="I76" s="1657">
        <f>'[6]Gastos de Operación'!I76+'[7]Gastos de Operación'!I76+'[8]Gastos de Operación'!I76+'[3]Gastos de Operación'!I76+'[9]Gastos de Operación'!I76+'[2]Gastos de Operación'!I76</f>
        <v>0</v>
      </c>
      <c r="J76" s="1657">
        <f>'[6]Gastos de Operación'!J76+'[7]Gastos de Operación'!J76+'[8]Gastos de Operación'!J76+'[3]Gastos de Operación'!J76+'[9]Gastos de Operación'!J76+'[2]Gastos de Operación'!J76</f>
        <v>0</v>
      </c>
      <c r="K76" s="1657">
        <f>'[6]Gastos de Operación'!K76+'[7]Gastos de Operación'!K76+'[8]Gastos de Operación'!K76+'[3]Gastos de Operación'!K76+'[9]Gastos de Operación'!K76+'[2]Gastos de Operación'!K76</f>
        <v>0</v>
      </c>
      <c r="L76" s="1657">
        <f>'[6]Gastos de Operación'!L76+'[7]Gastos de Operación'!L76+'[8]Gastos de Operación'!L76+'[3]Gastos de Operación'!L76+'[9]Gastos de Operación'!L76+'[2]Gastos de Operación'!L76</f>
        <v>0</v>
      </c>
      <c r="M76" s="1657">
        <f>'[6]Gastos de Operación'!M76+'[7]Gastos de Operación'!M76+'[8]Gastos de Operación'!M76+'[3]Gastos de Operación'!M76+'[9]Gastos de Operación'!M76+'[2]Gastos de Operación'!M76</f>
        <v>0</v>
      </c>
      <c r="N76" s="1657">
        <f>'[6]Gastos de Operación'!N76+'[7]Gastos de Operación'!N76+'[8]Gastos de Operación'!N76+'[3]Gastos de Operación'!N76+'[9]Gastos de Operación'!N76+'[2]Gastos de Operación'!N76</f>
        <v>0</v>
      </c>
      <c r="O76" s="1657">
        <f>'[6]Gastos de Operación'!O76+'[7]Gastos de Operación'!O76+'[8]Gastos de Operación'!O76+'[3]Gastos de Operación'!O76+'[9]Gastos de Operación'!O76+'[2]Gastos de Operación'!O76</f>
        <v>0</v>
      </c>
      <c r="P76" s="1657">
        <f>'[6]Gastos de Operación'!P76+'[7]Gastos de Operación'!P76+'[8]Gastos de Operación'!P76+'[3]Gastos de Operación'!P76+'[9]Gastos de Operación'!P76+'[2]Gastos de Operación'!P76</f>
        <v>0</v>
      </c>
      <c r="Q76" s="1657">
        <f>'[6]Gastos de Operación'!Q76+'[7]Gastos de Operación'!Q76+'[8]Gastos de Operación'!Q76+'[3]Gastos de Operación'!Q76+'[9]Gastos de Operación'!Q76+'[2]Gastos de Operación'!Q76</f>
        <v>0</v>
      </c>
      <c r="R76" s="1669">
        <f>+SUM(F76:Q76)</f>
        <v>0</v>
      </c>
    </row>
    <row r="77" spans="2:18" ht="15.75" x14ac:dyDescent="0.25">
      <c r="B77" s="1676"/>
      <c r="C77" s="1714" t="s">
        <v>10639</v>
      </c>
      <c r="D77" s="1668" t="s">
        <v>10640</v>
      </c>
      <c r="E77" s="1657"/>
      <c r="F77" s="1657">
        <f>'[6]Gastos de Operación'!F77+'[7]Gastos de Operación'!F77+'[8]Gastos de Operación'!F77+'[3]Gastos de Operación'!F77+'[9]Gastos de Operación'!F77+'[2]Gastos de Operación'!F77</f>
        <v>6197.9999999999991</v>
      </c>
      <c r="G77" s="1657">
        <f>'[6]Gastos de Operación'!G77+'[7]Gastos de Operación'!G77+'[8]Gastos de Operación'!G77+'[3]Gastos de Operación'!G77+'[9]Gastos de Operación'!G77+'[2]Gastos de Operación'!G77</f>
        <v>6197.9999999999991</v>
      </c>
      <c r="H77" s="1657">
        <f>'[6]Gastos de Operación'!H77+'[7]Gastos de Operación'!H77+'[8]Gastos de Operación'!H77+'[3]Gastos de Operación'!H77+'[9]Gastos de Operación'!H77+'[2]Gastos de Operación'!H77</f>
        <v>6197.9999999999991</v>
      </c>
      <c r="I77" s="1657">
        <f>'[6]Gastos de Operación'!I77+'[7]Gastos de Operación'!I77+'[8]Gastos de Operación'!I77+'[3]Gastos de Operación'!I77+'[9]Gastos de Operación'!I77+'[2]Gastos de Operación'!I77</f>
        <v>6197.9999999999991</v>
      </c>
      <c r="J77" s="1657">
        <f>'[6]Gastos de Operación'!J77+'[7]Gastos de Operación'!J77+'[8]Gastos de Operación'!J77+'[3]Gastos de Operación'!J77+'[9]Gastos de Operación'!J77+'[2]Gastos de Operación'!J77</f>
        <v>6197.9999999999991</v>
      </c>
      <c r="K77" s="1657">
        <f>'[6]Gastos de Operación'!K77+'[7]Gastos de Operación'!K77+'[8]Gastos de Operación'!K77+'[3]Gastos de Operación'!K77+'[9]Gastos de Operación'!K77+'[2]Gastos de Operación'!K77</f>
        <v>6197.9999999999991</v>
      </c>
      <c r="L77" s="1657">
        <f>'[6]Gastos de Operación'!L77+'[7]Gastos de Operación'!L77+'[8]Gastos de Operación'!L77+'[3]Gastos de Operación'!L77+'[9]Gastos de Operación'!L77+'[2]Gastos de Operación'!L77</f>
        <v>6197.9999999999991</v>
      </c>
      <c r="M77" s="1657">
        <f>'[6]Gastos de Operación'!M77+'[7]Gastos de Operación'!M77+'[8]Gastos de Operación'!M77+'[3]Gastos de Operación'!M77+'[9]Gastos de Operación'!M77+'[2]Gastos de Operación'!M77</f>
        <v>6197.9999999999991</v>
      </c>
      <c r="N77" s="1657">
        <f>'[6]Gastos de Operación'!N77+'[7]Gastos de Operación'!N77+'[8]Gastos de Operación'!N77+'[3]Gastos de Operación'!N77+'[9]Gastos de Operación'!N77+'[2]Gastos de Operación'!N77</f>
        <v>6197.9999999999991</v>
      </c>
      <c r="O77" s="1657">
        <f>'[6]Gastos de Operación'!O77+'[7]Gastos de Operación'!O77+'[8]Gastos de Operación'!O77+'[3]Gastos de Operación'!O77+'[9]Gastos de Operación'!O77+'[2]Gastos de Operación'!O77</f>
        <v>6197.9999999999991</v>
      </c>
      <c r="P77" s="1657">
        <f>'[6]Gastos de Operación'!P77+'[7]Gastos de Operación'!P77+'[8]Gastos de Operación'!P77+'[3]Gastos de Operación'!P77+'[9]Gastos de Operación'!P77+'[2]Gastos de Operación'!P77</f>
        <v>6197.9999999999991</v>
      </c>
      <c r="Q77" s="1657">
        <f>'[6]Gastos de Operación'!Q77+'[7]Gastos de Operación'!Q77+'[8]Gastos de Operación'!Q77+'[3]Gastos de Operación'!Q77+'[9]Gastos de Operación'!Q77+'[2]Gastos de Operación'!Q77</f>
        <v>6197.9999999999991</v>
      </c>
      <c r="R77" s="1669">
        <f t="shared" ref="R77:R83" si="4">+SUM(F77:Q77)</f>
        <v>74375.999999999985</v>
      </c>
    </row>
    <row r="78" spans="2:18" ht="15.75" x14ac:dyDescent="0.25">
      <c r="B78" s="1676"/>
      <c r="C78" s="1714" t="s">
        <v>10540</v>
      </c>
      <c r="D78" s="1668" t="s">
        <v>10641</v>
      </c>
      <c r="E78" s="1657"/>
      <c r="F78" s="1657">
        <f>'[6]Gastos de Operación'!F78+'[7]Gastos de Operación'!F78+'[8]Gastos de Operación'!F78+'[3]Gastos de Operación'!F78+'[9]Gastos de Operación'!F78+'[2]Gastos de Operación'!F78</f>
        <v>5827.0405666666666</v>
      </c>
      <c r="G78" s="1657">
        <f>'[6]Gastos de Operación'!G78+'[7]Gastos de Operación'!G78+'[8]Gastos de Operación'!G78+'[3]Gastos de Operación'!G78+'[9]Gastos de Operación'!G78+'[2]Gastos de Operación'!G78</f>
        <v>5827.9111333333331</v>
      </c>
      <c r="H78" s="1657">
        <f>'[6]Gastos de Operación'!H78+'[7]Gastos de Operación'!H78+'[8]Gastos de Operación'!H78+'[3]Gastos de Operación'!H78+'[9]Gastos de Operación'!H78+'[2]Gastos de Operación'!H78</f>
        <v>5828.7816999999995</v>
      </c>
      <c r="I78" s="1657">
        <f>'[6]Gastos de Operación'!I78+'[7]Gastos de Operación'!I78+'[8]Gastos de Operación'!I78+'[3]Gastos de Operación'!I78+'[9]Gastos de Operación'!I78+'[2]Gastos de Operación'!I78</f>
        <v>5829.6522666666669</v>
      </c>
      <c r="J78" s="1657">
        <f>'[6]Gastos de Operación'!J78+'[7]Gastos de Operación'!J78+'[8]Gastos de Operación'!J78+'[3]Gastos de Operación'!J78+'[9]Gastos de Operación'!J78+'[2]Gastos de Operación'!J78</f>
        <v>5830.5228333333334</v>
      </c>
      <c r="K78" s="1657">
        <f>'[6]Gastos de Operación'!K78+'[7]Gastos de Operación'!K78+'[8]Gastos de Operación'!K78+'[3]Gastos de Operación'!K78+'[9]Gastos de Operación'!K78+'[2]Gastos de Operación'!K78</f>
        <v>5831.3933999999999</v>
      </c>
      <c r="L78" s="1657">
        <f>'[6]Gastos de Operación'!L78+'[7]Gastos de Operación'!L78+'[8]Gastos de Operación'!L78+'[3]Gastos de Operación'!L78+'[9]Gastos de Operación'!L78+'[2]Gastos de Operación'!L78</f>
        <v>5832.2639666666664</v>
      </c>
      <c r="M78" s="1657">
        <f>'[6]Gastos de Operación'!M78+'[7]Gastos de Operación'!M78+'[8]Gastos de Operación'!M78+'[3]Gastos de Operación'!M78+'[9]Gastos de Operación'!M78+'[2]Gastos de Operación'!M78</f>
        <v>5833.1345333333329</v>
      </c>
      <c r="N78" s="1657">
        <f>'[6]Gastos de Operación'!N78+'[7]Gastos de Operación'!N78+'[8]Gastos de Operación'!N78+'[3]Gastos de Operación'!N78+'[9]Gastos de Operación'!N78+'[2]Gastos de Operación'!N78</f>
        <v>5834.0051000000003</v>
      </c>
      <c r="O78" s="1657">
        <f>'[6]Gastos de Operación'!O78+'[7]Gastos de Operación'!O78+'[8]Gastos de Operación'!O78+'[3]Gastos de Operación'!O78+'[9]Gastos de Operación'!O78+'[2]Gastos de Operación'!O78</f>
        <v>5834.8756666666668</v>
      </c>
      <c r="P78" s="1657">
        <f>'[6]Gastos de Operación'!P78+'[7]Gastos de Operación'!P78+'[8]Gastos de Operación'!P78+'[3]Gastos de Operación'!P78+'[9]Gastos de Operación'!P78+'[2]Gastos de Operación'!P78</f>
        <v>5835.7462333333333</v>
      </c>
      <c r="Q78" s="1657">
        <f>'[6]Gastos de Operación'!Q78+'[7]Gastos de Operación'!Q78+'[8]Gastos de Operación'!Q78+'[3]Gastos de Operación'!Q78+'[9]Gastos de Operación'!Q78+'[2]Gastos de Operación'!Q78</f>
        <v>5836.6167999999998</v>
      </c>
      <c r="R78" s="1669">
        <f t="shared" si="4"/>
        <v>69981.944199999998</v>
      </c>
    </row>
    <row r="79" spans="2:18" ht="15.75" x14ac:dyDescent="0.25">
      <c r="B79" s="1676"/>
      <c r="C79" s="1714" t="s">
        <v>10541</v>
      </c>
      <c r="D79" s="1668" t="s">
        <v>10642</v>
      </c>
      <c r="E79" s="1657"/>
      <c r="F79" s="1657">
        <f>'[6]Gastos de Operación'!F79+'[7]Gastos de Operación'!F79+'[8]Gastos de Operación'!F79+'[3]Gastos de Operación'!F79+'[9]Gastos de Operación'!F79+'[2]Gastos de Operación'!F79</f>
        <v>33406.666666666664</v>
      </c>
      <c r="G79" s="1657">
        <f>'[6]Gastos de Operación'!G79+'[7]Gastos de Operación'!G79+'[8]Gastos de Operación'!G79+'[3]Gastos de Operación'!G79+'[9]Gastos de Operación'!G79+'[2]Gastos de Operación'!G79</f>
        <v>33543.73333333333</v>
      </c>
      <c r="H79" s="1657">
        <f>'[6]Gastos de Operación'!H79+'[7]Gastos de Operación'!H79+'[8]Gastos de Operación'!H79+'[3]Gastos de Operación'!H79+'[9]Gastos de Operación'!H79+'[2]Gastos de Operación'!H79</f>
        <v>33742.203999999998</v>
      </c>
      <c r="I79" s="1657">
        <f>'[6]Gastos de Operación'!I79+'[7]Gastos de Operación'!I79+'[8]Gastos de Operación'!I79+'[3]Gastos de Operación'!I79+'[9]Gastos de Operación'!I79+'[2]Gastos de Operación'!I79</f>
        <v>42617.03338666667</v>
      </c>
      <c r="J79" s="1657">
        <f>'[6]Gastos de Operación'!J79+'[7]Gastos de Operación'!J79+'[8]Gastos de Operación'!J79+'[3]Gastos de Operación'!J79+'[9]Gastos de Operación'!J79+'[2]Gastos de Operación'!J79</f>
        <v>33774.333333333336</v>
      </c>
      <c r="K79" s="1657">
        <f>'[6]Gastos de Operación'!K79+'[7]Gastos de Operación'!K79+'[8]Gastos de Operación'!K79+'[3]Gastos de Operación'!K79+'[9]Gastos de Operación'!K79+'[2]Gastos de Operación'!K79</f>
        <v>33974.008000000002</v>
      </c>
      <c r="L79" s="1657">
        <f>'[6]Gastos de Operación'!L79+'[7]Gastos de Operación'!L79+'[8]Gastos de Operación'!L79+'[3]Gastos de Operación'!L79+'[9]Gastos de Operación'!L79+'[2]Gastos de Operación'!L79</f>
        <v>34237.322093333336</v>
      </c>
      <c r="M79" s="1657">
        <f>'[6]Gastos de Operación'!M79+'[7]Gastos de Operación'!M79+'[8]Gastos de Operación'!M79+'[3]Gastos de Operación'!M79+'[9]Gastos de Operación'!M79+'[2]Gastos de Operación'!M79</f>
        <v>42980.655426666672</v>
      </c>
      <c r="N79" s="1657">
        <f>'[6]Gastos de Operación'!N79+'[7]Gastos de Operación'!N79+'[8]Gastos de Operación'!N79+'[3]Gastos de Operación'!N79+'[9]Gastos de Operación'!N79+'[2]Gastos de Operación'!N79</f>
        <v>34081.800000000003</v>
      </c>
      <c r="O79" s="1657">
        <f>'[6]Gastos de Operación'!O79+'[7]Gastos de Operación'!O79+'[8]Gastos de Operación'!O79+'[3]Gastos de Operación'!O79+'[9]Gastos de Operación'!O79+'[2]Gastos de Operación'!O79</f>
        <v>34283.08</v>
      </c>
      <c r="P79" s="1657">
        <f>'[6]Gastos de Operación'!P79+'[7]Gastos de Operación'!P79+'[8]Gastos de Operación'!P79+'[3]Gastos de Operación'!P79+'[9]Gastos de Operación'!P79+'[2]Gastos de Operación'!P79</f>
        <v>34548.818146666665</v>
      </c>
      <c r="Q79" s="1657">
        <f>'[6]Gastos de Operación'!Q79+'[7]Gastos de Operación'!Q79+'[8]Gastos de Operación'!Q79+'[3]Gastos de Operación'!Q79+'[9]Gastos de Operación'!Q79+'[2]Gastos de Operación'!Q79</f>
        <v>43405.484813333329</v>
      </c>
      <c r="R79" s="1669">
        <f t="shared" si="4"/>
        <v>434595.13920000003</v>
      </c>
    </row>
    <row r="80" spans="2:18" ht="15.75" x14ac:dyDescent="0.25">
      <c r="B80" s="1676"/>
      <c r="C80" s="1714" t="s">
        <v>10542</v>
      </c>
      <c r="D80" s="1668" t="s">
        <v>10643</v>
      </c>
      <c r="E80" s="1657"/>
      <c r="F80" s="1657">
        <f>'[6]Gastos de Operación'!F80+'[7]Gastos de Operación'!F80+'[8]Gastos de Operación'!F80+'[3]Gastos de Operación'!F80+'[9]Gastos de Operación'!F80+'[2]Gastos de Operación'!F80</f>
        <v>1500</v>
      </c>
      <c r="G80" s="1657">
        <f>'[6]Gastos de Operación'!G80+'[7]Gastos de Operación'!G80+'[8]Gastos de Operación'!G80+'[3]Gastos de Operación'!G80+'[9]Gastos de Operación'!G80+'[2]Gastos de Operación'!G80</f>
        <v>1510</v>
      </c>
      <c r="H80" s="1657">
        <f>'[6]Gastos de Operación'!H80+'[7]Gastos de Operación'!H80+'[8]Gastos de Operación'!H80+'[3]Gastos de Operación'!H80+'[9]Gastos de Operación'!H80+'[2]Gastos de Operación'!H80</f>
        <v>1525.1</v>
      </c>
      <c r="I80" s="1657">
        <f>'[6]Gastos de Operación'!I80+'[7]Gastos de Operación'!I80+'[8]Gastos de Operación'!I80+'[3]Gastos de Operación'!I80+'[9]Gastos de Operación'!I80+'[2]Gastos de Operación'!I80</f>
        <v>1545.4346666666668</v>
      </c>
      <c r="J80" s="1657">
        <f>'[6]Gastos de Operación'!J80+'[7]Gastos de Operación'!J80+'[8]Gastos de Operación'!J80+'[3]Gastos de Operación'!J80+'[9]Gastos de Operación'!J80+'[2]Gastos de Operación'!J80</f>
        <v>1571.191911111111</v>
      </c>
      <c r="K80" s="1657">
        <f>'[6]Gastos de Operación'!K80+'[7]Gastos de Operación'!K80+'[8]Gastos de Operación'!K80+'[3]Gastos de Operación'!K80+'[9]Gastos de Operación'!K80+'[2]Gastos de Operación'!K80</f>
        <v>1602.6157493333333</v>
      </c>
      <c r="L80" s="1657">
        <f>'[6]Gastos de Operación'!L80+'[7]Gastos de Operación'!L80+'[8]Gastos de Operación'!L80+'[3]Gastos de Operación'!L80+'[9]Gastos de Operación'!L80+'[2]Gastos de Operación'!L80</f>
        <v>1640.0101168177778</v>
      </c>
      <c r="M80" s="1657">
        <f>'[6]Gastos de Operación'!M80+'[7]Gastos de Operación'!M80+'[8]Gastos de Operación'!M80+'[3]Gastos de Operación'!M80+'[9]Gastos de Operación'!M80+'[2]Gastos de Operación'!M80</f>
        <v>6683.7437199329179</v>
      </c>
      <c r="N80" s="1657">
        <f>'[6]Gastos de Operación'!N80+'[7]Gastos de Operación'!N80+'[8]Gastos de Operación'!N80+'[3]Gastos de Operación'!N80+'[9]Gastos de Operación'!N80+'[2]Gastos de Operación'!N80</f>
        <v>1734.2560315309058</v>
      </c>
      <c r="O80" s="1657">
        <f>'[6]Gastos de Operación'!O80+'[7]Gastos de Operación'!O80+'[8]Gastos de Operación'!O80+'[3]Gastos de Operación'!O80+'[9]Gastos de Operación'!O80+'[2]Gastos de Operación'!O80</f>
        <v>1792.0645659152694</v>
      </c>
      <c r="P80" s="1657">
        <f>'[6]Gastos de Operación'!P80+'[7]Gastos de Operación'!P80+'[8]Gastos de Operación'!P80+'[3]Gastos de Operación'!P80+'[9]Gastos de Operación'!P80+'[2]Gastos de Operación'!P80</f>
        <v>1857.7735999988292</v>
      </c>
      <c r="Q80" s="1657">
        <f>'[6]Gastos de Operación'!Q80+'[7]Gastos de Operación'!Q80+'[8]Gastos de Operación'!Q80+'[3]Gastos de Operación'!Q80+'[9]Gastos de Operación'!Q80+'[2]Gastos de Operación'!Q80</f>
        <v>1932.0845439987825</v>
      </c>
      <c r="R80" s="1669">
        <f t="shared" ref="R80" si="5">+SUM(F80:Q80)</f>
        <v>24894.274905305592</v>
      </c>
    </row>
    <row r="81" spans="2:19" ht="15.75" x14ac:dyDescent="0.25">
      <c r="B81" s="1676" t="s">
        <v>10644</v>
      </c>
      <c r="C81" s="1714" t="s">
        <v>10645</v>
      </c>
      <c r="D81" s="1668" t="s">
        <v>10646</v>
      </c>
      <c r="E81" s="1657"/>
      <c r="F81" s="1657">
        <f>'[6]Gastos de Operación'!F81+'[7]Gastos de Operación'!F81+'[8]Gastos de Operación'!F81+'[3]Gastos de Operación'!F81+'[9]Gastos de Operación'!F81+'[2]Gastos de Operación'!F81</f>
        <v>0</v>
      </c>
      <c r="G81" s="1657">
        <f>'[6]Gastos de Operación'!G81+'[7]Gastos de Operación'!G81+'[8]Gastos de Operación'!G81+'[3]Gastos de Operación'!G81+'[9]Gastos de Operación'!G81+'[2]Gastos de Operación'!G81</f>
        <v>0</v>
      </c>
      <c r="H81" s="1657">
        <f>'[6]Gastos de Operación'!H81+'[7]Gastos de Operación'!H81+'[8]Gastos de Operación'!H81+'[3]Gastos de Operación'!H81+'[9]Gastos de Operación'!H81+'[2]Gastos de Operación'!H81</f>
        <v>0</v>
      </c>
      <c r="I81" s="1657">
        <f>'[6]Gastos de Operación'!I81+'[7]Gastos de Operación'!I81+'[8]Gastos de Operación'!I81+'[3]Gastos de Operación'!I81+'[9]Gastos de Operación'!I81+'[2]Gastos de Operación'!I81</f>
        <v>0</v>
      </c>
      <c r="J81" s="1657">
        <f>'[6]Gastos de Operación'!J81+'[7]Gastos de Operación'!J81+'[8]Gastos de Operación'!J81+'[3]Gastos de Operación'!J81+'[9]Gastos de Operación'!J81+'[2]Gastos de Operación'!J81</f>
        <v>0</v>
      </c>
      <c r="K81" s="1657">
        <f>'[6]Gastos de Operación'!K81+'[7]Gastos de Operación'!K81+'[8]Gastos de Operación'!K81+'[3]Gastos de Operación'!K81+'[9]Gastos de Operación'!K81+'[2]Gastos de Operación'!K81</f>
        <v>0</v>
      </c>
      <c r="L81" s="1657">
        <f>'[6]Gastos de Operación'!L81+'[7]Gastos de Operación'!L81+'[8]Gastos de Operación'!L81+'[3]Gastos de Operación'!L81+'[9]Gastos de Operación'!L81+'[2]Gastos de Operación'!L81</f>
        <v>0</v>
      </c>
      <c r="M81" s="1657">
        <f>'[6]Gastos de Operación'!M81+'[7]Gastos de Operación'!M81+'[8]Gastos de Operación'!M81+'[3]Gastos de Operación'!M81+'[9]Gastos de Operación'!M81+'[2]Gastos de Operación'!M81</f>
        <v>0</v>
      </c>
      <c r="N81" s="1657">
        <f>'[6]Gastos de Operación'!N81+'[7]Gastos de Operación'!N81+'[8]Gastos de Operación'!N81+'[3]Gastos de Operación'!N81+'[9]Gastos de Operación'!N81+'[2]Gastos de Operación'!N81</f>
        <v>0</v>
      </c>
      <c r="O81" s="1657">
        <f>'[6]Gastos de Operación'!O81+'[7]Gastos de Operación'!O81+'[8]Gastos de Operación'!O81+'[3]Gastos de Operación'!O81+'[9]Gastos de Operación'!O81+'[2]Gastos de Operación'!O81</f>
        <v>0</v>
      </c>
      <c r="P81" s="1657">
        <f>'[6]Gastos de Operación'!P81+'[7]Gastos de Operación'!P81+'[8]Gastos de Operación'!P81+'[3]Gastos de Operación'!P81+'[9]Gastos de Operación'!P81+'[2]Gastos de Operación'!P81</f>
        <v>0</v>
      </c>
      <c r="Q81" s="1657">
        <f>'[6]Gastos de Operación'!Q81+'[7]Gastos de Operación'!Q81+'[8]Gastos de Operación'!Q81+'[3]Gastos de Operación'!Q81+'[9]Gastos de Operación'!Q81+'[2]Gastos de Operación'!Q81</f>
        <v>0</v>
      </c>
      <c r="R81" s="1669">
        <f t="shared" si="4"/>
        <v>0</v>
      </c>
    </row>
    <row r="82" spans="2:19" ht="15.75" x14ac:dyDescent="0.25">
      <c r="B82" s="1676"/>
      <c r="C82" s="1714"/>
      <c r="D82" s="1668" t="s">
        <v>10682</v>
      </c>
      <c r="E82" s="1657"/>
      <c r="F82" s="1657">
        <f>'[6]Gastos de Operación'!F82+'[7]Gastos de Operación'!F82+'[8]Gastos de Operación'!F82+'[3]Gastos de Operación'!F82+'[9]Gastos de Operación'!F82+'[2]Gastos de Operación'!F82</f>
        <v>0</v>
      </c>
      <c r="G82" s="1657">
        <f>'[6]Gastos de Operación'!G82+'[7]Gastos de Operación'!G82+'[8]Gastos de Operación'!G82+'[3]Gastos de Operación'!G82+'[9]Gastos de Operación'!G82+'[2]Gastos de Operación'!G82</f>
        <v>0</v>
      </c>
      <c r="H82" s="1657">
        <f>'[6]Gastos de Operación'!H82+'[7]Gastos de Operación'!H82+'[8]Gastos de Operación'!H82+'[3]Gastos de Operación'!H82+'[9]Gastos de Operación'!H82+'[2]Gastos de Operación'!H82</f>
        <v>4888</v>
      </c>
      <c r="I82" s="1657">
        <f>'[6]Gastos de Operación'!I82+'[7]Gastos de Operación'!I82+'[8]Gastos de Operación'!I82+'[3]Gastos de Operación'!I82+'[9]Gastos de Operación'!I82+'[2]Gastos de Operación'!I82</f>
        <v>4888</v>
      </c>
      <c r="J82" s="1657">
        <f>'[6]Gastos de Operación'!J82+'[7]Gastos de Operación'!J82+'[8]Gastos de Operación'!J82+'[3]Gastos de Operación'!J82+'[9]Gastos de Operación'!J82+'[2]Gastos de Operación'!J82</f>
        <v>4888</v>
      </c>
      <c r="K82" s="1657">
        <f>'[6]Gastos de Operación'!K82+'[7]Gastos de Operación'!K82+'[8]Gastos de Operación'!K82+'[3]Gastos de Operación'!K82+'[9]Gastos de Operación'!K82+'[2]Gastos de Operación'!K82</f>
        <v>4888</v>
      </c>
      <c r="L82" s="1657">
        <f>'[6]Gastos de Operación'!L82+'[7]Gastos de Operación'!L82+'[8]Gastos de Operación'!L82+'[3]Gastos de Operación'!L82+'[9]Gastos de Operación'!L82+'[2]Gastos de Operación'!L82</f>
        <v>4888</v>
      </c>
      <c r="M82" s="1657">
        <f>'[6]Gastos de Operación'!M82+'[7]Gastos de Operación'!M82+'[8]Gastos de Operación'!M82+'[3]Gastos de Operación'!M82+'[9]Gastos de Operación'!M82+'[2]Gastos de Operación'!M82</f>
        <v>4888</v>
      </c>
      <c r="N82" s="1657">
        <f>'[6]Gastos de Operación'!N82+'[7]Gastos de Operación'!N82+'[8]Gastos de Operación'!N82+'[3]Gastos de Operación'!N82+'[9]Gastos de Operación'!N82+'[2]Gastos de Operación'!N82</f>
        <v>4888</v>
      </c>
      <c r="O82" s="1657">
        <f>'[6]Gastos de Operación'!O82+'[7]Gastos de Operación'!O82+'[8]Gastos de Operación'!O82+'[3]Gastos de Operación'!O82+'[9]Gastos de Operación'!O82+'[2]Gastos de Operación'!O82</f>
        <v>4888</v>
      </c>
      <c r="P82" s="1657">
        <f>'[6]Gastos de Operación'!P82+'[7]Gastos de Operación'!P82+'[8]Gastos de Operación'!P82+'[3]Gastos de Operación'!P82+'[9]Gastos de Operación'!P82+'[2]Gastos de Operación'!P82</f>
        <v>0</v>
      </c>
      <c r="Q82" s="1657">
        <f>'[6]Gastos de Operación'!Q82+'[7]Gastos de Operación'!Q82+'[8]Gastos de Operación'!Q82+'[3]Gastos de Operación'!Q82+'[9]Gastos de Operación'!Q82+'[2]Gastos de Operación'!Q82</f>
        <v>0</v>
      </c>
      <c r="R82" s="1669">
        <f t="shared" si="4"/>
        <v>39104</v>
      </c>
    </row>
    <row r="83" spans="2:19" ht="15.75" x14ac:dyDescent="0.25">
      <c r="B83" s="1676" t="s">
        <v>10543</v>
      </c>
      <c r="C83" s="1714" t="s">
        <v>10544</v>
      </c>
      <c r="D83" s="1668" t="s">
        <v>10647</v>
      </c>
      <c r="E83" s="1657"/>
      <c r="F83" s="1657">
        <f>'[6]Gastos de Operación'!F83+'[7]Gastos de Operación'!F83+'[8]Gastos de Operación'!F83+'[3]Gastos de Operación'!F83+'[9]Gastos de Operación'!F83+'[2]Gastos de Operación'!F83</f>
        <v>3307.1210566000427</v>
      </c>
      <c r="G83" s="1657">
        <f>'[6]Gastos de Operación'!G83+'[7]Gastos de Operación'!G83+'[8]Gastos de Operación'!G83+'[3]Gastos de Operación'!G83+'[9]Gastos de Operación'!G83+'[2]Gastos de Operación'!G83</f>
        <v>3293.2506153000231</v>
      </c>
      <c r="H83" s="1657">
        <f>'[6]Gastos de Operación'!H83+'[7]Gastos de Operación'!H83+'[8]Gastos de Operación'!H83+'[3]Gastos de Operación'!H83+'[9]Gastos de Operación'!H83+'[2]Gastos de Operación'!H83</f>
        <v>3344.6566058264971</v>
      </c>
      <c r="I83" s="1657">
        <f>'[6]Gastos de Operación'!I83+'[7]Gastos de Operación'!I83+'[8]Gastos de Operación'!I83+'[3]Gastos de Operación'!I83+'[9]Gastos de Operación'!I83+'[2]Gastos de Operación'!I83</f>
        <v>3425.3107771573104</v>
      </c>
      <c r="J83" s="1657">
        <f>'[6]Gastos de Operación'!J83+'[7]Gastos de Operación'!J83+'[8]Gastos de Operación'!J83+'[3]Gastos de Operación'!J83+'[9]Gastos de Operación'!J83+'[2]Gastos de Operación'!J83</f>
        <v>3408.4756108487154</v>
      </c>
      <c r="K83" s="1657">
        <f>'[6]Gastos de Operación'!K83+'[7]Gastos de Operación'!K83+'[8]Gastos de Operación'!K83+'[3]Gastos de Operación'!K83+'[9]Gastos de Operación'!K83+'[2]Gastos de Operación'!K83</f>
        <v>3442.7377088096378</v>
      </c>
      <c r="L83" s="1657">
        <f>'[6]Gastos de Operación'!L83+'[7]Gastos de Operación'!L83+'[8]Gastos de Operación'!L83+'[3]Gastos de Operación'!L83+'[9]Gastos de Operación'!L83+'[2]Gastos de Operación'!L83</f>
        <v>3566.2208725920436</v>
      </c>
      <c r="M83" s="1657">
        <f>'[6]Gastos de Operación'!M83+'[7]Gastos de Operación'!M83+'[8]Gastos de Operación'!M83+'[3]Gastos de Operación'!M83+'[9]Gastos de Operación'!M83+'[2]Gastos de Operación'!M83</f>
        <v>3579.8804578332315</v>
      </c>
      <c r="N83" s="1657">
        <f>'[6]Gastos de Operación'!N83+'[7]Gastos de Operación'!N83+'[8]Gastos de Operación'!N83+'[3]Gastos de Operación'!N83+'[9]Gastos de Operación'!N83+'[2]Gastos de Operación'!N83</f>
        <v>3485.7322234932285</v>
      </c>
      <c r="O83" s="1657">
        <f>'[6]Gastos de Operación'!O83+'[7]Gastos de Operación'!O83+'[8]Gastos de Operación'!O83+'[3]Gastos de Operación'!O83+'[9]Gastos de Operación'!O83+'[2]Gastos de Operación'!O83</f>
        <v>3846.7784744389628</v>
      </c>
      <c r="P83" s="1657">
        <f>'[6]Gastos de Operación'!P83+'[7]Gastos de Operación'!P83+'[8]Gastos de Operación'!P83+'[3]Gastos de Operación'!P83+'[9]Gastos de Operación'!P83+'[2]Gastos de Operación'!P83</f>
        <v>3749.9556299655105</v>
      </c>
      <c r="Q83" s="1657">
        <f>'[6]Gastos de Operación'!Q83+'[7]Gastos de Operación'!Q83+'[8]Gastos de Operación'!Q83+'[3]Gastos de Operación'!Q83+'[9]Gastos de Operación'!Q83+'[2]Gastos de Operación'!Q83</f>
        <v>3813.3617380592559</v>
      </c>
      <c r="R83" s="1669">
        <f t="shared" si="4"/>
        <v>42263.481770924453</v>
      </c>
    </row>
    <row r="84" spans="2:19" ht="15.75" x14ac:dyDescent="0.25">
      <c r="B84" s="1676"/>
      <c r="C84" s="1657"/>
      <c r="D84" s="1657"/>
      <c r="E84" s="1657"/>
      <c r="F84" s="1658"/>
      <c r="G84" s="1658"/>
      <c r="H84" s="1658"/>
      <c r="I84" s="1658"/>
      <c r="J84" s="1658"/>
      <c r="K84" s="1658"/>
      <c r="L84" s="1658"/>
      <c r="M84" s="1658"/>
      <c r="N84" s="1658"/>
      <c r="O84" s="1658"/>
      <c r="P84" s="1658"/>
      <c r="Q84" s="1658"/>
      <c r="R84" s="1669"/>
    </row>
    <row r="85" spans="2:19" ht="15.75" x14ac:dyDescent="0.25">
      <c r="B85" s="1661" t="s">
        <v>10545</v>
      </c>
      <c r="C85" s="1662"/>
      <c r="D85" s="1662"/>
      <c r="E85" s="1662"/>
      <c r="F85" s="1678">
        <f t="shared" ref="F85:R85" si="6">SUM(F58:F84)</f>
        <v>940396.6757279532</v>
      </c>
      <c r="G85" s="1678">
        <f t="shared" si="6"/>
        <v>984394.89838303486</v>
      </c>
      <c r="H85" s="1678">
        <f t="shared" si="6"/>
        <v>1008582.2482983995</v>
      </c>
      <c r="I85" s="1678">
        <f t="shared" si="6"/>
        <v>966023.98610153724</v>
      </c>
      <c r="J85" s="1678">
        <f t="shared" si="6"/>
        <v>964648.66117954336</v>
      </c>
      <c r="K85" s="1678">
        <f t="shared" si="6"/>
        <v>956557.9288426399</v>
      </c>
      <c r="L85" s="1678">
        <f t="shared" si="6"/>
        <v>960324.0237582156</v>
      </c>
      <c r="M85" s="1678">
        <f t="shared" si="6"/>
        <v>983155.62972186261</v>
      </c>
      <c r="N85" s="1678">
        <f t="shared" si="6"/>
        <v>953152.57031290454</v>
      </c>
      <c r="O85" s="1678">
        <f t="shared" si="6"/>
        <v>971064.85476212366</v>
      </c>
      <c r="P85" s="1678">
        <f t="shared" si="6"/>
        <v>958597.90303707588</v>
      </c>
      <c r="Q85" s="1678">
        <f t="shared" si="6"/>
        <v>962179.97757169208</v>
      </c>
      <c r="R85" s="1679">
        <f t="shared" si="6"/>
        <v>11609079.357696984</v>
      </c>
      <c r="S85" s="1715">
        <f>R85-Edo.Res.detalle!B25</f>
        <v>0</v>
      </c>
    </row>
    <row r="86" spans="2:19" ht="15.75" x14ac:dyDescent="0.25">
      <c r="B86" s="1661"/>
      <c r="C86" s="1662"/>
      <c r="D86" s="1662"/>
      <c r="E86" s="1662"/>
      <c r="F86" s="1681"/>
      <c r="G86" s="1681"/>
      <c r="H86" s="1681"/>
      <c r="I86" s="1681"/>
      <c r="J86" s="1681"/>
      <c r="K86" s="1681"/>
      <c r="L86" s="1681"/>
      <c r="M86" s="1681"/>
      <c r="N86" s="1681"/>
      <c r="O86" s="1681"/>
      <c r="P86" s="1681"/>
      <c r="Q86" s="1681"/>
      <c r="R86" s="1681"/>
    </row>
    <row r="87" spans="2:19" ht="15.75" x14ac:dyDescent="0.25">
      <c r="B87" s="1682" t="s">
        <v>10546</v>
      </c>
      <c r="C87" s="1662"/>
      <c r="D87" s="1683"/>
      <c r="E87" s="1683"/>
      <c r="F87" s="1678">
        <f t="shared" ref="F87:R87" si="7">SUM(F54+F85)</f>
        <v>3630100.3091352838</v>
      </c>
      <c r="G87" s="1678">
        <f t="shared" si="7"/>
        <v>3793047.5404907083</v>
      </c>
      <c r="H87" s="1678">
        <f t="shared" si="7"/>
        <v>3862281.331344089</v>
      </c>
      <c r="I87" s="1678">
        <f t="shared" si="7"/>
        <v>4013038.1105856504</v>
      </c>
      <c r="J87" s="1678">
        <f t="shared" si="7"/>
        <v>4098162.4093730883</v>
      </c>
      <c r="K87" s="1678">
        <f t="shared" si="7"/>
        <v>4050528.2328679762</v>
      </c>
      <c r="L87" s="1678">
        <f t="shared" si="7"/>
        <v>4151577.9050578708</v>
      </c>
      <c r="M87" s="1678">
        <f t="shared" si="7"/>
        <v>4144766.8643846917</v>
      </c>
      <c r="N87" s="1678">
        <f t="shared" si="7"/>
        <v>3987726.0102222497</v>
      </c>
      <c r="O87" s="1678">
        <f t="shared" si="7"/>
        <v>4317852.1991238827</v>
      </c>
      <c r="P87" s="1678">
        <f t="shared" si="7"/>
        <v>4110744.6856178772</v>
      </c>
      <c r="Q87" s="1678">
        <f t="shared" si="7"/>
        <v>4146744.6813482856</v>
      </c>
      <c r="R87" s="1679">
        <f t="shared" si="7"/>
        <v>48306570.279551655</v>
      </c>
      <c r="S87" s="1412"/>
    </row>
    <row r="88" spans="2:19" ht="15.75" x14ac:dyDescent="0.25">
      <c r="B88" s="1661"/>
      <c r="C88" s="1662"/>
      <c r="D88" s="1662"/>
      <c r="E88" s="1684"/>
      <c r="F88" s="1685"/>
      <c r="G88" s="1685"/>
      <c r="H88" s="1685"/>
      <c r="I88" s="1685"/>
      <c r="J88" s="1685"/>
      <c r="K88" s="1685"/>
      <c r="L88" s="1685"/>
      <c r="M88" s="1685"/>
      <c r="N88" s="1685"/>
      <c r="O88" s="1685"/>
      <c r="P88" s="1685"/>
      <c r="Q88" s="1685"/>
      <c r="R88" s="1669"/>
    </row>
    <row r="89" spans="2:19" ht="15.75" hidden="1" x14ac:dyDescent="0.25">
      <c r="B89" s="1661"/>
      <c r="C89" s="1662"/>
      <c r="D89" s="1662"/>
      <c r="E89" s="1662"/>
      <c r="F89" s="1686" t="e">
        <f t="shared" ref="F89:R89" si="8">F87/F12</f>
        <v>#DIV/0!</v>
      </c>
      <c r="G89" s="1686" t="e">
        <f t="shared" si="8"/>
        <v>#DIV/0!</v>
      </c>
      <c r="H89" s="1686" t="e">
        <f t="shared" si="8"/>
        <v>#DIV/0!</v>
      </c>
      <c r="I89" s="1686" t="e">
        <f t="shared" si="8"/>
        <v>#DIV/0!</v>
      </c>
      <c r="J89" s="1686" t="e">
        <f t="shared" si="8"/>
        <v>#DIV/0!</v>
      </c>
      <c r="K89" s="1686" t="e">
        <f t="shared" si="8"/>
        <v>#DIV/0!</v>
      </c>
      <c r="L89" s="1686" t="e">
        <f t="shared" si="8"/>
        <v>#DIV/0!</v>
      </c>
      <c r="M89" s="1686" t="e">
        <f t="shared" si="8"/>
        <v>#DIV/0!</v>
      </c>
      <c r="N89" s="1686" t="e">
        <f t="shared" si="8"/>
        <v>#DIV/0!</v>
      </c>
      <c r="O89" s="1686" t="e">
        <f t="shared" si="8"/>
        <v>#DIV/0!</v>
      </c>
      <c r="P89" s="1686" t="e">
        <f t="shared" si="8"/>
        <v>#DIV/0!</v>
      </c>
      <c r="Q89" s="1686" t="e">
        <f t="shared" si="8"/>
        <v>#DIV/0!</v>
      </c>
      <c r="R89" s="1687" t="e">
        <f t="shared" si="8"/>
        <v>#DIV/0!</v>
      </c>
    </row>
    <row r="90" spans="2:19" ht="15.75" x14ac:dyDescent="0.25">
      <c r="B90" s="1661" t="s">
        <v>10547</v>
      </c>
      <c r="C90" s="1662"/>
      <c r="D90" s="1662"/>
      <c r="E90" s="1662"/>
      <c r="F90" s="1672"/>
      <c r="G90" s="1672"/>
      <c r="H90" s="1672"/>
      <c r="I90" s="1672"/>
      <c r="J90" s="1672"/>
      <c r="K90" s="1672"/>
      <c r="L90" s="1672"/>
      <c r="M90" s="1672"/>
      <c r="N90" s="1672"/>
      <c r="O90" s="1672"/>
      <c r="P90" s="1672"/>
      <c r="Q90" s="1672"/>
      <c r="R90" s="1688"/>
    </row>
    <row r="91" spans="2:19" ht="15.75" x14ac:dyDescent="0.25">
      <c r="B91" s="1661"/>
      <c r="C91" s="1662"/>
      <c r="D91" s="1662"/>
      <c r="E91" s="1662"/>
      <c r="F91" s="1657"/>
      <c r="G91" s="1657"/>
      <c r="H91" s="1657"/>
      <c r="I91" s="1657"/>
      <c r="J91" s="1657"/>
      <c r="K91" s="1657"/>
      <c r="L91" s="1657"/>
      <c r="M91" s="1657"/>
      <c r="N91" s="1657"/>
      <c r="O91" s="1657"/>
      <c r="P91" s="1657"/>
      <c r="Q91" s="1657"/>
      <c r="R91" s="1689"/>
    </row>
    <row r="92" spans="2:19" ht="15.75" x14ac:dyDescent="0.25">
      <c r="B92" s="1661" t="s">
        <v>10548</v>
      </c>
      <c r="C92" s="1662"/>
      <c r="D92" s="1662"/>
      <c r="E92" s="1690"/>
      <c r="F92" s="1691"/>
      <c r="G92" s="1691"/>
      <c r="H92" s="1691"/>
      <c r="I92" s="1691"/>
      <c r="J92" s="1691"/>
      <c r="K92" s="1691"/>
      <c r="L92" s="1691"/>
      <c r="M92" s="1691"/>
      <c r="N92" s="1691"/>
      <c r="O92" s="1691"/>
      <c r="P92" s="1691"/>
      <c r="Q92" s="1691"/>
      <c r="R92" s="1692"/>
    </row>
    <row r="93" spans="2:19" ht="15.75" x14ac:dyDescent="0.25">
      <c r="B93" s="1676"/>
      <c r="C93" s="1657"/>
      <c r="D93" s="1657"/>
      <c r="E93" s="1657"/>
      <c r="F93" s="1693"/>
      <c r="G93" s="1693"/>
      <c r="H93" s="1693"/>
      <c r="I93" s="1693"/>
      <c r="J93" s="1693"/>
      <c r="K93" s="1693"/>
      <c r="L93" s="1693"/>
      <c r="M93" s="1693"/>
      <c r="N93" s="1693"/>
      <c r="O93" s="1693"/>
      <c r="P93" s="1693"/>
      <c r="Q93" s="1693"/>
      <c r="R93" s="1694"/>
    </row>
    <row r="94" spans="2:19" ht="15.75" x14ac:dyDescent="0.25">
      <c r="B94" s="1676" t="s">
        <v>10549</v>
      </c>
      <c r="C94" s="1671" t="s">
        <v>10550</v>
      </c>
      <c r="D94" s="1668" t="s">
        <v>10648</v>
      </c>
      <c r="E94" s="1695"/>
      <c r="F94" s="1657">
        <f>'[6]Gastos de Operación'!F94+'[7]Gastos de Operación'!F94+'[8]Gastos de Operación'!F94+'[3]Gastos de Operación'!F94+'[9]Gastos de Operación'!F94+'[2]Gastos de Operación'!F94</f>
        <v>5491956.0459370576</v>
      </c>
      <c r="G94" s="1657">
        <f>'[6]Gastos de Operación'!G94+'[7]Gastos de Operación'!G94+'[8]Gastos de Operación'!G94+'[3]Gastos de Operación'!G94+'[9]Gastos de Operación'!G94+'[2]Gastos de Operación'!G94</f>
        <v>5671446.4139711317</v>
      </c>
      <c r="H94" s="1657">
        <f>'[6]Gastos de Operación'!H94+'[7]Gastos de Operación'!H94+'[8]Gastos de Operación'!H94+'[3]Gastos de Operación'!H94+'[9]Gastos de Operación'!H94+'[2]Gastos de Operación'!H94</f>
        <v>5923555.7514558388</v>
      </c>
      <c r="I94" s="1657">
        <f>'[6]Gastos de Operación'!I94+'[7]Gastos de Operación'!I94+'[8]Gastos de Operación'!I94+'[3]Gastos de Operación'!I94+'[9]Gastos de Operación'!I94+'[2]Gastos de Operación'!I94</f>
        <v>6441829.0585021861</v>
      </c>
      <c r="J94" s="1657">
        <f>'[6]Gastos de Operación'!J94+'[7]Gastos de Operación'!J94+'[8]Gastos de Operación'!J94+'[3]Gastos de Operación'!J94+'[9]Gastos de Operación'!J94+'[2]Gastos de Operación'!J94</f>
        <v>6321292.9699721374</v>
      </c>
      <c r="K94" s="1657">
        <f>'[6]Gastos de Operación'!K94+'[7]Gastos de Operación'!K94+'[8]Gastos de Operación'!K94+'[3]Gastos de Operación'!K94+'[9]Gastos de Operación'!K94+'[2]Gastos de Operación'!K94</f>
        <v>6376518.7942497041</v>
      </c>
      <c r="L94" s="1657">
        <f>'[6]Gastos de Operación'!L94+'[7]Gastos de Operación'!L94+'[8]Gastos de Operación'!L94+'[3]Gastos de Operación'!L94+'[9]Gastos de Operación'!L94+'[2]Gastos de Operación'!L94</f>
        <v>6914775.806657414</v>
      </c>
      <c r="M94" s="1657">
        <f>'[6]Gastos de Operación'!M94+'[7]Gastos de Operación'!M94+'[8]Gastos de Operación'!M94+'[3]Gastos de Operación'!M94+'[9]Gastos de Operación'!M94+'[2]Gastos de Operación'!M94</f>
        <v>6823545.4990776591</v>
      </c>
      <c r="N94" s="1657">
        <f>'[6]Gastos de Operación'!N94+'[7]Gastos de Operación'!N94+'[8]Gastos de Operación'!N94+'[3]Gastos de Operación'!N94+'[9]Gastos de Operación'!N94+'[2]Gastos de Operación'!N94</f>
        <v>6174641.9774685372</v>
      </c>
      <c r="O94" s="1657">
        <f>'[6]Gastos de Operación'!O94+'[7]Gastos de Operación'!O94+'[8]Gastos de Operación'!O94+'[3]Gastos de Operación'!O94+'[9]Gastos de Operación'!O94+'[2]Gastos de Operación'!O94</f>
        <v>7810488.2276044646</v>
      </c>
      <c r="P94" s="1657">
        <f>'[6]Gastos de Operación'!P94+'[7]Gastos de Operación'!P94+'[8]Gastos de Operación'!P94+'[3]Gastos de Operación'!P94+'[9]Gastos de Operación'!P94+'[2]Gastos de Operación'!P94</f>
        <v>7035435.2938162759</v>
      </c>
      <c r="Q94" s="1657">
        <f>'[6]Gastos de Operación'!Q94+'[7]Gastos de Operación'!Q94+'[8]Gastos de Operación'!Q94+'[3]Gastos de Operación'!Q94+'[9]Gastos de Operación'!Q94+'[2]Gastos de Operación'!Q94</f>
        <v>7141717.8781802598</v>
      </c>
      <c r="R94" s="1669">
        <f t="shared" ref="R94:R106" si="9">SUM(F94:Q94)</f>
        <v>78127203.71689266</v>
      </c>
    </row>
    <row r="95" spans="2:19" ht="15.75" x14ac:dyDescent="0.25">
      <c r="B95" s="1676"/>
      <c r="C95" s="1671" t="s">
        <v>10649</v>
      </c>
      <c r="D95" s="1668" t="s">
        <v>10650</v>
      </c>
      <c r="E95" s="1696">
        <f>3.33/2</f>
        <v>1.665</v>
      </c>
      <c r="F95" s="1657">
        <f>'[6]Gastos de Operación'!F95+'[7]Gastos de Operación'!F95+'[8]Gastos de Operación'!F95+'[3]Gastos de Operación'!F95+'[9]Gastos de Operación'!F95+'[2]Gastos de Operación'!F95</f>
        <v>1541457.9098960725</v>
      </c>
      <c r="G95" s="1657">
        <f>'[6]Gastos de Operación'!G95+'[7]Gastos de Operación'!G95+'[8]Gastos de Operación'!G95+'[3]Gastos de Operación'!G95+'[9]Gastos de Operación'!G95+'[2]Gastos de Operación'!G95</f>
        <v>1620249.8434986619</v>
      </c>
      <c r="H95" s="1657">
        <f>'[6]Gastos de Operación'!H95+'[7]Gastos de Operación'!H95+'[8]Gastos de Operación'!H95+'[3]Gastos de Operación'!H95+'[9]Gastos de Operación'!H95+'[2]Gastos de Operación'!H95</f>
        <v>1699858.8237174265</v>
      </c>
      <c r="I95" s="1657">
        <f>'[6]Gastos de Operación'!I95+'[7]Gastos de Operación'!I95+'[8]Gastos de Operación'!I95+'[3]Gastos de Operación'!I95+'[9]Gastos de Operación'!I95+'[2]Gastos de Operación'!I95</f>
        <v>1785336.2049657032</v>
      </c>
      <c r="J95" s="1657">
        <f>'[6]Gastos de Operación'!J95+'[7]Gastos de Operación'!J95+'[8]Gastos de Operación'!J95+'[3]Gastos de Operación'!J95+'[9]Gastos de Operación'!J95+'[2]Gastos de Operación'!J95</f>
        <v>2127672.8637480699</v>
      </c>
      <c r="K95" s="1657">
        <f>'[6]Gastos de Operación'!K95+'[7]Gastos de Operación'!K95+'[8]Gastos de Operación'!K95+'[3]Gastos de Operación'!K95+'[9]Gastos de Operación'!K95+'[2]Gastos de Operación'!K95</f>
        <v>2096460.0447170425</v>
      </c>
      <c r="L95" s="1657">
        <f>'[6]Gastos de Operación'!L95+'[7]Gastos de Operación'!L95+'[8]Gastos de Operación'!L95+'[3]Gastos de Operación'!L95+'[9]Gastos de Operación'!L95+'[2]Gastos de Operación'!L95</f>
        <v>2286092.6898288177</v>
      </c>
      <c r="M95" s="1657">
        <f>'[6]Gastos de Operación'!M95+'[7]Gastos de Operación'!M95+'[8]Gastos de Operación'!M95+'[3]Gastos de Operación'!M95+'[9]Gastos de Operación'!M95+'[2]Gastos de Operación'!M95</f>
        <v>2245344.6590684783</v>
      </c>
      <c r="N95" s="1657">
        <f>'[6]Gastos de Operación'!N95+'[7]Gastos de Operación'!N95+'[8]Gastos de Operación'!N95+'[3]Gastos de Operación'!N95+'[9]Gastos de Operación'!N95+'[2]Gastos de Operación'!N95</f>
        <v>2038801.4099543502</v>
      </c>
      <c r="O95" s="1657">
        <f>'[6]Gastos de Operación'!O95+'[7]Gastos de Operación'!O95+'[8]Gastos de Operación'!O95+'[3]Gastos de Operación'!O95+'[9]Gastos de Operación'!O95+'[2]Gastos de Operación'!O95</f>
        <v>2568896.9632758684</v>
      </c>
      <c r="P95" s="1657">
        <f>'[6]Gastos de Operación'!P95+'[7]Gastos de Operación'!P95+'[8]Gastos de Operación'!P95+'[3]Gastos de Operación'!P95+'[9]Gastos de Operación'!P95+'[2]Gastos de Operación'!P95</f>
        <v>2286795.9818610372</v>
      </c>
      <c r="Q95" s="1657">
        <f>'[6]Gastos de Operación'!Q95+'[7]Gastos de Operación'!Q95+'[8]Gastos de Operación'!Q95+'[3]Gastos de Operación'!Q95+'[9]Gastos de Operación'!Q95+'[2]Gastos de Operación'!Q95</f>
        <v>2351428.5179612334</v>
      </c>
      <c r="R95" s="1669">
        <f t="shared" si="9"/>
        <v>24648395.91249276</v>
      </c>
    </row>
    <row r="96" spans="2:19" ht="15.75" x14ac:dyDescent="0.25">
      <c r="B96" s="1676" t="s">
        <v>10551</v>
      </c>
      <c r="C96" s="1671" t="s">
        <v>10552</v>
      </c>
      <c r="D96" s="1668" t="s">
        <v>10651</v>
      </c>
      <c r="E96" s="1697">
        <v>4.84</v>
      </c>
      <c r="F96" s="1657">
        <f>'[6]Gastos de Operación'!F96+'[7]Gastos de Operación'!F96+'[8]Gastos de Operación'!F96+'[3]Gastos de Operación'!F96+'[9]Gastos de Operación'!F96+'[2]Gastos de Operación'!F96</f>
        <v>3497763.5420036493</v>
      </c>
      <c r="G96" s="1657">
        <f>'[6]Gastos de Operación'!G96+'[7]Gastos de Operación'!G96+'[8]Gastos de Operación'!G96+'[3]Gastos de Operación'!G96+'[9]Gastos de Operación'!G96+'[2]Gastos de Operación'!G96</f>
        <v>3610494.8007495985</v>
      </c>
      <c r="H96" s="1657">
        <f>'[6]Gastos de Operación'!H96+'[7]Gastos de Operación'!H96+'[8]Gastos de Operación'!H96+'[3]Gastos de Operación'!H96+'[9]Gastos de Operación'!H96+'[2]Gastos de Operación'!H96</f>
        <v>3885784.4966946552</v>
      </c>
      <c r="I96" s="1657">
        <f>'[6]Gastos de Operación'!I96+'[7]Gastos de Operación'!I96+'[8]Gastos de Operación'!I96+'[3]Gastos de Operación'!I96+'[9]Gastos de Operación'!I96+'[2]Gastos de Operación'!I96</f>
        <v>4124756.0759266466</v>
      </c>
      <c r="J96" s="1657">
        <f>'[6]Gastos de Operación'!J96+'[7]Gastos de Operación'!J96+'[8]Gastos de Operación'!J96+'[3]Gastos de Operación'!J96+'[9]Gastos de Operación'!J96+'[2]Gastos de Operación'!J96</f>
        <v>4295269.7312075449</v>
      </c>
      <c r="K96" s="1657">
        <f>'[6]Gastos de Operación'!K96+'[7]Gastos de Operación'!K96+'[8]Gastos de Operación'!K96+'[3]Gastos de Operación'!K96+'[9]Gastos de Operación'!K96+'[2]Gastos de Operación'!K96</f>
        <v>4260827.5159566524</v>
      </c>
      <c r="L96" s="1657">
        <f>'[6]Gastos de Operación'!L96+'[7]Gastos de Operación'!L96+'[8]Gastos de Operación'!L96+'[3]Gastos de Operación'!L96+'[9]Gastos de Operación'!L96+'[2]Gastos de Operación'!L96</f>
        <v>4496075.1419462292</v>
      </c>
      <c r="M96" s="1657">
        <f>'[6]Gastos de Operación'!M96+'[7]Gastos de Operación'!M96+'[8]Gastos de Operación'!M96+'[3]Gastos de Operación'!M96+'[9]Gastos de Operación'!M96+'[2]Gastos de Operación'!M96</f>
        <v>4457590.3426050078</v>
      </c>
      <c r="N96" s="1657">
        <f>'[6]Gastos de Operación'!N96+'[7]Gastos de Operación'!N96+'[8]Gastos de Operación'!N96+'[3]Gastos de Operación'!N96+'[9]Gastos de Operación'!N96+'[2]Gastos de Operación'!N96</f>
        <v>4103783.881123133</v>
      </c>
      <c r="O96" s="1657">
        <f>'[6]Gastos de Operación'!O96+'[7]Gastos de Operación'!O96+'[8]Gastos de Operación'!O96+'[3]Gastos de Operación'!O96+'[9]Gastos de Operación'!O96+'[2]Gastos de Operación'!O96</f>
        <v>4708013.2264555087</v>
      </c>
      <c r="P96" s="1657">
        <f>'[6]Gastos de Operación'!P96+'[7]Gastos de Operación'!P96+'[8]Gastos de Operación'!P96+'[3]Gastos de Operación'!P96+'[9]Gastos de Operación'!P96+'[2]Gastos de Operación'!P96</f>
        <v>4451382.2897061612</v>
      </c>
      <c r="Q96" s="1657">
        <f>'[6]Gastos de Operación'!Q96+'[7]Gastos de Operación'!Q96+'[8]Gastos de Operación'!Q96+'[3]Gastos de Operación'!Q96+'[9]Gastos de Operación'!Q96+'[2]Gastos de Operación'!Q96</f>
        <v>4514634.2626885669</v>
      </c>
      <c r="R96" s="1669">
        <f t="shared" si="9"/>
        <v>50406375.307063363</v>
      </c>
    </row>
    <row r="97" spans="2:19" ht="15.75" x14ac:dyDescent="0.25">
      <c r="B97" s="1676" t="s">
        <v>10478</v>
      </c>
      <c r="C97" s="1671" t="s">
        <v>10553</v>
      </c>
      <c r="D97" s="1668" t="s">
        <v>10652</v>
      </c>
      <c r="E97" s="1697">
        <v>143.87</v>
      </c>
      <c r="F97" s="1657">
        <f>'[6]Gastos de Operación'!F97+'[7]Gastos de Operación'!F97+'[8]Gastos de Operación'!F97+'[3]Gastos de Operación'!F97+'[9]Gastos de Operación'!F97+'[2]Gastos de Operación'!F97</f>
        <v>197795.06481322265</v>
      </c>
      <c r="G97" s="1657">
        <f>'[6]Gastos de Operación'!G97+'[7]Gastos de Operación'!G97+'[8]Gastos de Operación'!G97+'[3]Gastos de Operación'!G97+'[9]Gastos de Operación'!G97+'[2]Gastos de Operación'!G97</f>
        <v>335302.94013629243</v>
      </c>
      <c r="H97" s="1657">
        <f>'[6]Gastos de Operación'!H97+'[7]Gastos de Operación'!H97+'[8]Gastos de Operación'!H97+'[3]Gastos de Operación'!H97+'[9]Gastos de Operación'!H97+'[2]Gastos de Operación'!H97</f>
        <v>220374.1022693484</v>
      </c>
      <c r="I97" s="1657">
        <f>'[6]Gastos de Operación'!I97+'[7]Gastos de Operación'!I97+'[8]Gastos de Operación'!I97+'[3]Gastos de Operación'!I97+'[9]Gastos de Operación'!I97+'[2]Gastos de Operación'!I97</f>
        <v>314706.86695913726</v>
      </c>
      <c r="J97" s="1657">
        <f>'[6]Gastos de Operación'!J97+'[7]Gastos de Operación'!J97+'[8]Gastos de Operación'!J97+'[3]Gastos de Operación'!J97+'[9]Gastos de Operación'!J97+'[2]Gastos de Operación'!J97</f>
        <v>245800.76863052454</v>
      </c>
      <c r="K97" s="1657">
        <f>'[6]Gastos de Operación'!K97+'[7]Gastos de Operación'!K97+'[8]Gastos de Operación'!K97+'[3]Gastos de Operación'!K97+'[9]Gastos de Operación'!K97+'[2]Gastos de Operación'!K97</f>
        <v>368377.47594335268</v>
      </c>
      <c r="L97" s="1657">
        <f>'[6]Gastos de Operación'!L97+'[7]Gastos de Operación'!L97+'[8]Gastos de Operación'!L97+'[3]Gastos de Operación'!L97+'[9]Gastos de Operación'!L97+'[2]Gastos de Operación'!L97</f>
        <v>254766.35369802814</v>
      </c>
      <c r="M97" s="1657">
        <f>'[6]Gastos de Operación'!M97+'[7]Gastos de Operación'!M97+'[8]Gastos de Operación'!M97+'[3]Gastos de Operación'!M97+'[9]Gastos de Operación'!M97+'[2]Gastos de Operación'!M97</f>
        <v>333554.32269814168</v>
      </c>
      <c r="N97" s="1657">
        <f>'[6]Gastos de Operación'!N97+'[7]Gastos de Operación'!N97+'[8]Gastos de Operación'!N97+'[3]Gastos de Operación'!N97+'[9]Gastos de Operación'!N97+'[2]Gastos de Operación'!N97</f>
        <v>239005.35092978831</v>
      </c>
      <c r="O97" s="1657">
        <f>'[6]Gastos de Operación'!O97+'[7]Gastos de Operación'!O97+'[8]Gastos de Operación'!O97+'[3]Gastos de Operación'!O97+'[9]Gastos de Operación'!O97+'[2]Gastos de Operación'!O97</f>
        <v>390154.28923621762</v>
      </c>
      <c r="P97" s="1657">
        <f>'[6]Gastos de Operación'!P97+'[7]Gastos de Operación'!P97+'[8]Gastos de Operación'!P97+'[3]Gastos de Operación'!P97+'[9]Gastos de Operación'!P97+'[2]Gastos de Operación'!P97</f>
        <v>248529.2094515987</v>
      </c>
      <c r="Q97" s="1657">
        <f>'[6]Gastos de Operación'!Q97+'[7]Gastos de Operación'!Q97+'[8]Gastos de Operación'!Q97+'[3]Gastos de Operación'!Q97+'[9]Gastos de Operación'!Q97+'[2]Gastos de Operación'!Q97</f>
        <v>334992.44117623399</v>
      </c>
      <c r="R97" s="1669">
        <f t="shared" si="9"/>
        <v>3483359.1859418866</v>
      </c>
    </row>
    <row r="98" spans="2:19" ht="15.75" x14ac:dyDescent="0.25">
      <c r="B98" s="1676"/>
      <c r="C98" s="1671" t="s">
        <v>10554</v>
      </c>
      <c r="D98" s="1668" t="s">
        <v>10653</v>
      </c>
      <c r="E98" s="1697">
        <v>125.48</v>
      </c>
      <c r="F98" s="1657">
        <f>'[6]Gastos de Operación'!F98+'[7]Gastos de Operación'!F98+'[8]Gastos de Operación'!F98+'[3]Gastos de Operación'!F98+'[9]Gastos de Operación'!F98+'[2]Gastos de Operación'!F98</f>
        <v>216785.36148547468</v>
      </c>
      <c r="G98" s="1657">
        <f>'[6]Gastos de Operación'!G98+'[7]Gastos de Operación'!G98+'[8]Gastos de Operación'!G98+'[3]Gastos de Operación'!G98+'[9]Gastos de Operación'!G98+'[2]Gastos de Operación'!G98</f>
        <v>180750.16331460053</v>
      </c>
      <c r="H98" s="1657">
        <f>'[6]Gastos de Operación'!H98+'[7]Gastos de Operación'!H98+'[8]Gastos de Operación'!H98+'[3]Gastos de Operación'!H98+'[9]Gastos de Operación'!H98+'[2]Gastos de Operación'!H98</f>
        <v>231707.09332794428</v>
      </c>
      <c r="I98" s="1657">
        <f>'[6]Gastos de Operación'!I98+'[7]Gastos de Operación'!I98+'[8]Gastos de Operación'!I98+'[3]Gastos de Operación'!I98+'[9]Gastos de Operación'!I98+'[2]Gastos de Operación'!I98</f>
        <v>215340.4343004796</v>
      </c>
      <c r="J98" s="1657">
        <f>'[6]Gastos de Operación'!J98+'[7]Gastos de Operación'!J98+'[8]Gastos de Operación'!J98+'[3]Gastos de Operación'!J98+'[9]Gastos de Operación'!J98+'[2]Gastos de Operación'!J98</f>
        <v>247532.83210217443</v>
      </c>
      <c r="K98" s="1657">
        <f>'[6]Gastos de Operación'!K98+'[7]Gastos de Operación'!K98+'[8]Gastos de Operación'!K98+'[3]Gastos de Operación'!K98+'[9]Gastos de Operación'!K98+'[2]Gastos de Operación'!K98</f>
        <v>203465.37759745645</v>
      </c>
      <c r="L98" s="1657">
        <f>'[6]Gastos de Operación'!L98+'[7]Gastos de Operación'!L98+'[8]Gastos de Operación'!L98+'[3]Gastos de Operación'!L98+'[9]Gastos de Operación'!L98+'[2]Gastos de Operación'!L98</f>
        <v>255355.09105215422</v>
      </c>
      <c r="M98" s="1657">
        <f>'[6]Gastos de Operación'!M98+'[7]Gastos de Operación'!M98+'[8]Gastos de Operación'!M98+'[3]Gastos de Operación'!M98+'[9]Gastos de Operación'!M98+'[2]Gastos de Operación'!M98</f>
        <v>227610.88831185747</v>
      </c>
      <c r="N98" s="1657">
        <f>'[6]Gastos de Operación'!N98+'[7]Gastos de Operación'!N98+'[8]Gastos de Operación'!N98+'[3]Gastos de Operación'!N98+'[9]Gastos de Operación'!N98+'[2]Gastos de Operación'!N98</f>
        <v>241728.260025175</v>
      </c>
      <c r="O98" s="1657">
        <f>'[6]Gastos de Operación'!O98+'[7]Gastos de Operación'!O98+'[8]Gastos de Operación'!O98+'[3]Gastos de Operación'!O98+'[9]Gastos de Operación'!O98+'[2]Gastos de Operación'!O98</f>
        <v>222554.54634567368</v>
      </c>
      <c r="P98" s="1657">
        <f>'[6]Gastos de Operación'!P98+'[7]Gastos de Operación'!P98+'[8]Gastos de Operación'!P98+'[3]Gastos de Operación'!P98+'[9]Gastos de Operación'!P98+'[2]Gastos de Operación'!P98</f>
        <v>251469.83776600269</v>
      </c>
      <c r="Q98" s="1657">
        <f>'[6]Gastos de Operación'!Q98+'[7]Gastos de Operación'!Q98+'[8]Gastos de Operación'!Q98+'[3]Gastos de Operación'!Q98+'[9]Gastos de Operación'!Q98+'[2]Gastos de Operación'!Q98</f>
        <v>228959.05920671497</v>
      </c>
      <c r="R98" s="1669">
        <f t="shared" si="9"/>
        <v>2723258.9448357085</v>
      </c>
    </row>
    <row r="99" spans="2:19" ht="15.75" x14ac:dyDescent="0.25">
      <c r="B99" s="1676" t="s">
        <v>10555</v>
      </c>
      <c r="C99" s="1671" t="s">
        <v>10556</v>
      </c>
      <c r="D99" s="1668" t="s">
        <v>10654</v>
      </c>
      <c r="E99" s="1697"/>
      <c r="F99" s="1657">
        <f>'[6]Gastos de Operación'!F99+'[7]Gastos de Operación'!F99+'[8]Gastos de Operación'!F99+'[3]Gastos de Operación'!F99+'[9]Gastos de Operación'!F99+'[2]Gastos de Operación'!F99</f>
        <v>2126044.9146056725</v>
      </c>
      <c r="G99" s="1657">
        <f>'[6]Gastos de Operación'!G99+'[7]Gastos de Operación'!G99+'[8]Gastos de Operación'!G99+'[3]Gastos de Operación'!G99+'[9]Gastos de Operación'!G99+'[2]Gastos de Operación'!G99</f>
        <v>2205927.6809434425</v>
      </c>
      <c r="H99" s="1657">
        <f>'[6]Gastos de Operación'!H99+'[7]Gastos de Operación'!H99+'[8]Gastos de Operación'!H99+'[3]Gastos de Operación'!H99+'[9]Gastos de Operación'!H99+'[2]Gastos de Operación'!H99</f>
        <v>2264737.8687874302</v>
      </c>
      <c r="I99" s="1657">
        <f>'[6]Gastos de Operación'!I99+'[7]Gastos de Operación'!I99+'[8]Gastos de Operación'!I99+'[3]Gastos de Operación'!I99+'[9]Gastos de Operación'!I99+'[2]Gastos de Operación'!I99</f>
        <v>2386417.0629286435</v>
      </c>
      <c r="J99" s="1657">
        <f>'[6]Gastos de Operación'!J99+'[7]Gastos de Operación'!J99+'[8]Gastos de Operación'!J99+'[3]Gastos de Operación'!J99+'[9]Gastos de Operación'!J99+'[2]Gastos de Operación'!J99</f>
        <v>2446702.5984501271</v>
      </c>
      <c r="K99" s="1657">
        <f>'[6]Gastos de Operación'!K99+'[7]Gastos de Operación'!K99+'[8]Gastos de Operación'!K99+'[3]Gastos de Operación'!K99+'[9]Gastos de Operación'!K99+'[2]Gastos de Operación'!K99</f>
        <v>2445708.1852271343</v>
      </c>
      <c r="L99" s="1657">
        <f>'[6]Gastos de Operación'!L99+'[7]Gastos de Operación'!L99+'[8]Gastos de Operación'!L99+'[3]Gastos de Operación'!L99+'[9]Gastos de Operación'!L99+'[2]Gastos de Operación'!L99</f>
        <v>2574217.0016829353</v>
      </c>
      <c r="M99" s="1657">
        <f>'[6]Gastos de Operación'!M99+'[7]Gastos de Operación'!M99+'[8]Gastos de Operación'!M99+'[3]Gastos de Operación'!M99+'[9]Gastos de Operación'!M99+'[2]Gastos de Operación'!M99</f>
        <v>2538374.0016053398</v>
      </c>
      <c r="N99" s="1657">
        <f>'[6]Gastos de Operación'!N99+'[7]Gastos de Operación'!N99+'[8]Gastos de Operación'!N99+'[3]Gastos de Operación'!N99+'[9]Gastos de Operación'!N99+'[2]Gastos de Operación'!N99</f>
        <v>2378223.90081198</v>
      </c>
      <c r="O99" s="1657">
        <f>'[6]Gastos de Operación'!O99+'[7]Gastos de Operación'!O99+'[8]Gastos de Operación'!O99+'[3]Gastos de Operación'!O99+'[9]Gastos de Operación'!O99+'[2]Gastos de Operación'!O99</f>
        <v>2756580.4685978312</v>
      </c>
      <c r="P99" s="1657">
        <f>'[6]Gastos de Operación'!P99+'[7]Gastos de Operación'!P99+'[8]Gastos de Operación'!P99+'[3]Gastos de Operación'!P99+'[9]Gastos de Operación'!P99+'[2]Gastos de Operación'!P99</f>
        <v>2549896.8732372317</v>
      </c>
      <c r="Q99" s="1657">
        <f>'[6]Gastos de Operación'!Q99+'[7]Gastos de Operación'!Q99+'[8]Gastos de Operación'!Q99+'[3]Gastos de Operación'!Q99+'[9]Gastos de Operación'!Q99+'[2]Gastos de Operación'!Q99</f>
        <v>2579400.2211792972</v>
      </c>
      <c r="R99" s="1669">
        <f t="shared" si="9"/>
        <v>29252230.778057069</v>
      </c>
    </row>
    <row r="100" spans="2:19" ht="15.75" x14ac:dyDescent="0.25">
      <c r="B100" s="1676"/>
      <c r="C100" s="1671" t="s">
        <v>10557</v>
      </c>
      <c r="D100" s="1668" t="s">
        <v>10655</v>
      </c>
      <c r="E100" s="1697"/>
      <c r="F100" s="1657">
        <f>'[6]Gastos de Operación'!F100+'[7]Gastos de Operación'!F100+'[8]Gastos de Operación'!F100+'[3]Gastos de Operación'!F100+'[9]Gastos de Operación'!F100+'[2]Gastos de Operación'!F100</f>
        <v>255833.88819074258</v>
      </c>
      <c r="G100" s="1657">
        <f>'[6]Gastos de Operación'!G100+'[7]Gastos de Operación'!G100+'[8]Gastos de Operación'!G100+'[3]Gastos de Operación'!G100+'[9]Gastos de Operación'!G100+'[2]Gastos de Operación'!G100</f>
        <v>270823.98196444043</v>
      </c>
      <c r="H100" s="1657">
        <f>'[6]Gastos de Operación'!H100+'[7]Gastos de Operación'!H100+'[8]Gastos de Operación'!H100+'[3]Gastos de Operación'!H100+'[9]Gastos de Operación'!H100+'[2]Gastos de Operación'!H100</f>
        <v>277235.7183373851</v>
      </c>
      <c r="I100" s="1657">
        <f>'[6]Gastos de Operación'!I100+'[7]Gastos de Operación'!I100+'[8]Gastos de Operación'!I100+'[3]Gastos de Operación'!I100+'[9]Gastos de Operación'!I100+'[2]Gastos de Operación'!I100</f>
        <v>292275.83067456045</v>
      </c>
      <c r="J100" s="1657">
        <f>'[6]Gastos de Operación'!J100+'[7]Gastos de Operación'!J100+'[8]Gastos de Operación'!J100+'[3]Gastos de Operación'!J100+'[9]Gastos de Operación'!J100+'[2]Gastos de Operación'!J100</f>
        <v>303351.19388248096</v>
      </c>
      <c r="K100" s="1657">
        <f>'[6]Gastos de Operación'!K100+'[7]Gastos de Operación'!K100+'[8]Gastos de Operación'!K100+'[3]Gastos de Operación'!K100+'[9]Gastos de Operación'!K100+'[2]Gastos de Operación'!K100</f>
        <v>302587.53045176947</v>
      </c>
      <c r="L100" s="1657">
        <f>'[6]Gastos de Operación'!L100+'[7]Gastos de Operación'!L100+'[8]Gastos de Operación'!L100+'[3]Gastos de Operación'!L100+'[9]Gastos de Operación'!L100+'[2]Gastos de Operación'!L100</f>
        <v>315685.60930079332</v>
      </c>
      <c r="M100" s="1657">
        <f>'[6]Gastos de Operación'!M100+'[7]Gastos de Operación'!M100+'[8]Gastos de Operación'!M100+'[3]Gastos de Operación'!M100+'[9]Gastos de Operación'!M100+'[2]Gastos de Operación'!M100</f>
        <v>311823.45485451951</v>
      </c>
      <c r="N100" s="1657">
        <f>'[6]Gastos de Operación'!N100+'[7]Gastos de Operación'!N100+'[8]Gastos de Operación'!N100+'[3]Gastos de Operación'!N100+'[9]Gastos de Operación'!N100+'[2]Gastos de Operación'!N100</f>
        <v>297171.58374454459</v>
      </c>
      <c r="O100" s="1657">
        <f>'[6]Gastos de Operación'!O100+'[7]Gastos de Operación'!O100+'[8]Gastos de Operación'!O100+'[3]Gastos de Operación'!O100+'[9]Gastos de Operación'!O100+'[2]Gastos de Operación'!O100</f>
        <v>332536.82402282883</v>
      </c>
      <c r="P100" s="1657">
        <f>'[6]Gastos de Operación'!P100+'[7]Gastos de Operación'!P100+'[8]Gastos de Operación'!P100+'[3]Gastos de Operación'!P100+'[9]Gastos de Operación'!P100+'[2]Gastos de Operación'!P100</f>
        <v>311630.34987043124</v>
      </c>
      <c r="Q100" s="1657">
        <f>'[6]Gastos de Operación'!Q100+'[7]Gastos de Operación'!Q100+'[8]Gastos de Operación'!Q100+'[3]Gastos de Operación'!Q100+'[9]Gastos de Operación'!Q100+'[2]Gastos de Operación'!Q100</f>
        <v>316107.39139050525</v>
      </c>
      <c r="R100" s="1669">
        <f t="shared" si="9"/>
        <v>3587063.3566850014</v>
      </c>
    </row>
    <row r="101" spans="2:19" ht="15.75" x14ac:dyDescent="0.25">
      <c r="B101" s="1676" t="s">
        <v>10558</v>
      </c>
      <c r="C101" s="1671" t="s">
        <v>10534</v>
      </c>
      <c r="D101" s="1668" t="s">
        <v>10633</v>
      </c>
      <c r="E101" s="1697"/>
      <c r="F101" s="1657">
        <f>'[6]Gastos de Operación'!F101+'[7]Gastos de Operación'!F101+'[8]Gastos de Operación'!F101+'[3]Gastos de Operación'!F101+'[9]Gastos de Operación'!F101+'[2]Gastos de Operación'!F101</f>
        <v>12916.320818254311</v>
      </c>
      <c r="G101" s="1657">
        <f>'[6]Gastos de Operación'!G101+'[7]Gastos de Operación'!G101+'[8]Gastos de Operación'!G101+'[3]Gastos de Operación'!G101+'[9]Gastos de Operación'!G101+'[2]Gastos de Operación'!G101</f>
        <v>13119.16979680353</v>
      </c>
      <c r="H101" s="1657">
        <f>'[6]Gastos de Operación'!H101+'[7]Gastos de Operación'!H101+'[8]Gastos de Operación'!H101+'[3]Gastos de Operación'!H101+'[9]Gastos de Operación'!H101+'[2]Gastos de Operación'!H101</f>
        <v>13581.783925433614</v>
      </c>
      <c r="I101" s="1657">
        <f>'[6]Gastos de Operación'!I101+'[7]Gastos de Operación'!I101+'[8]Gastos de Operación'!I101+'[3]Gastos de Operación'!I101+'[9]Gastos de Operación'!I101+'[2]Gastos de Operación'!I101</f>
        <v>14273.613041391021</v>
      </c>
      <c r="J101" s="1657">
        <f>'[6]Gastos de Operación'!J101+'[7]Gastos de Operación'!J101+'[8]Gastos de Operación'!J101+'[3]Gastos de Operación'!J101+'[9]Gastos de Operación'!J101+'[2]Gastos de Operación'!J101</f>
        <v>14884.1955000376</v>
      </c>
      <c r="K101" s="1657">
        <f>'[6]Gastos de Operación'!K101+'[7]Gastos de Operación'!K101+'[8]Gastos de Operación'!K101+'[3]Gastos de Operación'!K101+'[9]Gastos de Operación'!K101+'[2]Gastos de Operación'!K101</f>
        <v>14933.924733159245</v>
      </c>
      <c r="L101" s="1657">
        <f>'[6]Gastos de Operación'!L101+'[7]Gastos de Operación'!L101+'[8]Gastos de Operación'!L101+'[3]Gastos de Operación'!L101+'[9]Gastos de Operación'!L101+'[2]Gastos de Operación'!L101</f>
        <v>16053.772545072592</v>
      </c>
      <c r="M101" s="1657">
        <f>'[6]Gastos de Operación'!M101+'[7]Gastos de Operación'!M101+'[8]Gastos de Operación'!M101+'[3]Gastos de Operación'!M101+'[9]Gastos de Operación'!M101+'[2]Gastos de Operación'!M101</f>
        <v>15779.291533680529</v>
      </c>
      <c r="N101" s="1657">
        <f>'[6]Gastos de Operación'!N101+'[7]Gastos de Operación'!N101+'[8]Gastos de Operación'!N101+'[3]Gastos de Operación'!N101+'[9]Gastos de Operación'!N101+'[2]Gastos de Operación'!N101</f>
        <v>14299.391211574519</v>
      </c>
      <c r="O101" s="1657">
        <f>'[6]Gastos de Operación'!O101+'[7]Gastos de Operación'!O101+'[8]Gastos de Operación'!O101+'[3]Gastos de Operación'!O101+'[9]Gastos de Operación'!O101+'[2]Gastos de Operación'!O101</f>
        <v>17775.253850965484</v>
      </c>
      <c r="P101" s="1657">
        <f>'[6]Gastos de Operación'!P101+'[7]Gastos de Operación'!P101+'[8]Gastos de Operación'!P101+'[3]Gastos de Operación'!P101+'[9]Gastos de Operación'!P101+'[2]Gastos de Operación'!P101</f>
        <v>16021.434826988138</v>
      </c>
      <c r="Q101" s="1657">
        <f>'[6]Gastos de Operación'!Q101+'[7]Gastos de Operación'!Q101+'[8]Gastos de Operación'!Q101+'[3]Gastos de Operación'!Q101+'[9]Gastos de Operación'!Q101+'[2]Gastos de Operación'!Q101</f>
        <v>16188.434307909003</v>
      </c>
      <c r="R101" s="1669">
        <f t="shared" si="9"/>
        <v>179826.58609126962</v>
      </c>
    </row>
    <row r="102" spans="2:19" ht="15.75" x14ac:dyDescent="0.25">
      <c r="B102" s="1676" t="s">
        <v>10559</v>
      </c>
      <c r="C102" s="1671" t="s">
        <v>10560</v>
      </c>
      <c r="D102" s="1668" t="s">
        <v>10656</v>
      </c>
      <c r="E102" s="1697"/>
      <c r="F102" s="1657">
        <f>'[6]Gastos de Operación'!F102+'[7]Gastos de Operación'!F102+'[8]Gastos de Operación'!F102+'[3]Gastos de Operación'!F102+'[9]Gastos de Operación'!F102+'[2]Gastos de Operación'!F102</f>
        <v>36160.788622949098</v>
      </c>
      <c r="G102" s="1657">
        <f>'[6]Gastos de Operación'!G102+'[7]Gastos de Operación'!G102+'[8]Gastos de Operación'!G102+'[3]Gastos de Operación'!G102+'[9]Gastos de Operación'!G102+'[2]Gastos de Operación'!G102</f>
        <v>38376.146824761483</v>
      </c>
      <c r="H102" s="1657">
        <f>'[6]Gastos de Operación'!H102+'[7]Gastos de Operación'!H102+'[8]Gastos de Operación'!H102+'[3]Gastos de Operación'!H102+'[9]Gastos de Operación'!H102+'[2]Gastos de Operación'!H102</f>
        <v>38444.396295949889</v>
      </c>
      <c r="I102" s="1657">
        <f>'[6]Gastos de Operación'!I102+'[7]Gastos de Operación'!I102+'[8]Gastos de Operación'!I102+'[3]Gastos de Operación'!I102+'[9]Gastos de Operación'!I102+'[2]Gastos de Operación'!I102</f>
        <v>38779.075395291758</v>
      </c>
      <c r="J102" s="1657">
        <f>'[6]Gastos de Operación'!J102+'[7]Gastos de Operación'!J102+'[8]Gastos de Operación'!J102+'[3]Gastos de Operación'!J102+'[9]Gastos de Operación'!J102+'[2]Gastos de Operación'!J102</f>
        <v>41758.684172523674</v>
      </c>
      <c r="K102" s="1657">
        <f>'[6]Gastos de Operación'!K102+'[7]Gastos de Operación'!K102+'[8]Gastos de Operación'!K102+'[3]Gastos de Operación'!K102+'[9]Gastos de Operación'!K102+'[2]Gastos de Operación'!K102</f>
        <v>41487.767154974528</v>
      </c>
      <c r="L102" s="1657">
        <f>'[6]Gastos de Operación'!L102+'[7]Gastos de Operación'!L102+'[8]Gastos de Operación'!L102+'[3]Gastos de Operación'!L102+'[9]Gastos de Operación'!L102+'[2]Gastos de Operación'!L102</f>
        <v>41353.311281789465</v>
      </c>
      <c r="M102" s="1657">
        <f>'[6]Gastos de Operación'!M102+'[7]Gastos de Operación'!M102+'[8]Gastos de Operación'!M102+'[3]Gastos de Operación'!M102+'[9]Gastos de Operación'!M102+'[2]Gastos de Operación'!M102</f>
        <v>41292.527683565902</v>
      </c>
      <c r="N102" s="1657">
        <f>'[6]Gastos de Operación'!N102+'[7]Gastos de Operación'!N102+'[8]Gastos de Operación'!N102+'[3]Gastos de Operación'!N102+'[9]Gastos de Operación'!N102+'[2]Gastos de Operación'!N102</f>
        <v>42016.793454422965</v>
      </c>
      <c r="O102" s="1657">
        <f>'[6]Gastos de Operación'!O102+'[7]Gastos de Operación'!O102+'[8]Gastos de Operación'!O102+'[3]Gastos de Operación'!O102+'[9]Gastos de Operación'!O102+'[2]Gastos de Operación'!O102</f>
        <v>40549.460507858166</v>
      </c>
      <c r="P102" s="1657">
        <f>'[6]Gastos de Operación'!P102+'[7]Gastos de Operación'!P102+'[8]Gastos de Operación'!P102+'[3]Gastos de Operación'!P102+'[9]Gastos de Operación'!P102+'[2]Gastos de Operación'!P102</f>
        <v>40742.590432738041</v>
      </c>
      <c r="Q102" s="1657">
        <f>'[6]Gastos de Operación'!Q102+'[7]Gastos de Operación'!Q102+'[8]Gastos de Operación'!Q102+'[3]Gastos de Operación'!Q102+'[9]Gastos de Operación'!Q102+'[2]Gastos de Operación'!Q102</f>
        <v>41176.255048602805</v>
      </c>
      <c r="R102" s="1669">
        <f t="shared" si="9"/>
        <v>482137.79687542783</v>
      </c>
    </row>
    <row r="103" spans="2:19" ht="15.75" x14ac:dyDescent="0.25">
      <c r="B103" s="1676"/>
      <c r="C103" s="1671" t="s">
        <v>10561</v>
      </c>
      <c r="D103" s="1668" t="s">
        <v>10657</v>
      </c>
      <c r="E103" s="1697"/>
      <c r="F103" s="1657">
        <f>'[6]Gastos de Operación'!F103+'[7]Gastos de Operación'!F103+'[8]Gastos de Operación'!F103+'[3]Gastos de Operación'!F103+'[9]Gastos de Operación'!F103+'[2]Gastos de Operación'!F103</f>
        <v>14607.354216752612</v>
      </c>
      <c r="G103" s="1657">
        <f>'[6]Gastos de Operación'!G103+'[7]Gastos de Operación'!G103+'[8]Gastos de Operación'!G103+'[3]Gastos de Operación'!G103+'[9]Gastos de Operación'!G103+'[2]Gastos de Operación'!G103</f>
        <v>15463.36553232977</v>
      </c>
      <c r="H103" s="1657">
        <f>'[6]Gastos de Operación'!H103+'[7]Gastos de Operación'!H103+'[8]Gastos de Operación'!H103+'[3]Gastos de Operación'!H103+'[9]Gastos de Operación'!H103+'[2]Gastos de Operación'!H103</f>
        <v>15493.630352421453</v>
      </c>
      <c r="I103" s="1657">
        <f>'[6]Gastos de Operación'!I103+'[7]Gastos de Operación'!I103+'[8]Gastos de Operación'!I103+'[3]Gastos de Operación'!I103+'[9]Gastos de Operación'!I103+'[2]Gastos de Operación'!I103</f>
        <v>15689.710344383409</v>
      </c>
      <c r="J103" s="1657">
        <f>'[6]Gastos de Operación'!J103+'[7]Gastos de Operación'!J103+'[8]Gastos de Operación'!J103+'[3]Gastos de Operación'!J103+'[9]Gastos de Operación'!J103+'[2]Gastos de Operación'!J103</f>
        <v>16618.12023700487</v>
      </c>
      <c r="K103" s="1657">
        <f>'[6]Gastos de Operación'!K103+'[7]Gastos de Operación'!K103+'[8]Gastos de Operación'!K103+'[3]Gastos de Operación'!K103+'[9]Gastos de Operación'!K103+'[2]Gastos de Operación'!K103</f>
        <v>16518.059013299775</v>
      </c>
      <c r="L103" s="1657">
        <f>'[6]Gastos de Operación'!L103+'[7]Gastos de Operación'!L103+'[8]Gastos de Operación'!L103+'[3]Gastos de Operación'!L103+'[9]Gastos de Operación'!L103+'[2]Gastos de Operación'!L103</f>
        <v>16468.779685563619</v>
      </c>
      <c r="M103" s="1657">
        <f>'[6]Gastos de Operación'!M103+'[7]Gastos de Operación'!M103+'[8]Gastos de Operación'!M103+'[3]Gastos de Operación'!M103+'[9]Gastos de Operación'!M103+'[2]Gastos de Operación'!M103</f>
        <v>16446.219143636947</v>
      </c>
      <c r="N103" s="1657">
        <f>'[6]Gastos de Operación'!N103+'[7]Gastos de Operación'!N103+'[8]Gastos de Operación'!N103+'[3]Gastos de Operación'!N103+'[9]Gastos de Operación'!N103+'[2]Gastos de Operación'!N103</f>
        <v>16713.12101576609</v>
      </c>
      <c r="O103" s="1657">
        <f>'[6]Gastos de Operación'!O103+'[7]Gastos de Operación'!O103+'[8]Gastos de Operación'!O103+'[3]Gastos de Operación'!O103+'[9]Gastos de Operación'!O103+'[2]Gastos de Operación'!O103</f>
        <v>16172.363382699697</v>
      </c>
      <c r="P103" s="1657">
        <f>'[6]Gastos de Operación'!P103+'[7]Gastos de Operación'!P103+'[8]Gastos de Operación'!P103+'[3]Gastos de Operación'!P103+'[9]Gastos de Operación'!P103+'[2]Gastos de Operación'!P103</f>
        <v>16243.163521400209</v>
      </c>
      <c r="Q103" s="1657">
        <f>'[6]Gastos de Operación'!Q103+'[7]Gastos de Operación'!Q103+'[8]Gastos de Operación'!Q103+'[3]Gastos de Operación'!Q103+'[9]Gastos de Operación'!Q103+'[2]Gastos de Operación'!Q103</f>
        <v>16403.324817424345</v>
      </c>
      <c r="R103" s="1669">
        <f>SUM(F103:Q103)</f>
        <v>192837.2112626828</v>
      </c>
    </row>
    <row r="104" spans="2:19" ht="15.75" x14ac:dyDescent="0.25">
      <c r="B104" s="1676"/>
      <c r="C104" s="1671" t="s">
        <v>10562</v>
      </c>
      <c r="D104" s="1668" t="s">
        <v>10658</v>
      </c>
      <c r="E104" s="1698">
        <f>310/1000</f>
        <v>0.31</v>
      </c>
      <c r="F104" s="1657">
        <f>'[6]Gastos de Operación'!F104+'[7]Gastos de Operación'!F104+'[8]Gastos de Operación'!F104+'[3]Gastos de Operación'!F104+'[9]Gastos de Operación'!F104+'[2]Gastos de Operación'!F104</f>
        <v>15054.905711881464</v>
      </c>
      <c r="G104" s="1657">
        <f>'[6]Gastos de Operación'!G104+'[7]Gastos de Operación'!G104+'[8]Gastos de Operación'!G104+'[3]Gastos de Operación'!G104+'[9]Gastos de Operación'!G104+'[2]Gastos de Operación'!G104</f>
        <v>15119.090053643356</v>
      </c>
      <c r="H104" s="1657">
        <f>'[6]Gastos de Operación'!H104+'[7]Gastos de Operación'!H104+'[8]Gastos de Operación'!H104+'[3]Gastos de Operación'!H104+'[9]Gastos de Operación'!H104+'[2]Gastos de Operación'!H104</f>
        <v>15029.809232135067</v>
      </c>
      <c r="I104" s="1657">
        <f>'[6]Gastos de Operación'!I104+'[7]Gastos de Operación'!I104+'[8]Gastos de Operación'!I104+'[3]Gastos de Operación'!I104+'[9]Gastos de Operación'!I104+'[2]Gastos de Operación'!I104</f>
        <v>14891.526268556507</v>
      </c>
      <c r="J104" s="1657">
        <f>'[6]Gastos de Operación'!J104+'[7]Gastos de Operación'!J104+'[8]Gastos de Operación'!J104+'[3]Gastos de Operación'!J104+'[9]Gastos de Operación'!J104+'[2]Gastos de Operación'!J104</f>
        <v>14983.396778083945</v>
      </c>
      <c r="K104" s="1657">
        <f>'[6]Gastos de Operación'!K104+'[7]Gastos de Operación'!K104+'[8]Gastos de Operación'!K104+'[3]Gastos de Operación'!K104+'[9]Gastos de Operación'!K104+'[2]Gastos de Operación'!K104</f>
        <v>14970.897858123739</v>
      </c>
      <c r="L104" s="1657">
        <f>'[6]Gastos de Operación'!L104+'[7]Gastos de Operación'!L104+'[8]Gastos de Operación'!L104+'[3]Gastos de Operación'!L104+'[9]Gastos de Operación'!L104+'[2]Gastos de Operación'!L104</f>
        <v>14781.677050554428</v>
      </c>
      <c r="M104" s="1657">
        <f>'[6]Gastos de Operación'!M104+'[7]Gastos de Operación'!M104+'[8]Gastos de Operación'!M104+'[3]Gastos de Operación'!M104+'[9]Gastos de Operación'!M104+'[2]Gastos de Operación'!M104</f>
        <v>14831.905833972069</v>
      </c>
      <c r="N104" s="1657">
        <f>'[6]Gastos de Operación'!N104+'[7]Gastos de Operación'!N104+'[8]Gastos de Operación'!N104+'[3]Gastos de Operación'!N104+'[9]Gastos de Operación'!N104+'[2]Gastos de Operación'!N104</f>
        <v>15147.965143710762</v>
      </c>
      <c r="O104" s="1657">
        <f>'[6]Gastos de Operación'!O104+'[7]Gastos de Operación'!O104+'[8]Gastos de Operación'!O104+'[3]Gastos de Operación'!O104+'[9]Gastos de Operación'!O104+'[2]Gastos de Operación'!O104</f>
        <v>14528.033862158187</v>
      </c>
      <c r="P104" s="1657">
        <f>'[6]Gastos de Operación'!P104+'[7]Gastos de Operación'!P104+'[8]Gastos de Operación'!P104+'[3]Gastos de Operación'!P104+'[9]Gastos de Operación'!P104+'[2]Gastos de Operación'!P104</f>
        <v>14794.038094927959</v>
      </c>
      <c r="Q104" s="1657">
        <f>'[6]Gastos de Operación'!Q104+'[7]Gastos de Operación'!Q104+'[8]Gastos de Operación'!Q104+'[3]Gastos de Operación'!Q104+'[9]Gastos de Operación'!Q104+'[2]Gastos de Operación'!Q104</f>
        <v>14794.038094927959</v>
      </c>
      <c r="R104" s="1669">
        <f t="shared" si="9"/>
        <v>178927.28398267544</v>
      </c>
    </row>
    <row r="105" spans="2:19" ht="15.75" x14ac:dyDescent="0.25">
      <c r="B105" s="1676" t="s">
        <v>10533</v>
      </c>
      <c r="C105" s="1714" t="s">
        <v>10479</v>
      </c>
      <c r="D105" s="1668" t="s">
        <v>10659</v>
      </c>
      <c r="E105" s="1698"/>
      <c r="F105" s="1657">
        <f>'[6]Gastos de Operación'!F105+'[7]Gastos de Operación'!F105+'[8]Gastos de Operación'!F105+'[3]Gastos de Operación'!F105+'[9]Gastos de Operación'!F105+'[2]Gastos de Operación'!F105</f>
        <v>3282.2800497724684</v>
      </c>
      <c r="G105" s="1657">
        <f>'[6]Gastos de Operación'!G105+'[7]Gastos de Operación'!G105+'[8]Gastos de Operación'!G105+'[3]Gastos de Operación'!G105+'[9]Gastos de Operación'!G105+'[2]Gastos de Operación'!G105</f>
        <v>3680.1820813020345</v>
      </c>
      <c r="H105" s="1657">
        <f>'[6]Gastos de Operación'!H105+'[7]Gastos de Operación'!H105+'[8]Gastos de Operación'!H105+'[3]Gastos de Operación'!H105+'[9]Gastos de Operación'!H105+'[2]Gastos de Operación'!H105</f>
        <v>3709.9772550210141</v>
      </c>
      <c r="I105" s="1657">
        <f>'[6]Gastos de Operación'!I105+'[7]Gastos de Operación'!I105+'[8]Gastos de Operación'!I105+'[3]Gastos de Operación'!I105+'[9]Gastos de Operación'!I105+'[2]Gastos de Operación'!I105</f>
        <v>3925.9290094581825</v>
      </c>
      <c r="J105" s="1657">
        <f>'[6]Gastos de Operación'!J105+'[7]Gastos de Operación'!J105+'[8]Gastos de Operación'!J105+'[3]Gastos de Operación'!J105+'[9]Gastos de Operación'!J105+'[2]Gastos de Operación'!J105</f>
        <v>3990.7173366087532</v>
      </c>
      <c r="K105" s="1657">
        <f>'[6]Gastos de Operación'!K105+'[7]Gastos de Operación'!K105+'[8]Gastos de Operación'!K105+'[3]Gastos de Operación'!K105+'[9]Gastos de Operación'!K105+'[2]Gastos de Operación'!K105</f>
        <v>3952.272167372379</v>
      </c>
      <c r="L105" s="1657">
        <f>'[6]Gastos de Operación'!L105+'[7]Gastos de Operación'!L105+'[8]Gastos de Operación'!L105+'[3]Gastos de Operación'!L105+'[9]Gastos de Operación'!L105+'[2]Gastos de Operación'!L105</f>
        <v>3952.7080658747063</v>
      </c>
      <c r="M105" s="1657">
        <f>'[6]Gastos de Operación'!M105+'[7]Gastos de Operación'!M105+'[8]Gastos de Operación'!M105+'[3]Gastos de Operación'!M105+'[9]Gastos de Operación'!M105+'[2]Gastos de Operación'!M105</f>
        <v>3938.4268397134292</v>
      </c>
      <c r="N105" s="1657">
        <f>'[6]Gastos de Operación'!N105+'[7]Gastos de Operación'!N105+'[8]Gastos de Operación'!N105+'[3]Gastos de Operación'!N105+'[9]Gastos de Operación'!N105+'[2]Gastos de Operación'!N105</f>
        <v>4011.0401911840477</v>
      </c>
      <c r="O105" s="1657">
        <f>'[6]Gastos de Operación'!O105+'[7]Gastos de Operación'!O105+'[8]Gastos de Operación'!O105+'[3]Gastos de Operación'!O105+'[9]Gastos de Operación'!O105+'[2]Gastos de Operación'!O105</f>
        <v>3861.790098748289</v>
      </c>
      <c r="P105" s="1657">
        <f>'[6]Gastos de Operación'!P105+'[7]Gastos de Operación'!P105+'[8]Gastos de Operación'!P105+'[3]Gastos de Operación'!P105+'[9]Gastos de Operación'!P105+'[2]Gastos de Operación'!P105</f>
        <v>3861.790098748289</v>
      </c>
      <c r="Q105" s="1657">
        <f>'[6]Gastos de Operación'!Q105+'[7]Gastos de Operación'!Q105+'[8]Gastos de Operación'!Q105+'[3]Gastos de Operación'!Q105+'[9]Gastos de Operación'!Q105+'[2]Gastos de Operación'!Q105</f>
        <v>3925.3559403106465</v>
      </c>
      <c r="R105" s="1669">
        <f t="shared" si="9"/>
        <v>46092.469134114239</v>
      </c>
    </row>
    <row r="106" spans="2:19" ht="15.75" x14ac:dyDescent="0.25">
      <c r="B106" s="1676"/>
      <c r="C106" s="1714" t="s">
        <v>10544</v>
      </c>
      <c r="D106" s="1668" t="s">
        <v>10647</v>
      </c>
      <c r="E106" s="1698"/>
      <c r="F106" s="1657">
        <f>'[6]Gastos de Operación'!F106+'[7]Gastos de Operación'!F106+'[8]Gastos de Operación'!F106+'[3]Gastos de Operación'!F106+'[9]Gastos de Operación'!F106+'[2]Gastos de Operación'!F106</f>
        <v>20852.646787793594</v>
      </c>
      <c r="G106" s="1657">
        <f>'[6]Gastos de Operación'!G106+'[7]Gastos de Operación'!G106+'[8]Gastos de Operación'!G106+'[3]Gastos de Operación'!G106+'[9]Gastos de Operación'!G106+'[2]Gastos de Operación'!G106</f>
        <v>21480.469035448648</v>
      </c>
      <c r="H106" s="1657">
        <f>'[6]Gastos de Operación'!H106+'[7]Gastos de Operación'!H106+'[8]Gastos de Operación'!H106+'[3]Gastos de Operación'!H106+'[9]Gastos de Operación'!H106+'[2]Gastos de Operación'!H106</f>
        <v>21482.297599143127</v>
      </c>
      <c r="I106" s="1657">
        <f>'[6]Gastos de Operación'!I106+'[7]Gastos de Operación'!I106+'[8]Gastos de Operación'!I106+'[3]Gastos de Operación'!I106+'[9]Gastos de Operación'!I106+'[2]Gastos de Operación'!I106</f>
        <v>21378.981760530169</v>
      </c>
      <c r="J106" s="1657">
        <f>'[6]Gastos de Operación'!J106+'[7]Gastos de Operación'!J106+'[8]Gastos de Operación'!J106+'[3]Gastos de Operación'!J106+'[9]Gastos de Operación'!J106+'[2]Gastos de Operación'!J106</f>
        <v>22650.600357364739</v>
      </c>
      <c r="K106" s="1657">
        <f>'[6]Gastos de Operación'!K106+'[7]Gastos de Operación'!K106+'[8]Gastos de Operación'!K106+'[3]Gastos de Operación'!K106+'[9]Gastos de Operación'!K106+'[2]Gastos de Operación'!K106</f>
        <v>22642.487433829025</v>
      </c>
      <c r="L106" s="1657">
        <f>'[6]Gastos de Operación'!L106+'[7]Gastos de Operación'!L106+'[8]Gastos de Operación'!L106+'[3]Gastos de Operación'!L106+'[9]Gastos de Operación'!L106+'[2]Gastos de Operación'!L106</f>
        <v>22514.253516070734</v>
      </c>
      <c r="M106" s="1657">
        <f>'[6]Gastos de Operación'!M106+'[7]Gastos de Operación'!M106+'[8]Gastos de Operación'!M106+'[3]Gastos de Operación'!M106+'[9]Gastos de Operación'!M106+'[2]Gastos de Operación'!M106</f>
        <v>22615.853554344802</v>
      </c>
      <c r="N106" s="1657">
        <f>'[6]Gastos de Operación'!N106+'[7]Gastos de Operación'!N106+'[8]Gastos de Operación'!N106+'[3]Gastos de Operación'!N106+'[9]Gastos de Operación'!N106+'[2]Gastos de Operación'!N106</f>
        <v>23162.281321173919</v>
      </c>
      <c r="O106" s="1657">
        <f>'[6]Gastos de Operación'!O106+'[7]Gastos de Operación'!O106+'[8]Gastos de Operación'!O106+'[3]Gastos de Operación'!O106+'[9]Gastos de Operación'!O106+'[2]Gastos de Operación'!O106</f>
        <v>22293.96456039718</v>
      </c>
      <c r="P106" s="1657">
        <f>'[6]Gastos de Operación'!P106+'[7]Gastos de Operación'!P106+'[8]Gastos de Operación'!P106+'[3]Gastos de Operación'!P106+'[9]Gastos de Operación'!P106+'[2]Gastos de Operación'!P106</f>
        <v>22654.969170475353</v>
      </c>
      <c r="Q106" s="1657">
        <f>'[6]Gastos de Operación'!Q106+'[7]Gastos de Operación'!Q106+'[8]Gastos de Operación'!Q106+'[3]Gastos de Operación'!Q106+'[9]Gastos de Operación'!Q106+'[2]Gastos de Operación'!Q106</f>
        <v>22844.456102338292</v>
      </c>
      <c r="R106" s="1669">
        <f t="shared" si="9"/>
        <v>266573.26119890955</v>
      </c>
    </row>
    <row r="107" spans="2:19" ht="15.75" x14ac:dyDescent="0.25">
      <c r="B107" s="1676"/>
      <c r="C107" s="1657"/>
      <c r="D107" s="1657"/>
      <c r="E107" s="1699"/>
      <c r="F107" s="1658"/>
      <c r="G107" s="1658"/>
      <c r="H107" s="1658"/>
      <c r="I107" s="1658"/>
      <c r="J107" s="1658"/>
      <c r="K107" s="1658"/>
      <c r="L107" s="1658"/>
      <c r="M107" s="1658"/>
      <c r="N107" s="1658"/>
      <c r="O107" s="1658"/>
      <c r="P107" s="1658"/>
      <c r="Q107" s="1658"/>
      <c r="R107" s="1669"/>
    </row>
    <row r="108" spans="2:19" ht="15.75" x14ac:dyDescent="0.25">
      <c r="B108" s="1661" t="s">
        <v>10563</v>
      </c>
      <c r="C108" s="1662"/>
      <c r="D108" s="1662"/>
      <c r="E108" s="1699" t="s">
        <v>28</v>
      </c>
      <c r="F108" s="1678">
        <f t="shared" ref="F108:P108" si="10">SUM(F94:F106)</f>
        <v>13430511.023139298</v>
      </c>
      <c r="G108" s="1678">
        <f t="shared" si="10"/>
        <v>14002234.24790246</v>
      </c>
      <c r="H108" s="1678">
        <f t="shared" si="10"/>
        <v>14610995.749250129</v>
      </c>
      <c r="I108" s="1678">
        <f t="shared" si="10"/>
        <v>15669600.370076969</v>
      </c>
      <c r="J108" s="1678">
        <f t="shared" si="10"/>
        <v>16102508.672374683</v>
      </c>
      <c r="K108" s="1678">
        <f t="shared" si="10"/>
        <v>16168450.33250387</v>
      </c>
      <c r="L108" s="1678">
        <f t="shared" si="10"/>
        <v>17212092.196311295</v>
      </c>
      <c r="M108" s="1678">
        <f t="shared" si="10"/>
        <v>17052747.392809916</v>
      </c>
      <c r="N108" s="1678">
        <f t="shared" si="10"/>
        <v>15588706.956395341</v>
      </c>
      <c r="O108" s="1678">
        <f t="shared" si="10"/>
        <v>18904405.411801226</v>
      </c>
      <c r="P108" s="1678">
        <f t="shared" si="10"/>
        <v>17249457.821854018</v>
      </c>
      <c r="Q108" s="1678">
        <f>SUM(Q94:Q106)</f>
        <v>17582571.636094324</v>
      </c>
      <c r="R108" s="1679">
        <f>SUM(R94:R106)</f>
        <v>193574281.81051353</v>
      </c>
      <c r="S108" s="1412">
        <f>R108-Edo.Res.detalle!B29</f>
        <v>0</v>
      </c>
    </row>
    <row r="109" spans="2:19" ht="15.75" x14ac:dyDescent="0.25">
      <c r="B109" s="1676"/>
      <c r="C109" s="1657"/>
      <c r="D109" s="1657"/>
      <c r="E109" s="1657"/>
      <c r="F109" s="1657"/>
      <c r="G109" s="1657"/>
      <c r="H109" s="1657"/>
      <c r="I109" s="1657"/>
      <c r="J109" s="1657"/>
      <c r="K109" s="1657"/>
      <c r="L109" s="1657"/>
      <c r="M109" s="1657"/>
      <c r="N109" s="1657"/>
      <c r="O109" s="1657"/>
      <c r="P109" s="1657"/>
      <c r="Q109" s="1657"/>
      <c r="R109" s="1694"/>
    </row>
    <row r="110" spans="2:19" ht="15.75" x14ac:dyDescent="0.25">
      <c r="B110" s="1661" t="s">
        <v>10564</v>
      </c>
      <c r="C110" s="1662"/>
      <c r="D110" s="1662"/>
      <c r="E110" s="1662"/>
      <c r="F110" s="1658"/>
      <c r="G110" s="1672"/>
      <c r="H110" s="1672"/>
      <c r="I110" s="1672"/>
      <c r="J110" s="1672"/>
      <c r="K110" s="1672"/>
      <c r="L110" s="1672"/>
      <c r="M110" s="1672"/>
      <c r="N110" s="1672"/>
      <c r="O110" s="1672"/>
      <c r="P110" s="1672"/>
      <c r="Q110" s="1672"/>
      <c r="R110" s="1688"/>
    </row>
    <row r="111" spans="2:19" ht="15.75" x14ac:dyDescent="0.25">
      <c r="B111" s="1661"/>
      <c r="C111" s="1662"/>
      <c r="D111" s="1662"/>
      <c r="E111" s="1662"/>
      <c r="F111" s="1657"/>
      <c r="G111" s="1657"/>
      <c r="H111" s="1657"/>
      <c r="I111" s="1657"/>
      <c r="J111" s="1657"/>
      <c r="K111" s="1657"/>
      <c r="L111" s="1657"/>
      <c r="M111" s="1657"/>
      <c r="N111" s="1657"/>
      <c r="O111" s="1657"/>
      <c r="P111" s="1657"/>
      <c r="Q111" s="1657"/>
      <c r="R111" s="1694"/>
    </row>
    <row r="112" spans="2:19" ht="15.75" x14ac:dyDescent="0.25">
      <c r="B112" s="1676" t="s">
        <v>10565</v>
      </c>
      <c r="C112" s="1657"/>
      <c r="D112" s="1700"/>
      <c r="E112" s="1657"/>
      <c r="F112" s="1657">
        <f>'[2]Gastos de Operación'!F112+'[6]Gastos de Operación'!F112+'[7]Gastos de Operación'!F112+'[8]Gastos de Operación'!F112+'[3]Gastos de Operación'!F112+'[9]Gastos de Operación'!F112</f>
        <v>724274.85515020241</v>
      </c>
      <c r="G112" s="1657">
        <f>'[2]Gastos de Operación'!G112+'[6]Gastos de Operación'!G112+'[7]Gastos de Operación'!G112+'[8]Gastos de Operación'!G112+'[3]Gastos de Operación'!G112+'[9]Gastos de Operación'!G112</f>
        <v>806002.49345213466</v>
      </c>
      <c r="H112" s="1657">
        <f>'[2]Gastos de Operación'!H112+'[6]Gastos de Operación'!H112+'[7]Gastos de Operación'!H112+'[8]Gastos de Operación'!H112+'[3]Gastos de Operación'!H112+'[9]Gastos de Operación'!H112</f>
        <v>806002.49345213466</v>
      </c>
      <c r="I112" s="1657">
        <f>'[2]Gastos de Operación'!I112+'[6]Gastos de Operación'!I112+'[7]Gastos de Operación'!I112+'[8]Gastos de Operación'!I112+'[3]Gastos de Operación'!I112+'[9]Gastos de Operación'!I112</f>
        <v>801071.45405149087</v>
      </c>
      <c r="J112" s="1657">
        <f>'[2]Gastos de Operación'!J112+'[6]Gastos de Operación'!J112+'[7]Gastos de Operación'!J112+'[8]Gastos de Operación'!J112+'[3]Gastos de Operación'!J112+'[9]Gastos de Operación'!J112</f>
        <v>829854.37583118875</v>
      </c>
      <c r="K112" s="1657">
        <f>'[2]Gastos de Operación'!K112+'[6]Gastos de Operación'!K112+'[7]Gastos de Operación'!K112+'[8]Gastos de Operación'!K112+'[3]Gastos de Operación'!K112+'[9]Gastos de Operación'!K112</f>
        <v>829854.37583118875</v>
      </c>
      <c r="L112" s="1657">
        <f>'[2]Gastos de Operación'!L112+'[6]Gastos de Operación'!L112+'[7]Gastos de Operación'!L112+'[8]Gastos de Operación'!L112+'[3]Gastos de Operación'!L112+'[9]Gastos de Operación'!L112</f>
        <v>829854.37583118875</v>
      </c>
      <c r="M112" s="1657">
        <f>'[2]Gastos de Operación'!M112+'[6]Gastos de Operación'!M112+'[7]Gastos de Operación'!M112+'[8]Gastos de Operación'!M112+'[3]Gastos de Operación'!M112+'[9]Gastos de Operación'!M112</f>
        <v>829854.37583118875</v>
      </c>
      <c r="N112" s="1657">
        <f>'[2]Gastos de Operación'!N112+'[6]Gastos de Operación'!N112+'[7]Gastos de Operación'!N112+'[8]Gastos de Operación'!N112+'[3]Gastos de Operación'!N112+'[9]Gastos de Operación'!N112</f>
        <v>829854.37583118875</v>
      </c>
      <c r="O112" s="1657">
        <f>'[2]Gastos de Operación'!O112+'[6]Gastos de Operación'!O112+'[7]Gastos de Operación'!O112+'[8]Gastos de Operación'!O112+'[3]Gastos de Operación'!O112+'[9]Gastos de Operación'!O112</f>
        <v>829854.37583118875</v>
      </c>
      <c r="P112" s="1657">
        <f>'[2]Gastos de Operación'!P112+'[6]Gastos de Operación'!P112+'[7]Gastos de Operación'!P112+'[8]Gastos de Operación'!P112+'[3]Gastos de Operación'!P112+'[9]Gastos de Operación'!P112</f>
        <v>829854.37583118875</v>
      </c>
      <c r="Q112" s="1657">
        <f>'[2]Gastos de Operación'!Q112+'[6]Gastos de Operación'!Q112+'[7]Gastos de Operación'!Q112+'[8]Gastos de Operación'!Q112+'[3]Gastos de Operación'!Q112+'[9]Gastos de Operación'!Q112</f>
        <v>829854.37583118875</v>
      </c>
      <c r="R112" s="1669">
        <f>SUM(F112:Q112)</f>
        <v>9776186.3027554732</v>
      </c>
    </row>
    <row r="113" spans="2:18" ht="15.75" x14ac:dyDescent="0.25">
      <c r="B113" s="1676" t="s">
        <v>10566</v>
      </c>
      <c r="C113" s="1657" t="s">
        <v>10567</v>
      </c>
      <c r="D113" s="1668" t="s">
        <v>10669</v>
      </c>
      <c r="E113" s="1695"/>
      <c r="F113" s="1657">
        <f>'[2]Gastos de Operación'!F113+'[6]Gastos de Operación'!F113+'[7]Gastos de Operación'!F113+'[8]Gastos de Operación'!F113+'[3]Gastos de Operación'!F113+'[9]Gastos de Operación'!F113</f>
        <v>0</v>
      </c>
      <c r="G113" s="1657">
        <f>'[2]Gastos de Operación'!G113+'[6]Gastos de Operación'!G113+'[7]Gastos de Operación'!G113+'[8]Gastos de Operación'!G113+'[3]Gastos de Operación'!G113+'[9]Gastos de Operación'!G113</f>
        <v>0</v>
      </c>
      <c r="H113" s="1657">
        <f>'[2]Gastos de Operación'!H113+'[6]Gastos de Operación'!H113+'[7]Gastos de Operación'!H113+'[8]Gastos de Operación'!H113+'[3]Gastos de Operación'!H113+'[9]Gastos de Operación'!H113</f>
        <v>0</v>
      </c>
      <c r="I113" s="1657">
        <f>'[2]Gastos de Operación'!I113+'[6]Gastos de Operación'!I113+'[7]Gastos de Operación'!I113+'[8]Gastos de Operación'!I113+'[3]Gastos de Operación'!I113+'[9]Gastos de Operación'!I113</f>
        <v>0</v>
      </c>
      <c r="J113" s="1657">
        <f>'[2]Gastos de Operación'!J113+'[6]Gastos de Operación'!J113+'[7]Gastos de Operación'!J113+'[8]Gastos de Operación'!J113+'[3]Gastos de Operación'!J113+'[9]Gastos de Operación'!J113</f>
        <v>0</v>
      </c>
      <c r="K113" s="1657">
        <f>'[2]Gastos de Operación'!K113+'[6]Gastos de Operación'!K113+'[7]Gastos de Operación'!K113+'[8]Gastos de Operación'!K113+'[3]Gastos de Operación'!K113+'[9]Gastos de Operación'!K113</f>
        <v>0</v>
      </c>
      <c r="L113" s="1657">
        <f>'[2]Gastos de Operación'!L113+'[6]Gastos de Operación'!L113+'[7]Gastos de Operación'!L113+'[8]Gastos de Operación'!L113+'[3]Gastos de Operación'!L113+'[9]Gastos de Operación'!L113</f>
        <v>0</v>
      </c>
      <c r="M113" s="1657">
        <f>'[2]Gastos de Operación'!M113+'[6]Gastos de Operación'!M113+'[7]Gastos de Operación'!M113+'[8]Gastos de Operación'!M113+'[3]Gastos de Operación'!M113+'[9]Gastos de Operación'!M113</f>
        <v>0</v>
      </c>
      <c r="N113" s="1657">
        <f>'[2]Gastos de Operación'!N113+'[6]Gastos de Operación'!N113+'[7]Gastos de Operación'!N113+'[8]Gastos de Operación'!N113+'[3]Gastos de Operación'!N113+'[9]Gastos de Operación'!N113</f>
        <v>0</v>
      </c>
      <c r="O113" s="1657">
        <f>'[2]Gastos de Operación'!O113+'[6]Gastos de Operación'!O113+'[7]Gastos de Operación'!O113+'[8]Gastos de Operación'!O113+'[3]Gastos de Operación'!O113+'[9]Gastos de Operación'!O113</f>
        <v>0</v>
      </c>
      <c r="P113" s="1657">
        <f>'[2]Gastos de Operación'!P113+'[6]Gastos de Operación'!P113+'[7]Gastos de Operación'!P113+'[8]Gastos de Operación'!P113+'[3]Gastos de Operación'!P113+'[9]Gastos de Operación'!P113</f>
        <v>0</v>
      </c>
      <c r="Q113" s="1657">
        <f>'[2]Gastos de Operación'!Q113+'[6]Gastos de Operación'!Q113+'[7]Gastos de Operación'!Q113+'[8]Gastos de Operación'!Q113+'[3]Gastos de Operación'!Q113+'[9]Gastos de Operación'!Q113</f>
        <v>0</v>
      </c>
      <c r="R113" s="1669">
        <f>SUM(F113:Q113)</f>
        <v>0</v>
      </c>
    </row>
    <row r="114" spans="2:18" ht="15.75" x14ac:dyDescent="0.25">
      <c r="B114" s="1676" t="s">
        <v>10568</v>
      </c>
      <c r="C114" s="1657" t="s">
        <v>10569</v>
      </c>
      <c r="D114" s="1668" t="s">
        <v>10670</v>
      </c>
      <c r="E114" s="1657"/>
      <c r="F114" s="1657">
        <f>'[2]Gastos de Operación'!F114+'[6]Gastos de Operación'!F114+'[7]Gastos de Operación'!F114+'[8]Gastos de Operación'!F114+'[3]Gastos de Operación'!F114+'[9]Gastos de Operación'!F114</f>
        <v>0</v>
      </c>
      <c r="G114" s="1657">
        <f>'[2]Gastos de Operación'!G114+'[6]Gastos de Operación'!G114+'[7]Gastos de Operación'!G114+'[8]Gastos de Operación'!G114+'[3]Gastos de Operación'!G114+'[9]Gastos de Operación'!G114</f>
        <v>126485</v>
      </c>
      <c r="H114" s="1657">
        <f>'[2]Gastos de Operación'!H114+'[6]Gastos de Operación'!H114+'[7]Gastos de Operación'!H114+'[8]Gastos de Operación'!H114+'[3]Gastos de Operación'!H114+'[9]Gastos de Operación'!H114</f>
        <v>0</v>
      </c>
      <c r="I114" s="1657">
        <f>'[2]Gastos de Operación'!I114+'[6]Gastos de Operación'!I114+'[7]Gastos de Operación'!I114+'[8]Gastos de Operación'!I114+'[3]Gastos de Operación'!I114+'[9]Gastos de Operación'!I114</f>
        <v>138825</v>
      </c>
      <c r="J114" s="1657">
        <f>'[2]Gastos de Operación'!J114+'[6]Gastos de Operación'!J114+'[7]Gastos de Operación'!J114+'[8]Gastos de Operación'!J114+'[3]Gastos de Operación'!J114+'[9]Gastos de Operación'!J114</f>
        <v>0</v>
      </c>
      <c r="K114" s="1657">
        <f>'[2]Gastos de Operación'!K114+'[6]Gastos de Operación'!K114+'[7]Gastos de Operación'!K114+'[8]Gastos de Operación'!K114+'[3]Gastos de Operación'!K114+'[9]Gastos de Operación'!K114</f>
        <v>0</v>
      </c>
      <c r="L114" s="1657">
        <f>'[2]Gastos de Operación'!L114+'[6]Gastos de Operación'!L114+'[7]Gastos de Operación'!L114+'[8]Gastos de Operación'!L114+'[3]Gastos de Operación'!L114+'[9]Gastos de Operación'!L114</f>
        <v>0</v>
      </c>
      <c r="M114" s="1657">
        <f>'[2]Gastos de Operación'!M114+'[6]Gastos de Operación'!M114+'[7]Gastos de Operación'!M114+'[8]Gastos de Operación'!M114+'[3]Gastos de Operación'!M114+'[9]Gastos de Operación'!M114</f>
        <v>0</v>
      </c>
      <c r="N114" s="1657">
        <f>'[2]Gastos de Operación'!N114+'[6]Gastos de Operación'!N114+'[7]Gastos de Operación'!N114+'[8]Gastos de Operación'!N114+'[3]Gastos de Operación'!N114+'[9]Gastos de Operación'!N114</f>
        <v>0</v>
      </c>
      <c r="O114" s="1657">
        <f>'[2]Gastos de Operación'!O114+'[6]Gastos de Operación'!O114+'[7]Gastos de Operación'!O114+'[8]Gastos de Operación'!O114+'[3]Gastos de Operación'!O114+'[9]Gastos de Operación'!O114</f>
        <v>0</v>
      </c>
      <c r="P114" s="1657">
        <f>'[2]Gastos de Operación'!P114+'[6]Gastos de Operación'!P114+'[7]Gastos de Operación'!P114+'[8]Gastos de Operación'!P114+'[3]Gastos de Operación'!P114+'[9]Gastos de Operación'!P114</f>
        <v>0</v>
      </c>
      <c r="Q114" s="1657">
        <f>'[2]Gastos de Operación'!Q114+'[6]Gastos de Operación'!Q114+'[7]Gastos de Operación'!Q114+'[8]Gastos de Operación'!Q114+'[3]Gastos de Operación'!Q114+'[9]Gastos de Operación'!Q114</f>
        <v>0</v>
      </c>
      <c r="R114" s="1669">
        <f t="shared" ref="R114:R140" si="11">SUM(F114:Q114)</f>
        <v>265310</v>
      </c>
    </row>
    <row r="115" spans="2:18" ht="15.75" x14ac:dyDescent="0.25">
      <c r="B115" s="1676" t="s">
        <v>10570</v>
      </c>
      <c r="C115" s="1657" t="s">
        <v>10571</v>
      </c>
      <c r="D115" s="1668" t="s">
        <v>10671</v>
      </c>
      <c r="E115" s="1657"/>
      <c r="F115" s="1657">
        <f>'[2]Gastos de Operación'!F115+'[6]Gastos de Operación'!F115+'[7]Gastos de Operación'!F115+'[8]Gastos de Operación'!F115+'[3]Gastos de Operación'!F115+'[9]Gastos de Operación'!F115</f>
        <v>546400.13055555557</v>
      </c>
      <c r="G115" s="1657">
        <f>'[2]Gastos de Operación'!G115+'[6]Gastos de Operación'!G115+'[7]Gastos de Operación'!G115+'[8]Gastos de Operación'!G115+'[3]Gastos de Operación'!G115+'[9]Gastos de Operación'!G115</f>
        <v>547294.43611111096</v>
      </c>
      <c r="H115" s="1657">
        <f>'[2]Gastos de Operación'!H115+'[6]Gastos de Operación'!H115+'[7]Gastos de Operación'!H115+'[8]Gastos de Operación'!H115+'[3]Gastos de Operación'!H115+'[9]Gastos de Operación'!H115</f>
        <v>548188.74166666658</v>
      </c>
      <c r="I115" s="1657">
        <f>'[2]Gastos de Operación'!I115+'[6]Gastos de Operación'!I115+'[7]Gastos de Operación'!I115+'[8]Gastos de Operación'!I115+'[3]Gastos de Operación'!I115+'[9]Gastos de Operación'!I115</f>
        <v>549083.0472222222</v>
      </c>
      <c r="J115" s="1657">
        <f>'[2]Gastos de Operación'!J115+'[6]Gastos de Operación'!J115+'[7]Gastos de Operación'!J115+'[8]Gastos de Operación'!J115+'[3]Gastos de Operación'!J115+'[9]Gastos de Operación'!J115</f>
        <v>549977.35277777771</v>
      </c>
      <c r="K115" s="1657">
        <f>'[2]Gastos de Operación'!K115+'[6]Gastos de Operación'!K115+'[7]Gastos de Operación'!K115+'[8]Gastos de Operación'!K115+'[3]Gastos de Operación'!K115+'[9]Gastos de Operación'!K115</f>
        <v>550871.65833333321</v>
      </c>
      <c r="L115" s="1657">
        <f>'[2]Gastos de Operación'!L115+'[6]Gastos de Operación'!L115+'[7]Gastos de Operación'!L115+'[8]Gastos de Operación'!L115+'[3]Gastos de Operación'!L115+'[9]Gastos de Operación'!L115</f>
        <v>551765.96388888883</v>
      </c>
      <c r="M115" s="1657">
        <f>'[2]Gastos de Operación'!M115+'[6]Gastos de Operación'!M115+'[7]Gastos de Operación'!M115+'[8]Gastos de Operación'!M115+'[3]Gastos de Operación'!M115+'[9]Gastos de Operación'!M115</f>
        <v>552660.26944444433</v>
      </c>
      <c r="N115" s="1657">
        <f>'[2]Gastos de Operación'!N115+'[6]Gastos de Operación'!N115+'[7]Gastos de Operación'!N115+'[8]Gastos de Operación'!N115+'[3]Gastos de Operación'!N115+'[9]Gastos de Operación'!N115</f>
        <v>553554.57499999995</v>
      </c>
      <c r="O115" s="1657">
        <f>'[2]Gastos de Operación'!O115+'[6]Gastos de Operación'!O115+'[7]Gastos de Operación'!O115+'[8]Gastos de Operación'!O115+'[3]Gastos de Operación'!O115+'[9]Gastos de Operación'!O115</f>
        <v>554448.88055555546</v>
      </c>
      <c r="P115" s="1657">
        <f>'[2]Gastos de Operación'!P115+'[6]Gastos de Operación'!P115+'[7]Gastos de Operación'!P115+'[8]Gastos de Operación'!P115+'[3]Gastos de Operación'!P115+'[9]Gastos de Operación'!P115</f>
        <v>555343.18611111096</v>
      </c>
      <c r="Q115" s="1657">
        <f>'[2]Gastos de Operación'!Q115+'[6]Gastos de Operación'!Q115+'[7]Gastos de Operación'!Q115+'[8]Gastos de Operación'!Q115+'[3]Gastos de Operación'!Q115+'[9]Gastos de Operación'!Q115</f>
        <v>556237.49166666658</v>
      </c>
      <c r="R115" s="1669">
        <f t="shared" si="11"/>
        <v>6615825.7333333325</v>
      </c>
    </row>
    <row r="116" spans="2:18" ht="15.75" x14ac:dyDescent="0.25">
      <c r="B116" s="1676"/>
      <c r="C116" s="1657" t="s">
        <v>10660</v>
      </c>
      <c r="D116" s="1668" t="s">
        <v>10672</v>
      </c>
      <c r="E116" s="1657"/>
      <c r="F116" s="1657">
        <f>'[2]Gastos de Operación'!F116+'[6]Gastos de Operación'!F116+'[7]Gastos de Operación'!F116+'[8]Gastos de Operación'!F116+'[3]Gastos de Operación'!F116+'[9]Gastos de Operación'!F116</f>
        <v>0</v>
      </c>
      <c r="G116" s="1657">
        <f>'[2]Gastos de Operación'!G116+'[6]Gastos de Operación'!G116+'[7]Gastos de Operación'!G116+'[8]Gastos de Operación'!G116+'[3]Gastos de Operación'!G116+'[9]Gastos de Operación'!G116</f>
        <v>0</v>
      </c>
      <c r="H116" s="1657">
        <f>'[2]Gastos de Operación'!H116+'[6]Gastos de Operación'!H116+'[7]Gastos de Operación'!H116+'[8]Gastos de Operación'!H116+'[3]Gastos de Operación'!H116+'[9]Gastos de Operación'!H116</f>
        <v>0</v>
      </c>
      <c r="I116" s="1657">
        <f>'[2]Gastos de Operación'!I116+'[6]Gastos de Operación'!I116+'[7]Gastos de Operación'!I116+'[8]Gastos de Operación'!I116+'[3]Gastos de Operación'!I116+'[9]Gastos de Operación'!I116</f>
        <v>0</v>
      </c>
      <c r="J116" s="1657">
        <f>'[2]Gastos de Operación'!J116+'[6]Gastos de Operación'!J116+'[7]Gastos de Operación'!J116+'[8]Gastos de Operación'!J116+'[3]Gastos de Operación'!J116+'[9]Gastos de Operación'!J116</f>
        <v>0</v>
      </c>
      <c r="K116" s="1657">
        <f>'[2]Gastos de Operación'!K116+'[6]Gastos de Operación'!K116+'[7]Gastos de Operación'!K116+'[8]Gastos de Operación'!K116+'[3]Gastos de Operación'!K116+'[9]Gastos de Operación'!K116</f>
        <v>0</v>
      </c>
      <c r="L116" s="1657">
        <f>'[2]Gastos de Operación'!L116+'[6]Gastos de Operación'!L116+'[7]Gastos de Operación'!L116+'[8]Gastos de Operación'!L116+'[3]Gastos de Operación'!L116+'[9]Gastos de Operación'!L116</f>
        <v>0</v>
      </c>
      <c r="M116" s="1657">
        <f>'[2]Gastos de Operación'!M116+'[6]Gastos de Operación'!M116+'[7]Gastos de Operación'!M116+'[8]Gastos de Operación'!M116+'[3]Gastos de Operación'!M116+'[9]Gastos de Operación'!M116</f>
        <v>0</v>
      </c>
      <c r="N116" s="1657">
        <f>'[2]Gastos de Operación'!N116+'[6]Gastos de Operación'!N116+'[7]Gastos de Operación'!N116+'[8]Gastos de Operación'!N116+'[3]Gastos de Operación'!N116+'[9]Gastos de Operación'!N116</f>
        <v>0</v>
      </c>
      <c r="O116" s="1657">
        <f>'[2]Gastos de Operación'!O116+'[6]Gastos de Operación'!O116+'[7]Gastos de Operación'!O116+'[8]Gastos de Operación'!O116+'[3]Gastos de Operación'!O116+'[9]Gastos de Operación'!O116</f>
        <v>0</v>
      </c>
      <c r="P116" s="1657">
        <f>'[2]Gastos de Operación'!P116+'[6]Gastos de Operación'!P116+'[7]Gastos de Operación'!P116+'[8]Gastos de Operación'!P116+'[3]Gastos de Operación'!P116+'[9]Gastos de Operación'!P116</f>
        <v>0</v>
      </c>
      <c r="Q116" s="1657">
        <f>'[2]Gastos de Operación'!Q116+'[6]Gastos de Operación'!Q116+'[7]Gastos de Operación'!Q116+'[8]Gastos de Operación'!Q116+'[3]Gastos de Operación'!Q116+'[9]Gastos de Operación'!Q116</f>
        <v>0</v>
      </c>
      <c r="R116" s="1669">
        <f t="shared" si="11"/>
        <v>0</v>
      </c>
    </row>
    <row r="117" spans="2:18" ht="15.75" x14ac:dyDescent="0.25">
      <c r="B117" s="1676"/>
      <c r="C117" s="1657" t="s">
        <v>10661</v>
      </c>
      <c r="D117" s="1668" t="s">
        <v>10673</v>
      </c>
      <c r="E117" s="1657"/>
      <c r="F117" s="1657">
        <f>'[2]Gastos de Operación'!F117+'[6]Gastos de Operación'!F117+'[7]Gastos de Operación'!F117+'[8]Gastos de Operación'!F117+'[3]Gastos de Operación'!F117+'[9]Gastos de Operación'!F117</f>
        <v>0</v>
      </c>
      <c r="G117" s="1657">
        <f>'[2]Gastos de Operación'!G117+'[6]Gastos de Operación'!G117+'[7]Gastos de Operación'!G117+'[8]Gastos de Operación'!G117+'[3]Gastos de Operación'!G117+'[9]Gastos de Operación'!G117</f>
        <v>0</v>
      </c>
      <c r="H117" s="1657">
        <f>'[2]Gastos de Operación'!H117+'[6]Gastos de Operación'!H117+'[7]Gastos de Operación'!H117+'[8]Gastos de Operación'!H117+'[3]Gastos de Operación'!H117+'[9]Gastos de Operación'!H117</f>
        <v>0</v>
      </c>
      <c r="I117" s="1657">
        <f>'[2]Gastos de Operación'!I117+'[6]Gastos de Operación'!I117+'[7]Gastos de Operación'!I117+'[8]Gastos de Operación'!I117+'[3]Gastos de Operación'!I117+'[9]Gastos de Operación'!I117</f>
        <v>0</v>
      </c>
      <c r="J117" s="1657">
        <f>'[2]Gastos de Operación'!J117+'[6]Gastos de Operación'!J117+'[7]Gastos de Operación'!J117+'[8]Gastos de Operación'!J117+'[3]Gastos de Operación'!J117+'[9]Gastos de Operación'!J117</f>
        <v>0</v>
      </c>
      <c r="K117" s="1657">
        <f>'[2]Gastos de Operación'!K117+'[6]Gastos de Operación'!K117+'[7]Gastos de Operación'!K117+'[8]Gastos de Operación'!K117+'[3]Gastos de Operación'!K117+'[9]Gastos de Operación'!K117</f>
        <v>0</v>
      </c>
      <c r="L117" s="1657">
        <f>'[2]Gastos de Operación'!L117+'[6]Gastos de Operación'!L117+'[7]Gastos de Operación'!L117+'[8]Gastos de Operación'!L117+'[3]Gastos de Operación'!L117+'[9]Gastos de Operación'!L117</f>
        <v>0</v>
      </c>
      <c r="M117" s="1657">
        <f>'[2]Gastos de Operación'!M117+'[6]Gastos de Operación'!M117+'[7]Gastos de Operación'!M117+'[8]Gastos de Operación'!M117+'[3]Gastos de Operación'!M117+'[9]Gastos de Operación'!M117</f>
        <v>0</v>
      </c>
      <c r="N117" s="1657">
        <f>'[2]Gastos de Operación'!N117+'[6]Gastos de Operación'!N117+'[7]Gastos de Operación'!N117+'[8]Gastos de Operación'!N117+'[3]Gastos de Operación'!N117+'[9]Gastos de Operación'!N117</f>
        <v>0</v>
      </c>
      <c r="O117" s="1657">
        <f>'[2]Gastos de Operación'!O117+'[6]Gastos de Operación'!O117+'[7]Gastos de Operación'!O117+'[8]Gastos de Operación'!O117+'[3]Gastos de Operación'!O117+'[9]Gastos de Operación'!O117</f>
        <v>0</v>
      </c>
      <c r="P117" s="1657">
        <f>'[2]Gastos de Operación'!P117+'[6]Gastos de Operación'!P117+'[7]Gastos de Operación'!P117+'[8]Gastos de Operación'!P117+'[3]Gastos de Operación'!P117+'[9]Gastos de Operación'!P117</f>
        <v>0</v>
      </c>
      <c r="Q117" s="1657">
        <f>'[2]Gastos de Operación'!Q117+'[6]Gastos de Operación'!Q117+'[7]Gastos de Operación'!Q117+'[8]Gastos de Operación'!Q117+'[3]Gastos de Operación'!Q117+'[9]Gastos de Operación'!Q117</f>
        <v>0</v>
      </c>
      <c r="R117" s="1669">
        <f t="shared" si="11"/>
        <v>0</v>
      </c>
    </row>
    <row r="118" spans="2:18" ht="15.75" x14ac:dyDescent="0.25">
      <c r="B118" s="1676" t="s">
        <v>10572</v>
      </c>
      <c r="C118" s="1657" t="s">
        <v>10530</v>
      </c>
      <c r="D118" s="1668" t="s">
        <v>10631</v>
      </c>
      <c r="E118" s="1657"/>
      <c r="F118" s="1657">
        <f>'[2]Gastos de Operación'!F118+'[6]Gastos de Operación'!F118+'[7]Gastos de Operación'!F118+'[8]Gastos de Operación'!F118+'[3]Gastos de Operación'!F118+'[9]Gastos de Operación'!F118</f>
        <v>147512.4</v>
      </c>
      <c r="G118" s="1657">
        <f>'[2]Gastos de Operación'!G118+'[6]Gastos de Operación'!G118+'[7]Gastos de Operación'!G118+'[8]Gastos de Operación'!G118+'[3]Gastos de Operación'!G118+'[9]Gastos de Operación'!G118</f>
        <v>204912.40000000002</v>
      </c>
      <c r="H118" s="1657">
        <f>'[2]Gastos de Operación'!H118+'[6]Gastos de Operación'!H118+'[7]Gastos de Operación'!H118+'[8]Gastos de Operación'!H118+'[3]Gastos de Operación'!H118+'[9]Gastos de Operación'!H118</f>
        <v>120400</v>
      </c>
      <c r="I118" s="1657">
        <f>'[2]Gastos de Operación'!I118+'[6]Gastos de Operación'!I118+'[7]Gastos de Operación'!I118+'[8]Gastos de Operación'!I118+'[3]Gastos de Operación'!I118+'[9]Gastos de Operación'!I118</f>
        <v>63000</v>
      </c>
      <c r="J118" s="1657">
        <f>'[2]Gastos de Operación'!J118+'[6]Gastos de Operación'!J118+'[7]Gastos de Operación'!J118+'[8]Gastos de Operación'!J118+'[3]Gastos de Operación'!J118+'[9]Gastos de Operación'!J118</f>
        <v>0</v>
      </c>
      <c r="K118" s="1657">
        <f>'[2]Gastos de Operación'!K118+'[6]Gastos de Operación'!K118+'[7]Gastos de Operación'!K118+'[8]Gastos de Operación'!K118+'[3]Gastos de Operación'!K118+'[9]Gastos de Operación'!K118</f>
        <v>0</v>
      </c>
      <c r="L118" s="1657">
        <f>'[2]Gastos de Operación'!L118+'[6]Gastos de Operación'!L118+'[7]Gastos de Operación'!L118+'[8]Gastos de Operación'!L118+'[3]Gastos de Operación'!L118+'[9]Gastos de Operación'!L118</f>
        <v>0</v>
      </c>
      <c r="M118" s="1657">
        <f>'[2]Gastos de Operación'!M118+'[6]Gastos de Operación'!M118+'[7]Gastos de Operación'!M118+'[8]Gastos de Operación'!M118+'[3]Gastos de Operación'!M118+'[9]Gastos de Operación'!M118</f>
        <v>0</v>
      </c>
      <c r="N118" s="1657">
        <f>'[2]Gastos de Operación'!N118+'[6]Gastos de Operación'!N118+'[7]Gastos de Operación'!N118+'[8]Gastos de Operación'!N118+'[3]Gastos de Operación'!N118+'[9]Gastos de Operación'!N118</f>
        <v>0</v>
      </c>
      <c r="O118" s="1657">
        <f>'[2]Gastos de Operación'!O118+'[6]Gastos de Operación'!O118+'[7]Gastos de Operación'!O118+'[8]Gastos de Operación'!O118+'[3]Gastos de Operación'!O118+'[9]Gastos de Operación'!O118</f>
        <v>0</v>
      </c>
      <c r="P118" s="1657">
        <f>'[2]Gastos de Operación'!P118+'[6]Gastos de Operación'!P118+'[7]Gastos de Operación'!P118+'[8]Gastos de Operación'!P118+'[3]Gastos de Operación'!P118+'[9]Gastos de Operación'!P118</f>
        <v>0</v>
      </c>
      <c r="Q118" s="1657">
        <f>'[2]Gastos de Operación'!Q118+'[6]Gastos de Operación'!Q118+'[7]Gastos de Operación'!Q118+'[8]Gastos de Operación'!Q118+'[3]Gastos de Operación'!Q118+'[9]Gastos de Operación'!Q118</f>
        <v>0</v>
      </c>
      <c r="R118" s="1669">
        <f t="shared" si="11"/>
        <v>535824.80000000005</v>
      </c>
    </row>
    <row r="119" spans="2:18" ht="15.75" x14ac:dyDescent="0.25">
      <c r="B119" s="1676" t="s">
        <v>10573</v>
      </c>
      <c r="C119" s="1657" t="s">
        <v>10574</v>
      </c>
      <c r="D119" s="1668" t="s">
        <v>10674</v>
      </c>
      <c r="E119" s="1657"/>
      <c r="F119" s="1657">
        <f>'[2]Gastos de Operación'!F119+'[6]Gastos de Operación'!F119+'[7]Gastos de Operación'!F119+'[8]Gastos de Operación'!F119+'[3]Gastos de Operación'!F119+'[9]Gastos de Operación'!F119</f>
        <v>14005.37</v>
      </c>
      <c r="G119" s="1657">
        <f>'[2]Gastos de Operación'!G119+'[6]Gastos de Operación'!G119+'[7]Gastos de Operación'!G119+'[8]Gastos de Operación'!G119+'[3]Gastos de Operación'!G119+'[9]Gastos de Operación'!G119</f>
        <v>14024.410000000002</v>
      </c>
      <c r="H119" s="1657">
        <f>'[2]Gastos de Operación'!H119+'[6]Gastos de Operación'!H119+'[7]Gastos de Operación'!H119+'[8]Gastos de Operación'!H119+'[3]Gastos de Operación'!H119+'[9]Gastos de Operación'!H119</f>
        <v>14043.449999999999</v>
      </c>
      <c r="I119" s="1657">
        <f>'[2]Gastos de Operación'!I119+'[6]Gastos de Operación'!I119+'[7]Gastos de Operación'!I119+'[8]Gastos de Operación'!I119+'[3]Gastos de Operación'!I119+'[9]Gastos de Operación'!I119</f>
        <v>14062.49</v>
      </c>
      <c r="J119" s="1657">
        <f>'[2]Gastos de Operación'!J119+'[6]Gastos de Operación'!J119+'[7]Gastos de Operación'!J119+'[8]Gastos de Operación'!J119+'[3]Gastos de Operación'!J119+'[9]Gastos de Operación'!J119</f>
        <v>14081.53</v>
      </c>
      <c r="K119" s="1657">
        <f>'[2]Gastos de Operación'!K119+'[6]Gastos de Operación'!K119+'[7]Gastos de Operación'!K119+'[8]Gastos de Operación'!K119+'[3]Gastos de Operación'!K119+'[9]Gastos de Operación'!K119</f>
        <v>14100.570000000002</v>
      </c>
      <c r="L119" s="1657">
        <f>'[2]Gastos de Operación'!L119+'[6]Gastos de Operación'!L119+'[7]Gastos de Operación'!L119+'[8]Gastos de Operación'!L119+'[3]Gastos de Operación'!L119+'[9]Gastos de Operación'!L119</f>
        <v>14119.61</v>
      </c>
      <c r="M119" s="1657">
        <f>'[2]Gastos de Operación'!M119+'[6]Gastos de Operación'!M119+'[7]Gastos de Operación'!M119+'[8]Gastos de Operación'!M119+'[3]Gastos de Operación'!M119+'[9]Gastos de Operación'!M119</f>
        <v>14138.65</v>
      </c>
      <c r="N119" s="1657">
        <f>'[2]Gastos de Operación'!N119+'[6]Gastos de Operación'!N119+'[7]Gastos de Operación'!N119+'[8]Gastos de Operación'!N119+'[3]Gastos de Operación'!N119+'[9]Gastos de Operación'!N119</f>
        <v>14157.69</v>
      </c>
      <c r="O119" s="1657">
        <f>'[2]Gastos de Operación'!O119+'[6]Gastos de Operación'!O119+'[7]Gastos de Operación'!O119+'[8]Gastos de Operación'!O119+'[3]Gastos de Operación'!O119+'[9]Gastos de Operación'!O119</f>
        <v>14176.730000000001</v>
      </c>
      <c r="P119" s="1657">
        <f>'[2]Gastos de Operación'!P119+'[6]Gastos de Operación'!P119+'[7]Gastos de Operación'!P119+'[8]Gastos de Operación'!P119+'[3]Gastos de Operación'!P119+'[9]Gastos de Operación'!P119</f>
        <v>14195.77</v>
      </c>
      <c r="Q119" s="1657">
        <f>'[2]Gastos de Operación'!Q119+'[6]Gastos de Operación'!Q119+'[7]Gastos de Operación'!Q119+'[8]Gastos de Operación'!Q119+'[3]Gastos de Operación'!Q119+'[9]Gastos de Operación'!Q119</f>
        <v>14214.810000000001</v>
      </c>
      <c r="R119" s="1669">
        <f t="shared" si="11"/>
        <v>169321.08</v>
      </c>
    </row>
    <row r="120" spans="2:18" ht="15.75" x14ac:dyDescent="0.25">
      <c r="B120" s="1676" t="s">
        <v>10575</v>
      </c>
      <c r="C120" s="1657" t="s">
        <v>10524</v>
      </c>
      <c r="D120" s="1668" t="s">
        <v>10628</v>
      </c>
      <c r="E120" s="1657"/>
      <c r="F120" s="1657">
        <f>'[2]Gastos de Operación'!F120+'[6]Gastos de Operación'!F120+'[7]Gastos de Operación'!F120+'[8]Gastos de Operación'!F120+'[3]Gastos de Operación'!F120+'[9]Gastos de Operación'!F120</f>
        <v>0</v>
      </c>
      <c r="G120" s="1657">
        <f>'[2]Gastos de Operación'!G120+'[6]Gastos de Operación'!G120+'[7]Gastos de Operación'!G120+'[8]Gastos de Operación'!G120+'[3]Gastos de Operación'!G120+'[9]Gastos de Operación'!G120</f>
        <v>0</v>
      </c>
      <c r="H120" s="1657">
        <f>'[2]Gastos de Operación'!H120+'[6]Gastos de Operación'!H120+'[7]Gastos de Operación'!H120+'[8]Gastos de Operación'!H120+'[3]Gastos de Operación'!H120+'[9]Gastos de Operación'!H120</f>
        <v>35594</v>
      </c>
      <c r="I120" s="1657">
        <f>'[2]Gastos de Operación'!I120+'[6]Gastos de Operación'!I120+'[7]Gastos de Operación'!I120+'[8]Gastos de Operación'!I120+'[3]Gastos de Operación'!I120+'[9]Gastos de Operación'!I120</f>
        <v>35594</v>
      </c>
      <c r="J120" s="1657">
        <f>'[2]Gastos de Operación'!J120+'[6]Gastos de Operación'!J120+'[7]Gastos de Operación'!J120+'[8]Gastos de Operación'!J120+'[3]Gastos de Operación'!J120+'[9]Gastos de Operación'!J120</f>
        <v>35594</v>
      </c>
      <c r="K120" s="1657">
        <f>'[2]Gastos de Operación'!K120+'[6]Gastos de Operación'!K120+'[7]Gastos de Operación'!K120+'[8]Gastos de Operación'!K120+'[3]Gastos de Operación'!K120+'[9]Gastos de Operación'!K120</f>
        <v>35594</v>
      </c>
      <c r="L120" s="1657">
        <f>'[2]Gastos de Operación'!L120+'[6]Gastos de Operación'!L120+'[7]Gastos de Operación'!L120+'[8]Gastos de Operación'!L120+'[3]Gastos de Operación'!L120+'[9]Gastos de Operación'!L120</f>
        <v>35594</v>
      </c>
      <c r="M120" s="1657">
        <f>'[2]Gastos de Operación'!M120+'[6]Gastos de Operación'!M120+'[7]Gastos de Operación'!M120+'[8]Gastos de Operación'!M120+'[3]Gastos de Operación'!M120+'[9]Gastos de Operación'!M120</f>
        <v>35594</v>
      </c>
      <c r="N120" s="1657">
        <f>'[2]Gastos de Operación'!N120+'[6]Gastos de Operación'!N120+'[7]Gastos de Operación'!N120+'[8]Gastos de Operación'!N120+'[3]Gastos de Operación'!N120+'[9]Gastos de Operación'!N120</f>
        <v>35594</v>
      </c>
      <c r="O120" s="1657">
        <f>'[2]Gastos de Operación'!O120+'[6]Gastos de Operación'!O120+'[7]Gastos de Operación'!O120+'[8]Gastos de Operación'!O120+'[3]Gastos de Operación'!O120+'[9]Gastos de Operación'!O120</f>
        <v>35594</v>
      </c>
      <c r="P120" s="1657">
        <f>'[2]Gastos de Operación'!P120+'[6]Gastos de Operación'!P120+'[7]Gastos de Operación'!P120+'[8]Gastos de Operación'!P120+'[3]Gastos de Operación'!P120+'[9]Gastos de Operación'!P120</f>
        <v>0</v>
      </c>
      <c r="Q120" s="1657">
        <f>'[2]Gastos de Operación'!Q120+'[6]Gastos de Operación'!Q120+'[7]Gastos de Operación'!Q120+'[8]Gastos de Operación'!Q120+'[3]Gastos de Operación'!Q120+'[9]Gastos de Operación'!Q120</f>
        <v>0</v>
      </c>
      <c r="R120" s="1669">
        <f t="shared" si="11"/>
        <v>284752</v>
      </c>
    </row>
    <row r="121" spans="2:18" ht="15.75" x14ac:dyDescent="0.25">
      <c r="B121" s="1676" t="s">
        <v>10576</v>
      </c>
      <c r="C121" s="1657" t="s">
        <v>10526</v>
      </c>
      <c r="D121" s="1668" t="s">
        <v>10629</v>
      </c>
      <c r="E121" s="1657"/>
      <c r="F121" s="1657">
        <f>'[2]Gastos de Operación'!F121+'[6]Gastos de Operación'!F121+'[7]Gastos de Operación'!F121+'[8]Gastos de Operación'!F121+'[3]Gastos de Operación'!F121+'[9]Gastos de Operación'!F121</f>
        <v>36070.333333333336</v>
      </c>
      <c r="G121" s="1657">
        <f>'[2]Gastos de Operación'!G121+'[6]Gastos de Operación'!G121+'[7]Gastos de Operación'!G121+'[8]Gastos de Operación'!G121+'[3]Gastos de Operación'!G121+'[9]Gastos de Operación'!G121</f>
        <v>34806</v>
      </c>
      <c r="H121" s="1657">
        <f>'[2]Gastos de Operación'!H121+'[6]Gastos de Operación'!H121+'[7]Gastos de Operación'!H121+'[8]Gastos de Operación'!H121+'[3]Gastos de Operación'!H121+'[9]Gastos de Operación'!H121</f>
        <v>34846</v>
      </c>
      <c r="I121" s="1657">
        <f>'[2]Gastos de Operación'!I121+'[6]Gastos de Operación'!I121+'[7]Gastos de Operación'!I121+'[8]Gastos de Operación'!I121+'[3]Gastos de Operación'!I121+'[9]Gastos de Operación'!I121</f>
        <v>39127.333333333336</v>
      </c>
      <c r="J121" s="1657">
        <f>'[2]Gastos de Operación'!J121+'[6]Gastos de Operación'!J121+'[7]Gastos de Operación'!J121+'[8]Gastos de Operación'!J121+'[3]Gastos de Operación'!J121+'[9]Gastos de Operación'!J121</f>
        <v>34926</v>
      </c>
      <c r="K121" s="1657">
        <f>'[2]Gastos de Operación'!K121+'[6]Gastos de Operación'!K121+'[7]Gastos de Operación'!K121+'[8]Gastos de Operación'!K121+'[3]Gastos de Operación'!K121+'[9]Gastos de Operación'!K121</f>
        <v>34966</v>
      </c>
      <c r="L121" s="1657">
        <f>'[2]Gastos de Operación'!L121+'[6]Gastos de Operación'!L121+'[7]Gastos de Operación'!L121+'[8]Gastos de Operación'!L121+'[3]Gastos de Operación'!L121+'[9]Gastos de Operación'!L121</f>
        <v>35006</v>
      </c>
      <c r="M121" s="1657">
        <f>'[2]Gastos de Operación'!M121+'[6]Gastos de Operación'!M121+'[7]Gastos de Operación'!M121+'[8]Gastos de Operación'!M121+'[3]Gastos de Operación'!M121+'[9]Gastos de Operación'!M121</f>
        <v>37994</v>
      </c>
      <c r="N121" s="1657">
        <f>'[2]Gastos de Operación'!N121+'[6]Gastos de Operación'!N121+'[7]Gastos de Operación'!N121+'[8]Gastos de Operación'!N121+'[3]Gastos de Operación'!N121+'[9]Gastos de Operación'!N121</f>
        <v>36425</v>
      </c>
      <c r="O121" s="1657">
        <f>'[2]Gastos de Operación'!O121+'[6]Gastos de Operación'!O121+'[7]Gastos de Operación'!O121+'[8]Gastos de Operación'!O121+'[3]Gastos de Operación'!O121+'[9]Gastos de Operación'!O121</f>
        <v>35126</v>
      </c>
      <c r="P121" s="1657">
        <f>'[2]Gastos de Operación'!P121+'[6]Gastos de Operación'!P121+'[7]Gastos de Operación'!P121+'[8]Gastos de Operación'!P121+'[3]Gastos de Operación'!P121+'[9]Gastos de Operación'!P121</f>
        <v>35166</v>
      </c>
      <c r="Q121" s="1657">
        <f>'[2]Gastos de Operación'!Q121+'[6]Gastos de Operación'!Q121+'[7]Gastos de Operación'!Q121+'[8]Gastos de Operación'!Q121+'[3]Gastos de Operación'!Q121+'[9]Gastos de Operación'!Q121</f>
        <v>35206</v>
      </c>
      <c r="R121" s="1669">
        <f t="shared" si="11"/>
        <v>429664.66666666669</v>
      </c>
    </row>
    <row r="122" spans="2:18" ht="15.75" x14ac:dyDescent="0.25">
      <c r="B122" s="1676" t="s">
        <v>10577</v>
      </c>
      <c r="C122" s="1657" t="s">
        <v>10578</v>
      </c>
      <c r="D122" s="1668" t="s">
        <v>10675</v>
      </c>
      <c r="E122" s="1657"/>
      <c r="F122" s="1657">
        <f>'[2]Gastos de Operación'!F122+'[6]Gastos de Operación'!F122+'[7]Gastos de Operación'!F122+'[8]Gastos de Operación'!F122+'[3]Gastos de Operación'!F122+'[9]Gastos de Operación'!F122</f>
        <v>0</v>
      </c>
      <c r="G122" s="1657">
        <f>'[2]Gastos de Operación'!G122+'[6]Gastos de Operación'!G122+'[7]Gastos de Operación'!G122+'[8]Gastos de Operación'!G122+'[3]Gastos de Operación'!G122+'[9]Gastos de Operación'!G122</f>
        <v>0</v>
      </c>
      <c r="H122" s="1657">
        <f>'[2]Gastos de Operación'!H122+'[6]Gastos de Operación'!H122+'[7]Gastos de Operación'!H122+'[8]Gastos de Operación'!H122+'[3]Gastos de Operación'!H122+'[9]Gastos de Operación'!H122</f>
        <v>3000</v>
      </c>
      <c r="I122" s="1657">
        <f>'[2]Gastos de Operación'!I122+'[6]Gastos de Operación'!I122+'[7]Gastos de Operación'!I122+'[8]Gastos de Operación'!I122+'[3]Gastos de Operación'!I122+'[9]Gastos de Operación'!I122</f>
        <v>0</v>
      </c>
      <c r="J122" s="1657">
        <f>'[2]Gastos de Operación'!J122+'[6]Gastos de Operación'!J122+'[7]Gastos de Operación'!J122+'[8]Gastos de Operación'!J122+'[3]Gastos de Operación'!J122+'[9]Gastos de Operación'!J122</f>
        <v>0</v>
      </c>
      <c r="K122" s="1657">
        <f>'[2]Gastos de Operación'!K122+'[6]Gastos de Operación'!K122+'[7]Gastos de Operación'!K122+'[8]Gastos de Operación'!K122+'[3]Gastos de Operación'!K122+'[9]Gastos de Operación'!K122</f>
        <v>0</v>
      </c>
      <c r="L122" s="1657">
        <f>'[2]Gastos de Operación'!L122+'[6]Gastos de Operación'!L122+'[7]Gastos de Operación'!L122+'[8]Gastos de Operación'!L122+'[3]Gastos de Operación'!L122+'[9]Gastos de Operación'!L122</f>
        <v>0</v>
      </c>
      <c r="M122" s="1657">
        <f>'[2]Gastos de Operación'!M122+'[6]Gastos de Operación'!M122+'[7]Gastos de Operación'!M122+'[8]Gastos de Operación'!M122+'[3]Gastos de Operación'!M122+'[9]Gastos de Operación'!M122</f>
        <v>30000</v>
      </c>
      <c r="N122" s="1657">
        <f>'[2]Gastos de Operación'!N122+'[6]Gastos de Operación'!N122+'[7]Gastos de Operación'!N122+'[8]Gastos de Operación'!N122+'[3]Gastos de Operación'!N122+'[9]Gastos de Operación'!N122</f>
        <v>0</v>
      </c>
      <c r="O122" s="1657">
        <f>'[2]Gastos de Operación'!O122+'[6]Gastos de Operación'!O122+'[7]Gastos de Operación'!O122+'[8]Gastos de Operación'!O122+'[3]Gastos de Operación'!O122+'[9]Gastos de Operación'!O122</f>
        <v>0</v>
      </c>
      <c r="P122" s="1657">
        <f>'[2]Gastos de Operación'!P122+'[6]Gastos de Operación'!P122+'[7]Gastos de Operación'!P122+'[8]Gastos de Operación'!P122+'[3]Gastos de Operación'!P122+'[9]Gastos de Operación'!P122</f>
        <v>0</v>
      </c>
      <c r="Q122" s="1657">
        <f>'[2]Gastos de Operación'!Q122+'[6]Gastos de Operación'!Q122+'[7]Gastos de Operación'!Q122+'[8]Gastos de Operación'!Q122+'[3]Gastos de Operación'!Q122+'[9]Gastos de Operación'!Q122</f>
        <v>0</v>
      </c>
      <c r="R122" s="1669">
        <f t="shared" si="11"/>
        <v>33000</v>
      </c>
    </row>
    <row r="123" spans="2:18" ht="15.75" x14ac:dyDescent="0.25">
      <c r="B123" s="1676" t="s">
        <v>10579</v>
      </c>
      <c r="C123" s="1657" t="s">
        <v>10580</v>
      </c>
      <c r="D123" s="1668" t="s">
        <v>10676</v>
      </c>
      <c r="E123" s="1657"/>
      <c r="F123" s="1657">
        <f>'[2]Gastos de Operación'!F123+'[6]Gastos de Operación'!F123+'[7]Gastos de Operación'!F123+'[8]Gastos de Operación'!F123+'[3]Gastos de Operación'!F123+'[9]Gastos de Operación'!F123</f>
        <v>13879.5</v>
      </c>
      <c r="G123" s="1657">
        <f>'[2]Gastos de Operación'!G123+'[6]Gastos de Operación'!G123+'[7]Gastos de Operación'!G123+'[8]Gastos de Operación'!G123+'[3]Gastos de Operación'!G123+'[9]Gastos de Operación'!G123</f>
        <v>11879.5</v>
      </c>
      <c r="H123" s="1657">
        <f>'[2]Gastos de Operación'!H123+'[6]Gastos de Operación'!H123+'[7]Gastos de Operación'!H123+'[8]Gastos de Operación'!H123+'[3]Gastos de Operación'!H123+'[9]Gastos de Operación'!H123</f>
        <v>6714.5</v>
      </c>
      <c r="I123" s="1657">
        <f>'[2]Gastos de Operación'!I123+'[6]Gastos de Operación'!I123+'[7]Gastos de Operación'!I123+'[8]Gastos de Operación'!I123+'[3]Gastos de Operación'!I123+'[9]Gastos de Operación'!I123</f>
        <v>1549.4999999999998</v>
      </c>
      <c r="J123" s="1657">
        <f>'[2]Gastos de Operación'!J123+'[6]Gastos de Operación'!J123+'[7]Gastos de Operación'!J123+'[8]Gastos de Operación'!J123+'[3]Gastos de Operación'!J123+'[9]Gastos de Operación'!J123</f>
        <v>5549.5</v>
      </c>
      <c r="K123" s="1657">
        <f>'[2]Gastos de Operación'!K123+'[6]Gastos de Operación'!K123+'[7]Gastos de Operación'!K123+'[8]Gastos de Operación'!K123+'[3]Gastos de Operación'!K123+'[9]Gastos de Operación'!K123</f>
        <v>6714.5</v>
      </c>
      <c r="L123" s="1657">
        <f>'[2]Gastos de Operación'!L123+'[6]Gastos de Operación'!L123+'[7]Gastos de Operación'!L123+'[8]Gastos de Operación'!L123+'[3]Gastos de Operación'!L123+'[9]Gastos de Operación'!L123</f>
        <v>11879.5</v>
      </c>
      <c r="M123" s="1657">
        <f>'[2]Gastos de Operación'!M123+'[6]Gastos de Operación'!M123+'[7]Gastos de Operación'!M123+'[8]Gastos de Operación'!M123+'[3]Gastos de Operación'!M123+'[9]Gastos de Operación'!M123</f>
        <v>1549.4999999999998</v>
      </c>
      <c r="N123" s="1657">
        <f>'[2]Gastos de Operación'!N123+'[6]Gastos de Operación'!N123+'[7]Gastos de Operación'!N123+'[8]Gastos de Operación'!N123+'[3]Gastos de Operación'!N123+'[9]Gastos de Operación'!N123</f>
        <v>10214.5</v>
      </c>
      <c r="O123" s="1657">
        <f>'[2]Gastos de Operación'!O123+'[6]Gastos de Operación'!O123+'[7]Gastos de Operación'!O123+'[8]Gastos de Operación'!O123+'[3]Gastos de Operación'!O123+'[9]Gastos de Operación'!O123</f>
        <v>1549.4999999999998</v>
      </c>
      <c r="P123" s="1657">
        <f>'[2]Gastos de Operación'!P123+'[6]Gastos de Operación'!P123+'[7]Gastos de Operación'!P123+'[8]Gastos de Operación'!P123+'[3]Gastos de Operación'!P123+'[9]Gastos de Operación'!P123</f>
        <v>6714.5</v>
      </c>
      <c r="Q123" s="1657">
        <f>'[2]Gastos de Operación'!Q123+'[6]Gastos de Operación'!Q123+'[7]Gastos de Operación'!Q123+'[8]Gastos de Operación'!Q123+'[3]Gastos de Operación'!Q123+'[9]Gastos de Operación'!Q123</f>
        <v>15879.5</v>
      </c>
      <c r="R123" s="1669">
        <f t="shared" si="11"/>
        <v>94074</v>
      </c>
    </row>
    <row r="124" spans="2:18" ht="15.75" x14ac:dyDescent="0.25">
      <c r="B124" s="1676" t="s">
        <v>10034</v>
      </c>
      <c r="C124" s="1657" t="s">
        <v>10581</v>
      </c>
      <c r="D124" s="1668" t="s">
        <v>10632</v>
      </c>
      <c r="E124" s="1657"/>
      <c r="F124" s="1657">
        <f>'[2]Gastos de Operación'!F124+'[6]Gastos de Operación'!F124+'[7]Gastos de Operación'!F124+'[8]Gastos de Operación'!F124+'[3]Gastos de Operación'!F124+'[9]Gastos de Operación'!F124</f>
        <v>101970</v>
      </c>
      <c r="G124" s="1657">
        <f>'[2]Gastos de Operación'!G124+'[6]Gastos de Operación'!G124+'[7]Gastos de Operación'!G124+'[8]Gastos de Operación'!G124+'[3]Gastos de Operación'!G124+'[9]Gastos de Operación'!G124</f>
        <v>12000</v>
      </c>
      <c r="H124" s="1657">
        <f>'[2]Gastos de Operación'!H124+'[6]Gastos de Operación'!H124+'[7]Gastos de Operación'!H124+'[8]Gastos de Operación'!H124+'[3]Gastos de Operación'!H124+'[9]Gastos de Operación'!H124</f>
        <v>0</v>
      </c>
      <c r="I124" s="1657">
        <f>'[2]Gastos de Operación'!I124+'[6]Gastos de Operación'!I124+'[7]Gastos de Operación'!I124+'[8]Gastos de Operación'!I124+'[3]Gastos de Operación'!I124+'[9]Gastos de Operación'!I124</f>
        <v>0</v>
      </c>
      <c r="J124" s="1657">
        <f>'[2]Gastos de Operación'!J124+'[6]Gastos de Operación'!J124+'[7]Gastos de Operación'!J124+'[8]Gastos de Operación'!J124+'[3]Gastos de Operación'!J124+'[9]Gastos de Operación'!J124</f>
        <v>0</v>
      </c>
      <c r="K124" s="1657">
        <f>'[2]Gastos de Operación'!K124+'[6]Gastos de Operación'!K124+'[7]Gastos de Operación'!K124+'[8]Gastos de Operación'!K124+'[3]Gastos de Operación'!K124+'[9]Gastos de Operación'!K124</f>
        <v>0</v>
      </c>
      <c r="L124" s="1657">
        <f>'[2]Gastos de Operación'!L124+'[6]Gastos de Operación'!L124+'[7]Gastos de Operación'!L124+'[8]Gastos de Operación'!L124+'[3]Gastos de Operación'!L124+'[9]Gastos de Operación'!L124</f>
        <v>12000</v>
      </c>
      <c r="M124" s="1657">
        <f>'[2]Gastos de Operación'!M124+'[6]Gastos de Operación'!M124+'[7]Gastos de Operación'!M124+'[8]Gastos de Operación'!M124+'[3]Gastos de Operación'!M124+'[9]Gastos de Operación'!M124</f>
        <v>0</v>
      </c>
      <c r="N124" s="1657">
        <f>'[2]Gastos de Operación'!N124+'[6]Gastos de Operación'!N124+'[7]Gastos de Operación'!N124+'[8]Gastos de Operación'!N124+'[3]Gastos de Operación'!N124+'[9]Gastos de Operación'!N124</f>
        <v>0</v>
      </c>
      <c r="O124" s="1657">
        <f>'[2]Gastos de Operación'!O124+'[6]Gastos de Operación'!O124+'[7]Gastos de Operación'!O124+'[8]Gastos de Operación'!O124+'[3]Gastos de Operación'!O124+'[9]Gastos de Operación'!O124</f>
        <v>0</v>
      </c>
      <c r="P124" s="1657">
        <f>'[2]Gastos de Operación'!P124+'[6]Gastos de Operación'!P124+'[7]Gastos de Operación'!P124+'[8]Gastos de Operación'!P124+'[3]Gastos de Operación'!P124+'[9]Gastos de Operación'!P124</f>
        <v>0</v>
      </c>
      <c r="Q124" s="1657">
        <f>'[2]Gastos de Operación'!Q124+'[6]Gastos de Operación'!Q124+'[7]Gastos de Operación'!Q124+'[8]Gastos de Operación'!Q124+'[3]Gastos de Operación'!Q124+'[9]Gastos de Operación'!Q124</f>
        <v>0</v>
      </c>
      <c r="R124" s="1669">
        <f t="shared" si="11"/>
        <v>125970</v>
      </c>
    </row>
    <row r="125" spans="2:18" ht="15.75" x14ac:dyDescent="0.25">
      <c r="B125" s="1676" t="s">
        <v>10582</v>
      </c>
      <c r="C125" s="1657" t="s">
        <v>10522</v>
      </c>
      <c r="D125" s="1668" t="s">
        <v>10621</v>
      </c>
      <c r="E125" s="1657"/>
      <c r="F125" s="1657">
        <f>'[2]Gastos de Operación'!F125+'[6]Gastos de Operación'!F125+'[7]Gastos de Operación'!F125+'[8]Gastos de Operación'!F125+'[3]Gastos de Operación'!F125+'[9]Gastos de Operación'!F125</f>
        <v>4217.5</v>
      </c>
      <c r="G125" s="1657">
        <f>'[2]Gastos de Operación'!G125+'[6]Gastos de Operación'!G125+'[7]Gastos de Operación'!G125+'[8]Gastos de Operación'!G125+'[3]Gastos de Operación'!G125+'[9]Gastos de Operación'!G125</f>
        <v>4219.5</v>
      </c>
      <c r="H125" s="1657">
        <f>'[2]Gastos de Operación'!H125+'[6]Gastos de Operación'!H125+'[7]Gastos de Operación'!H125+'[8]Gastos de Operación'!H125+'[3]Gastos de Operación'!H125+'[9]Gastos de Operación'!H125</f>
        <v>4221.5</v>
      </c>
      <c r="I125" s="1657">
        <f>'[2]Gastos de Operación'!I125+'[6]Gastos de Operación'!I125+'[7]Gastos de Operación'!I125+'[8]Gastos de Operación'!I125+'[3]Gastos de Operación'!I125+'[9]Gastos de Operación'!I125</f>
        <v>4223.5</v>
      </c>
      <c r="J125" s="1657">
        <f>'[2]Gastos de Operación'!J125+'[6]Gastos de Operación'!J125+'[7]Gastos de Operación'!J125+'[8]Gastos de Operación'!J125+'[3]Gastos de Operación'!J125+'[9]Gastos de Operación'!J125</f>
        <v>4225.5</v>
      </c>
      <c r="K125" s="1657">
        <f>'[2]Gastos de Operación'!K125+'[6]Gastos de Operación'!K125+'[7]Gastos de Operación'!K125+'[8]Gastos de Operación'!K125+'[3]Gastos de Operación'!K125+'[9]Gastos de Operación'!K125</f>
        <v>4227.5</v>
      </c>
      <c r="L125" s="1657">
        <f>'[2]Gastos de Operación'!L125+'[6]Gastos de Operación'!L125+'[7]Gastos de Operación'!L125+'[8]Gastos de Operación'!L125+'[3]Gastos de Operación'!L125+'[9]Gastos de Operación'!L125</f>
        <v>4229.5</v>
      </c>
      <c r="M125" s="1657">
        <f>'[2]Gastos de Operación'!M125+'[6]Gastos de Operación'!M125+'[7]Gastos de Operación'!M125+'[8]Gastos de Operación'!M125+'[3]Gastos de Operación'!M125+'[9]Gastos de Operación'!M125</f>
        <v>4231.5</v>
      </c>
      <c r="N125" s="1657">
        <f>'[2]Gastos de Operación'!N125+'[6]Gastos de Operación'!N125+'[7]Gastos de Operación'!N125+'[8]Gastos de Operación'!N125+'[3]Gastos de Operación'!N125+'[9]Gastos de Operación'!N125</f>
        <v>4233.5</v>
      </c>
      <c r="O125" s="1657">
        <f>'[2]Gastos de Operación'!O125+'[6]Gastos de Operación'!O125+'[7]Gastos de Operación'!O125+'[8]Gastos de Operación'!O125+'[3]Gastos de Operación'!O125+'[9]Gastos de Operación'!O125</f>
        <v>4235.5</v>
      </c>
      <c r="P125" s="1657">
        <f>'[2]Gastos de Operación'!P125+'[6]Gastos de Operación'!P125+'[7]Gastos de Operación'!P125+'[8]Gastos de Operación'!P125+'[3]Gastos de Operación'!P125+'[9]Gastos de Operación'!P125</f>
        <v>4237.5</v>
      </c>
      <c r="Q125" s="1657">
        <f>'[2]Gastos de Operación'!Q125+'[6]Gastos de Operación'!Q125+'[7]Gastos de Operación'!Q125+'[8]Gastos de Operación'!Q125+'[3]Gastos de Operación'!Q125+'[9]Gastos de Operación'!Q125</f>
        <v>4239.5</v>
      </c>
      <c r="R125" s="1669">
        <f t="shared" si="11"/>
        <v>50742</v>
      </c>
    </row>
    <row r="126" spans="2:18" ht="15.75" x14ac:dyDescent="0.25">
      <c r="B126" s="1676" t="s">
        <v>10583</v>
      </c>
      <c r="C126" s="1657" t="s">
        <v>10532</v>
      </c>
      <c r="D126" s="1668" t="s">
        <v>10677</v>
      </c>
      <c r="E126" s="1657"/>
      <c r="F126" s="1657">
        <f>'[2]Gastos de Operación'!F126+'[6]Gastos de Operación'!F126+'[7]Gastos de Operación'!F126+'[8]Gastos de Operación'!F126+'[3]Gastos de Operación'!F126+'[9]Gastos de Operación'!F126</f>
        <v>47683.5913</v>
      </c>
      <c r="G126" s="1657">
        <f>'[2]Gastos de Operación'!G126+'[6]Gastos de Operación'!G126+'[7]Gastos de Operación'!G126+'[8]Gastos de Operación'!G126+'[3]Gastos de Operación'!G126+'[9]Gastos de Operación'!G126</f>
        <v>47743.087299999999</v>
      </c>
      <c r="H126" s="1657">
        <f>'[2]Gastos de Operación'!H126+'[6]Gastos de Operación'!H126+'[7]Gastos de Operación'!H126+'[8]Gastos de Operación'!H126+'[3]Gastos de Operación'!H126+'[9]Gastos de Operación'!H126</f>
        <v>47802.583299999998</v>
      </c>
      <c r="I126" s="1657">
        <f>'[2]Gastos de Operación'!I126+'[6]Gastos de Operación'!I126+'[7]Gastos de Operación'!I126+'[8]Gastos de Operación'!I126+'[3]Gastos de Operación'!I126+'[9]Gastos de Operación'!I126</f>
        <v>47862.079299999998</v>
      </c>
      <c r="J126" s="1657">
        <f>'[2]Gastos de Operación'!J126+'[6]Gastos de Operación'!J126+'[7]Gastos de Operación'!J126+'[8]Gastos de Operación'!J126+'[3]Gastos de Operación'!J126+'[9]Gastos de Operación'!J126</f>
        <v>47921.575299999997</v>
      </c>
      <c r="K126" s="1657">
        <f>'[2]Gastos de Operación'!K126+'[6]Gastos de Operación'!K126+'[7]Gastos de Operación'!K126+'[8]Gastos de Operación'!K126+'[3]Gastos de Operación'!K126+'[9]Gastos de Operación'!K126</f>
        <v>47981.071299999996</v>
      </c>
      <c r="L126" s="1657">
        <f>'[2]Gastos de Operación'!L126+'[6]Gastos de Operación'!L126+'[7]Gastos de Operación'!L126+'[8]Gastos de Operación'!L126+'[3]Gastos de Operación'!L126+'[9]Gastos de Operación'!L126</f>
        <v>48040.567299999995</v>
      </c>
      <c r="M126" s="1657">
        <f>'[2]Gastos de Operación'!M126+'[6]Gastos de Operación'!M126+'[7]Gastos de Operación'!M126+'[8]Gastos de Operación'!M126+'[3]Gastos de Operación'!M126+'[9]Gastos de Operación'!M126</f>
        <v>48100.063299999994</v>
      </c>
      <c r="N126" s="1657">
        <f>'[2]Gastos de Operación'!N126+'[6]Gastos de Operación'!N126+'[7]Gastos de Operación'!N126+'[8]Gastos de Operación'!N126+'[3]Gastos de Operación'!N126+'[9]Gastos de Operación'!N126</f>
        <v>48159.559300000001</v>
      </c>
      <c r="O126" s="1657">
        <f>'[2]Gastos de Operación'!O126+'[6]Gastos de Operación'!O126+'[7]Gastos de Operación'!O126+'[8]Gastos de Operación'!O126+'[3]Gastos de Operación'!O126+'[9]Gastos de Operación'!O126</f>
        <v>48219.0553</v>
      </c>
      <c r="P126" s="1657">
        <f>'[2]Gastos de Operación'!P126+'[6]Gastos de Operación'!P126+'[7]Gastos de Operación'!P126+'[8]Gastos de Operación'!P126+'[3]Gastos de Operación'!P126+'[9]Gastos de Operación'!P126</f>
        <v>48278.551299999999</v>
      </c>
      <c r="Q126" s="1657">
        <f>'[2]Gastos de Operación'!Q126+'[6]Gastos de Operación'!Q126+'[7]Gastos de Operación'!Q126+'[8]Gastos de Operación'!Q126+'[3]Gastos de Operación'!Q126+'[9]Gastos de Operación'!Q126</f>
        <v>48338.047299999998</v>
      </c>
      <c r="R126" s="1669">
        <f>SUM(F126:Q126)</f>
        <v>576129.83159999992</v>
      </c>
    </row>
    <row r="127" spans="2:18" ht="15.75" x14ac:dyDescent="0.25">
      <c r="B127" s="1676" t="s">
        <v>10662</v>
      </c>
      <c r="C127" s="1657" t="s">
        <v>10663</v>
      </c>
      <c r="D127" s="1668" t="s">
        <v>10678</v>
      </c>
      <c r="E127" s="1657"/>
      <c r="F127" s="1657">
        <f>'[2]Gastos de Operación'!F127+'[6]Gastos de Operación'!F127+'[7]Gastos de Operación'!F127+'[8]Gastos de Operación'!F127+'[3]Gastos de Operación'!F127+'[9]Gastos de Operación'!F127</f>
        <v>5264.1679999999997</v>
      </c>
      <c r="G127" s="1657">
        <f>'[2]Gastos de Operación'!G127+'[6]Gastos de Operación'!G127+'[7]Gastos de Operación'!G127+'[8]Gastos de Operación'!G127+'[3]Gastos de Operación'!G127+'[9]Gastos de Operación'!G127</f>
        <v>5264.1679999999997</v>
      </c>
      <c r="H127" s="1657">
        <f>'[2]Gastos de Operación'!H127+'[6]Gastos de Operación'!H127+'[7]Gastos de Operación'!H127+'[8]Gastos de Operación'!H127+'[3]Gastos de Operación'!H127+'[9]Gastos de Operación'!H127</f>
        <v>5264.1679999999997</v>
      </c>
      <c r="I127" s="1657">
        <f>'[2]Gastos de Operación'!I127+'[6]Gastos de Operación'!I127+'[7]Gastos de Operación'!I127+'[8]Gastos de Operación'!I127+'[3]Gastos de Operación'!I127+'[9]Gastos de Operación'!I127</f>
        <v>5264.1679999999997</v>
      </c>
      <c r="J127" s="1657">
        <f>'[2]Gastos de Operación'!J127+'[6]Gastos de Operación'!J127+'[7]Gastos de Operación'!J127+'[8]Gastos de Operación'!J127+'[3]Gastos de Operación'!J127+'[9]Gastos de Operación'!J127</f>
        <v>5264.1679999999997</v>
      </c>
      <c r="K127" s="1657">
        <f>'[2]Gastos de Operación'!K127+'[6]Gastos de Operación'!K127+'[7]Gastos de Operación'!K127+'[8]Gastos de Operación'!K127+'[3]Gastos de Operación'!K127+'[9]Gastos de Operación'!K127</f>
        <v>5264.1679999999997</v>
      </c>
      <c r="L127" s="1657">
        <f>'[2]Gastos de Operación'!L127+'[6]Gastos de Operación'!L127+'[7]Gastos de Operación'!L127+'[8]Gastos de Operación'!L127+'[3]Gastos de Operación'!L127+'[9]Gastos de Operación'!L127</f>
        <v>5264.1679999999997</v>
      </c>
      <c r="M127" s="1657">
        <f>'[2]Gastos de Operación'!M127+'[6]Gastos de Operación'!M127+'[7]Gastos de Operación'!M127+'[8]Gastos de Operación'!M127+'[3]Gastos de Operación'!M127+'[9]Gastos de Operación'!M127</f>
        <v>5264.1679999999997</v>
      </c>
      <c r="N127" s="1657">
        <f>'[2]Gastos de Operación'!N127+'[6]Gastos de Operación'!N127+'[7]Gastos de Operación'!N127+'[8]Gastos de Operación'!N127+'[3]Gastos de Operación'!N127+'[9]Gastos de Operación'!N127</f>
        <v>5264.1679999999997</v>
      </c>
      <c r="O127" s="1657">
        <f>'[2]Gastos de Operación'!O127+'[6]Gastos de Operación'!O127+'[7]Gastos de Operación'!O127+'[8]Gastos de Operación'!O127+'[3]Gastos de Operación'!O127+'[9]Gastos de Operación'!O127</f>
        <v>5264.1679999999997</v>
      </c>
      <c r="P127" s="1657">
        <f>'[2]Gastos de Operación'!P127+'[6]Gastos de Operación'!P127+'[7]Gastos de Operación'!P127+'[8]Gastos de Operación'!P127+'[3]Gastos de Operación'!P127+'[9]Gastos de Operación'!P127</f>
        <v>5264.1679999999997</v>
      </c>
      <c r="Q127" s="1657">
        <f>'[2]Gastos de Operación'!Q127+'[6]Gastos de Operación'!Q127+'[7]Gastos de Operación'!Q127+'[8]Gastos de Operación'!Q127+'[3]Gastos de Operación'!Q127+'[9]Gastos de Operación'!Q127</f>
        <v>5264.1679999999997</v>
      </c>
      <c r="R127" s="1669">
        <f t="shared" si="11"/>
        <v>63170.015999999981</v>
      </c>
    </row>
    <row r="128" spans="2:18" ht="15.75" x14ac:dyDescent="0.25">
      <c r="B128" s="1676" t="s">
        <v>10664</v>
      </c>
      <c r="C128" s="1657" t="s">
        <v>10665</v>
      </c>
      <c r="D128" s="1668" t="s">
        <v>10679</v>
      </c>
      <c r="E128" s="1657"/>
      <c r="F128" s="1657">
        <f>'[2]Gastos de Operación'!F128+'[6]Gastos de Operación'!F128+'[7]Gastos de Operación'!F128+'[8]Gastos de Operación'!F128+'[3]Gastos de Operación'!F128+'[9]Gastos de Operación'!F128</f>
        <v>0</v>
      </c>
      <c r="G128" s="1657">
        <f>'[2]Gastos de Operación'!G128+'[6]Gastos de Operación'!G128+'[7]Gastos de Operación'!G128+'[8]Gastos de Operación'!G128+'[3]Gastos de Operación'!G128+'[9]Gastos de Operación'!G128</f>
        <v>0</v>
      </c>
      <c r="H128" s="1657">
        <f>'[2]Gastos de Operación'!H128+'[6]Gastos de Operación'!H128+'[7]Gastos de Operación'!H128+'[8]Gastos de Operación'!H128+'[3]Gastos de Operación'!H128+'[9]Gastos de Operación'!H128</f>
        <v>0</v>
      </c>
      <c r="I128" s="1657">
        <f>'[2]Gastos de Operación'!I128+'[6]Gastos de Operación'!I128+'[7]Gastos de Operación'!I128+'[8]Gastos de Operación'!I128+'[3]Gastos de Operación'!I128+'[9]Gastos de Operación'!I128</f>
        <v>0</v>
      </c>
      <c r="J128" s="1657">
        <f>'[2]Gastos de Operación'!J128+'[6]Gastos de Operación'!J128+'[7]Gastos de Operación'!J128+'[8]Gastos de Operación'!J128+'[3]Gastos de Operación'!J128+'[9]Gastos de Operación'!J128</f>
        <v>0</v>
      </c>
      <c r="K128" s="1657">
        <f>'[2]Gastos de Operación'!K128+'[6]Gastos de Operación'!K128+'[7]Gastos de Operación'!K128+'[8]Gastos de Operación'!K128+'[3]Gastos de Operación'!K128+'[9]Gastos de Operación'!K128</f>
        <v>0</v>
      </c>
      <c r="L128" s="1657">
        <f>'[2]Gastos de Operación'!L128+'[6]Gastos de Operación'!L128+'[7]Gastos de Operación'!L128+'[8]Gastos de Operación'!L128+'[3]Gastos de Operación'!L128+'[9]Gastos de Operación'!L128</f>
        <v>0</v>
      </c>
      <c r="M128" s="1657">
        <f>'[2]Gastos de Operación'!M128+'[6]Gastos de Operación'!M128+'[7]Gastos de Operación'!M128+'[8]Gastos de Operación'!M128+'[3]Gastos de Operación'!M128+'[9]Gastos de Operación'!M128</f>
        <v>0</v>
      </c>
      <c r="N128" s="1657">
        <f>'[2]Gastos de Operación'!N128+'[6]Gastos de Operación'!N128+'[7]Gastos de Operación'!N128+'[8]Gastos de Operación'!N128+'[3]Gastos de Operación'!N128+'[9]Gastos de Operación'!N128</f>
        <v>0</v>
      </c>
      <c r="O128" s="1657">
        <f>'[2]Gastos de Operación'!O128+'[6]Gastos de Operación'!O128+'[7]Gastos de Operación'!O128+'[8]Gastos de Operación'!O128+'[3]Gastos de Operación'!O128+'[9]Gastos de Operación'!O128</f>
        <v>0</v>
      </c>
      <c r="P128" s="1657">
        <f>'[2]Gastos de Operación'!P128+'[6]Gastos de Operación'!P128+'[7]Gastos de Operación'!P128+'[8]Gastos de Operación'!P128+'[3]Gastos de Operación'!P128+'[9]Gastos de Operación'!P128</f>
        <v>0</v>
      </c>
      <c r="Q128" s="1657">
        <f>'[2]Gastos de Operación'!Q128+'[6]Gastos de Operación'!Q128+'[7]Gastos de Operación'!Q128+'[8]Gastos de Operación'!Q128+'[3]Gastos de Operación'!Q128+'[9]Gastos de Operación'!Q128</f>
        <v>0</v>
      </c>
      <c r="R128" s="1669">
        <f t="shared" si="11"/>
        <v>0</v>
      </c>
    </row>
    <row r="129" spans="2:19" ht="15.75" x14ac:dyDescent="0.25">
      <c r="B129" s="1676" t="s">
        <v>10666</v>
      </c>
      <c r="C129" s="1657" t="s">
        <v>10645</v>
      </c>
      <c r="D129" s="1668" t="s">
        <v>10646</v>
      </c>
      <c r="E129" s="1657"/>
      <c r="F129" s="1657">
        <f>'[2]Gastos de Operación'!F129+'[6]Gastos de Operación'!F129+'[7]Gastos de Operación'!F129+'[8]Gastos de Operación'!F129+'[3]Gastos de Operación'!F129+'[9]Gastos de Operación'!F129</f>
        <v>0</v>
      </c>
      <c r="G129" s="1657">
        <f>'[2]Gastos de Operación'!G129+'[6]Gastos de Operación'!G129+'[7]Gastos de Operación'!G129+'[8]Gastos de Operación'!G129+'[3]Gastos de Operación'!G129+'[9]Gastos de Operación'!G129</f>
        <v>0</v>
      </c>
      <c r="H129" s="1657">
        <f>'[2]Gastos de Operación'!H129+'[6]Gastos de Operación'!H129+'[7]Gastos de Operación'!H129+'[8]Gastos de Operación'!H129+'[3]Gastos de Operación'!H129+'[9]Gastos de Operación'!H129</f>
        <v>0</v>
      </c>
      <c r="I129" s="1657">
        <f>'[2]Gastos de Operación'!I129+'[6]Gastos de Operación'!I129+'[7]Gastos de Operación'!I129+'[8]Gastos de Operación'!I129+'[3]Gastos de Operación'!I129+'[9]Gastos de Operación'!I129</f>
        <v>0</v>
      </c>
      <c r="J129" s="1657">
        <f>'[2]Gastos de Operación'!J129+'[6]Gastos de Operación'!J129+'[7]Gastos de Operación'!J129+'[8]Gastos de Operación'!J129+'[3]Gastos de Operación'!J129+'[9]Gastos de Operación'!J129</f>
        <v>0</v>
      </c>
      <c r="K129" s="1657">
        <f>'[2]Gastos de Operación'!K129+'[6]Gastos de Operación'!K129+'[7]Gastos de Operación'!K129+'[8]Gastos de Operación'!K129+'[3]Gastos de Operación'!K129+'[9]Gastos de Operación'!K129</f>
        <v>0</v>
      </c>
      <c r="L129" s="1657">
        <f>'[2]Gastos de Operación'!L129+'[6]Gastos de Operación'!L129+'[7]Gastos de Operación'!L129+'[8]Gastos de Operación'!L129+'[3]Gastos de Operación'!L129+'[9]Gastos de Operación'!L129</f>
        <v>0</v>
      </c>
      <c r="M129" s="1657">
        <f>'[2]Gastos de Operación'!M129+'[6]Gastos de Operación'!M129+'[7]Gastos de Operación'!M129+'[8]Gastos de Operación'!M129+'[3]Gastos de Operación'!M129+'[9]Gastos de Operación'!M129</f>
        <v>0</v>
      </c>
      <c r="N129" s="1657">
        <f>'[2]Gastos de Operación'!N129+'[6]Gastos de Operación'!N129+'[7]Gastos de Operación'!N129+'[8]Gastos de Operación'!N129+'[3]Gastos de Operación'!N129+'[9]Gastos de Operación'!N129</f>
        <v>0</v>
      </c>
      <c r="O129" s="1657">
        <f>'[2]Gastos de Operación'!O129+'[6]Gastos de Operación'!O129+'[7]Gastos de Operación'!O129+'[8]Gastos de Operación'!O129+'[3]Gastos de Operación'!O129+'[9]Gastos de Operación'!O129</f>
        <v>0</v>
      </c>
      <c r="P129" s="1657">
        <f>'[2]Gastos de Operación'!P129+'[6]Gastos de Operación'!P129+'[7]Gastos de Operación'!P129+'[8]Gastos de Operación'!P129+'[3]Gastos de Operación'!P129+'[9]Gastos de Operación'!P129</f>
        <v>0</v>
      </c>
      <c r="Q129" s="1657">
        <f>'[2]Gastos de Operación'!Q129+'[6]Gastos de Operación'!Q129+'[7]Gastos de Operación'!Q129+'[8]Gastos de Operación'!Q129+'[3]Gastos de Operación'!Q129+'[9]Gastos de Operación'!Q129</f>
        <v>0</v>
      </c>
      <c r="R129" s="1669">
        <f t="shared" si="11"/>
        <v>0</v>
      </c>
    </row>
    <row r="130" spans="2:19" ht="15.75" x14ac:dyDescent="0.25">
      <c r="B130" s="1676" t="s">
        <v>10584</v>
      </c>
      <c r="C130" s="1657" t="s">
        <v>10585</v>
      </c>
      <c r="D130" s="1668" t="s">
        <v>10680</v>
      </c>
      <c r="E130" s="1657"/>
      <c r="F130" s="1657">
        <f>'[2]Gastos de Operación'!F130+'[6]Gastos de Operación'!F130+'[7]Gastos de Operación'!F130+'[8]Gastos de Operación'!F130+'[3]Gastos de Operación'!F130+'[9]Gastos de Operación'!F130</f>
        <v>30795.069000000003</v>
      </c>
      <c r="G130" s="1657">
        <f>'[2]Gastos de Operación'!G130+'[6]Gastos de Operación'!G130+'[7]Gastos de Operación'!G130+'[8]Gastos de Operación'!G130+'[3]Gastos de Operación'!G130+'[9]Gastos de Operación'!G130</f>
        <v>30826.373</v>
      </c>
      <c r="H130" s="1657">
        <f>'[2]Gastos de Operación'!H130+'[6]Gastos de Operación'!H130+'[7]Gastos de Operación'!H130+'[8]Gastos de Operación'!H130+'[3]Gastos de Operación'!H130+'[9]Gastos de Operación'!H130</f>
        <v>30857.677000000003</v>
      </c>
      <c r="I130" s="1657">
        <f>'[2]Gastos de Operación'!I130+'[6]Gastos de Operación'!I130+'[7]Gastos de Operación'!I130+'[8]Gastos de Operación'!I130+'[3]Gastos de Operación'!I130+'[9]Gastos de Operación'!I130</f>
        <v>30888.981</v>
      </c>
      <c r="J130" s="1657">
        <f>'[2]Gastos de Operación'!J130+'[6]Gastos de Operación'!J130+'[7]Gastos de Operación'!J130+'[8]Gastos de Operación'!J130+'[3]Gastos de Operación'!J130+'[9]Gastos de Operación'!J130</f>
        <v>30920.285</v>
      </c>
      <c r="K130" s="1657">
        <f>'[2]Gastos de Operación'!K130+'[6]Gastos de Operación'!K130+'[7]Gastos de Operación'!K130+'[8]Gastos de Operación'!K130+'[3]Gastos de Operación'!K130+'[9]Gastos de Operación'!K130</f>
        <v>30951.589</v>
      </c>
      <c r="L130" s="1657">
        <f>'[2]Gastos de Operación'!L130+'[6]Gastos de Operación'!L130+'[7]Gastos de Operación'!L130+'[8]Gastos de Operación'!L130+'[3]Gastos de Operación'!L130+'[9]Gastos de Operación'!L130</f>
        <v>30982.893000000004</v>
      </c>
      <c r="M130" s="1657">
        <f>'[2]Gastos de Operación'!M130+'[6]Gastos de Operación'!M130+'[7]Gastos de Operación'!M130+'[8]Gastos de Operación'!M130+'[3]Gastos de Operación'!M130+'[9]Gastos de Operación'!M130</f>
        <v>31014.197</v>
      </c>
      <c r="N130" s="1657">
        <f>'[2]Gastos de Operación'!N130+'[6]Gastos de Operación'!N130+'[7]Gastos de Operación'!N130+'[8]Gastos de Operación'!N130+'[3]Gastos de Operación'!N130+'[9]Gastos de Operación'!N130</f>
        <v>31045.501000000004</v>
      </c>
      <c r="O130" s="1657">
        <f>'[2]Gastos de Operación'!O130+'[6]Gastos de Operación'!O130+'[7]Gastos de Operación'!O130+'[8]Gastos de Operación'!O130+'[3]Gastos de Operación'!O130+'[9]Gastos de Operación'!O130</f>
        <v>31076.805</v>
      </c>
      <c r="P130" s="1657">
        <f>'[2]Gastos de Operación'!P130+'[6]Gastos de Operación'!P130+'[7]Gastos de Operación'!P130+'[8]Gastos de Operación'!P130+'[3]Gastos de Operación'!P130+'[9]Gastos de Operación'!P130</f>
        <v>31108.109</v>
      </c>
      <c r="Q130" s="1657">
        <f>'[2]Gastos de Operación'!Q130+'[6]Gastos de Operación'!Q130+'[7]Gastos de Operación'!Q130+'[8]Gastos de Operación'!Q130+'[3]Gastos de Operación'!Q130+'[9]Gastos de Operación'!Q130</f>
        <v>31139.413</v>
      </c>
      <c r="R130" s="1669">
        <f t="shared" si="11"/>
        <v>371606.89199999999</v>
      </c>
    </row>
    <row r="131" spans="2:19" ht="15.75" x14ac:dyDescent="0.25">
      <c r="B131" s="1676" t="s">
        <v>10667</v>
      </c>
      <c r="C131" s="1657"/>
      <c r="D131" s="1668"/>
      <c r="E131" s="1657"/>
      <c r="F131" s="1657">
        <f>'[2]Gastos de Operación'!F131+'[6]Gastos de Operación'!F131+'[7]Gastos de Operación'!F131+'[8]Gastos de Operación'!F131+'[3]Gastos de Operación'!F131+'[9]Gastos de Operación'!F131</f>
        <v>0</v>
      </c>
      <c r="G131" s="1657">
        <f>'[2]Gastos de Operación'!G131+'[6]Gastos de Operación'!G131+'[7]Gastos de Operación'!G131+'[8]Gastos de Operación'!G131+'[3]Gastos de Operación'!G131+'[9]Gastos de Operación'!G131</f>
        <v>0</v>
      </c>
      <c r="H131" s="1657">
        <f>'[2]Gastos de Operación'!H131+'[6]Gastos de Operación'!H131+'[7]Gastos de Operación'!H131+'[8]Gastos de Operación'!H131+'[3]Gastos de Operación'!H131+'[9]Gastos de Operación'!H131</f>
        <v>0</v>
      </c>
      <c r="I131" s="1657">
        <f>'[2]Gastos de Operación'!I131+'[6]Gastos de Operación'!I131+'[7]Gastos de Operación'!I131+'[8]Gastos de Operación'!I131+'[3]Gastos de Operación'!I131+'[9]Gastos de Operación'!I131</f>
        <v>0</v>
      </c>
      <c r="J131" s="1657">
        <f>'[2]Gastos de Operación'!J131+'[6]Gastos de Operación'!J131+'[7]Gastos de Operación'!J131+'[8]Gastos de Operación'!J131+'[3]Gastos de Operación'!J131+'[9]Gastos de Operación'!J131</f>
        <v>0</v>
      </c>
      <c r="K131" s="1657">
        <f>'[2]Gastos de Operación'!K131+'[6]Gastos de Operación'!K131+'[7]Gastos de Operación'!K131+'[8]Gastos de Operación'!K131+'[3]Gastos de Operación'!K131+'[9]Gastos de Operación'!K131</f>
        <v>0</v>
      </c>
      <c r="L131" s="1657">
        <f>'[2]Gastos de Operación'!L131+'[6]Gastos de Operación'!L131+'[7]Gastos de Operación'!L131+'[8]Gastos de Operación'!L131+'[3]Gastos de Operación'!L131+'[9]Gastos de Operación'!L131</f>
        <v>0</v>
      </c>
      <c r="M131" s="1657">
        <f>'[2]Gastos de Operación'!M131+'[6]Gastos de Operación'!M131+'[7]Gastos de Operación'!M131+'[8]Gastos de Operación'!M131+'[3]Gastos de Operación'!M131+'[9]Gastos de Operación'!M131</f>
        <v>0</v>
      </c>
      <c r="N131" s="1657">
        <f>'[2]Gastos de Operación'!N131+'[6]Gastos de Operación'!N131+'[7]Gastos de Operación'!N131+'[8]Gastos de Operación'!N131+'[3]Gastos de Operación'!N131+'[9]Gastos de Operación'!N131</f>
        <v>0</v>
      </c>
      <c r="O131" s="1657">
        <f>'[2]Gastos de Operación'!O131+'[6]Gastos de Operación'!O131+'[7]Gastos de Operación'!O131+'[8]Gastos de Operación'!O131+'[3]Gastos de Operación'!O131+'[9]Gastos de Operación'!O131</f>
        <v>0</v>
      </c>
      <c r="P131" s="1657">
        <f>'[2]Gastos de Operación'!P131+'[6]Gastos de Operación'!P131+'[7]Gastos de Operación'!P131+'[8]Gastos de Operación'!P131+'[3]Gastos de Operación'!P131+'[9]Gastos de Operación'!P131</f>
        <v>0</v>
      </c>
      <c r="Q131" s="1657">
        <f>'[2]Gastos de Operación'!Q131+'[6]Gastos de Operación'!Q131+'[7]Gastos de Operación'!Q131+'[8]Gastos de Operación'!Q131+'[3]Gastos de Operación'!Q131+'[9]Gastos de Operación'!Q131</f>
        <v>0</v>
      </c>
      <c r="R131" s="1669">
        <f t="shared" si="11"/>
        <v>0</v>
      </c>
    </row>
    <row r="132" spans="2:19" ht="15.75" x14ac:dyDescent="0.25">
      <c r="B132" s="1676" t="s">
        <v>10586</v>
      </c>
      <c r="C132" s="1657" t="s">
        <v>10536</v>
      </c>
      <c r="D132" s="1668" t="s">
        <v>10634</v>
      </c>
      <c r="E132" s="1657"/>
      <c r="F132" s="1657">
        <f>'[2]Gastos de Operación'!F132+'[6]Gastos de Operación'!F132+'[7]Gastos de Operación'!F132+'[8]Gastos de Operación'!F132+'[3]Gastos de Operación'!F132+'[9]Gastos de Operación'!F132</f>
        <v>4030</v>
      </c>
      <c r="G132" s="1657">
        <f>'[2]Gastos de Operación'!G132+'[6]Gastos de Operación'!G132+'[7]Gastos de Operación'!G132+'[8]Gastos de Operación'!G132+'[3]Gastos de Operación'!G132+'[9]Gastos de Operación'!G132</f>
        <v>4030</v>
      </c>
      <c r="H132" s="1657">
        <f>'[2]Gastos de Operación'!H132+'[6]Gastos de Operación'!H132+'[7]Gastos de Operación'!H132+'[8]Gastos de Operación'!H132+'[3]Gastos de Operación'!H132+'[9]Gastos de Operación'!H132</f>
        <v>4189.991</v>
      </c>
      <c r="I132" s="1657">
        <f>'[2]Gastos de Operación'!I132+'[6]Gastos de Operación'!I132+'[7]Gastos de Operación'!I132+'[8]Gastos de Operación'!I132+'[3]Gastos de Operación'!I132+'[9]Gastos de Operación'!I132</f>
        <v>4189.991</v>
      </c>
      <c r="J132" s="1657">
        <f>'[2]Gastos de Operación'!J132+'[6]Gastos de Operación'!J132+'[7]Gastos de Operación'!J132+'[8]Gastos de Operación'!J132+'[3]Gastos de Operación'!J132+'[9]Gastos de Operación'!J132</f>
        <v>4189.991</v>
      </c>
      <c r="K132" s="1657">
        <f>'[2]Gastos de Operación'!K132+'[6]Gastos de Operación'!K132+'[7]Gastos de Operación'!K132+'[8]Gastos de Operación'!K132+'[3]Gastos de Operación'!K132+'[9]Gastos de Operación'!K132</f>
        <v>4189.991</v>
      </c>
      <c r="L132" s="1657">
        <f>'[2]Gastos de Operación'!L132+'[6]Gastos de Operación'!L132+'[7]Gastos de Operación'!L132+'[8]Gastos de Operación'!L132+'[3]Gastos de Operación'!L132+'[9]Gastos de Operación'!L132</f>
        <v>4189.991</v>
      </c>
      <c r="M132" s="1657">
        <f>'[2]Gastos de Operación'!M132+'[6]Gastos de Operación'!M132+'[7]Gastos de Operación'!M132+'[8]Gastos de Operación'!M132+'[3]Gastos de Operación'!M132+'[9]Gastos de Operación'!M132</f>
        <v>4189.991</v>
      </c>
      <c r="N132" s="1657">
        <f>'[2]Gastos de Operación'!N132+'[6]Gastos de Operación'!N132+'[7]Gastos de Operación'!N132+'[8]Gastos de Operación'!N132+'[3]Gastos de Operación'!N132+'[9]Gastos de Operación'!N132</f>
        <v>4189.991</v>
      </c>
      <c r="O132" s="1657">
        <f>'[2]Gastos de Operación'!O132+'[6]Gastos de Operación'!O132+'[7]Gastos de Operación'!O132+'[8]Gastos de Operación'!O132+'[3]Gastos de Operación'!O132+'[9]Gastos de Operación'!O132</f>
        <v>4189.991</v>
      </c>
      <c r="P132" s="1657">
        <f>'[2]Gastos de Operación'!P132+'[6]Gastos de Operación'!P132+'[7]Gastos de Operación'!P132+'[8]Gastos de Operación'!P132+'[3]Gastos de Operación'!P132+'[9]Gastos de Operación'!P132</f>
        <v>4189.991</v>
      </c>
      <c r="Q132" s="1657">
        <f>'[2]Gastos de Operación'!Q132+'[6]Gastos de Operación'!Q132+'[7]Gastos de Operación'!Q132+'[8]Gastos de Operación'!Q132+'[3]Gastos de Operación'!Q132+'[9]Gastos de Operación'!Q132</f>
        <v>4189.991</v>
      </c>
      <c r="R132" s="1669">
        <f t="shared" si="11"/>
        <v>49959.910000000011</v>
      </c>
    </row>
    <row r="133" spans="2:19" ht="15.75" x14ac:dyDescent="0.25">
      <c r="B133" s="1676"/>
      <c r="C133" s="1657" t="s">
        <v>10537</v>
      </c>
      <c r="D133" s="1668" t="s">
        <v>10635</v>
      </c>
      <c r="E133" s="1657"/>
      <c r="F133" s="1657">
        <f>'[2]Gastos de Operación'!F133+'[6]Gastos de Operación'!F133+'[7]Gastos de Operación'!F133+'[8]Gastos de Operación'!F133+'[3]Gastos de Operación'!F133+'[9]Gastos de Operación'!F133</f>
        <v>467.35199999999998</v>
      </c>
      <c r="G133" s="1657">
        <f>'[2]Gastos de Operación'!G133+'[6]Gastos de Operación'!G133+'[7]Gastos de Operación'!G133+'[8]Gastos de Operación'!G133+'[3]Gastos de Operación'!G133+'[9]Gastos de Operación'!G133</f>
        <v>468.35199999999998</v>
      </c>
      <c r="H133" s="1657">
        <f>'[2]Gastos de Operación'!H133+'[6]Gastos de Operación'!H133+'[7]Gastos de Operación'!H133+'[8]Gastos de Operación'!H133+'[3]Gastos de Operación'!H133+'[9]Gastos de Operación'!H133</f>
        <v>469.35199999999998</v>
      </c>
      <c r="I133" s="1657">
        <f>'[2]Gastos de Operación'!I133+'[6]Gastos de Operación'!I133+'[7]Gastos de Operación'!I133+'[8]Gastos de Operación'!I133+'[3]Gastos de Operación'!I133+'[9]Gastos de Operación'!I133</f>
        <v>470.35199999999998</v>
      </c>
      <c r="J133" s="1657">
        <f>'[2]Gastos de Operación'!J133+'[6]Gastos de Operación'!J133+'[7]Gastos de Operación'!J133+'[8]Gastos de Operación'!J133+'[3]Gastos de Operación'!J133+'[9]Gastos de Operación'!J133</f>
        <v>471.35199999999998</v>
      </c>
      <c r="K133" s="1657">
        <f>'[2]Gastos de Operación'!K133+'[6]Gastos de Operación'!K133+'[7]Gastos de Operación'!K133+'[8]Gastos de Operación'!K133+'[3]Gastos de Operación'!K133+'[9]Gastos de Operación'!K133</f>
        <v>472.35199999999998</v>
      </c>
      <c r="L133" s="1657">
        <f>'[2]Gastos de Operación'!L133+'[6]Gastos de Operación'!L133+'[7]Gastos de Operación'!L133+'[8]Gastos de Operación'!L133+'[3]Gastos de Operación'!L133+'[9]Gastos de Operación'!L133</f>
        <v>473.35199999999998</v>
      </c>
      <c r="M133" s="1657">
        <f>'[2]Gastos de Operación'!M133+'[6]Gastos de Operación'!M133+'[7]Gastos de Operación'!M133+'[8]Gastos de Operación'!M133+'[3]Gastos de Operación'!M133+'[9]Gastos de Operación'!M133</f>
        <v>474.35199999999998</v>
      </c>
      <c r="N133" s="1657">
        <f>'[2]Gastos de Operación'!N133+'[6]Gastos de Operación'!N133+'[7]Gastos de Operación'!N133+'[8]Gastos de Operación'!N133+'[3]Gastos de Operación'!N133+'[9]Gastos de Operación'!N133</f>
        <v>475.35199999999998</v>
      </c>
      <c r="O133" s="1657">
        <f>'[2]Gastos de Operación'!O133+'[6]Gastos de Operación'!O133+'[7]Gastos de Operación'!O133+'[8]Gastos de Operación'!O133+'[3]Gastos de Operación'!O133+'[9]Gastos de Operación'!O133</f>
        <v>476.35200000000009</v>
      </c>
      <c r="P133" s="1657">
        <f>'[2]Gastos de Operación'!P133+'[6]Gastos de Operación'!P133+'[7]Gastos de Operación'!P133+'[8]Gastos de Operación'!P133+'[3]Gastos de Operación'!P133+'[9]Gastos de Operación'!P133</f>
        <v>477.35199999999998</v>
      </c>
      <c r="Q133" s="1657">
        <f>'[2]Gastos de Operación'!Q133+'[6]Gastos de Operación'!Q133+'[7]Gastos de Operación'!Q133+'[8]Gastos de Operación'!Q133+'[3]Gastos de Operación'!Q133+'[9]Gastos de Operación'!Q133</f>
        <v>478.35199999999998</v>
      </c>
      <c r="R133" s="1669">
        <f t="shared" si="11"/>
        <v>5674.2239999999993</v>
      </c>
    </row>
    <row r="134" spans="2:19" ht="15.75" x14ac:dyDescent="0.25">
      <c r="B134" s="1676"/>
      <c r="C134" s="1657" t="s">
        <v>10587</v>
      </c>
      <c r="D134" s="1668" t="s">
        <v>10681</v>
      </c>
      <c r="E134" s="1657"/>
      <c r="F134" s="1657">
        <f>'[2]Gastos de Operación'!F134+'[6]Gastos de Operación'!F134+'[7]Gastos de Operación'!F134+'[8]Gastos de Operación'!F134+'[3]Gastos de Operación'!F134+'[9]Gastos de Operación'!F134</f>
        <v>6065.2800000000007</v>
      </c>
      <c r="G134" s="1657">
        <f>'[2]Gastos de Operación'!G134+'[6]Gastos de Operación'!G134+'[7]Gastos de Operación'!G134+'[8]Gastos de Operación'!G134+'[3]Gastos de Operación'!G134+'[9]Gastos de Operación'!G134</f>
        <v>6040.2024000000001</v>
      </c>
      <c r="H134" s="1657">
        <f>'[2]Gastos de Operación'!H134+'[6]Gastos de Operación'!H134+'[7]Gastos de Operación'!H134+'[8]Gastos de Operación'!H134+'[3]Gastos de Operación'!H134+'[9]Gastos de Operación'!H134</f>
        <v>14753.2024</v>
      </c>
      <c r="I134" s="1657">
        <f>'[2]Gastos de Operación'!I134+'[6]Gastos de Operación'!I134+'[7]Gastos de Operación'!I134+'[8]Gastos de Operación'!I134+'[3]Gastos de Operación'!I134+'[9]Gastos de Operación'!I134</f>
        <v>14753.2024</v>
      </c>
      <c r="J134" s="1657">
        <f>'[2]Gastos de Operación'!J134+'[6]Gastos de Operación'!J134+'[7]Gastos de Operación'!J134+'[8]Gastos de Operación'!J134+'[3]Gastos de Operación'!J134+'[9]Gastos de Operación'!J134</f>
        <v>14753.2024</v>
      </c>
      <c r="K134" s="1657">
        <f>'[2]Gastos de Operación'!K134+'[6]Gastos de Operación'!K134+'[7]Gastos de Operación'!K134+'[8]Gastos de Operación'!K134+'[3]Gastos de Operación'!K134+'[9]Gastos de Operación'!K134</f>
        <v>14753.2024</v>
      </c>
      <c r="L134" s="1657">
        <f>'[2]Gastos de Operación'!L134+'[6]Gastos de Operación'!L134+'[7]Gastos de Operación'!L134+'[8]Gastos de Operación'!L134+'[3]Gastos de Operación'!L134+'[9]Gastos de Operación'!L134</f>
        <v>14753.2024</v>
      </c>
      <c r="M134" s="1657">
        <f>'[2]Gastos de Operación'!M134+'[6]Gastos de Operación'!M134+'[7]Gastos de Operación'!M134+'[8]Gastos de Operación'!M134+'[3]Gastos de Operación'!M134+'[9]Gastos de Operación'!M134</f>
        <v>14753.2024</v>
      </c>
      <c r="N134" s="1657">
        <f>'[2]Gastos de Operación'!N134+'[6]Gastos de Operación'!N134+'[7]Gastos de Operación'!N134+'[8]Gastos de Operación'!N134+'[3]Gastos de Operación'!N134+'[9]Gastos de Operación'!N134</f>
        <v>14753.2024</v>
      </c>
      <c r="O134" s="1657">
        <f>'[2]Gastos de Operación'!O134+'[6]Gastos de Operación'!O134+'[7]Gastos de Operación'!O134+'[8]Gastos de Operación'!O134+'[3]Gastos de Operación'!O134+'[9]Gastos de Operación'!O134</f>
        <v>14753.2024</v>
      </c>
      <c r="P134" s="1657">
        <f>'[2]Gastos de Operación'!P134+'[6]Gastos de Operación'!P134+'[7]Gastos de Operación'!P134+'[8]Gastos de Operación'!P134+'[3]Gastos de Operación'!P134+'[9]Gastos de Operación'!P134</f>
        <v>6040.2024000000001</v>
      </c>
      <c r="Q134" s="1657">
        <f>'[2]Gastos de Operación'!Q134+'[6]Gastos de Operación'!Q134+'[7]Gastos de Operación'!Q134+'[8]Gastos de Operación'!Q134+'[3]Gastos de Operación'!Q134+'[9]Gastos de Operación'!Q134</f>
        <v>6040.2024000000001</v>
      </c>
      <c r="R134" s="1669">
        <f t="shared" si="11"/>
        <v>142211.50639999998</v>
      </c>
    </row>
    <row r="135" spans="2:19" ht="15.75" x14ac:dyDescent="0.25">
      <c r="B135" s="1676"/>
      <c r="C135" s="1657" t="s">
        <v>10538</v>
      </c>
      <c r="D135" s="1668" t="s">
        <v>10682</v>
      </c>
      <c r="E135" s="1657"/>
      <c r="F135" s="1657">
        <f>'[2]Gastos de Operación'!F135+'[6]Gastos de Operación'!F135+'[7]Gastos de Operación'!F135+'[8]Gastos de Operación'!F135+'[3]Gastos de Operación'!F135+'[9]Gastos de Operación'!F135</f>
        <v>1400</v>
      </c>
      <c r="G135" s="1657">
        <f>'[2]Gastos de Operación'!G135+'[6]Gastos de Operación'!G135+'[7]Gastos de Operación'!G135+'[8]Gastos de Operación'!G135+'[3]Gastos de Operación'!G135+'[9]Gastos de Operación'!G135</f>
        <v>1400</v>
      </c>
      <c r="H135" s="1657">
        <f>'[2]Gastos de Operación'!H135+'[6]Gastos de Operación'!H135+'[7]Gastos de Operación'!H135+'[8]Gastos de Operación'!H135+'[3]Gastos de Operación'!H135+'[9]Gastos de Operación'!H135</f>
        <v>34136.748214285712</v>
      </c>
      <c r="I135" s="1657">
        <f>'[2]Gastos de Operación'!I135+'[6]Gastos de Operación'!I135+'[7]Gastos de Operación'!I135+'[8]Gastos de Operación'!I135+'[3]Gastos de Operación'!I135+'[9]Gastos de Operación'!I135</f>
        <v>34136.748214285712</v>
      </c>
      <c r="J135" s="1657">
        <f>'[2]Gastos de Operación'!J135+'[6]Gastos de Operación'!J135+'[7]Gastos de Operación'!J135+'[8]Gastos de Operación'!J135+'[3]Gastos de Operación'!J135+'[9]Gastos de Operación'!J135</f>
        <v>34136.748214285712</v>
      </c>
      <c r="K135" s="1657">
        <f>'[2]Gastos de Operación'!K135+'[6]Gastos de Operación'!K135+'[7]Gastos de Operación'!K135+'[8]Gastos de Operación'!K135+'[3]Gastos de Operación'!K135+'[9]Gastos de Operación'!K135</f>
        <v>34136.748214285712</v>
      </c>
      <c r="L135" s="1657">
        <f>'[2]Gastos de Operación'!L135+'[6]Gastos de Operación'!L135+'[7]Gastos de Operación'!L135+'[8]Gastos de Operación'!L135+'[3]Gastos de Operación'!L135+'[9]Gastos de Operación'!L135</f>
        <v>34136.748214285712</v>
      </c>
      <c r="M135" s="1657">
        <f>'[2]Gastos de Operación'!M135+'[6]Gastos de Operación'!M135+'[7]Gastos de Operación'!M135+'[8]Gastos de Operación'!M135+'[3]Gastos de Operación'!M135+'[9]Gastos de Operación'!M135</f>
        <v>34136.748214285712</v>
      </c>
      <c r="N135" s="1657">
        <f>'[2]Gastos de Operación'!N135+'[6]Gastos de Operación'!N135+'[7]Gastos de Operación'!N135+'[8]Gastos de Operación'!N135+'[3]Gastos de Operación'!N135+'[9]Gastos de Operación'!N135</f>
        <v>34136.748214285712</v>
      </c>
      <c r="O135" s="1657">
        <f>'[2]Gastos de Operación'!O135+'[6]Gastos de Operación'!O135+'[7]Gastos de Operación'!O135+'[8]Gastos de Operación'!O135+'[3]Gastos de Operación'!O135+'[9]Gastos de Operación'!O135</f>
        <v>34136.748214285712</v>
      </c>
      <c r="P135" s="1657">
        <f>'[2]Gastos de Operación'!P135+'[6]Gastos de Operación'!P135+'[7]Gastos de Operación'!P135+'[8]Gastos de Operación'!P135+'[3]Gastos de Operación'!P135+'[9]Gastos de Operación'!P135</f>
        <v>1400</v>
      </c>
      <c r="Q135" s="1657">
        <f>'[2]Gastos de Operación'!Q135+'[6]Gastos de Operación'!Q135+'[7]Gastos de Operación'!Q135+'[8]Gastos de Operación'!Q135+'[3]Gastos de Operación'!Q135+'[9]Gastos de Operación'!Q135</f>
        <v>1400</v>
      </c>
      <c r="R135" s="1669">
        <f t="shared" si="11"/>
        <v>278693.98571428569</v>
      </c>
    </row>
    <row r="136" spans="2:19" ht="15.75" x14ac:dyDescent="0.25">
      <c r="B136" s="1676"/>
      <c r="C136" s="1657" t="s">
        <v>10588</v>
      </c>
      <c r="D136" s="1668" t="s">
        <v>10683</v>
      </c>
      <c r="E136" s="1657"/>
      <c r="F136" s="1657">
        <f>'[2]Gastos de Operación'!F136+'[6]Gastos de Operación'!F136+'[7]Gastos de Operación'!F136+'[8]Gastos de Operación'!F136+'[3]Gastos de Operación'!F136+'[9]Gastos de Operación'!F136</f>
        <v>5186.0416500000001</v>
      </c>
      <c r="G136" s="1657">
        <f>'[2]Gastos de Operación'!G136+'[6]Gastos de Operación'!G136+'[7]Gastos de Operación'!G136+'[8]Gastos de Operación'!G136+'[3]Gastos de Operación'!G136+'[9]Gastos de Operación'!G136</f>
        <v>4360</v>
      </c>
      <c r="H136" s="1657">
        <f>'[2]Gastos de Operación'!H136+'[6]Gastos de Operación'!H136+'[7]Gastos de Operación'!H136+'[8]Gastos de Operación'!H136+'[3]Gastos de Operación'!H136+'[9]Gastos de Operación'!H136</f>
        <v>4360</v>
      </c>
      <c r="I136" s="1657">
        <f>'[2]Gastos de Operación'!I136+'[6]Gastos de Operación'!I136+'[7]Gastos de Operación'!I136+'[8]Gastos de Operación'!I136+'[3]Gastos de Operación'!I136+'[9]Gastos de Operación'!I136</f>
        <v>4360</v>
      </c>
      <c r="J136" s="1657">
        <f>'[2]Gastos de Operación'!J136+'[6]Gastos de Operación'!J136+'[7]Gastos de Operación'!J136+'[8]Gastos de Operación'!J136+'[3]Gastos de Operación'!J136+'[9]Gastos de Operación'!J136</f>
        <v>4360</v>
      </c>
      <c r="K136" s="1657">
        <f>'[2]Gastos de Operación'!K136+'[6]Gastos de Operación'!K136+'[7]Gastos de Operación'!K136+'[8]Gastos de Operación'!K136+'[3]Gastos de Operación'!K136+'[9]Gastos de Operación'!K136</f>
        <v>4360</v>
      </c>
      <c r="L136" s="1657">
        <f>'[2]Gastos de Operación'!L136+'[6]Gastos de Operación'!L136+'[7]Gastos de Operación'!L136+'[8]Gastos de Operación'!L136+'[3]Gastos de Operación'!L136+'[9]Gastos de Operación'!L136</f>
        <v>4360</v>
      </c>
      <c r="M136" s="1657">
        <f>'[2]Gastos de Operación'!M136+'[6]Gastos de Operación'!M136+'[7]Gastos de Operación'!M136+'[8]Gastos de Operación'!M136+'[3]Gastos de Operación'!M136+'[9]Gastos de Operación'!M136</f>
        <v>4360</v>
      </c>
      <c r="N136" s="1657">
        <f>'[2]Gastos de Operación'!N136+'[6]Gastos de Operación'!N136+'[7]Gastos de Operación'!N136+'[8]Gastos de Operación'!N136+'[3]Gastos de Operación'!N136+'[9]Gastos de Operación'!N136</f>
        <v>4360</v>
      </c>
      <c r="O136" s="1657">
        <f>'[2]Gastos de Operación'!O136+'[6]Gastos de Operación'!O136+'[7]Gastos de Operación'!O136+'[8]Gastos de Operación'!O136+'[3]Gastos de Operación'!O136+'[9]Gastos de Operación'!O136</f>
        <v>4360</v>
      </c>
      <c r="P136" s="1657">
        <f>'[2]Gastos de Operación'!P136+'[6]Gastos de Operación'!P136+'[7]Gastos de Operación'!P136+'[8]Gastos de Operación'!P136+'[3]Gastos de Operación'!P136+'[9]Gastos de Operación'!P136</f>
        <v>4360</v>
      </c>
      <c r="Q136" s="1657">
        <f>'[2]Gastos de Operación'!Q136+'[6]Gastos de Operación'!Q136+'[7]Gastos de Operación'!Q136+'[8]Gastos de Operación'!Q136+'[3]Gastos de Operación'!Q136+'[9]Gastos de Operación'!Q136</f>
        <v>4360</v>
      </c>
      <c r="R136" s="1669">
        <f t="shared" si="11"/>
        <v>53146.041649999999</v>
      </c>
    </row>
    <row r="137" spans="2:19" ht="15.75" x14ac:dyDescent="0.25">
      <c r="B137" s="1676"/>
      <c r="C137" s="1657" t="s">
        <v>10589</v>
      </c>
      <c r="D137" s="1668" t="s">
        <v>10684</v>
      </c>
      <c r="E137" s="1657"/>
      <c r="F137" s="1657">
        <f>'[2]Gastos de Operación'!F137+'[6]Gastos de Operación'!F137+'[7]Gastos de Operación'!F137+'[8]Gastos de Operación'!F137+'[3]Gastos de Operación'!F137+'[9]Gastos de Operación'!F137</f>
        <v>23594.948473694527</v>
      </c>
      <c r="G137" s="1657">
        <f>'[2]Gastos de Operación'!G137+'[6]Gastos de Operación'!G137+'[7]Gastos de Operación'!G137+'[8]Gastos de Operación'!G137+'[3]Gastos de Operación'!G137+'[9]Gastos de Operación'!G137</f>
        <v>4253.0315876929462</v>
      </c>
      <c r="H137" s="1657">
        <f>'[2]Gastos de Operación'!H137+'[6]Gastos de Operación'!H137+'[7]Gastos de Operación'!H137+'[8]Gastos de Operación'!H137+'[3]Gastos de Operación'!H137+'[9]Gastos de Operación'!H137</f>
        <v>4411.9810598951753</v>
      </c>
      <c r="I137" s="1657">
        <f>'[2]Gastos de Operación'!I137+'[6]Gastos de Operación'!I137+'[7]Gastos de Operación'!I137+'[8]Gastos de Operación'!I137+'[3]Gastos de Operación'!I137+'[9]Gastos de Operación'!I137</f>
        <v>4672.220921616934</v>
      </c>
      <c r="J137" s="1657">
        <f>'[2]Gastos de Operación'!J137+'[6]Gastos de Operación'!J137+'[7]Gastos de Operación'!J137+'[8]Gastos de Operación'!J137+'[3]Gastos de Operación'!J137+'[9]Gastos de Operación'!J137</f>
        <v>4520.8904389671952</v>
      </c>
      <c r="K137" s="1657">
        <f>'[2]Gastos de Operación'!K137+'[6]Gastos de Operación'!K137+'[7]Gastos de Operación'!K137+'[8]Gastos de Operación'!K137+'[3]Gastos de Operación'!K137+'[9]Gastos de Operación'!K137</f>
        <v>4557.7642816352154</v>
      </c>
      <c r="L137" s="1657">
        <f>'[2]Gastos de Operación'!L137+'[6]Gastos de Operación'!L137+'[7]Gastos de Operación'!L137+'[8]Gastos de Operación'!L137+'[3]Gastos de Operación'!L137+'[9]Gastos de Operación'!L137</f>
        <v>4935.9500953929546</v>
      </c>
      <c r="M137" s="1657">
        <f>'[2]Gastos de Operación'!M137+'[6]Gastos de Operación'!M137+'[7]Gastos de Operación'!M137+'[8]Gastos de Operación'!M137+'[3]Gastos de Operación'!M137+'[9]Gastos de Operación'!M137</f>
        <v>4849.7485122630296</v>
      </c>
      <c r="N137" s="1657">
        <f>'[2]Gastos de Operación'!N137+'[6]Gastos de Operación'!N137+'[7]Gastos de Operación'!N137+'[8]Gastos de Operación'!N137+'[3]Gastos de Operación'!N137+'[9]Gastos de Operación'!N137</f>
        <v>4305.8858889608009</v>
      </c>
      <c r="O137" s="1657">
        <f>'[2]Gastos de Operación'!O137+'[6]Gastos de Operación'!O137+'[7]Gastos de Operación'!O137+'[8]Gastos de Operación'!O137+'[3]Gastos de Operación'!O137+'[9]Gastos de Operación'!O137</f>
        <v>5578.2556763508856</v>
      </c>
      <c r="P137" s="1657">
        <f>'[2]Gastos de Operación'!P137+'[6]Gastos de Operación'!P137+'[7]Gastos de Operación'!P137+'[8]Gastos de Operación'!P137+'[3]Gastos de Operación'!P137+'[9]Gastos de Operación'!P137</f>
        <v>4974.444488444803</v>
      </c>
      <c r="Q137" s="1657">
        <f>'[2]Gastos de Operación'!Q137+'[6]Gastos de Operación'!Q137+'[7]Gastos de Operación'!Q137+'[8]Gastos de Operación'!Q137+'[3]Gastos de Operación'!Q137+'[9]Gastos de Operación'!Q137</f>
        <v>4990.4394867999317</v>
      </c>
      <c r="R137" s="1669">
        <f t="shared" si="11"/>
        <v>75645.560911714405</v>
      </c>
    </row>
    <row r="138" spans="2:19" ht="15.75" x14ac:dyDescent="0.25">
      <c r="B138" s="1676"/>
      <c r="C138" s="1657" t="s">
        <v>10537</v>
      </c>
      <c r="D138" s="1668" t="s">
        <v>10635</v>
      </c>
      <c r="E138" s="1657"/>
      <c r="F138" s="1657">
        <f>'[2]Gastos de Operación'!F138+'[6]Gastos de Operación'!F138+'[7]Gastos de Operación'!F138+'[8]Gastos de Operación'!F138+'[3]Gastos de Operación'!F138+'[9]Gastos de Operación'!F138</f>
        <v>0</v>
      </c>
      <c r="G138" s="1657">
        <f>'[2]Gastos de Operación'!G138+'[6]Gastos de Operación'!G138+'[7]Gastos de Operación'!G138+'[8]Gastos de Operación'!G138+'[3]Gastos de Operación'!G138+'[9]Gastos de Operación'!G138</f>
        <v>0</v>
      </c>
      <c r="H138" s="1657">
        <f>'[2]Gastos de Operación'!H138+'[6]Gastos de Operación'!H138+'[7]Gastos de Operación'!H138+'[8]Gastos de Operación'!H138+'[3]Gastos de Operación'!H138+'[9]Gastos de Operación'!H138</f>
        <v>0</v>
      </c>
      <c r="I138" s="1657">
        <f>'[2]Gastos de Operación'!I138+'[6]Gastos de Operación'!I138+'[7]Gastos de Operación'!I138+'[8]Gastos de Operación'!I138+'[3]Gastos de Operación'!I138+'[9]Gastos de Operación'!I138</f>
        <v>0</v>
      </c>
      <c r="J138" s="1657">
        <f>'[2]Gastos de Operación'!J138+'[6]Gastos de Operación'!J138+'[7]Gastos de Operación'!J138+'[8]Gastos de Operación'!J138+'[3]Gastos de Operación'!J138+'[9]Gastos de Operación'!J138</f>
        <v>0</v>
      </c>
      <c r="K138" s="1657">
        <f>'[2]Gastos de Operación'!K138+'[6]Gastos de Operación'!K138+'[7]Gastos de Operación'!K138+'[8]Gastos de Operación'!K138+'[3]Gastos de Operación'!K138+'[9]Gastos de Operación'!K138</f>
        <v>0</v>
      </c>
      <c r="L138" s="1657">
        <f>'[2]Gastos de Operación'!L138+'[6]Gastos de Operación'!L138+'[7]Gastos de Operación'!L138+'[8]Gastos de Operación'!L138+'[3]Gastos de Operación'!L138+'[9]Gastos de Operación'!L138</f>
        <v>0</v>
      </c>
      <c r="M138" s="1657">
        <f>'[2]Gastos de Operación'!M138+'[6]Gastos de Operación'!M138+'[7]Gastos de Operación'!M138+'[8]Gastos de Operación'!M138+'[3]Gastos de Operación'!M138+'[9]Gastos de Operación'!M138</f>
        <v>0</v>
      </c>
      <c r="N138" s="1657">
        <f>'[2]Gastos de Operación'!N138+'[6]Gastos de Operación'!N138+'[7]Gastos de Operación'!N138+'[8]Gastos de Operación'!N138+'[3]Gastos de Operación'!N138+'[9]Gastos de Operación'!N138</f>
        <v>0</v>
      </c>
      <c r="O138" s="1657">
        <f>'[2]Gastos de Operación'!O138+'[6]Gastos de Operación'!O138+'[7]Gastos de Operación'!O138+'[8]Gastos de Operación'!O138+'[3]Gastos de Operación'!O138+'[9]Gastos de Operación'!O138</f>
        <v>0</v>
      </c>
      <c r="P138" s="1657">
        <f>'[2]Gastos de Operación'!P138+'[6]Gastos de Operación'!P138+'[7]Gastos de Operación'!P138+'[8]Gastos de Operación'!P138+'[3]Gastos de Operación'!P138+'[9]Gastos de Operación'!P138</f>
        <v>0</v>
      </c>
      <c r="Q138" s="1657">
        <f>'[2]Gastos de Operación'!Q138+'[6]Gastos de Operación'!Q138+'[7]Gastos de Operación'!Q138+'[8]Gastos de Operación'!Q138+'[3]Gastos de Operación'!Q138+'[9]Gastos de Operación'!Q138</f>
        <v>0</v>
      </c>
      <c r="R138" s="1669">
        <f t="shared" si="11"/>
        <v>0</v>
      </c>
    </row>
    <row r="139" spans="2:19" ht="15.75" x14ac:dyDescent="0.25">
      <c r="B139" s="1676"/>
      <c r="C139" s="1657" t="s">
        <v>10668</v>
      </c>
      <c r="D139" s="1668" t="s">
        <v>10685</v>
      </c>
      <c r="E139" s="1657"/>
      <c r="F139" s="1657">
        <f>'[2]Gastos de Operación'!F139+'[6]Gastos de Operación'!F139+'[7]Gastos de Operación'!F139+'[8]Gastos de Operación'!F139+'[3]Gastos de Operación'!F139+'[9]Gastos de Operación'!F139</f>
        <v>0</v>
      </c>
      <c r="G139" s="1657">
        <f>'[2]Gastos de Operación'!G139+'[6]Gastos de Operación'!G139+'[7]Gastos de Operación'!G139+'[8]Gastos de Operación'!G139+'[3]Gastos de Operación'!G139+'[9]Gastos de Operación'!G139</f>
        <v>0</v>
      </c>
      <c r="H139" s="1657">
        <f>'[2]Gastos de Operación'!H139+'[6]Gastos de Operación'!H139+'[7]Gastos de Operación'!H139+'[8]Gastos de Operación'!H139+'[3]Gastos de Operación'!H139+'[9]Gastos de Operación'!H139</f>
        <v>0</v>
      </c>
      <c r="I139" s="1657">
        <f>'[2]Gastos de Operación'!I139+'[6]Gastos de Operación'!I139+'[7]Gastos de Operación'!I139+'[8]Gastos de Operación'!I139+'[3]Gastos de Operación'!I139+'[9]Gastos de Operación'!I139</f>
        <v>0</v>
      </c>
      <c r="J139" s="1657">
        <f>'[2]Gastos de Operación'!J139+'[6]Gastos de Operación'!J139+'[7]Gastos de Operación'!J139+'[8]Gastos de Operación'!J139+'[3]Gastos de Operación'!J139+'[9]Gastos de Operación'!J139</f>
        <v>0</v>
      </c>
      <c r="K139" s="1657">
        <f>'[2]Gastos de Operación'!K139+'[6]Gastos de Operación'!K139+'[7]Gastos de Operación'!K139+'[8]Gastos de Operación'!K139+'[3]Gastos de Operación'!K139+'[9]Gastos de Operación'!K139</f>
        <v>0</v>
      </c>
      <c r="L139" s="1657">
        <f>'[2]Gastos de Operación'!L139+'[6]Gastos de Operación'!L139+'[7]Gastos de Operación'!L139+'[8]Gastos de Operación'!L139+'[3]Gastos de Operación'!L139+'[9]Gastos de Operación'!L139</f>
        <v>0</v>
      </c>
      <c r="M139" s="1657">
        <f>'[2]Gastos de Operación'!M139+'[6]Gastos de Operación'!M139+'[7]Gastos de Operación'!M139+'[8]Gastos de Operación'!M139+'[3]Gastos de Operación'!M139+'[9]Gastos de Operación'!M139</f>
        <v>0</v>
      </c>
      <c r="N139" s="1657">
        <f>'[2]Gastos de Operación'!N139+'[6]Gastos de Operación'!N139+'[7]Gastos de Operación'!N139+'[8]Gastos de Operación'!N139+'[3]Gastos de Operación'!N139+'[9]Gastos de Operación'!N139</f>
        <v>0</v>
      </c>
      <c r="O139" s="1657">
        <f>'[2]Gastos de Operación'!O139+'[6]Gastos de Operación'!O139+'[7]Gastos de Operación'!O139+'[8]Gastos de Operación'!O139+'[3]Gastos de Operación'!O139+'[9]Gastos de Operación'!O139</f>
        <v>0</v>
      </c>
      <c r="P139" s="1657">
        <f>'[2]Gastos de Operación'!P139+'[6]Gastos de Operación'!P139+'[7]Gastos de Operación'!P139+'[8]Gastos de Operación'!P139+'[3]Gastos de Operación'!P139+'[9]Gastos de Operación'!P139</f>
        <v>0</v>
      </c>
      <c r="Q139" s="1657">
        <f>'[2]Gastos de Operación'!Q139+'[6]Gastos de Operación'!Q139+'[7]Gastos de Operación'!Q139+'[8]Gastos de Operación'!Q139+'[3]Gastos de Operación'!Q139+'[9]Gastos de Operación'!Q139</f>
        <v>0</v>
      </c>
      <c r="R139" s="1669">
        <f t="shared" si="11"/>
        <v>0</v>
      </c>
    </row>
    <row r="140" spans="2:19" ht="15.75" x14ac:dyDescent="0.25">
      <c r="B140" s="1676"/>
      <c r="C140" s="1657" t="s">
        <v>10539</v>
      </c>
      <c r="D140" s="1668" t="s">
        <v>10636</v>
      </c>
      <c r="E140" s="1657"/>
      <c r="F140" s="1657">
        <f>'[2]Gastos de Operación'!F140+'[6]Gastos de Operación'!F140+'[7]Gastos de Operación'!F140+'[8]Gastos de Operación'!F140+'[3]Gastos de Operación'!F140+'[9]Gastos de Operación'!F140</f>
        <v>4432.517511</v>
      </c>
      <c r="G140" s="1657">
        <f>'[2]Gastos de Operación'!G140+'[6]Gastos de Operación'!G140+'[7]Gastos de Operación'!G140+'[8]Gastos de Operación'!G140+'[3]Gastos de Operación'!G140+'[9]Gastos de Operación'!G140</f>
        <v>4381.5560000000005</v>
      </c>
      <c r="H140" s="1657">
        <f>'[2]Gastos de Operación'!H140+'[6]Gastos de Operación'!H140+'[7]Gastos de Operación'!H140+'[8]Gastos de Operación'!H140+'[3]Gastos de Operación'!H140+'[9]Gastos de Operación'!H140</f>
        <v>4473.0360000000001</v>
      </c>
      <c r="I140" s="1657">
        <f>'[2]Gastos de Operación'!I140+'[6]Gastos de Operación'!I140+'[7]Gastos de Operación'!I140+'[8]Gastos de Operación'!I140+'[3]Gastos de Operación'!I140+'[9]Gastos de Operación'!I140</f>
        <v>4622.8159999999998</v>
      </c>
      <c r="J140" s="1657">
        <f>'[2]Gastos de Operación'!J140+'[6]Gastos de Operación'!J140+'[7]Gastos de Operación'!J140+'[8]Gastos de Operación'!J140+'[3]Gastos de Operación'!J140+'[9]Gastos de Operación'!J140</f>
        <v>4535.8060000000005</v>
      </c>
      <c r="K140" s="1657">
        <f>'[2]Gastos de Operación'!K140+'[6]Gastos de Operación'!K140+'[7]Gastos de Operación'!K140+'[8]Gastos de Operación'!K140+'[3]Gastos de Operación'!K140+'[9]Gastos de Operación'!K140</f>
        <v>4556.9560000000001</v>
      </c>
      <c r="L140" s="1657">
        <f>'[2]Gastos de Operación'!L140+'[6]Gastos de Operación'!L140+'[7]Gastos de Operación'!L140+'[8]Gastos de Operación'!L140+'[3]Gastos de Operación'!L140+'[9]Gastos de Operación'!L140</f>
        <v>4774.7359999999999</v>
      </c>
      <c r="M140" s="1657">
        <f>'[2]Gastos de Operación'!M140+'[6]Gastos de Operación'!M140+'[7]Gastos de Operación'!M140+'[8]Gastos de Operación'!M140+'[3]Gastos de Operación'!M140+'[9]Gastos de Operación'!M140</f>
        <v>4725.1659999999993</v>
      </c>
      <c r="N140" s="1657">
        <f>'[2]Gastos de Operación'!N140+'[6]Gastos de Operación'!N140+'[7]Gastos de Operación'!N140+'[8]Gastos de Operación'!N140+'[3]Gastos de Operación'!N140+'[9]Gastos de Operación'!N140</f>
        <v>4412.3559999999998</v>
      </c>
      <c r="O140" s="1657">
        <f>'[2]Gastos de Operación'!O140+'[6]Gastos de Operación'!O140+'[7]Gastos de Operación'!O140+'[8]Gastos de Operación'!O140+'[3]Gastos de Operación'!O140+'[9]Gastos de Operación'!O140</f>
        <v>5144.9459999999999</v>
      </c>
      <c r="P140" s="1657">
        <f>'[2]Gastos de Operación'!P140+'[6]Gastos de Operación'!P140+'[7]Gastos de Operación'!P140+'[8]Gastos de Operación'!P140+'[3]Gastos de Operación'!P140+'[9]Gastos de Operación'!P140</f>
        <v>4797.5859999999993</v>
      </c>
      <c r="Q140" s="1657">
        <f>'[2]Gastos de Operación'!Q140+'[6]Gastos de Operación'!Q140+'[7]Gastos de Operación'!Q140+'[8]Gastos de Operación'!Q140+'[3]Gastos de Operación'!Q140+'[9]Gastos de Operación'!Q140</f>
        <v>4806.6959999999999</v>
      </c>
      <c r="R140" s="1669">
        <f t="shared" si="11"/>
        <v>55664.173511000001</v>
      </c>
    </row>
    <row r="141" spans="2:19" ht="15.75" x14ac:dyDescent="0.25">
      <c r="B141" s="1676"/>
      <c r="C141" s="1657"/>
      <c r="D141" s="1668"/>
      <c r="E141" s="1657"/>
      <c r="F141" s="1658"/>
      <c r="G141" s="1658"/>
      <c r="H141" s="1658"/>
      <c r="I141" s="1658"/>
      <c r="J141" s="1658"/>
      <c r="K141" s="1658"/>
      <c r="L141" s="1658"/>
      <c r="M141" s="1658"/>
      <c r="N141" s="1658"/>
      <c r="O141" s="1658"/>
      <c r="P141" s="1658"/>
      <c r="Q141" s="1658"/>
      <c r="R141" s="1669"/>
    </row>
    <row r="142" spans="2:19" ht="15.75" x14ac:dyDescent="0.25">
      <c r="B142" s="1661"/>
      <c r="C142" s="1662"/>
      <c r="D142" s="1662"/>
      <c r="E142" s="1662"/>
      <c r="F142" s="1658"/>
      <c r="G142" s="1658"/>
      <c r="H142" s="1658"/>
      <c r="I142" s="1658"/>
      <c r="J142" s="1658"/>
      <c r="K142" s="1658"/>
      <c r="L142" s="1658"/>
      <c r="M142" s="1658"/>
      <c r="N142" s="1658"/>
      <c r="O142" s="1658"/>
      <c r="P142" s="1658"/>
      <c r="Q142" s="1658"/>
      <c r="R142" s="1669"/>
    </row>
    <row r="143" spans="2:19" ht="15.75" x14ac:dyDescent="0.25">
      <c r="B143" s="1661" t="s">
        <v>10590</v>
      </c>
      <c r="C143" s="1662"/>
      <c r="D143" s="1662"/>
      <c r="E143" s="1662"/>
      <c r="F143" s="1678">
        <f>SUM(F112:F141)</f>
        <v>1717249.0569737856</v>
      </c>
      <c r="G143" s="1678">
        <f t="shared" ref="G143:Q143" si="12">SUM(G112:G141)</f>
        <v>1870390.5098509386</v>
      </c>
      <c r="H143" s="1678">
        <f t="shared" si="12"/>
        <v>1723729.4240929822</v>
      </c>
      <c r="I143" s="1678">
        <f t="shared" si="12"/>
        <v>1797756.8834429493</v>
      </c>
      <c r="J143" s="1678">
        <f t="shared" si="12"/>
        <v>1625282.2769622193</v>
      </c>
      <c r="K143" s="1678">
        <f t="shared" si="12"/>
        <v>1627552.4463604428</v>
      </c>
      <c r="L143" s="1678">
        <f t="shared" si="12"/>
        <v>1646360.5577297565</v>
      </c>
      <c r="M143" s="1678">
        <f t="shared" si="12"/>
        <v>1657889.9317021817</v>
      </c>
      <c r="N143" s="1678">
        <f t="shared" si="12"/>
        <v>1635136.4046344354</v>
      </c>
      <c r="O143" s="1678">
        <f t="shared" si="12"/>
        <v>1628184.5099773807</v>
      </c>
      <c r="P143" s="1678">
        <f t="shared" si="12"/>
        <v>1556401.7361307445</v>
      </c>
      <c r="Q143" s="1678">
        <f t="shared" si="12"/>
        <v>1566638.9866846553</v>
      </c>
      <c r="R143" s="1679">
        <f>SUM(R112:R140)</f>
        <v>20052572.724542473</v>
      </c>
      <c r="S143" s="1412">
        <f>R143-Edo.Res.detalle!B28</f>
        <v>0</v>
      </c>
    </row>
    <row r="144" spans="2:19" ht="15.75" x14ac:dyDescent="0.25">
      <c r="B144" s="1661"/>
      <c r="C144" s="1662"/>
      <c r="D144" s="1662"/>
      <c r="E144" s="1662"/>
      <c r="F144" s="1662"/>
      <c r="G144" s="1662"/>
      <c r="H144" s="1662"/>
      <c r="I144" s="1662"/>
      <c r="J144" s="1662"/>
      <c r="K144" s="1662"/>
      <c r="L144" s="1662"/>
      <c r="M144" s="1662"/>
      <c r="N144" s="1662"/>
      <c r="O144" s="1662"/>
      <c r="P144" s="1662"/>
      <c r="Q144" s="1662"/>
      <c r="R144" s="1694"/>
    </row>
    <row r="145" spans="2:19" ht="15.75" x14ac:dyDescent="0.25">
      <c r="B145" s="1682" t="s">
        <v>10591</v>
      </c>
      <c r="C145" s="1662"/>
      <c r="D145" s="1683"/>
      <c r="E145" s="1683"/>
      <c r="F145" s="1701">
        <f t="shared" ref="F145:R145" si="13">F108+F143</f>
        <v>15147760.080113083</v>
      </c>
      <c r="G145" s="1701">
        <f t="shared" si="13"/>
        <v>15872624.757753398</v>
      </c>
      <c r="H145" s="1701">
        <f t="shared" si="13"/>
        <v>16334725.173343111</v>
      </c>
      <c r="I145" s="1701">
        <f t="shared" si="13"/>
        <v>17467357.253519919</v>
      </c>
      <c r="J145" s="1701">
        <f t="shared" si="13"/>
        <v>17727790.949336901</v>
      </c>
      <c r="K145" s="1701">
        <f t="shared" si="13"/>
        <v>17796002.778864313</v>
      </c>
      <c r="L145" s="1701">
        <f t="shared" si="13"/>
        <v>18858452.754041053</v>
      </c>
      <c r="M145" s="1701">
        <f t="shared" si="13"/>
        <v>18710637.324512098</v>
      </c>
      <c r="N145" s="1701">
        <f t="shared" si="13"/>
        <v>17223843.361029778</v>
      </c>
      <c r="O145" s="1701">
        <f t="shared" si="13"/>
        <v>20532589.921778608</v>
      </c>
      <c r="P145" s="1701">
        <f t="shared" si="13"/>
        <v>18805859.557984762</v>
      </c>
      <c r="Q145" s="1701">
        <f t="shared" si="13"/>
        <v>19149210.622778978</v>
      </c>
      <c r="R145" s="1702">
        <f t="shared" si="13"/>
        <v>213626854.53505599</v>
      </c>
    </row>
    <row r="146" spans="2:19" ht="15" x14ac:dyDescent="0.2">
      <c r="B146" s="1676"/>
      <c r="C146" s="1657"/>
      <c r="D146" s="1657"/>
      <c r="E146" s="1657"/>
      <c r="F146" s="1672"/>
      <c r="G146" s="1672"/>
      <c r="H146" s="1672"/>
      <c r="I146" s="1672"/>
      <c r="J146" s="1672"/>
      <c r="K146" s="1672"/>
      <c r="L146" s="1672"/>
      <c r="M146" s="1672"/>
      <c r="N146" s="1672"/>
      <c r="O146" s="1672"/>
      <c r="P146" s="1672"/>
      <c r="Q146" s="1672"/>
      <c r="R146" s="1703"/>
    </row>
    <row r="147" spans="2:19" ht="16.5" thickBot="1" x14ac:dyDescent="0.3">
      <c r="B147" s="1704" t="s">
        <v>10592</v>
      </c>
      <c r="C147" s="1705"/>
      <c r="D147" s="1705"/>
      <c r="E147" s="1705"/>
      <c r="F147" s="1706">
        <f t="shared" ref="F147:R147" si="14">F87+F145</f>
        <v>18777860.389248367</v>
      </c>
      <c r="G147" s="1706">
        <f t="shared" si="14"/>
        <v>19665672.298244108</v>
      </c>
      <c r="H147" s="1706">
        <f t="shared" si="14"/>
        <v>20197006.504687201</v>
      </c>
      <c r="I147" s="1706">
        <f t="shared" si="14"/>
        <v>21480395.364105567</v>
      </c>
      <c r="J147" s="1706">
        <f t="shared" si="14"/>
        <v>21825953.358709991</v>
      </c>
      <c r="K147" s="1706">
        <f t="shared" si="14"/>
        <v>21846531.011732288</v>
      </c>
      <c r="L147" s="1706">
        <f t="shared" si="14"/>
        <v>23010030.659098923</v>
      </c>
      <c r="M147" s="1706">
        <f t="shared" si="14"/>
        <v>22855404.18889679</v>
      </c>
      <c r="N147" s="1706">
        <f t="shared" si="14"/>
        <v>21211569.371252026</v>
      </c>
      <c r="O147" s="1706">
        <f t="shared" si="14"/>
        <v>24850442.12090249</v>
      </c>
      <c r="P147" s="1706">
        <f t="shared" si="14"/>
        <v>22916604.243602641</v>
      </c>
      <c r="Q147" s="1706">
        <f t="shared" si="14"/>
        <v>23295955.304127265</v>
      </c>
      <c r="R147" s="1707">
        <f t="shared" si="14"/>
        <v>261933424.81460765</v>
      </c>
    </row>
    <row r="148" spans="2:19" ht="13.5" thickTop="1" x14ac:dyDescent="0.2">
      <c r="B148" s="1708"/>
      <c r="C148" s="1708"/>
      <c r="D148" s="1708"/>
      <c r="E148" s="1708"/>
      <c r="F148" s="1709"/>
      <c r="G148" s="1709"/>
      <c r="H148" s="1709"/>
      <c r="I148" s="1709"/>
      <c r="J148" s="1709"/>
      <c r="K148" s="1709"/>
      <c r="L148" s="1709"/>
      <c r="M148" s="1708"/>
      <c r="N148" s="1708"/>
      <c r="O148" s="1708"/>
      <c r="P148" s="1708"/>
      <c r="Q148" s="1708"/>
      <c r="R148" s="1708"/>
    </row>
    <row r="149" spans="2:19" x14ac:dyDescent="0.2">
      <c r="B149" s="1708"/>
      <c r="C149" s="1708"/>
      <c r="D149" s="1708"/>
      <c r="E149" s="1708"/>
      <c r="F149" s="1709"/>
      <c r="G149" s="1709"/>
      <c r="H149" s="1709"/>
      <c r="I149" s="1709"/>
      <c r="J149" s="1709"/>
      <c r="K149" s="1709"/>
      <c r="L149" s="1709"/>
      <c r="M149" s="1708"/>
      <c r="N149" s="1708"/>
      <c r="O149" s="1708"/>
      <c r="P149" s="1708"/>
      <c r="Q149" s="1708"/>
      <c r="R149" s="1708"/>
    </row>
    <row r="150" spans="2:19" x14ac:dyDescent="0.2">
      <c r="F150" s="1412" t="s">
        <v>8</v>
      </c>
      <c r="G150" s="1412" t="s">
        <v>9</v>
      </c>
      <c r="H150" s="1412" t="s">
        <v>10</v>
      </c>
      <c r="I150" s="1412" t="s">
        <v>11</v>
      </c>
      <c r="J150" s="1412" t="s">
        <v>12</v>
      </c>
      <c r="K150" s="1412" t="s">
        <v>13</v>
      </c>
      <c r="L150" s="1412" t="s">
        <v>14</v>
      </c>
      <c r="M150" s="1412" t="s">
        <v>15</v>
      </c>
      <c r="N150" s="1412" t="s">
        <v>16</v>
      </c>
      <c r="O150" s="1412" t="s">
        <v>17</v>
      </c>
      <c r="P150" s="1412" t="s">
        <v>18</v>
      </c>
      <c r="Q150" s="1769" t="s">
        <v>19</v>
      </c>
      <c r="R150" s="1713"/>
    </row>
    <row r="151" spans="2:19" x14ac:dyDescent="0.2">
      <c r="D151" s="1027" t="s">
        <v>10693</v>
      </c>
      <c r="F151" s="1027">
        <f>(F94+F95)/'Premisas Presupuesto 2014'!C96</f>
        <v>640908.10595180164</v>
      </c>
      <c r="G151" s="1027">
        <f>(G94+G95)/'Premisas Presupuesto 2014'!D96</f>
        <v>658751.37528543337</v>
      </c>
      <c r="H151" s="1027">
        <f>(H94+H95)/'Premisas Presupuesto 2014'!E96</f>
        <v>682869.56812362873</v>
      </c>
      <c r="I151" s="1027">
        <f>(I94+I95)/'Premisas Presupuesto 2014'!F96</f>
        <v>730743.62217632134</v>
      </c>
      <c r="J151" s="1027">
        <f>(J94+J95)/'Premisas Presupuesto 2014'!G96</f>
        <v>744176.18580982881</v>
      </c>
      <c r="K151" s="1027">
        <f>(K94+K95)/'Premisas Presupuesto 2014'!H96</f>
        <v>740109.59737962589</v>
      </c>
      <c r="L151" s="1027">
        <f>(L94+L95)/'Premisas Presupuesto 2014'!I96</f>
        <v>797087.93546856137</v>
      </c>
      <c r="M151" s="1027">
        <f>(M94+M95)/'Premisas Presupuesto 2014'!J96</f>
        <v>779252.78395922412</v>
      </c>
      <c r="N151" s="1027">
        <f>(N94+N95)/'Premisas Presupuesto 2014'!K96</f>
        <v>700043.66858270078</v>
      </c>
      <c r="O151" s="1027">
        <f>(O94+O95)/'Premisas Presupuesto 2014'!L96</f>
        <v>877557.34850008704</v>
      </c>
      <c r="P151" s="1027">
        <f>(P94+P95)/'Premisas Presupuesto 2014'!M96</f>
        <v>781908.04626071523</v>
      </c>
      <c r="Q151" s="1027">
        <f>(Q94+Q95)/'Premisas Presupuesto 2014'!N96</f>
        <v>789960.53224706906</v>
      </c>
    </row>
    <row r="152" spans="2:19" x14ac:dyDescent="0.2">
      <c r="D152" s="1027" t="s">
        <v>10694</v>
      </c>
      <c r="F152" s="1764">
        <f>(Edo.Res.detalle!D7+Edo.Res.detalle!D11)/F151</f>
        <v>1.7028329019375763</v>
      </c>
      <c r="G152" s="1764">
        <f>(Edo.Res.detalle!E7+Edo.Res.detalle!E11)/G151</f>
        <v>1.7176213508341447</v>
      </c>
      <c r="H152" s="1764">
        <f>(Edo.Res.detalle!F7+Edo.Res.detalle!F11)/H151</f>
        <v>1.7170915931935329</v>
      </c>
      <c r="I152" s="1764">
        <f>(Edo.Res.detalle!G7+Edo.Res.detalle!G11)/I151</f>
        <v>1.719916183736858</v>
      </c>
      <c r="J152" s="1764">
        <f>(Edo.Res.detalle!H7+Edo.Res.detalle!H11)/J151</f>
        <v>1.7188375167516934</v>
      </c>
      <c r="K152" s="1764">
        <f>(Edo.Res.detalle!I7+Edo.Res.detalle!I11)/K151</f>
        <v>1.7258942925625904</v>
      </c>
      <c r="L152" s="1764">
        <f>(Edo.Res.detalle!J7+Edo.Res.detalle!J11)/L151</f>
        <v>1.7248167790920932</v>
      </c>
      <c r="M152" s="1764">
        <f>(Edo.Res.detalle!K7+Edo.Res.detalle!K11)/M151</f>
        <v>1.7253224696712552</v>
      </c>
      <c r="N152" s="1764">
        <f>(Edo.Res.detalle!L7+Edo.Res.detalle!L11)/N151</f>
        <v>1.7276331576388251</v>
      </c>
      <c r="O152" s="1764">
        <f>(Edo.Res.detalle!M7+Edo.Res.detalle!M11)/O151</f>
        <v>1.7212386112342555</v>
      </c>
      <c r="P152" s="1764">
        <f>(Edo.Res.detalle!N7+Edo.Res.detalle!N11)/P151</f>
        <v>1.7244876253833548</v>
      </c>
      <c r="Q152" s="1764">
        <f>(Edo.Res.detalle!O7+Edo.Res.detalle!O11)/Q151</f>
        <v>1.7242231468397196</v>
      </c>
      <c r="S152" s="1027">
        <f ca="1">AVERAGE(F152:OFFSET(F152,0,[0]!MESACUMULADO-1))</f>
        <v>1.715259909290761</v>
      </c>
    </row>
    <row r="153" spans="2:19" x14ac:dyDescent="0.2">
      <c r="D153" s="1027" t="s">
        <v>10695</v>
      </c>
      <c r="F153" s="1764">
        <f>(F94+F95)/(Edo.Res.detalle!D7+Edo.Res.detalle!D11)</f>
        <v>6.4446358292393242</v>
      </c>
      <c r="G153" s="1764">
        <f>(G94+G95)/(Edo.Res.detalle!E7+Edo.Res.detalle!E11)</f>
        <v>6.4443571989052471</v>
      </c>
      <c r="H153" s="1764">
        <f>(H94+H95)/(Edo.Res.detalle!F7+Edo.Res.detalle!F11)</f>
        <v>6.5015711146108925</v>
      </c>
      <c r="I153" s="1764">
        <f>(I94+I95)/(Edo.Res.detalle!G7+Edo.Res.detalle!G11)</f>
        <v>6.5460286937899417</v>
      </c>
      <c r="J153" s="1764">
        <f>(J94+J95)/(Edo.Res.detalle!H7+Edo.Res.detalle!H11)</f>
        <v>6.6053062987117732</v>
      </c>
      <c r="K153" s="1764">
        <f>(K94+K95)/(Edo.Res.detalle!I7+Edo.Res.detalle!I11)</f>
        <v>6.6332427839892061</v>
      </c>
      <c r="L153" s="1764">
        <f>(L94+L95)/(Edo.Res.detalle!J7+Edo.Res.detalle!J11)</f>
        <v>6.6923650025899546</v>
      </c>
      <c r="M153" s="1764">
        <f>(M94+M95)/(Edo.Res.detalle!K7+Edo.Res.detalle!K11)</f>
        <v>6.7453657151409239</v>
      </c>
      <c r="N153" s="1764">
        <f>(N94+N95)/(Edo.Res.detalle!L7+Edo.Res.detalle!L11)</f>
        <v>6.791232599821674</v>
      </c>
      <c r="O153" s="1764">
        <f>(O94+O95)/(Edo.Res.detalle!M7+Edo.Res.detalle!M11)</f>
        <v>6.8715552449844752</v>
      </c>
      <c r="P153" s="1764">
        <f>(P94+P95)/(Edo.Res.detalle!N7+Edo.Res.detalle!N11)</f>
        <v>6.913597765280036</v>
      </c>
      <c r="Q153" s="1764">
        <f>(Q94+Q95)/(Edo.Res.detalle!O7+Edo.Res.detalle!O11)</f>
        <v>6.9696555236115465</v>
      </c>
      <c r="S153" s="1027">
        <f ca="1">AVERAGE(F153:OFFSET(F153,0,[0]!MESACUMULADO-1))</f>
        <v>6.5083798270514368</v>
      </c>
    </row>
    <row r="154" spans="2:19" x14ac:dyDescent="0.2">
      <c r="D154" s="1027" t="s">
        <v>10696</v>
      </c>
      <c r="F154" s="1765">
        <f>(F97+F98)/(Edo.Res.detalle!D7+Edo.Res.detalle!D11)</f>
        <v>0.37987524781049414</v>
      </c>
      <c r="G154" s="1765">
        <f>(G97+G98)/(Edo.Res.detalle!E7+Edo.Res.detalle!E11)</f>
        <v>0.4560846221253797</v>
      </c>
      <c r="H154" s="1765">
        <f>(H97+H98)/(Edo.Res.detalle!F7+Edo.Res.detalle!F11)</f>
        <v>0.38555400782297239</v>
      </c>
      <c r="I154" s="1765">
        <f>(I97+I98)/(Edo.Res.detalle!G7+Edo.Res.detalle!G11)</f>
        <v>0.4217375890719417</v>
      </c>
      <c r="J154" s="1765">
        <f>(J97+J98)/(Edo.Res.detalle!H7+Edo.Res.detalle!H11)</f>
        <v>0.38568265092048981</v>
      </c>
      <c r="K154" s="1765">
        <f>(K97+K98)/(Edo.Res.detalle!I7+Edo.Res.detalle!I11)</f>
        <v>0.44767873895551169</v>
      </c>
      <c r="L154" s="1765">
        <f>(L97+L98)/(Edo.Res.detalle!J7+Edo.Res.detalle!J11)</f>
        <v>0.37104311459516076</v>
      </c>
      <c r="M154" s="1765">
        <f>(M97+M98)/(Edo.Res.detalle!K7+Edo.Res.detalle!K11)</f>
        <v>0.41739005643116694</v>
      </c>
      <c r="N154" s="1765">
        <f>(N97+N98)/(Edo.Res.detalle!L7+Edo.Res.detalle!L11)</f>
        <v>0.39749148031465481</v>
      </c>
      <c r="O154" s="1765">
        <f>(O97+O98)/(Edo.Res.detalle!M7+Edo.Res.detalle!M11)</f>
        <v>0.40563699442336432</v>
      </c>
      <c r="P154" s="1765">
        <f>(P97+P98)/(Edo.Res.detalle!N7+Edo.Res.detalle!N11)</f>
        <v>0.37081168587877594</v>
      </c>
      <c r="Q154" s="1765">
        <f>(Q97+Q98)/(Edo.Res.detalle!O7+Edo.Res.detalle!O11)</f>
        <v>0.41404056417908158</v>
      </c>
      <c r="S154" s="1027">
        <f ca="1">AVERAGE(F154:OFFSET(F154,0,[0]!MESACUMULADO-1))</f>
        <v>0.40578682355025553</v>
      </c>
    </row>
    <row r="155" spans="2:19" x14ac:dyDescent="0.2">
      <c r="D155" s="1027" t="s">
        <v>10697</v>
      </c>
      <c r="F155" s="1766">
        <f>F87/(Edo.Res.detalle!D7+Edo.Res.detalle!D11)</f>
        <v>3.3262189120240437</v>
      </c>
      <c r="G155" s="1766">
        <f>G87/(Edo.Res.detalle!E7+Edo.Res.detalle!E11)</f>
        <v>3.3522725522624937</v>
      </c>
      <c r="H155" s="1766">
        <f>H87/(Edo.Res.detalle!F7+Edo.Res.detalle!F11)</f>
        <v>3.2939172457109755</v>
      </c>
      <c r="I155" s="1766">
        <f>I87/(Edo.Res.detalle!G7+Edo.Res.detalle!G11)</f>
        <v>3.1930150641088759</v>
      </c>
      <c r="J155" s="1766">
        <f>J87/(Edo.Res.detalle!H7+Edo.Res.detalle!H11)</f>
        <v>3.2038971997898016</v>
      </c>
      <c r="K155" s="1766">
        <f>K87/(Edo.Res.detalle!I7+Edo.Res.detalle!I11)</f>
        <v>3.1710379174383188</v>
      </c>
      <c r="L155" s="1766">
        <f>L87/(Edo.Res.detalle!J7+Edo.Res.detalle!J11)</f>
        <v>3.0197013127560237</v>
      </c>
      <c r="M155" s="1766">
        <f>M87/(Edo.Res.detalle!K7+Edo.Res.detalle!K11)</f>
        <v>3.0828434148757866</v>
      </c>
      <c r="N155" s="1766">
        <f>N87/(Edo.Res.detalle!L7+Edo.Res.detalle!L11)</f>
        <v>3.2972254878200942</v>
      </c>
      <c r="O155" s="1766">
        <f>O87/(Edo.Res.detalle!M7+Edo.Res.detalle!M11)</f>
        <v>2.8585854923302025</v>
      </c>
      <c r="P155" s="1766">
        <f>P87/(Edo.Res.detalle!N7+Edo.Res.detalle!N11)</f>
        <v>3.0486301435446488</v>
      </c>
      <c r="Q155" s="1766">
        <f>Q87/(Edo.Res.detalle!O7+Edo.Res.detalle!O11)</f>
        <v>3.0444470955502068</v>
      </c>
      <c r="S155" s="1027">
        <f ca="1">AVERAGE(F155:OFFSET(F155,0,[0]!MESACUMULADO-1))</f>
        <v>3.2738641947792382</v>
      </c>
    </row>
    <row r="156" spans="2:19" x14ac:dyDescent="0.2">
      <c r="D156" s="1027" t="s">
        <v>10698</v>
      </c>
      <c r="F156" s="1764">
        <f>F145/(Edo.Res.detalle!D7+Edo.Res.detalle!D11)</f>
        <v>13.87971729775065</v>
      </c>
      <c r="G156" s="1764">
        <f>G145/(Edo.Res.detalle!E7+Edo.Res.detalle!E11)</f>
        <v>14.02813008267624</v>
      </c>
      <c r="H156" s="1764">
        <f>H145/(Edo.Res.detalle!F7+Edo.Res.detalle!F11)</f>
        <v>13.930946074738591</v>
      </c>
      <c r="I156" s="1764">
        <f>I145/(Edo.Res.detalle!G7+Edo.Res.detalle!G11)</f>
        <v>13.898082525939712</v>
      </c>
      <c r="J156" s="1764">
        <f>J145/(Edo.Res.detalle!H7+Edo.Res.detalle!H11)</f>
        <v>13.859387234418584</v>
      </c>
      <c r="K156" s="1764">
        <f>K145/(Edo.Res.detalle!I7+Edo.Res.detalle!I11)</f>
        <v>13.931960560773549</v>
      </c>
      <c r="L156" s="1764">
        <f>L145/(Edo.Res.detalle!J7+Edo.Res.detalle!J11)</f>
        <v>13.716927838099044</v>
      </c>
      <c r="M156" s="1764">
        <f>M145/(Edo.Res.detalle!K7+Edo.Res.detalle!K11)</f>
        <v>13.916817749064002</v>
      </c>
      <c r="N156" s="1764">
        <f>N145/(Edo.Res.detalle!L7+Edo.Res.detalle!L11)</f>
        <v>14.24142360398606</v>
      </c>
      <c r="O156" s="1764">
        <f>O145/(Edo.Res.detalle!M7+Edo.Res.detalle!M11)</f>
        <v>13.593370259934105</v>
      </c>
      <c r="P156" s="1764">
        <f>P145/(Edo.Res.detalle!N7+Edo.Res.detalle!N11)</f>
        <v>13.946891550897213</v>
      </c>
      <c r="Q156" s="1764">
        <f>Q145/(Edo.Res.detalle!O7+Edo.Res.detalle!O11)</f>
        <v>14.058921670490497</v>
      </c>
      <c r="S156" s="1027">
        <f ca="1">AVERAGE(F156:OFFSET(F156,0,[0]!MESACUMULADO-1))</f>
        <v>13.919252643104755</v>
      </c>
    </row>
  </sheetData>
  <pageMargins left="0.7" right="0.7" top="0.75" bottom="0.75" header="0.3" footer="0.3"/>
  <pageSetup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</sheetPr>
  <dimension ref="A1:O25"/>
  <sheetViews>
    <sheetView workbookViewId="0">
      <selection activeCell="H22" sqref="H22"/>
    </sheetView>
  </sheetViews>
  <sheetFormatPr baseColWidth="10" defaultColWidth="0" defaultRowHeight="12.75" zeroHeight="1" x14ac:dyDescent="0.2"/>
  <cols>
    <col min="1" max="1" width="32.42578125" customWidth="1"/>
    <col min="2" max="2" width="12.140625" customWidth="1"/>
    <col min="3" max="11" width="11.5703125" bestFit="1" customWidth="1"/>
    <col min="12" max="12" width="11.85546875" bestFit="1" customWidth="1"/>
    <col min="13" max="13" width="11.5703125" bestFit="1" customWidth="1"/>
    <col min="14" max="14" width="12.85546875" bestFit="1" customWidth="1"/>
    <col min="15" max="15" width="4.7109375" customWidth="1"/>
    <col min="16" max="16384" width="11.42578125" hidden="1"/>
  </cols>
  <sheetData>
    <row r="1" spans="1:14" x14ac:dyDescent="0.2">
      <c r="A1" s="810"/>
      <c r="B1" s="810"/>
      <c r="C1" s="810"/>
      <c r="D1" s="810"/>
      <c r="E1" s="810"/>
      <c r="F1" s="810"/>
      <c r="G1" s="810"/>
      <c r="H1" s="810"/>
      <c r="I1" s="810"/>
      <c r="J1" s="810"/>
      <c r="K1" s="810"/>
      <c r="L1" s="810"/>
      <c r="M1" s="810"/>
      <c r="N1" s="810"/>
    </row>
    <row r="2" spans="1:14" ht="25.5" x14ac:dyDescent="0.35">
      <c r="A2" s="816" t="str">
        <f>caratula!B16</f>
        <v>TRANSPORTES BONAMPAK, S.A. DE C.V.</v>
      </c>
      <c r="B2" s="810"/>
      <c r="C2" s="810"/>
      <c r="D2" s="810"/>
      <c r="E2" s="810"/>
      <c r="F2" s="810"/>
      <c r="G2" s="810"/>
      <c r="H2" s="810"/>
      <c r="I2" s="810"/>
      <c r="J2" s="810"/>
      <c r="K2" s="810"/>
      <c r="L2" s="810"/>
      <c r="M2" s="810"/>
      <c r="N2" s="810"/>
    </row>
    <row r="3" spans="1:14" x14ac:dyDescent="0.2">
      <c r="A3" s="808"/>
      <c r="B3" s="810"/>
      <c r="C3" s="810"/>
      <c r="D3" s="810"/>
      <c r="E3" s="810"/>
      <c r="F3" s="810"/>
      <c r="G3" s="810"/>
      <c r="H3" s="810"/>
      <c r="I3" s="810"/>
      <c r="J3" s="810"/>
      <c r="K3" s="810"/>
      <c r="L3" s="810"/>
      <c r="M3" s="810"/>
      <c r="N3" s="810"/>
    </row>
    <row r="4" spans="1:14" ht="15.75" x14ac:dyDescent="0.25">
      <c r="A4" s="1020" t="str">
        <f>caratula!B26</f>
        <v>PRESUPUESTO  2014</v>
      </c>
      <c r="B4" s="1088"/>
      <c r="C4" s="1088"/>
      <c r="D4" s="1088"/>
      <c r="E4" s="1088"/>
      <c r="F4" s="1088"/>
      <c r="G4" s="1088"/>
      <c r="H4" s="1088"/>
      <c r="I4" s="1088"/>
      <c r="J4" s="1088"/>
      <c r="K4" s="1088"/>
      <c r="L4" s="1088"/>
      <c r="M4" s="1088"/>
      <c r="N4" s="1088"/>
    </row>
    <row r="5" spans="1:14" ht="15.75" x14ac:dyDescent="0.25">
      <c r="A5" s="873" t="s">
        <v>10455</v>
      </c>
      <c r="B5" s="1088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</row>
    <row r="6" spans="1:14" ht="16.5" thickBot="1" x14ac:dyDescent="0.3">
      <c r="A6" s="875" t="s">
        <v>10267</v>
      </c>
      <c r="B6" s="1548"/>
      <c r="C6" s="1548"/>
      <c r="D6" s="1548"/>
      <c r="E6" s="1548"/>
      <c r="F6" s="1548"/>
      <c r="G6" s="1548"/>
      <c r="H6" s="1548"/>
      <c r="I6" s="1548"/>
      <c r="J6" s="1548"/>
      <c r="K6" s="1548"/>
      <c r="L6" s="1548"/>
      <c r="M6" s="1548"/>
      <c r="N6" s="1548"/>
    </row>
    <row r="7" spans="1:14" ht="15.75" thickTop="1" x14ac:dyDescent="0.2">
      <c r="A7" s="1526"/>
      <c r="B7" s="1552"/>
      <c r="C7" s="1552"/>
      <c r="D7" s="1552"/>
      <c r="E7" s="1552"/>
      <c r="F7" s="1552"/>
      <c r="G7" s="1552"/>
      <c r="H7" s="1552"/>
      <c r="I7" s="1552"/>
      <c r="J7" s="1552"/>
      <c r="K7" s="1552"/>
      <c r="L7" s="1552"/>
      <c r="M7" s="1552"/>
      <c r="N7" s="1553" t="s">
        <v>135</v>
      </c>
    </row>
    <row r="8" spans="1:14" ht="15.75" x14ac:dyDescent="0.25">
      <c r="A8" s="973" t="s">
        <v>5</v>
      </c>
      <c r="B8" s="1003" t="s">
        <v>8</v>
      </c>
      <c r="C8" s="1003" t="s">
        <v>9</v>
      </c>
      <c r="D8" s="1003" t="s">
        <v>10</v>
      </c>
      <c r="E8" s="1003" t="s">
        <v>11</v>
      </c>
      <c r="F8" s="1003" t="s">
        <v>12</v>
      </c>
      <c r="G8" s="1003" t="s">
        <v>13</v>
      </c>
      <c r="H8" s="1003" t="s">
        <v>14</v>
      </c>
      <c r="I8" s="1003" t="s">
        <v>15</v>
      </c>
      <c r="J8" s="1003" t="s">
        <v>16</v>
      </c>
      <c r="K8" s="1003" t="s">
        <v>17</v>
      </c>
      <c r="L8" s="1003" t="s">
        <v>18</v>
      </c>
      <c r="M8" s="1003" t="s">
        <v>19</v>
      </c>
      <c r="N8" s="1551">
        <v>2014</v>
      </c>
    </row>
    <row r="9" spans="1:14" ht="15" x14ac:dyDescent="0.2">
      <c r="A9" s="1549"/>
      <c r="B9" s="1465"/>
      <c r="C9" s="1465"/>
      <c r="D9" s="1465"/>
      <c r="E9" s="1465"/>
      <c r="F9" s="1465"/>
      <c r="G9" s="1465"/>
      <c r="H9" s="1465"/>
      <c r="I9" s="1465"/>
      <c r="J9" s="1465"/>
      <c r="K9" s="1465"/>
      <c r="L9" s="1465"/>
      <c r="M9" s="1465"/>
      <c r="N9" s="1466"/>
    </row>
    <row r="10" spans="1:14" ht="15.75" x14ac:dyDescent="0.25">
      <c r="A10" s="1563" t="s">
        <v>10449</v>
      </c>
      <c r="B10" s="1560"/>
      <c r="C10" s="1550"/>
      <c r="D10" s="1550"/>
      <c r="E10" s="1550"/>
      <c r="F10" s="1550"/>
      <c r="G10" s="1550"/>
      <c r="H10" s="1550"/>
      <c r="I10" s="1550"/>
      <c r="J10" s="1550"/>
      <c r="K10" s="1550"/>
      <c r="L10" s="1550"/>
      <c r="M10" s="1550"/>
      <c r="N10" s="1554"/>
    </row>
    <row r="11" spans="1:14" x14ac:dyDescent="0.2">
      <c r="A11" s="1555" t="s">
        <v>10450</v>
      </c>
      <c r="B11" s="1565">
        <v>110763.62</v>
      </c>
      <c r="C11" s="1566">
        <v>110572.75</v>
      </c>
      <c r="D11" s="1566">
        <v>99031.92</v>
      </c>
      <c r="E11" s="1566">
        <v>86883.959999999992</v>
      </c>
      <c r="F11" s="1566">
        <v>116113.72</v>
      </c>
      <c r="G11" s="1566">
        <v>66401.819999999992</v>
      </c>
      <c r="H11" s="1566">
        <v>107250.06</v>
      </c>
      <c r="I11" s="1566">
        <v>86248.11</v>
      </c>
      <c r="J11" s="1566">
        <v>63629.86</v>
      </c>
      <c r="K11" s="1566">
        <v>76485.450000000012</v>
      </c>
      <c r="L11" s="1566">
        <v>103619.29</v>
      </c>
      <c r="M11" s="1566">
        <v>103619.29</v>
      </c>
      <c r="N11" s="1567">
        <f>SUM(B11:M11)</f>
        <v>1130619.8499999999</v>
      </c>
    </row>
    <row r="12" spans="1:14" x14ac:dyDescent="0.2">
      <c r="A12" s="1556" t="s">
        <v>10196</v>
      </c>
      <c r="B12" s="1565">
        <v>0</v>
      </c>
      <c r="C12" s="1566">
        <v>0</v>
      </c>
      <c r="D12" s="1566">
        <v>0</v>
      </c>
      <c r="E12" s="1566">
        <v>0</v>
      </c>
      <c r="F12" s="1566">
        <v>0</v>
      </c>
      <c r="G12" s="1566">
        <v>0</v>
      </c>
      <c r="H12" s="1566">
        <v>42327.960000000014</v>
      </c>
      <c r="I12" s="1566">
        <v>-42327.960000000014</v>
      </c>
      <c r="J12" s="1566">
        <v>0</v>
      </c>
      <c r="K12" s="1566">
        <v>243989.41</v>
      </c>
      <c r="L12" s="1566">
        <v>-140311.16</v>
      </c>
      <c r="M12" s="1568">
        <v>0</v>
      </c>
      <c r="N12" s="1567">
        <f t="shared" ref="N12:N13" si="0">SUM(B12:M12)</f>
        <v>103678.25</v>
      </c>
    </row>
    <row r="13" spans="1:14" ht="14.25" x14ac:dyDescent="0.2">
      <c r="A13" s="1559" t="s">
        <v>135</v>
      </c>
      <c r="B13" s="1569">
        <f>B11+B12</f>
        <v>110763.62</v>
      </c>
      <c r="C13" s="1570">
        <f t="shared" ref="C13:M13" si="1">C11+C12</f>
        <v>110572.75</v>
      </c>
      <c r="D13" s="1570">
        <f t="shared" si="1"/>
        <v>99031.92</v>
      </c>
      <c r="E13" s="1570">
        <f t="shared" si="1"/>
        <v>86883.959999999992</v>
      </c>
      <c r="F13" s="1570">
        <f t="shared" si="1"/>
        <v>116113.72</v>
      </c>
      <c r="G13" s="1570">
        <f t="shared" si="1"/>
        <v>66401.819999999992</v>
      </c>
      <c r="H13" s="1570">
        <f t="shared" si="1"/>
        <v>149578.02000000002</v>
      </c>
      <c r="I13" s="1570">
        <f t="shared" si="1"/>
        <v>43920.149999999987</v>
      </c>
      <c r="J13" s="1570">
        <f t="shared" si="1"/>
        <v>63629.86</v>
      </c>
      <c r="K13" s="1570">
        <f t="shared" si="1"/>
        <v>320474.86</v>
      </c>
      <c r="L13" s="1570">
        <f t="shared" si="1"/>
        <v>-36691.87000000001</v>
      </c>
      <c r="M13" s="1570">
        <f t="shared" si="1"/>
        <v>103619.29</v>
      </c>
      <c r="N13" s="1571">
        <f t="shared" si="0"/>
        <v>1234298.0999999999</v>
      </c>
    </row>
    <row r="14" spans="1:14" x14ac:dyDescent="0.2">
      <c r="A14" s="1557"/>
      <c r="B14" s="1561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1558"/>
    </row>
    <row r="15" spans="1:14" x14ac:dyDescent="0.2">
      <c r="A15" s="1564" t="s">
        <v>10451</v>
      </c>
      <c r="B15" s="1561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1558"/>
    </row>
    <row r="16" spans="1:14" x14ac:dyDescent="0.2">
      <c r="A16" s="1557"/>
      <c r="B16" s="1561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1558"/>
    </row>
    <row r="17" spans="1:14" x14ac:dyDescent="0.2">
      <c r="A17" s="1562" t="s">
        <v>10452</v>
      </c>
      <c r="B17" s="1565">
        <f>'Gtos financieros 2014'!F41</f>
        <v>510293</v>
      </c>
      <c r="C17" s="1566">
        <f>'Gtos financieros 2014'!G41</f>
        <v>506404</v>
      </c>
      <c r="D17" s="1566">
        <f>'Gtos financieros 2014'!H41</f>
        <v>502491</v>
      </c>
      <c r="E17" s="1566">
        <f>'Gtos financieros 2014'!I41</f>
        <v>498553</v>
      </c>
      <c r="F17" s="1566">
        <f>'Gtos financieros 2014'!J41</f>
        <v>494591</v>
      </c>
      <c r="G17" s="1566">
        <f>'Gtos financieros 2014'!K41</f>
        <v>490602</v>
      </c>
      <c r="H17" s="1566">
        <f>'Gtos financieros 2014'!L41</f>
        <v>486591</v>
      </c>
      <c r="I17" s="1566">
        <f>'Gtos financieros 2014'!M41</f>
        <v>482552</v>
      </c>
      <c r="J17" s="1566">
        <f>'Gtos financieros 2014'!N41</f>
        <v>478490</v>
      </c>
      <c r="K17" s="1566">
        <f>'Gtos financieros 2014'!O41</f>
        <v>474400</v>
      </c>
      <c r="L17" s="1566">
        <f>'Gtos financieros 2014'!P41</f>
        <v>470287</v>
      </c>
      <c r="M17" s="1566">
        <f>'Gtos financieros 2014'!Q41</f>
        <v>466147</v>
      </c>
      <c r="N17" s="1567">
        <f>SUM(B17:M17)</f>
        <v>5861401</v>
      </c>
    </row>
    <row r="18" spans="1:14" x14ac:dyDescent="0.2">
      <c r="A18" s="1562" t="s">
        <v>10453</v>
      </c>
      <c r="B18" s="1565">
        <f>'Gtos financieros 2014'!F45</f>
        <v>7758.12</v>
      </c>
      <c r="C18" s="1566">
        <f>'Gtos financieros 2014'!G45</f>
        <v>7456.76</v>
      </c>
      <c r="D18" s="1566">
        <f>'Gtos financieros 2014'!H45</f>
        <v>7153.58</v>
      </c>
      <c r="E18" s="1566">
        <f>'Gtos financieros 2014'!I45</f>
        <v>6848.57</v>
      </c>
      <c r="F18" s="1566">
        <f>'Gtos financieros 2014'!J45</f>
        <v>6541.71</v>
      </c>
      <c r="G18" s="1566">
        <f>'Gtos financieros 2014'!K45</f>
        <v>6233.01</v>
      </c>
      <c r="H18" s="1566">
        <f>'Gtos financieros 2014'!L45</f>
        <v>5922.43</v>
      </c>
      <c r="I18" s="1566">
        <f>'Gtos financieros 2014'!M45</f>
        <v>5609.98</v>
      </c>
      <c r="J18" s="1566">
        <f>'Gtos financieros 2014'!N45</f>
        <v>5295.65</v>
      </c>
      <c r="K18" s="1566">
        <f>'Gtos financieros 2014'!O45</f>
        <v>4979.41</v>
      </c>
      <c r="L18" s="1566">
        <f>'Gtos financieros 2014'!P45</f>
        <v>4661.26</v>
      </c>
      <c r="M18" s="1566">
        <f>'Gtos financieros 2014'!Q45</f>
        <v>4341.1899999999996</v>
      </c>
      <c r="N18" s="1567">
        <f t="shared" ref="N18:N19" si="2">SUM(B18:M18)</f>
        <v>72801.67</v>
      </c>
    </row>
    <row r="19" spans="1:14" x14ac:dyDescent="0.2">
      <c r="A19" s="1562" t="s">
        <v>10454</v>
      </c>
      <c r="B19" s="1565">
        <f>'Gtos financieros 2014'!F50</f>
        <v>27600</v>
      </c>
      <c r="C19" s="1566">
        <v>27600</v>
      </c>
      <c r="D19" s="1566">
        <v>27600</v>
      </c>
      <c r="E19" s="1566">
        <v>27600</v>
      </c>
      <c r="F19" s="1566">
        <v>27600</v>
      </c>
      <c r="G19" s="1566">
        <v>27600</v>
      </c>
      <c r="H19" s="1566">
        <v>27600</v>
      </c>
      <c r="I19" s="1566">
        <v>27600</v>
      </c>
      <c r="J19" s="1566">
        <v>27600</v>
      </c>
      <c r="K19" s="1566">
        <v>27600</v>
      </c>
      <c r="L19" s="1566">
        <v>27600</v>
      </c>
      <c r="M19" s="1566">
        <v>27600</v>
      </c>
      <c r="N19" s="1567">
        <f t="shared" si="2"/>
        <v>331200</v>
      </c>
    </row>
    <row r="20" spans="1:14" x14ac:dyDescent="0.2">
      <c r="A20" s="1562" t="s">
        <v>135</v>
      </c>
      <c r="B20" s="1573">
        <f>SUM(B17:B19)</f>
        <v>545651.12</v>
      </c>
      <c r="C20" s="1570">
        <f t="shared" ref="C20:N20" si="3">SUM(C17:C19)</f>
        <v>541460.76</v>
      </c>
      <c r="D20" s="1570">
        <f t="shared" si="3"/>
        <v>537244.58000000007</v>
      </c>
      <c r="E20" s="1570">
        <f t="shared" si="3"/>
        <v>533001.57000000007</v>
      </c>
      <c r="F20" s="1570">
        <f t="shared" si="3"/>
        <v>528732.71</v>
      </c>
      <c r="G20" s="1570">
        <f t="shared" si="3"/>
        <v>524435.01</v>
      </c>
      <c r="H20" s="1570">
        <f t="shared" si="3"/>
        <v>520113.43</v>
      </c>
      <c r="I20" s="1570">
        <f t="shared" si="3"/>
        <v>515761.98</v>
      </c>
      <c r="J20" s="1570">
        <f t="shared" si="3"/>
        <v>511385.65</v>
      </c>
      <c r="K20" s="1570">
        <f t="shared" si="3"/>
        <v>506979.41</v>
      </c>
      <c r="L20" s="1570">
        <f t="shared" si="3"/>
        <v>502548.26</v>
      </c>
      <c r="M20" s="1570">
        <f t="shared" si="3"/>
        <v>498088.19</v>
      </c>
      <c r="N20" s="1571">
        <f t="shared" si="3"/>
        <v>6265402.6699999999</v>
      </c>
    </row>
    <row r="21" spans="1:14" x14ac:dyDescent="0.2">
      <c r="A21" s="1562"/>
      <c r="B21" s="1572"/>
      <c r="C21" s="1566"/>
      <c r="D21" s="1566"/>
      <c r="E21" s="1566"/>
      <c r="F21" s="1566"/>
      <c r="G21" s="1566"/>
      <c r="H21" s="1566"/>
      <c r="I21" s="1566"/>
      <c r="J21" s="1566"/>
      <c r="K21" s="1566"/>
      <c r="L21" s="1566"/>
      <c r="M21" s="1566"/>
      <c r="N21" s="1567"/>
    </row>
    <row r="22" spans="1:14" ht="13.5" thickBot="1" x14ac:dyDescent="0.25">
      <c r="A22" s="1574" t="s">
        <v>10456</v>
      </c>
      <c r="B22" s="1717">
        <f>B20-B13</f>
        <v>434887.5</v>
      </c>
      <c r="C22" s="1718">
        <f t="shared" ref="C22:M22" si="4">C20-C13</f>
        <v>430888.01</v>
      </c>
      <c r="D22" s="1718">
        <f t="shared" si="4"/>
        <v>438212.66000000009</v>
      </c>
      <c r="E22" s="1718">
        <f t="shared" si="4"/>
        <v>446117.6100000001</v>
      </c>
      <c r="F22" s="1718">
        <f t="shared" si="4"/>
        <v>412618.99</v>
      </c>
      <c r="G22" s="1718">
        <f t="shared" si="4"/>
        <v>458033.19</v>
      </c>
      <c r="H22" s="1718">
        <f t="shared" si="4"/>
        <v>370535.41</v>
      </c>
      <c r="I22" s="1718">
        <f t="shared" si="4"/>
        <v>471841.83</v>
      </c>
      <c r="J22" s="1718">
        <f t="shared" si="4"/>
        <v>447755.79000000004</v>
      </c>
      <c r="K22" s="1718">
        <f t="shared" si="4"/>
        <v>186504.55</v>
      </c>
      <c r="L22" s="1718">
        <f t="shared" si="4"/>
        <v>539240.13</v>
      </c>
      <c r="M22" s="1718">
        <f t="shared" si="4"/>
        <v>394468.9</v>
      </c>
      <c r="N22" s="1719">
        <f>SUM(B22:M22)</f>
        <v>5031104.5700000012</v>
      </c>
    </row>
    <row r="23" spans="1:14" ht="13.5" thickTop="1" x14ac:dyDescent="0.2"/>
    <row r="24" spans="1:14" x14ac:dyDescent="0.2"/>
    <row r="25" spans="1:14" x14ac:dyDescent="0.2"/>
  </sheetData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3" tint="-0.499984740745262"/>
  </sheetPr>
  <dimension ref="A1:WVE79"/>
  <sheetViews>
    <sheetView zoomScaleNormal="100" workbookViewId="0">
      <pane xSplit="1" ySplit="6" topLeftCell="D52" activePane="bottomRight" state="frozen"/>
      <selection pane="topRight" activeCell="B1" sqref="B1"/>
      <selection pane="bottomLeft" activeCell="A7" sqref="A7"/>
      <selection pane="bottomRight" activeCell="F77" sqref="F77"/>
    </sheetView>
  </sheetViews>
  <sheetFormatPr baseColWidth="10" defaultColWidth="0" defaultRowHeight="12.75" zeroHeight="1" x14ac:dyDescent="0.2"/>
  <cols>
    <col min="1" max="1" width="43.85546875" style="1027" customWidth="1"/>
    <col min="2" max="2" width="16.7109375" style="1027" hidden="1" customWidth="1"/>
    <col min="3" max="3" width="7.5703125" style="1027" hidden="1" customWidth="1"/>
    <col min="4" max="4" width="16.7109375" style="1027" customWidth="1"/>
    <col min="5" max="5" width="12" style="1027" customWidth="1"/>
    <col min="6" max="6" width="5.7109375" style="1027" customWidth="1"/>
    <col min="7" max="7" width="4.7109375" style="1027" customWidth="1"/>
    <col min="8" max="188" width="11.42578125" style="1027" hidden="1"/>
    <col min="189" max="189" width="43.7109375" style="1027" hidden="1"/>
    <col min="190" max="190" width="16.7109375" style="1027" hidden="1"/>
    <col min="191" max="191" width="7.7109375" style="1027" hidden="1"/>
    <col min="192" max="192" width="16.7109375" style="1027" hidden="1"/>
    <col min="193" max="193" width="7.85546875" style="1027" hidden="1"/>
    <col min="194" max="194" width="43.85546875" style="1027" hidden="1"/>
    <col min="195" max="195" width="16.7109375" style="1027" hidden="1"/>
    <col min="196" max="196" width="7.85546875" style="1027" hidden="1"/>
    <col min="197" max="197" width="16.7109375" style="1027" hidden="1"/>
    <col min="198" max="198" width="7.85546875" style="1027" hidden="1"/>
    <col min="199" max="199" width="43.85546875" style="1027" hidden="1"/>
    <col min="200" max="200" width="16.7109375" style="1027" hidden="1"/>
    <col min="201" max="201" width="7.85546875" style="1027" hidden="1"/>
    <col min="202" max="202" width="16.7109375" style="1027" hidden="1"/>
    <col min="203" max="203" width="7.5703125" style="1027" hidden="1"/>
    <col min="204" max="204" width="43.85546875" style="1027" hidden="1"/>
    <col min="205" max="205" width="16.7109375" style="1027" hidden="1"/>
    <col min="206" max="206" width="7.85546875" style="1027" hidden="1"/>
    <col min="207" max="207" width="16.7109375" style="1027" hidden="1"/>
    <col min="208" max="208" width="7.85546875" style="1027" hidden="1"/>
    <col min="209" max="209" width="43.85546875" style="1027" hidden="1"/>
    <col min="210" max="210" width="16.7109375" style="1027" hidden="1"/>
    <col min="211" max="211" width="7.85546875" style="1027" hidden="1"/>
    <col min="212" max="212" width="16.7109375" style="1027" hidden="1"/>
    <col min="213" max="213" width="7.85546875" style="1027" hidden="1"/>
    <col min="214" max="214" width="43.85546875" style="1027" hidden="1"/>
    <col min="215" max="215" width="16.7109375" style="1027" hidden="1"/>
    <col min="216" max="216" width="7.85546875" style="1027" hidden="1"/>
    <col min="217" max="217" width="16.7109375" style="1027" hidden="1"/>
    <col min="218" max="218" width="7.85546875" style="1027" hidden="1"/>
    <col min="219" max="219" width="43.85546875" style="1027" hidden="1"/>
    <col min="220" max="220" width="16.7109375" style="1027" hidden="1"/>
    <col min="221" max="221" width="7.85546875" style="1027" hidden="1"/>
    <col min="222" max="222" width="16.7109375" style="1027" hidden="1"/>
    <col min="223" max="223" width="7.85546875" style="1027" hidden="1"/>
    <col min="224" max="224" width="43.85546875" style="1027" hidden="1"/>
    <col min="225" max="225" width="16.7109375" style="1027" hidden="1"/>
    <col min="226" max="226" width="7.85546875" style="1027" hidden="1"/>
    <col min="227" max="227" width="16.5703125" style="1027" hidden="1"/>
    <col min="228" max="228" width="7.85546875" style="1027" hidden="1"/>
    <col min="229" max="229" width="43.85546875" style="1027" hidden="1"/>
    <col min="230" max="230" width="16.7109375" style="1027" hidden="1"/>
    <col min="231" max="231" width="7.5703125" style="1027" hidden="1"/>
    <col min="232" max="232" width="16.7109375" style="1027" hidden="1"/>
    <col min="233" max="233" width="7.85546875" style="1027" hidden="1"/>
    <col min="234" max="234" width="43.85546875" style="1027" hidden="1"/>
    <col min="235" max="235" width="16.7109375" style="1027" hidden="1"/>
    <col min="236" max="236" width="7.5703125" style="1027" hidden="1"/>
    <col min="237" max="237" width="16.7109375" style="1027" hidden="1"/>
    <col min="238" max="238" width="9.28515625" style="1027" hidden="1"/>
    <col min="239" max="239" width="43.85546875" style="1027" hidden="1"/>
    <col min="240" max="240" width="16.7109375" style="1027" hidden="1"/>
    <col min="241" max="241" width="7.7109375" style="1027" hidden="1"/>
    <col min="242" max="242" width="16.7109375" style="1027" hidden="1"/>
    <col min="243" max="243" width="7.85546875" style="1027" hidden="1"/>
    <col min="244" max="244" width="43.85546875" style="1027" hidden="1"/>
    <col min="245" max="245" width="16.7109375" style="1027" hidden="1"/>
    <col min="246" max="246" width="7.5703125" style="1027" hidden="1"/>
    <col min="247" max="247" width="16.7109375" style="1027" hidden="1"/>
    <col min="248" max="248" width="7.85546875" style="1027" hidden="1"/>
    <col min="249" max="249" width="43.85546875" style="1027" hidden="1"/>
    <col min="250" max="250" width="16.5703125" style="1027" hidden="1"/>
    <col min="251" max="251" width="7.5703125" style="1027" hidden="1"/>
    <col min="252" max="252" width="16.5703125" style="1027" hidden="1"/>
    <col min="253" max="253" width="7.5703125" style="1027" hidden="1"/>
    <col min="254" max="444" width="11.42578125" style="1027" hidden="1"/>
    <col min="445" max="445" width="43.7109375" style="1027" hidden="1"/>
    <col min="446" max="446" width="16.7109375" style="1027" hidden="1"/>
    <col min="447" max="447" width="7.7109375" style="1027" hidden="1"/>
    <col min="448" max="448" width="16.7109375" style="1027" hidden="1"/>
    <col min="449" max="449" width="7.85546875" style="1027" hidden="1"/>
    <col min="450" max="450" width="43.85546875" style="1027" hidden="1"/>
    <col min="451" max="451" width="16.7109375" style="1027" hidden="1"/>
    <col min="452" max="452" width="7.85546875" style="1027" hidden="1"/>
    <col min="453" max="453" width="16.7109375" style="1027" hidden="1"/>
    <col min="454" max="454" width="7.85546875" style="1027" hidden="1"/>
    <col min="455" max="455" width="43.85546875" style="1027" hidden="1"/>
    <col min="456" max="456" width="16.7109375" style="1027" hidden="1"/>
    <col min="457" max="457" width="7.85546875" style="1027" hidden="1"/>
    <col min="458" max="458" width="16.7109375" style="1027" hidden="1"/>
    <col min="459" max="459" width="7.5703125" style="1027" hidden="1"/>
    <col min="460" max="460" width="43.85546875" style="1027" hidden="1"/>
    <col min="461" max="461" width="16.7109375" style="1027" hidden="1"/>
    <col min="462" max="462" width="7.85546875" style="1027" hidden="1"/>
    <col min="463" max="463" width="16.7109375" style="1027" hidden="1"/>
    <col min="464" max="464" width="7.85546875" style="1027" hidden="1"/>
    <col min="465" max="465" width="43.85546875" style="1027" hidden="1"/>
    <col min="466" max="466" width="16.7109375" style="1027" hidden="1"/>
    <col min="467" max="467" width="7.85546875" style="1027" hidden="1"/>
    <col min="468" max="468" width="16.7109375" style="1027" hidden="1"/>
    <col min="469" max="469" width="7.85546875" style="1027" hidden="1"/>
    <col min="470" max="470" width="43.85546875" style="1027" hidden="1"/>
    <col min="471" max="471" width="16.7109375" style="1027" hidden="1"/>
    <col min="472" max="472" width="7.85546875" style="1027" hidden="1"/>
    <col min="473" max="473" width="16.7109375" style="1027" hidden="1"/>
    <col min="474" max="474" width="7.85546875" style="1027" hidden="1"/>
    <col min="475" max="475" width="43.85546875" style="1027" hidden="1"/>
    <col min="476" max="476" width="16.7109375" style="1027" hidden="1"/>
    <col min="477" max="477" width="7.85546875" style="1027" hidden="1"/>
    <col min="478" max="478" width="16.7109375" style="1027" hidden="1"/>
    <col min="479" max="479" width="7.85546875" style="1027" hidden="1"/>
    <col min="480" max="480" width="43.85546875" style="1027" hidden="1"/>
    <col min="481" max="481" width="16.7109375" style="1027" hidden="1"/>
    <col min="482" max="482" width="7.85546875" style="1027" hidden="1"/>
    <col min="483" max="483" width="16.5703125" style="1027" hidden="1"/>
    <col min="484" max="484" width="7.85546875" style="1027" hidden="1"/>
    <col min="485" max="485" width="43.85546875" style="1027" hidden="1"/>
    <col min="486" max="486" width="16.7109375" style="1027" hidden="1"/>
    <col min="487" max="487" width="7.5703125" style="1027" hidden="1"/>
    <col min="488" max="488" width="16.7109375" style="1027" hidden="1"/>
    <col min="489" max="489" width="7.85546875" style="1027" hidden="1"/>
    <col min="490" max="490" width="43.85546875" style="1027" hidden="1"/>
    <col min="491" max="491" width="16.7109375" style="1027" hidden="1"/>
    <col min="492" max="492" width="7.5703125" style="1027" hidden="1"/>
    <col min="493" max="493" width="16.7109375" style="1027" hidden="1"/>
    <col min="494" max="494" width="9.28515625" style="1027" hidden="1"/>
    <col min="495" max="495" width="43.85546875" style="1027" hidden="1"/>
    <col min="496" max="496" width="16.7109375" style="1027" hidden="1"/>
    <col min="497" max="497" width="7.7109375" style="1027" hidden="1"/>
    <col min="498" max="498" width="16.7109375" style="1027" hidden="1"/>
    <col min="499" max="499" width="7.85546875" style="1027" hidden="1"/>
    <col min="500" max="500" width="43.85546875" style="1027" hidden="1"/>
    <col min="501" max="501" width="16.7109375" style="1027" hidden="1"/>
    <col min="502" max="502" width="7.5703125" style="1027" hidden="1"/>
    <col min="503" max="503" width="16.7109375" style="1027" hidden="1"/>
    <col min="504" max="504" width="7.85546875" style="1027" hidden="1"/>
    <col min="505" max="505" width="43.85546875" style="1027" hidden="1"/>
    <col min="506" max="506" width="16.5703125" style="1027" hidden="1"/>
    <col min="507" max="507" width="7.5703125" style="1027" hidden="1"/>
    <col min="508" max="508" width="16.5703125" style="1027" hidden="1"/>
    <col min="509" max="509" width="7.5703125" style="1027" hidden="1"/>
    <col min="510" max="700" width="11.42578125" style="1027" hidden="1"/>
    <col min="701" max="701" width="43.7109375" style="1027" hidden="1"/>
    <col min="702" max="702" width="16.7109375" style="1027" hidden="1"/>
    <col min="703" max="703" width="7.7109375" style="1027" hidden="1"/>
    <col min="704" max="704" width="16.7109375" style="1027" hidden="1"/>
    <col min="705" max="705" width="7.85546875" style="1027" hidden="1"/>
    <col min="706" max="706" width="43.85546875" style="1027" hidden="1"/>
    <col min="707" max="707" width="16.7109375" style="1027" hidden="1"/>
    <col min="708" max="708" width="7.85546875" style="1027" hidden="1"/>
    <col min="709" max="709" width="16.7109375" style="1027" hidden="1"/>
    <col min="710" max="710" width="7.85546875" style="1027" hidden="1"/>
    <col min="711" max="711" width="43.85546875" style="1027" hidden="1"/>
    <col min="712" max="712" width="16.7109375" style="1027" hidden="1"/>
    <col min="713" max="713" width="7.85546875" style="1027" hidden="1"/>
    <col min="714" max="714" width="16.7109375" style="1027" hidden="1"/>
    <col min="715" max="715" width="7.5703125" style="1027" hidden="1"/>
    <col min="716" max="716" width="43.85546875" style="1027" hidden="1"/>
    <col min="717" max="717" width="16.7109375" style="1027" hidden="1"/>
    <col min="718" max="718" width="7.85546875" style="1027" hidden="1"/>
    <col min="719" max="719" width="16.7109375" style="1027" hidden="1"/>
    <col min="720" max="720" width="7.85546875" style="1027" hidden="1"/>
    <col min="721" max="721" width="43.85546875" style="1027" hidden="1"/>
    <col min="722" max="722" width="16.7109375" style="1027" hidden="1"/>
    <col min="723" max="723" width="7.85546875" style="1027" hidden="1"/>
    <col min="724" max="724" width="16.7109375" style="1027" hidden="1"/>
    <col min="725" max="725" width="7.85546875" style="1027" hidden="1"/>
    <col min="726" max="726" width="43.85546875" style="1027" hidden="1"/>
    <col min="727" max="727" width="16.7109375" style="1027" hidden="1"/>
    <col min="728" max="728" width="7.85546875" style="1027" hidden="1"/>
    <col min="729" max="729" width="16.7109375" style="1027" hidden="1"/>
    <col min="730" max="730" width="7.85546875" style="1027" hidden="1"/>
    <col min="731" max="731" width="43.85546875" style="1027" hidden="1"/>
    <col min="732" max="732" width="16.7109375" style="1027" hidden="1"/>
    <col min="733" max="733" width="7.85546875" style="1027" hidden="1"/>
    <col min="734" max="734" width="16.7109375" style="1027" hidden="1"/>
    <col min="735" max="735" width="7.85546875" style="1027" hidden="1"/>
    <col min="736" max="736" width="43.85546875" style="1027" hidden="1"/>
    <col min="737" max="737" width="16.7109375" style="1027" hidden="1"/>
    <col min="738" max="738" width="7.85546875" style="1027" hidden="1"/>
    <col min="739" max="739" width="16.5703125" style="1027" hidden="1"/>
    <col min="740" max="740" width="7.85546875" style="1027" hidden="1"/>
    <col min="741" max="741" width="43.85546875" style="1027" hidden="1"/>
    <col min="742" max="742" width="16.7109375" style="1027" hidden="1"/>
    <col min="743" max="743" width="7.5703125" style="1027" hidden="1"/>
    <col min="744" max="744" width="16.7109375" style="1027" hidden="1"/>
    <col min="745" max="745" width="7.85546875" style="1027" hidden="1"/>
    <col min="746" max="746" width="43.85546875" style="1027" hidden="1"/>
    <col min="747" max="747" width="16.7109375" style="1027" hidden="1"/>
    <col min="748" max="748" width="7.5703125" style="1027" hidden="1"/>
    <col min="749" max="749" width="16.7109375" style="1027" hidden="1"/>
    <col min="750" max="750" width="9.28515625" style="1027" hidden="1"/>
    <col min="751" max="751" width="43.85546875" style="1027" hidden="1"/>
    <col min="752" max="752" width="16.7109375" style="1027" hidden="1"/>
    <col min="753" max="753" width="7.7109375" style="1027" hidden="1"/>
    <col min="754" max="754" width="16.7109375" style="1027" hidden="1"/>
    <col min="755" max="755" width="7.85546875" style="1027" hidden="1"/>
    <col min="756" max="756" width="43.85546875" style="1027" hidden="1"/>
    <col min="757" max="757" width="16.7109375" style="1027" hidden="1"/>
    <col min="758" max="758" width="7.5703125" style="1027" hidden="1"/>
    <col min="759" max="759" width="16.7109375" style="1027" hidden="1"/>
    <col min="760" max="760" width="7.85546875" style="1027" hidden="1"/>
    <col min="761" max="761" width="43.85546875" style="1027" hidden="1"/>
    <col min="762" max="762" width="16.5703125" style="1027" hidden="1"/>
    <col min="763" max="763" width="7.5703125" style="1027" hidden="1"/>
    <col min="764" max="764" width="16.5703125" style="1027" hidden="1"/>
    <col min="765" max="765" width="7.5703125" style="1027" hidden="1"/>
    <col min="766" max="956" width="11.42578125" style="1027" hidden="1"/>
    <col min="957" max="957" width="43.7109375" style="1027" hidden="1"/>
    <col min="958" max="958" width="16.7109375" style="1027" hidden="1"/>
    <col min="959" max="959" width="7.7109375" style="1027" hidden="1"/>
    <col min="960" max="960" width="16.7109375" style="1027" hidden="1"/>
    <col min="961" max="961" width="7.85546875" style="1027" hidden="1"/>
    <col min="962" max="962" width="43.85546875" style="1027" hidden="1"/>
    <col min="963" max="963" width="16.7109375" style="1027" hidden="1"/>
    <col min="964" max="964" width="7.85546875" style="1027" hidden="1"/>
    <col min="965" max="965" width="16.7109375" style="1027" hidden="1"/>
    <col min="966" max="966" width="7.85546875" style="1027" hidden="1"/>
    <col min="967" max="967" width="43.85546875" style="1027" hidden="1"/>
    <col min="968" max="968" width="16.7109375" style="1027" hidden="1"/>
    <col min="969" max="969" width="7.85546875" style="1027" hidden="1"/>
    <col min="970" max="970" width="16.7109375" style="1027" hidden="1"/>
    <col min="971" max="971" width="7.5703125" style="1027" hidden="1"/>
    <col min="972" max="972" width="43.85546875" style="1027" hidden="1"/>
    <col min="973" max="973" width="16.7109375" style="1027" hidden="1"/>
    <col min="974" max="974" width="7.85546875" style="1027" hidden="1"/>
    <col min="975" max="975" width="16.7109375" style="1027" hidden="1"/>
    <col min="976" max="976" width="7.85546875" style="1027" hidden="1"/>
    <col min="977" max="977" width="43.85546875" style="1027" hidden="1"/>
    <col min="978" max="978" width="16.7109375" style="1027" hidden="1"/>
    <col min="979" max="979" width="7.85546875" style="1027" hidden="1"/>
    <col min="980" max="980" width="16.7109375" style="1027" hidden="1"/>
    <col min="981" max="981" width="7.85546875" style="1027" hidden="1"/>
    <col min="982" max="982" width="43.85546875" style="1027" hidden="1"/>
    <col min="983" max="983" width="16.7109375" style="1027" hidden="1"/>
    <col min="984" max="984" width="7.85546875" style="1027" hidden="1"/>
    <col min="985" max="985" width="16.7109375" style="1027" hidden="1"/>
    <col min="986" max="986" width="7.85546875" style="1027" hidden="1"/>
    <col min="987" max="987" width="43.85546875" style="1027" hidden="1"/>
    <col min="988" max="988" width="16.7109375" style="1027" hidden="1"/>
    <col min="989" max="989" width="7.85546875" style="1027" hidden="1"/>
    <col min="990" max="990" width="16.7109375" style="1027" hidden="1"/>
    <col min="991" max="991" width="7.85546875" style="1027" hidden="1"/>
    <col min="992" max="992" width="43.85546875" style="1027" hidden="1"/>
    <col min="993" max="993" width="16.7109375" style="1027" hidden="1"/>
    <col min="994" max="994" width="7.85546875" style="1027" hidden="1"/>
    <col min="995" max="995" width="16.5703125" style="1027" hidden="1"/>
    <col min="996" max="996" width="7.85546875" style="1027" hidden="1"/>
    <col min="997" max="997" width="43.85546875" style="1027" hidden="1"/>
    <col min="998" max="998" width="16.7109375" style="1027" hidden="1"/>
    <col min="999" max="999" width="7.5703125" style="1027" hidden="1"/>
    <col min="1000" max="1000" width="16.7109375" style="1027" hidden="1"/>
    <col min="1001" max="1001" width="7.85546875" style="1027" hidden="1"/>
    <col min="1002" max="1002" width="43.85546875" style="1027" hidden="1"/>
    <col min="1003" max="1003" width="16.7109375" style="1027" hidden="1"/>
    <col min="1004" max="1004" width="7.5703125" style="1027" hidden="1"/>
    <col min="1005" max="1005" width="16.7109375" style="1027" hidden="1"/>
    <col min="1006" max="1006" width="9.28515625" style="1027" hidden="1"/>
    <col min="1007" max="1007" width="43.85546875" style="1027" hidden="1"/>
    <col min="1008" max="1008" width="16.7109375" style="1027" hidden="1"/>
    <col min="1009" max="1009" width="7.7109375" style="1027" hidden="1"/>
    <col min="1010" max="1010" width="16.7109375" style="1027" hidden="1"/>
    <col min="1011" max="1011" width="7.85546875" style="1027" hidden="1"/>
    <col min="1012" max="1012" width="43.85546875" style="1027" hidden="1"/>
    <col min="1013" max="1013" width="16.7109375" style="1027" hidden="1"/>
    <col min="1014" max="1014" width="7.5703125" style="1027" hidden="1"/>
    <col min="1015" max="1015" width="16.7109375" style="1027" hidden="1"/>
    <col min="1016" max="1016" width="7.85546875" style="1027" hidden="1"/>
    <col min="1017" max="1017" width="43.85546875" style="1027" hidden="1"/>
    <col min="1018" max="1018" width="16.5703125" style="1027" hidden="1"/>
    <col min="1019" max="1019" width="7.5703125" style="1027" hidden="1"/>
    <col min="1020" max="1020" width="16.5703125" style="1027" hidden="1"/>
    <col min="1021" max="1021" width="7.5703125" style="1027" hidden="1"/>
    <col min="1022" max="1212" width="11.42578125" style="1027" hidden="1"/>
    <col min="1213" max="1213" width="43.7109375" style="1027" hidden="1"/>
    <col min="1214" max="1214" width="16.7109375" style="1027" hidden="1"/>
    <col min="1215" max="1215" width="7.7109375" style="1027" hidden="1"/>
    <col min="1216" max="1216" width="16.7109375" style="1027" hidden="1"/>
    <col min="1217" max="1217" width="7.85546875" style="1027" hidden="1"/>
    <col min="1218" max="1218" width="43.85546875" style="1027" hidden="1"/>
    <col min="1219" max="1219" width="16.7109375" style="1027" hidden="1"/>
    <col min="1220" max="1220" width="7.85546875" style="1027" hidden="1"/>
    <col min="1221" max="1221" width="16.7109375" style="1027" hidden="1"/>
    <col min="1222" max="1222" width="7.85546875" style="1027" hidden="1"/>
    <col min="1223" max="1223" width="43.85546875" style="1027" hidden="1"/>
    <col min="1224" max="1224" width="16.7109375" style="1027" hidden="1"/>
    <col min="1225" max="1225" width="7.85546875" style="1027" hidden="1"/>
    <col min="1226" max="1226" width="16.7109375" style="1027" hidden="1"/>
    <col min="1227" max="1227" width="7.5703125" style="1027" hidden="1"/>
    <col min="1228" max="1228" width="43.85546875" style="1027" hidden="1"/>
    <col min="1229" max="1229" width="16.7109375" style="1027" hidden="1"/>
    <col min="1230" max="1230" width="7.85546875" style="1027" hidden="1"/>
    <col min="1231" max="1231" width="16.7109375" style="1027" hidden="1"/>
    <col min="1232" max="1232" width="7.85546875" style="1027" hidden="1"/>
    <col min="1233" max="1233" width="43.85546875" style="1027" hidden="1"/>
    <col min="1234" max="1234" width="16.7109375" style="1027" hidden="1"/>
    <col min="1235" max="1235" width="7.85546875" style="1027" hidden="1"/>
    <col min="1236" max="1236" width="16.7109375" style="1027" hidden="1"/>
    <col min="1237" max="1237" width="7.85546875" style="1027" hidden="1"/>
    <col min="1238" max="1238" width="43.85546875" style="1027" hidden="1"/>
    <col min="1239" max="1239" width="16.7109375" style="1027" hidden="1"/>
    <col min="1240" max="1240" width="7.85546875" style="1027" hidden="1"/>
    <col min="1241" max="1241" width="16.7109375" style="1027" hidden="1"/>
    <col min="1242" max="1242" width="7.85546875" style="1027" hidden="1"/>
    <col min="1243" max="1243" width="43.85546875" style="1027" hidden="1"/>
    <col min="1244" max="1244" width="16.7109375" style="1027" hidden="1"/>
    <col min="1245" max="1245" width="7.85546875" style="1027" hidden="1"/>
    <col min="1246" max="1246" width="16.7109375" style="1027" hidden="1"/>
    <col min="1247" max="1247" width="7.85546875" style="1027" hidden="1"/>
    <col min="1248" max="1248" width="43.85546875" style="1027" hidden="1"/>
    <col min="1249" max="1249" width="16.7109375" style="1027" hidden="1"/>
    <col min="1250" max="1250" width="7.85546875" style="1027" hidden="1"/>
    <col min="1251" max="1251" width="16.5703125" style="1027" hidden="1"/>
    <col min="1252" max="1252" width="7.85546875" style="1027" hidden="1"/>
    <col min="1253" max="1253" width="43.85546875" style="1027" hidden="1"/>
    <col min="1254" max="1254" width="16.7109375" style="1027" hidden="1"/>
    <col min="1255" max="1255" width="7.5703125" style="1027" hidden="1"/>
    <col min="1256" max="1256" width="16.7109375" style="1027" hidden="1"/>
    <col min="1257" max="1257" width="7.85546875" style="1027" hidden="1"/>
    <col min="1258" max="1258" width="43.85546875" style="1027" hidden="1"/>
    <col min="1259" max="1259" width="16.7109375" style="1027" hidden="1"/>
    <col min="1260" max="1260" width="7.5703125" style="1027" hidden="1"/>
    <col min="1261" max="1261" width="16.7109375" style="1027" hidden="1"/>
    <col min="1262" max="1262" width="9.28515625" style="1027" hidden="1"/>
    <col min="1263" max="1263" width="43.85546875" style="1027" hidden="1"/>
    <col min="1264" max="1264" width="16.7109375" style="1027" hidden="1"/>
    <col min="1265" max="1265" width="7.7109375" style="1027" hidden="1"/>
    <col min="1266" max="1266" width="16.7109375" style="1027" hidden="1"/>
    <col min="1267" max="1267" width="7.85546875" style="1027" hidden="1"/>
    <col min="1268" max="1268" width="43.85546875" style="1027" hidden="1"/>
    <col min="1269" max="1269" width="16.7109375" style="1027" hidden="1"/>
    <col min="1270" max="1270" width="7.5703125" style="1027" hidden="1"/>
    <col min="1271" max="1271" width="16.7109375" style="1027" hidden="1"/>
    <col min="1272" max="1272" width="7.85546875" style="1027" hidden="1"/>
    <col min="1273" max="1273" width="43.85546875" style="1027" hidden="1"/>
    <col min="1274" max="1274" width="16.5703125" style="1027" hidden="1"/>
    <col min="1275" max="1275" width="7.5703125" style="1027" hidden="1"/>
    <col min="1276" max="1276" width="16.5703125" style="1027" hidden="1"/>
    <col min="1277" max="1277" width="7.5703125" style="1027" hidden="1"/>
    <col min="1278" max="1468" width="11.42578125" style="1027" hidden="1"/>
    <col min="1469" max="1469" width="43.7109375" style="1027" hidden="1"/>
    <col min="1470" max="1470" width="16.7109375" style="1027" hidden="1"/>
    <col min="1471" max="1471" width="7.7109375" style="1027" hidden="1"/>
    <col min="1472" max="1472" width="16.7109375" style="1027" hidden="1"/>
    <col min="1473" max="1473" width="7.85546875" style="1027" hidden="1"/>
    <col min="1474" max="1474" width="43.85546875" style="1027" hidden="1"/>
    <col min="1475" max="1475" width="16.7109375" style="1027" hidden="1"/>
    <col min="1476" max="1476" width="7.85546875" style="1027" hidden="1"/>
    <col min="1477" max="1477" width="16.7109375" style="1027" hidden="1"/>
    <col min="1478" max="1478" width="7.85546875" style="1027" hidden="1"/>
    <col min="1479" max="1479" width="43.85546875" style="1027" hidden="1"/>
    <col min="1480" max="1480" width="16.7109375" style="1027" hidden="1"/>
    <col min="1481" max="1481" width="7.85546875" style="1027" hidden="1"/>
    <col min="1482" max="1482" width="16.7109375" style="1027" hidden="1"/>
    <col min="1483" max="1483" width="7.5703125" style="1027" hidden="1"/>
    <col min="1484" max="1484" width="43.85546875" style="1027" hidden="1"/>
    <col min="1485" max="1485" width="16.7109375" style="1027" hidden="1"/>
    <col min="1486" max="1486" width="7.85546875" style="1027" hidden="1"/>
    <col min="1487" max="1487" width="16.7109375" style="1027" hidden="1"/>
    <col min="1488" max="1488" width="7.85546875" style="1027" hidden="1"/>
    <col min="1489" max="1489" width="43.85546875" style="1027" hidden="1"/>
    <col min="1490" max="1490" width="16.7109375" style="1027" hidden="1"/>
    <col min="1491" max="1491" width="7.85546875" style="1027" hidden="1"/>
    <col min="1492" max="1492" width="16.7109375" style="1027" hidden="1"/>
    <col min="1493" max="1493" width="7.85546875" style="1027" hidden="1"/>
    <col min="1494" max="1494" width="43.85546875" style="1027" hidden="1"/>
    <col min="1495" max="1495" width="16.7109375" style="1027" hidden="1"/>
    <col min="1496" max="1496" width="7.85546875" style="1027" hidden="1"/>
    <col min="1497" max="1497" width="16.7109375" style="1027" hidden="1"/>
    <col min="1498" max="1498" width="7.85546875" style="1027" hidden="1"/>
    <col min="1499" max="1499" width="43.85546875" style="1027" hidden="1"/>
    <col min="1500" max="1500" width="16.7109375" style="1027" hidden="1"/>
    <col min="1501" max="1501" width="7.85546875" style="1027" hidden="1"/>
    <col min="1502" max="1502" width="16.7109375" style="1027" hidden="1"/>
    <col min="1503" max="1503" width="7.85546875" style="1027" hidden="1"/>
    <col min="1504" max="1504" width="43.85546875" style="1027" hidden="1"/>
    <col min="1505" max="1505" width="16.7109375" style="1027" hidden="1"/>
    <col min="1506" max="1506" width="7.85546875" style="1027" hidden="1"/>
    <col min="1507" max="1507" width="16.5703125" style="1027" hidden="1"/>
    <col min="1508" max="1508" width="7.85546875" style="1027" hidden="1"/>
    <col min="1509" max="1509" width="43.85546875" style="1027" hidden="1"/>
    <col min="1510" max="1510" width="16.7109375" style="1027" hidden="1"/>
    <col min="1511" max="1511" width="7.5703125" style="1027" hidden="1"/>
    <col min="1512" max="1512" width="16.7109375" style="1027" hidden="1"/>
    <col min="1513" max="1513" width="7.85546875" style="1027" hidden="1"/>
    <col min="1514" max="1514" width="43.85546875" style="1027" hidden="1"/>
    <col min="1515" max="1515" width="16.7109375" style="1027" hidden="1"/>
    <col min="1516" max="1516" width="7.5703125" style="1027" hidden="1"/>
    <col min="1517" max="1517" width="16.7109375" style="1027" hidden="1"/>
    <col min="1518" max="1518" width="9.28515625" style="1027" hidden="1"/>
    <col min="1519" max="1519" width="43.85546875" style="1027" hidden="1"/>
    <col min="1520" max="1520" width="16.7109375" style="1027" hidden="1"/>
    <col min="1521" max="1521" width="7.7109375" style="1027" hidden="1"/>
    <col min="1522" max="1522" width="16.7109375" style="1027" hidden="1"/>
    <col min="1523" max="1523" width="7.85546875" style="1027" hidden="1"/>
    <col min="1524" max="1524" width="43.85546875" style="1027" hidden="1"/>
    <col min="1525" max="1525" width="16.7109375" style="1027" hidden="1"/>
    <col min="1526" max="1526" width="7.5703125" style="1027" hidden="1"/>
    <col min="1527" max="1527" width="16.7109375" style="1027" hidden="1"/>
    <col min="1528" max="1528" width="7.85546875" style="1027" hidden="1"/>
    <col min="1529" max="1529" width="43.85546875" style="1027" hidden="1"/>
    <col min="1530" max="1530" width="16.5703125" style="1027" hidden="1"/>
    <col min="1531" max="1531" width="7.5703125" style="1027" hidden="1"/>
    <col min="1532" max="1532" width="16.5703125" style="1027" hidden="1"/>
    <col min="1533" max="1533" width="7.5703125" style="1027" hidden="1"/>
    <col min="1534" max="1724" width="11.42578125" style="1027" hidden="1"/>
    <col min="1725" max="1725" width="43.7109375" style="1027" hidden="1"/>
    <col min="1726" max="1726" width="16.7109375" style="1027" hidden="1"/>
    <col min="1727" max="1727" width="7.7109375" style="1027" hidden="1"/>
    <col min="1728" max="1728" width="16.7109375" style="1027" hidden="1"/>
    <col min="1729" max="1729" width="7.85546875" style="1027" hidden="1"/>
    <col min="1730" max="1730" width="43.85546875" style="1027" hidden="1"/>
    <col min="1731" max="1731" width="16.7109375" style="1027" hidden="1"/>
    <col min="1732" max="1732" width="7.85546875" style="1027" hidden="1"/>
    <col min="1733" max="1733" width="16.7109375" style="1027" hidden="1"/>
    <col min="1734" max="1734" width="7.85546875" style="1027" hidden="1"/>
    <col min="1735" max="1735" width="43.85546875" style="1027" hidden="1"/>
    <col min="1736" max="1736" width="16.7109375" style="1027" hidden="1"/>
    <col min="1737" max="1737" width="7.85546875" style="1027" hidden="1"/>
    <col min="1738" max="1738" width="16.7109375" style="1027" hidden="1"/>
    <col min="1739" max="1739" width="7.5703125" style="1027" hidden="1"/>
    <col min="1740" max="1740" width="43.85546875" style="1027" hidden="1"/>
    <col min="1741" max="1741" width="16.7109375" style="1027" hidden="1"/>
    <col min="1742" max="1742" width="7.85546875" style="1027" hidden="1"/>
    <col min="1743" max="1743" width="16.7109375" style="1027" hidden="1"/>
    <col min="1744" max="1744" width="7.85546875" style="1027" hidden="1"/>
    <col min="1745" max="1745" width="43.85546875" style="1027" hidden="1"/>
    <col min="1746" max="1746" width="16.7109375" style="1027" hidden="1"/>
    <col min="1747" max="1747" width="7.85546875" style="1027" hidden="1"/>
    <col min="1748" max="1748" width="16.7109375" style="1027" hidden="1"/>
    <col min="1749" max="1749" width="7.85546875" style="1027" hidden="1"/>
    <col min="1750" max="1750" width="43.85546875" style="1027" hidden="1"/>
    <col min="1751" max="1751" width="16.7109375" style="1027" hidden="1"/>
    <col min="1752" max="1752" width="7.85546875" style="1027" hidden="1"/>
    <col min="1753" max="1753" width="16.7109375" style="1027" hidden="1"/>
    <col min="1754" max="1754" width="7.85546875" style="1027" hidden="1"/>
    <col min="1755" max="1755" width="43.85546875" style="1027" hidden="1"/>
    <col min="1756" max="1756" width="16.7109375" style="1027" hidden="1"/>
    <col min="1757" max="1757" width="7.85546875" style="1027" hidden="1"/>
    <col min="1758" max="1758" width="16.7109375" style="1027" hidden="1"/>
    <col min="1759" max="1759" width="7.85546875" style="1027" hidden="1"/>
    <col min="1760" max="1760" width="43.85546875" style="1027" hidden="1"/>
    <col min="1761" max="1761" width="16.7109375" style="1027" hidden="1"/>
    <col min="1762" max="1762" width="7.85546875" style="1027" hidden="1"/>
    <col min="1763" max="1763" width="16.5703125" style="1027" hidden="1"/>
    <col min="1764" max="1764" width="7.85546875" style="1027" hidden="1"/>
    <col min="1765" max="1765" width="43.85546875" style="1027" hidden="1"/>
    <col min="1766" max="1766" width="16.7109375" style="1027" hidden="1"/>
    <col min="1767" max="1767" width="7.5703125" style="1027" hidden="1"/>
    <col min="1768" max="1768" width="16.7109375" style="1027" hidden="1"/>
    <col min="1769" max="1769" width="7.85546875" style="1027" hidden="1"/>
    <col min="1770" max="1770" width="43.85546875" style="1027" hidden="1"/>
    <col min="1771" max="1771" width="16.7109375" style="1027" hidden="1"/>
    <col min="1772" max="1772" width="7.5703125" style="1027" hidden="1"/>
    <col min="1773" max="1773" width="16.7109375" style="1027" hidden="1"/>
    <col min="1774" max="1774" width="9.28515625" style="1027" hidden="1"/>
    <col min="1775" max="1775" width="43.85546875" style="1027" hidden="1"/>
    <col min="1776" max="1776" width="16.7109375" style="1027" hidden="1"/>
    <col min="1777" max="1777" width="7.7109375" style="1027" hidden="1"/>
    <col min="1778" max="1778" width="16.7109375" style="1027" hidden="1"/>
    <col min="1779" max="1779" width="7.85546875" style="1027" hidden="1"/>
    <col min="1780" max="1780" width="43.85546875" style="1027" hidden="1"/>
    <col min="1781" max="1781" width="16.7109375" style="1027" hidden="1"/>
    <col min="1782" max="1782" width="7.5703125" style="1027" hidden="1"/>
    <col min="1783" max="1783" width="16.7109375" style="1027" hidden="1"/>
    <col min="1784" max="1784" width="7.85546875" style="1027" hidden="1"/>
    <col min="1785" max="1785" width="43.85546875" style="1027" hidden="1"/>
    <col min="1786" max="1786" width="16.5703125" style="1027" hidden="1"/>
    <col min="1787" max="1787" width="7.5703125" style="1027" hidden="1"/>
    <col min="1788" max="1788" width="16.5703125" style="1027" hidden="1"/>
    <col min="1789" max="1789" width="7.5703125" style="1027" hidden="1"/>
    <col min="1790" max="1980" width="11.42578125" style="1027" hidden="1"/>
    <col min="1981" max="1981" width="43.7109375" style="1027" hidden="1"/>
    <col min="1982" max="1982" width="16.7109375" style="1027" hidden="1"/>
    <col min="1983" max="1983" width="7.7109375" style="1027" hidden="1"/>
    <col min="1984" max="1984" width="16.7109375" style="1027" hidden="1"/>
    <col min="1985" max="1985" width="7.85546875" style="1027" hidden="1"/>
    <col min="1986" max="1986" width="43.85546875" style="1027" hidden="1"/>
    <col min="1987" max="1987" width="16.7109375" style="1027" hidden="1"/>
    <col min="1988" max="1988" width="7.85546875" style="1027" hidden="1"/>
    <col min="1989" max="1989" width="16.7109375" style="1027" hidden="1"/>
    <col min="1990" max="1990" width="7.85546875" style="1027" hidden="1"/>
    <col min="1991" max="1991" width="43.85546875" style="1027" hidden="1"/>
    <col min="1992" max="1992" width="16.7109375" style="1027" hidden="1"/>
    <col min="1993" max="1993" width="7.85546875" style="1027" hidden="1"/>
    <col min="1994" max="1994" width="16.7109375" style="1027" hidden="1"/>
    <col min="1995" max="1995" width="7.5703125" style="1027" hidden="1"/>
    <col min="1996" max="1996" width="43.85546875" style="1027" hidden="1"/>
    <col min="1997" max="1997" width="16.7109375" style="1027" hidden="1"/>
    <col min="1998" max="1998" width="7.85546875" style="1027" hidden="1"/>
    <col min="1999" max="1999" width="16.7109375" style="1027" hidden="1"/>
    <col min="2000" max="2000" width="7.85546875" style="1027" hidden="1"/>
    <col min="2001" max="2001" width="43.85546875" style="1027" hidden="1"/>
    <col min="2002" max="2002" width="16.7109375" style="1027" hidden="1"/>
    <col min="2003" max="2003" width="7.85546875" style="1027" hidden="1"/>
    <col min="2004" max="2004" width="16.7109375" style="1027" hidden="1"/>
    <col min="2005" max="2005" width="7.85546875" style="1027" hidden="1"/>
    <col min="2006" max="2006" width="43.85546875" style="1027" hidden="1"/>
    <col min="2007" max="2007" width="16.7109375" style="1027" hidden="1"/>
    <col min="2008" max="2008" width="7.85546875" style="1027" hidden="1"/>
    <col min="2009" max="2009" width="16.7109375" style="1027" hidden="1"/>
    <col min="2010" max="2010" width="7.85546875" style="1027" hidden="1"/>
    <col min="2011" max="2011" width="43.85546875" style="1027" hidden="1"/>
    <col min="2012" max="2012" width="16.7109375" style="1027" hidden="1"/>
    <col min="2013" max="2013" width="7.85546875" style="1027" hidden="1"/>
    <col min="2014" max="2014" width="16.7109375" style="1027" hidden="1"/>
    <col min="2015" max="2015" width="7.85546875" style="1027" hidden="1"/>
    <col min="2016" max="2016" width="43.85546875" style="1027" hidden="1"/>
    <col min="2017" max="2017" width="16.7109375" style="1027" hidden="1"/>
    <col min="2018" max="2018" width="7.85546875" style="1027" hidden="1"/>
    <col min="2019" max="2019" width="16.5703125" style="1027" hidden="1"/>
    <col min="2020" max="2020" width="7.85546875" style="1027" hidden="1"/>
    <col min="2021" max="2021" width="43.85546875" style="1027" hidden="1"/>
    <col min="2022" max="2022" width="16.7109375" style="1027" hidden="1"/>
    <col min="2023" max="2023" width="7.5703125" style="1027" hidden="1"/>
    <col min="2024" max="2024" width="16.7109375" style="1027" hidden="1"/>
    <col min="2025" max="2025" width="7.85546875" style="1027" hidden="1"/>
    <col min="2026" max="2026" width="43.85546875" style="1027" hidden="1"/>
    <col min="2027" max="2027" width="16.7109375" style="1027" hidden="1"/>
    <col min="2028" max="2028" width="7.5703125" style="1027" hidden="1"/>
    <col min="2029" max="2029" width="16.7109375" style="1027" hidden="1"/>
    <col min="2030" max="2030" width="9.28515625" style="1027" hidden="1"/>
    <col min="2031" max="2031" width="43.85546875" style="1027" hidden="1"/>
    <col min="2032" max="2032" width="16.7109375" style="1027" hidden="1"/>
    <col min="2033" max="2033" width="7.7109375" style="1027" hidden="1"/>
    <col min="2034" max="2034" width="16.7109375" style="1027" hidden="1"/>
    <col min="2035" max="2035" width="7.85546875" style="1027" hidden="1"/>
    <col min="2036" max="2036" width="43.85546875" style="1027" hidden="1"/>
    <col min="2037" max="2037" width="16.7109375" style="1027" hidden="1"/>
    <col min="2038" max="2038" width="7.5703125" style="1027" hidden="1"/>
    <col min="2039" max="2039" width="16.7109375" style="1027" hidden="1"/>
    <col min="2040" max="2040" width="7.85546875" style="1027" hidden="1"/>
    <col min="2041" max="2041" width="43.85546875" style="1027" hidden="1"/>
    <col min="2042" max="2042" width="16.5703125" style="1027" hidden="1"/>
    <col min="2043" max="2043" width="7.5703125" style="1027" hidden="1"/>
    <col min="2044" max="2044" width="16.5703125" style="1027" hidden="1"/>
    <col min="2045" max="2045" width="7.5703125" style="1027" hidden="1"/>
    <col min="2046" max="2236" width="11.42578125" style="1027" hidden="1"/>
    <col min="2237" max="2237" width="43.7109375" style="1027" hidden="1"/>
    <col min="2238" max="2238" width="16.7109375" style="1027" hidden="1"/>
    <col min="2239" max="2239" width="7.7109375" style="1027" hidden="1"/>
    <col min="2240" max="2240" width="16.7109375" style="1027" hidden="1"/>
    <col min="2241" max="2241" width="7.85546875" style="1027" hidden="1"/>
    <col min="2242" max="2242" width="43.85546875" style="1027" hidden="1"/>
    <col min="2243" max="2243" width="16.7109375" style="1027" hidden="1"/>
    <col min="2244" max="2244" width="7.85546875" style="1027" hidden="1"/>
    <col min="2245" max="2245" width="16.7109375" style="1027" hidden="1"/>
    <col min="2246" max="2246" width="7.85546875" style="1027" hidden="1"/>
    <col min="2247" max="2247" width="43.85546875" style="1027" hidden="1"/>
    <col min="2248" max="2248" width="16.7109375" style="1027" hidden="1"/>
    <col min="2249" max="2249" width="7.85546875" style="1027" hidden="1"/>
    <col min="2250" max="2250" width="16.7109375" style="1027" hidden="1"/>
    <col min="2251" max="2251" width="7.5703125" style="1027" hidden="1"/>
    <col min="2252" max="2252" width="43.85546875" style="1027" hidden="1"/>
    <col min="2253" max="2253" width="16.7109375" style="1027" hidden="1"/>
    <col min="2254" max="2254" width="7.85546875" style="1027" hidden="1"/>
    <col min="2255" max="2255" width="16.7109375" style="1027" hidden="1"/>
    <col min="2256" max="2256" width="7.85546875" style="1027" hidden="1"/>
    <col min="2257" max="2257" width="43.85546875" style="1027" hidden="1"/>
    <col min="2258" max="2258" width="16.7109375" style="1027" hidden="1"/>
    <col min="2259" max="2259" width="7.85546875" style="1027" hidden="1"/>
    <col min="2260" max="2260" width="16.7109375" style="1027" hidden="1"/>
    <col min="2261" max="2261" width="7.85546875" style="1027" hidden="1"/>
    <col min="2262" max="2262" width="43.85546875" style="1027" hidden="1"/>
    <col min="2263" max="2263" width="16.7109375" style="1027" hidden="1"/>
    <col min="2264" max="2264" width="7.85546875" style="1027" hidden="1"/>
    <col min="2265" max="2265" width="16.7109375" style="1027" hidden="1"/>
    <col min="2266" max="2266" width="7.85546875" style="1027" hidden="1"/>
    <col min="2267" max="2267" width="43.85546875" style="1027" hidden="1"/>
    <col min="2268" max="2268" width="16.7109375" style="1027" hidden="1"/>
    <col min="2269" max="2269" width="7.85546875" style="1027" hidden="1"/>
    <col min="2270" max="2270" width="16.7109375" style="1027" hidden="1"/>
    <col min="2271" max="2271" width="7.85546875" style="1027" hidden="1"/>
    <col min="2272" max="2272" width="43.85546875" style="1027" hidden="1"/>
    <col min="2273" max="2273" width="16.7109375" style="1027" hidden="1"/>
    <col min="2274" max="2274" width="7.85546875" style="1027" hidden="1"/>
    <col min="2275" max="2275" width="16.5703125" style="1027" hidden="1"/>
    <col min="2276" max="2276" width="7.85546875" style="1027" hidden="1"/>
    <col min="2277" max="2277" width="43.85546875" style="1027" hidden="1"/>
    <col min="2278" max="2278" width="16.7109375" style="1027" hidden="1"/>
    <col min="2279" max="2279" width="7.5703125" style="1027" hidden="1"/>
    <col min="2280" max="2280" width="16.7109375" style="1027" hidden="1"/>
    <col min="2281" max="2281" width="7.85546875" style="1027" hidden="1"/>
    <col min="2282" max="2282" width="43.85546875" style="1027" hidden="1"/>
    <col min="2283" max="2283" width="16.7109375" style="1027" hidden="1"/>
    <col min="2284" max="2284" width="7.5703125" style="1027" hidden="1"/>
    <col min="2285" max="2285" width="16.7109375" style="1027" hidden="1"/>
    <col min="2286" max="2286" width="9.28515625" style="1027" hidden="1"/>
    <col min="2287" max="2287" width="43.85546875" style="1027" hidden="1"/>
    <col min="2288" max="2288" width="16.7109375" style="1027" hidden="1"/>
    <col min="2289" max="2289" width="7.7109375" style="1027" hidden="1"/>
    <col min="2290" max="2290" width="16.7109375" style="1027" hidden="1"/>
    <col min="2291" max="2291" width="7.85546875" style="1027" hidden="1"/>
    <col min="2292" max="2292" width="43.85546875" style="1027" hidden="1"/>
    <col min="2293" max="2293" width="16.7109375" style="1027" hidden="1"/>
    <col min="2294" max="2294" width="7.5703125" style="1027" hidden="1"/>
    <col min="2295" max="2295" width="16.7109375" style="1027" hidden="1"/>
    <col min="2296" max="2296" width="7.85546875" style="1027" hidden="1"/>
    <col min="2297" max="2297" width="43.85546875" style="1027" hidden="1"/>
    <col min="2298" max="2298" width="16.5703125" style="1027" hidden="1"/>
    <col min="2299" max="2299" width="7.5703125" style="1027" hidden="1"/>
    <col min="2300" max="2300" width="16.5703125" style="1027" hidden="1"/>
    <col min="2301" max="2301" width="7.5703125" style="1027" hidden="1"/>
    <col min="2302" max="2492" width="11.42578125" style="1027" hidden="1"/>
    <col min="2493" max="2493" width="43.7109375" style="1027" hidden="1"/>
    <col min="2494" max="2494" width="16.7109375" style="1027" hidden="1"/>
    <col min="2495" max="2495" width="7.7109375" style="1027" hidden="1"/>
    <col min="2496" max="2496" width="16.7109375" style="1027" hidden="1"/>
    <col min="2497" max="2497" width="7.85546875" style="1027" hidden="1"/>
    <col min="2498" max="2498" width="43.85546875" style="1027" hidden="1"/>
    <col min="2499" max="2499" width="16.7109375" style="1027" hidden="1"/>
    <col min="2500" max="2500" width="7.85546875" style="1027" hidden="1"/>
    <col min="2501" max="2501" width="16.7109375" style="1027" hidden="1"/>
    <col min="2502" max="2502" width="7.85546875" style="1027" hidden="1"/>
    <col min="2503" max="2503" width="43.85546875" style="1027" hidden="1"/>
    <col min="2504" max="2504" width="16.7109375" style="1027" hidden="1"/>
    <col min="2505" max="2505" width="7.85546875" style="1027" hidden="1"/>
    <col min="2506" max="2506" width="16.7109375" style="1027" hidden="1"/>
    <col min="2507" max="2507" width="7.5703125" style="1027" hidden="1"/>
    <col min="2508" max="2508" width="43.85546875" style="1027" hidden="1"/>
    <col min="2509" max="2509" width="16.7109375" style="1027" hidden="1"/>
    <col min="2510" max="2510" width="7.85546875" style="1027" hidden="1"/>
    <col min="2511" max="2511" width="16.7109375" style="1027" hidden="1"/>
    <col min="2512" max="2512" width="7.85546875" style="1027" hidden="1"/>
    <col min="2513" max="2513" width="43.85546875" style="1027" hidden="1"/>
    <col min="2514" max="2514" width="16.7109375" style="1027" hidden="1"/>
    <col min="2515" max="2515" width="7.85546875" style="1027" hidden="1"/>
    <col min="2516" max="2516" width="16.7109375" style="1027" hidden="1"/>
    <col min="2517" max="2517" width="7.85546875" style="1027" hidden="1"/>
    <col min="2518" max="2518" width="43.85546875" style="1027" hidden="1"/>
    <col min="2519" max="2519" width="16.7109375" style="1027" hidden="1"/>
    <col min="2520" max="2520" width="7.85546875" style="1027" hidden="1"/>
    <col min="2521" max="2521" width="16.7109375" style="1027" hidden="1"/>
    <col min="2522" max="2522" width="7.85546875" style="1027" hidden="1"/>
    <col min="2523" max="2523" width="43.85546875" style="1027" hidden="1"/>
    <col min="2524" max="2524" width="16.7109375" style="1027" hidden="1"/>
    <col min="2525" max="2525" width="7.85546875" style="1027" hidden="1"/>
    <col min="2526" max="2526" width="16.7109375" style="1027" hidden="1"/>
    <col min="2527" max="2527" width="7.85546875" style="1027" hidden="1"/>
    <col min="2528" max="2528" width="43.85546875" style="1027" hidden="1"/>
    <col min="2529" max="2529" width="16.7109375" style="1027" hidden="1"/>
    <col min="2530" max="2530" width="7.85546875" style="1027" hidden="1"/>
    <col min="2531" max="2531" width="16.5703125" style="1027" hidden="1"/>
    <col min="2532" max="2532" width="7.85546875" style="1027" hidden="1"/>
    <col min="2533" max="2533" width="43.85546875" style="1027" hidden="1"/>
    <col min="2534" max="2534" width="16.7109375" style="1027" hidden="1"/>
    <col min="2535" max="2535" width="7.5703125" style="1027" hidden="1"/>
    <col min="2536" max="2536" width="16.7109375" style="1027" hidden="1"/>
    <col min="2537" max="2537" width="7.85546875" style="1027" hidden="1"/>
    <col min="2538" max="2538" width="43.85546875" style="1027" hidden="1"/>
    <col min="2539" max="2539" width="16.7109375" style="1027" hidden="1"/>
    <col min="2540" max="2540" width="7.5703125" style="1027" hidden="1"/>
    <col min="2541" max="2541" width="16.7109375" style="1027" hidden="1"/>
    <col min="2542" max="2542" width="9.28515625" style="1027" hidden="1"/>
    <col min="2543" max="2543" width="43.85546875" style="1027" hidden="1"/>
    <col min="2544" max="2544" width="16.7109375" style="1027" hidden="1"/>
    <col min="2545" max="2545" width="7.7109375" style="1027" hidden="1"/>
    <col min="2546" max="2546" width="16.7109375" style="1027" hidden="1"/>
    <col min="2547" max="2547" width="7.85546875" style="1027" hidden="1"/>
    <col min="2548" max="2548" width="43.85546875" style="1027" hidden="1"/>
    <col min="2549" max="2549" width="16.7109375" style="1027" hidden="1"/>
    <col min="2550" max="2550" width="7.5703125" style="1027" hidden="1"/>
    <col min="2551" max="2551" width="16.7109375" style="1027" hidden="1"/>
    <col min="2552" max="2552" width="7.85546875" style="1027" hidden="1"/>
    <col min="2553" max="2553" width="43.85546875" style="1027" hidden="1"/>
    <col min="2554" max="2554" width="16.5703125" style="1027" hidden="1"/>
    <col min="2555" max="2555" width="7.5703125" style="1027" hidden="1"/>
    <col min="2556" max="2556" width="16.5703125" style="1027" hidden="1"/>
    <col min="2557" max="2557" width="7.5703125" style="1027" hidden="1"/>
    <col min="2558" max="2748" width="11.42578125" style="1027" hidden="1"/>
    <col min="2749" max="2749" width="43.7109375" style="1027" hidden="1"/>
    <col min="2750" max="2750" width="16.7109375" style="1027" hidden="1"/>
    <col min="2751" max="2751" width="7.7109375" style="1027" hidden="1"/>
    <col min="2752" max="2752" width="16.7109375" style="1027" hidden="1"/>
    <col min="2753" max="2753" width="7.85546875" style="1027" hidden="1"/>
    <col min="2754" max="2754" width="43.85546875" style="1027" hidden="1"/>
    <col min="2755" max="2755" width="16.7109375" style="1027" hidden="1"/>
    <col min="2756" max="2756" width="7.85546875" style="1027" hidden="1"/>
    <col min="2757" max="2757" width="16.7109375" style="1027" hidden="1"/>
    <col min="2758" max="2758" width="7.85546875" style="1027" hidden="1"/>
    <col min="2759" max="2759" width="43.85546875" style="1027" hidden="1"/>
    <col min="2760" max="2760" width="16.7109375" style="1027" hidden="1"/>
    <col min="2761" max="2761" width="7.85546875" style="1027" hidden="1"/>
    <col min="2762" max="2762" width="16.7109375" style="1027" hidden="1"/>
    <col min="2763" max="2763" width="7.5703125" style="1027" hidden="1"/>
    <col min="2764" max="2764" width="43.85546875" style="1027" hidden="1"/>
    <col min="2765" max="2765" width="16.7109375" style="1027" hidden="1"/>
    <col min="2766" max="2766" width="7.85546875" style="1027" hidden="1"/>
    <col min="2767" max="2767" width="16.7109375" style="1027" hidden="1"/>
    <col min="2768" max="2768" width="7.85546875" style="1027" hidden="1"/>
    <col min="2769" max="2769" width="43.85546875" style="1027" hidden="1"/>
    <col min="2770" max="2770" width="16.7109375" style="1027" hidden="1"/>
    <col min="2771" max="2771" width="7.85546875" style="1027" hidden="1"/>
    <col min="2772" max="2772" width="16.7109375" style="1027" hidden="1"/>
    <col min="2773" max="2773" width="7.85546875" style="1027" hidden="1"/>
    <col min="2774" max="2774" width="43.85546875" style="1027" hidden="1"/>
    <col min="2775" max="2775" width="16.7109375" style="1027" hidden="1"/>
    <col min="2776" max="2776" width="7.85546875" style="1027" hidden="1"/>
    <col min="2777" max="2777" width="16.7109375" style="1027" hidden="1"/>
    <col min="2778" max="2778" width="7.85546875" style="1027" hidden="1"/>
    <col min="2779" max="2779" width="43.85546875" style="1027" hidden="1"/>
    <col min="2780" max="2780" width="16.7109375" style="1027" hidden="1"/>
    <col min="2781" max="2781" width="7.85546875" style="1027" hidden="1"/>
    <col min="2782" max="2782" width="16.7109375" style="1027" hidden="1"/>
    <col min="2783" max="2783" width="7.85546875" style="1027" hidden="1"/>
    <col min="2784" max="2784" width="43.85546875" style="1027" hidden="1"/>
    <col min="2785" max="2785" width="16.7109375" style="1027" hidden="1"/>
    <col min="2786" max="2786" width="7.85546875" style="1027" hidden="1"/>
    <col min="2787" max="2787" width="16.5703125" style="1027" hidden="1"/>
    <col min="2788" max="2788" width="7.85546875" style="1027" hidden="1"/>
    <col min="2789" max="2789" width="43.85546875" style="1027" hidden="1"/>
    <col min="2790" max="2790" width="16.7109375" style="1027" hidden="1"/>
    <col min="2791" max="2791" width="7.5703125" style="1027" hidden="1"/>
    <col min="2792" max="2792" width="16.7109375" style="1027" hidden="1"/>
    <col min="2793" max="2793" width="7.85546875" style="1027" hidden="1"/>
    <col min="2794" max="2794" width="43.85546875" style="1027" hidden="1"/>
    <col min="2795" max="2795" width="16.7109375" style="1027" hidden="1"/>
    <col min="2796" max="2796" width="7.5703125" style="1027" hidden="1"/>
    <col min="2797" max="2797" width="16.7109375" style="1027" hidden="1"/>
    <col min="2798" max="2798" width="9.28515625" style="1027" hidden="1"/>
    <col min="2799" max="2799" width="43.85546875" style="1027" hidden="1"/>
    <col min="2800" max="2800" width="16.7109375" style="1027" hidden="1"/>
    <col min="2801" max="2801" width="7.7109375" style="1027" hidden="1"/>
    <col min="2802" max="2802" width="16.7109375" style="1027" hidden="1"/>
    <col min="2803" max="2803" width="7.85546875" style="1027" hidden="1"/>
    <col min="2804" max="2804" width="43.85546875" style="1027" hidden="1"/>
    <col min="2805" max="2805" width="16.7109375" style="1027" hidden="1"/>
    <col min="2806" max="2806" width="7.5703125" style="1027" hidden="1"/>
    <col min="2807" max="2807" width="16.7109375" style="1027" hidden="1"/>
    <col min="2808" max="2808" width="7.85546875" style="1027" hidden="1"/>
    <col min="2809" max="2809" width="43.85546875" style="1027" hidden="1"/>
    <col min="2810" max="2810" width="16.5703125" style="1027" hidden="1"/>
    <col min="2811" max="2811" width="7.5703125" style="1027" hidden="1"/>
    <col min="2812" max="2812" width="16.5703125" style="1027" hidden="1"/>
    <col min="2813" max="2813" width="7.5703125" style="1027" hidden="1"/>
    <col min="2814" max="3004" width="11.42578125" style="1027" hidden="1"/>
    <col min="3005" max="3005" width="43.7109375" style="1027" hidden="1"/>
    <col min="3006" max="3006" width="16.7109375" style="1027" hidden="1"/>
    <col min="3007" max="3007" width="7.7109375" style="1027" hidden="1"/>
    <col min="3008" max="3008" width="16.7109375" style="1027" hidden="1"/>
    <col min="3009" max="3009" width="7.85546875" style="1027" hidden="1"/>
    <col min="3010" max="3010" width="43.85546875" style="1027" hidden="1"/>
    <col min="3011" max="3011" width="16.7109375" style="1027" hidden="1"/>
    <col min="3012" max="3012" width="7.85546875" style="1027" hidden="1"/>
    <col min="3013" max="3013" width="16.7109375" style="1027" hidden="1"/>
    <col min="3014" max="3014" width="7.85546875" style="1027" hidden="1"/>
    <col min="3015" max="3015" width="43.85546875" style="1027" hidden="1"/>
    <col min="3016" max="3016" width="16.7109375" style="1027" hidden="1"/>
    <col min="3017" max="3017" width="7.85546875" style="1027" hidden="1"/>
    <col min="3018" max="3018" width="16.7109375" style="1027" hidden="1"/>
    <col min="3019" max="3019" width="7.5703125" style="1027" hidden="1"/>
    <col min="3020" max="3020" width="43.85546875" style="1027" hidden="1"/>
    <col min="3021" max="3021" width="16.7109375" style="1027" hidden="1"/>
    <col min="3022" max="3022" width="7.85546875" style="1027" hidden="1"/>
    <col min="3023" max="3023" width="16.7109375" style="1027" hidden="1"/>
    <col min="3024" max="3024" width="7.85546875" style="1027" hidden="1"/>
    <col min="3025" max="3025" width="43.85546875" style="1027" hidden="1"/>
    <col min="3026" max="3026" width="16.7109375" style="1027" hidden="1"/>
    <col min="3027" max="3027" width="7.85546875" style="1027" hidden="1"/>
    <col min="3028" max="3028" width="16.7109375" style="1027" hidden="1"/>
    <col min="3029" max="3029" width="7.85546875" style="1027" hidden="1"/>
    <col min="3030" max="3030" width="43.85546875" style="1027" hidden="1"/>
    <col min="3031" max="3031" width="16.7109375" style="1027" hidden="1"/>
    <col min="3032" max="3032" width="7.85546875" style="1027" hidden="1"/>
    <col min="3033" max="3033" width="16.7109375" style="1027" hidden="1"/>
    <col min="3034" max="3034" width="7.85546875" style="1027" hidden="1"/>
    <col min="3035" max="3035" width="43.85546875" style="1027" hidden="1"/>
    <col min="3036" max="3036" width="16.7109375" style="1027" hidden="1"/>
    <col min="3037" max="3037" width="7.85546875" style="1027" hidden="1"/>
    <col min="3038" max="3038" width="16.7109375" style="1027" hidden="1"/>
    <col min="3039" max="3039" width="7.85546875" style="1027" hidden="1"/>
    <col min="3040" max="3040" width="43.85546875" style="1027" hidden="1"/>
    <col min="3041" max="3041" width="16.7109375" style="1027" hidden="1"/>
    <col min="3042" max="3042" width="7.85546875" style="1027" hidden="1"/>
    <col min="3043" max="3043" width="16.5703125" style="1027" hidden="1"/>
    <col min="3044" max="3044" width="7.85546875" style="1027" hidden="1"/>
    <col min="3045" max="3045" width="43.85546875" style="1027" hidden="1"/>
    <col min="3046" max="3046" width="16.7109375" style="1027" hidden="1"/>
    <col min="3047" max="3047" width="7.5703125" style="1027" hidden="1"/>
    <col min="3048" max="3048" width="16.7109375" style="1027" hidden="1"/>
    <col min="3049" max="3049" width="7.85546875" style="1027" hidden="1"/>
    <col min="3050" max="3050" width="43.85546875" style="1027" hidden="1"/>
    <col min="3051" max="3051" width="16.7109375" style="1027" hidden="1"/>
    <col min="3052" max="3052" width="7.5703125" style="1027" hidden="1"/>
    <col min="3053" max="3053" width="16.7109375" style="1027" hidden="1"/>
    <col min="3054" max="3054" width="9.28515625" style="1027" hidden="1"/>
    <col min="3055" max="3055" width="43.85546875" style="1027" hidden="1"/>
    <col min="3056" max="3056" width="16.7109375" style="1027" hidden="1"/>
    <col min="3057" max="3057" width="7.7109375" style="1027" hidden="1"/>
    <col min="3058" max="3058" width="16.7109375" style="1027" hidden="1"/>
    <col min="3059" max="3059" width="7.85546875" style="1027" hidden="1"/>
    <col min="3060" max="3060" width="43.85546875" style="1027" hidden="1"/>
    <col min="3061" max="3061" width="16.7109375" style="1027" hidden="1"/>
    <col min="3062" max="3062" width="7.5703125" style="1027" hidden="1"/>
    <col min="3063" max="3063" width="16.7109375" style="1027" hidden="1"/>
    <col min="3064" max="3064" width="7.85546875" style="1027" hidden="1"/>
    <col min="3065" max="3065" width="43.85546875" style="1027" hidden="1"/>
    <col min="3066" max="3066" width="16.5703125" style="1027" hidden="1"/>
    <col min="3067" max="3067" width="7.5703125" style="1027" hidden="1"/>
    <col min="3068" max="3068" width="16.5703125" style="1027" hidden="1"/>
    <col min="3069" max="3069" width="7.5703125" style="1027" hidden="1"/>
    <col min="3070" max="3260" width="11.42578125" style="1027" hidden="1"/>
    <col min="3261" max="3261" width="43.7109375" style="1027" hidden="1"/>
    <col min="3262" max="3262" width="16.7109375" style="1027" hidden="1"/>
    <col min="3263" max="3263" width="7.7109375" style="1027" hidden="1"/>
    <col min="3264" max="3264" width="16.7109375" style="1027" hidden="1"/>
    <col min="3265" max="3265" width="7.85546875" style="1027" hidden="1"/>
    <col min="3266" max="3266" width="43.85546875" style="1027" hidden="1"/>
    <col min="3267" max="3267" width="16.7109375" style="1027" hidden="1"/>
    <col min="3268" max="3268" width="7.85546875" style="1027" hidden="1"/>
    <col min="3269" max="3269" width="16.7109375" style="1027" hidden="1"/>
    <col min="3270" max="3270" width="7.85546875" style="1027" hidden="1"/>
    <col min="3271" max="3271" width="43.85546875" style="1027" hidden="1"/>
    <col min="3272" max="3272" width="16.7109375" style="1027" hidden="1"/>
    <col min="3273" max="3273" width="7.85546875" style="1027" hidden="1"/>
    <col min="3274" max="3274" width="16.7109375" style="1027" hidden="1"/>
    <col min="3275" max="3275" width="7.5703125" style="1027" hidden="1"/>
    <col min="3276" max="3276" width="43.85546875" style="1027" hidden="1"/>
    <col min="3277" max="3277" width="16.7109375" style="1027" hidden="1"/>
    <col min="3278" max="3278" width="7.85546875" style="1027" hidden="1"/>
    <col min="3279" max="3279" width="16.7109375" style="1027" hidden="1"/>
    <col min="3280" max="3280" width="7.85546875" style="1027" hidden="1"/>
    <col min="3281" max="3281" width="43.85546875" style="1027" hidden="1"/>
    <col min="3282" max="3282" width="16.7109375" style="1027" hidden="1"/>
    <col min="3283" max="3283" width="7.85546875" style="1027" hidden="1"/>
    <col min="3284" max="3284" width="16.7109375" style="1027" hidden="1"/>
    <col min="3285" max="3285" width="7.85546875" style="1027" hidden="1"/>
    <col min="3286" max="3286" width="43.85546875" style="1027" hidden="1"/>
    <col min="3287" max="3287" width="16.7109375" style="1027" hidden="1"/>
    <col min="3288" max="3288" width="7.85546875" style="1027" hidden="1"/>
    <col min="3289" max="3289" width="16.7109375" style="1027" hidden="1"/>
    <col min="3290" max="3290" width="7.85546875" style="1027" hidden="1"/>
    <col min="3291" max="3291" width="43.85546875" style="1027" hidden="1"/>
    <col min="3292" max="3292" width="16.7109375" style="1027" hidden="1"/>
    <col min="3293" max="3293" width="7.85546875" style="1027" hidden="1"/>
    <col min="3294" max="3294" width="16.7109375" style="1027" hidden="1"/>
    <col min="3295" max="3295" width="7.85546875" style="1027" hidden="1"/>
    <col min="3296" max="3296" width="43.85546875" style="1027" hidden="1"/>
    <col min="3297" max="3297" width="16.7109375" style="1027" hidden="1"/>
    <col min="3298" max="3298" width="7.85546875" style="1027" hidden="1"/>
    <col min="3299" max="3299" width="16.5703125" style="1027" hidden="1"/>
    <col min="3300" max="3300" width="7.85546875" style="1027" hidden="1"/>
    <col min="3301" max="3301" width="43.85546875" style="1027" hidden="1"/>
    <col min="3302" max="3302" width="16.7109375" style="1027" hidden="1"/>
    <col min="3303" max="3303" width="7.5703125" style="1027" hidden="1"/>
    <col min="3304" max="3304" width="16.7109375" style="1027" hidden="1"/>
    <col min="3305" max="3305" width="7.85546875" style="1027" hidden="1"/>
    <col min="3306" max="3306" width="43.85546875" style="1027" hidden="1"/>
    <col min="3307" max="3307" width="16.7109375" style="1027" hidden="1"/>
    <col min="3308" max="3308" width="7.5703125" style="1027" hidden="1"/>
    <col min="3309" max="3309" width="16.7109375" style="1027" hidden="1"/>
    <col min="3310" max="3310" width="9.28515625" style="1027" hidden="1"/>
    <col min="3311" max="3311" width="43.85546875" style="1027" hidden="1"/>
    <col min="3312" max="3312" width="16.7109375" style="1027" hidden="1"/>
    <col min="3313" max="3313" width="7.7109375" style="1027" hidden="1"/>
    <col min="3314" max="3314" width="16.7109375" style="1027" hidden="1"/>
    <col min="3315" max="3315" width="7.85546875" style="1027" hidden="1"/>
    <col min="3316" max="3316" width="43.85546875" style="1027" hidden="1"/>
    <col min="3317" max="3317" width="16.7109375" style="1027" hidden="1"/>
    <col min="3318" max="3318" width="7.5703125" style="1027" hidden="1"/>
    <col min="3319" max="3319" width="16.7109375" style="1027" hidden="1"/>
    <col min="3320" max="3320" width="7.85546875" style="1027" hidden="1"/>
    <col min="3321" max="3321" width="43.85546875" style="1027" hidden="1"/>
    <col min="3322" max="3322" width="16.5703125" style="1027" hidden="1"/>
    <col min="3323" max="3323" width="7.5703125" style="1027" hidden="1"/>
    <col min="3324" max="3324" width="16.5703125" style="1027" hidden="1"/>
    <col min="3325" max="3325" width="7.5703125" style="1027" hidden="1"/>
    <col min="3326" max="3516" width="11.42578125" style="1027" hidden="1"/>
    <col min="3517" max="3517" width="43.7109375" style="1027" hidden="1"/>
    <col min="3518" max="3518" width="16.7109375" style="1027" hidden="1"/>
    <col min="3519" max="3519" width="7.7109375" style="1027" hidden="1"/>
    <col min="3520" max="3520" width="16.7109375" style="1027" hidden="1"/>
    <col min="3521" max="3521" width="7.85546875" style="1027" hidden="1"/>
    <col min="3522" max="3522" width="43.85546875" style="1027" hidden="1"/>
    <col min="3523" max="3523" width="16.7109375" style="1027" hidden="1"/>
    <col min="3524" max="3524" width="7.85546875" style="1027" hidden="1"/>
    <col min="3525" max="3525" width="16.7109375" style="1027" hidden="1"/>
    <col min="3526" max="3526" width="7.85546875" style="1027" hidden="1"/>
    <col min="3527" max="3527" width="43.85546875" style="1027" hidden="1"/>
    <col min="3528" max="3528" width="16.7109375" style="1027" hidden="1"/>
    <col min="3529" max="3529" width="7.85546875" style="1027" hidden="1"/>
    <col min="3530" max="3530" width="16.7109375" style="1027" hidden="1"/>
    <col min="3531" max="3531" width="7.5703125" style="1027" hidden="1"/>
    <col min="3532" max="3532" width="43.85546875" style="1027" hidden="1"/>
    <col min="3533" max="3533" width="16.7109375" style="1027" hidden="1"/>
    <col min="3534" max="3534" width="7.85546875" style="1027" hidden="1"/>
    <col min="3535" max="3535" width="16.7109375" style="1027" hidden="1"/>
    <col min="3536" max="3536" width="7.85546875" style="1027" hidden="1"/>
    <col min="3537" max="3537" width="43.85546875" style="1027" hidden="1"/>
    <col min="3538" max="3538" width="16.7109375" style="1027" hidden="1"/>
    <col min="3539" max="3539" width="7.85546875" style="1027" hidden="1"/>
    <col min="3540" max="3540" width="16.7109375" style="1027" hidden="1"/>
    <col min="3541" max="3541" width="7.85546875" style="1027" hidden="1"/>
    <col min="3542" max="3542" width="43.85546875" style="1027" hidden="1"/>
    <col min="3543" max="3543" width="16.7109375" style="1027" hidden="1"/>
    <col min="3544" max="3544" width="7.85546875" style="1027" hidden="1"/>
    <col min="3545" max="3545" width="16.7109375" style="1027" hidden="1"/>
    <col min="3546" max="3546" width="7.85546875" style="1027" hidden="1"/>
    <col min="3547" max="3547" width="43.85546875" style="1027" hidden="1"/>
    <col min="3548" max="3548" width="16.7109375" style="1027" hidden="1"/>
    <col min="3549" max="3549" width="7.85546875" style="1027" hidden="1"/>
    <col min="3550" max="3550" width="16.7109375" style="1027" hidden="1"/>
    <col min="3551" max="3551" width="7.85546875" style="1027" hidden="1"/>
    <col min="3552" max="3552" width="43.85546875" style="1027" hidden="1"/>
    <col min="3553" max="3553" width="16.7109375" style="1027" hidden="1"/>
    <col min="3554" max="3554" width="7.85546875" style="1027" hidden="1"/>
    <col min="3555" max="3555" width="16.5703125" style="1027" hidden="1"/>
    <col min="3556" max="3556" width="7.85546875" style="1027" hidden="1"/>
    <col min="3557" max="3557" width="43.85546875" style="1027" hidden="1"/>
    <col min="3558" max="3558" width="16.7109375" style="1027" hidden="1"/>
    <col min="3559" max="3559" width="7.5703125" style="1027" hidden="1"/>
    <col min="3560" max="3560" width="16.7109375" style="1027" hidden="1"/>
    <col min="3561" max="3561" width="7.85546875" style="1027" hidden="1"/>
    <col min="3562" max="3562" width="43.85546875" style="1027" hidden="1"/>
    <col min="3563" max="3563" width="16.7109375" style="1027" hidden="1"/>
    <col min="3564" max="3564" width="7.5703125" style="1027" hidden="1"/>
    <col min="3565" max="3565" width="16.7109375" style="1027" hidden="1"/>
    <col min="3566" max="3566" width="9.28515625" style="1027" hidden="1"/>
    <col min="3567" max="3567" width="43.85546875" style="1027" hidden="1"/>
    <col min="3568" max="3568" width="16.7109375" style="1027" hidden="1"/>
    <col min="3569" max="3569" width="7.7109375" style="1027" hidden="1"/>
    <col min="3570" max="3570" width="16.7109375" style="1027" hidden="1"/>
    <col min="3571" max="3571" width="7.85546875" style="1027" hidden="1"/>
    <col min="3572" max="3572" width="43.85546875" style="1027" hidden="1"/>
    <col min="3573" max="3573" width="16.7109375" style="1027" hidden="1"/>
    <col min="3574" max="3574" width="7.5703125" style="1027" hidden="1"/>
    <col min="3575" max="3575" width="16.7109375" style="1027" hidden="1"/>
    <col min="3576" max="3576" width="7.85546875" style="1027" hidden="1"/>
    <col min="3577" max="3577" width="43.85546875" style="1027" hidden="1"/>
    <col min="3578" max="3578" width="16.5703125" style="1027" hidden="1"/>
    <col min="3579" max="3579" width="7.5703125" style="1027" hidden="1"/>
    <col min="3580" max="3580" width="16.5703125" style="1027" hidden="1"/>
    <col min="3581" max="3581" width="7.5703125" style="1027" hidden="1"/>
    <col min="3582" max="3772" width="11.42578125" style="1027" hidden="1"/>
    <col min="3773" max="3773" width="43.7109375" style="1027" hidden="1"/>
    <col min="3774" max="3774" width="16.7109375" style="1027" hidden="1"/>
    <col min="3775" max="3775" width="7.7109375" style="1027" hidden="1"/>
    <col min="3776" max="3776" width="16.7109375" style="1027" hidden="1"/>
    <col min="3777" max="3777" width="7.85546875" style="1027" hidden="1"/>
    <col min="3778" max="3778" width="43.85546875" style="1027" hidden="1"/>
    <col min="3779" max="3779" width="16.7109375" style="1027" hidden="1"/>
    <col min="3780" max="3780" width="7.85546875" style="1027" hidden="1"/>
    <col min="3781" max="3781" width="16.7109375" style="1027" hidden="1"/>
    <col min="3782" max="3782" width="7.85546875" style="1027" hidden="1"/>
    <col min="3783" max="3783" width="43.85546875" style="1027" hidden="1"/>
    <col min="3784" max="3784" width="16.7109375" style="1027" hidden="1"/>
    <col min="3785" max="3785" width="7.85546875" style="1027" hidden="1"/>
    <col min="3786" max="3786" width="16.7109375" style="1027" hidden="1"/>
    <col min="3787" max="3787" width="7.5703125" style="1027" hidden="1"/>
    <col min="3788" max="3788" width="43.85546875" style="1027" hidden="1"/>
    <col min="3789" max="3789" width="16.7109375" style="1027" hidden="1"/>
    <col min="3790" max="3790" width="7.85546875" style="1027" hidden="1"/>
    <col min="3791" max="3791" width="16.7109375" style="1027" hidden="1"/>
    <col min="3792" max="3792" width="7.85546875" style="1027" hidden="1"/>
    <col min="3793" max="3793" width="43.85546875" style="1027" hidden="1"/>
    <col min="3794" max="3794" width="16.7109375" style="1027" hidden="1"/>
    <col min="3795" max="3795" width="7.85546875" style="1027" hidden="1"/>
    <col min="3796" max="3796" width="16.7109375" style="1027" hidden="1"/>
    <col min="3797" max="3797" width="7.85546875" style="1027" hidden="1"/>
    <col min="3798" max="3798" width="43.85546875" style="1027" hidden="1"/>
    <col min="3799" max="3799" width="16.7109375" style="1027" hidden="1"/>
    <col min="3800" max="3800" width="7.85546875" style="1027" hidden="1"/>
    <col min="3801" max="3801" width="16.7109375" style="1027" hidden="1"/>
    <col min="3802" max="3802" width="7.85546875" style="1027" hidden="1"/>
    <col min="3803" max="3803" width="43.85546875" style="1027" hidden="1"/>
    <col min="3804" max="3804" width="16.7109375" style="1027" hidden="1"/>
    <col min="3805" max="3805" width="7.85546875" style="1027" hidden="1"/>
    <col min="3806" max="3806" width="16.7109375" style="1027" hidden="1"/>
    <col min="3807" max="3807" width="7.85546875" style="1027" hidden="1"/>
    <col min="3808" max="3808" width="43.85546875" style="1027" hidden="1"/>
    <col min="3809" max="3809" width="16.7109375" style="1027" hidden="1"/>
    <col min="3810" max="3810" width="7.85546875" style="1027" hidden="1"/>
    <col min="3811" max="3811" width="16.5703125" style="1027" hidden="1"/>
    <col min="3812" max="3812" width="7.85546875" style="1027" hidden="1"/>
    <col min="3813" max="3813" width="43.85546875" style="1027" hidden="1"/>
    <col min="3814" max="3814" width="16.7109375" style="1027" hidden="1"/>
    <col min="3815" max="3815" width="7.5703125" style="1027" hidden="1"/>
    <col min="3816" max="3816" width="16.7109375" style="1027" hidden="1"/>
    <col min="3817" max="3817" width="7.85546875" style="1027" hidden="1"/>
    <col min="3818" max="3818" width="43.85546875" style="1027" hidden="1"/>
    <col min="3819" max="3819" width="16.7109375" style="1027" hidden="1"/>
    <col min="3820" max="3820" width="7.5703125" style="1027" hidden="1"/>
    <col min="3821" max="3821" width="16.7109375" style="1027" hidden="1"/>
    <col min="3822" max="3822" width="9.28515625" style="1027" hidden="1"/>
    <col min="3823" max="3823" width="43.85546875" style="1027" hidden="1"/>
    <col min="3824" max="3824" width="16.7109375" style="1027" hidden="1"/>
    <col min="3825" max="3825" width="7.7109375" style="1027" hidden="1"/>
    <col min="3826" max="3826" width="16.7109375" style="1027" hidden="1"/>
    <col min="3827" max="3827" width="7.85546875" style="1027" hidden="1"/>
    <col min="3828" max="3828" width="43.85546875" style="1027" hidden="1"/>
    <col min="3829" max="3829" width="16.7109375" style="1027" hidden="1"/>
    <col min="3830" max="3830" width="7.5703125" style="1027" hidden="1"/>
    <col min="3831" max="3831" width="16.7109375" style="1027" hidden="1"/>
    <col min="3832" max="3832" width="7.85546875" style="1027" hidden="1"/>
    <col min="3833" max="3833" width="43.85546875" style="1027" hidden="1"/>
    <col min="3834" max="3834" width="16.5703125" style="1027" hidden="1"/>
    <col min="3835" max="3835" width="7.5703125" style="1027" hidden="1"/>
    <col min="3836" max="3836" width="16.5703125" style="1027" hidden="1"/>
    <col min="3837" max="3837" width="7.5703125" style="1027" hidden="1"/>
    <col min="3838" max="4028" width="11.42578125" style="1027" hidden="1"/>
    <col min="4029" max="4029" width="43.7109375" style="1027" hidden="1"/>
    <col min="4030" max="4030" width="16.7109375" style="1027" hidden="1"/>
    <col min="4031" max="4031" width="7.7109375" style="1027" hidden="1"/>
    <col min="4032" max="4032" width="16.7109375" style="1027" hidden="1"/>
    <col min="4033" max="4033" width="7.85546875" style="1027" hidden="1"/>
    <col min="4034" max="4034" width="43.85546875" style="1027" hidden="1"/>
    <col min="4035" max="4035" width="16.7109375" style="1027" hidden="1"/>
    <col min="4036" max="4036" width="7.85546875" style="1027" hidden="1"/>
    <col min="4037" max="4037" width="16.7109375" style="1027" hidden="1"/>
    <col min="4038" max="4038" width="7.85546875" style="1027" hidden="1"/>
    <col min="4039" max="4039" width="43.85546875" style="1027" hidden="1"/>
    <col min="4040" max="4040" width="16.7109375" style="1027" hidden="1"/>
    <col min="4041" max="4041" width="7.85546875" style="1027" hidden="1"/>
    <col min="4042" max="4042" width="16.7109375" style="1027" hidden="1"/>
    <col min="4043" max="4043" width="7.5703125" style="1027" hidden="1"/>
    <col min="4044" max="4044" width="43.85546875" style="1027" hidden="1"/>
    <col min="4045" max="4045" width="16.7109375" style="1027" hidden="1"/>
    <col min="4046" max="4046" width="7.85546875" style="1027" hidden="1"/>
    <col min="4047" max="4047" width="16.7109375" style="1027" hidden="1"/>
    <col min="4048" max="4048" width="7.85546875" style="1027" hidden="1"/>
    <col min="4049" max="4049" width="43.85546875" style="1027" hidden="1"/>
    <col min="4050" max="4050" width="16.7109375" style="1027" hidden="1"/>
    <col min="4051" max="4051" width="7.85546875" style="1027" hidden="1"/>
    <col min="4052" max="4052" width="16.7109375" style="1027" hidden="1"/>
    <col min="4053" max="4053" width="7.85546875" style="1027" hidden="1"/>
    <col min="4054" max="4054" width="43.85546875" style="1027" hidden="1"/>
    <col min="4055" max="4055" width="16.7109375" style="1027" hidden="1"/>
    <col min="4056" max="4056" width="7.85546875" style="1027" hidden="1"/>
    <col min="4057" max="4057" width="16.7109375" style="1027" hidden="1"/>
    <col min="4058" max="4058" width="7.85546875" style="1027" hidden="1"/>
    <col min="4059" max="4059" width="43.85546875" style="1027" hidden="1"/>
    <col min="4060" max="4060" width="16.7109375" style="1027" hidden="1"/>
    <col min="4061" max="4061" width="7.85546875" style="1027" hidden="1"/>
    <col min="4062" max="4062" width="16.7109375" style="1027" hidden="1"/>
    <col min="4063" max="4063" width="7.85546875" style="1027" hidden="1"/>
    <col min="4064" max="4064" width="43.85546875" style="1027" hidden="1"/>
    <col min="4065" max="4065" width="16.7109375" style="1027" hidden="1"/>
    <col min="4066" max="4066" width="7.85546875" style="1027" hidden="1"/>
    <col min="4067" max="4067" width="16.5703125" style="1027" hidden="1"/>
    <col min="4068" max="4068" width="7.85546875" style="1027" hidden="1"/>
    <col min="4069" max="4069" width="43.85546875" style="1027" hidden="1"/>
    <col min="4070" max="4070" width="16.7109375" style="1027" hidden="1"/>
    <col min="4071" max="4071" width="7.5703125" style="1027" hidden="1"/>
    <col min="4072" max="4072" width="16.7109375" style="1027" hidden="1"/>
    <col min="4073" max="4073" width="7.85546875" style="1027" hidden="1"/>
    <col min="4074" max="4074" width="43.85546875" style="1027" hidden="1"/>
    <col min="4075" max="4075" width="16.7109375" style="1027" hidden="1"/>
    <col min="4076" max="4076" width="7.5703125" style="1027" hidden="1"/>
    <col min="4077" max="4077" width="16.7109375" style="1027" hidden="1"/>
    <col min="4078" max="4078" width="9.28515625" style="1027" hidden="1"/>
    <col min="4079" max="4079" width="43.85546875" style="1027" hidden="1"/>
    <col min="4080" max="4080" width="16.7109375" style="1027" hidden="1"/>
    <col min="4081" max="4081" width="7.7109375" style="1027" hidden="1"/>
    <col min="4082" max="4082" width="16.7109375" style="1027" hidden="1"/>
    <col min="4083" max="4083" width="7.85546875" style="1027" hidden="1"/>
    <col min="4084" max="4084" width="43.85546875" style="1027" hidden="1"/>
    <col min="4085" max="4085" width="16.7109375" style="1027" hidden="1"/>
    <col min="4086" max="4086" width="7.5703125" style="1027" hidden="1"/>
    <col min="4087" max="4087" width="16.7109375" style="1027" hidden="1"/>
    <col min="4088" max="4088" width="7.85546875" style="1027" hidden="1"/>
    <col min="4089" max="4089" width="43.85546875" style="1027" hidden="1"/>
    <col min="4090" max="4090" width="16.5703125" style="1027" hidden="1"/>
    <col min="4091" max="4091" width="7.5703125" style="1027" hidden="1"/>
    <col min="4092" max="4092" width="16.5703125" style="1027" hidden="1"/>
    <col min="4093" max="4093" width="7.5703125" style="1027" hidden="1"/>
    <col min="4094" max="4284" width="11.42578125" style="1027" hidden="1"/>
    <col min="4285" max="4285" width="43.7109375" style="1027" hidden="1"/>
    <col min="4286" max="4286" width="16.7109375" style="1027" hidden="1"/>
    <col min="4287" max="4287" width="7.7109375" style="1027" hidden="1"/>
    <col min="4288" max="4288" width="16.7109375" style="1027" hidden="1"/>
    <col min="4289" max="4289" width="7.85546875" style="1027" hidden="1"/>
    <col min="4290" max="4290" width="43.85546875" style="1027" hidden="1"/>
    <col min="4291" max="4291" width="16.7109375" style="1027" hidden="1"/>
    <col min="4292" max="4292" width="7.85546875" style="1027" hidden="1"/>
    <col min="4293" max="4293" width="16.7109375" style="1027" hidden="1"/>
    <col min="4294" max="4294" width="7.85546875" style="1027" hidden="1"/>
    <col min="4295" max="4295" width="43.85546875" style="1027" hidden="1"/>
    <col min="4296" max="4296" width="16.7109375" style="1027" hidden="1"/>
    <col min="4297" max="4297" width="7.85546875" style="1027" hidden="1"/>
    <col min="4298" max="4298" width="16.7109375" style="1027" hidden="1"/>
    <col min="4299" max="4299" width="7.5703125" style="1027" hidden="1"/>
    <col min="4300" max="4300" width="43.85546875" style="1027" hidden="1"/>
    <col min="4301" max="4301" width="16.7109375" style="1027" hidden="1"/>
    <col min="4302" max="4302" width="7.85546875" style="1027" hidden="1"/>
    <col min="4303" max="4303" width="16.7109375" style="1027" hidden="1"/>
    <col min="4304" max="4304" width="7.85546875" style="1027" hidden="1"/>
    <col min="4305" max="4305" width="43.85546875" style="1027" hidden="1"/>
    <col min="4306" max="4306" width="16.7109375" style="1027" hidden="1"/>
    <col min="4307" max="4307" width="7.85546875" style="1027" hidden="1"/>
    <col min="4308" max="4308" width="16.7109375" style="1027" hidden="1"/>
    <col min="4309" max="4309" width="7.85546875" style="1027" hidden="1"/>
    <col min="4310" max="4310" width="43.85546875" style="1027" hidden="1"/>
    <col min="4311" max="4311" width="16.7109375" style="1027" hidden="1"/>
    <col min="4312" max="4312" width="7.85546875" style="1027" hidden="1"/>
    <col min="4313" max="4313" width="16.7109375" style="1027" hidden="1"/>
    <col min="4314" max="4314" width="7.85546875" style="1027" hidden="1"/>
    <col min="4315" max="4315" width="43.85546875" style="1027" hidden="1"/>
    <col min="4316" max="4316" width="16.7109375" style="1027" hidden="1"/>
    <col min="4317" max="4317" width="7.85546875" style="1027" hidden="1"/>
    <col min="4318" max="4318" width="16.7109375" style="1027" hidden="1"/>
    <col min="4319" max="4319" width="7.85546875" style="1027" hidden="1"/>
    <col min="4320" max="4320" width="43.85546875" style="1027" hidden="1"/>
    <col min="4321" max="4321" width="16.7109375" style="1027" hidden="1"/>
    <col min="4322" max="4322" width="7.85546875" style="1027" hidden="1"/>
    <col min="4323" max="4323" width="16.5703125" style="1027" hidden="1"/>
    <col min="4324" max="4324" width="7.85546875" style="1027" hidden="1"/>
    <col min="4325" max="4325" width="43.85546875" style="1027" hidden="1"/>
    <col min="4326" max="4326" width="16.7109375" style="1027" hidden="1"/>
    <col min="4327" max="4327" width="7.5703125" style="1027" hidden="1"/>
    <col min="4328" max="4328" width="16.7109375" style="1027" hidden="1"/>
    <col min="4329" max="4329" width="7.85546875" style="1027" hidden="1"/>
    <col min="4330" max="4330" width="43.85546875" style="1027" hidden="1"/>
    <col min="4331" max="4331" width="16.7109375" style="1027" hidden="1"/>
    <col min="4332" max="4332" width="7.5703125" style="1027" hidden="1"/>
    <col min="4333" max="4333" width="16.7109375" style="1027" hidden="1"/>
    <col min="4334" max="4334" width="9.28515625" style="1027" hidden="1"/>
    <col min="4335" max="4335" width="43.85546875" style="1027" hidden="1"/>
    <col min="4336" max="4336" width="16.7109375" style="1027" hidden="1"/>
    <col min="4337" max="4337" width="7.7109375" style="1027" hidden="1"/>
    <col min="4338" max="4338" width="16.7109375" style="1027" hidden="1"/>
    <col min="4339" max="4339" width="7.85546875" style="1027" hidden="1"/>
    <col min="4340" max="4340" width="43.85546875" style="1027" hidden="1"/>
    <col min="4341" max="4341" width="16.7109375" style="1027" hidden="1"/>
    <col min="4342" max="4342" width="7.5703125" style="1027" hidden="1"/>
    <col min="4343" max="4343" width="16.7109375" style="1027" hidden="1"/>
    <col min="4344" max="4344" width="7.85546875" style="1027" hidden="1"/>
    <col min="4345" max="4345" width="43.85546875" style="1027" hidden="1"/>
    <col min="4346" max="4346" width="16.5703125" style="1027" hidden="1"/>
    <col min="4347" max="4347" width="7.5703125" style="1027" hidden="1"/>
    <col min="4348" max="4348" width="16.5703125" style="1027" hidden="1"/>
    <col min="4349" max="4349" width="7.5703125" style="1027" hidden="1"/>
    <col min="4350" max="4540" width="11.42578125" style="1027" hidden="1"/>
    <col min="4541" max="4541" width="43.7109375" style="1027" hidden="1"/>
    <col min="4542" max="4542" width="16.7109375" style="1027" hidden="1"/>
    <col min="4543" max="4543" width="7.7109375" style="1027" hidden="1"/>
    <col min="4544" max="4544" width="16.7109375" style="1027" hidden="1"/>
    <col min="4545" max="4545" width="7.85546875" style="1027" hidden="1"/>
    <col min="4546" max="4546" width="43.85546875" style="1027" hidden="1"/>
    <col min="4547" max="4547" width="16.7109375" style="1027" hidden="1"/>
    <col min="4548" max="4548" width="7.85546875" style="1027" hidden="1"/>
    <col min="4549" max="4549" width="16.7109375" style="1027" hidden="1"/>
    <col min="4550" max="4550" width="7.85546875" style="1027" hidden="1"/>
    <col min="4551" max="4551" width="43.85546875" style="1027" hidden="1"/>
    <col min="4552" max="4552" width="16.7109375" style="1027" hidden="1"/>
    <col min="4553" max="4553" width="7.85546875" style="1027" hidden="1"/>
    <col min="4554" max="4554" width="16.7109375" style="1027" hidden="1"/>
    <col min="4555" max="4555" width="7.5703125" style="1027" hidden="1"/>
    <col min="4556" max="4556" width="43.85546875" style="1027" hidden="1"/>
    <col min="4557" max="4557" width="16.7109375" style="1027" hidden="1"/>
    <col min="4558" max="4558" width="7.85546875" style="1027" hidden="1"/>
    <col min="4559" max="4559" width="16.7109375" style="1027" hidden="1"/>
    <col min="4560" max="4560" width="7.85546875" style="1027" hidden="1"/>
    <col min="4561" max="4561" width="43.85546875" style="1027" hidden="1"/>
    <col min="4562" max="4562" width="16.7109375" style="1027" hidden="1"/>
    <col min="4563" max="4563" width="7.85546875" style="1027" hidden="1"/>
    <col min="4564" max="4564" width="16.7109375" style="1027" hidden="1"/>
    <col min="4565" max="4565" width="7.85546875" style="1027" hidden="1"/>
    <col min="4566" max="4566" width="43.85546875" style="1027" hidden="1"/>
    <col min="4567" max="4567" width="16.7109375" style="1027" hidden="1"/>
    <col min="4568" max="4568" width="7.85546875" style="1027" hidden="1"/>
    <col min="4569" max="4569" width="16.7109375" style="1027" hidden="1"/>
    <col min="4570" max="4570" width="7.85546875" style="1027" hidden="1"/>
    <col min="4571" max="4571" width="43.85546875" style="1027" hidden="1"/>
    <col min="4572" max="4572" width="16.7109375" style="1027" hidden="1"/>
    <col min="4573" max="4573" width="7.85546875" style="1027" hidden="1"/>
    <col min="4574" max="4574" width="16.7109375" style="1027" hidden="1"/>
    <col min="4575" max="4575" width="7.85546875" style="1027" hidden="1"/>
    <col min="4576" max="4576" width="43.85546875" style="1027" hidden="1"/>
    <col min="4577" max="4577" width="16.7109375" style="1027" hidden="1"/>
    <col min="4578" max="4578" width="7.85546875" style="1027" hidden="1"/>
    <col min="4579" max="4579" width="16.5703125" style="1027" hidden="1"/>
    <col min="4580" max="4580" width="7.85546875" style="1027" hidden="1"/>
    <col min="4581" max="4581" width="43.85546875" style="1027" hidden="1"/>
    <col min="4582" max="4582" width="16.7109375" style="1027" hidden="1"/>
    <col min="4583" max="4583" width="7.5703125" style="1027" hidden="1"/>
    <col min="4584" max="4584" width="16.7109375" style="1027" hidden="1"/>
    <col min="4585" max="4585" width="7.85546875" style="1027" hidden="1"/>
    <col min="4586" max="4586" width="43.85546875" style="1027" hidden="1"/>
    <col min="4587" max="4587" width="16.7109375" style="1027" hidden="1"/>
    <col min="4588" max="4588" width="7.5703125" style="1027" hidden="1"/>
    <col min="4589" max="4589" width="16.7109375" style="1027" hidden="1"/>
    <col min="4590" max="4590" width="9.28515625" style="1027" hidden="1"/>
    <col min="4591" max="4591" width="43.85546875" style="1027" hidden="1"/>
    <col min="4592" max="4592" width="16.7109375" style="1027" hidden="1"/>
    <col min="4593" max="4593" width="7.7109375" style="1027" hidden="1"/>
    <col min="4594" max="4594" width="16.7109375" style="1027" hidden="1"/>
    <col min="4595" max="4595" width="7.85546875" style="1027" hidden="1"/>
    <col min="4596" max="4596" width="43.85546875" style="1027" hidden="1"/>
    <col min="4597" max="4597" width="16.7109375" style="1027" hidden="1"/>
    <col min="4598" max="4598" width="7.5703125" style="1027" hidden="1"/>
    <col min="4599" max="4599" width="16.7109375" style="1027" hidden="1"/>
    <col min="4600" max="4600" width="7.85546875" style="1027" hidden="1"/>
    <col min="4601" max="4601" width="43.85546875" style="1027" hidden="1"/>
    <col min="4602" max="4602" width="16.5703125" style="1027" hidden="1"/>
    <col min="4603" max="4603" width="7.5703125" style="1027" hidden="1"/>
    <col min="4604" max="4604" width="16.5703125" style="1027" hidden="1"/>
    <col min="4605" max="4605" width="7.5703125" style="1027" hidden="1"/>
    <col min="4606" max="4796" width="11.42578125" style="1027" hidden="1"/>
    <col min="4797" max="4797" width="43.7109375" style="1027" hidden="1"/>
    <col min="4798" max="4798" width="16.7109375" style="1027" hidden="1"/>
    <col min="4799" max="4799" width="7.7109375" style="1027" hidden="1"/>
    <col min="4800" max="4800" width="16.7109375" style="1027" hidden="1"/>
    <col min="4801" max="4801" width="7.85546875" style="1027" hidden="1"/>
    <col min="4802" max="4802" width="43.85546875" style="1027" hidden="1"/>
    <col min="4803" max="4803" width="16.7109375" style="1027" hidden="1"/>
    <col min="4804" max="4804" width="7.85546875" style="1027" hidden="1"/>
    <col min="4805" max="4805" width="16.7109375" style="1027" hidden="1"/>
    <col min="4806" max="4806" width="7.85546875" style="1027" hidden="1"/>
    <col min="4807" max="4807" width="43.85546875" style="1027" hidden="1"/>
    <col min="4808" max="4808" width="16.7109375" style="1027" hidden="1"/>
    <col min="4809" max="4809" width="7.85546875" style="1027" hidden="1"/>
    <col min="4810" max="4810" width="16.7109375" style="1027" hidden="1"/>
    <col min="4811" max="4811" width="7.5703125" style="1027" hidden="1"/>
    <col min="4812" max="4812" width="43.85546875" style="1027" hidden="1"/>
    <col min="4813" max="4813" width="16.7109375" style="1027" hidden="1"/>
    <col min="4814" max="4814" width="7.85546875" style="1027" hidden="1"/>
    <col min="4815" max="4815" width="16.7109375" style="1027" hidden="1"/>
    <col min="4816" max="4816" width="7.85546875" style="1027" hidden="1"/>
    <col min="4817" max="4817" width="43.85546875" style="1027" hidden="1"/>
    <col min="4818" max="4818" width="16.7109375" style="1027" hidden="1"/>
    <col min="4819" max="4819" width="7.85546875" style="1027" hidden="1"/>
    <col min="4820" max="4820" width="16.7109375" style="1027" hidden="1"/>
    <col min="4821" max="4821" width="7.85546875" style="1027" hidden="1"/>
    <col min="4822" max="4822" width="43.85546875" style="1027" hidden="1"/>
    <col min="4823" max="4823" width="16.7109375" style="1027" hidden="1"/>
    <col min="4824" max="4824" width="7.85546875" style="1027" hidden="1"/>
    <col min="4825" max="4825" width="16.7109375" style="1027" hidden="1"/>
    <col min="4826" max="4826" width="7.85546875" style="1027" hidden="1"/>
    <col min="4827" max="4827" width="43.85546875" style="1027" hidden="1"/>
    <col min="4828" max="4828" width="16.7109375" style="1027" hidden="1"/>
    <col min="4829" max="4829" width="7.85546875" style="1027" hidden="1"/>
    <col min="4830" max="4830" width="16.7109375" style="1027" hidden="1"/>
    <col min="4831" max="4831" width="7.85546875" style="1027" hidden="1"/>
    <col min="4832" max="4832" width="43.85546875" style="1027" hidden="1"/>
    <col min="4833" max="4833" width="16.7109375" style="1027" hidden="1"/>
    <col min="4834" max="4834" width="7.85546875" style="1027" hidden="1"/>
    <col min="4835" max="4835" width="16.5703125" style="1027" hidden="1"/>
    <col min="4836" max="4836" width="7.85546875" style="1027" hidden="1"/>
    <col min="4837" max="4837" width="43.85546875" style="1027" hidden="1"/>
    <col min="4838" max="4838" width="16.7109375" style="1027" hidden="1"/>
    <col min="4839" max="4839" width="7.5703125" style="1027" hidden="1"/>
    <col min="4840" max="4840" width="16.7109375" style="1027" hidden="1"/>
    <col min="4841" max="4841" width="7.85546875" style="1027" hidden="1"/>
    <col min="4842" max="4842" width="43.85546875" style="1027" hidden="1"/>
    <col min="4843" max="4843" width="16.7109375" style="1027" hidden="1"/>
    <col min="4844" max="4844" width="7.5703125" style="1027" hidden="1"/>
    <col min="4845" max="4845" width="16.7109375" style="1027" hidden="1"/>
    <col min="4846" max="4846" width="9.28515625" style="1027" hidden="1"/>
    <col min="4847" max="4847" width="43.85546875" style="1027" hidden="1"/>
    <col min="4848" max="4848" width="16.7109375" style="1027" hidden="1"/>
    <col min="4849" max="4849" width="7.7109375" style="1027" hidden="1"/>
    <col min="4850" max="4850" width="16.7109375" style="1027" hidden="1"/>
    <col min="4851" max="4851" width="7.85546875" style="1027" hidden="1"/>
    <col min="4852" max="4852" width="43.85546875" style="1027" hidden="1"/>
    <col min="4853" max="4853" width="16.7109375" style="1027" hidden="1"/>
    <col min="4854" max="4854" width="7.5703125" style="1027" hidden="1"/>
    <col min="4855" max="4855" width="16.7109375" style="1027" hidden="1"/>
    <col min="4856" max="4856" width="7.85546875" style="1027" hidden="1"/>
    <col min="4857" max="4857" width="43.85546875" style="1027" hidden="1"/>
    <col min="4858" max="4858" width="16.5703125" style="1027" hidden="1"/>
    <col min="4859" max="4859" width="7.5703125" style="1027" hidden="1"/>
    <col min="4860" max="4860" width="16.5703125" style="1027" hidden="1"/>
    <col min="4861" max="4861" width="7.5703125" style="1027" hidden="1"/>
    <col min="4862" max="5052" width="11.42578125" style="1027" hidden="1"/>
    <col min="5053" max="5053" width="43.7109375" style="1027" hidden="1"/>
    <col min="5054" max="5054" width="16.7109375" style="1027" hidden="1"/>
    <col min="5055" max="5055" width="7.7109375" style="1027" hidden="1"/>
    <col min="5056" max="5056" width="16.7109375" style="1027" hidden="1"/>
    <col min="5057" max="5057" width="7.85546875" style="1027" hidden="1"/>
    <col min="5058" max="5058" width="43.85546875" style="1027" hidden="1"/>
    <col min="5059" max="5059" width="16.7109375" style="1027" hidden="1"/>
    <col min="5060" max="5060" width="7.85546875" style="1027" hidden="1"/>
    <col min="5061" max="5061" width="16.7109375" style="1027" hidden="1"/>
    <col min="5062" max="5062" width="7.85546875" style="1027" hidden="1"/>
    <col min="5063" max="5063" width="43.85546875" style="1027" hidden="1"/>
    <col min="5064" max="5064" width="16.7109375" style="1027" hidden="1"/>
    <col min="5065" max="5065" width="7.85546875" style="1027" hidden="1"/>
    <col min="5066" max="5066" width="16.7109375" style="1027" hidden="1"/>
    <col min="5067" max="5067" width="7.5703125" style="1027" hidden="1"/>
    <col min="5068" max="5068" width="43.85546875" style="1027" hidden="1"/>
    <col min="5069" max="5069" width="16.7109375" style="1027" hidden="1"/>
    <col min="5070" max="5070" width="7.85546875" style="1027" hidden="1"/>
    <col min="5071" max="5071" width="16.7109375" style="1027" hidden="1"/>
    <col min="5072" max="5072" width="7.85546875" style="1027" hidden="1"/>
    <col min="5073" max="5073" width="43.85546875" style="1027" hidden="1"/>
    <col min="5074" max="5074" width="16.7109375" style="1027" hidden="1"/>
    <col min="5075" max="5075" width="7.85546875" style="1027" hidden="1"/>
    <col min="5076" max="5076" width="16.7109375" style="1027" hidden="1"/>
    <col min="5077" max="5077" width="7.85546875" style="1027" hidden="1"/>
    <col min="5078" max="5078" width="43.85546875" style="1027" hidden="1"/>
    <col min="5079" max="5079" width="16.7109375" style="1027" hidden="1"/>
    <col min="5080" max="5080" width="7.85546875" style="1027" hidden="1"/>
    <col min="5081" max="5081" width="16.7109375" style="1027" hidden="1"/>
    <col min="5082" max="5082" width="7.85546875" style="1027" hidden="1"/>
    <col min="5083" max="5083" width="43.85546875" style="1027" hidden="1"/>
    <col min="5084" max="5084" width="16.7109375" style="1027" hidden="1"/>
    <col min="5085" max="5085" width="7.85546875" style="1027" hidden="1"/>
    <col min="5086" max="5086" width="16.7109375" style="1027" hidden="1"/>
    <col min="5087" max="5087" width="7.85546875" style="1027" hidden="1"/>
    <col min="5088" max="5088" width="43.85546875" style="1027" hidden="1"/>
    <col min="5089" max="5089" width="16.7109375" style="1027" hidden="1"/>
    <col min="5090" max="5090" width="7.85546875" style="1027" hidden="1"/>
    <col min="5091" max="5091" width="16.5703125" style="1027" hidden="1"/>
    <col min="5092" max="5092" width="7.85546875" style="1027" hidden="1"/>
    <col min="5093" max="5093" width="43.85546875" style="1027" hidden="1"/>
    <col min="5094" max="5094" width="16.7109375" style="1027" hidden="1"/>
    <col min="5095" max="5095" width="7.5703125" style="1027" hidden="1"/>
    <col min="5096" max="5096" width="16.7109375" style="1027" hidden="1"/>
    <col min="5097" max="5097" width="7.85546875" style="1027" hidden="1"/>
    <col min="5098" max="5098" width="43.85546875" style="1027" hidden="1"/>
    <col min="5099" max="5099" width="16.7109375" style="1027" hidden="1"/>
    <col min="5100" max="5100" width="7.5703125" style="1027" hidden="1"/>
    <col min="5101" max="5101" width="16.7109375" style="1027" hidden="1"/>
    <col min="5102" max="5102" width="9.28515625" style="1027" hidden="1"/>
    <col min="5103" max="5103" width="43.85546875" style="1027" hidden="1"/>
    <col min="5104" max="5104" width="16.7109375" style="1027" hidden="1"/>
    <col min="5105" max="5105" width="7.7109375" style="1027" hidden="1"/>
    <col min="5106" max="5106" width="16.7109375" style="1027" hidden="1"/>
    <col min="5107" max="5107" width="7.85546875" style="1027" hidden="1"/>
    <col min="5108" max="5108" width="43.85546875" style="1027" hidden="1"/>
    <col min="5109" max="5109" width="16.7109375" style="1027" hidden="1"/>
    <col min="5110" max="5110" width="7.5703125" style="1027" hidden="1"/>
    <col min="5111" max="5111" width="16.7109375" style="1027" hidden="1"/>
    <col min="5112" max="5112" width="7.85546875" style="1027" hidden="1"/>
    <col min="5113" max="5113" width="43.85546875" style="1027" hidden="1"/>
    <col min="5114" max="5114" width="16.5703125" style="1027" hidden="1"/>
    <col min="5115" max="5115" width="7.5703125" style="1027" hidden="1"/>
    <col min="5116" max="5116" width="16.5703125" style="1027" hidden="1"/>
    <col min="5117" max="5117" width="7.5703125" style="1027" hidden="1"/>
    <col min="5118" max="5308" width="11.42578125" style="1027" hidden="1"/>
    <col min="5309" max="5309" width="43.7109375" style="1027" hidden="1"/>
    <col min="5310" max="5310" width="16.7109375" style="1027" hidden="1"/>
    <col min="5311" max="5311" width="7.7109375" style="1027" hidden="1"/>
    <col min="5312" max="5312" width="16.7109375" style="1027" hidden="1"/>
    <col min="5313" max="5313" width="7.85546875" style="1027" hidden="1"/>
    <col min="5314" max="5314" width="43.85546875" style="1027" hidden="1"/>
    <col min="5315" max="5315" width="16.7109375" style="1027" hidden="1"/>
    <col min="5316" max="5316" width="7.85546875" style="1027" hidden="1"/>
    <col min="5317" max="5317" width="16.7109375" style="1027" hidden="1"/>
    <col min="5318" max="5318" width="7.85546875" style="1027" hidden="1"/>
    <col min="5319" max="5319" width="43.85546875" style="1027" hidden="1"/>
    <col min="5320" max="5320" width="16.7109375" style="1027" hidden="1"/>
    <col min="5321" max="5321" width="7.85546875" style="1027" hidden="1"/>
    <col min="5322" max="5322" width="16.7109375" style="1027" hidden="1"/>
    <col min="5323" max="5323" width="7.5703125" style="1027" hidden="1"/>
    <col min="5324" max="5324" width="43.85546875" style="1027" hidden="1"/>
    <col min="5325" max="5325" width="16.7109375" style="1027" hidden="1"/>
    <col min="5326" max="5326" width="7.85546875" style="1027" hidden="1"/>
    <col min="5327" max="5327" width="16.7109375" style="1027" hidden="1"/>
    <col min="5328" max="5328" width="7.85546875" style="1027" hidden="1"/>
    <col min="5329" max="5329" width="43.85546875" style="1027" hidden="1"/>
    <col min="5330" max="5330" width="16.7109375" style="1027" hidden="1"/>
    <col min="5331" max="5331" width="7.85546875" style="1027" hidden="1"/>
    <col min="5332" max="5332" width="16.7109375" style="1027" hidden="1"/>
    <col min="5333" max="5333" width="7.85546875" style="1027" hidden="1"/>
    <col min="5334" max="5334" width="43.85546875" style="1027" hidden="1"/>
    <col min="5335" max="5335" width="16.7109375" style="1027" hidden="1"/>
    <col min="5336" max="5336" width="7.85546875" style="1027" hidden="1"/>
    <col min="5337" max="5337" width="16.7109375" style="1027" hidden="1"/>
    <col min="5338" max="5338" width="7.85546875" style="1027" hidden="1"/>
    <col min="5339" max="5339" width="43.85546875" style="1027" hidden="1"/>
    <col min="5340" max="5340" width="16.7109375" style="1027" hidden="1"/>
    <col min="5341" max="5341" width="7.85546875" style="1027" hidden="1"/>
    <col min="5342" max="5342" width="16.7109375" style="1027" hidden="1"/>
    <col min="5343" max="5343" width="7.85546875" style="1027" hidden="1"/>
    <col min="5344" max="5344" width="43.85546875" style="1027" hidden="1"/>
    <col min="5345" max="5345" width="16.7109375" style="1027" hidden="1"/>
    <col min="5346" max="5346" width="7.85546875" style="1027" hidden="1"/>
    <col min="5347" max="5347" width="16.5703125" style="1027" hidden="1"/>
    <col min="5348" max="5348" width="7.85546875" style="1027" hidden="1"/>
    <col min="5349" max="5349" width="43.85546875" style="1027" hidden="1"/>
    <col min="5350" max="5350" width="16.7109375" style="1027" hidden="1"/>
    <col min="5351" max="5351" width="7.5703125" style="1027" hidden="1"/>
    <col min="5352" max="5352" width="16.7109375" style="1027" hidden="1"/>
    <col min="5353" max="5353" width="7.85546875" style="1027" hidden="1"/>
    <col min="5354" max="5354" width="43.85546875" style="1027" hidden="1"/>
    <col min="5355" max="5355" width="16.7109375" style="1027" hidden="1"/>
    <col min="5356" max="5356" width="7.5703125" style="1027" hidden="1"/>
    <col min="5357" max="5357" width="16.7109375" style="1027" hidden="1"/>
    <col min="5358" max="5358" width="9.28515625" style="1027" hidden="1"/>
    <col min="5359" max="5359" width="43.85546875" style="1027" hidden="1"/>
    <col min="5360" max="5360" width="16.7109375" style="1027" hidden="1"/>
    <col min="5361" max="5361" width="7.7109375" style="1027" hidden="1"/>
    <col min="5362" max="5362" width="16.7109375" style="1027" hidden="1"/>
    <col min="5363" max="5363" width="7.85546875" style="1027" hidden="1"/>
    <col min="5364" max="5364" width="43.85546875" style="1027" hidden="1"/>
    <col min="5365" max="5365" width="16.7109375" style="1027" hidden="1"/>
    <col min="5366" max="5366" width="7.5703125" style="1027" hidden="1"/>
    <col min="5367" max="5367" width="16.7109375" style="1027" hidden="1"/>
    <col min="5368" max="5368" width="7.85546875" style="1027" hidden="1"/>
    <col min="5369" max="5369" width="43.85546875" style="1027" hidden="1"/>
    <col min="5370" max="5370" width="16.5703125" style="1027" hidden="1"/>
    <col min="5371" max="5371" width="7.5703125" style="1027" hidden="1"/>
    <col min="5372" max="5372" width="16.5703125" style="1027" hidden="1"/>
    <col min="5373" max="5373" width="7.5703125" style="1027" hidden="1"/>
    <col min="5374" max="5564" width="11.42578125" style="1027" hidden="1"/>
    <col min="5565" max="5565" width="43.7109375" style="1027" hidden="1"/>
    <col min="5566" max="5566" width="16.7109375" style="1027" hidden="1"/>
    <col min="5567" max="5567" width="7.7109375" style="1027" hidden="1"/>
    <col min="5568" max="5568" width="16.7109375" style="1027" hidden="1"/>
    <col min="5569" max="5569" width="7.85546875" style="1027" hidden="1"/>
    <col min="5570" max="5570" width="43.85546875" style="1027" hidden="1"/>
    <col min="5571" max="5571" width="16.7109375" style="1027" hidden="1"/>
    <col min="5572" max="5572" width="7.85546875" style="1027" hidden="1"/>
    <col min="5573" max="5573" width="16.7109375" style="1027" hidden="1"/>
    <col min="5574" max="5574" width="7.85546875" style="1027" hidden="1"/>
    <col min="5575" max="5575" width="43.85546875" style="1027" hidden="1"/>
    <col min="5576" max="5576" width="16.7109375" style="1027" hidden="1"/>
    <col min="5577" max="5577" width="7.85546875" style="1027" hidden="1"/>
    <col min="5578" max="5578" width="16.7109375" style="1027" hidden="1"/>
    <col min="5579" max="5579" width="7.5703125" style="1027" hidden="1"/>
    <col min="5580" max="5580" width="43.85546875" style="1027" hidden="1"/>
    <col min="5581" max="5581" width="16.7109375" style="1027" hidden="1"/>
    <col min="5582" max="5582" width="7.85546875" style="1027" hidden="1"/>
    <col min="5583" max="5583" width="16.7109375" style="1027" hidden="1"/>
    <col min="5584" max="5584" width="7.85546875" style="1027" hidden="1"/>
    <col min="5585" max="5585" width="43.85546875" style="1027" hidden="1"/>
    <col min="5586" max="5586" width="16.7109375" style="1027" hidden="1"/>
    <col min="5587" max="5587" width="7.85546875" style="1027" hidden="1"/>
    <col min="5588" max="5588" width="16.7109375" style="1027" hidden="1"/>
    <col min="5589" max="5589" width="7.85546875" style="1027" hidden="1"/>
    <col min="5590" max="5590" width="43.85546875" style="1027" hidden="1"/>
    <col min="5591" max="5591" width="16.7109375" style="1027" hidden="1"/>
    <col min="5592" max="5592" width="7.85546875" style="1027" hidden="1"/>
    <col min="5593" max="5593" width="16.7109375" style="1027" hidden="1"/>
    <col min="5594" max="5594" width="7.85546875" style="1027" hidden="1"/>
    <col min="5595" max="5595" width="43.85546875" style="1027" hidden="1"/>
    <col min="5596" max="5596" width="16.7109375" style="1027" hidden="1"/>
    <col min="5597" max="5597" width="7.85546875" style="1027" hidden="1"/>
    <col min="5598" max="5598" width="16.7109375" style="1027" hidden="1"/>
    <col min="5599" max="5599" width="7.85546875" style="1027" hidden="1"/>
    <col min="5600" max="5600" width="43.85546875" style="1027" hidden="1"/>
    <col min="5601" max="5601" width="16.7109375" style="1027" hidden="1"/>
    <col min="5602" max="5602" width="7.85546875" style="1027" hidden="1"/>
    <col min="5603" max="5603" width="16.5703125" style="1027" hidden="1"/>
    <col min="5604" max="5604" width="7.85546875" style="1027" hidden="1"/>
    <col min="5605" max="5605" width="43.85546875" style="1027" hidden="1"/>
    <col min="5606" max="5606" width="16.7109375" style="1027" hidden="1"/>
    <col min="5607" max="5607" width="7.5703125" style="1027" hidden="1"/>
    <col min="5608" max="5608" width="16.7109375" style="1027" hidden="1"/>
    <col min="5609" max="5609" width="7.85546875" style="1027" hidden="1"/>
    <col min="5610" max="5610" width="43.85546875" style="1027" hidden="1"/>
    <col min="5611" max="5611" width="16.7109375" style="1027" hidden="1"/>
    <col min="5612" max="5612" width="7.5703125" style="1027" hidden="1"/>
    <col min="5613" max="5613" width="16.7109375" style="1027" hidden="1"/>
    <col min="5614" max="5614" width="9.28515625" style="1027" hidden="1"/>
    <col min="5615" max="5615" width="43.85546875" style="1027" hidden="1"/>
    <col min="5616" max="5616" width="16.7109375" style="1027" hidden="1"/>
    <col min="5617" max="5617" width="7.7109375" style="1027" hidden="1"/>
    <col min="5618" max="5618" width="16.7109375" style="1027" hidden="1"/>
    <col min="5619" max="5619" width="7.85546875" style="1027" hidden="1"/>
    <col min="5620" max="5620" width="43.85546875" style="1027" hidden="1"/>
    <col min="5621" max="5621" width="16.7109375" style="1027" hidden="1"/>
    <col min="5622" max="5622" width="7.5703125" style="1027" hidden="1"/>
    <col min="5623" max="5623" width="16.7109375" style="1027" hidden="1"/>
    <col min="5624" max="5624" width="7.85546875" style="1027" hidden="1"/>
    <col min="5625" max="5625" width="43.85546875" style="1027" hidden="1"/>
    <col min="5626" max="5626" width="16.5703125" style="1027" hidden="1"/>
    <col min="5627" max="5627" width="7.5703125" style="1027" hidden="1"/>
    <col min="5628" max="5628" width="16.5703125" style="1027" hidden="1"/>
    <col min="5629" max="5629" width="7.5703125" style="1027" hidden="1"/>
    <col min="5630" max="5820" width="11.42578125" style="1027" hidden="1"/>
    <col min="5821" max="5821" width="43.7109375" style="1027" hidden="1"/>
    <col min="5822" max="5822" width="16.7109375" style="1027" hidden="1"/>
    <col min="5823" max="5823" width="7.7109375" style="1027" hidden="1"/>
    <col min="5824" max="5824" width="16.7109375" style="1027" hidden="1"/>
    <col min="5825" max="5825" width="7.85546875" style="1027" hidden="1"/>
    <col min="5826" max="5826" width="43.85546875" style="1027" hidden="1"/>
    <col min="5827" max="5827" width="16.7109375" style="1027" hidden="1"/>
    <col min="5828" max="5828" width="7.85546875" style="1027" hidden="1"/>
    <col min="5829" max="5829" width="16.7109375" style="1027" hidden="1"/>
    <col min="5830" max="5830" width="7.85546875" style="1027" hidden="1"/>
    <col min="5831" max="5831" width="43.85546875" style="1027" hidden="1"/>
    <col min="5832" max="5832" width="16.7109375" style="1027" hidden="1"/>
    <col min="5833" max="5833" width="7.85546875" style="1027" hidden="1"/>
    <col min="5834" max="5834" width="16.7109375" style="1027" hidden="1"/>
    <col min="5835" max="5835" width="7.5703125" style="1027" hidden="1"/>
    <col min="5836" max="5836" width="43.85546875" style="1027" hidden="1"/>
    <col min="5837" max="5837" width="16.7109375" style="1027" hidden="1"/>
    <col min="5838" max="5838" width="7.85546875" style="1027" hidden="1"/>
    <col min="5839" max="5839" width="16.7109375" style="1027" hidden="1"/>
    <col min="5840" max="5840" width="7.85546875" style="1027" hidden="1"/>
    <col min="5841" max="5841" width="43.85546875" style="1027" hidden="1"/>
    <col min="5842" max="5842" width="16.7109375" style="1027" hidden="1"/>
    <col min="5843" max="5843" width="7.85546875" style="1027" hidden="1"/>
    <col min="5844" max="5844" width="16.7109375" style="1027" hidden="1"/>
    <col min="5845" max="5845" width="7.85546875" style="1027" hidden="1"/>
    <col min="5846" max="5846" width="43.85546875" style="1027" hidden="1"/>
    <col min="5847" max="5847" width="16.7109375" style="1027" hidden="1"/>
    <col min="5848" max="5848" width="7.85546875" style="1027" hidden="1"/>
    <col min="5849" max="5849" width="16.7109375" style="1027" hidden="1"/>
    <col min="5850" max="5850" width="7.85546875" style="1027" hidden="1"/>
    <col min="5851" max="5851" width="43.85546875" style="1027" hidden="1"/>
    <col min="5852" max="5852" width="16.7109375" style="1027" hidden="1"/>
    <col min="5853" max="5853" width="7.85546875" style="1027" hidden="1"/>
    <col min="5854" max="5854" width="16.7109375" style="1027" hidden="1"/>
    <col min="5855" max="5855" width="7.85546875" style="1027" hidden="1"/>
    <col min="5856" max="5856" width="43.85546875" style="1027" hidden="1"/>
    <col min="5857" max="5857" width="16.7109375" style="1027" hidden="1"/>
    <col min="5858" max="5858" width="7.85546875" style="1027" hidden="1"/>
    <col min="5859" max="5859" width="16.5703125" style="1027" hidden="1"/>
    <col min="5860" max="5860" width="7.85546875" style="1027" hidden="1"/>
    <col min="5861" max="5861" width="43.85546875" style="1027" hidden="1"/>
    <col min="5862" max="5862" width="16.7109375" style="1027" hidden="1"/>
    <col min="5863" max="5863" width="7.5703125" style="1027" hidden="1"/>
    <col min="5864" max="5864" width="16.7109375" style="1027" hidden="1"/>
    <col min="5865" max="5865" width="7.85546875" style="1027" hidden="1"/>
    <col min="5866" max="5866" width="43.85546875" style="1027" hidden="1"/>
    <col min="5867" max="5867" width="16.7109375" style="1027" hidden="1"/>
    <col min="5868" max="5868" width="7.5703125" style="1027" hidden="1"/>
    <col min="5869" max="5869" width="16.7109375" style="1027" hidden="1"/>
    <col min="5870" max="5870" width="9.28515625" style="1027" hidden="1"/>
    <col min="5871" max="5871" width="43.85546875" style="1027" hidden="1"/>
    <col min="5872" max="5872" width="16.7109375" style="1027" hidden="1"/>
    <col min="5873" max="5873" width="7.7109375" style="1027" hidden="1"/>
    <col min="5874" max="5874" width="16.7109375" style="1027" hidden="1"/>
    <col min="5875" max="5875" width="7.85546875" style="1027" hidden="1"/>
    <col min="5876" max="5876" width="43.85546875" style="1027" hidden="1"/>
    <col min="5877" max="5877" width="16.7109375" style="1027" hidden="1"/>
    <col min="5878" max="5878" width="7.5703125" style="1027" hidden="1"/>
    <col min="5879" max="5879" width="16.7109375" style="1027" hidden="1"/>
    <col min="5880" max="5880" width="7.85546875" style="1027" hidden="1"/>
    <col min="5881" max="5881" width="43.85546875" style="1027" hidden="1"/>
    <col min="5882" max="5882" width="16.5703125" style="1027" hidden="1"/>
    <col min="5883" max="5883" width="7.5703125" style="1027" hidden="1"/>
    <col min="5884" max="5884" width="16.5703125" style="1027" hidden="1"/>
    <col min="5885" max="5885" width="7.5703125" style="1027" hidden="1"/>
    <col min="5886" max="6076" width="11.42578125" style="1027" hidden="1"/>
    <col min="6077" max="6077" width="43.7109375" style="1027" hidden="1"/>
    <col min="6078" max="6078" width="16.7109375" style="1027" hidden="1"/>
    <col min="6079" max="6079" width="7.7109375" style="1027" hidden="1"/>
    <col min="6080" max="6080" width="16.7109375" style="1027" hidden="1"/>
    <col min="6081" max="6081" width="7.85546875" style="1027" hidden="1"/>
    <col min="6082" max="6082" width="43.85546875" style="1027" hidden="1"/>
    <col min="6083" max="6083" width="16.7109375" style="1027" hidden="1"/>
    <col min="6084" max="6084" width="7.85546875" style="1027" hidden="1"/>
    <col min="6085" max="6085" width="16.7109375" style="1027" hidden="1"/>
    <col min="6086" max="6086" width="7.85546875" style="1027" hidden="1"/>
    <col min="6087" max="6087" width="43.85546875" style="1027" hidden="1"/>
    <col min="6088" max="6088" width="16.7109375" style="1027" hidden="1"/>
    <col min="6089" max="6089" width="7.85546875" style="1027" hidden="1"/>
    <col min="6090" max="6090" width="16.7109375" style="1027" hidden="1"/>
    <col min="6091" max="6091" width="7.5703125" style="1027" hidden="1"/>
    <col min="6092" max="6092" width="43.85546875" style="1027" hidden="1"/>
    <col min="6093" max="6093" width="16.7109375" style="1027" hidden="1"/>
    <col min="6094" max="6094" width="7.85546875" style="1027" hidden="1"/>
    <col min="6095" max="6095" width="16.7109375" style="1027" hidden="1"/>
    <col min="6096" max="6096" width="7.85546875" style="1027" hidden="1"/>
    <col min="6097" max="6097" width="43.85546875" style="1027" hidden="1"/>
    <col min="6098" max="6098" width="16.7109375" style="1027" hidden="1"/>
    <col min="6099" max="6099" width="7.85546875" style="1027" hidden="1"/>
    <col min="6100" max="6100" width="16.7109375" style="1027" hidden="1"/>
    <col min="6101" max="6101" width="7.85546875" style="1027" hidden="1"/>
    <col min="6102" max="6102" width="43.85546875" style="1027" hidden="1"/>
    <col min="6103" max="6103" width="16.7109375" style="1027" hidden="1"/>
    <col min="6104" max="6104" width="7.85546875" style="1027" hidden="1"/>
    <col min="6105" max="6105" width="16.7109375" style="1027" hidden="1"/>
    <col min="6106" max="6106" width="7.85546875" style="1027" hidden="1"/>
    <col min="6107" max="6107" width="43.85546875" style="1027" hidden="1"/>
    <col min="6108" max="6108" width="16.7109375" style="1027" hidden="1"/>
    <col min="6109" max="6109" width="7.85546875" style="1027" hidden="1"/>
    <col min="6110" max="6110" width="16.7109375" style="1027" hidden="1"/>
    <col min="6111" max="6111" width="7.85546875" style="1027" hidden="1"/>
    <col min="6112" max="6112" width="43.85546875" style="1027" hidden="1"/>
    <col min="6113" max="6113" width="16.7109375" style="1027" hidden="1"/>
    <col min="6114" max="6114" width="7.85546875" style="1027" hidden="1"/>
    <col min="6115" max="6115" width="16.5703125" style="1027" hidden="1"/>
    <col min="6116" max="6116" width="7.85546875" style="1027" hidden="1"/>
    <col min="6117" max="6117" width="43.85546875" style="1027" hidden="1"/>
    <col min="6118" max="6118" width="16.7109375" style="1027" hidden="1"/>
    <col min="6119" max="6119" width="7.5703125" style="1027" hidden="1"/>
    <col min="6120" max="6120" width="16.7109375" style="1027" hidden="1"/>
    <col min="6121" max="6121" width="7.85546875" style="1027" hidden="1"/>
    <col min="6122" max="6122" width="43.85546875" style="1027" hidden="1"/>
    <col min="6123" max="6123" width="16.7109375" style="1027" hidden="1"/>
    <col min="6124" max="6124" width="7.5703125" style="1027" hidden="1"/>
    <col min="6125" max="6125" width="16.7109375" style="1027" hidden="1"/>
    <col min="6126" max="6126" width="9.28515625" style="1027" hidden="1"/>
    <col min="6127" max="6127" width="43.85546875" style="1027" hidden="1"/>
    <col min="6128" max="6128" width="16.7109375" style="1027" hidden="1"/>
    <col min="6129" max="6129" width="7.7109375" style="1027" hidden="1"/>
    <col min="6130" max="6130" width="16.7109375" style="1027" hidden="1"/>
    <col min="6131" max="6131" width="7.85546875" style="1027" hidden="1"/>
    <col min="6132" max="6132" width="43.85546875" style="1027" hidden="1"/>
    <col min="6133" max="6133" width="16.7109375" style="1027" hidden="1"/>
    <col min="6134" max="6134" width="7.5703125" style="1027" hidden="1"/>
    <col min="6135" max="6135" width="16.7109375" style="1027" hidden="1"/>
    <col min="6136" max="6136" width="7.85546875" style="1027" hidden="1"/>
    <col min="6137" max="6137" width="43.85546875" style="1027" hidden="1"/>
    <col min="6138" max="6138" width="16.5703125" style="1027" hidden="1"/>
    <col min="6139" max="6139" width="7.5703125" style="1027" hidden="1"/>
    <col min="6140" max="6140" width="16.5703125" style="1027" hidden="1"/>
    <col min="6141" max="6141" width="7.5703125" style="1027" hidden="1"/>
    <col min="6142" max="6332" width="11.42578125" style="1027" hidden="1"/>
    <col min="6333" max="6333" width="43.7109375" style="1027" hidden="1"/>
    <col min="6334" max="6334" width="16.7109375" style="1027" hidden="1"/>
    <col min="6335" max="6335" width="7.7109375" style="1027" hidden="1"/>
    <col min="6336" max="6336" width="16.7109375" style="1027" hidden="1"/>
    <col min="6337" max="6337" width="7.85546875" style="1027" hidden="1"/>
    <col min="6338" max="6338" width="43.85546875" style="1027" hidden="1"/>
    <col min="6339" max="6339" width="16.7109375" style="1027" hidden="1"/>
    <col min="6340" max="6340" width="7.85546875" style="1027" hidden="1"/>
    <col min="6341" max="6341" width="16.7109375" style="1027" hidden="1"/>
    <col min="6342" max="6342" width="7.85546875" style="1027" hidden="1"/>
    <col min="6343" max="6343" width="43.85546875" style="1027" hidden="1"/>
    <col min="6344" max="6344" width="16.7109375" style="1027" hidden="1"/>
    <col min="6345" max="6345" width="7.85546875" style="1027" hidden="1"/>
    <col min="6346" max="6346" width="16.7109375" style="1027" hidden="1"/>
    <col min="6347" max="6347" width="7.5703125" style="1027" hidden="1"/>
    <col min="6348" max="6348" width="43.85546875" style="1027" hidden="1"/>
    <col min="6349" max="6349" width="16.7109375" style="1027" hidden="1"/>
    <col min="6350" max="6350" width="7.85546875" style="1027" hidden="1"/>
    <col min="6351" max="6351" width="16.7109375" style="1027" hidden="1"/>
    <col min="6352" max="6352" width="7.85546875" style="1027" hidden="1"/>
    <col min="6353" max="6353" width="43.85546875" style="1027" hidden="1"/>
    <col min="6354" max="6354" width="16.7109375" style="1027" hidden="1"/>
    <col min="6355" max="6355" width="7.85546875" style="1027" hidden="1"/>
    <col min="6356" max="6356" width="16.7109375" style="1027" hidden="1"/>
    <col min="6357" max="6357" width="7.85546875" style="1027" hidden="1"/>
    <col min="6358" max="6358" width="43.85546875" style="1027" hidden="1"/>
    <col min="6359" max="6359" width="16.7109375" style="1027" hidden="1"/>
    <col min="6360" max="6360" width="7.85546875" style="1027" hidden="1"/>
    <col min="6361" max="6361" width="16.7109375" style="1027" hidden="1"/>
    <col min="6362" max="6362" width="7.85546875" style="1027" hidden="1"/>
    <col min="6363" max="6363" width="43.85546875" style="1027" hidden="1"/>
    <col min="6364" max="6364" width="16.7109375" style="1027" hidden="1"/>
    <col min="6365" max="6365" width="7.85546875" style="1027" hidden="1"/>
    <col min="6366" max="6366" width="16.7109375" style="1027" hidden="1"/>
    <col min="6367" max="6367" width="7.85546875" style="1027" hidden="1"/>
    <col min="6368" max="6368" width="43.85546875" style="1027" hidden="1"/>
    <col min="6369" max="6369" width="16.7109375" style="1027" hidden="1"/>
    <col min="6370" max="6370" width="7.85546875" style="1027" hidden="1"/>
    <col min="6371" max="6371" width="16.5703125" style="1027" hidden="1"/>
    <col min="6372" max="6372" width="7.85546875" style="1027" hidden="1"/>
    <col min="6373" max="6373" width="43.85546875" style="1027" hidden="1"/>
    <col min="6374" max="6374" width="16.7109375" style="1027" hidden="1"/>
    <col min="6375" max="6375" width="7.5703125" style="1027" hidden="1"/>
    <col min="6376" max="6376" width="16.7109375" style="1027" hidden="1"/>
    <col min="6377" max="6377" width="7.85546875" style="1027" hidden="1"/>
    <col min="6378" max="6378" width="43.85546875" style="1027" hidden="1"/>
    <col min="6379" max="6379" width="16.7109375" style="1027" hidden="1"/>
    <col min="6380" max="6380" width="7.5703125" style="1027" hidden="1"/>
    <col min="6381" max="6381" width="16.7109375" style="1027" hidden="1"/>
    <col min="6382" max="6382" width="9.28515625" style="1027" hidden="1"/>
    <col min="6383" max="6383" width="43.85546875" style="1027" hidden="1"/>
    <col min="6384" max="6384" width="16.7109375" style="1027" hidden="1"/>
    <col min="6385" max="6385" width="7.7109375" style="1027" hidden="1"/>
    <col min="6386" max="6386" width="16.7109375" style="1027" hidden="1"/>
    <col min="6387" max="6387" width="7.85546875" style="1027" hidden="1"/>
    <col min="6388" max="6388" width="43.85546875" style="1027" hidden="1"/>
    <col min="6389" max="6389" width="16.7109375" style="1027" hidden="1"/>
    <col min="6390" max="6390" width="7.5703125" style="1027" hidden="1"/>
    <col min="6391" max="6391" width="16.7109375" style="1027" hidden="1"/>
    <col min="6392" max="6392" width="7.85546875" style="1027" hidden="1"/>
    <col min="6393" max="6393" width="43.85546875" style="1027" hidden="1"/>
    <col min="6394" max="6394" width="16.5703125" style="1027" hidden="1"/>
    <col min="6395" max="6395" width="7.5703125" style="1027" hidden="1"/>
    <col min="6396" max="6396" width="16.5703125" style="1027" hidden="1"/>
    <col min="6397" max="6397" width="7.5703125" style="1027" hidden="1"/>
    <col min="6398" max="6588" width="11.42578125" style="1027" hidden="1"/>
    <col min="6589" max="6589" width="43.7109375" style="1027" hidden="1"/>
    <col min="6590" max="6590" width="16.7109375" style="1027" hidden="1"/>
    <col min="6591" max="6591" width="7.7109375" style="1027" hidden="1"/>
    <col min="6592" max="6592" width="16.7109375" style="1027" hidden="1"/>
    <col min="6593" max="6593" width="7.85546875" style="1027" hidden="1"/>
    <col min="6594" max="6594" width="43.85546875" style="1027" hidden="1"/>
    <col min="6595" max="6595" width="16.7109375" style="1027" hidden="1"/>
    <col min="6596" max="6596" width="7.85546875" style="1027" hidden="1"/>
    <col min="6597" max="6597" width="16.7109375" style="1027" hidden="1"/>
    <col min="6598" max="6598" width="7.85546875" style="1027" hidden="1"/>
    <col min="6599" max="6599" width="43.85546875" style="1027" hidden="1"/>
    <col min="6600" max="6600" width="16.7109375" style="1027" hidden="1"/>
    <col min="6601" max="6601" width="7.85546875" style="1027" hidden="1"/>
    <col min="6602" max="6602" width="16.7109375" style="1027" hidden="1"/>
    <col min="6603" max="6603" width="7.5703125" style="1027" hidden="1"/>
    <col min="6604" max="6604" width="43.85546875" style="1027" hidden="1"/>
    <col min="6605" max="6605" width="16.7109375" style="1027" hidden="1"/>
    <col min="6606" max="6606" width="7.85546875" style="1027" hidden="1"/>
    <col min="6607" max="6607" width="16.7109375" style="1027" hidden="1"/>
    <col min="6608" max="6608" width="7.85546875" style="1027" hidden="1"/>
    <col min="6609" max="6609" width="43.85546875" style="1027" hidden="1"/>
    <col min="6610" max="6610" width="16.7109375" style="1027" hidden="1"/>
    <col min="6611" max="6611" width="7.85546875" style="1027" hidden="1"/>
    <col min="6612" max="6612" width="16.7109375" style="1027" hidden="1"/>
    <col min="6613" max="6613" width="7.85546875" style="1027" hidden="1"/>
    <col min="6614" max="6614" width="43.85546875" style="1027" hidden="1"/>
    <col min="6615" max="6615" width="16.7109375" style="1027" hidden="1"/>
    <col min="6616" max="6616" width="7.85546875" style="1027" hidden="1"/>
    <col min="6617" max="6617" width="16.7109375" style="1027" hidden="1"/>
    <col min="6618" max="6618" width="7.85546875" style="1027" hidden="1"/>
    <col min="6619" max="6619" width="43.85546875" style="1027" hidden="1"/>
    <col min="6620" max="6620" width="16.7109375" style="1027" hidden="1"/>
    <col min="6621" max="6621" width="7.85546875" style="1027" hidden="1"/>
    <col min="6622" max="6622" width="16.7109375" style="1027" hidden="1"/>
    <col min="6623" max="6623" width="7.85546875" style="1027" hidden="1"/>
    <col min="6624" max="6624" width="43.85546875" style="1027" hidden="1"/>
    <col min="6625" max="6625" width="16.7109375" style="1027" hidden="1"/>
    <col min="6626" max="6626" width="7.85546875" style="1027" hidden="1"/>
    <col min="6627" max="6627" width="16.5703125" style="1027" hidden="1"/>
    <col min="6628" max="6628" width="7.85546875" style="1027" hidden="1"/>
    <col min="6629" max="6629" width="43.85546875" style="1027" hidden="1"/>
    <col min="6630" max="6630" width="16.7109375" style="1027" hidden="1"/>
    <col min="6631" max="6631" width="7.5703125" style="1027" hidden="1"/>
    <col min="6632" max="6632" width="16.7109375" style="1027" hidden="1"/>
    <col min="6633" max="6633" width="7.85546875" style="1027" hidden="1"/>
    <col min="6634" max="6634" width="43.85546875" style="1027" hidden="1"/>
    <col min="6635" max="6635" width="16.7109375" style="1027" hidden="1"/>
    <col min="6636" max="6636" width="7.5703125" style="1027" hidden="1"/>
    <col min="6637" max="6637" width="16.7109375" style="1027" hidden="1"/>
    <col min="6638" max="6638" width="9.28515625" style="1027" hidden="1"/>
    <col min="6639" max="6639" width="43.85546875" style="1027" hidden="1"/>
    <col min="6640" max="6640" width="16.7109375" style="1027" hidden="1"/>
    <col min="6641" max="6641" width="7.7109375" style="1027" hidden="1"/>
    <col min="6642" max="6642" width="16.7109375" style="1027" hidden="1"/>
    <col min="6643" max="6643" width="7.85546875" style="1027" hidden="1"/>
    <col min="6644" max="6644" width="43.85546875" style="1027" hidden="1"/>
    <col min="6645" max="6645" width="16.7109375" style="1027" hidden="1"/>
    <col min="6646" max="6646" width="7.5703125" style="1027" hidden="1"/>
    <col min="6647" max="6647" width="16.7109375" style="1027" hidden="1"/>
    <col min="6648" max="6648" width="7.85546875" style="1027" hidden="1"/>
    <col min="6649" max="6649" width="43.85546875" style="1027" hidden="1"/>
    <col min="6650" max="6650" width="16.5703125" style="1027" hidden="1"/>
    <col min="6651" max="6651" width="7.5703125" style="1027" hidden="1"/>
    <col min="6652" max="6652" width="16.5703125" style="1027" hidden="1"/>
    <col min="6653" max="6653" width="7.5703125" style="1027" hidden="1"/>
    <col min="6654" max="6844" width="11.42578125" style="1027" hidden="1"/>
    <col min="6845" max="6845" width="43.7109375" style="1027" hidden="1"/>
    <col min="6846" max="6846" width="16.7109375" style="1027" hidden="1"/>
    <col min="6847" max="6847" width="7.7109375" style="1027" hidden="1"/>
    <col min="6848" max="6848" width="16.7109375" style="1027" hidden="1"/>
    <col min="6849" max="6849" width="7.85546875" style="1027" hidden="1"/>
    <col min="6850" max="6850" width="43.85546875" style="1027" hidden="1"/>
    <col min="6851" max="6851" width="16.7109375" style="1027" hidden="1"/>
    <col min="6852" max="6852" width="7.85546875" style="1027" hidden="1"/>
    <col min="6853" max="6853" width="16.7109375" style="1027" hidden="1"/>
    <col min="6854" max="6854" width="7.85546875" style="1027" hidden="1"/>
    <col min="6855" max="6855" width="43.85546875" style="1027" hidden="1"/>
    <col min="6856" max="6856" width="16.7109375" style="1027" hidden="1"/>
    <col min="6857" max="6857" width="7.85546875" style="1027" hidden="1"/>
    <col min="6858" max="6858" width="16.7109375" style="1027" hidden="1"/>
    <col min="6859" max="6859" width="7.5703125" style="1027" hidden="1"/>
    <col min="6860" max="6860" width="43.85546875" style="1027" hidden="1"/>
    <col min="6861" max="6861" width="16.7109375" style="1027" hidden="1"/>
    <col min="6862" max="6862" width="7.85546875" style="1027" hidden="1"/>
    <col min="6863" max="6863" width="16.7109375" style="1027" hidden="1"/>
    <col min="6864" max="6864" width="7.85546875" style="1027" hidden="1"/>
    <col min="6865" max="6865" width="43.85546875" style="1027" hidden="1"/>
    <col min="6866" max="6866" width="16.7109375" style="1027" hidden="1"/>
    <col min="6867" max="6867" width="7.85546875" style="1027" hidden="1"/>
    <col min="6868" max="6868" width="16.7109375" style="1027" hidden="1"/>
    <col min="6869" max="6869" width="7.85546875" style="1027" hidden="1"/>
    <col min="6870" max="6870" width="43.85546875" style="1027" hidden="1"/>
    <col min="6871" max="6871" width="16.7109375" style="1027" hidden="1"/>
    <col min="6872" max="6872" width="7.85546875" style="1027" hidden="1"/>
    <col min="6873" max="6873" width="16.7109375" style="1027" hidden="1"/>
    <col min="6874" max="6874" width="7.85546875" style="1027" hidden="1"/>
    <col min="6875" max="6875" width="43.85546875" style="1027" hidden="1"/>
    <col min="6876" max="6876" width="16.7109375" style="1027" hidden="1"/>
    <col min="6877" max="6877" width="7.85546875" style="1027" hidden="1"/>
    <col min="6878" max="6878" width="16.7109375" style="1027" hidden="1"/>
    <col min="6879" max="6879" width="7.85546875" style="1027" hidden="1"/>
    <col min="6880" max="6880" width="43.85546875" style="1027" hidden="1"/>
    <col min="6881" max="6881" width="16.7109375" style="1027" hidden="1"/>
    <col min="6882" max="6882" width="7.85546875" style="1027" hidden="1"/>
    <col min="6883" max="6883" width="16.5703125" style="1027" hidden="1"/>
    <col min="6884" max="6884" width="7.85546875" style="1027" hidden="1"/>
    <col min="6885" max="6885" width="43.85546875" style="1027" hidden="1"/>
    <col min="6886" max="6886" width="16.7109375" style="1027" hidden="1"/>
    <col min="6887" max="6887" width="7.5703125" style="1027" hidden="1"/>
    <col min="6888" max="6888" width="16.7109375" style="1027" hidden="1"/>
    <col min="6889" max="6889" width="7.85546875" style="1027" hidden="1"/>
    <col min="6890" max="6890" width="43.85546875" style="1027" hidden="1"/>
    <col min="6891" max="6891" width="16.7109375" style="1027" hidden="1"/>
    <col min="6892" max="6892" width="7.5703125" style="1027" hidden="1"/>
    <col min="6893" max="6893" width="16.7109375" style="1027" hidden="1"/>
    <col min="6894" max="6894" width="9.28515625" style="1027" hidden="1"/>
    <col min="6895" max="6895" width="43.85546875" style="1027" hidden="1"/>
    <col min="6896" max="6896" width="16.7109375" style="1027" hidden="1"/>
    <col min="6897" max="6897" width="7.7109375" style="1027" hidden="1"/>
    <col min="6898" max="6898" width="16.7109375" style="1027" hidden="1"/>
    <col min="6899" max="6899" width="7.85546875" style="1027" hidden="1"/>
    <col min="6900" max="6900" width="43.85546875" style="1027" hidden="1"/>
    <col min="6901" max="6901" width="16.7109375" style="1027" hidden="1"/>
    <col min="6902" max="6902" width="7.5703125" style="1027" hidden="1"/>
    <col min="6903" max="6903" width="16.7109375" style="1027" hidden="1"/>
    <col min="6904" max="6904" width="7.85546875" style="1027" hidden="1"/>
    <col min="6905" max="6905" width="43.85546875" style="1027" hidden="1"/>
    <col min="6906" max="6906" width="16.5703125" style="1027" hidden="1"/>
    <col min="6907" max="6907" width="7.5703125" style="1027" hidden="1"/>
    <col min="6908" max="6908" width="16.5703125" style="1027" hidden="1"/>
    <col min="6909" max="6909" width="7.5703125" style="1027" hidden="1"/>
    <col min="6910" max="7100" width="11.42578125" style="1027" hidden="1"/>
    <col min="7101" max="7101" width="43.7109375" style="1027" hidden="1"/>
    <col min="7102" max="7102" width="16.7109375" style="1027" hidden="1"/>
    <col min="7103" max="7103" width="7.7109375" style="1027" hidden="1"/>
    <col min="7104" max="7104" width="16.7109375" style="1027" hidden="1"/>
    <col min="7105" max="7105" width="7.85546875" style="1027" hidden="1"/>
    <col min="7106" max="7106" width="43.85546875" style="1027" hidden="1"/>
    <col min="7107" max="7107" width="16.7109375" style="1027" hidden="1"/>
    <col min="7108" max="7108" width="7.85546875" style="1027" hidden="1"/>
    <col min="7109" max="7109" width="16.7109375" style="1027" hidden="1"/>
    <col min="7110" max="7110" width="7.85546875" style="1027" hidden="1"/>
    <col min="7111" max="7111" width="43.85546875" style="1027" hidden="1"/>
    <col min="7112" max="7112" width="16.7109375" style="1027" hidden="1"/>
    <col min="7113" max="7113" width="7.85546875" style="1027" hidden="1"/>
    <col min="7114" max="7114" width="16.7109375" style="1027" hidden="1"/>
    <col min="7115" max="7115" width="7.5703125" style="1027" hidden="1"/>
    <col min="7116" max="7116" width="43.85546875" style="1027" hidden="1"/>
    <col min="7117" max="7117" width="16.7109375" style="1027" hidden="1"/>
    <col min="7118" max="7118" width="7.85546875" style="1027" hidden="1"/>
    <col min="7119" max="7119" width="16.7109375" style="1027" hidden="1"/>
    <col min="7120" max="7120" width="7.85546875" style="1027" hidden="1"/>
    <col min="7121" max="7121" width="43.85546875" style="1027" hidden="1"/>
    <col min="7122" max="7122" width="16.7109375" style="1027" hidden="1"/>
    <col min="7123" max="7123" width="7.85546875" style="1027" hidden="1"/>
    <col min="7124" max="7124" width="16.7109375" style="1027" hidden="1"/>
    <col min="7125" max="7125" width="7.85546875" style="1027" hidden="1"/>
    <col min="7126" max="7126" width="43.85546875" style="1027" hidden="1"/>
    <col min="7127" max="7127" width="16.7109375" style="1027" hidden="1"/>
    <col min="7128" max="7128" width="7.85546875" style="1027" hidden="1"/>
    <col min="7129" max="7129" width="16.7109375" style="1027" hidden="1"/>
    <col min="7130" max="7130" width="7.85546875" style="1027" hidden="1"/>
    <col min="7131" max="7131" width="43.85546875" style="1027" hidden="1"/>
    <col min="7132" max="7132" width="16.7109375" style="1027" hidden="1"/>
    <col min="7133" max="7133" width="7.85546875" style="1027" hidden="1"/>
    <col min="7134" max="7134" width="16.7109375" style="1027" hidden="1"/>
    <col min="7135" max="7135" width="7.85546875" style="1027" hidden="1"/>
    <col min="7136" max="7136" width="43.85546875" style="1027" hidden="1"/>
    <col min="7137" max="7137" width="16.7109375" style="1027" hidden="1"/>
    <col min="7138" max="7138" width="7.85546875" style="1027" hidden="1"/>
    <col min="7139" max="7139" width="16.5703125" style="1027" hidden="1"/>
    <col min="7140" max="7140" width="7.85546875" style="1027" hidden="1"/>
    <col min="7141" max="7141" width="43.85546875" style="1027" hidden="1"/>
    <col min="7142" max="7142" width="16.7109375" style="1027" hidden="1"/>
    <col min="7143" max="7143" width="7.5703125" style="1027" hidden="1"/>
    <col min="7144" max="7144" width="16.7109375" style="1027" hidden="1"/>
    <col min="7145" max="7145" width="7.85546875" style="1027" hidden="1"/>
    <col min="7146" max="7146" width="43.85546875" style="1027" hidden="1"/>
    <col min="7147" max="7147" width="16.7109375" style="1027" hidden="1"/>
    <col min="7148" max="7148" width="7.5703125" style="1027" hidden="1"/>
    <col min="7149" max="7149" width="16.7109375" style="1027" hidden="1"/>
    <col min="7150" max="7150" width="9.28515625" style="1027" hidden="1"/>
    <col min="7151" max="7151" width="43.85546875" style="1027" hidden="1"/>
    <col min="7152" max="7152" width="16.7109375" style="1027" hidden="1"/>
    <col min="7153" max="7153" width="7.7109375" style="1027" hidden="1"/>
    <col min="7154" max="7154" width="16.7109375" style="1027" hidden="1"/>
    <col min="7155" max="7155" width="7.85546875" style="1027" hidden="1"/>
    <col min="7156" max="7156" width="43.85546875" style="1027" hidden="1"/>
    <col min="7157" max="7157" width="16.7109375" style="1027" hidden="1"/>
    <col min="7158" max="7158" width="7.5703125" style="1027" hidden="1"/>
    <col min="7159" max="7159" width="16.7109375" style="1027" hidden="1"/>
    <col min="7160" max="7160" width="7.85546875" style="1027" hidden="1"/>
    <col min="7161" max="7161" width="43.85546875" style="1027" hidden="1"/>
    <col min="7162" max="7162" width="16.5703125" style="1027" hidden="1"/>
    <col min="7163" max="7163" width="7.5703125" style="1027" hidden="1"/>
    <col min="7164" max="7164" width="16.5703125" style="1027" hidden="1"/>
    <col min="7165" max="7165" width="7.5703125" style="1027" hidden="1"/>
    <col min="7166" max="7356" width="11.42578125" style="1027" hidden="1"/>
    <col min="7357" max="7357" width="43.7109375" style="1027" hidden="1"/>
    <col min="7358" max="7358" width="16.7109375" style="1027" hidden="1"/>
    <col min="7359" max="7359" width="7.7109375" style="1027" hidden="1"/>
    <col min="7360" max="7360" width="16.7109375" style="1027" hidden="1"/>
    <col min="7361" max="7361" width="7.85546875" style="1027" hidden="1"/>
    <col min="7362" max="7362" width="43.85546875" style="1027" hidden="1"/>
    <col min="7363" max="7363" width="16.7109375" style="1027" hidden="1"/>
    <col min="7364" max="7364" width="7.85546875" style="1027" hidden="1"/>
    <col min="7365" max="7365" width="16.7109375" style="1027" hidden="1"/>
    <col min="7366" max="7366" width="7.85546875" style="1027" hidden="1"/>
    <col min="7367" max="7367" width="43.85546875" style="1027" hidden="1"/>
    <col min="7368" max="7368" width="16.7109375" style="1027" hidden="1"/>
    <col min="7369" max="7369" width="7.85546875" style="1027" hidden="1"/>
    <col min="7370" max="7370" width="16.7109375" style="1027" hidden="1"/>
    <col min="7371" max="7371" width="7.5703125" style="1027" hidden="1"/>
    <col min="7372" max="7372" width="43.85546875" style="1027" hidden="1"/>
    <col min="7373" max="7373" width="16.7109375" style="1027" hidden="1"/>
    <col min="7374" max="7374" width="7.85546875" style="1027" hidden="1"/>
    <col min="7375" max="7375" width="16.7109375" style="1027" hidden="1"/>
    <col min="7376" max="7376" width="7.85546875" style="1027" hidden="1"/>
    <col min="7377" max="7377" width="43.85546875" style="1027" hidden="1"/>
    <col min="7378" max="7378" width="16.7109375" style="1027" hidden="1"/>
    <col min="7379" max="7379" width="7.85546875" style="1027" hidden="1"/>
    <col min="7380" max="7380" width="16.7109375" style="1027" hidden="1"/>
    <col min="7381" max="7381" width="7.85546875" style="1027" hidden="1"/>
    <col min="7382" max="7382" width="43.85546875" style="1027" hidden="1"/>
    <col min="7383" max="7383" width="16.7109375" style="1027" hidden="1"/>
    <col min="7384" max="7384" width="7.85546875" style="1027" hidden="1"/>
    <col min="7385" max="7385" width="16.7109375" style="1027" hidden="1"/>
    <col min="7386" max="7386" width="7.85546875" style="1027" hidden="1"/>
    <col min="7387" max="7387" width="43.85546875" style="1027" hidden="1"/>
    <col min="7388" max="7388" width="16.7109375" style="1027" hidden="1"/>
    <col min="7389" max="7389" width="7.85546875" style="1027" hidden="1"/>
    <col min="7390" max="7390" width="16.7109375" style="1027" hidden="1"/>
    <col min="7391" max="7391" width="7.85546875" style="1027" hidden="1"/>
    <col min="7392" max="7392" width="43.85546875" style="1027" hidden="1"/>
    <col min="7393" max="7393" width="16.7109375" style="1027" hidden="1"/>
    <col min="7394" max="7394" width="7.85546875" style="1027" hidden="1"/>
    <col min="7395" max="7395" width="16.5703125" style="1027" hidden="1"/>
    <col min="7396" max="7396" width="7.85546875" style="1027" hidden="1"/>
    <col min="7397" max="7397" width="43.85546875" style="1027" hidden="1"/>
    <col min="7398" max="7398" width="16.7109375" style="1027" hidden="1"/>
    <col min="7399" max="7399" width="7.5703125" style="1027" hidden="1"/>
    <col min="7400" max="7400" width="16.7109375" style="1027" hidden="1"/>
    <col min="7401" max="7401" width="7.85546875" style="1027" hidden="1"/>
    <col min="7402" max="7402" width="43.85546875" style="1027" hidden="1"/>
    <col min="7403" max="7403" width="16.7109375" style="1027" hidden="1"/>
    <col min="7404" max="7404" width="7.5703125" style="1027" hidden="1"/>
    <col min="7405" max="7405" width="16.7109375" style="1027" hidden="1"/>
    <col min="7406" max="7406" width="9.28515625" style="1027" hidden="1"/>
    <col min="7407" max="7407" width="43.85546875" style="1027" hidden="1"/>
    <col min="7408" max="7408" width="16.7109375" style="1027" hidden="1"/>
    <col min="7409" max="7409" width="7.7109375" style="1027" hidden="1"/>
    <col min="7410" max="7410" width="16.7109375" style="1027" hidden="1"/>
    <col min="7411" max="7411" width="7.85546875" style="1027" hidden="1"/>
    <col min="7412" max="7412" width="43.85546875" style="1027" hidden="1"/>
    <col min="7413" max="7413" width="16.7109375" style="1027" hidden="1"/>
    <col min="7414" max="7414" width="7.5703125" style="1027" hidden="1"/>
    <col min="7415" max="7415" width="16.7109375" style="1027" hidden="1"/>
    <col min="7416" max="7416" width="7.85546875" style="1027" hidden="1"/>
    <col min="7417" max="7417" width="43.85546875" style="1027" hidden="1"/>
    <col min="7418" max="7418" width="16.5703125" style="1027" hidden="1"/>
    <col min="7419" max="7419" width="7.5703125" style="1027" hidden="1"/>
    <col min="7420" max="7420" width="16.5703125" style="1027" hidden="1"/>
    <col min="7421" max="7421" width="7.5703125" style="1027" hidden="1"/>
    <col min="7422" max="7612" width="11.42578125" style="1027" hidden="1"/>
    <col min="7613" max="7613" width="43.7109375" style="1027" hidden="1"/>
    <col min="7614" max="7614" width="16.7109375" style="1027" hidden="1"/>
    <col min="7615" max="7615" width="7.7109375" style="1027" hidden="1"/>
    <col min="7616" max="7616" width="16.7109375" style="1027" hidden="1"/>
    <col min="7617" max="7617" width="7.85546875" style="1027" hidden="1"/>
    <col min="7618" max="7618" width="43.85546875" style="1027" hidden="1"/>
    <col min="7619" max="7619" width="16.7109375" style="1027" hidden="1"/>
    <col min="7620" max="7620" width="7.85546875" style="1027" hidden="1"/>
    <col min="7621" max="7621" width="16.7109375" style="1027" hidden="1"/>
    <col min="7622" max="7622" width="7.85546875" style="1027" hidden="1"/>
    <col min="7623" max="7623" width="43.85546875" style="1027" hidden="1"/>
    <col min="7624" max="7624" width="16.7109375" style="1027" hidden="1"/>
    <col min="7625" max="7625" width="7.85546875" style="1027" hidden="1"/>
    <col min="7626" max="7626" width="16.7109375" style="1027" hidden="1"/>
    <col min="7627" max="7627" width="7.5703125" style="1027" hidden="1"/>
    <col min="7628" max="7628" width="43.85546875" style="1027" hidden="1"/>
    <col min="7629" max="7629" width="16.7109375" style="1027" hidden="1"/>
    <col min="7630" max="7630" width="7.85546875" style="1027" hidden="1"/>
    <col min="7631" max="7631" width="16.7109375" style="1027" hidden="1"/>
    <col min="7632" max="7632" width="7.85546875" style="1027" hidden="1"/>
    <col min="7633" max="7633" width="43.85546875" style="1027" hidden="1"/>
    <col min="7634" max="7634" width="16.7109375" style="1027" hidden="1"/>
    <col min="7635" max="7635" width="7.85546875" style="1027" hidden="1"/>
    <col min="7636" max="7636" width="16.7109375" style="1027" hidden="1"/>
    <col min="7637" max="7637" width="7.85546875" style="1027" hidden="1"/>
    <col min="7638" max="7638" width="43.85546875" style="1027" hidden="1"/>
    <col min="7639" max="7639" width="16.7109375" style="1027" hidden="1"/>
    <col min="7640" max="7640" width="7.85546875" style="1027" hidden="1"/>
    <col min="7641" max="7641" width="16.7109375" style="1027" hidden="1"/>
    <col min="7642" max="7642" width="7.85546875" style="1027" hidden="1"/>
    <col min="7643" max="7643" width="43.85546875" style="1027" hidden="1"/>
    <col min="7644" max="7644" width="16.7109375" style="1027" hidden="1"/>
    <col min="7645" max="7645" width="7.85546875" style="1027" hidden="1"/>
    <col min="7646" max="7646" width="16.7109375" style="1027" hidden="1"/>
    <col min="7647" max="7647" width="7.85546875" style="1027" hidden="1"/>
    <col min="7648" max="7648" width="43.85546875" style="1027" hidden="1"/>
    <col min="7649" max="7649" width="16.7109375" style="1027" hidden="1"/>
    <col min="7650" max="7650" width="7.85546875" style="1027" hidden="1"/>
    <col min="7651" max="7651" width="16.5703125" style="1027" hidden="1"/>
    <col min="7652" max="7652" width="7.85546875" style="1027" hidden="1"/>
    <col min="7653" max="7653" width="43.85546875" style="1027" hidden="1"/>
    <col min="7654" max="7654" width="16.7109375" style="1027" hidden="1"/>
    <col min="7655" max="7655" width="7.5703125" style="1027" hidden="1"/>
    <col min="7656" max="7656" width="16.7109375" style="1027" hidden="1"/>
    <col min="7657" max="7657" width="7.85546875" style="1027" hidden="1"/>
    <col min="7658" max="7658" width="43.85546875" style="1027" hidden="1"/>
    <col min="7659" max="7659" width="16.7109375" style="1027" hidden="1"/>
    <col min="7660" max="7660" width="7.5703125" style="1027" hidden="1"/>
    <col min="7661" max="7661" width="16.7109375" style="1027" hidden="1"/>
    <col min="7662" max="7662" width="9.28515625" style="1027" hidden="1"/>
    <col min="7663" max="7663" width="43.85546875" style="1027" hidden="1"/>
    <col min="7664" max="7664" width="16.7109375" style="1027" hidden="1"/>
    <col min="7665" max="7665" width="7.7109375" style="1027" hidden="1"/>
    <col min="7666" max="7666" width="16.7109375" style="1027" hidden="1"/>
    <col min="7667" max="7667" width="7.85546875" style="1027" hidden="1"/>
    <col min="7668" max="7668" width="43.85546875" style="1027" hidden="1"/>
    <col min="7669" max="7669" width="16.7109375" style="1027" hidden="1"/>
    <col min="7670" max="7670" width="7.5703125" style="1027" hidden="1"/>
    <col min="7671" max="7671" width="16.7109375" style="1027" hidden="1"/>
    <col min="7672" max="7672" width="7.85546875" style="1027" hidden="1"/>
    <col min="7673" max="7673" width="43.85546875" style="1027" hidden="1"/>
    <col min="7674" max="7674" width="16.5703125" style="1027" hidden="1"/>
    <col min="7675" max="7675" width="7.5703125" style="1027" hidden="1"/>
    <col min="7676" max="7676" width="16.5703125" style="1027" hidden="1"/>
    <col min="7677" max="7677" width="7.5703125" style="1027" hidden="1"/>
    <col min="7678" max="7868" width="11.42578125" style="1027" hidden="1"/>
    <col min="7869" max="7869" width="43.7109375" style="1027" hidden="1"/>
    <col min="7870" max="7870" width="16.7109375" style="1027" hidden="1"/>
    <col min="7871" max="7871" width="7.7109375" style="1027" hidden="1"/>
    <col min="7872" max="7872" width="16.7109375" style="1027" hidden="1"/>
    <col min="7873" max="7873" width="7.85546875" style="1027" hidden="1"/>
    <col min="7874" max="7874" width="43.85546875" style="1027" hidden="1"/>
    <col min="7875" max="7875" width="16.7109375" style="1027" hidden="1"/>
    <col min="7876" max="7876" width="7.85546875" style="1027" hidden="1"/>
    <col min="7877" max="7877" width="16.7109375" style="1027" hidden="1"/>
    <col min="7878" max="7878" width="7.85546875" style="1027" hidden="1"/>
    <col min="7879" max="7879" width="43.85546875" style="1027" hidden="1"/>
    <col min="7880" max="7880" width="16.7109375" style="1027" hidden="1"/>
    <col min="7881" max="7881" width="7.85546875" style="1027" hidden="1"/>
    <col min="7882" max="7882" width="16.7109375" style="1027" hidden="1"/>
    <col min="7883" max="7883" width="7.5703125" style="1027" hidden="1"/>
    <col min="7884" max="7884" width="43.85546875" style="1027" hidden="1"/>
    <col min="7885" max="7885" width="16.7109375" style="1027" hidden="1"/>
    <col min="7886" max="7886" width="7.85546875" style="1027" hidden="1"/>
    <col min="7887" max="7887" width="16.7109375" style="1027" hidden="1"/>
    <col min="7888" max="7888" width="7.85546875" style="1027" hidden="1"/>
    <col min="7889" max="7889" width="43.85546875" style="1027" hidden="1"/>
    <col min="7890" max="7890" width="16.7109375" style="1027" hidden="1"/>
    <col min="7891" max="7891" width="7.85546875" style="1027" hidden="1"/>
    <col min="7892" max="7892" width="16.7109375" style="1027" hidden="1"/>
    <col min="7893" max="7893" width="7.85546875" style="1027" hidden="1"/>
    <col min="7894" max="7894" width="43.85546875" style="1027" hidden="1"/>
    <col min="7895" max="7895" width="16.7109375" style="1027" hidden="1"/>
    <col min="7896" max="7896" width="7.85546875" style="1027" hidden="1"/>
    <col min="7897" max="7897" width="16.7109375" style="1027" hidden="1"/>
    <col min="7898" max="7898" width="7.85546875" style="1027" hidden="1"/>
    <col min="7899" max="7899" width="43.85546875" style="1027" hidden="1"/>
    <col min="7900" max="7900" width="16.7109375" style="1027" hidden="1"/>
    <col min="7901" max="7901" width="7.85546875" style="1027" hidden="1"/>
    <col min="7902" max="7902" width="16.7109375" style="1027" hidden="1"/>
    <col min="7903" max="7903" width="7.85546875" style="1027" hidden="1"/>
    <col min="7904" max="7904" width="43.85546875" style="1027" hidden="1"/>
    <col min="7905" max="7905" width="16.7109375" style="1027" hidden="1"/>
    <col min="7906" max="7906" width="7.85546875" style="1027" hidden="1"/>
    <col min="7907" max="7907" width="16.5703125" style="1027" hidden="1"/>
    <col min="7908" max="7908" width="7.85546875" style="1027" hidden="1"/>
    <col min="7909" max="7909" width="43.85546875" style="1027" hidden="1"/>
    <col min="7910" max="7910" width="16.7109375" style="1027" hidden="1"/>
    <col min="7911" max="7911" width="7.5703125" style="1027" hidden="1"/>
    <col min="7912" max="7912" width="16.7109375" style="1027" hidden="1"/>
    <col min="7913" max="7913" width="7.85546875" style="1027" hidden="1"/>
    <col min="7914" max="7914" width="43.85546875" style="1027" hidden="1"/>
    <col min="7915" max="7915" width="16.7109375" style="1027" hidden="1"/>
    <col min="7916" max="7916" width="7.5703125" style="1027" hidden="1"/>
    <col min="7917" max="7917" width="16.7109375" style="1027" hidden="1"/>
    <col min="7918" max="7918" width="9.28515625" style="1027" hidden="1"/>
    <col min="7919" max="7919" width="43.85546875" style="1027" hidden="1"/>
    <col min="7920" max="7920" width="16.7109375" style="1027" hidden="1"/>
    <col min="7921" max="7921" width="7.7109375" style="1027" hidden="1"/>
    <col min="7922" max="7922" width="16.7109375" style="1027" hidden="1"/>
    <col min="7923" max="7923" width="7.85546875" style="1027" hidden="1"/>
    <col min="7924" max="7924" width="43.85546875" style="1027" hidden="1"/>
    <col min="7925" max="7925" width="16.7109375" style="1027" hidden="1"/>
    <col min="7926" max="7926" width="7.5703125" style="1027" hidden="1"/>
    <col min="7927" max="7927" width="16.7109375" style="1027" hidden="1"/>
    <col min="7928" max="7928" width="7.85546875" style="1027" hidden="1"/>
    <col min="7929" max="7929" width="43.85546875" style="1027" hidden="1"/>
    <col min="7930" max="7930" width="16.5703125" style="1027" hidden="1"/>
    <col min="7931" max="7931" width="7.5703125" style="1027" hidden="1"/>
    <col min="7932" max="7932" width="16.5703125" style="1027" hidden="1"/>
    <col min="7933" max="7933" width="7.5703125" style="1027" hidden="1"/>
    <col min="7934" max="8124" width="11.42578125" style="1027" hidden="1"/>
    <col min="8125" max="8125" width="43.7109375" style="1027" hidden="1"/>
    <col min="8126" max="8126" width="16.7109375" style="1027" hidden="1"/>
    <col min="8127" max="8127" width="7.7109375" style="1027" hidden="1"/>
    <col min="8128" max="8128" width="16.7109375" style="1027" hidden="1"/>
    <col min="8129" max="8129" width="7.85546875" style="1027" hidden="1"/>
    <col min="8130" max="8130" width="43.85546875" style="1027" hidden="1"/>
    <col min="8131" max="8131" width="16.7109375" style="1027" hidden="1"/>
    <col min="8132" max="8132" width="7.85546875" style="1027" hidden="1"/>
    <col min="8133" max="8133" width="16.7109375" style="1027" hidden="1"/>
    <col min="8134" max="8134" width="7.85546875" style="1027" hidden="1"/>
    <col min="8135" max="8135" width="43.85546875" style="1027" hidden="1"/>
    <col min="8136" max="8136" width="16.7109375" style="1027" hidden="1"/>
    <col min="8137" max="8137" width="7.85546875" style="1027" hidden="1"/>
    <col min="8138" max="8138" width="16.7109375" style="1027" hidden="1"/>
    <col min="8139" max="8139" width="7.5703125" style="1027" hidden="1"/>
    <col min="8140" max="8140" width="43.85546875" style="1027" hidden="1"/>
    <col min="8141" max="8141" width="16.7109375" style="1027" hidden="1"/>
    <col min="8142" max="8142" width="7.85546875" style="1027" hidden="1"/>
    <col min="8143" max="8143" width="16.7109375" style="1027" hidden="1"/>
    <col min="8144" max="8144" width="7.85546875" style="1027" hidden="1"/>
    <col min="8145" max="8145" width="43.85546875" style="1027" hidden="1"/>
    <col min="8146" max="8146" width="16.7109375" style="1027" hidden="1"/>
    <col min="8147" max="8147" width="7.85546875" style="1027" hidden="1"/>
    <col min="8148" max="8148" width="16.7109375" style="1027" hidden="1"/>
    <col min="8149" max="8149" width="7.85546875" style="1027" hidden="1"/>
    <col min="8150" max="8150" width="43.85546875" style="1027" hidden="1"/>
    <col min="8151" max="8151" width="16.7109375" style="1027" hidden="1"/>
    <col min="8152" max="8152" width="7.85546875" style="1027" hidden="1"/>
    <col min="8153" max="8153" width="16.7109375" style="1027" hidden="1"/>
    <col min="8154" max="8154" width="7.85546875" style="1027" hidden="1"/>
    <col min="8155" max="8155" width="43.85546875" style="1027" hidden="1"/>
    <col min="8156" max="8156" width="16.7109375" style="1027" hidden="1"/>
    <col min="8157" max="8157" width="7.85546875" style="1027" hidden="1"/>
    <col min="8158" max="8158" width="16.7109375" style="1027" hidden="1"/>
    <col min="8159" max="8159" width="7.85546875" style="1027" hidden="1"/>
    <col min="8160" max="8160" width="43.85546875" style="1027" hidden="1"/>
    <col min="8161" max="8161" width="16.7109375" style="1027" hidden="1"/>
    <col min="8162" max="8162" width="7.85546875" style="1027" hidden="1"/>
    <col min="8163" max="8163" width="16.5703125" style="1027" hidden="1"/>
    <col min="8164" max="8164" width="7.85546875" style="1027" hidden="1"/>
    <col min="8165" max="8165" width="43.85546875" style="1027" hidden="1"/>
    <col min="8166" max="8166" width="16.7109375" style="1027" hidden="1"/>
    <col min="8167" max="8167" width="7.5703125" style="1027" hidden="1"/>
    <col min="8168" max="8168" width="16.7109375" style="1027" hidden="1"/>
    <col min="8169" max="8169" width="7.85546875" style="1027" hidden="1"/>
    <col min="8170" max="8170" width="43.85546875" style="1027" hidden="1"/>
    <col min="8171" max="8171" width="16.7109375" style="1027" hidden="1"/>
    <col min="8172" max="8172" width="7.5703125" style="1027" hidden="1"/>
    <col min="8173" max="8173" width="16.7109375" style="1027" hidden="1"/>
    <col min="8174" max="8174" width="9.28515625" style="1027" hidden="1"/>
    <col min="8175" max="8175" width="43.85546875" style="1027" hidden="1"/>
    <col min="8176" max="8176" width="16.7109375" style="1027" hidden="1"/>
    <col min="8177" max="8177" width="7.7109375" style="1027" hidden="1"/>
    <col min="8178" max="8178" width="16.7109375" style="1027" hidden="1"/>
    <col min="8179" max="8179" width="7.85546875" style="1027" hidden="1"/>
    <col min="8180" max="8180" width="43.85546875" style="1027" hidden="1"/>
    <col min="8181" max="8181" width="16.7109375" style="1027" hidden="1"/>
    <col min="8182" max="8182" width="7.5703125" style="1027" hidden="1"/>
    <col min="8183" max="8183" width="16.7109375" style="1027" hidden="1"/>
    <col min="8184" max="8184" width="7.85546875" style="1027" hidden="1"/>
    <col min="8185" max="8185" width="43.85546875" style="1027" hidden="1"/>
    <col min="8186" max="8186" width="16.5703125" style="1027" hidden="1"/>
    <col min="8187" max="8187" width="7.5703125" style="1027" hidden="1"/>
    <col min="8188" max="8188" width="16.5703125" style="1027" hidden="1"/>
    <col min="8189" max="8189" width="7.5703125" style="1027" hidden="1"/>
    <col min="8190" max="8380" width="11.42578125" style="1027" hidden="1"/>
    <col min="8381" max="8381" width="43.7109375" style="1027" hidden="1"/>
    <col min="8382" max="8382" width="16.7109375" style="1027" hidden="1"/>
    <col min="8383" max="8383" width="7.7109375" style="1027" hidden="1"/>
    <col min="8384" max="8384" width="16.7109375" style="1027" hidden="1"/>
    <col min="8385" max="8385" width="7.85546875" style="1027" hidden="1"/>
    <col min="8386" max="8386" width="43.85546875" style="1027" hidden="1"/>
    <col min="8387" max="8387" width="16.7109375" style="1027" hidden="1"/>
    <col min="8388" max="8388" width="7.85546875" style="1027" hidden="1"/>
    <col min="8389" max="8389" width="16.7109375" style="1027" hidden="1"/>
    <col min="8390" max="8390" width="7.85546875" style="1027" hidden="1"/>
    <col min="8391" max="8391" width="43.85546875" style="1027" hidden="1"/>
    <col min="8392" max="8392" width="16.7109375" style="1027" hidden="1"/>
    <col min="8393" max="8393" width="7.85546875" style="1027" hidden="1"/>
    <col min="8394" max="8394" width="16.7109375" style="1027" hidden="1"/>
    <col min="8395" max="8395" width="7.5703125" style="1027" hidden="1"/>
    <col min="8396" max="8396" width="43.85546875" style="1027" hidden="1"/>
    <col min="8397" max="8397" width="16.7109375" style="1027" hidden="1"/>
    <col min="8398" max="8398" width="7.85546875" style="1027" hidden="1"/>
    <col min="8399" max="8399" width="16.7109375" style="1027" hidden="1"/>
    <col min="8400" max="8400" width="7.85546875" style="1027" hidden="1"/>
    <col min="8401" max="8401" width="43.85546875" style="1027" hidden="1"/>
    <col min="8402" max="8402" width="16.7109375" style="1027" hidden="1"/>
    <col min="8403" max="8403" width="7.85546875" style="1027" hidden="1"/>
    <col min="8404" max="8404" width="16.7109375" style="1027" hidden="1"/>
    <col min="8405" max="8405" width="7.85546875" style="1027" hidden="1"/>
    <col min="8406" max="8406" width="43.85546875" style="1027" hidden="1"/>
    <col min="8407" max="8407" width="16.7109375" style="1027" hidden="1"/>
    <col min="8408" max="8408" width="7.85546875" style="1027" hidden="1"/>
    <col min="8409" max="8409" width="16.7109375" style="1027" hidden="1"/>
    <col min="8410" max="8410" width="7.85546875" style="1027" hidden="1"/>
    <col min="8411" max="8411" width="43.85546875" style="1027" hidden="1"/>
    <col min="8412" max="8412" width="16.7109375" style="1027" hidden="1"/>
    <col min="8413" max="8413" width="7.85546875" style="1027" hidden="1"/>
    <col min="8414" max="8414" width="16.7109375" style="1027" hidden="1"/>
    <col min="8415" max="8415" width="7.85546875" style="1027" hidden="1"/>
    <col min="8416" max="8416" width="43.85546875" style="1027" hidden="1"/>
    <col min="8417" max="8417" width="16.7109375" style="1027" hidden="1"/>
    <col min="8418" max="8418" width="7.85546875" style="1027" hidden="1"/>
    <col min="8419" max="8419" width="16.5703125" style="1027" hidden="1"/>
    <col min="8420" max="8420" width="7.85546875" style="1027" hidden="1"/>
    <col min="8421" max="8421" width="43.85546875" style="1027" hidden="1"/>
    <col min="8422" max="8422" width="16.7109375" style="1027" hidden="1"/>
    <col min="8423" max="8423" width="7.5703125" style="1027" hidden="1"/>
    <col min="8424" max="8424" width="16.7109375" style="1027" hidden="1"/>
    <col min="8425" max="8425" width="7.85546875" style="1027" hidden="1"/>
    <col min="8426" max="8426" width="43.85546875" style="1027" hidden="1"/>
    <col min="8427" max="8427" width="16.7109375" style="1027" hidden="1"/>
    <col min="8428" max="8428" width="7.5703125" style="1027" hidden="1"/>
    <col min="8429" max="8429" width="16.7109375" style="1027" hidden="1"/>
    <col min="8430" max="8430" width="9.28515625" style="1027" hidden="1"/>
    <col min="8431" max="8431" width="43.85546875" style="1027" hidden="1"/>
    <col min="8432" max="8432" width="16.7109375" style="1027" hidden="1"/>
    <col min="8433" max="8433" width="7.7109375" style="1027" hidden="1"/>
    <col min="8434" max="8434" width="16.7109375" style="1027" hidden="1"/>
    <col min="8435" max="8435" width="7.85546875" style="1027" hidden="1"/>
    <col min="8436" max="8436" width="43.85546875" style="1027" hidden="1"/>
    <col min="8437" max="8437" width="16.7109375" style="1027" hidden="1"/>
    <col min="8438" max="8438" width="7.5703125" style="1027" hidden="1"/>
    <col min="8439" max="8439" width="16.7109375" style="1027" hidden="1"/>
    <col min="8440" max="8440" width="7.85546875" style="1027" hidden="1"/>
    <col min="8441" max="8441" width="43.85546875" style="1027" hidden="1"/>
    <col min="8442" max="8442" width="16.5703125" style="1027" hidden="1"/>
    <col min="8443" max="8443" width="7.5703125" style="1027" hidden="1"/>
    <col min="8444" max="8444" width="16.5703125" style="1027" hidden="1"/>
    <col min="8445" max="8445" width="7.5703125" style="1027" hidden="1"/>
    <col min="8446" max="8636" width="11.42578125" style="1027" hidden="1"/>
    <col min="8637" max="8637" width="43.7109375" style="1027" hidden="1"/>
    <col min="8638" max="8638" width="16.7109375" style="1027" hidden="1"/>
    <col min="8639" max="8639" width="7.7109375" style="1027" hidden="1"/>
    <col min="8640" max="8640" width="16.7109375" style="1027" hidden="1"/>
    <col min="8641" max="8641" width="7.85546875" style="1027" hidden="1"/>
    <col min="8642" max="8642" width="43.85546875" style="1027" hidden="1"/>
    <col min="8643" max="8643" width="16.7109375" style="1027" hidden="1"/>
    <col min="8644" max="8644" width="7.85546875" style="1027" hidden="1"/>
    <col min="8645" max="8645" width="16.7109375" style="1027" hidden="1"/>
    <col min="8646" max="8646" width="7.85546875" style="1027" hidden="1"/>
    <col min="8647" max="8647" width="43.85546875" style="1027" hidden="1"/>
    <col min="8648" max="8648" width="16.7109375" style="1027" hidden="1"/>
    <col min="8649" max="8649" width="7.85546875" style="1027" hidden="1"/>
    <col min="8650" max="8650" width="16.7109375" style="1027" hidden="1"/>
    <col min="8651" max="8651" width="7.5703125" style="1027" hidden="1"/>
    <col min="8652" max="8652" width="43.85546875" style="1027" hidden="1"/>
    <col min="8653" max="8653" width="16.7109375" style="1027" hidden="1"/>
    <col min="8654" max="8654" width="7.85546875" style="1027" hidden="1"/>
    <col min="8655" max="8655" width="16.7109375" style="1027" hidden="1"/>
    <col min="8656" max="8656" width="7.85546875" style="1027" hidden="1"/>
    <col min="8657" max="8657" width="43.85546875" style="1027" hidden="1"/>
    <col min="8658" max="8658" width="16.7109375" style="1027" hidden="1"/>
    <col min="8659" max="8659" width="7.85546875" style="1027" hidden="1"/>
    <col min="8660" max="8660" width="16.7109375" style="1027" hidden="1"/>
    <col min="8661" max="8661" width="7.85546875" style="1027" hidden="1"/>
    <col min="8662" max="8662" width="43.85546875" style="1027" hidden="1"/>
    <col min="8663" max="8663" width="16.7109375" style="1027" hidden="1"/>
    <col min="8664" max="8664" width="7.85546875" style="1027" hidden="1"/>
    <col min="8665" max="8665" width="16.7109375" style="1027" hidden="1"/>
    <col min="8666" max="8666" width="7.85546875" style="1027" hidden="1"/>
    <col min="8667" max="8667" width="43.85546875" style="1027" hidden="1"/>
    <col min="8668" max="8668" width="16.7109375" style="1027" hidden="1"/>
    <col min="8669" max="8669" width="7.85546875" style="1027" hidden="1"/>
    <col min="8670" max="8670" width="16.7109375" style="1027" hidden="1"/>
    <col min="8671" max="8671" width="7.85546875" style="1027" hidden="1"/>
    <col min="8672" max="8672" width="43.85546875" style="1027" hidden="1"/>
    <col min="8673" max="8673" width="16.7109375" style="1027" hidden="1"/>
    <col min="8674" max="8674" width="7.85546875" style="1027" hidden="1"/>
    <col min="8675" max="8675" width="16.5703125" style="1027" hidden="1"/>
    <col min="8676" max="8676" width="7.85546875" style="1027" hidden="1"/>
    <col min="8677" max="8677" width="43.85546875" style="1027" hidden="1"/>
    <col min="8678" max="8678" width="16.7109375" style="1027" hidden="1"/>
    <col min="8679" max="8679" width="7.5703125" style="1027" hidden="1"/>
    <col min="8680" max="8680" width="16.7109375" style="1027" hidden="1"/>
    <col min="8681" max="8681" width="7.85546875" style="1027" hidden="1"/>
    <col min="8682" max="8682" width="43.85546875" style="1027" hidden="1"/>
    <col min="8683" max="8683" width="16.7109375" style="1027" hidden="1"/>
    <col min="8684" max="8684" width="7.5703125" style="1027" hidden="1"/>
    <col min="8685" max="8685" width="16.7109375" style="1027" hidden="1"/>
    <col min="8686" max="8686" width="9.28515625" style="1027" hidden="1"/>
    <col min="8687" max="8687" width="43.85546875" style="1027" hidden="1"/>
    <col min="8688" max="8688" width="16.7109375" style="1027" hidden="1"/>
    <col min="8689" max="8689" width="7.7109375" style="1027" hidden="1"/>
    <col min="8690" max="8690" width="16.7109375" style="1027" hidden="1"/>
    <col min="8691" max="8691" width="7.85546875" style="1027" hidden="1"/>
    <col min="8692" max="8692" width="43.85546875" style="1027" hidden="1"/>
    <col min="8693" max="8693" width="16.7109375" style="1027" hidden="1"/>
    <col min="8694" max="8694" width="7.5703125" style="1027" hidden="1"/>
    <col min="8695" max="8695" width="16.7109375" style="1027" hidden="1"/>
    <col min="8696" max="8696" width="7.85546875" style="1027" hidden="1"/>
    <col min="8697" max="8697" width="43.85546875" style="1027" hidden="1"/>
    <col min="8698" max="8698" width="16.5703125" style="1027" hidden="1"/>
    <col min="8699" max="8699" width="7.5703125" style="1027" hidden="1"/>
    <col min="8700" max="8700" width="16.5703125" style="1027" hidden="1"/>
    <col min="8701" max="8701" width="7.5703125" style="1027" hidden="1"/>
    <col min="8702" max="8892" width="11.42578125" style="1027" hidden="1"/>
    <col min="8893" max="8893" width="43.7109375" style="1027" hidden="1"/>
    <col min="8894" max="8894" width="16.7109375" style="1027" hidden="1"/>
    <col min="8895" max="8895" width="7.7109375" style="1027" hidden="1"/>
    <col min="8896" max="8896" width="16.7109375" style="1027" hidden="1"/>
    <col min="8897" max="8897" width="7.85546875" style="1027" hidden="1"/>
    <col min="8898" max="8898" width="43.85546875" style="1027" hidden="1"/>
    <col min="8899" max="8899" width="16.7109375" style="1027" hidden="1"/>
    <col min="8900" max="8900" width="7.85546875" style="1027" hidden="1"/>
    <col min="8901" max="8901" width="16.7109375" style="1027" hidden="1"/>
    <col min="8902" max="8902" width="7.85546875" style="1027" hidden="1"/>
    <col min="8903" max="8903" width="43.85546875" style="1027" hidden="1"/>
    <col min="8904" max="8904" width="16.7109375" style="1027" hidden="1"/>
    <col min="8905" max="8905" width="7.85546875" style="1027" hidden="1"/>
    <col min="8906" max="8906" width="16.7109375" style="1027" hidden="1"/>
    <col min="8907" max="8907" width="7.5703125" style="1027" hidden="1"/>
    <col min="8908" max="8908" width="43.85546875" style="1027" hidden="1"/>
    <col min="8909" max="8909" width="16.7109375" style="1027" hidden="1"/>
    <col min="8910" max="8910" width="7.85546875" style="1027" hidden="1"/>
    <col min="8911" max="8911" width="16.7109375" style="1027" hidden="1"/>
    <col min="8912" max="8912" width="7.85546875" style="1027" hidden="1"/>
    <col min="8913" max="8913" width="43.85546875" style="1027" hidden="1"/>
    <col min="8914" max="8914" width="16.7109375" style="1027" hidden="1"/>
    <col min="8915" max="8915" width="7.85546875" style="1027" hidden="1"/>
    <col min="8916" max="8916" width="16.7109375" style="1027" hidden="1"/>
    <col min="8917" max="8917" width="7.85546875" style="1027" hidden="1"/>
    <col min="8918" max="8918" width="43.85546875" style="1027" hidden="1"/>
    <col min="8919" max="8919" width="16.7109375" style="1027" hidden="1"/>
    <col min="8920" max="8920" width="7.85546875" style="1027" hidden="1"/>
    <col min="8921" max="8921" width="16.7109375" style="1027" hidden="1"/>
    <col min="8922" max="8922" width="7.85546875" style="1027" hidden="1"/>
    <col min="8923" max="8923" width="43.85546875" style="1027" hidden="1"/>
    <col min="8924" max="8924" width="16.7109375" style="1027" hidden="1"/>
    <col min="8925" max="8925" width="7.85546875" style="1027" hidden="1"/>
    <col min="8926" max="8926" width="16.7109375" style="1027" hidden="1"/>
    <col min="8927" max="8927" width="7.85546875" style="1027" hidden="1"/>
    <col min="8928" max="8928" width="43.85546875" style="1027" hidden="1"/>
    <col min="8929" max="8929" width="16.7109375" style="1027" hidden="1"/>
    <col min="8930" max="8930" width="7.85546875" style="1027" hidden="1"/>
    <col min="8931" max="8931" width="16.5703125" style="1027" hidden="1"/>
    <col min="8932" max="8932" width="7.85546875" style="1027" hidden="1"/>
    <col min="8933" max="8933" width="43.85546875" style="1027" hidden="1"/>
    <col min="8934" max="8934" width="16.7109375" style="1027" hidden="1"/>
    <col min="8935" max="8935" width="7.5703125" style="1027" hidden="1"/>
    <col min="8936" max="8936" width="16.7109375" style="1027" hidden="1"/>
    <col min="8937" max="8937" width="7.85546875" style="1027" hidden="1"/>
    <col min="8938" max="8938" width="43.85546875" style="1027" hidden="1"/>
    <col min="8939" max="8939" width="16.7109375" style="1027" hidden="1"/>
    <col min="8940" max="8940" width="7.5703125" style="1027" hidden="1"/>
    <col min="8941" max="8941" width="16.7109375" style="1027" hidden="1"/>
    <col min="8942" max="8942" width="9.28515625" style="1027" hidden="1"/>
    <col min="8943" max="8943" width="43.85546875" style="1027" hidden="1"/>
    <col min="8944" max="8944" width="16.7109375" style="1027" hidden="1"/>
    <col min="8945" max="8945" width="7.7109375" style="1027" hidden="1"/>
    <col min="8946" max="8946" width="16.7109375" style="1027" hidden="1"/>
    <col min="8947" max="8947" width="7.85546875" style="1027" hidden="1"/>
    <col min="8948" max="8948" width="43.85546875" style="1027" hidden="1"/>
    <col min="8949" max="8949" width="16.7109375" style="1027" hidden="1"/>
    <col min="8950" max="8950" width="7.5703125" style="1027" hidden="1"/>
    <col min="8951" max="8951" width="16.7109375" style="1027" hidden="1"/>
    <col min="8952" max="8952" width="7.85546875" style="1027" hidden="1"/>
    <col min="8953" max="8953" width="43.85546875" style="1027" hidden="1"/>
    <col min="8954" max="8954" width="16.5703125" style="1027" hidden="1"/>
    <col min="8955" max="8955" width="7.5703125" style="1027" hidden="1"/>
    <col min="8956" max="8956" width="16.5703125" style="1027" hidden="1"/>
    <col min="8957" max="8957" width="7.5703125" style="1027" hidden="1"/>
    <col min="8958" max="9148" width="11.42578125" style="1027" hidden="1"/>
    <col min="9149" max="9149" width="43.7109375" style="1027" hidden="1"/>
    <col min="9150" max="9150" width="16.7109375" style="1027" hidden="1"/>
    <col min="9151" max="9151" width="7.7109375" style="1027" hidden="1"/>
    <col min="9152" max="9152" width="16.7109375" style="1027" hidden="1"/>
    <col min="9153" max="9153" width="7.85546875" style="1027" hidden="1"/>
    <col min="9154" max="9154" width="43.85546875" style="1027" hidden="1"/>
    <col min="9155" max="9155" width="16.7109375" style="1027" hidden="1"/>
    <col min="9156" max="9156" width="7.85546875" style="1027" hidden="1"/>
    <col min="9157" max="9157" width="16.7109375" style="1027" hidden="1"/>
    <col min="9158" max="9158" width="7.85546875" style="1027" hidden="1"/>
    <col min="9159" max="9159" width="43.85546875" style="1027" hidden="1"/>
    <col min="9160" max="9160" width="16.7109375" style="1027" hidden="1"/>
    <col min="9161" max="9161" width="7.85546875" style="1027" hidden="1"/>
    <col min="9162" max="9162" width="16.7109375" style="1027" hidden="1"/>
    <col min="9163" max="9163" width="7.5703125" style="1027" hidden="1"/>
    <col min="9164" max="9164" width="43.85546875" style="1027" hidden="1"/>
    <col min="9165" max="9165" width="16.7109375" style="1027" hidden="1"/>
    <col min="9166" max="9166" width="7.85546875" style="1027" hidden="1"/>
    <col min="9167" max="9167" width="16.7109375" style="1027" hidden="1"/>
    <col min="9168" max="9168" width="7.85546875" style="1027" hidden="1"/>
    <col min="9169" max="9169" width="43.85546875" style="1027" hidden="1"/>
    <col min="9170" max="9170" width="16.7109375" style="1027" hidden="1"/>
    <col min="9171" max="9171" width="7.85546875" style="1027" hidden="1"/>
    <col min="9172" max="9172" width="16.7109375" style="1027" hidden="1"/>
    <col min="9173" max="9173" width="7.85546875" style="1027" hidden="1"/>
    <col min="9174" max="9174" width="43.85546875" style="1027" hidden="1"/>
    <col min="9175" max="9175" width="16.7109375" style="1027" hidden="1"/>
    <col min="9176" max="9176" width="7.85546875" style="1027" hidden="1"/>
    <col min="9177" max="9177" width="16.7109375" style="1027" hidden="1"/>
    <col min="9178" max="9178" width="7.85546875" style="1027" hidden="1"/>
    <col min="9179" max="9179" width="43.85546875" style="1027" hidden="1"/>
    <col min="9180" max="9180" width="16.7109375" style="1027" hidden="1"/>
    <col min="9181" max="9181" width="7.85546875" style="1027" hidden="1"/>
    <col min="9182" max="9182" width="16.7109375" style="1027" hidden="1"/>
    <col min="9183" max="9183" width="7.85546875" style="1027" hidden="1"/>
    <col min="9184" max="9184" width="43.85546875" style="1027" hidden="1"/>
    <col min="9185" max="9185" width="16.7109375" style="1027" hidden="1"/>
    <col min="9186" max="9186" width="7.85546875" style="1027" hidden="1"/>
    <col min="9187" max="9187" width="16.5703125" style="1027" hidden="1"/>
    <col min="9188" max="9188" width="7.85546875" style="1027" hidden="1"/>
    <col min="9189" max="9189" width="43.85546875" style="1027" hidden="1"/>
    <col min="9190" max="9190" width="16.7109375" style="1027" hidden="1"/>
    <col min="9191" max="9191" width="7.5703125" style="1027" hidden="1"/>
    <col min="9192" max="9192" width="16.7109375" style="1027" hidden="1"/>
    <col min="9193" max="9193" width="7.85546875" style="1027" hidden="1"/>
    <col min="9194" max="9194" width="43.85546875" style="1027" hidden="1"/>
    <col min="9195" max="9195" width="16.7109375" style="1027" hidden="1"/>
    <col min="9196" max="9196" width="7.5703125" style="1027" hidden="1"/>
    <col min="9197" max="9197" width="16.7109375" style="1027" hidden="1"/>
    <col min="9198" max="9198" width="9.28515625" style="1027" hidden="1"/>
    <col min="9199" max="9199" width="43.85546875" style="1027" hidden="1"/>
    <col min="9200" max="9200" width="16.7109375" style="1027" hidden="1"/>
    <col min="9201" max="9201" width="7.7109375" style="1027" hidden="1"/>
    <col min="9202" max="9202" width="16.7109375" style="1027" hidden="1"/>
    <col min="9203" max="9203" width="7.85546875" style="1027" hidden="1"/>
    <col min="9204" max="9204" width="43.85546875" style="1027" hidden="1"/>
    <col min="9205" max="9205" width="16.7109375" style="1027" hidden="1"/>
    <col min="9206" max="9206" width="7.5703125" style="1027" hidden="1"/>
    <col min="9207" max="9207" width="16.7109375" style="1027" hidden="1"/>
    <col min="9208" max="9208" width="7.85546875" style="1027" hidden="1"/>
    <col min="9209" max="9209" width="43.85546875" style="1027" hidden="1"/>
    <col min="9210" max="9210" width="16.5703125" style="1027" hidden="1"/>
    <col min="9211" max="9211" width="7.5703125" style="1027" hidden="1"/>
    <col min="9212" max="9212" width="16.5703125" style="1027" hidden="1"/>
    <col min="9213" max="9213" width="7.5703125" style="1027" hidden="1"/>
    <col min="9214" max="9404" width="11.42578125" style="1027" hidden="1"/>
    <col min="9405" max="9405" width="43.7109375" style="1027" hidden="1"/>
    <col min="9406" max="9406" width="16.7109375" style="1027" hidden="1"/>
    <col min="9407" max="9407" width="7.7109375" style="1027" hidden="1"/>
    <col min="9408" max="9408" width="16.7109375" style="1027" hidden="1"/>
    <col min="9409" max="9409" width="7.85546875" style="1027" hidden="1"/>
    <col min="9410" max="9410" width="43.85546875" style="1027" hidden="1"/>
    <col min="9411" max="9411" width="16.7109375" style="1027" hidden="1"/>
    <col min="9412" max="9412" width="7.85546875" style="1027" hidden="1"/>
    <col min="9413" max="9413" width="16.7109375" style="1027" hidden="1"/>
    <col min="9414" max="9414" width="7.85546875" style="1027" hidden="1"/>
    <col min="9415" max="9415" width="43.85546875" style="1027" hidden="1"/>
    <col min="9416" max="9416" width="16.7109375" style="1027" hidden="1"/>
    <col min="9417" max="9417" width="7.85546875" style="1027" hidden="1"/>
    <col min="9418" max="9418" width="16.7109375" style="1027" hidden="1"/>
    <col min="9419" max="9419" width="7.5703125" style="1027" hidden="1"/>
    <col min="9420" max="9420" width="43.85546875" style="1027" hidden="1"/>
    <col min="9421" max="9421" width="16.7109375" style="1027" hidden="1"/>
    <col min="9422" max="9422" width="7.85546875" style="1027" hidden="1"/>
    <col min="9423" max="9423" width="16.7109375" style="1027" hidden="1"/>
    <col min="9424" max="9424" width="7.85546875" style="1027" hidden="1"/>
    <col min="9425" max="9425" width="43.85546875" style="1027" hidden="1"/>
    <col min="9426" max="9426" width="16.7109375" style="1027" hidden="1"/>
    <col min="9427" max="9427" width="7.85546875" style="1027" hidden="1"/>
    <col min="9428" max="9428" width="16.7109375" style="1027" hidden="1"/>
    <col min="9429" max="9429" width="7.85546875" style="1027" hidden="1"/>
    <col min="9430" max="9430" width="43.85546875" style="1027" hidden="1"/>
    <col min="9431" max="9431" width="16.7109375" style="1027" hidden="1"/>
    <col min="9432" max="9432" width="7.85546875" style="1027" hidden="1"/>
    <col min="9433" max="9433" width="16.7109375" style="1027" hidden="1"/>
    <col min="9434" max="9434" width="7.85546875" style="1027" hidden="1"/>
    <col min="9435" max="9435" width="43.85546875" style="1027" hidden="1"/>
    <col min="9436" max="9436" width="16.7109375" style="1027" hidden="1"/>
    <col min="9437" max="9437" width="7.85546875" style="1027" hidden="1"/>
    <col min="9438" max="9438" width="16.7109375" style="1027" hidden="1"/>
    <col min="9439" max="9439" width="7.85546875" style="1027" hidden="1"/>
    <col min="9440" max="9440" width="43.85546875" style="1027" hidden="1"/>
    <col min="9441" max="9441" width="16.7109375" style="1027" hidden="1"/>
    <col min="9442" max="9442" width="7.85546875" style="1027" hidden="1"/>
    <col min="9443" max="9443" width="16.5703125" style="1027" hidden="1"/>
    <col min="9444" max="9444" width="7.85546875" style="1027" hidden="1"/>
    <col min="9445" max="9445" width="43.85546875" style="1027" hidden="1"/>
    <col min="9446" max="9446" width="16.7109375" style="1027" hidden="1"/>
    <col min="9447" max="9447" width="7.5703125" style="1027" hidden="1"/>
    <col min="9448" max="9448" width="16.7109375" style="1027" hidden="1"/>
    <col min="9449" max="9449" width="7.85546875" style="1027" hidden="1"/>
    <col min="9450" max="9450" width="43.85546875" style="1027" hidden="1"/>
    <col min="9451" max="9451" width="16.7109375" style="1027" hidden="1"/>
    <col min="9452" max="9452" width="7.5703125" style="1027" hidden="1"/>
    <col min="9453" max="9453" width="16.7109375" style="1027" hidden="1"/>
    <col min="9454" max="9454" width="9.28515625" style="1027" hidden="1"/>
    <col min="9455" max="9455" width="43.85546875" style="1027" hidden="1"/>
    <col min="9456" max="9456" width="16.7109375" style="1027" hidden="1"/>
    <col min="9457" max="9457" width="7.7109375" style="1027" hidden="1"/>
    <col min="9458" max="9458" width="16.7109375" style="1027" hidden="1"/>
    <col min="9459" max="9459" width="7.85546875" style="1027" hidden="1"/>
    <col min="9460" max="9460" width="43.85546875" style="1027" hidden="1"/>
    <col min="9461" max="9461" width="16.7109375" style="1027" hidden="1"/>
    <col min="9462" max="9462" width="7.5703125" style="1027" hidden="1"/>
    <col min="9463" max="9463" width="16.7109375" style="1027" hidden="1"/>
    <col min="9464" max="9464" width="7.85546875" style="1027" hidden="1"/>
    <col min="9465" max="9465" width="43.85546875" style="1027" hidden="1"/>
    <col min="9466" max="9466" width="16.5703125" style="1027" hidden="1"/>
    <col min="9467" max="9467" width="7.5703125" style="1027" hidden="1"/>
    <col min="9468" max="9468" width="16.5703125" style="1027" hidden="1"/>
    <col min="9469" max="9469" width="7.5703125" style="1027" hidden="1"/>
    <col min="9470" max="9660" width="11.42578125" style="1027" hidden="1"/>
    <col min="9661" max="9661" width="43.7109375" style="1027" hidden="1"/>
    <col min="9662" max="9662" width="16.7109375" style="1027" hidden="1"/>
    <col min="9663" max="9663" width="7.7109375" style="1027" hidden="1"/>
    <col min="9664" max="9664" width="16.7109375" style="1027" hidden="1"/>
    <col min="9665" max="9665" width="7.85546875" style="1027" hidden="1"/>
    <col min="9666" max="9666" width="43.85546875" style="1027" hidden="1"/>
    <col min="9667" max="9667" width="16.7109375" style="1027" hidden="1"/>
    <col min="9668" max="9668" width="7.85546875" style="1027" hidden="1"/>
    <col min="9669" max="9669" width="16.7109375" style="1027" hidden="1"/>
    <col min="9670" max="9670" width="7.85546875" style="1027" hidden="1"/>
    <col min="9671" max="9671" width="43.85546875" style="1027" hidden="1"/>
    <col min="9672" max="9672" width="16.7109375" style="1027" hidden="1"/>
    <col min="9673" max="9673" width="7.85546875" style="1027" hidden="1"/>
    <col min="9674" max="9674" width="16.7109375" style="1027" hidden="1"/>
    <col min="9675" max="9675" width="7.5703125" style="1027" hidden="1"/>
    <col min="9676" max="9676" width="43.85546875" style="1027" hidden="1"/>
    <col min="9677" max="9677" width="16.7109375" style="1027" hidden="1"/>
    <col min="9678" max="9678" width="7.85546875" style="1027" hidden="1"/>
    <col min="9679" max="9679" width="16.7109375" style="1027" hidden="1"/>
    <col min="9680" max="9680" width="7.85546875" style="1027" hidden="1"/>
    <col min="9681" max="9681" width="43.85546875" style="1027" hidden="1"/>
    <col min="9682" max="9682" width="16.7109375" style="1027" hidden="1"/>
    <col min="9683" max="9683" width="7.85546875" style="1027" hidden="1"/>
    <col min="9684" max="9684" width="16.7109375" style="1027" hidden="1"/>
    <col min="9685" max="9685" width="7.85546875" style="1027" hidden="1"/>
    <col min="9686" max="9686" width="43.85546875" style="1027" hidden="1"/>
    <col min="9687" max="9687" width="16.7109375" style="1027" hidden="1"/>
    <col min="9688" max="9688" width="7.85546875" style="1027" hidden="1"/>
    <col min="9689" max="9689" width="16.7109375" style="1027" hidden="1"/>
    <col min="9690" max="9690" width="7.85546875" style="1027" hidden="1"/>
    <col min="9691" max="9691" width="43.85546875" style="1027" hidden="1"/>
    <col min="9692" max="9692" width="16.7109375" style="1027" hidden="1"/>
    <col min="9693" max="9693" width="7.85546875" style="1027" hidden="1"/>
    <col min="9694" max="9694" width="16.7109375" style="1027" hidden="1"/>
    <col min="9695" max="9695" width="7.85546875" style="1027" hidden="1"/>
    <col min="9696" max="9696" width="43.85546875" style="1027" hidden="1"/>
    <col min="9697" max="9697" width="16.7109375" style="1027" hidden="1"/>
    <col min="9698" max="9698" width="7.85546875" style="1027" hidden="1"/>
    <col min="9699" max="9699" width="16.5703125" style="1027" hidden="1"/>
    <col min="9700" max="9700" width="7.85546875" style="1027" hidden="1"/>
    <col min="9701" max="9701" width="43.85546875" style="1027" hidden="1"/>
    <col min="9702" max="9702" width="16.7109375" style="1027" hidden="1"/>
    <col min="9703" max="9703" width="7.5703125" style="1027" hidden="1"/>
    <col min="9704" max="9704" width="16.7109375" style="1027" hidden="1"/>
    <col min="9705" max="9705" width="7.85546875" style="1027" hidden="1"/>
    <col min="9706" max="9706" width="43.85546875" style="1027" hidden="1"/>
    <col min="9707" max="9707" width="16.7109375" style="1027" hidden="1"/>
    <col min="9708" max="9708" width="7.5703125" style="1027" hidden="1"/>
    <col min="9709" max="9709" width="16.7109375" style="1027" hidden="1"/>
    <col min="9710" max="9710" width="9.28515625" style="1027" hidden="1"/>
    <col min="9711" max="9711" width="43.85546875" style="1027" hidden="1"/>
    <col min="9712" max="9712" width="16.7109375" style="1027" hidden="1"/>
    <col min="9713" max="9713" width="7.7109375" style="1027" hidden="1"/>
    <col min="9714" max="9714" width="16.7109375" style="1027" hidden="1"/>
    <col min="9715" max="9715" width="7.85546875" style="1027" hidden="1"/>
    <col min="9716" max="9716" width="43.85546875" style="1027" hidden="1"/>
    <col min="9717" max="9717" width="16.7109375" style="1027" hidden="1"/>
    <col min="9718" max="9718" width="7.5703125" style="1027" hidden="1"/>
    <col min="9719" max="9719" width="16.7109375" style="1027" hidden="1"/>
    <col min="9720" max="9720" width="7.85546875" style="1027" hidden="1"/>
    <col min="9721" max="9721" width="43.85546875" style="1027" hidden="1"/>
    <col min="9722" max="9722" width="16.5703125" style="1027" hidden="1"/>
    <col min="9723" max="9723" width="7.5703125" style="1027" hidden="1"/>
    <col min="9724" max="9724" width="16.5703125" style="1027" hidden="1"/>
    <col min="9725" max="9725" width="7.5703125" style="1027" hidden="1"/>
    <col min="9726" max="9916" width="11.42578125" style="1027" hidden="1"/>
    <col min="9917" max="9917" width="43.7109375" style="1027" hidden="1"/>
    <col min="9918" max="9918" width="16.7109375" style="1027" hidden="1"/>
    <col min="9919" max="9919" width="7.7109375" style="1027" hidden="1"/>
    <col min="9920" max="9920" width="16.7109375" style="1027" hidden="1"/>
    <col min="9921" max="9921" width="7.85546875" style="1027" hidden="1"/>
    <col min="9922" max="9922" width="43.85546875" style="1027" hidden="1"/>
    <col min="9923" max="9923" width="16.7109375" style="1027" hidden="1"/>
    <col min="9924" max="9924" width="7.85546875" style="1027" hidden="1"/>
    <col min="9925" max="9925" width="16.7109375" style="1027" hidden="1"/>
    <col min="9926" max="9926" width="7.85546875" style="1027" hidden="1"/>
    <col min="9927" max="9927" width="43.85546875" style="1027" hidden="1"/>
    <col min="9928" max="9928" width="16.7109375" style="1027" hidden="1"/>
    <col min="9929" max="9929" width="7.85546875" style="1027" hidden="1"/>
    <col min="9930" max="9930" width="16.7109375" style="1027" hidden="1"/>
    <col min="9931" max="9931" width="7.5703125" style="1027" hidden="1"/>
    <col min="9932" max="9932" width="43.85546875" style="1027" hidden="1"/>
    <col min="9933" max="9933" width="16.7109375" style="1027" hidden="1"/>
    <col min="9934" max="9934" width="7.85546875" style="1027" hidden="1"/>
    <col min="9935" max="9935" width="16.7109375" style="1027" hidden="1"/>
    <col min="9936" max="9936" width="7.85546875" style="1027" hidden="1"/>
    <col min="9937" max="9937" width="43.85546875" style="1027" hidden="1"/>
    <col min="9938" max="9938" width="16.7109375" style="1027" hidden="1"/>
    <col min="9939" max="9939" width="7.85546875" style="1027" hidden="1"/>
    <col min="9940" max="9940" width="16.7109375" style="1027" hidden="1"/>
    <col min="9941" max="9941" width="7.85546875" style="1027" hidden="1"/>
    <col min="9942" max="9942" width="43.85546875" style="1027" hidden="1"/>
    <col min="9943" max="9943" width="16.7109375" style="1027" hidden="1"/>
    <col min="9944" max="9944" width="7.85546875" style="1027" hidden="1"/>
    <col min="9945" max="9945" width="16.7109375" style="1027" hidden="1"/>
    <col min="9946" max="9946" width="7.85546875" style="1027" hidden="1"/>
    <col min="9947" max="9947" width="43.85546875" style="1027" hidden="1"/>
    <col min="9948" max="9948" width="16.7109375" style="1027" hidden="1"/>
    <col min="9949" max="9949" width="7.85546875" style="1027" hidden="1"/>
    <col min="9950" max="9950" width="16.7109375" style="1027" hidden="1"/>
    <col min="9951" max="9951" width="7.85546875" style="1027" hidden="1"/>
    <col min="9952" max="9952" width="43.85546875" style="1027" hidden="1"/>
    <col min="9953" max="9953" width="16.7109375" style="1027" hidden="1"/>
    <col min="9954" max="9954" width="7.85546875" style="1027" hidden="1"/>
    <col min="9955" max="9955" width="16.5703125" style="1027" hidden="1"/>
    <col min="9956" max="9956" width="7.85546875" style="1027" hidden="1"/>
    <col min="9957" max="9957" width="43.85546875" style="1027" hidden="1"/>
    <col min="9958" max="9958" width="16.7109375" style="1027" hidden="1"/>
    <col min="9959" max="9959" width="7.5703125" style="1027" hidden="1"/>
    <col min="9960" max="9960" width="16.7109375" style="1027" hidden="1"/>
    <col min="9961" max="9961" width="7.85546875" style="1027" hidden="1"/>
    <col min="9962" max="9962" width="43.85546875" style="1027" hidden="1"/>
    <col min="9963" max="9963" width="16.7109375" style="1027" hidden="1"/>
    <col min="9964" max="9964" width="7.5703125" style="1027" hidden="1"/>
    <col min="9965" max="9965" width="16.7109375" style="1027" hidden="1"/>
    <col min="9966" max="9966" width="9.28515625" style="1027" hidden="1"/>
    <col min="9967" max="9967" width="43.85546875" style="1027" hidden="1"/>
    <col min="9968" max="9968" width="16.7109375" style="1027" hidden="1"/>
    <col min="9969" max="9969" width="7.7109375" style="1027" hidden="1"/>
    <col min="9970" max="9970" width="16.7109375" style="1027" hidden="1"/>
    <col min="9971" max="9971" width="7.85546875" style="1027" hidden="1"/>
    <col min="9972" max="9972" width="43.85546875" style="1027" hidden="1"/>
    <col min="9973" max="9973" width="16.7109375" style="1027" hidden="1"/>
    <col min="9974" max="9974" width="7.5703125" style="1027" hidden="1"/>
    <col min="9975" max="9975" width="16.7109375" style="1027" hidden="1"/>
    <col min="9976" max="9976" width="7.85546875" style="1027" hidden="1"/>
    <col min="9977" max="9977" width="43.85546875" style="1027" hidden="1"/>
    <col min="9978" max="9978" width="16.5703125" style="1027" hidden="1"/>
    <col min="9979" max="9979" width="7.5703125" style="1027" hidden="1"/>
    <col min="9980" max="9980" width="16.5703125" style="1027" hidden="1"/>
    <col min="9981" max="9981" width="7.5703125" style="1027" hidden="1"/>
    <col min="9982" max="10172" width="11.42578125" style="1027" hidden="1"/>
    <col min="10173" max="10173" width="43.7109375" style="1027" hidden="1"/>
    <col min="10174" max="10174" width="16.7109375" style="1027" hidden="1"/>
    <col min="10175" max="10175" width="7.7109375" style="1027" hidden="1"/>
    <col min="10176" max="10176" width="16.7109375" style="1027" hidden="1"/>
    <col min="10177" max="10177" width="7.85546875" style="1027" hidden="1"/>
    <col min="10178" max="10178" width="43.85546875" style="1027" hidden="1"/>
    <col min="10179" max="10179" width="16.7109375" style="1027" hidden="1"/>
    <col min="10180" max="10180" width="7.85546875" style="1027" hidden="1"/>
    <col min="10181" max="10181" width="16.7109375" style="1027" hidden="1"/>
    <col min="10182" max="10182" width="7.85546875" style="1027" hidden="1"/>
    <col min="10183" max="10183" width="43.85546875" style="1027" hidden="1"/>
    <col min="10184" max="10184" width="16.7109375" style="1027" hidden="1"/>
    <col min="10185" max="10185" width="7.85546875" style="1027" hidden="1"/>
    <col min="10186" max="10186" width="16.7109375" style="1027" hidden="1"/>
    <col min="10187" max="10187" width="7.5703125" style="1027" hidden="1"/>
    <col min="10188" max="10188" width="43.85546875" style="1027" hidden="1"/>
    <col min="10189" max="10189" width="16.7109375" style="1027" hidden="1"/>
    <col min="10190" max="10190" width="7.85546875" style="1027" hidden="1"/>
    <col min="10191" max="10191" width="16.7109375" style="1027" hidden="1"/>
    <col min="10192" max="10192" width="7.85546875" style="1027" hidden="1"/>
    <col min="10193" max="10193" width="43.85546875" style="1027" hidden="1"/>
    <col min="10194" max="10194" width="16.7109375" style="1027" hidden="1"/>
    <col min="10195" max="10195" width="7.85546875" style="1027" hidden="1"/>
    <col min="10196" max="10196" width="16.7109375" style="1027" hidden="1"/>
    <col min="10197" max="10197" width="7.85546875" style="1027" hidden="1"/>
    <col min="10198" max="10198" width="43.85546875" style="1027" hidden="1"/>
    <col min="10199" max="10199" width="16.7109375" style="1027" hidden="1"/>
    <col min="10200" max="10200" width="7.85546875" style="1027" hidden="1"/>
    <col min="10201" max="10201" width="16.7109375" style="1027" hidden="1"/>
    <col min="10202" max="10202" width="7.85546875" style="1027" hidden="1"/>
    <col min="10203" max="10203" width="43.85546875" style="1027" hidden="1"/>
    <col min="10204" max="10204" width="16.7109375" style="1027" hidden="1"/>
    <col min="10205" max="10205" width="7.85546875" style="1027" hidden="1"/>
    <col min="10206" max="10206" width="16.7109375" style="1027" hidden="1"/>
    <col min="10207" max="10207" width="7.85546875" style="1027" hidden="1"/>
    <col min="10208" max="10208" width="43.85546875" style="1027" hidden="1"/>
    <col min="10209" max="10209" width="16.7109375" style="1027" hidden="1"/>
    <col min="10210" max="10210" width="7.85546875" style="1027" hidden="1"/>
    <col min="10211" max="10211" width="16.5703125" style="1027" hidden="1"/>
    <col min="10212" max="10212" width="7.85546875" style="1027" hidden="1"/>
    <col min="10213" max="10213" width="43.85546875" style="1027" hidden="1"/>
    <col min="10214" max="10214" width="16.7109375" style="1027" hidden="1"/>
    <col min="10215" max="10215" width="7.5703125" style="1027" hidden="1"/>
    <col min="10216" max="10216" width="16.7109375" style="1027" hidden="1"/>
    <col min="10217" max="10217" width="7.85546875" style="1027" hidden="1"/>
    <col min="10218" max="10218" width="43.85546875" style="1027" hidden="1"/>
    <col min="10219" max="10219" width="16.7109375" style="1027" hidden="1"/>
    <col min="10220" max="10220" width="7.5703125" style="1027" hidden="1"/>
    <col min="10221" max="10221" width="16.7109375" style="1027" hidden="1"/>
    <col min="10222" max="10222" width="9.28515625" style="1027" hidden="1"/>
    <col min="10223" max="10223" width="43.85546875" style="1027" hidden="1"/>
    <col min="10224" max="10224" width="16.7109375" style="1027" hidden="1"/>
    <col min="10225" max="10225" width="7.7109375" style="1027" hidden="1"/>
    <col min="10226" max="10226" width="16.7109375" style="1027" hidden="1"/>
    <col min="10227" max="10227" width="7.85546875" style="1027" hidden="1"/>
    <col min="10228" max="10228" width="43.85546875" style="1027" hidden="1"/>
    <col min="10229" max="10229" width="16.7109375" style="1027" hidden="1"/>
    <col min="10230" max="10230" width="7.5703125" style="1027" hidden="1"/>
    <col min="10231" max="10231" width="16.7109375" style="1027" hidden="1"/>
    <col min="10232" max="10232" width="7.85546875" style="1027" hidden="1"/>
    <col min="10233" max="10233" width="43.85546875" style="1027" hidden="1"/>
    <col min="10234" max="10234" width="16.5703125" style="1027" hidden="1"/>
    <col min="10235" max="10235" width="7.5703125" style="1027" hidden="1"/>
    <col min="10236" max="10236" width="16.5703125" style="1027" hidden="1"/>
    <col min="10237" max="10237" width="7.5703125" style="1027" hidden="1"/>
    <col min="10238" max="10428" width="11.42578125" style="1027" hidden="1"/>
    <col min="10429" max="10429" width="43.7109375" style="1027" hidden="1"/>
    <col min="10430" max="10430" width="16.7109375" style="1027" hidden="1"/>
    <col min="10431" max="10431" width="7.7109375" style="1027" hidden="1"/>
    <col min="10432" max="10432" width="16.7109375" style="1027" hidden="1"/>
    <col min="10433" max="10433" width="7.85546875" style="1027" hidden="1"/>
    <col min="10434" max="10434" width="43.85546875" style="1027" hidden="1"/>
    <col min="10435" max="10435" width="16.7109375" style="1027" hidden="1"/>
    <col min="10436" max="10436" width="7.85546875" style="1027" hidden="1"/>
    <col min="10437" max="10437" width="16.7109375" style="1027" hidden="1"/>
    <col min="10438" max="10438" width="7.85546875" style="1027" hidden="1"/>
    <col min="10439" max="10439" width="43.85546875" style="1027" hidden="1"/>
    <col min="10440" max="10440" width="16.7109375" style="1027" hidden="1"/>
    <col min="10441" max="10441" width="7.85546875" style="1027" hidden="1"/>
    <col min="10442" max="10442" width="16.7109375" style="1027" hidden="1"/>
    <col min="10443" max="10443" width="7.5703125" style="1027" hidden="1"/>
    <col min="10444" max="10444" width="43.85546875" style="1027" hidden="1"/>
    <col min="10445" max="10445" width="16.7109375" style="1027" hidden="1"/>
    <col min="10446" max="10446" width="7.85546875" style="1027" hidden="1"/>
    <col min="10447" max="10447" width="16.7109375" style="1027" hidden="1"/>
    <col min="10448" max="10448" width="7.85546875" style="1027" hidden="1"/>
    <col min="10449" max="10449" width="43.85546875" style="1027" hidden="1"/>
    <col min="10450" max="10450" width="16.7109375" style="1027" hidden="1"/>
    <col min="10451" max="10451" width="7.85546875" style="1027" hidden="1"/>
    <col min="10452" max="10452" width="16.7109375" style="1027" hidden="1"/>
    <col min="10453" max="10453" width="7.85546875" style="1027" hidden="1"/>
    <col min="10454" max="10454" width="43.85546875" style="1027" hidden="1"/>
    <col min="10455" max="10455" width="16.7109375" style="1027" hidden="1"/>
    <col min="10456" max="10456" width="7.85546875" style="1027" hidden="1"/>
    <col min="10457" max="10457" width="16.7109375" style="1027" hidden="1"/>
    <col min="10458" max="10458" width="7.85546875" style="1027" hidden="1"/>
    <col min="10459" max="10459" width="43.85546875" style="1027" hidden="1"/>
    <col min="10460" max="10460" width="16.7109375" style="1027" hidden="1"/>
    <col min="10461" max="10461" width="7.85546875" style="1027" hidden="1"/>
    <col min="10462" max="10462" width="16.7109375" style="1027" hidden="1"/>
    <col min="10463" max="10463" width="7.85546875" style="1027" hidden="1"/>
    <col min="10464" max="10464" width="43.85546875" style="1027" hidden="1"/>
    <col min="10465" max="10465" width="16.7109375" style="1027" hidden="1"/>
    <col min="10466" max="10466" width="7.85546875" style="1027" hidden="1"/>
    <col min="10467" max="10467" width="16.5703125" style="1027" hidden="1"/>
    <col min="10468" max="10468" width="7.85546875" style="1027" hidden="1"/>
    <col min="10469" max="10469" width="43.85546875" style="1027" hidden="1"/>
    <col min="10470" max="10470" width="16.7109375" style="1027" hidden="1"/>
    <col min="10471" max="10471" width="7.5703125" style="1027" hidden="1"/>
    <col min="10472" max="10472" width="16.7109375" style="1027" hidden="1"/>
    <col min="10473" max="10473" width="7.85546875" style="1027" hidden="1"/>
    <col min="10474" max="10474" width="43.85546875" style="1027" hidden="1"/>
    <col min="10475" max="10475" width="16.7109375" style="1027" hidden="1"/>
    <col min="10476" max="10476" width="7.5703125" style="1027" hidden="1"/>
    <col min="10477" max="10477" width="16.7109375" style="1027" hidden="1"/>
    <col min="10478" max="10478" width="9.28515625" style="1027" hidden="1"/>
    <col min="10479" max="10479" width="43.85546875" style="1027" hidden="1"/>
    <col min="10480" max="10480" width="16.7109375" style="1027" hidden="1"/>
    <col min="10481" max="10481" width="7.7109375" style="1027" hidden="1"/>
    <col min="10482" max="10482" width="16.7109375" style="1027" hidden="1"/>
    <col min="10483" max="10483" width="7.85546875" style="1027" hidden="1"/>
    <col min="10484" max="10484" width="43.85546875" style="1027" hidden="1"/>
    <col min="10485" max="10485" width="16.7109375" style="1027" hidden="1"/>
    <col min="10486" max="10486" width="7.5703125" style="1027" hidden="1"/>
    <col min="10487" max="10487" width="16.7109375" style="1027" hidden="1"/>
    <col min="10488" max="10488" width="7.85546875" style="1027" hidden="1"/>
    <col min="10489" max="10489" width="43.85546875" style="1027" hidden="1"/>
    <col min="10490" max="10490" width="16.5703125" style="1027" hidden="1"/>
    <col min="10491" max="10491" width="7.5703125" style="1027" hidden="1"/>
    <col min="10492" max="10492" width="16.5703125" style="1027" hidden="1"/>
    <col min="10493" max="10493" width="7.5703125" style="1027" hidden="1"/>
    <col min="10494" max="10684" width="11.42578125" style="1027" hidden="1"/>
    <col min="10685" max="10685" width="43.7109375" style="1027" hidden="1"/>
    <col min="10686" max="10686" width="16.7109375" style="1027" hidden="1"/>
    <col min="10687" max="10687" width="7.7109375" style="1027" hidden="1"/>
    <col min="10688" max="10688" width="16.7109375" style="1027" hidden="1"/>
    <col min="10689" max="10689" width="7.85546875" style="1027" hidden="1"/>
    <col min="10690" max="10690" width="43.85546875" style="1027" hidden="1"/>
    <col min="10691" max="10691" width="16.7109375" style="1027" hidden="1"/>
    <col min="10692" max="10692" width="7.85546875" style="1027" hidden="1"/>
    <col min="10693" max="10693" width="16.7109375" style="1027" hidden="1"/>
    <col min="10694" max="10694" width="7.85546875" style="1027" hidden="1"/>
    <col min="10695" max="10695" width="43.85546875" style="1027" hidden="1"/>
    <col min="10696" max="10696" width="16.7109375" style="1027" hidden="1"/>
    <col min="10697" max="10697" width="7.85546875" style="1027" hidden="1"/>
    <col min="10698" max="10698" width="16.7109375" style="1027" hidden="1"/>
    <col min="10699" max="10699" width="7.5703125" style="1027" hidden="1"/>
    <col min="10700" max="10700" width="43.85546875" style="1027" hidden="1"/>
    <col min="10701" max="10701" width="16.7109375" style="1027" hidden="1"/>
    <col min="10702" max="10702" width="7.85546875" style="1027" hidden="1"/>
    <col min="10703" max="10703" width="16.7109375" style="1027" hidden="1"/>
    <col min="10704" max="10704" width="7.85546875" style="1027" hidden="1"/>
    <col min="10705" max="10705" width="43.85546875" style="1027" hidden="1"/>
    <col min="10706" max="10706" width="16.7109375" style="1027" hidden="1"/>
    <col min="10707" max="10707" width="7.85546875" style="1027" hidden="1"/>
    <col min="10708" max="10708" width="16.7109375" style="1027" hidden="1"/>
    <col min="10709" max="10709" width="7.85546875" style="1027" hidden="1"/>
    <col min="10710" max="10710" width="43.85546875" style="1027" hidden="1"/>
    <col min="10711" max="10711" width="16.7109375" style="1027" hidden="1"/>
    <col min="10712" max="10712" width="7.85546875" style="1027" hidden="1"/>
    <col min="10713" max="10713" width="16.7109375" style="1027" hidden="1"/>
    <col min="10714" max="10714" width="7.85546875" style="1027" hidden="1"/>
    <col min="10715" max="10715" width="43.85546875" style="1027" hidden="1"/>
    <col min="10716" max="10716" width="16.7109375" style="1027" hidden="1"/>
    <col min="10717" max="10717" width="7.85546875" style="1027" hidden="1"/>
    <col min="10718" max="10718" width="16.7109375" style="1027" hidden="1"/>
    <col min="10719" max="10719" width="7.85546875" style="1027" hidden="1"/>
    <col min="10720" max="10720" width="43.85546875" style="1027" hidden="1"/>
    <col min="10721" max="10721" width="16.7109375" style="1027" hidden="1"/>
    <col min="10722" max="10722" width="7.85546875" style="1027" hidden="1"/>
    <col min="10723" max="10723" width="16.5703125" style="1027" hidden="1"/>
    <col min="10724" max="10724" width="7.85546875" style="1027" hidden="1"/>
    <col min="10725" max="10725" width="43.85546875" style="1027" hidden="1"/>
    <col min="10726" max="10726" width="16.7109375" style="1027" hidden="1"/>
    <col min="10727" max="10727" width="7.5703125" style="1027" hidden="1"/>
    <col min="10728" max="10728" width="16.7109375" style="1027" hidden="1"/>
    <col min="10729" max="10729" width="7.85546875" style="1027" hidden="1"/>
    <col min="10730" max="10730" width="43.85546875" style="1027" hidden="1"/>
    <col min="10731" max="10731" width="16.7109375" style="1027" hidden="1"/>
    <col min="10732" max="10732" width="7.5703125" style="1027" hidden="1"/>
    <col min="10733" max="10733" width="16.7109375" style="1027" hidden="1"/>
    <col min="10734" max="10734" width="9.28515625" style="1027" hidden="1"/>
    <col min="10735" max="10735" width="43.85546875" style="1027" hidden="1"/>
    <col min="10736" max="10736" width="16.7109375" style="1027" hidden="1"/>
    <col min="10737" max="10737" width="7.7109375" style="1027" hidden="1"/>
    <col min="10738" max="10738" width="16.7109375" style="1027" hidden="1"/>
    <col min="10739" max="10739" width="7.85546875" style="1027" hidden="1"/>
    <col min="10740" max="10740" width="43.85546875" style="1027" hidden="1"/>
    <col min="10741" max="10741" width="16.7109375" style="1027" hidden="1"/>
    <col min="10742" max="10742" width="7.5703125" style="1027" hidden="1"/>
    <col min="10743" max="10743" width="16.7109375" style="1027" hidden="1"/>
    <col min="10744" max="10744" width="7.85546875" style="1027" hidden="1"/>
    <col min="10745" max="10745" width="43.85546875" style="1027" hidden="1"/>
    <col min="10746" max="10746" width="16.5703125" style="1027" hidden="1"/>
    <col min="10747" max="10747" width="7.5703125" style="1027" hidden="1"/>
    <col min="10748" max="10748" width="16.5703125" style="1027" hidden="1"/>
    <col min="10749" max="10749" width="7.5703125" style="1027" hidden="1"/>
    <col min="10750" max="10940" width="11.42578125" style="1027" hidden="1"/>
    <col min="10941" max="10941" width="43.7109375" style="1027" hidden="1"/>
    <col min="10942" max="10942" width="16.7109375" style="1027" hidden="1"/>
    <col min="10943" max="10943" width="7.7109375" style="1027" hidden="1"/>
    <col min="10944" max="10944" width="16.7109375" style="1027" hidden="1"/>
    <col min="10945" max="10945" width="7.85546875" style="1027" hidden="1"/>
    <col min="10946" max="10946" width="43.85546875" style="1027" hidden="1"/>
    <col min="10947" max="10947" width="16.7109375" style="1027" hidden="1"/>
    <col min="10948" max="10948" width="7.85546875" style="1027" hidden="1"/>
    <col min="10949" max="10949" width="16.7109375" style="1027" hidden="1"/>
    <col min="10950" max="10950" width="7.85546875" style="1027" hidden="1"/>
    <col min="10951" max="10951" width="43.85546875" style="1027" hidden="1"/>
    <col min="10952" max="10952" width="16.7109375" style="1027" hidden="1"/>
    <col min="10953" max="10953" width="7.85546875" style="1027" hidden="1"/>
    <col min="10954" max="10954" width="16.7109375" style="1027" hidden="1"/>
    <col min="10955" max="10955" width="7.5703125" style="1027" hidden="1"/>
    <col min="10956" max="10956" width="43.85546875" style="1027" hidden="1"/>
    <col min="10957" max="10957" width="16.7109375" style="1027" hidden="1"/>
    <col min="10958" max="10958" width="7.85546875" style="1027" hidden="1"/>
    <col min="10959" max="10959" width="16.7109375" style="1027" hidden="1"/>
    <col min="10960" max="10960" width="7.85546875" style="1027" hidden="1"/>
    <col min="10961" max="10961" width="43.85546875" style="1027" hidden="1"/>
    <col min="10962" max="10962" width="16.7109375" style="1027" hidden="1"/>
    <col min="10963" max="10963" width="7.85546875" style="1027" hidden="1"/>
    <col min="10964" max="10964" width="16.7109375" style="1027" hidden="1"/>
    <col min="10965" max="10965" width="7.85546875" style="1027" hidden="1"/>
    <col min="10966" max="10966" width="43.85546875" style="1027" hidden="1"/>
    <col min="10967" max="10967" width="16.7109375" style="1027" hidden="1"/>
    <col min="10968" max="10968" width="7.85546875" style="1027" hidden="1"/>
    <col min="10969" max="10969" width="16.7109375" style="1027" hidden="1"/>
    <col min="10970" max="10970" width="7.85546875" style="1027" hidden="1"/>
    <col min="10971" max="10971" width="43.85546875" style="1027" hidden="1"/>
    <col min="10972" max="10972" width="16.7109375" style="1027" hidden="1"/>
    <col min="10973" max="10973" width="7.85546875" style="1027" hidden="1"/>
    <col min="10974" max="10974" width="16.7109375" style="1027" hidden="1"/>
    <col min="10975" max="10975" width="7.85546875" style="1027" hidden="1"/>
    <col min="10976" max="10976" width="43.85546875" style="1027" hidden="1"/>
    <col min="10977" max="10977" width="16.7109375" style="1027" hidden="1"/>
    <col min="10978" max="10978" width="7.85546875" style="1027" hidden="1"/>
    <col min="10979" max="10979" width="16.5703125" style="1027" hidden="1"/>
    <col min="10980" max="10980" width="7.85546875" style="1027" hidden="1"/>
    <col min="10981" max="10981" width="43.85546875" style="1027" hidden="1"/>
    <col min="10982" max="10982" width="16.7109375" style="1027" hidden="1"/>
    <col min="10983" max="10983" width="7.5703125" style="1027" hidden="1"/>
    <col min="10984" max="10984" width="16.7109375" style="1027" hidden="1"/>
    <col min="10985" max="10985" width="7.85546875" style="1027" hidden="1"/>
    <col min="10986" max="10986" width="43.85546875" style="1027" hidden="1"/>
    <col min="10987" max="10987" width="16.7109375" style="1027" hidden="1"/>
    <col min="10988" max="10988" width="7.5703125" style="1027" hidden="1"/>
    <col min="10989" max="10989" width="16.7109375" style="1027" hidden="1"/>
    <col min="10990" max="10990" width="9.28515625" style="1027" hidden="1"/>
    <col min="10991" max="10991" width="43.85546875" style="1027" hidden="1"/>
    <col min="10992" max="10992" width="16.7109375" style="1027" hidden="1"/>
    <col min="10993" max="10993" width="7.7109375" style="1027" hidden="1"/>
    <col min="10994" max="10994" width="16.7109375" style="1027" hidden="1"/>
    <col min="10995" max="10995" width="7.85546875" style="1027" hidden="1"/>
    <col min="10996" max="10996" width="43.85546875" style="1027" hidden="1"/>
    <col min="10997" max="10997" width="16.7109375" style="1027" hidden="1"/>
    <col min="10998" max="10998" width="7.5703125" style="1027" hidden="1"/>
    <col min="10999" max="10999" width="16.7109375" style="1027" hidden="1"/>
    <col min="11000" max="11000" width="7.85546875" style="1027" hidden="1"/>
    <col min="11001" max="11001" width="43.85546875" style="1027" hidden="1"/>
    <col min="11002" max="11002" width="16.5703125" style="1027" hidden="1"/>
    <col min="11003" max="11003" width="7.5703125" style="1027" hidden="1"/>
    <col min="11004" max="11004" width="16.5703125" style="1027" hidden="1"/>
    <col min="11005" max="11005" width="7.5703125" style="1027" hidden="1"/>
    <col min="11006" max="11196" width="11.42578125" style="1027" hidden="1"/>
    <col min="11197" max="11197" width="43.7109375" style="1027" hidden="1"/>
    <col min="11198" max="11198" width="16.7109375" style="1027" hidden="1"/>
    <col min="11199" max="11199" width="7.7109375" style="1027" hidden="1"/>
    <col min="11200" max="11200" width="16.7109375" style="1027" hidden="1"/>
    <col min="11201" max="11201" width="7.85546875" style="1027" hidden="1"/>
    <col min="11202" max="11202" width="43.85546875" style="1027" hidden="1"/>
    <col min="11203" max="11203" width="16.7109375" style="1027" hidden="1"/>
    <col min="11204" max="11204" width="7.85546875" style="1027" hidden="1"/>
    <col min="11205" max="11205" width="16.7109375" style="1027" hidden="1"/>
    <col min="11206" max="11206" width="7.85546875" style="1027" hidden="1"/>
    <col min="11207" max="11207" width="43.85546875" style="1027" hidden="1"/>
    <col min="11208" max="11208" width="16.7109375" style="1027" hidden="1"/>
    <col min="11209" max="11209" width="7.85546875" style="1027" hidden="1"/>
    <col min="11210" max="11210" width="16.7109375" style="1027" hidden="1"/>
    <col min="11211" max="11211" width="7.5703125" style="1027" hidden="1"/>
    <col min="11212" max="11212" width="43.85546875" style="1027" hidden="1"/>
    <col min="11213" max="11213" width="16.7109375" style="1027" hidden="1"/>
    <col min="11214" max="11214" width="7.85546875" style="1027" hidden="1"/>
    <col min="11215" max="11215" width="16.7109375" style="1027" hidden="1"/>
    <col min="11216" max="11216" width="7.85546875" style="1027" hidden="1"/>
    <col min="11217" max="11217" width="43.85546875" style="1027" hidden="1"/>
    <col min="11218" max="11218" width="16.7109375" style="1027" hidden="1"/>
    <col min="11219" max="11219" width="7.85546875" style="1027" hidden="1"/>
    <col min="11220" max="11220" width="16.7109375" style="1027" hidden="1"/>
    <col min="11221" max="11221" width="7.85546875" style="1027" hidden="1"/>
    <col min="11222" max="11222" width="43.85546875" style="1027" hidden="1"/>
    <col min="11223" max="11223" width="16.7109375" style="1027" hidden="1"/>
    <col min="11224" max="11224" width="7.85546875" style="1027" hidden="1"/>
    <col min="11225" max="11225" width="16.7109375" style="1027" hidden="1"/>
    <col min="11226" max="11226" width="7.85546875" style="1027" hidden="1"/>
    <col min="11227" max="11227" width="43.85546875" style="1027" hidden="1"/>
    <col min="11228" max="11228" width="16.7109375" style="1027" hidden="1"/>
    <col min="11229" max="11229" width="7.85546875" style="1027" hidden="1"/>
    <col min="11230" max="11230" width="16.7109375" style="1027" hidden="1"/>
    <col min="11231" max="11231" width="7.85546875" style="1027" hidden="1"/>
    <col min="11232" max="11232" width="43.85546875" style="1027" hidden="1"/>
    <col min="11233" max="11233" width="16.7109375" style="1027" hidden="1"/>
    <col min="11234" max="11234" width="7.85546875" style="1027" hidden="1"/>
    <col min="11235" max="11235" width="16.5703125" style="1027" hidden="1"/>
    <col min="11236" max="11236" width="7.85546875" style="1027" hidden="1"/>
    <col min="11237" max="11237" width="43.85546875" style="1027" hidden="1"/>
    <col min="11238" max="11238" width="16.7109375" style="1027" hidden="1"/>
    <col min="11239" max="11239" width="7.5703125" style="1027" hidden="1"/>
    <col min="11240" max="11240" width="16.7109375" style="1027" hidden="1"/>
    <col min="11241" max="11241" width="7.85546875" style="1027" hidden="1"/>
    <col min="11242" max="11242" width="43.85546875" style="1027" hidden="1"/>
    <col min="11243" max="11243" width="16.7109375" style="1027" hidden="1"/>
    <col min="11244" max="11244" width="7.5703125" style="1027" hidden="1"/>
    <col min="11245" max="11245" width="16.7109375" style="1027" hidden="1"/>
    <col min="11246" max="11246" width="9.28515625" style="1027" hidden="1"/>
    <col min="11247" max="11247" width="43.85546875" style="1027" hidden="1"/>
    <col min="11248" max="11248" width="16.7109375" style="1027" hidden="1"/>
    <col min="11249" max="11249" width="7.7109375" style="1027" hidden="1"/>
    <col min="11250" max="11250" width="16.7109375" style="1027" hidden="1"/>
    <col min="11251" max="11251" width="7.85546875" style="1027" hidden="1"/>
    <col min="11252" max="11252" width="43.85546875" style="1027" hidden="1"/>
    <col min="11253" max="11253" width="16.7109375" style="1027" hidden="1"/>
    <col min="11254" max="11254" width="7.5703125" style="1027" hidden="1"/>
    <col min="11255" max="11255" width="16.7109375" style="1027" hidden="1"/>
    <col min="11256" max="11256" width="7.85546875" style="1027" hidden="1"/>
    <col min="11257" max="11257" width="43.85546875" style="1027" hidden="1"/>
    <col min="11258" max="11258" width="16.5703125" style="1027" hidden="1"/>
    <col min="11259" max="11259" width="7.5703125" style="1027" hidden="1"/>
    <col min="11260" max="11260" width="16.5703125" style="1027" hidden="1"/>
    <col min="11261" max="11261" width="7.5703125" style="1027" hidden="1"/>
    <col min="11262" max="11452" width="11.42578125" style="1027" hidden="1"/>
    <col min="11453" max="11453" width="43.7109375" style="1027" hidden="1"/>
    <col min="11454" max="11454" width="16.7109375" style="1027" hidden="1"/>
    <col min="11455" max="11455" width="7.7109375" style="1027" hidden="1"/>
    <col min="11456" max="11456" width="16.7109375" style="1027" hidden="1"/>
    <col min="11457" max="11457" width="7.85546875" style="1027" hidden="1"/>
    <col min="11458" max="11458" width="43.85546875" style="1027" hidden="1"/>
    <col min="11459" max="11459" width="16.7109375" style="1027" hidden="1"/>
    <col min="11460" max="11460" width="7.85546875" style="1027" hidden="1"/>
    <col min="11461" max="11461" width="16.7109375" style="1027" hidden="1"/>
    <col min="11462" max="11462" width="7.85546875" style="1027" hidden="1"/>
    <col min="11463" max="11463" width="43.85546875" style="1027" hidden="1"/>
    <col min="11464" max="11464" width="16.7109375" style="1027" hidden="1"/>
    <col min="11465" max="11465" width="7.85546875" style="1027" hidden="1"/>
    <col min="11466" max="11466" width="16.7109375" style="1027" hidden="1"/>
    <col min="11467" max="11467" width="7.5703125" style="1027" hidden="1"/>
    <col min="11468" max="11468" width="43.85546875" style="1027" hidden="1"/>
    <col min="11469" max="11469" width="16.7109375" style="1027" hidden="1"/>
    <col min="11470" max="11470" width="7.85546875" style="1027" hidden="1"/>
    <col min="11471" max="11471" width="16.7109375" style="1027" hidden="1"/>
    <col min="11472" max="11472" width="7.85546875" style="1027" hidden="1"/>
    <col min="11473" max="11473" width="43.85546875" style="1027" hidden="1"/>
    <col min="11474" max="11474" width="16.7109375" style="1027" hidden="1"/>
    <col min="11475" max="11475" width="7.85546875" style="1027" hidden="1"/>
    <col min="11476" max="11476" width="16.7109375" style="1027" hidden="1"/>
    <col min="11477" max="11477" width="7.85546875" style="1027" hidden="1"/>
    <col min="11478" max="11478" width="43.85546875" style="1027" hidden="1"/>
    <col min="11479" max="11479" width="16.7109375" style="1027" hidden="1"/>
    <col min="11480" max="11480" width="7.85546875" style="1027" hidden="1"/>
    <col min="11481" max="11481" width="16.7109375" style="1027" hidden="1"/>
    <col min="11482" max="11482" width="7.85546875" style="1027" hidden="1"/>
    <col min="11483" max="11483" width="43.85546875" style="1027" hidden="1"/>
    <col min="11484" max="11484" width="16.7109375" style="1027" hidden="1"/>
    <col min="11485" max="11485" width="7.85546875" style="1027" hidden="1"/>
    <col min="11486" max="11486" width="16.7109375" style="1027" hidden="1"/>
    <col min="11487" max="11487" width="7.85546875" style="1027" hidden="1"/>
    <col min="11488" max="11488" width="43.85546875" style="1027" hidden="1"/>
    <col min="11489" max="11489" width="16.7109375" style="1027" hidden="1"/>
    <col min="11490" max="11490" width="7.85546875" style="1027" hidden="1"/>
    <col min="11491" max="11491" width="16.5703125" style="1027" hidden="1"/>
    <col min="11492" max="11492" width="7.85546875" style="1027" hidden="1"/>
    <col min="11493" max="11493" width="43.85546875" style="1027" hidden="1"/>
    <col min="11494" max="11494" width="16.7109375" style="1027" hidden="1"/>
    <col min="11495" max="11495" width="7.5703125" style="1027" hidden="1"/>
    <col min="11496" max="11496" width="16.7109375" style="1027" hidden="1"/>
    <col min="11497" max="11497" width="7.85546875" style="1027" hidden="1"/>
    <col min="11498" max="11498" width="43.85546875" style="1027" hidden="1"/>
    <col min="11499" max="11499" width="16.7109375" style="1027" hidden="1"/>
    <col min="11500" max="11500" width="7.5703125" style="1027" hidden="1"/>
    <col min="11501" max="11501" width="16.7109375" style="1027" hidden="1"/>
    <col min="11502" max="11502" width="9.28515625" style="1027" hidden="1"/>
    <col min="11503" max="11503" width="43.85546875" style="1027" hidden="1"/>
    <col min="11504" max="11504" width="16.7109375" style="1027" hidden="1"/>
    <col min="11505" max="11505" width="7.7109375" style="1027" hidden="1"/>
    <col min="11506" max="11506" width="16.7109375" style="1027" hidden="1"/>
    <col min="11507" max="11507" width="7.85546875" style="1027" hidden="1"/>
    <col min="11508" max="11508" width="43.85546875" style="1027" hidden="1"/>
    <col min="11509" max="11509" width="16.7109375" style="1027" hidden="1"/>
    <col min="11510" max="11510" width="7.5703125" style="1027" hidden="1"/>
    <col min="11511" max="11511" width="16.7109375" style="1027" hidden="1"/>
    <col min="11512" max="11512" width="7.85546875" style="1027" hidden="1"/>
    <col min="11513" max="11513" width="43.85546875" style="1027" hidden="1"/>
    <col min="11514" max="11514" width="16.5703125" style="1027" hidden="1"/>
    <col min="11515" max="11515" width="7.5703125" style="1027" hidden="1"/>
    <col min="11516" max="11516" width="16.5703125" style="1027" hidden="1"/>
    <col min="11517" max="11517" width="7.5703125" style="1027" hidden="1"/>
    <col min="11518" max="11708" width="11.42578125" style="1027" hidden="1"/>
    <col min="11709" max="11709" width="43.7109375" style="1027" hidden="1"/>
    <col min="11710" max="11710" width="16.7109375" style="1027" hidden="1"/>
    <col min="11711" max="11711" width="7.7109375" style="1027" hidden="1"/>
    <col min="11712" max="11712" width="16.7109375" style="1027" hidden="1"/>
    <col min="11713" max="11713" width="7.85546875" style="1027" hidden="1"/>
    <col min="11714" max="11714" width="43.85546875" style="1027" hidden="1"/>
    <col min="11715" max="11715" width="16.7109375" style="1027" hidden="1"/>
    <col min="11716" max="11716" width="7.85546875" style="1027" hidden="1"/>
    <col min="11717" max="11717" width="16.7109375" style="1027" hidden="1"/>
    <col min="11718" max="11718" width="7.85546875" style="1027" hidden="1"/>
    <col min="11719" max="11719" width="43.85546875" style="1027" hidden="1"/>
    <col min="11720" max="11720" width="16.7109375" style="1027" hidden="1"/>
    <col min="11721" max="11721" width="7.85546875" style="1027" hidden="1"/>
    <col min="11722" max="11722" width="16.7109375" style="1027" hidden="1"/>
    <col min="11723" max="11723" width="7.5703125" style="1027" hidden="1"/>
    <col min="11724" max="11724" width="43.85546875" style="1027" hidden="1"/>
    <col min="11725" max="11725" width="16.7109375" style="1027" hidden="1"/>
    <col min="11726" max="11726" width="7.85546875" style="1027" hidden="1"/>
    <col min="11727" max="11727" width="16.7109375" style="1027" hidden="1"/>
    <col min="11728" max="11728" width="7.85546875" style="1027" hidden="1"/>
    <col min="11729" max="11729" width="43.85546875" style="1027" hidden="1"/>
    <col min="11730" max="11730" width="16.7109375" style="1027" hidden="1"/>
    <col min="11731" max="11731" width="7.85546875" style="1027" hidden="1"/>
    <col min="11732" max="11732" width="16.7109375" style="1027" hidden="1"/>
    <col min="11733" max="11733" width="7.85546875" style="1027" hidden="1"/>
    <col min="11734" max="11734" width="43.85546875" style="1027" hidden="1"/>
    <col min="11735" max="11735" width="16.7109375" style="1027" hidden="1"/>
    <col min="11736" max="11736" width="7.85546875" style="1027" hidden="1"/>
    <col min="11737" max="11737" width="16.7109375" style="1027" hidden="1"/>
    <col min="11738" max="11738" width="7.85546875" style="1027" hidden="1"/>
    <col min="11739" max="11739" width="43.85546875" style="1027" hidden="1"/>
    <col min="11740" max="11740" width="16.7109375" style="1027" hidden="1"/>
    <col min="11741" max="11741" width="7.85546875" style="1027" hidden="1"/>
    <col min="11742" max="11742" width="16.7109375" style="1027" hidden="1"/>
    <col min="11743" max="11743" width="7.85546875" style="1027" hidden="1"/>
    <col min="11744" max="11744" width="43.85546875" style="1027" hidden="1"/>
    <col min="11745" max="11745" width="16.7109375" style="1027" hidden="1"/>
    <col min="11746" max="11746" width="7.85546875" style="1027" hidden="1"/>
    <col min="11747" max="11747" width="16.5703125" style="1027" hidden="1"/>
    <col min="11748" max="11748" width="7.85546875" style="1027" hidden="1"/>
    <col min="11749" max="11749" width="43.85546875" style="1027" hidden="1"/>
    <col min="11750" max="11750" width="16.7109375" style="1027" hidden="1"/>
    <col min="11751" max="11751" width="7.5703125" style="1027" hidden="1"/>
    <col min="11752" max="11752" width="16.7109375" style="1027" hidden="1"/>
    <col min="11753" max="11753" width="7.85546875" style="1027" hidden="1"/>
    <col min="11754" max="11754" width="43.85546875" style="1027" hidden="1"/>
    <col min="11755" max="11755" width="16.7109375" style="1027" hidden="1"/>
    <col min="11756" max="11756" width="7.5703125" style="1027" hidden="1"/>
    <col min="11757" max="11757" width="16.7109375" style="1027" hidden="1"/>
    <col min="11758" max="11758" width="9.28515625" style="1027" hidden="1"/>
    <col min="11759" max="11759" width="43.85546875" style="1027" hidden="1"/>
    <col min="11760" max="11760" width="16.7109375" style="1027" hidden="1"/>
    <col min="11761" max="11761" width="7.7109375" style="1027" hidden="1"/>
    <col min="11762" max="11762" width="16.7109375" style="1027" hidden="1"/>
    <col min="11763" max="11763" width="7.85546875" style="1027" hidden="1"/>
    <col min="11764" max="11764" width="43.85546875" style="1027" hidden="1"/>
    <col min="11765" max="11765" width="16.7109375" style="1027" hidden="1"/>
    <col min="11766" max="11766" width="7.5703125" style="1027" hidden="1"/>
    <col min="11767" max="11767" width="16.7109375" style="1027" hidden="1"/>
    <col min="11768" max="11768" width="7.85546875" style="1027" hidden="1"/>
    <col min="11769" max="11769" width="43.85546875" style="1027" hidden="1"/>
    <col min="11770" max="11770" width="16.5703125" style="1027" hidden="1"/>
    <col min="11771" max="11771" width="7.5703125" style="1027" hidden="1"/>
    <col min="11772" max="11772" width="16.5703125" style="1027" hidden="1"/>
    <col min="11773" max="11773" width="7.5703125" style="1027" hidden="1"/>
    <col min="11774" max="11964" width="11.42578125" style="1027" hidden="1"/>
    <col min="11965" max="11965" width="43.7109375" style="1027" hidden="1"/>
    <col min="11966" max="11966" width="16.7109375" style="1027" hidden="1"/>
    <col min="11967" max="11967" width="7.7109375" style="1027" hidden="1"/>
    <col min="11968" max="11968" width="16.7109375" style="1027" hidden="1"/>
    <col min="11969" max="11969" width="7.85546875" style="1027" hidden="1"/>
    <col min="11970" max="11970" width="43.85546875" style="1027" hidden="1"/>
    <col min="11971" max="11971" width="16.7109375" style="1027" hidden="1"/>
    <col min="11972" max="11972" width="7.85546875" style="1027" hidden="1"/>
    <col min="11973" max="11973" width="16.7109375" style="1027" hidden="1"/>
    <col min="11974" max="11974" width="7.85546875" style="1027" hidden="1"/>
    <col min="11975" max="11975" width="43.85546875" style="1027" hidden="1"/>
    <col min="11976" max="11976" width="16.7109375" style="1027" hidden="1"/>
    <col min="11977" max="11977" width="7.85546875" style="1027" hidden="1"/>
    <col min="11978" max="11978" width="16.7109375" style="1027" hidden="1"/>
    <col min="11979" max="11979" width="7.5703125" style="1027" hidden="1"/>
    <col min="11980" max="11980" width="43.85546875" style="1027" hidden="1"/>
    <col min="11981" max="11981" width="16.7109375" style="1027" hidden="1"/>
    <col min="11982" max="11982" width="7.85546875" style="1027" hidden="1"/>
    <col min="11983" max="11983" width="16.7109375" style="1027" hidden="1"/>
    <col min="11984" max="11984" width="7.85546875" style="1027" hidden="1"/>
    <col min="11985" max="11985" width="43.85546875" style="1027" hidden="1"/>
    <col min="11986" max="11986" width="16.7109375" style="1027" hidden="1"/>
    <col min="11987" max="11987" width="7.85546875" style="1027" hidden="1"/>
    <col min="11988" max="11988" width="16.7109375" style="1027" hidden="1"/>
    <col min="11989" max="11989" width="7.85546875" style="1027" hidden="1"/>
    <col min="11990" max="11990" width="43.85546875" style="1027" hidden="1"/>
    <col min="11991" max="11991" width="16.7109375" style="1027" hidden="1"/>
    <col min="11992" max="11992" width="7.85546875" style="1027" hidden="1"/>
    <col min="11993" max="11993" width="16.7109375" style="1027" hidden="1"/>
    <col min="11994" max="11994" width="7.85546875" style="1027" hidden="1"/>
    <col min="11995" max="11995" width="43.85546875" style="1027" hidden="1"/>
    <col min="11996" max="11996" width="16.7109375" style="1027" hidden="1"/>
    <col min="11997" max="11997" width="7.85546875" style="1027" hidden="1"/>
    <col min="11998" max="11998" width="16.7109375" style="1027" hidden="1"/>
    <col min="11999" max="11999" width="7.85546875" style="1027" hidden="1"/>
    <col min="12000" max="12000" width="43.85546875" style="1027" hidden="1"/>
    <col min="12001" max="12001" width="16.7109375" style="1027" hidden="1"/>
    <col min="12002" max="12002" width="7.85546875" style="1027" hidden="1"/>
    <col min="12003" max="12003" width="16.5703125" style="1027" hidden="1"/>
    <col min="12004" max="12004" width="7.85546875" style="1027" hidden="1"/>
    <col min="12005" max="12005" width="43.85546875" style="1027" hidden="1"/>
    <col min="12006" max="12006" width="16.7109375" style="1027" hidden="1"/>
    <col min="12007" max="12007" width="7.5703125" style="1027" hidden="1"/>
    <col min="12008" max="12008" width="16.7109375" style="1027" hidden="1"/>
    <col min="12009" max="12009" width="7.85546875" style="1027" hidden="1"/>
    <col min="12010" max="12010" width="43.85546875" style="1027" hidden="1"/>
    <col min="12011" max="12011" width="16.7109375" style="1027" hidden="1"/>
    <col min="12012" max="12012" width="7.5703125" style="1027" hidden="1"/>
    <col min="12013" max="12013" width="16.7109375" style="1027" hidden="1"/>
    <col min="12014" max="12014" width="9.28515625" style="1027" hidden="1"/>
    <col min="12015" max="12015" width="43.85546875" style="1027" hidden="1"/>
    <col min="12016" max="12016" width="16.7109375" style="1027" hidden="1"/>
    <col min="12017" max="12017" width="7.7109375" style="1027" hidden="1"/>
    <col min="12018" max="12018" width="16.7109375" style="1027" hidden="1"/>
    <col min="12019" max="12019" width="7.85546875" style="1027" hidden="1"/>
    <col min="12020" max="12020" width="43.85546875" style="1027" hidden="1"/>
    <col min="12021" max="12021" width="16.7109375" style="1027" hidden="1"/>
    <col min="12022" max="12022" width="7.5703125" style="1027" hidden="1"/>
    <col min="12023" max="12023" width="16.7109375" style="1027" hidden="1"/>
    <col min="12024" max="12024" width="7.85546875" style="1027" hidden="1"/>
    <col min="12025" max="12025" width="43.85546875" style="1027" hidden="1"/>
    <col min="12026" max="12026" width="16.5703125" style="1027" hidden="1"/>
    <col min="12027" max="12027" width="7.5703125" style="1027" hidden="1"/>
    <col min="12028" max="12028" width="16.5703125" style="1027" hidden="1"/>
    <col min="12029" max="12029" width="7.5703125" style="1027" hidden="1"/>
    <col min="12030" max="12220" width="11.42578125" style="1027" hidden="1"/>
    <col min="12221" max="12221" width="43.7109375" style="1027" hidden="1"/>
    <col min="12222" max="12222" width="16.7109375" style="1027" hidden="1"/>
    <col min="12223" max="12223" width="7.7109375" style="1027" hidden="1"/>
    <col min="12224" max="12224" width="16.7109375" style="1027" hidden="1"/>
    <col min="12225" max="12225" width="7.85546875" style="1027" hidden="1"/>
    <col min="12226" max="12226" width="43.85546875" style="1027" hidden="1"/>
    <col min="12227" max="12227" width="16.7109375" style="1027" hidden="1"/>
    <col min="12228" max="12228" width="7.85546875" style="1027" hidden="1"/>
    <col min="12229" max="12229" width="16.7109375" style="1027" hidden="1"/>
    <col min="12230" max="12230" width="7.85546875" style="1027" hidden="1"/>
    <col min="12231" max="12231" width="43.85546875" style="1027" hidden="1"/>
    <col min="12232" max="12232" width="16.7109375" style="1027" hidden="1"/>
    <col min="12233" max="12233" width="7.85546875" style="1027" hidden="1"/>
    <col min="12234" max="12234" width="16.7109375" style="1027" hidden="1"/>
    <col min="12235" max="12235" width="7.5703125" style="1027" hidden="1"/>
    <col min="12236" max="12236" width="43.85546875" style="1027" hidden="1"/>
    <col min="12237" max="12237" width="16.7109375" style="1027" hidden="1"/>
    <col min="12238" max="12238" width="7.85546875" style="1027" hidden="1"/>
    <col min="12239" max="12239" width="16.7109375" style="1027" hidden="1"/>
    <col min="12240" max="12240" width="7.85546875" style="1027" hidden="1"/>
    <col min="12241" max="12241" width="43.85546875" style="1027" hidden="1"/>
    <col min="12242" max="12242" width="16.7109375" style="1027" hidden="1"/>
    <col min="12243" max="12243" width="7.85546875" style="1027" hidden="1"/>
    <col min="12244" max="12244" width="16.7109375" style="1027" hidden="1"/>
    <col min="12245" max="12245" width="7.85546875" style="1027" hidden="1"/>
    <col min="12246" max="12246" width="43.85546875" style="1027" hidden="1"/>
    <col min="12247" max="12247" width="16.7109375" style="1027" hidden="1"/>
    <col min="12248" max="12248" width="7.85546875" style="1027" hidden="1"/>
    <col min="12249" max="12249" width="16.7109375" style="1027" hidden="1"/>
    <col min="12250" max="12250" width="7.85546875" style="1027" hidden="1"/>
    <col min="12251" max="12251" width="43.85546875" style="1027" hidden="1"/>
    <col min="12252" max="12252" width="16.7109375" style="1027" hidden="1"/>
    <col min="12253" max="12253" width="7.85546875" style="1027" hidden="1"/>
    <col min="12254" max="12254" width="16.7109375" style="1027" hidden="1"/>
    <col min="12255" max="12255" width="7.85546875" style="1027" hidden="1"/>
    <col min="12256" max="12256" width="43.85546875" style="1027" hidden="1"/>
    <col min="12257" max="12257" width="16.7109375" style="1027" hidden="1"/>
    <col min="12258" max="12258" width="7.85546875" style="1027" hidden="1"/>
    <col min="12259" max="12259" width="16.5703125" style="1027" hidden="1"/>
    <col min="12260" max="12260" width="7.85546875" style="1027" hidden="1"/>
    <col min="12261" max="12261" width="43.85546875" style="1027" hidden="1"/>
    <col min="12262" max="12262" width="16.7109375" style="1027" hidden="1"/>
    <col min="12263" max="12263" width="7.5703125" style="1027" hidden="1"/>
    <col min="12264" max="12264" width="16.7109375" style="1027" hidden="1"/>
    <col min="12265" max="12265" width="7.85546875" style="1027" hidden="1"/>
    <col min="12266" max="12266" width="43.85546875" style="1027" hidden="1"/>
    <col min="12267" max="12267" width="16.7109375" style="1027" hidden="1"/>
    <col min="12268" max="12268" width="7.5703125" style="1027" hidden="1"/>
    <col min="12269" max="12269" width="16.7109375" style="1027" hidden="1"/>
    <col min="12270" max="12270" width="9.28515625" style="1027" hidden="1"/>
    <col min="12271" max="12271" width="43.85546875" style="1027" hidden="1"/>
    <col min="12272" max="12272" width="16.7109375" style="1027" hidden="1"/>
    <col min="12273" max="12273" width="7.7109375" style="1027" hidden="1"/>
    <col min="12274" max="12274" width="16.7109375" style="1027" hidden="1"/>
    <col min="12275" max="12275" width="7.85546875" style="1027" hidden="1"/>
    <col min="12276" max="12276" width="43.85546875" style="1027" hidden="1"/>
    <col min="12277" max="12277" width="16.7109375" style="1027" hidden="1"/>
    <col min="12278" max="12278" width="7.5703125" style="1027" hidden="1"/>
    <col min="12279" max="12279" width="16.7109375" style="1027" hidden="1"/>
    <col min="12280" max="12280" width="7.85546875" style="1027" hidden="1"/>
    <col min="12281" max="12281" width="43.85546875" style="1027" hidden="1"/>
    <col min="12282" max="12282" width="16.5703125" style="1027" hidden="1"/>
    <col min="12283" max="12283" width="7.5703125" style="1027" hidden="1"/>
    <col min="12284" max="12284" width="16.5703125" style="1027" hidden="1"/>
    <col min="12285" max="12285" width="7.5703125" style="1027" hidden="1"/>
    <col min="12286" max="12476" width="11.42578125" style="1027" hidden="1"/>
    <col min="12477" max="12477" width="43.7109375" style="1027" hidden="1"/>
    <col min="12478" max="12478" width="16.7109375" style="1027" hidden="1"/>
    <col min="12479" max="12479" width="7.7109375" style="1027" hidden="1"/>
    <col min="12480" max="12480" width="16.7109375" style="1027" hidden="1"/>
    <col min="12481" max="12481" width="7.85546875" style="1027" hidden="1"/>
    <col min="12482" max="12482" width="43.85546875" style="1027" hidden="1"/>
    <col min="12483" max="12483" width="16.7109375" style="1027" hidden="1"/>
    <col min="12484" max="12484" width="7.85546875" style="1027" hidden="1"/>
    <col min="12485" max="12485" width="16.7109375" style="1027" hidden="1"/>
    <col min="12486" max="12486" width="7.85546875" style="1027" hidden="1"/>
    <col min="12487" max="12487" width="43.85546875" style="1027" hidden="1"/>
    <col min="12488" max="12488" width="16.7109375" style="1027" hidden="1"/>
    <col min="12489" max="12489" width="7.85546875" style="1027" hidden="1"/>
    <col min="12490" max="12490" width="16.7109375" style="1027" hidden="1"/>
    <col min="12491" max="12491" width="7.5703125" style="1027" hidden="1"/>
    <col min="12492" max="12492" width="43.85546875" style="1027" hidden="1"/>
    <col min="12493" max="12493" width="16.7109375" style="1027" hidden="1"/>
    <col min="12494" max="12494" width="7.85546875" style="1027" hidden="1"/>
    <col min="12495" max="12495" width="16.7109375" style="1027" hidden="1"/>
    <col min="12496" max="12496" width="7.85546875" style="1027" hidden="1"/>
    <col min="12497" max="12497" width="43.85546875" style="1027" hidden="1"/>
    <col min="12498" max="12498" width="16.7109375" style="1027" hidden="1"/>
    <col min="12499" max="12499" width="7.85546875" style="1027" hidden="1"/>
    <col min="12500" max="12500" width="16.7109375" style="1027" hidden="1"/>
    <col min="12501" max="12501" width="7.85546875" style="1027" hidden="1"/>
    <col min="12502" max="12502" width="43.85546875" style="1027" hidden="1"/>
    <col min="12503" max="12503" width="16.7109375" style="1027" hidden="1"/>
    <col min="12504" max="12504" width="7.85546875" style="1027" hidden="1"/>
    <col min="12505" max="12505" width="16.7109375" style="1027" hidden="1"/>
    <col min="12506" max="12506" width="7.85546875" style="1027" hidden="1"/>
    <col min="12507" max="12507" width="43.85546875" style="1027" hidden="1"/>
    <col min="12508" max="12508" width="16.7109375" style="1027" hidden="1"/>
    <col min="12509" max="12509" width="7.85546875" style="1027" hidden="1"/>
    <col min="12510" max="12510" width="16.7109375" style="1027" hidden="1"/>
    <col min="12511" max="12511" width="7.85546875" style="1027" hidden="1"/>
    <col min="12512" max="12512" width="43.85546875" style="1027" hidden="1"/>
    <col min="12513" max="12513" width="16.7109375" style="1027" hidden="1"/>
    <col min="12514" max="12514" width="7.85546875" style="1027" hidden="1"/>
    <col min="12515" max="12515" width="16.5703125" style="1027" hidden="1"/>
    <col min="12516" max="12516" width="7.85546875" style="1027" hidden="1"/>
    <col min="12517" max="12517" width="43.85546875" style="1027" hidden="1"/>
    <col min="12518" max="12518" width="16.7109375" style="1027" hidden="1"/>
    <col min="12519" max="12519" width="7.5703125" style="1027" hidden="1"/>
    <col min="12520" max="12520" width="16.7109375" style="1027" hidden="1"/>
    <col min="12521" max="12521" width="7.85546875" style="1027" hidden="1"/>
    <col min="12522" max="12522" width="43.85546875" style="1027" hidden="1"/>
    <col min="12523" max="12523" width="16.7109375" style="1027" hidden="1"/>
    <col min="12524" max="12524" width="7.5703125" style="1027" hidden="1"/>
    <col min="12525" max="12525" width="16.7109375" style="1027" hidden="1"/>
    <col min="12526" max="12526" width="9.28515625" style="1027" hidden="1"/>
    <col min="12527" max="12527" width="43.85546875" style="1027" hidden="1"/>
    <col min="12528" max="12528" width="16.7109375" style="1027" hidden="1"/>
    <col min="12529" max="12529" width="7.7109375" style="1027" hidden="1"/>
    <col min="12530" max="12530" width="16.7109375" style="1027" hidden="1"/>
    <col min="12531" max="12531" width="7.85546875" style="1027" hidden="1"/>
    <col min="12532" max="12532" width="43.85546875" style="1027" hidden="1"/>
    <col min="12533" max="12533" width="16.7109375" style="1027" hidden="1"/>
    <col min="12534" max="12534" width="7.5703125" style="1027" hidden="1"/>
    <col min="12535" max="12535" width="16.7109375" style="1027" hidden="1"/>
    <col min="12536" max="12536" width="7.85546875" style="1027" hidden="1"/>
    <col min="12537" max="12537" width="43.85546875" style="1027" hidden="1"/>
    <col min="12538" max="12538" width="16.5703125" style="1027" hidden="1"/>
    <col min="12539" max="12539" width="7.5703125" style="1027" hidden="1"/>
    <col min="12540" max="12540" width="16.5703125" style="1027" hidden="1"/>
    <col min="12541" max="12541" width="7.5703125" style="1027" hidden="1"/>
    <col min="12542" max="12732" width="11.42578125" style="1027" hidden="1"/>
    <col min="12733" max="12733" width="43.7109375" style="1027" hidden="1"/>
    <col min="12734" max="12734" width="16.7109375" style="1027" hidden="1"/>
    <col min="12735" max="12735" width="7.7109375" style="1027" hidden="1"/>
    <col min="12736" max="12736" width="16.7109375" style="1027" hidden="1"/>
    <col min="12737" max="12737" width="7.85546875" style="1027" hidden="1"/>
    <col min="12738" max="12738" width="43.85546875" style="1027" hidden="1"/>
    <col min="12739" max="12739" width="16.7109375" style="1027" hidden="1"/>
    <col min="12740" max="12740" width="7.85546875" style="1027" hidden="1"/>
    <col min="12741" max="12741" width="16.7109375" style="1027" hidden="1"/>
    <col min="12742" max="12742" width="7.85546875" style="1027" hidden="1"/>
    <col min="12743" max="12743" width="43.85546875" style="1027" hidden="1"/>
    <col min="12744" max="12744" width="16.7109375" style="1027" hidden="1"/>
    <col min="12745" max="12745" width="7.85546875" style="1027" hidden="1"/>
    <col min="12746" max="12746" width="16.7109375" style="1027" hidden="1"/>
    <col min="12747" max="12747" width="7.5703125" style="1027" hidden="1"/>
    <col min="12748" max="12748" width="43.85546875" style="1027" hidden="1"/>
    <col min="12749" max="12749" width="16.7109375" style="1027" hidden="1"/>
    <col min="12750" max="12750" width="7.85546875" style="1027" hidden="1"/>
    <col min="12751" max="12751" width="16.7109375" style="1027" hidden="1"/>
    <col min="12752" max="12752" width="7.85546875" style="1027" hidden="1"/>
    <col min="12753" max="12753" width="43.85546875" style="1027" hidden="1"/>
    <col min="12754" max="12754" width="16.7109375" style="1027" hidden="1"/>
    <col min="12755" max="12755" width="7.85546875" style="1027" hidden="1"/>
    <col min="12756" max="12756" width="16.7109375" style="1027" hidden="1"/>
    <col min="12757" max="12757" width="7.85546875" style="1027" hidden="1"/>
    <col min="12758" max="12758" width="43.85546875" style="1027" hidden="1"/>
    <col min="12759" max="12759" width="16.7109375" style="1027" hidden="1"/>
    <col min="12760" max="12760" width="7.85546875" style="1027" hidden="1"/>
    <col min="12761" max="12761" width="16.7109375" style="1027" hidden="1"/>
    <col min="12762" max="12762" width="7.85546875" style="1027" hidden="1"/>
    <col min="12763" max="12763" width="43.85546875" style="1027" hidden="1"/>
    <col min="12764" max="12764" width="16.7109375" style="1027" hidden="1"/>
    <col min="12765" max="12765" width="7.85546875" style="1027" hidden="1"/>
    <col min="12766" max="12766" width="16.7109375" style="1027" hidden="1"/>
    <col min="12767" max="12767" width="7.85546875" style="1027" hidden="1"/>
    <col min="12768" max="12768" width="43.85546875" style="1027" hidden="1"/>
    <col min="12769" max="12769" width="16.7109375" style="1027" hidden="1"/>
    <col min="12770" max="12770" width="7.85546875" style="1027" hidden="1"/>
    <col min="12771" max="12771" width="16.5703125" style="1027" hidden="1"/>
    <col min="12772" max="12772" width="7.85546875" style="1027" hidden="1"/>
    <col min="12773" max="12773" width="43.85546875" style="1027" hidden="1"/>
    <col min="12774" max="12774" width="16.7109375" style="1027" hidden="1"/>
    <col min="12775" max="12775" width="7.5703125" style="1027" hidden="1"/>
    <col min="12776" max="12776" width="16.7109375" style="1027" hidden="1"/>
    <col min="12777" max="12777" width="7.85546875" style="1027" hidden="1"/>
    <col min="12778" max="12778" width="43.85546875" style="1027" hidden="1"/>
    <col min="12779" max="12779" width="16.7109375" style="1027" hidden="1"/>
    <col min="12780" max="12780" width="7.5703125" style="1027" hidden="1"/>
    <col min="12781" max="12781" width="16.7109375" style="1027" hidden="1"/>
    <col min="12782" max="12782" width="9.28515625" style="1027" hidden="1"/>
    <col min="12783" max="12783" width="43.85546875" style="1027" hidden="1"/>
    <col min="12784" max="12784" width="16.7109375" style="1027" hidden="1"/>
    <col min="12785" max="12785" width="7.7109375" style="1027" hidden="1"/>
    <col min="12786" max="12786" width="16.7109375" style="1027" hidden="1"/>
    <col min="12787" max="12787" width="7.85546875" style="1027" hidden="1"/>
    <col min="12788" max="12788" width="43.85546875" style="1027" hidden="1"/>
    <col min="12789" max="12789" width="16.7109375" style="1027" hidden="1"/>
    <col min="12790" max="12790" width="7.5703125" style="1027" hidden="1"/>
    <col min="12791" max="12791" width="16.7109375" style="1027" hidden="1"/>
    <col min="12792" max="12792" width="7.85546875" style="1027" hidden="1"/>
    <col min="12793" max="12793" width="43.85546875" style="1027" hidden="1"/>
    <col min="12794" max="12794" width="16.5703125" style="1027" hidden="1"/>
    <col min="12795" max="12795" width="7.5703125" style="1027" hidden="1"/>
    <col min="12796" max="12796" width="16.5703125" style="1027" hidden="1"/>
    <col min="12797" max="12797" width="7.5703125" style="1027" hidden="1"/>
    <col min="12798" max="12988" width="11.42578125" style="1027" hidden="1"/>
    <col min="12989" max="12989" width="43.7109375" style="1027" hidden="1"/>
    <col min="12990" max="12990" width="16.7109375" style="1027" hidden="1"/>
    <col min="12991" max="12991" width="7.7109375" style="1027" hidden="1"/>
    <col min="12992" max="12992" width="16.7109375" style="1027" hidden="1"/>
    <col min="12993" max="12993" width="7.85546875" style="1027" hidden="1"/>
    <col min="12994" max="12994" width="43.85546875" style="1027" hidden="1"/>
    <col min="12995" max="12995" width="16.7109375" style="1027" hidden="1"/>
    <col min="12996" max="12996" width="7.85546875" style="1027" hidden="1"/>
    <col min="12997" max="12997" width="16.7109375" style="1027" hidden="1"/>
    <col min="12998" max="12998" width="7.85546875" style="1027" hidden="1"/>
    <col min="12999" max="12999" width="43.85546875" style="1027" hidden="1"/>
    <col min="13000" max="13000" width="16.7109375" style="1027" hidden="1"/>
    <col min="13001" max="13001" width="7.85546875" style="1027" hidden="1"/>
    <col min="13002" max="13002" width="16.7109375" style="1027" hidden="1"/>
    <col min="13003" max="13003" width="7.5703125" style="1027" hidden="1"/>
    <col min="13004" max="13004" width="43.85546875" style="1027" hidden="1"/>
    <col min="13005" max="13005" width="16.7109375" style="1027" hidden="1"/>
    <col min="13006" max="13006" width="7.85546875" style="1027" hidden="1"/>
    <col min="13007" max="13007" width="16.7109375" style="1027" hidden="1"/>
    <col min="13008" max="13008" width="7.85546875" style="1027" hidden="1"/>
    <col min="13009" max="13009" width="43.85546875" style="1027" hidden="1"/>
    <col min="13010" max="13010" width="16.7109375" style="1027" hidden="1"/>
    <col min="13011" max="13011" width="7.85546875" style="1027" hidden="1"/>
    <col min="13012" max="13012" width="16.7109375" style="1027" hidden="1"/>
    <col min="13013" max="13013" width="7.85546875" style="1027" hidden="1"/>
    <col min="13014" max="13014" width="43.85546875" style="1027" hidden="1"/>
    <col min="13015" max="13015" width="16.7109375" style="1027" hidden="1"/>
    <col min="13016" max="13016" width="7.85546875" style="1027" hidden="1"/>
    <col min="13017" max="13017" width="16.7109375" style="1027" hidden="1"/>
    <col min="13018" max="13018" width="7.85546875" style="1027" hidden="1"/>
    <col min="13019" max="13019" width="43.85546875" style="1027" hidden="1"/>
    <col min="13020" max="13020" width="16.7109375" style="1027" hidden="1"/>
    <col min="13021" max="13021" width="7.85546875" style="1027" hidden="1"/>
    <col min="13022" max="13022" width="16.7109375" style="1027" hidden="1"/>
    <col min="13023" max="13023" width="7.85546875" style="1027" hidden="1"/>
    <col min="13024" max="13024" width="43.85546875" style="1027" hidden="1"/>
    <col min="13025" max="13025" width="16.7109375" style="1027" hidden="1"/>
    <col min="13026" max="13026" width="7.85546875" style="1027" hidden="1"/>
    <col min="13027" max="13027" width="16.5703125" style="1027" hidden="1"/>
    <col min="13028" max="13028" width="7.85546875" style="1027" hidden="1"/>
    <col min="13029" max="13029" width="43.85546875" style="1027" hidden="1"/>
    <col min="13030" max="13030" width="16.7109375" style="1027" hidden="1"/>
    <col min="13031" max="13031" width="7.5703125" style="1027" hidden="1"/>
    <col min="13032" max="13032" width="16.7109375" style="1027" hidden="1"/>
    <col min="13033" max="13033" width="7.85546875" style="1027" hidden="1"/>
    <col min="13034" max="13034" width="43.85546875" style="1027" hidden="1"/>
    <col min="13035" max="13035" width="16.7109375" style="1027" hidden="1"/>
    <col min="13036" max="13036" width="7.5703125" style="1027" hidden="1"/>
    <col min="13037" max="13037" width="16.7109375" style="1027" hidden="1"/>
    <col min="13038" max="13038" width="9.28515625" style="1027" hidden="1"/>
    <col min="13039" max="13039" width="43.85546875" style="1027" hidden="1"/>
    <col min="13040" max="13040" width="16.7109375" style="1027" hidden="1"/>
    <col min="13041" max="13041" width="7.7109375" style="1027" hidden="1"/>
    <col min="13042" max="13042" width="16.7109375" style="1027" hidden="1"/>
    <col min="13043" max="13043" width="7.85546875" style="1027" hidden="1"/>
    <col min="13044" max="13044" width="43.85546875" style="1027" hidden="1"/>
    <col min="13045" max="13045" width="16.7109375" style="1027" hidden="1"/>
    <col min="13046" max="13046" width="7.5703125" style="1027" hidden="1"/>
    <col min="13047" max="13047" width="16.7109375" style="1027" hidden="1"/>
    <col min="13048" max="13048" width="7.85546875" style="1027" hidden="1"/>
    <col min="13049" max="13049" width="43.85546875" style="1027" hidden="1"/>
    <col min="13050" max="13050" width="16.5703125" style="1027" hidden="1"/>
    <col min="13051" max="13051" width="7.5703125" style="1027" hidden="1"/>
    <col min="13052" max="13052" width="16.5703125" style="1027" hidden="1"/>
    <col min="13053" max="13053" width="7.5703125" style="1027" hidden="1"/>
    <col min="13054" max="13244" width="11.42578125" style="1027" hidden="1"/>
    <col min="13245" max="13245" width="43.7109375" style="1027" hidden="1"/>
    <col min="13246" max="13246" width="16.7109375" style="1027" hidden="1"/>
    <col min="13247" max="13247" width="7.7109375" style="1027" hidden="1"/>
    <col min="13248" max="13248" width="16.7109375" style="1027" hidden="1"/>
    <col min="13249" max="13249" width="7.85546875" style="1027" hidden="1"/>
    <col min="13250" max="13250" width="43.85546875" style="1027" hidden="1"/>
    <col min="13251" max="13251" width="16.7109375" style="1027" hidden="1"/>
    <col min="13252" max="13252" width="7.85546875" style="1027" hidden="1"/>
    <col min="13253" max="13253" width="16.7109375" style="1027" hidden="1"/>
    <col min="13254" max="13254" width="7.85546875" style="1027" hidden="1"/>
    <col min="13255" max="13255" width="43.85546875" style="1027" hidden="1"/>
    <col min="13256" max="13256" width="16.7109375" style="1027" hidden="1"/>
    <col min="13257" max="13257" width="7.85546875" style="1027" hidden="1"/>
    <col min="13258" max="13258" width="16.7109375" style="1027" hidden="1"/>
    <col min="13259" max="13259" width="7.5703125" style="1027" hidden="1"/>
    <col min="13260" max="13260" width="43.85546875" style="1027" hidden="1"/>
    <col min="13261" max="13261" width="16.7109375" style="1027" hidden="1"/>
    <col min="13262" max="13262" width="7.85546875" style="1027" hidden="1"/>
    <col min="13263" max="13263" width="16.7109375" style="1027" hidden="1"/>
    <col min="13264" max="13264" width="7.85546875" style="1027" hidden="1"/>
    <col min="13265" max="13265" width="43.85546875" style="1027" hidden="1"/>
    <col min="13266" max="13266" width="16.7109375" style="1027" hidden="1"/>
    <col min="13267" max="13267" width="7.85546875" style="1027" hidden="1"/>
    <col min="13268" max="13268" width="16.7109375" style="1027" hidden="1"/>
    <col min="13269" max="13269" width="7.85546875" style="1027" hidden="1"/>
    <col min="13270" max="13270" width="43.85546875" style="1027" hidden="1"/>
    <col min="13271" max="13271" width="16.7109375" style="1027" hidden="1"/>
    <col min="13272" max="13272" width="7.85546875" style="1027" hidden="1"/>
    <col min="13273" max="13273" width="16.7109375" style="1027" hidden="1"/>
    <col min="13274" max="13274" width="7.85546875" style="1027" hidden="1"/>
    <col min="13275" max="13275" width="43.85546875" style="1027" hidden="1"/>
    <col min="13276" max="13276" width="16.7109375" style="1027" hidden="1"/>
    <col min="13277" max="13277" width="7.85546875" style="1027" hidden="1"/>
    <col min="13278" max="13278" width="16.7109375" style="1027" hidden="1"/>
    <col min="13279" max="13279" width="7.85546875" style="1027" hidden="1"/>
    <col min="13280" max="13280" width="43.85546875" style="1027" hidden="1"/>
    <col min="13281" max="13281" width="16.7109375" style="1027" hidden="1"/>
    <col min="13282" max="13282" width="7.85546875" style="1027" hidden="1"/>
    <col min="13283" max="13283" width="16.5703125" style="1027" hidden="1"/>
    <col min="13284" max="13284" width="7.85546875" style="1027" hidden="1"/>
    <col min="13285" max="13285" width="43.85546875" style="1027" hidden="1"/>
    <col min="13286" max="13286" width="16.7109375" style="1027" hidden="1"/>
    <col min="13287" max="13287" width="7.5703125" style="1027" hidden="1"/>
    <col min="13288" max="13288" width="16.7109375" style="1027" hidden="1"/>
    <col min="13289" max="13289" width="7.85546875" style="1027" hidden="1"/>
    <col min="13290" max="13290" width="43.85546875" style="1027" hidden="1"/>
    <col min="13291" max="13291" width="16.7109375" style="1027" hidden="1"/>
    <col min="13292" max="13292" width="7.5703125" style="1027" hidden="1"/>
    <col min="13293" max="13293" width="16.7109375" style="1027" hidden="1"/>
    <col min="13294" max="13294" width="9.28515625" style="1027" hidden="1"/>
    <col min="13295" max="13295" width="43.85546875" style="1027" hidden="1"/>
    <col min="13296" max="13296" width="16.7109375" style="1027" hidden="1"/>
    <col min="13297" max="13297" width="7.7109375" style="1027" hidden="1"/>
    <col min="13298" max="13298" width="16.7109375" style="1027" hidden="1"/>
    <col min="13299" max="13299" width="7.85546875" style="1027" hidden="1"/>
    <col min="13300" max="13300" width="43.85546875" style="1027" hidden="1"/>
    <col min="13301" max="13301" width="16.7109375" style="1027" hidden="1"/>
    <col min="13302" max="13302" width="7.5703125" style="1027" hidden="1"/>
    <col min="13303" max="13303" width="16.7109375" style="1027" hidden="1"/>
    <col min="13304" max="13304" width="7.85546875" style="1027" hidden="1"/>
    <col min="13305" max="13305" width="43.85546875" style="1027" hidden="1"/>
    <col min="13306" max="13306" width="16.5703125" style="1027" hidden="1"/>
    <col min="13307" max="13307" width="7.5703125" style="1027" hidden="1"/>
    <col min="13308" max="13308" width="16.5703125" style="1027" hidden="1"/>
    <col min="13309" max="13309" width="7.5703125" style="1027" hidden="1"/>
    <col min="13310" max="13500" width="11.42578125" style="1027" hidden="1"/>
    <col min="13501" max="13501" width="43.7109375" style="1027" hidden="1"/>
    <col min="13502" max="13502" width="16.7109375" style="1027" hidden="1"/>
    <col min="13503" max="13503" width="7.7109375" style="1027" hidden="1"/>
    <col min="13504" max="13504" width="16.7109375" style="1027" hidden="1"/>
    <col min="13505" max="13505" width="7.85546875" style="1027" hidden="1"/>
    <col min="13506" max="13506" width="43.85546875" style="1027" hidden="1"/>
    <col min="13507" max="13507" width="16.7109375" style="1027" hidden="1"/>
    <col min="13508" max="13508" width="7.85546875" style="1027" hidden="1"/>
    <col min="13509" max="13509" width="16.7109375" style="1027" hidden="1"/>
    <col min="13510" max="13510" width="7.85546875" style="1027" hidden="1"/>
    <col min="13511" max="13511" width="43.85546875" style="1027" hidden="1"/>
    <col min="13512" max="13512" width="16.7109375" style="1027" hidden="1"/>
    <col min="13513" max="13513" width="7.85546875" style="1027" hidden="1"/>
    <col min="13514" max="13514" width="16.7109375" style="1027" hidden="1"/>
    <col min="13515" max="13515" width="7.5703125" style="1027" hidden="1"/>
    <col min="13516" max="13516" width="43.85546875" style="1027" hidden="1"/>
    <col min="13517" max="13517" width="16.7109375" style="1027" hidden="1"/>
    <col min="13518" max="13518" width="7.85546875" style="1027" hidden="1"/>
    <col min="13519" max="13519" width="16.7109375" style="1027" hidden="1"/>
    <col min="13520" max="13520" width="7.85546875" style="1027" hidden="1"/>
    <col min="13521" max="13521" width="43.85546875" style="1027" hidden="1"/>
    <col min="13522" max="13522" width="16.7109375" style="1027" hidden="1"/>
    <col min="13523" max="13523" width="7.85546875" style="1027" hidden="1"/>
    <col min="13524" max="13524" width="16.7109375" style="1027" hidden="1"/>
    <col min="13525" max="13525" width="7.85546875" style="1027" hidden="1"/>
    <col min="13526" max="13526" width="43.85546875" style="1027" hidden="1"/>
    <col min="13527" max="13527" width="16.7109375" style="1027" hidden="1"/>
    <col min="13528" max="13528" width="7.85546875" style="1027" hidden="1"/>
    <col min="13529" max="13529" width="16.7109375" style="1027" hidden="1"/>
    <col min="13530" max="13530" width="7.85546875" style="1027" hidden="1"/>
    <col min="13531" max="13531" width="43.85546875" style="1027" hidden="1"/>
    <col min="13532" max="13532" width="16.7109375" style="1027" hidden="1"/>
    <col min="13533" max="13533" width="7.85546875" style="1027" hidden="1"/>
    <col min="13534" max="13534" width="16.7109375" style="1027" hidden="1"/>
    <col min="13535" max="13535" width="7.85546875" style="1027" hidden="1"/>
    <col min="13536" max="13536" width="43.85546875" style="1027" hidden="1"/>
    <col min="13537" max="13537" width="16.7109375" style="1027" hidden="1"/>
    <col min="13538" max="13538" width="7.85546875" style="1027" hidden="1"/>
    <col min="13539" max="13539" width="16.5703125" style="1027" hidden="1"/>
    <col min="13540" max="13540" width="7.85546875" style="1027" hidden="1"/>
    <col min="13541" max="13541" width="43.85546875" style="1027" hidden="1"/>
    <col min="13542" max="13542" width="16.7109375" style="1027" hidden="1"/>
    <col min="13543" max="13543" width="7.5703125" style="1027" hidden="1"/>
    <col min="13544" max="13544" width="16.7109375" style="1027" hidden="1"/>
    <col min="13545" max="13545" width="7.85546875" style="1027" hidden="1"/>
    <col min="13546" max="13546" width="43.85546875" style="1027" hidden="1"/>
    <col min="13547" max="13547" width="16.7109375" style="1027" hidden="1"/>
    <col min="13548" max="13548" width="7.5703125" style="1027" hidden="1"/>
    <col min="13549" max="13549" width="16.7109375" style="1027" hidden="1"/>
    <col min="13550" max="13550" width="9.28515625" style="1027" hidden="1"/>
    <col min="13551" max="13551" width="43.85546875" style="1027" hidden="1"/>
    <col min="13552" max="13552" width="16.7109375" style="1027" hidden="1"/>
    <col min="13553" max="13553" width="7.7109375" style="1027" hidden="1"/>
    <col min="13554" max="13554" width="16.7109375" style="1027" hidden="1"/>
    <col min="13555" max="13555" width="7.85546875" style="1027" hidden="1"/>
    <col min="13556" max="13556" width="43.85546875" style="1027" hidden="1"/>
    <col min="13557" max="13557" width="16.7109375" style="1027" hidden="1"/>
    <col min="13558" max="13558" width="7.5703125" style="1027" hidden="1"/>
    <col min="13559" max="13559" width="16.7109375" style="1027" hidden="1"/>
    <col min="13560" max="13560" width="7.85546875" style="1027" hidden="1"/>
    <col min="13561" max="13561" width="43.85546875" style="1027" hidden="1"/>
    <col min="13562" max="13562" width="16.5703125" style="1027" hidden="1"/>
    <col min="13563" max="13563" width="7.5703125" style="1027" hidden="1"/>
    <col min="13564" max="13564" width="16.5703125" style="1027" hidden="1"/>
    <col min="13565" max="13565" width="7.5703125" style="1027" hidden="1"/>
    <col min="13566" max="13756" width="11.42578125" style="1027" hidden="1"/>
    <col min="13757" max="13757" width="43.7109375" style="1027" hidden="1"/>
    <col min="13758" max="13758" width="16.7109375" style="1027" hidden="1"/>
    <col min="13759" max="13759" width="7.7109375" style="1027" hidden="1"/>
    <col min="13760" max="13760" width="16.7109375" style="1027" hidden="1"/>
    <col min="13761" max="13761" width="7.85546875" style="1027" hidden="1"/>
    <col min="13762" max="13762" width="43.85546875" style="1027" hidden="1"/>
    <col min="13763" max="13763" width="16.7109375" style="1027" hidden="1"/>
    <col min="13764" max="13764" width="7.85546875" style="1027" hidden="1"/>
    <col min="13765" max="13765" width="16.7109375" style="1027" hidden="1"/>
    <col min="13766" max="13766" width="7.85546875" style="1027" hidden="1"/>
    <col min="13767" max="13767" width="43.85546875" style="1027" hidden="1"/>
    <col min="13768" max="13768" width="16.7109375" style="1027" hidden="1"/>
    <col min="13769" max="13769" width="7.85546875" style="1027" hidden="1"/>
    <col min="13770" max="13770" width="16.7109375" style="1027" hidden="1"/>
    <col min="13771" max="13771" width="7.5703125" style="1027" hidden="1"/>
    <col min="13772" max="13772" width="43.85546875" style="1027" hidden="1"/>
    <col min="13773" max="13773" width="16.7109375" style="1027" hidden="1"/>
    <col min="13774" max="13774" width="7.85546875" style="1027" hidden="1"/>
    <col min="13775" max="13775" width="16.7109375" style="1027" hidden="1"/>
    <col min="13776" max="13776" width="7.85546875" style="1027" hidden="1"/>
    <col min="13777" max="13777" width="43.85546875" style="1027" hidden="1"/>
    <col min="13778" max="13778" width="16.7109375" style="1027" hidden="1"/>
    <col min="13779" max="13779" width="7.85546875" style="1027" hidden="1"/>
    <col min="13780" max="13780" width="16.7109375" style="1027" hidden="1"/>
    <col min="13781" max="13781" width="7.85546875" style="1027" hidden="1"/>
    <col min="13782" max="13782" width="43.85546875" style="1027" hidden="1"/>
    <col min="13783" max="13783" width="16.7109375" style="1027" hidden="1"/>
    <col min="13784" max="13784" width="7.85546875" style="1027" hidden="1"/>
    <col min="13785" max="13785" width="16.7109375" style="1027" hidden="1"/>
    <col min="13786" max="13786" width="7.85546875" style="1027" hidden="1"/>
    <col min="13787" max="13787" width="43.85546875" style="1027" hidden="1"/>
    <col min="13788" max="13788" width="16.7109375" style="1027" hidden="1"/>
    <col min="13789" max="13789" width="7.85546875" style="1027" hidden="1"/>
    <col min="13790" max="13790" width="16.7109375" style="1027" hidden="1"/>
    <col min="13791" max="13791" width="7.85546875" style="1027" hidden="1"/>
    <col min="13792" max="13792" width="43.85546875" style="1027" hidden="1"/>
    <col min="13793" max="13793" width="16.7109375" style="1027" hidden="1"/>
    <col min="13794" max="13794" width="7.85546875" style="1027" hidden="1"/>
    <col min="13795" max="13795" width="16.5703125" style="1027" hidden="1"/>
    <col min="13796" max="13796" width="7.85546875" style="1027" hidden="1"/>
    <col min="13797" max="13797" width="43.85546875" style="1027" hidden="1"/>
    <col min="13798" max="13798" width="16.7109375" style="1027" hidden="1"/>
    <col min="13799" max="13799" width="7.5703125" style="1027" hidden="1"/>
    <col min="13800" max="13800" width="16.7109375" style="1027" hidden="1"/>
    <col min="13801" max="13801" width="7.85546875" style="1027" hidden="1"/>
    <col min="13802" max="13802" width="43.85546875" style="1027" hidden="1"/>
    <col min="13803" max="13803" width="16.7109375" style="1027" hidden="1"/>
    <col min="13804" max="13804" width="7.5703125" style="1027" hidden="1"/>
    <col min="13805" max="13805" width="16.7109375" style="1027" hidden="1"/>
    <col min="13806" max="13806" width="9.28515625" style="1027" hidden="1"/>
    <col min="13807" max="13807" width="43.85546875" style="1027" hidden="1"/>
    <col min="13808" max="13808" width="16.7109375" style="1027" hidden="1"/>
    <col min="13809" max="13809" width="7.7109375" style="1027" hidden="1"/>
    <col min="13810" max="13810" width="16.7109375" style="1027" hidden="1"/>
    <col min="13811" max="13811" width="7.85546875" style="1027" hidden="1"/>
    <col min="13812" max="13812" width="43.85546875" style="1027" hidden="1"/>
    <col min="13813" max="13813" width="16.7109375" style="1027" hidden="1"/>
    <col min="13814" max="13814" width="7.5703125" style="1027" hidden="1"/>
    <col min="13815" max="13815" width="16.7109375" style="1027" hidden="1"/>
    <col min="13816" max="13816" width="7.85546875" style="1027" hidden="1"/>
    <col min="13817" max="13817" width="43.85546875" style="1027" hidden="1"/>
    <col min="13818" max="13818" width="16.5703125" style="1027" hidden="1"/>
    <col min="13819" max="13819" width="7.5703125" style="1027" hidden="1"/>
    <col min="13820" max="13820" width="16.5703125" style="1027" hidden="1"/>
    <col min="13821" max="13821" width="7.5703125" style="1027" hidden="1"/>
    <col min="13822" max="14012" width="11.42578125" style="1027" hidden="1"/>
    <col min="14013" max="14013" width="43.7109375" style="1027" hidden="1"/>
    <col min="14014" max="14014" width="16.7109375" style="1027" hidden="1"/>
    <col min="14015" max="14015" width="7.7109375" style="1027" hidden="1"/>
    <col min="14016" max="14016" width="16.7109375" style="1027" hidden="1"/>
    <col min="14017" max="14017" width="7.85546875" style="1027" hidden="1"/>
    <col min="14018" max="14018" width="43.85546875" style="1027" hidden="1"/>
    <col min="14019" max="14019" width="16.7109375" style="1027" hidden="1"/>
    <col min="14020" max="14020" width="7.85546875" style="1027" hidden="1"/>
    <col min="14021" max="14021" width="16.7109375" style="1027" hidden="1"/>
    <col min="14022" max="14022" width="7.85546875" style="1027" hidden="1"/>
    <col min="14023" max="14023" width="43.85546875" style="1027" hidden="1"/>
    <col min="14024" max="14024" width="16.7109375" style="1027" hidden="1"/>
    <col min="14025" max="14025" width="7.85546875" style="1027" hidden="1"/>
    <col min="14026" max="14026" width="16.7109375" style="1027" hidden="1"/>
    <col min="14027" max="14027" width="7.5703125" style="1027" hidden="1"/>
    <col min="14028" max="14028" width="43.85546875" style="1027" hidden="1"/>
    <col min="14029" max="14029" width="16.7109375" style="1027" hidden="1"/>
    <col min="14030" max="14030" width="7.85546875" style="1027" hidden="1"/>
    <col min="14031" max="14031" width="16.7109375" style="1027" hidden="1"/>
    <col min="14032" max="14032" width="7.85546875" style="1027" hidden="1"/>
    <col min="14033" max="14033" width="43.85546875" style="1027" hidden="1"/>
    <col min="14034" max="14034" width="16.7109375" style="1027" hidden="1"/>
    <col min="14035" max="14035" width="7.85546875" style="1027" hidden="1"/>
    <col min="14036" max="14036" width="16.7109375" style="1027" hidden="1"/>
    <col min="14037" max="14037" width="7.85546875" style="1027" hidden="1"/>
    <col min="14038" max="14038" width="43.85546875" style="1027" hidden="1"/>
    <col min="14039" max="14039" width="16.7109375" style="1027" hidden="1"/>
    <col min="14040" max="14040" width="7.85546875" style="1027" hidden="1"/>
    <col min="14041" max="14041" width="16.7109375" style="1027" hidden="1"/>
    <col min="14042" max="14042" width="7.85546875" style="1027" hidden="1"/>
    <col min="14043" max="14043" width="43.85546875" style="1027" hidden="1"/>
    <col min="14044" max="14044" width="16.7109375" style="1027" hidden="1"/>
    <col min="14045" max="14045" width="7.85546875" style="1027" hidden="1"/>
    <col min="14046" max="14046" width="16.7109375" style="1027" hidden="1"/>
    <col min="14047" max="14047" width="7.85546875" style="1027" hidden="1"/>
    <col min="14048" max="14048" width="43.85546875" style="1027" hidden="1"/>
    <col min="14049" max="14049" width="16.7109375" style="1027" hidden="1"/>
    <col min="14050" max="14050" width="7.85546875" style="1027" hidden="1"/>
    <col min="14051" max="14051" width="16.5703125" style="1027" hidden="1"/>
    <col min="14052" max="14052" width="7.85546875" style="1027" hidden="1"/>
    <col min="14053" max="14053" width="43.85546875" style="1027" hidden="1"/>
    <col min="14054" max="14054" width="16.7109375" style="1027" hidden="1"/>
    <col min="14055" max="14055" width="7.5703125" style="1027" hidden="1"/>
    <col min="14056" max="14056" width="16.7109375" style="1027" hidden="1"/>
    <col min="14057" max="14057" width="7.85546875" style="1027" hidden="1"/>
    <col min="14058" max="14058" width="43.85546875" style="1027" hidden="1"/>
    <col min="14059" max="14059" width="16.7109375" style="1027" hidden="1"/>
    <col min="14060" max="14060" width="7.5703125" style="1027" hidden="1"/>
    <col min="14061" max="14061" width="16.7109375" style="1027" hidden="1"/>
    <col min="14062" max="14062" width="9.28515625" style="1027" hidden="1"/>
    <col min="14063" max="14063" width="43.85546875" style="1027" hidden="1"/>
    <col min="14064" max="14064" width="16.7109375" style="1027" hidden="1"/>
    <col min="14065" max="14065" width="7.7109375" style="1027" hidden="1"/>
    <col min="14066" max="14066" width="16.7109375" style="1027" hidden="1"/>
    <col min="14067" max="14067" width="7.85546875" style="1027" hidden="1"/>
    <col min="14068" max="14068" width="43.85546875" style="1027" hidden="1"/>
    <col min="14069" max="14069" width="16.7109375" style="1027" hidden="1"/>
    <col min="14070" max="14070" width="7.5703125" style="1027" hidden="1"/>
    <col min="14071" max="14071" width="16.7109375" style="1027" hidden="1"/>
    <col min="14072" max="14072" width="7.85546875" style="1027" hidden="1"/>
    <col min="14073" max="14073" width="43.85546875" style="1027" hidden="1"/>
    <col min="14074" max="14074" width="16.5703125" style="1027" hidden="1"/>
    <col min="14075" max="14075" width="7.5703125" style="1027" hidden="1"/>
    <col min="14076" max="14076" width="16.5703125" style="1027" hidden="1"/>
    <col min="14077" max="14077" width="7.5703125" style="1027" hidden="1"/>
    <col min="14078" max="14268" width="11.42578125" style="1027" hidden="1"/>
    <col min="14269" max="14269" width="43.7109375" style="1027" hidden="1"/>
    <col min="14270" max="14270" width="16.7109375" style="1027" hidden="1"/>
    <col min="14271" max="14271" width="7.7109375" style="1027" hidden="1"/>
    <col min="14272" max="14272" width="16.7109375" style="1027" hidden="1"/>
    <col min="14273" max="14273" width="7.85546875" style="1027" hidden="1"/>
    <col min="14274" max="14274" width="43.85546875" style="1027" hidden="1"/>
    <col min="14275" max="14275" width="16.7109375" style="1027" hidden="1"/>
    <col min="14276" max="14276" width="7.85546875" style="1027" hidden="1"/>
    <col min="14277" max="14277" width="16.7109375" style="1027" hidden="1"/>
    <col min="14278" max="14278" width="7.85546875" style="1027" hidden="1"/>
    <col min="14279" max="14279" width="43.85546875" style="1027" hidden="1"/>
    <col min="14280" max="14280" width="16.7109375" style="1027" hidden="1"/>
    <col min="14281" max="14281" width="7.85546875" style="1027" hidden="1"/>
    <col min="14282" max="14282" width="16.7109375" style="1027" hidden="1"/>
    <col min="14283" max="14283" width="7.5703125" style="1027" hidden="1"/>
    <col min="14284" max="14284" width="43.85546875" style="1027" hidden="1"/>
    <col min="14285" max="14285" width="16.7109375" style="1027" hidden="1"/>
    <col min="14286" max="14286" width="7.85546875" style="1027" hidden="1"/>
    <col min="14287" max="14287" width="16.7109375" style="1027" hidden="1"/>
    <col min="14288" max="14288" width="7.85546875" style="1027" hidden="1"/>
    <col min="14289" max="14289" width="43.85546875" style="1027" hidden="1"/>
    <col min="14290" max="14290" width="16.7109375" style="1027" hidden="1"/>
    <col min="14291" max="14291" width="7.85546875" style="1027" hidden="1"/>
    <col min="14292" max="14292" width="16.7109375" style="1027" hidden="1"/>
    <col min="14293" max="14293" width="7.85546875" style="1027" hidden="1"/>
    <col min="14294" max="14294" width="43.85546875" style="1027" hidden="1"/>
    <col min="14295" max="14295" width="16.7109375" style="1027" hidden="1"/>
    <col min="14296" max="14296" width="7.85546875" style="1027" hidden="1"/>
    <col min="14297" max="14297" width="16.7109375" style="1027" hidden="1"/>
    <col min="14298" max="14298" width="7.85546875" style="1027" hidden="1"/>
    <col min="14299" max="14299" width="43.85546875" style="1027" hidden="1"/>
    <col min="14300" max="14300" width="16.7109375" style="1027" hidden="1"/>
    <col min="14301" max="14301" width="7.85546875" style="1027" hidden="1"/>
    <col min="14302" max="14302" width="16.7109375" style="1027" hidden="1"/>
    <col min="14303" max="14303" width="7.85546875" style="1027" hidden="1"/>
    <col min="14304" max="14304" width="43.85546875" style="1027" hidden="1"/>
    <col min="14305" max="14305" width="16.7109375" style="1027" hidden="1"/>
    <col min="14306" max="14306" width="7.85546875" style="1027" hidden="1"/>
    <col min="14307" max="14307" width="16.5703125" style="1027" hidden="1"/>
    <col min="14308" max="14308" width="7.85546875" style="1027" hidden="1"/>
    <col min="14309" max="14309" width="43.85546875" style="1027" hidden="1"/>
    <col min="14310" max="14310" width="16.7109375" style="1027" hidden="1"/>
    <col min="14311" max="14311" width="7.5703125" style="1027" hidden="1"/>
    <col min="14312" max="14312" width="16.7109375" style="1027" hidden="1"/>
    <col min="14313" max="14313" width="7.85546875" style="1027" hidden="1"/>
    <col min="14314" max="14314" width="43.85546875" style="1027" hidden="1"/>
    <col min="14315" max="14315" width="16.7109375" style="1027" hidden="1"/>
    <col min="14316" max="14316" width="7.5703125" style="1027" hidden="1"/>
    <col min="14317" max="14317" width="16.7109375" style="1027" hidden="1"/>
    <col min="14318" max="14318" width="9.28515625" style="1027" hidden="1"/>
    <col min="14319" max="14319" width="43.85546875" style="1027" hidden="1"/>
    <col min="14320" max="14320" width="16.7109375" style="1027" hidden="1"/>
    <col min="14321" max="14321" width="7.7109375" style="1027" hidden="1"/>
    <col min="14322" max="14322" width="16.7109375" style="1027" hidden="1"/>
    <col min="14323" max="14323" width="7.85546875" style="1027" hidden="1"/>
    <col min="14324" max="14324" width="43.85546875" style="1027" hidden="1"/>
    <col min="14325" max="14325" width="16.7109375" style="1027" hidden="1"/>
    <col min="14326" max="14326" width="7.5703125" style="1027" hidden="1"/>
    <col min="14327" max="14327" width="16.7109375" style="1027" hidden="1"/>
    <col min="14328" max="14328" width="7.85546875" style="1027" hidden="1"/>
    <col min="14329" max="14329" width="43.85546875" style="1027" hidden="1"/>
    <col min="14330" max="14330" width="16.5703125" style="1027" hidden="1"/>
    <col min="14331" max="14331" width="7.5703125" style="1027" hidden="1"/>
    <col min="14332" max="14332" width="16.5703125" style="1027" hidden="1"/>
    <col min="14333" max="14333" width="7.5703125" style="1027" hidden="1"/>
    <col min="14334" max="14524" width="11.42578125" style="1027" hidden="1"/>
    <col min="14525" max="14525" width="43.7109375" style="1027" hidden="1"/>
    <col min="14526" max="14526" width="16.7109375" style="1027" hidden="1"/>
    <col min="14527" max="14527" width="7.7109375" style="1027" hidden="1"/>
    <col min="14528" max="14528" width="16.7109375" style="1027" hidden="1"/>
    <col min="14529" max="14529" width="7.85546875" style="1027" hidden="1"/>
    <col min="14530" max="14530" width="43.85546875" style="1027" hidden="1"/>
    <col min="14531" max="14531" width="16.7109375" style="1027" hidden="1"/>
    <col min="14532" max="14532" width="7.85546875" style="1027" hidden="1"/>
    <col min="14533" max="14533" width="16.7109375" style="1027" hidden="1"/>
    <col min="14534" max="14534" width="7.85546875" style="1027" hidden="1"/>
    <col min="14535" max="14535" width="43.85546875" style="1027" hidden="1"/>
    <col min="14536" max="14536" width="16.7109375" style="1027" hidden="1"/>
    <col min="14537" max="14537" width="7.85546875" style="1027" hidden="1"/>
    <col min="14538" max="14538" width="16.7109375" style="1027" hidden="1"/>
    <col min="14539" max="14539" width="7.5703125" style="1027" hidden="1"/>
    <col min="14540" max="14540" width="43.85546875" style="1027" hidden="1"/>
    <col min="14541" max="14541" width="16.7109375" style="1027" hidden="1"/>
    <col min="14542" max="14542" width="7.85546875" style="1027" hidden="1"/>
    <col min="14543" max="14543" width="16.7109375" style="1027" hidden="1"/>
    <col min="14544" max="14544" width="7.85546875" style="1027" hidden="1"/>
    <col min="14545" max="14545" width="43.85546875" style="1027" hidden="1"/>
    <col min="14546" max="14546" width="16.7109375" style="1027" hidden="1"/>
    <col min="14547" max="14547" width="7.85546875" style="1027" hidden="1"/>
    <col min="14548" max="14548" width="16.7109375" style="1027" hidden="1"/>
    <col min="14549" max="14549" width="7.85546875" style="1027" hidden="1"/>
    <col min="14550" max="14550" width="43.85546875" style="1027" hidden="1"/>
    <col min="14551" max="14551" width="16.7109375" style="1027" hidden="1"/>
    <col min="14552" max="14552" width="7.85546875" style="1027" hidden="1"/>
    <col min="14553" max="14553" width="16.7109375" style="1027" hidden="1"/>
    <col min="14554" max="14554" width="7.85546875" style="1027" hidden="1"/>
    <col min="14555" max="14555" width="43.85546875" style="1027" hidden="1"/>
    <col min="14556" max="14556" width="16.7109375" style="1027" hidden="1"/>
    <col min="14557" max="14557" width="7.85546875" style="1027" hidden="1"/>
    <col min="14558" max="14558" width="16.7109375" style="1027" hidden="1"/>
    <col min="14559" max="14559" width="7.85546875" style="1027" hidden="1"/>
    <col min="14560" max="14560" width="43.85546875" style="1027" hidden="1"/>
    <col min="14561" max="14561" width="16.7109375" style="1027" hidden="1"/>
    <col min="14562" max="14562" width="7.85546875" style="1027" hidden="1"/>
    <col min="14563" max="14563" width="16.5703125" style="1027" hidden="1"/>
    <col min="14564" max="14564" width="7.85546875" style="1027" hidden="1"/>
    <col min="14565" max="14565" width="43.85546875" style="1027" hidden="1"/>
    <col min="14566" max="14566" width="16.7109375" style="1027" hidden="1"/>
    <col min="14567" max="14567" width="7.5703125" style="1027" hidden="1"/>
    <col min="14568" max="14568" width="16.7109375" style="1027" hidden="1"/>
    <col min="14569" max="14569" width="7.85546875" style="1027" hidden="1"/>
    <col min="14570" max="14570" width="43.85546875" style="1027" hidden="1"/>
    <col min="14571" max="14571" width="16.7109375" style="1027" hidden="1"/>
    <col min="14572" max="14572" width="7.5703125" style="1027" hidden="1"/>
    <col min="14573" max="14573" width="16.7109375" style="1027" hidden="1"/>
    <col min="14574" max="14574" width="9.28515625" style="1027" hidden="1"/>
    <col min="14575" max="14575" width="43.85546875" style="1027" hidden="1"/>
    <col min="14576" max="14576" width="16.7109375" style="1027" hidden="1"/>
    <col min="14577" max="14577" width="7.7109375" style="1027" hidden="1"/>
    <col min="14578" max="14578" width="16.7109375" style="1027" hidden="1"/>
    <col min="14579" max="14579" width="7.85546875" style="1027" hidden="1"/>
    <col min="14580" max="14580" width="43.85546875" style="1027" hidden="1"/>
    <col min="14581" max="14581" width="16.7109375" style="1027" hidden="1"/>
    <col min="14582" max="14582" width="7.5703125" style="1027" hidden="1"/>
    <col min="14583" max="14583" width="16.7109375" style="1027" hidden="1"/>
    <col min="14584" max="14584" width="7.85546875" style="1027" hidden="1"/>
    <col min="14585" max="14585" width="43.85546875" style="1027" hidden="1"/>
    <col min="14586" max="14586" width="16.5703125" style="1027" hidden="1"/>
    <col min="14587" max="14587" width="7.5703125" style="1027" hidden="1"/>
    <col min="14588" max="14588" width="16.5703125" style="1027" hidden="1"/>
    <col min="14589" max="14589" width="7.5703125" style="1027" hidden="1"/>
    <col min="14590" max="14780" width="11.42578125" style="1027" hidden="1"/>
    <col min="14781" max="14781" width="43.7109375" style="1027" hidden="1"/>
    <col min="14782" max="14782" width="16.7109375" style="1027" hidden="1"/>
    <col min="14783" max="14783" width="7.7109375" style="1027" hidden="1"/>
    <col min="14784" max="14784" width="16.7109375" style="1027" hidden="1"/>
    <col min="14785" max="14785" width="7.85546875" style="1027" hidden="1"/>
    <col min="14786" max="14786" width="43.85546875" style="1027" hidden="1"/>
    <col min="14787" max="14787" width="16.7109375" style="1027" hidden="1"/>
    <col min="14788" max="14788" width="7.85546875" style="1027" hidden="1"/>
    <col min="14789" max="14789" width="16.7109375" style="1027" hidden="1"/>
    <col min="14790" max="14790" width="7.85546875" style="1027" hidden="1"/>
    <col min="14791" max="14791" width="43.85546875" style="1027" hidden="1"/>
    <col min="14792" max="14792" width="16.7109375" style="1027" hidden="1"/>
    <col min="14793" max="14793" width="7.85546875" style="1027" hidden="1"/>
    <col min="14794" max="14794" width="16.7109375" style="1027" hidden="1"/>
    <col min="14795" max="14795" width="7.5703125" style="1027" hidden="1"/>
    <col min="14796" max="14796" width="43.85546875" style="1027" hidden="1"/>
    <col min="14797" max="14797" width="16.7109375" style="1027" hidden="1"/>
    <col min="14798" max="14798" width="7.85546875" style="1027" hidden="1"/>
    <col min="14799" max="14799" width="16.7109375" style="1027" hidden="1"/>
    <col min="14800" max="14800" width="7.85546875" style="1027" hidden="1"/>
    <col min="14801" max="14801" width="43.85546875" style="1027" hidden="1"/>
    <col min="14802" max="14802" width="16.7109375" style="1027" hidden="1"/>
    <col min="14803" max="14803" width="7.85546875" style="1027" hidden="1"/>
    <col min="14804" max="14804" width="16.7109375" style="1027" hidden="1"/>
    <col min="14805" max="14805" width="7.85546875" style="1027" hidden="1"/>
    <col min="14806" max="14806" width="43.85546875" style="1027" hidden="1"/>
    <col min="14807" max="14807" width="16.7109375" style="1027" hidden="1"/>
    <col min="14808" max="14808" width="7.85546875" style="1027" hidden="1"/>
    <col min="14809" max="14809" width="16.7109375" style="1027" hidden="1"/>
    <col min="14810" max="14810" width="7.85546875" style="1027" hidden="1"/>
    <col min="14811" max="14811" width="43.85546875" style="1027" hidden="1"/>
    <col min="14812" max="14812" width="16.7109375" style="1027" hidden="1"/>
    <col min="14813" max="14813" width="7.85546875" style="1027" hidden="1"/>
    <col min="14814" max="14814" width="16.7109375" style="1027" hidden="1"/>
    <col min="14815" max="14815" width="7.85546875" style="1027" hidden="1"/>
    <col min="14816" max="14816" width="43.85546875" style="1027" hidden="1"/>
    <col min="14817" max="14817" width="16.7109375" style="1027" hidden="1"/>
    <col min="14818" max="14818" width="7.85546875" style="1027" hidden="1"/>
    <col min="14819" max="14819" width="16.5703125" style="1027" hidden="1"/>
    <col min="14820" max="14820" width="7.85546875" style="1027" hidden="1"/>
    <col min="14821" max="14821" width="43.85546875" style="1027" hidden="1"/>
    <col min="14822" max="14822" width="16.7109375" style="1027" hidden="1"/>
    <col min="14823" max="14823" width="7.5703125" style="1027" hidden="1"/>
    <col min="14824" max="14824" width="16.7109375" style="1027" hidden="1"/>
    <col min="14825" max="14825" width="7.85546875" style="1027" hidden="1"/>
    <col min="14826" max="14826" width="43.85546875" style="1027" hidden="1"/>
    <col min="14827" max="14827" width="16.7109375" style="1027" hidden="1"/>
    <col min="14828" max="14828" width="7.5703125" style="1027" hidden="1"/>
    <col min="14829" max="14829" width="16.7109375" style="1027" hidden="1"/>
    <col min="14830" max="14830" width="9.28515625" style="1027" hidden="1"/>
    <col min="14831" max="14831" width="43.85546875" style="1027" hidden="1"/>
    <col min="14832" max="14832" width="16.7109375" style="1027" hidden="1"/>
    <col min="14833" max="14833" width="7.7109375" style="1027" hidden="1"/>
    <col min="14834" max="14834" width="16.7109375" style="1027" hidden="1"/>
    <col min="14835" max="14835" width="7.85546875" style="1027" hidden="1"/>
    <col min="14836" max="14836" width="43.85546875" style="1027" hidden="1"/>
    <col min="14837" max="14837" width="16.7109375" style="1027" hidden="1"/>
    <col min="14838" max="14838" width="7.5703125" style="1027" hidden="1"/>
    <col min="14839" max="14839" width="16.7109375" style="1027" hidden="1"/>
    <col min="14840" max="14840" width="7.85546875" style="1027" hidden="1"/>
    <col min="14841" max="14841" width="43.85546875" style="1027" hidden="1"/>
    <col min="14842" max="14842" width="16.5703125" style="1027" hidden="1"/>
    <col min="14843" max="14843" width="7.5703125" style="1027" hidden="1"/>
    <col min="14844" max="14844" width="16.5703125" style="1027" hidden="1"/>
    <col min="14845" max="14845" width="7.5703125" style="1027" hidden="1"/>
    <col min="14846" max="15036" width="11.42578125" style="1027" hidden="1"/>
    <col min="15037" max="15037" width="43.7109375" style="1027" hidden="1"/>
    <col min="15038" max="15038" width="16.7109375" style="1027" hidden="1"/>
    <col min="15039" max="15039" width="7.7109375" style="1027" hidden="1"/>
    <col min="15040" max="15040" width="16.7109375" style="1027" hidden="1"/>
    <col min="15041" max="15041" width="7.85546875" style="1027" hidden="1"/>
    <col min="15042" max="15042" width="43.85546875" style="1027" hidden="1"/>
    <col min="15043" max="15043" width="16.7109375" style="1027" hidden="1"/>
    <col min="15044" max="15044" width="7.85546875" style="1027" hidden="1"/>
    <col min="15045" max="15045" width="16.7109375" style="1027" hidden="1"/>
    <col min="15046" max="15046" width="7.85546875" style="1027" hidden="1"/>
    <col min="15047" max="15047" width="43.85546875" style="1027" hidden="1"/>
    <col min="15048" max="15048" width="16.7109375" style="1027" hidden="1"/>
    <col min="15049" max="15049" width="7.85546875" style="1027" hidden="1"/>
    <col min="15050" max="15050" width="16.7109375" style="1027" hidden="1"/>
    <col min="15051" max="15051" width="7.5703125" style="1027" hidden="1"/>
    <col min="15052" max="15052" width="43.85546875" style="1027" hidden="1"/>
    <col min="15053" max="15053" width="16.7109375" style="1027" hidden="1"/>
    <col min="15054" max="15054" width="7.85546875" style="1027" hidden="1"/>
    <col min="15055" max="15055" width="16.7109375" style="1027" hidden="1"/>
    <col min="15056" max="15056" width="7.85546875" style="1027" hidden="1"/>
    <col min="15057" max="15057" width="43.85546875" style="1027" hidden="1"/>
    <col min="15058" max="15058" width="16.7109375" style="1027" hidden="1"/>
    <col min="15059" max="15059" width="7.85546875" style="1027" hidden="1"/>
    <col min="15060" max="15060" width="16.7109375" style="1027" hidden="1"/>
    <col min="15061" max="15061" width="7.85546875" style="1027" hidden="1"/>
    <col min="15062" max="15062" width="43.85546875" style="1027" hidden="1"/>
    <col min="15063" max="15063" width="16.7109375" style="1027" hidden="1"/>
    <col min="15064" max="15064" width="7.85546875" style="1027" hidden="1"/>
    <col min="15065" max="15065" width="16.7109375" style="1027" hidden="1"/>
    <col min="15066" max="15066" width="7.85546875" style="1027" hidden="1"/>
    <col min="15067" max="15067" width="43.85546875" style="1027" hidden="1"/>
    <col min="15068" max="15068" width="16.7109375" style="1027" hidden="1"/>
    <col min="15069" max="15069" width="7.85546875" style="1027" hidden="1"/>
    <col min="15070" max="15070" width="16.7109375" style="1027" hidden="1"/>
    <col min="15071" max="15071" width="7.85546875" style="1027" hidden="1"/>
    <col min="15072" max="15072" width="43.85546875" style="1027" hidden="1"/>
    <col min="15073" max="15073" width="16.7109375" style="1027" hidden="1"/>
    <col min="15074" max="15074" width="7.85546875" style="1027" hidden="1"/>
    <col min="15075" max="15075" width="16.5703125" style="1027" hidden="1"/>
    <col min="15076" max="15076" width="7.85546875" style="1027" hidden="1"/>
    <col min="15077" max="15077" width="43.85546875" style="1027" hidden="1"/>
    <col min="15078" max="15078" width="16.7109375" style="1027" hidden="1"/>
    <col min="15079" max="15079" width="7.5703125" style="1027" hidden="1"/>
    <col min="15080" max="15080" width="16.7109375" style="1027" hidden="1"/>
    <col min="15081" max="15081" width="7.85546875" style="1027" hidden="1"/>
    <col min="15082" max="15082" width="43.85546875" style="1027" hidden="1"/>
    <col min="15083" max="15083" width="16.7109375" style="1027" hidden="1"/>
    <col min="15084" max="15084" width="7.5703125" style="1027" hidden="1"/>
    <col min="15085" max="15085" width="16.7109375" style="1027" hidden="1"/>
    <col min="15086" max="15086" width="9.28515625" style="1027" hidden="1"/>
    <col min="15087" max="15087" width="43.85546875" style="1027" hidden="1"/>
    <col min="15088" max="15088" width="16.7109375" style="1027" hidden="1"/>
    <col min="15089" max="15089" width="7.7109375" style="1027" hidden="1"/>
    <col min="15090" max="15090" width="16.7109375" style="1027" hidden="1"/>
    <col min="15091" max="15091" width="7.85546875" style="1027" hidden="1"/>
    <col min="15092" max="15092" width="43.85546875" style="1027" hidden="1"/>
    <col min="15093" max="15093" width="16.7109375" style="1027" hidden="1"/>
    <col min="15094" max="15094" width="7.5703125" style="1027" hidden="1"/>
    <col min="15095" max="15095" width="16.7109375" style="1027" hidden="1"/>
    <col min="15096" max="15096" width="7.85546875" style="1027" hidden="1"/>
    <col min="15097" max="15097" width="43.85546875" style="1027" hidden="1"/>
    <col min="15098" max="15098" width="16.5703125" style="1027" hidden="1"/>
    <col min="15099" max="15099" width="7.5703125" style="1027" hidden="1"/>
    <col min="15100" max="15100" width="16.5703125" style="1027" hidden="1"/>
    <col min="15101" max="15101" width="7.5703125" style="1027" hidden="1"/>
    <col min="15102" max="15292" width="11.42578125" style="1027" hidden="1"/>
    <col min="15293" max="15293" width="43.7109375" style="1027" hidden="1"/>
    <col min="15294" max="15294" width="16.7109375" style="1027" hidden="1"/>
    <col min="15295" max="15295" width="7.7109375" style="1027" hidden="1"/>
    <col min="15296" max="15296" width="16.7109375" style="1027" hidden="1"/>
    <col min="15297" max="15297" width="7.85546875" style="1027" hidden="1"/>
    <col min="15298" max="15298" width="43.85546875" style="1027" hidden="1"/>
    <col min="15299" max="15299" width="16.7109375" style="1027" hidden="1"/>
    <col min="15300" max="15300" width="7.85546875" style="1027" hidden="1"/>
    <col min="15301" max="15301" width="16.7109375" style="1027" hidden="1"/>
    <col min="15302" max="15302" width="7.85546875" style="1027" hidden="1"/>
    <col min="15303" max="15303" width="43.85546875" style="1027" hidden="1"/>
    <col min="15304" max="15304" width="16.7109375" style="1027" hidden="1"/>
    <col min="15305" max="15305" width="7.85546875" style="1027" hidden="1"/>
    <col min="15306" max="15306" width="16.7109375" style="1027" hidden="1"/>
    <col min="15307" max="15307" width="7.5703125" style="1027" hidden="1"/>
    <col min="15308" max="15308" width="43.85546875" style="1027" hidden="1"/>
    <col min="15309" max="15309" width="16.7109375" style="1027" hidden="1"/>
    <col min="15310" max="15310" width="7.85546875" style="1027" hidden="1"/>
    <col min="15311" max="15311" width="16.7109375" style="1027" hidden="1"/>
    <col min="15312" max="15312" width="7.85546875" style="1027" hidden="1"/>
    <col min="15313" max="15313" width="43.85546875" style="1027" hidden="1"/>
    <col min="15314" max="15314" width="16.7109375" style="1027" hidden="1"/>
    <col min="15315" max="15315" width="7.85546875" style="1027" hidden="1"/>
    <col min="15316" max="15316" width="16.7109375" style="1027" hidden="1"/>
    <col min="15317" max="15317" width="7.85546875" style="1027" hidden="1"/>
    <col min="15318" max="15318" width="43.85546875" style="1027" hidden="1"/>
    <col min="15319" max="15319" width="16.7109375" style="1027" hidden="1"/>
    <col min="15320" max="15320" width="7.85546875" style="1027" hidden="1"/>
    <col min="15321" max="15321" width="16.7109375" style="1027" hidden="1"/>
    <col min="15322" max="15322" width="7.85546875" style="1027" hidden="1"/>
    <col min="15323" max="15323" width="43.85546875" style="1027" hidden="1"/>
    <col min="15324" max="15324" width="16.7109375" style="1027" hidden="1"/>
    <col min="15325" max="15325" width="7.85546875" style="1027" hidden="1"/>
    <col min="15326" max="15326" width="16.7109375" style="1027" hidden="1"/>
    <col min="15327" max="15327" width="7.85546875" style="1027" hidden="1"/>
    <col min="15328" max="15328" width="43.85546875" style="1027" hidden="1"/>
    <col min="15329" max="15329" width="16.7109375" style="1027" hidden="1"/>
    <col min="15330" max="15330" width="7.85546875" style="1027" hidden="1"/>
    <col min="15331" max="15331" width="16.5703125" style="1027" hidden="1"/>
    <col min="15332" max="15332" width="7.85546875" style="1027" hidden="1"/>
    <col min="15333" max="15333" width="43.85546875" style="1027" hidden="1"/>
    <col min="15334" max="15334" width="16.7109375" style="1027" hidden="1"/>
    <col min="15335" max="15335" width="7.5703125" style="1027" hidden="1"/>
    <col min="15336" max="15336" width="16.7109375" style="1027" hidden="1"/>
    <col min="15337" max="15337" width="7.85546875" style="1027" hidden="1"/>
    <col min="15338" max="15338" width="43.85546875" style="1027" hidden="1"/>
    <col min="15339" max="15339" width="16.7109375" style="1027" hidden="1"/>
    <col min="15340" max="15340" width="7.5703125" style="1027" hidden="1"/>
    <col min="15341" max="15341" width="16.7109375" style="1027" hidden="1"/>
    <col min="15342" max="15342" width="9.28515625" style="1027" hidden="1"/>
    <col min="15343" max="15343" width="43.85546875" style="1027" hidden="1"/>
    <col min="15344" max="15344" width="16.7109375" style="1027" hidden="1"/>
    <col min="15345" max="15345" width="7.7109375" style="1027" hidden="1"/>
    <col min="15346" max="15346" width="16.7109375" style="1027" hidden="1"/>
    <col min="15347" max="15347" width="7.85546875" style="1027" hidden="1"/>
    <col min="15348" max="15348" width="43.85546875" style="1027" hidden="1"/>
    <col min="15349" max="15349" width="16.7109375" style="1027" hidden="1"/>
    <col min="15350" max="15350" width="7.5703125" style="1027" hidden="1"/>
    <col min="15351" max="15351" width="16.7109375" style="1027" hidden="1"/>
    <col min="15352" max="15352" width="7.85546875" style="1027" hidden="1"/>
    <col min="15353" max="15353" width="43.85546875" style="1027" hidden="1"/>
    <col min="15354" max="15354" width="16.5703125" style="1027" hidden="1"/>
    <col min="15355" max="15355" width="7.5703125" style="1027" hidden="1"/>
    <col min="15356" max="15356" width="16.5703125" style="1027" hidden="1"/>
    <col min="15357" max="15357" width="7.5703125" style="1027" hidden="1"/>
    <col min="15358" max="15548" width="11.42578125" style="1027" hidden="1"/>
    <col min="15549" max="15549" width="43.7109375" style="1027" hidden="1"/>
    <col min="15550" max="15550" width="16.7109375" style="1027" hidden="1"/>
    <col min="15551" max="15551" width="7.7109375" style="1027" hidden="1"/>
    <col min="15552" max="15552" width="16.7109375" style="1027" hidden="1"/>
    <col min="15553" max="15553" width="7.85546875" style="1027" hidden="1"/>
    <col min="15554" max="15554" width="43.85546875" style="1027" hidden="1"/>
    <col min="15555" max="15555" width="16.7109375" style="1027" hidden="1"/>
    <col min="15556" max="15556" width="7.85546875" style="1027" hidden="1"/>
    <col min="15557" max="15557" width="16.7109375" style="1027" hidden="1"/>
    <col min="15558" max="15558" width="7.85546875" style="1027" hidden="1"/>
    <col min="15559" max="15559" width="43.85546875" style="1027" hidden="1"/>
    <col min="15560" max="15560" width="16.7109375" style="1027" hidden="1"/>
    <col min="15561" max="15561" width="7.85546875" style="1027" hidden="1"/>
    <col min="15562" max="15562" width="16.7109375" style="1027" hidden="1"/>
    <col min="15563" max="15563" width="7.5703125" style="1027" hidden="1"/>
    <col min="15564" max="15564" width="43.85546875" style="1027" hidden="1"/>
    <col min="15565" max="15565" width="16.7109375" style="1027" hidden="1"/>
    <col min="15566" max="15566" width="7.85546875" style="1027" hidden="1"/>
    <col min="15567" max="15567" width="16.7109375" style="1027" hidden="1"/>
    <col min="15568" max="15568" width="7.85546875" style="1027" hidden="1"/>
    <col min="15569" max="15569" width="43.85546875" style="1027" hidden="1"/>
    <col min="15570" max="15570" width="16.7109375" style="1027" hidden="1"/>
    <col min="15571" max="15571" width="7.85546875" style="1027" hidden="1"/>
    <col min="15572" max="15572" width="16.7109375" style="1027" hidden="1"/>
    <col min="15573" max="15573" width="7.85546875" style="1027" hidden="1"/>
    <col min="15574" max="15574" width="43.85546875" style="1027" hidden="1"/>
    <col min="15575" max="15575" width="16.7109375" style="1027" hidden="1"/>
    <col min="15576" max="15576" width="7.85546875" style="1027" hidden="1"/>
    <col min="15577" max="15577" width="16.7109375" style="1027" hidden="1"/>
    <col min="15578" max="15578" width="7.85546875" style="1027" hidden="1"/>
    <col min="15579" max="15579" width="43.85546875" style="1027" hidden="1"/>
    <col min="15580" max="15580" width="16.7109375" style="1027" hidden="1"/>
    <col min="15581" max="15581" width="7.85546875" style="1027" hidden="1"/>
    <col min="15582" max="15582" width="16.7109375" style="1027" hidden="1"/>
    <col min="15583" max="15583" width="7.85546875" style="1027" hidden="1"/>
    <col min="15584" max="15584" width="43.85546875" style="1027" hidden="1"/>
    <col min="15585" max="15585" width="16.7109375" style="1027" hidden="1"/>
    <col min="15586" max="15586" width="7.85546875" style="1027" hidden="1"/>
    <col min="15587" max="15587" width="16.5703125" style="1027" hidden="1"/>
    <col min="15588" max="15588" width="7.85546875" style="1027" hidden="1"/>
    <col min="15589" max="15589" width="43.85546875" style="1027" hidden="1"/>
    <col min="15590" max="15590" width="16.7109375" style="1027" hidden="1"/>
    <col min="15591" max="15591" width="7.5703125" style="1027" hidden="1"/>
    <col min="15592" max="15592" width="16.7109375" style="1027" hidden="1"/>
    <col min="15593" max="15593" width="7.85546875" style="1027" hidden="1"/>
    <col min="15594" max="15594" width="43.85546875" style="1027" hidden="1"/>
    <col min="15595" max="15595" width="16.7109375" style="1027" hidden="1"/>
    <col min="15596" max="15596" width="7.5703125" style="1027" hidden="1"/>
    <col min="15597" max="15597" width="16.7109375" style="1027" hidden="1"/>
    <col min="15598" max="15598" width="9.28515625" style="1027" hidden="1"/>
    <col min="15599" max="15599" width="43.85546875" style="1027" hidden="1"/>
    <col min="15600" max="15600" width="16.7109375" style="1027" hidden="1"/>
    <col min="15601" max="15601" width="7.7109375" style="1027" hidden="1"/>
    <col min="15602" max="15602" width="16.7109375" style="1027" hidden="1"/>
    <col min="15603" max="15603" width="7.85546875" style="1027" hidden="1"/>
    <col min="15604" max="15604" width="43.85546875" style="1027" hidden="1"/>
    <col min="15605" max="15605" width="16.7109375" style="1027" hidden="1"/>
    <col min="15606" max="15606" width="7.5703125" style="1027" hidden="1"/>
    <col min="15607" max="15607" width="16.7109375" style="1027" hidden="1"/>
    <col min="15608" max="15608" width="7.85546875" style="1027" hidden="1"/>
    <col min="15609" max="15609" width="43.85546875" style="1027" hidden="1"/>
    <col min="15610" max="15610" width="16.5703125" style="1027" hidden="1"/>
    <col min="15611" max="15611" width="7.5703125" style="1027" hidden="1"/>
    <col min="15612" max="15612" width="16.5703125" style="1027" hidden="1"/>
    <col min="15613" max="15613" width="7.5703125" style="1027" hidden="1"/>
    <col min="15614" max="15804" width="11.42578125" style="1027" hidden="1"/>
    <col min="15805" max="15805" width="43.7109375" style="1027" hidden="1"/>
    <col min="15806" max="15806" width="16.7109375" style="1027" hidden="1"/>
    <col min="15807" max="15807" width="7.7109375" style="1027" hidden="1"/>
    <col min="15808" max="15808" width="16.7109375" style="1027" hidden="1"/>
    <col min="15809" max="15809" width="7.85546875" style="1027" hidden="1"/>
    <col min="15810" max="15810" width="43.85546875" style="1027" hidden="1"/>
    <col min="15811" max="15811" width="16.7109375" style="1027" hidden="1"/>
    <col min="15812" max="15812" width="7.85546875" style="1027" hidden="1"/>
    <col min="15813" max="15813" width="16.7109375" style="1027" hidden="1"/>
    <col min="15814" max="15814" width="7.85546875" style="1027" hidden="1"/>
    <col min="15815" max="15815" width="43.85546875" style="1027" hidden="1"/>
    <col min="15816" max="15816" width="16.7109375" style="1027" hidden="1"/>
    <col min="15817" max="15817" width="7.85546875" style="1027" hidden="1"/>
    <col min="15818" max="15818" width="16.7109375" style="1027" hidden="1"/>
    <col min="15819" max="15819" width="7.5703125" style="1027" hidden="1"/>
    <col min="15820" max="15820" width="43.85546875" style="1027" hidden="1"/>
    <col min="15821" max="15821" width="16.7109375" style="1027" hidden="1"/>
    <col min="15822" max="15822" width="7.85546875" style="1027" hidden="1"/>
    <col min="15823" max="15823" width="16.7109375" style="1027" hidden="1"/>
    <col min="15824" max="15824" width="7.85546875" style="1027" hidden="1"/>
    <col min="15825" max="15825" width="43.85546875" style="1027" hidden="1"/>
    <col min="15826" max="15826" width="16.7109375" style="1027" hidden="1"/>
    <col min="15827" max="15827" width="7.85546875" style="1027" hidden="1"/>
    <col min="15828" max="15828" width="16.7109375" style="1027" hidden="1"/>
    <col min="15829" max="15829" width="7.85546875" style="1027" hidden="1"/>
    <col min="15830" max="15830" width="43.85546875" style="1027" hidden="1"/>
    <col min="15831" max="15831" width="16.7109375" style="1027" hidden="1"/>
    <col min="15832" max="15832" width="7.85546875" style="1027" hidden="1"/>
    <col min="15833" max="15833" width="16.7109375" style="1027" hidden="1"/>
    <col min="15834" max="15834" width="7.85546875" style="1027" hidden="1"/>
    <col min="15835" max="15835" width="43.85546875" style="1027" hidden="1"/>
    <col min="15836" max="15836" width="16.7109375" style="1027" hidden="1"/>
    <col min="15837" max="15837" width="7.85546875" style="1027" hidden="1"/>
    <col min="15838" max="15838" width="16.7109375" style="1027" hidden="1"/>
    <col min="15839" max="15839" width="7.85546875" style="1027" hidden="1"/>
    <col min="15840" max="15840" width="43.85546875" style="1027" hidden="1"/>
    <col min="15841" max="15841" width="16.7109375" style="1027" hidden="1"/>
    <col min="15842" max="15842" width="7.85546875" style="1027" hidden="1"/>
    <col min="15843" max="15843" width="16.5703125" style="1027" hidden="1"/>
    <col min="15844" max="15844" width="7.85546875" style="1027" hidden="1"/>
    <col min="15845" max="15845" width="43.85546875" style="1027" hidden="1"/>
    <col min="15846" max="15846" width="16.7109375" style="1027" hidden="1"/>
    <col min="15847" max="15847" width="7.5703125" style="1027" hidden="1"/>
    <col min="15848" max="15848" width="16.7109375" style="1027" hidden="1"/>
    <col min="15849" max="15849" width="7.85546875" style="1027" hidden="1"/>
    <col min="15850" max="15850" width="43.85546875" style="1027" hidden="1"/>
    <col min="15851" max="15851" width="16.7109375" style="1027" hidden="1"/>
    <col min="15852" max="15852" width="7.5703125" style="1027" hidden="1"/>
    <col min="15853" max="15853" width="16.7109375" style="1027" hidden="1"/>
    <col min="15854" max="15854" width="9.28515625" style="1027" hidden="1"/>
    <col min="15855" max="15855" width="43.85546875" style="1027" hidden="1"/>
    <col min="15856" max="15856" width="16.7109375" style="1027" hidden="1"/>
    <col min="15857" max="15857" width="7.7109375" style="1027" hidden="1"/>
    <col min="15858" max="15858" width="16.7109375" style="1027" hidden="1"/>
    <col min="15859" max="15859" width="7.85546875" style="1027" hidden="1"/>
    <col min="15860" max="15860" width="43.85546875" style="1027" hidden="1"/>
    <col min="15861" max="15861" width="16.7109375" style="1027" hidden="1"/>
    <col min="15862" max="15862" width="7.5703125" style="1027" hidden="1"/>
    <col min="15863" max="15863" width="16.7109375" style="1027" hidden="1"/>
    <col min="15864" max="15864" width="7.85546875" style="1027" hidden="1"/>
    <col min="15865" max="15865" width="43.85546875" style="1027" hidden="1"/>
    <col min="15866" max="15866" width="16.5703125" style="1027" hidden="1"/>
    <col min="15867" max="15867" width="7.5703125" style="1027" hidden="1"/>
    <col min="15868" max="15868" width="16.5703125" style="1027" hidden="1"/>
    <col min="15869" max="15869" width="7.5703125" style="1027" hidden="1"/>
    <col min="15870" max="16060" width="11.42578125" style="1027" hidden="1"/>
    <col min="16061" max="16061" width="43.7109375" style="1027" hidden="1"/>
    <col min="16062" max="16062" width="16.7109375" style="1027" hidden="1"/>
    <col min="16063" max="16063" width="7.7109375" style="1027" hidden="1"/>
    <col min="16064" max="16064" width="16.7109375" style="1027" hidden="1"/>
    <col min="16065" max="16065" width="7.85546875" style="1027" hidden="1"/>
    <col min="16066" max="16066" width="43.85546875" style="1027" hidden="1"/>
    <col min="16067" max="16067" width="16.7109375" style="1027" hidden="1"/>
    <col min="16068" max="16068" width="7.85546875" style="1027" hidden="1"/>
    <col min="16069" max="16069" width="16.7109375" style="1027" hidden="1"/>
    <col min="16070" max="16070" width="7.85546875" style="1027" hidden="1"/>
    <col min="16071" max="16071" width="43.85546875" style="1027" hidden="1"/>
    <col min="16072" max="16072" width="16.7109375" style="1027" hidden="1"/>
    <col min="16073" max="16073" width="7.85546875" style="1027" hidden="1"/>
    <col min="16074" max="16074" width="16.7109375" style="1027" hidden="1"/>
    <col min="16075" max="16075" width="7.5703125" style="1027" hidden="1"/>
    <col min="16076" max="16076" width="43.85546875" style="1027" hidden="1"/>
    <col min="16077" max="16077" width="16.7109375" style="1027" hidden="1"/>
    <col min="16078" max="16078" width="7.85546875" style="1027" hidden="1"/>
    <col min="16079" max="16079" width="16.7109375" style="1027" hidden="1"/>
    <col min="16080" max="16080" width="7.85546875" style="1027" hidden="1"/>
    <col min="16081" max="16081" width="43.85546875" style="1027" hidden="1"/>
    <col min="16082" max="16082" width="16.7109375" style="1027" hidden="1"/>
    <col min="16083" max="16083" width="7.85546875" style="1027" hidden="1"/>
    <col min="16084" max="16084" width="16.7109375" style="1027" hidden="1"/>
    <col min="16085" max="16085" width="7.85546875" style="1027" hidden="1"/>
    <col min="16086" max="16086" width="43.85546875" style="1027" hidden="1"/>
    <col min="16087" max="16087" width="16.7109375" style="1027" hidden="1"/>
    <col min="16088" max="16088" width="7.85546875" style="1027" hidden="1"/>
    <col min="16089" max="16089" width="16.7109375" style="1027" hidden="1"/>
    <col min="16090" max="16090" width="7.85546875" style="1027" hidden="1"/>
    <col min="16091" max="16091" width="43.85546875" style="1027" hidden="1"/>
    <col min="16092" max="16092" width="16.7109375" style="1027" hidden="1"/>
    <col min="16093" max="16093" width="7.85546875" style="1027" hidden="1"/>
    <col min="16094" max="16094" width="16.7109375" style="1027" hidden="1"/>
    <col min="16095" max="16095" width="7.85546875" style="1027" hidden="1"/>
    <col min="16096" max="16096" width="43.85546875" style="1027" hidden="1"/>
    <col min="16097" max="16097" width="16.7109375" style="1027" hidden="1"/>
    <col min="16098" max="16098" width="7.85546875" style="1027" hidden="1"/>
    <col min="16099" max="16099" width="16.5703125" style="1027" hidden="1"/>
    <col min="16100" max="16100" width="7.85546875" style="1027" hidden="1"/>
    <col min="16101" max="16101" width="43.85546875" style="1027" hidden="1"/>
    <col min="16102" max="16102" width="16.7109375" style="1027" hidden="1"/>
    <col min="16103" max="16103" width="7.5703125" style="1027" hidden="1"/>
    <col min="16104" max="16104" width="16.7109375" style="1027" hidden="1"/>
    <col min="16105" max="16105" width="7.85546875" style="1027" hidden="1"/>
    <col min="16106" max="16106" width="43.85546875" style="1027" hidden="1"/>
    <col min="16107" max="16107" width="16.7109375" style="1027" hidden="1"/>
    <col min="16108" max="16108" width="7.5703125" style="1027" hidden="1"/>
    <col min="16109" max="16109" width="16.7109375" style="1027" hidden="1"/>
    <col min="16110" max="16110" width="9.28515625" style="1027" hidden="1"/>
    <col min="16111" max="16111" width="43.85546875" style="1027" hidden="1"/>
    <col min="16112" max="16112" width="16.7109375" style="1027" hidden="1"/>
    <col min="16113" max="16113" width="7.7109375" style="1027" hidden="1"/>
    <col min="16114" max="16114" width="16.7109375" style="1027" hidden="1"/>
    <col min="16115" max="16115" width="7.85546875" style="1027" hidden="1"/>
    <col min="16116" max="16116" width="43.85546875" style="1027" hidden="1"/>
    <col min="16117" max="16117" width="16.7109375" style="1027" hidden="1"/>
    <col min="16118" max="16118" width="7.5703125" style="1027" hidden="1"/>
    <col min="16119" max="16119" width="16.7109375" style="1027" hidden="1"/>
    <col min="16120" max="16120" width="7.85546875" style="1027" hidden="1"/>
    <col min="16121" max="16121" width="43.85546875" style="1027" hidden="1"/>
    <col min="16122" max="16122" width="16.5703125" style="1027" hidden="1"/>
    <col min="16123" max="16123" width="7.5703125" style="1027" hidden="1"/>
    <col min="16124" max="16124" width="16.5703125" style="1027" hidden="1"/>
    <col min="16125" max="16125" width="7.5703125" style="1027" hidden="1"/>
    <col min="16126" max="16384" width="11.42578125" style="1027" hidden="1"/>
  </cols>
  <sheetData>
    <row r="1" spans="1:5" ht="18" x14ac:dyDescent="0.25">
      <c r="A1" s="1778" t="s">
        <v>9986</v>
      </c>
      <c r="B1" s="1778"/>
      <c r="C1" s="1778"/>
      <c r="D1" s="1778"/>
      <c r="E1" s="1778"/>
    </row>
    <row r="2" spans="1:5" x14ac:dyDescent="0.2">
      <c r="A2" s="1803" t="s">
        <v>28</v>
      </c>
      <c r="B2" s="1803"/>
      <c r="C2" s="1803"/>
      <c r="D2" s="1803"/>
      <c r="E2" s="1028"/>
    </row>
    <row r="3" spans="1:5" ht="15.75" x14ac:dyDescent="0.25">
      <c r="A3" s="1802" t="s">
        <v>10366</v>
      </c>
      <c r="B3" s="1802"/>
      <c r="C3" s="1802"/>
      <c r="D3" s="1802"/>
      <c r="E3" s="1802"/>
    </row>
    <row r="4" spans="1:5" ht="16.5" thickBot="1" x14ac:dyDescent="0.3">
      <c r="A4" s="1029"/>
      <c r="B4" s="1029"/>
      <c r="C4" s="1029"/>
      <c r="D4" s="1029"/>
      <c r="E4" s="1028"/>
    </row>
    <row r="5" spans="1:5" ht="13.5" thickTop="1" x14ac:dyDescent="0.2">
      <c r="A5" s="1030"/>
      <c r="B5" s="1031"/>
      <c r="C5" s="1031"/>
      <c r="D5" s="1032"/>
      <c r="E5" s="1033"/>
    </row>
    <row r="6" spans="1:5" x14ac:dyDescent="0.2">
      <c r="A6" s="1034" t="s">
        <v>5</v>
      </c>
      <c r="B6" s="1035" t="s">
        <v>9987</v>
      </c>
      <c r="C6" s="1035" t="s">
        <v>7</v>
      </c>
      <c r="D6" s="1036" t="s">
        <v>6</v>
      </c>
      <c r="E6" s="1037" t="s">
        <v>7</v>
      </c>
    </row>
    <row r="7" spans="1:5" x14ac:dyDescent="0.2">
      <c r="A7" s="1038"/>
      <c r="B7" s="1039"/>
      <c r="C7" s="1039"/>
      <c r="D7" s="1040"/>
      <c r="E7" s="1041"/>
    </row>
    <row r="8" spans="1:5" x14ac:dyDescent="0.2">
      <c r="A8" s="1038" t="s">
        <v>27</v>
      </c>
      <c r="B8" s="1039">
        <v>1618308</v>
      </c>
      <c r="C8" s="1039"/>
      <c r="D8" s="1040">
        <f>[5]Hoja1!$O$7</f>
        <v>12232090</v>
      </c>
      <c r="E8" s="1041"/>
    </row>
    <row r="9" spans="1:5" x14ac:dyDescent="0.2">
      <c r="A9" s="1038" t="s">
        <v>29</v>
      </c>
      <c r="B9" s="1042">
        <v>145192.75</v>
      </c>
      <c r="C9" s="1039"/>
      <c r="D9" s="1040">
        <f>[5]Hoja1!$O$9</f>
        <v>1114400</v>
      </c>
      <c r="E9" s="1041"/>
    </row>
    <row r="10" spans="1:5" x14ac:dyDescent="0.2">
      <c r="A10" s="1038" t="s">
        <v>9988</v>
      </c>
      <c r="B10" s="1039">
        <v>0</v>
      </c>
      <c r="C10" s="1039"/>
      <c r="D10" s="1040">
        <f>[5]Hoja1!$O$10</f>
        <v>38223</v>
      </c>
      <c r="E10" s="1041"/>
    </row>
    <row r="11" spans="1:5" x14ac:dyDescent="0.2">
      <c r="A11" s="1038"/>
      <c r="B11" s="1039"/>
      <c r="C11" s="1039"/>
      <c r="D11" s="1040"/>
      <c r="E11" s="1041"/>
    </row>
    <row r="12" spans="1:5" x14ac:dyDescent="0.2">
      <c r="A12" s="1043" t="s">
        <v>30</v>
      </c>
      <c r="B12" s="1039"/>
      <c r="C12" s="1039"/>
      <c r="D12" s="1040"/>
      <c r="E12" s="1041"/>
    </row>
    <row r="13" spans="1:5" x14ac:dyDescent="0.2">
      <c r="A13" s="1038" t="s">
        <v>31</v>
      </c>
      <c r="B13" s="1044">
        <v>34296392.079999998</v>
      </c>
      <c r="C13" s="1045">
        <v>92.215701739565247</v>
      </c>
      <c r="D13" s="1040">
        <f>[5]Hoja1!$O$15</f>
        <v>292397202</v>
      </c>
      <c r="E13" s="1046">
        <v>87.72800479459616</v>
      </c>
    </row>
    <row r="14" spans="1:5" x14ac:dyDescent="0.2">
      <c r="A14" s="1038" t="s">
        <v>32</v>
      </c>
      <c r="B14" s="1044">
        <v>2895096.39</v>
      </c>
      <c r="C14" s="1045">
        <v>7.784298260434749</v>
      </c>
      <c r="D14" s="1249">
        <f>[5]Hoja1!$O$14</f>
        <v>1297021</v>
      </c>
      <c r="E14" s="1046">
        <v>12.258591940789463</v>
      </c>
    </row>
    <row r="15" spans="1:5" x14ac:dyDescent="0.2">
      <c r="A15" s="1038" t="s">
        <v>168</v>
      </c>
      <c r="B15" s="1039">
        <v>0</v>
      </c>
      <c r="C15" s="1045">
        <v>0</v>
      </c>
      <c r="D15" s="1040">
        <v>0</v>
      </c>
      <c r="E15" s="1046">
        <v>0</v>
      </c>
    </row>
    <row r="16" spans="1:5" x14ac:dyDescent="0.2">
      <c r="A16" s="1038" t="s">
        <v>9989</v>
      </c>
      <c r="B16" s="1047">
        <v>0</v>
      </c>
      <c r="C16" s="1045">
        <v>0</v>
      </c>
      <c r="D16" s="1040">
        <f>[5]Hoja1!$O$16</f>
        <v>4685513</v>
      </c>
      <c r="E16" s="1046">
        <v>1.3403264614370372E-2</v>
      </c>
    </row>
    <row r="17" spans="1:5" x14ac:dyDescent="0.2">
      <c r="A17" s="1043"/>
      <c r="B17" s="1039"/>
      <c r="C17" s="1048"/>
      <c r="D17" s="1040"/>
      <c r="E17" s="1049"/>
    </row>
    <row r="18" spans="1:5" x14ac:dyDescent="0.2">
      <c r="A18" s="1043" t="s">
        <v>33</v>
      </c>
      <c r="B18" s="1050">
        <v>37191488.469999999</v>
      </c>
      <c r="C18" s="1051">
        <v>100</v>
      </c>
      <c r="D18" s="1052">
        <f>SUM(D13:D16)</f>
        <v>298379736</v>
      </c>
      <c r="E18" s="1053">
        <v>99.999999999999986</v>
      </c>
    </row>
    <row r="19" spans="1:5" x14ac:dyDescent="0.2">
      <c r="A19" s="1038"/>
      <c r="B19" s="1039"/>
      <c r="C19" s="1054"/>
      <c r="D19" s="1040"/>
      <c r="E19" s="1055"/>
    </row>
    <row r="20" spans="1:5" x14ac:dyDescent="0.2">
      <c r="A20" s="1038"/>
      <c r="B20" s="1039"/>
      <c r="C20" s="1054"/>
      <c r="D20" s="1040"/>
      <c r="E20" s="1055"/>
    </row>
    <row r="21" spans="1:5" s="1060" customFormat="1" x14ac:dyDescent="0.2">
      <c r="A21" s="1056" t="s">
        <v>34</v>
      </c>
      <c r="B21" s="1042"/>
      <c r="C21" s="1057"/>
      <c r="D21" s="1058"/>
      <c r="E21" s="1059"/>
    </row>
    <row r="22" spans="1:5" x14ac:dyDescent="0.2">
      <c r="A22" s="1043"/>
      <c r="B22" s="1039"/>
      <c r="C22" s="1048"/>
      <c r="D22" s="1040"/>
      <c r="E22" s="1049"/>
    </row>
    <row r="23" spans="1:5" x14ac:dyDescent="0.2">
      <c r="A23" s="1038" t="s">
        <v>35</v>
      </c>
      <c r="B23" s="1061">
        <v>6393499.3300000001</v>
      </c>
      <c r="C23" s="1062">
        <v>17.190759480242981</v>
      </c>
      <c r="D23" s="1061">
        <f>D24+D25</f>
        <v>42469557.645999998</v>
      </c>
      <c r="E23" s="1063">
        <v>18.422575774323359</v>
      </c>
    </row>
    <row r="24" spans="1:5" x14ac:dyDescent="0.2">
      <c r="A24" s="1038" t="s">
        <v>9990</v>
      </c>
      <c r="B24" s="1044">
        <v>1044796.06</v>
      </c>
      <c r="C24" s="1045">
        <v>2.8092343247911962</v>
      </c>
      <c r="D24" s="1040">
        <f>[5]Hoja1!$O$25</f>
        <v>10440474.900000002</v>
      </c>
      <c r="E24" s="1046">
        <v>3.6528311427490174</v>
      </c>
    </row>
    <row r="25" spans="1:5" x14ac:dyDescent="0.2">
      <c r="A25" s="1038" t="s">
        <v>9991</v>
      </c>
      <c r="B25" s="1044">
        <v>5348703.2700000005</v>
      </c>
      <c r="C25" s="1045">
        <v>14.381525155451785</v>
      </c>
      <c r="D25" s="1040">
        <f>[5]Hoja1!$O$26</f>
        <v>32029082.745999999</v>
      </c>
      <c r="E25" s="1046">
        <v>14.769744631574344</v>
      </c>
    </row>
    <row r="26" spans="1:5" x14ac:dyDescent="0.2">
      <c r="A26" s="1038" t="s">
        <v>36</v>
      </c>
      <c r="B26" s="1064">
        <v>23155871</v>
      </c>
      <c r="C26" s="1062">
        <v>62.261210703299398</v>
      </c>
      <c r="D26" s="1061">
        <f>D27+D28</f>
        <v>172987112.93340001</v>
      </c>
      <c r="E26" s="1063">
        <v>67.828992164796162</v>
      </c>
    </row>
    <row r="27" spans="1:5" x14ac:dyDescent="0.2">
      <c r="A27" s="1038" t="s">
        <v>9990</v>
      </c>
      <c r="B27" s="1044">
        <v>8566612.2400000002</v>
      </c>
      <c r="C27" s="1045">
        <v>23.03379776507235</v>
      </c>
      <c r="D27" s="1040">
        <f>[5]Hoja1!$O$22</f>
        <v>33946341.039999999</v>
      </c>
      <c r="E27" s="1046">
        <v>27.516165937666333</v>
      </c>
    </row>
    <row r="28" spans="1:5" x14ac:dyDescent="0.2">
      <c r="A28" s="1038" t="s">
        <v>9991</v>
      </c>
      <c r="B28" s="1044">
        <v>14589258.76</v>
      </c>
      <c r="C28" s="1045">
        <v>39.227412938227047</v>
      </c>
      <c r="D28" s="1040">
        <f>[5]Hoja1!$O$23</f>
        <v>139040771.89340001</v>
      </c>
      <c r="E28" s="1046">
        <v>40.312826227129833</v>
      </c>
    </row>
    <row r="29" spans="1:5" x14ac:dyDescent="0.2">
      <c r="A29" s="1038"/>
      <c r="B29" s="1039"/>
      <c r="C29" s="1054"/>
      <c r="D29" s="1040"/>
      <c r="E29" s="1055"/>
    </row>
    <row r="30" spans="1:5" x14ac:dyDescent="0.2">
      <c r="A30" s="1043" t="s">
        <v>37</v>
      </c>
      <c r="B30" s="1050">
        <v>29549370.329999998</v>
      </c>
      <c r="C30" s="1062">
        <v>79.451970183542372</v>
      </c>
      <c r="D30" s="1052">
        <f>D23+D26</f>
        <v>215456670.5794</v>
      </c>
      <c r="E30" s="1063">
        <v>86.251567939119525</v>
      </c>
    </row>
    <row r="31" spans="1:5" x14ac:dyDescent="0.2">
      <c r="A31" s="1038"/>
      <c r="B31" s="1039"/>
      <c r="C31" s="1054"/>
      <c r="D31" s="1040"/>
      <c r="E31" s="1055"/>
    </row>
    <row r="32" spans="1:5" x14ac:dyDescent="0.2">
      <c r="A32" s="1043" t="s">
        <v>38</v>
      </c>
      <c r="B32" s="1050">
        <v>7642118.1400000006</v>
      </c>
      <c r="C32" s="1062">
        <v>20.548029816457628</v>
      </c>
      <c r="D32" s="1052">
        <f>D18-D30</f>
        <v>82923065.420599997</v>
      </c>
      <c r="E32" s="1063">
        <v>13.748432060880479</v>
      </c>
    </row>
    <row r="33" spans="1:5" x14ac:dyDescent="0.2">
      <c r="A33" s="1038"/>
      <c r="B33" s="1039"/>
      <c r="C33" s="1054"/>
      <c r="D33" s="1040"/>
      <c r="E33" s="1055"/>
    </row>
    <row r="34" spans="1:5" x14ac:dyDescent="0.2">
      <c r="A34" s="1038"/>
      <c r="B34" s="1039"/>
      <c r="C34" s="1054"/>
      <c r="D34" s="1040"/>
      <c r="E34" s="1055"/>
    </row>
    <row r="35" spans="1:5" x14ac:dyDescent="0.2">
      <c r="A35" s="1043" t="s">
        <v>39</v>
      </c>
      <c r="B35" s="1039"/>
      <c r="C35" s="1048"/>
      <c r="D35" s="1040"/>
      <c r="E35" s="1049"/>
    </row>
    <row r="36" spans="1:5" x14ac:dyDescent="0.2">
      <c r="A36" s="1043"/>
      <c r="B36" s="1039"/>
      <c r="C36" s="1048"/>
      <c r="D36" s="1040"/>
      <c r="E36" s="1049"/>
    </row>
    <row r="37" spans="1:5" x14ac:dyDescent="0.2">
      <c r="A37" s="1038" t="s">
        <v>40</v>
      </c>
      <c r="B37" s="1044">
        <v>3516740.45</v>
      </c>
      <c r="C37" s="1045">
        <v>9.4557668828896979</v>
      </c>
      <c r="D37" s="1040">
        <f>[5]Hoja1!$O$32</f>
        <v>34043662</v>
      </c>
      <c r="E37" s="1252">
        <f>D37/$D$18</f>
        <v>0.11409508720793292</v>
      </c>
    </row>
    <row r="38" spans="1:5" x14ac:dyDescent="0.2">
      <c r="A38" s="1038" t="s">
        <v>41</v>
      </c>
      <c r="B38" s="1044">
        <v>1769181</v>
      </c>
      <c r="C38" s="1045">
        <v>4.7569513154255318</v>
      </c>
      <c r="D38" s="1040">
        <f>[5]Hoja1!$O$33</f>
        <v>18512289</v>
      </c>
      <c r="E38" s="1252">
        <f t="shared" ref="E38:E40" si="0">D38/$D$18</f>
        <v>6.2042715259993393E-2</v>
      </c>
    </row>
    <row r="39" spans="1:5" x14ac:dyDescent="0.2">
      <c r="A39" s="1038" t="s">
        <v>248</v>
      </c>
      <c r="B39" s="1044">
        <v>-140380200.52000001</v>
      </c>
      <c r="C39" s="1045">
        <v>-377.45249328548857</v>
      </c>
      <c r="D39" s="1040">
        <f>[5]Hoja1!$O$34</f>
        <v>-19905140</v>
      </c>
      <c r="E39" s="1252">
        <f t="shared" si="0"/>
        <v>-6.6710763495011607E-2</v>
      </c>
    </row>
    <row r="40" spans="1:5" x14ac:dyDescent="0.2">
      <c r="A40" s="1251" t="s">
        <v>10114</v>
      </c>
      <c r="B40" s="1044">
        <v>-325704</v>
      </c>
      <c r="C40" s="1065">
        <v>-0.87574876241569255</v>
      </c>
      <c r="D40" s="1040">
        <f>[5]Hoja1!$O$59</f>
        <v>-6205462.4700000007</v>
      </c>
      <c r="E40" s="1252">
        <f t="shared" si="0"/>
        <v>-2.0797198071118343E-2</v>
      </c>
    </row>
    <row r="41" spans="1:5" x14ac:dyDescent="0.2">
      <c r="A41" s="1043"/>
      <c r="B41" s="1039" t="s">
        <v>28</v>
      </c>
      <c r="C41" s="1048"/>
      <c r="D41" s="1040"/>
      <c r="E41" s="1049"/>
    </row>
    <row r="42" spans="1:5" x14ac:dyDescent="0.2">
      <c r="A42" s="1043" t="s">
        <v>43</v>
      </c>
      <c r="B42" s="1050">
        <v>-135419983.07000002</v>
      </c>
      <c r="C42" s="1062">
        <v>-364.11552384958907</v>
      </c>
      <c r="D42" s="1052">
        <f>SUM(D37:D40)</f>
        <v>26445348.530000001</v>
      </c>
      <c r="E42" s="1250">
        <f>D42/D18</f>
        <v>8.8629840901796361E-2</v>
      </c>
    </row>
    <row r="43" spans="1:5" x14ac:dyDescent="0.2">
      <c r="A43" s="1043"/>
      <c r="B43" s="1039"/>
      <c r="C43" s="1048"/>
      <c r="D43" s="1040"/>
      <c r="E43" s="1049"/>
    </row>
    <row r="44" spans="1:5" x14ac:dyDescent="0.2">
      <c r="A44" s="1043" t="s">
        <v>44</v>
      </c>
      <c r="B44" s="1050">
        <v>143062101.21000004</v>
      </c>
      <c r="C44" s="1067">
        <v>384.66355366604677</v>
      </c>
      <c r="D44" s="1052">
        <f>D32-D42</f>
        <v>56477716.890599996</v>
      </c>
      <c r="E44" s="1068">
        <v>34.27737691017586</v>
      </c>
    </row>
    <row r="45" spans="1:5" x14ac:dyDescent="0.2">
      <c r="A45" s="1043"/>
      <c r="B45" s="1039"/>
      <c r="C45" s="1048"/>
      <c r="D45" s="1040"/>
      <c r="E45" s="1049"/>
    </row>
    <row r="46" spans="1:5" x14ac:dyDescent="0.2">
      <c r="A46" s="1043" t="s">
        <v>9992</v>
      </c>
      <c r="B46" s="1039" t="s">
        <v>28</v>
      </c>
      <c r="C46" s="1048"/>
      <c r="D46" s="1040"/>
      <c r="E46" s="1049"/>
    </row>
    <row r="47" spans="1:5" x14ac:dyDescent="0.2">
      <c r="A47" s="1069"/>
      <c r="B47" s="1039"/>
      <c r="C47" s="1070"/>
      <c r="D47" s="1040"/>
      <c r="E47" s="1071"/>
    </row>
    <row r="48" spans="1:5" x14ac:dyDescent="0.2">
      <c r="A48" s="1038" t="s">
        <v>46</v>
      </c>
      <c r="B48" s="1044">
        <v>-7221.35</v>
      </c>
      <c r="C48" s="1065">
        <v>-1.9416673806494738E-2</v>
      </c>
      <c r="D48" s="1040">
        <f>[5]Hoja1!$O$43</f>
        <v>-1600195</v>
      </c>
      <c r="E48" s="1066">
        <f>D48/D18</f>
        <v>-5.3629479717751342E-3</v>
      </c>
    </row>
    <row r="49" spans="1:5" x14ac:dyDescent="0.2">
      <c r="A49" s="1038" t="s">
        <v>47</v>
      </c>
      <c r="B49" s="1044">
        <v>14568.89</v>
      </c>
      <c r="C49" s="1045">
        <v>3.9172645676044379E-2</v>
      </c>
      <c r="D49" s="1040">
        <f>[5]Hoja1!$O$44</f>
        <v>6470739</v>
      </c>
      <c r="E49" s="1046">
        <f>D49/D18</f>
        <v>2.1686254860149082E-2</v>
      </c>
    </row>
    <row r="50" spans="1:5" x14ac:dyDescent="0.2">
      <c r="A50" s="1043"/>
      <c r="B50" s="1039"/>
      <c r="C50" s="1048"/>
      <c r="D50" s="1040"/>
      <c r="E50" s="1049"/>
    </row>
    <row r="51" spans="1:5" x14ac:dyDescent="0.2">
      <c r="A51" s="1043" t="s">
        <v>9993</v>
      </c>
      <c r="B51" s="1050">
        <v>7347.5399999999991</v>
      </c>
      <c r="C51" s="1067">
        <v>1.9755971869549645E-2</v>
      </c>
      <c r="D51" s="1052">
        <f>D48+D49</f>
        <v>4870544</v>
      </c>
      <c r="E51" s="1068">
        <v>4.3708019240002491E-2</v>
      </c>
    </row>
    <row r="52" spans="1:5" x14ac:dyDescent="0.2">
      <c r="A52" s="1043"/>
      <c r="B52" s="1072"/>
      <c r="C52" s="1045"/>
      <c r="D52" s="1073"/>
      <c r="E52" s="1066"/>
    </row>
    <row r="53" spans="1:5" x14ac:dyDescent="0.2">
      <c r="A53" s="1043" t="s">
        <v>9994</v>
      </c>
      <c r="B53" s="1072"/>
      <c r="C53" s="1045"/>
      <c r="D53" s="1073"/>
      <c r="E53" s="1066"/>
    </row>
    <row r="54" spans="1:5" x14ac:dyDescent="0.2">
      <c r="A54" s="1043"/>
      <c r="B54" s="1072"/>
      <c r="C54" s="1045"/>
      <c r="D54" s="1073"/>
      <c r="E54" s="1066"/>
    </row>
    <row r="55" spans="1:5" x14ac:dyDescent="0.2">
      <c r="A55" s="1038" t="s">
        <v>9995</v>
      </c>
      <c r="B55" s="1074">
        <v>0</v>
      </c>
      <c r="C55" s="1065">
        <v>0</v>
      </c>
      <c r="D55" s="1040">
        <v>0</v>
      </c>
      <c r="E55" s="1046">
        <v>0</v>
      </c>
    </row>
    <row r="56" spans="1:5" x14ac:dyDescent="0.2">
      <c r="A56" s="1043"/>
      <c r="B56" s="1072"/>
      <c r="C56" s="1045"/>
      <c r="D56" s="1073"/>
      <c r="E56" s="1066"/>
    </row>
    <row r="57" spans="1:5" x14ac:dyDescent="0.2">
      <c r="A57" s="1043" t="s">
        <v>9996</v>
      </c>
      <c r="B57" s="1075">
        <v>0</v>
      </c>
      <c r="C57" s="1067">
        <v>0</v>
      </c>
      <c r="D57" s="1075">
        <v>0</v>
      </c>
      <c r="E57" s="1068">
        <v>0</v>
      </c>
    </row>
    <row r="58" spans="1:5" x14ac:dyDescent="0.2">
      <c r="A58" s="1043"/>
      <c r="B58" s="1039"/>
      <c r="C58" s="1048"/>
      <c r="D58" s="1040"/>
      <c r="E58" s="1049"/>
    </row>
    <row r="59" spans="1:5" x14ac:dyDescent="0.2">
      <c r="A59" s="1043" t="s">
        <v>9997</v>
      </c>
      <c r="B59" s="1050">
        <v>143054753.67000005</v>
      </c>
      <c r="C59" s="1067">
        <v>384.64379769417724</v>
      </c>
      <c r="D59" s="1052">
        <f>D44-D51</f>
        <v>51607172.890599996</v>
      </c>
      <c r="E59" s="1068">
        <v>34.23366889093586</v>
      </c>
    </row>
    <row r="60" spans="1:5" x14ac:dyDescent="0.2">
      <c r="A60" s="1043"/>
      <c r="B60" s="1039"/>
      <c r="C60" s="1048"/>
      <c r="D60" s="1040"/>
      <c r="E60" s="1049"/>
    </row>
    <row r="61" spans="1:5" x14ac:dyDescent="0.2">
      <c r="A61" s="1043" t="s">
        <v>207</v>
      </c>
      <c r="B61" s="1039"/>
      <c r="C61" s="1048"/>
      <c r="D61" s="1040"/>
      <c r="E61" s="1049"/>
    </row>
    <row r="62" spans="1:5" x14ac:dyDescent="0.2">
      <c r="A62" s="1043"/>
      <c r="B62" s="1039"/>
      <c r="C62" s="1048"/>
      <c r="D62" s="1040"/>
      <c r="E62" s="1049"/>
    </row>
    <row r="63" spans="1:5" x14ac:dyDescent="0.2">
      <c r="A63" s="1038" t="s">
        <v>9998</v>
      </c>
      <c r="B63" s="1047">
        <v>3100460</v>
      </c>
      <c r="C63" s="1045">
        <v>8.3364773165799573</v>
      </c>
      <c r="D63" s="1040"/>
      <c r="E63" s="1046">
        <v>4.354719951792557</v>
      </c>
    </row>
    <row r="64" spans="1:5" x14ac:dyDescent="0.2">
      <c r="A64" s="1038" t="s">
        <v>9999</v>
      </c>
      <c r="B64" s="1039">
        <v>19445729</v>
      </c>
      <c r="C64" s="1045">
        <v>52.28542819867409</v>
      </c>
      <c r="D64" s="1249">
        <f>[5]Hoja1!$O$57-D65</f>
        <v>7293367.1219494995</v>
      </c>
      <c r="E64" s="1046">
        <v>4.9500590545056697</v>
      </c>
    </row>
    <row r="65" spans="1:5" x14ac:dyDescent="0.2">
      <c r="A65" s="1038" t="s">
        <v>49</v>
      </c>
      <c r="B65" s="1047">
        <v>8254941</v>
      </c>
      <c r="C65" s="1045">
        <v>22.195780108824454</v>
      </c>
      <c r="D65" s="1040">
        <v>3281115.8780505001</v>
      </c>
      <c r="E65" s="1046">
        <v>2.2413650792643574</v>
      </c>
    </row>
    <row r="66" spans="1:5" x14ac:dyDescent="0.2">
      <c r="A66" s="1043"/>
      <c r="B66" s="1039"/>
      <c r="C66" s="1048"/>
      <c r="D66" s="1040"/>
      <c r="E66" s="1049"/>
    </row>
    <row r="67" spans="1:5" x14ac:dyDescent="0.2">
      <c r="A67" s="1043" t="s">
        <v>50</v>
      </c>
      <c r="B67" s="1050">
        <v>30801130</v>
      </c>
      <c r="C67" s="1062">
        <v>82.817685624078493</v>
      </c>
      <c r="D67" s="1052">
        <f>SUM(D63:D65)</f>
        <v>10574483</v>
      </c>
      <c r="E67" s="1063">
        <v>11.546144085562585</v>
      </c>
    </row>
    <row r="68" spans="1:5" x14ac:dyDescent="0.2">
      <c r="A68" s="1043"/>
      <c r="B68" s="1039"/>
      <c r="C68" s="1048"/>
      <c r="D68" s="1040"/>
      <c r="E68" s="1049"/>
    </row>
    <row r="69" spans="1:5" x14ac:dyDescent="0.2">
      <c r="A69" s="1043" t="s">
        <v>10000</v>
      </c>
      <c r="B69" s="1050">
        <v>112253623.67000005</v>
      </c>
      <c r="C69" s="1067">
        <v>301.8261120700987</v>
      </c>
      <c r="D69" s="1052">
        <f>D59-D67</f>
        <v>41032689.890599996</v>
      </c>
      <c r="E69" s="1068">
        <v>22.687524805373279</v>
      </c>
    </row>
    <row r="70" spans="1:5" x14ac:dyDescent="0.2">
      <c r="A70" s="1043"/>
      <c r="B70" s="1072"/>
      <c r="C70" s="1065"/>
      <c r="D70" s="1073"/>
      <c r="E70" s="1066"/>
    </row>
    <row r="71" spans="1:5" x14ac:dyDescent="0.2">
      <c r="A71" s="1043" t="s">
        <v>10001</v>
      </c>
      <c r="B71" s="1072">
        <v>18706629.370000001</v>
      </c>
      <c r="C71" s="1065"/>
      <c r="D71" s="1040"/>
      <c r="E71" s="1066"/>
    </row>
    <row r="72" spans="1:5" x14ac:dyDescent="0.2">
      <c r="A72" s="1043"/>
      <c r="B72" s="1072"/>
      <c r="C72" s="1065"/>
      <c r="D72" s="1073"/>
      <c r="E72" s="1066"/>
    </row>
    <row r="73" spans="1:5" x14ac:dyDescent="0.2">
      <c r="A73" s="1043" t="s">
        <v>51</v>
      </c>
      <c r="B73" s="1072">
        <v>93546994.300000042</v>
      </c>
      <c r="C73" s="1065"/>
      <c r="D73" s="1072">
        <f>D69+D71</f>
        <v>41032689.890599996</v>
      </c>
      <c r="E73" s="1066"/>
    </row>
    <row r="74" spans="1:5" x14ac:dyDescent="0.2">
      <c r="A74" s="1043"/>
      <c r="B74" s="1065"/>
      <c r="C74" s="1076"/>
      <c r="D74" s="1077"/>
      <c r="E74" s="1078"/>
    </row>
    <row r="75" spans="1:5" x14ac:dyDescent="0.2">
      <c r="A75" s="1043" t="s">
        <v>10002</v>
      </c>
      <c r="B75" s="1050">
        <v>114022804.67000005</v>
      </c>
      <c r="C75" s="1067">
        <v>306.58306338552427</v>
      </c>
      <c r="D75" s="1052">
        <f>D73+D38</f>
        <v>59544978.890599996</v>
      </c>
      <c r="E75" s="1063">
        <v>27.829754265594691</v>
      </c>
    </row>
    <row r="76" spans="1:5" ht="13.5" thickBot="1" x14ac:dyDescent="0.25">
      <c r="A76" s="1079"/>
      <c r="B76" s="1080"/>
      <c r="C76" s="1081"/>
      <c r="D76" s="1082"/>
      <c r="E76" s="1083"/>
    </row>
    <row r="77" spans="1:5" ht="13.5" thickTop="1" x14ac:dyDescent="0.2"/>
    <row r="78" spans="1:5" x14ac:dyDescent="0.2"/>
    <row r="79" spans="1:5" x14ac:dyDescent="0.2"/>
  </sheetData>
  <mergeCells count="3">
    <mergeCell ref="A3:E3"/>
    <mergeCell ref="A2:D2"/>
    <mergeCell ref="A1:E1"/>
  </mergeCells>
  <printOptions horizontalCentered="1"/>
  <pageMargins left="0.19652777777777777" right="0.19652777777777777" top="0.19652777777777777" bottom="0.19652777777777777" header="0.51180555555555551" footer="0.51180555555555551"/>
  <pageSetup scale="81" firstPageNumber="0" orientation="portrait" horizontalDpi="300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activeCell="G16" sqref="G16"/>
    </sheetView>
  </sheetViews>
  <sheetFormatPr baseColWidth="10" defaultRowHeight="12.75" x14ac:dyDescent="0.2"/>
  <cols>
    <col min="2" max="2" width="31.28515625" customWidth="1"/>
    <col min="3" max="4" width="11.5703125" bestFit="1" customWidth="1"/>
    <col min="5" max="5" width="12.85546875" bestFit="1" customWidth="1"/>
    <col min="6" max="10" width="11.5703125" bestFit="1" customWidth="1"/>
    <col min="11" max="11" width="12.85546875" bestFit="1" customWidth="1"/>
    <col min="12" max="14" width="11.5703125" bestFit="1" customWidth="1"/>
  </cols>
  <sheetData>
    <row r="1" spans="1:14" x14ac:dyDescent="0.2">
      <c r="A1" s="810"/>
    </row>
    <row r="2" spans="1:14" ht="25.5" x14ac:dyDescent="0.35">
      <c r="A2" s="816" t="str">
        <f>caratula!B16</f>
        <v>TRANSPORTES BONAMPAK, S.A. DE C.V.</v>
      </c>
    </row>
    <row r="3" spans="1:14" x14ac:dyDescent="0.2">
      <c r="A3" s="808"/>
    </row>
    <row r="4" spans="1:14" ht="15.75" x14ac:dyDescent="0.25">
      <c r="A4" s="1020" t="str">
        <f>caratula!B26</f>
        <v>PRESUPUESTO  2014</v>
      </c>
    </row>
    <row r="5" spans="1:14" ht="15.75" x14ac:dyDescent="0.25">
      <c r="A5" s="873" t="s">
        <v>10455</v>
      </c>
    </row>
    <row r="6" spans="1:14" ht="16.5" thickBot="1" x14ac:dyDescent="0.3">
      <c r="A6" s="875" t="s">
        <v>10267</v>
      </c>
    </row>
    <row r="7" spans="1:14" ht="14.25" thickTop="1" thickBot="1" x14ac:dyDescent="0.25"/>
    <row r="8" spans="1:14" ht="13.5" thickTop="1" x14ac:dyDescent="0.2">
      <c r="B8" s="1720"/>
      <c r="C8" s="1724" t="s">
        <v>8</v>
      </c>
      <c r="D8" s="1721" t="s">
        <v>9</v>
      </c>
      <c r="E8" s="1721" t="s">
        <v>10</v>
      </c>
      <c r="F8" s="1721" t="s">
        <v>11</v>
      </c>
      <c r="G8" s="1721" t="s">
        <v>12</v>
      </c>
      <c r="H8" s="1721" t="s">
        <v>13</v>
      </c>
      <c r="I8" s="1721" t="s">
        <v>14</v>
      </c>
      <c r="J8" s="1721" t="s">
        <v>15</v>
      </c>
      <c r="K8" s="1721" t="s">
        <v>16</v>
      </c>
      <c r="L8" s="1721" t="s">
        <v>17</v>
      </c>
      <c r="M8" s="1721" t="s">
        <v>18</v>
      </c>
      <c r="N8" s="1722" t="s">
        <v>19</v>
      </c>
    </row>
    <row r="9" spans="1:14" x14ac:dyDescent="0.2">
      <c r="B9" s="1726" t="s">
        <v>10197</v>
      </c>
      <c r="C9" s="1727"/>
      <c r="D9" s="1728"/>
      <c r="E9" s="1728"/>
      <c r="F9" s="1728"/>
      <c r="G9" s="1728"/>
      <c r="H9" s="1728"/>
      <c r="I9" s="1728"/>
      <c r="J9" s="1728"/>
      <c r="K9" s="1728"/>
      <c r="L9" s="1728"/>
      <c r="M9" s="1728"/>
      <c r="N9" s="1729"/>
    </row>
    <row r="10" spans="1:14" x14ac:dyDescent="0.2">
      <c r="B10" s="1723" t="s">
        <v>10198</v>
      </c>
      <c r="C10" s="1725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1558"/>
    </row>
    <row r="11" spans="1:14" x14ac:dyDescent="0.2">
      <c r="B11" s="1723" t="s">
        <v>10199</v>
      </c>
      <c r="C11" s="1731"/>
      <c r="D11" s="1566"/>
      <c r="E11" s="1566">
        <v>4750000</v>
      </c>
      <c r="F11" s="1566"/>
      <c r="G11" s="1566"/>
      <c r="H11" s="1566"/>
      <c r="I11" s="1566"/>
      <c r="J11" s="1566"/>
      <c r="K11" s="1566">
        <v>4750000</v>
      </c>
      <c r="L11" s="1566"/>
      <c r="M11" s="1566"/>
      <c r="N11" s="1567"/>
    </row>
    <row r="12" spans="1:14" x14ac:dyDescent="0.2">
      <c r="B12" s="1723" t="s">
        <v>10200</v>
      </c>
      <c r="C12" s="1731">
        <v>33446</v>
      </c>
      <c r="D12" s="1566">
        <v>33446</v>
      </c>
      <c r="E12" s="1566">
        <v>33446</v>
      </c>
      <c r="F12" s="1566">
        <v>33446</v>
      </c>
      <c r="G12" s="1566">
        <v>33446</v>
      </c>
      <c r="H12" s="1566">
        <v>33446</v>
      </c>
      <c r="I12" s="1566">
        <v>33446</v>
      </c>
      <c r="J12" s="1566">
        <v>33446</v>
      </c>
      <c r="K12" s="1566">
        <v>33446</v>
      </c>
      <c r="L12" s="1566">
        <v>33446</v>
      </c>
      <c r="M12" s="1566">
        <v>33446</v>
      </c>
      <c r="N12" s="1567">
        <v>33446</v>
      </c>
    </row>
    <row r="13" spans="1:14" x14ac:dyDescent="0.2">
      <c r="B13" s="1723" t="s">
        <v>10203</v>
      </c>
      <c r="C13" s="1731">
        <v>28000</v>
      </c>
      <c r="D13" s="1566">
        <v>28000</v>
      </c>
      <c r="E13" s="1566">
        <v>28000</v>
      </c>
      <c r="F13" s="1566">
        <v>28000</v>
      </c>
      <c r="G13" s="1566">
        <v>28000</v>
      </c>
      <c r="H13" s="1566">
        <v>28000</v>
      </c>
      <c r="I13" s="1566">
        <v>28000</v>
      </c>
      <c r="J13" s="1566">
        <v>28000</v>
      </c>
      <c r="K13" s="1566">
        <v>28000</v>
      </c>
      <c r="L13" s="1566">
        <v>28000</v>
      </c>
      <c r="M13" s="1566">
        <v>28000</v>
      </c>
      <c r="N13" s="1567">
        <v>28000</v>
      </c>
    </row>
    <row r="14" spans="1:14" x14ac:dyDescent="0.2">
      <c r="B14" s="1723" t="s">
        <v>10205</v>
      </c>
      <c r="C14" s="1731"/>
      <c r="D14" s="1566"/>
      <c r="E14" s="1566"/>
      <c r="F14" s="1566"/>
      <c r="G14" s="1566"/>
      <c r="H14" s="1566"/>
      <c r="I14" s="1566"/>
      <c r="J14" s="1566">
        <v>100423</v>
      </c>
      <c r="K14" s="1566">
        <f>6348+9522</f>
        <v>15870</v>
      </c>
      <c r="L14" s="1566"/>
      <c r="M14" s="1566"/>
      <c r="N14" s="1567"/>
    </row>
    <row r="15" spans="1:14" x14ac:dyDescent="0.2">
      <c r="B15" s="1726" t="s">
        <v>10206</v>
      </c>
      <c r="C15" s="1732">
        <v>27001.439999999999</v>
      </c>
      <c r="D15" s="1733">
        <v>27001.439999999999</v>
      </c>
      <c r="E15" s="1733">
        <v>27001.439999999999</v>
      </c>
      <c r="F15" s="1733">
        <v>27001.439999999999</v>
      </c>
      <c r="G15" s="1733">
        <v>27001.439999999999</v>
      </c>
      <c r="H15" s="1733">
        <v>27001.439999999999</v>
      </c>
      <c r="I15" s="1733">
        <v>27001.439999999999</v>
      </c>
      <c r="J15" s="1733">
        <v>27001.439999999999</v>
      </c>
      <c r="K15" s="1733">
        <v>27001.439999999999</v>
      </c>
      <c r="L15" s="1733">
        <v>27001.439999999999</v>
      </c>
      <c r="M15" s="1733">
        <v>27001.439999999999</v>
      </c>
      <c r="N15" s="1734">
        <v>27001.439999999999</v>
      </c>
    </row>
    <row r="16" spans="1:14" x14ac:dyDescent="0.2">
      <c r="B16" s="1730" t="s">
        <v>135</v>
      </c>
      <c r="C16" s="1735">
        <f t="shared" ref="C16:N16" si="0">SUM(C9:C15)</f>
        <v>88447.44</v>
      </c>
      <c r="D16" s="1736">
        <f t="shared" si="0"/>
        <v>88447.44</v>
      </c>
      <c r="E16" s="1736">
        <f t="shared" si="0"/>
        <v>4838447.4400000004</v>
      </c>
      <c r="F16" s="1736">
        <f t="shared" si="0"/>
        <v>88447.44</v>
      </c>
      <c r="G16" s="1736">
        <f t="shared" si="0"/>
        <v>88447.44</v>
      </c>
      <c r="H16" s="1736">
        <f t="shared" si="0"/>
        <v>88447.44</v>
      </c>
      <c r="I16" s="1736">
        <f t="shared" si="0"/>
        <v>88447.44</v>
      </c>
      <c r="J16" s="1736">
        <f t="shared" si="0"/>
        <v>188870.44</v>
      </c>
      <c r="K16" s="1736">
        <f t="shared" si="0"/>
        <v>4854317.4400000004</v>
      </c>
      <c r="L16" s="1736">
        <f t="shared" si="0"/>
        <v>88447.44</v>
      </c>
      <c r="M16" s="1736">
        <f t="shared" si="0"/>
        <v>88447.44</v>
      </c>
      <c r="N16" s="1737">
        <f t="shared" si="0"/>
        <v>88447.44</v>
      </c>
    </row>
    <row r="17" spans="2:14" x14ac:dyDescent="0.2">
      <c r="B17" s="1723"/>
      <c r="C17" s="1725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1558"/>
    </row>
    <row r="18" spans="2:14" x14ac:dyDescent="0.2">
      <c r="B18" s="1744" t="s">
        <v>10201</v>
      </c>
      <c r="C18" s="1727"/>
      <c r="D18" s="1728"/>
      <c r="E18" s="1728"/>
      <c r="F18" s="1728"/>
      <c r="G18" s="1728"/>
      <c r="H18" s="1728"/>
      <c r="I18" s="1728"/>
      <c r="J18" s="1728"/>
      <c r="K18" s="1728"/>
      <c r="L18" s="1728"/>
      <c r="M18" s="1728"/>
      <c r="N18" s="1729"/>
    </row>
    <row r="19" spans="2:14" x14ac:dyDescent="0.2">
      <c r="B19" s="1745"/>
      <c r="C19" s="1731"/>
      <c r="D19" s="1566"/>
      <c r="E19" s="1566"/>
      <c r="F19" s="1566"/>
      <c r="G19" s="1566"/>
      <c r="H19" s="1566"/>
      <c r="I19" s="1566"/>
      <c r="J19" s="1566"/>
      <c r="K19" s="1566"/>
      <c r="L19" s="1566"/>
      <c r="M19" s="1566"/>
      <c r="N19" s="1567"/>
    </row>
    <row r="20" spans="2:14" x14ac:dyDescent="0.2">
      <c r="B20" s="1738" t="s">
        <v>10202</v>
      </c>
      <c r="C20" s="1731">
        <v>207536</v>
      </c>
      <c r="D20" s="1566">
        <v>207536</v>
      </c>
      <c r="E20" s="1566">
        <v>207536</v>
      </c>
      <c r="F20" s="1566">
        <v>207536</v>
      </c>
      <c r="G20" s="1566">
        <v>207536</v>
      </c>
      <c r="H20" s="1566">
        <v>207536</v>
      </c>
      <c r="I20" s="1566">
        <v>207536</v>
      </c>
      <c r="J20" s="1566">
        <v>207536</v>
      </c>
      <c r="K20" s="1566">
        <v>207536</v>
      </c>
      <c r="L20" s="1566">
        <v>207536</v>
      </c>
      <c r="M20" s="1566">
        <v>207536</v>
      </c>
      <c r="N20" s="1567">
        <v>207536</v>
      </c>
    </row>
    <row r="21" spans="2:14" x14ac:dyDescent="0.2">
      <c r="B21" s="1739"/>
      <c r="C21" s="1731"/>
      <c r="D21" s="1566"/>
      <c r="E21" s="1566"/>
      <c r="F21" s="1566"/>
      <c r="G21" s="1566"/>
      <c r="H21" s="1566"/>
      <c r="I21" s="1566"/>
      <c r="J21" s="1566"/>
      <c r="K21" s="1566"/>
      <c r="L21" s="1566"/>
      <c r="M21" s="1566"/>
      <c r="N21" s="1567"/>
    </row>
    <row r="22" spans="2:14" x14ac:dyDescent="0.2">
      <c r="B22" s="1739"/>
      <c r="C22" s="1731"/>
      <c r="D22" s="1566"/>
      <c r="E22" s="1566"/>
      <c r="F22" s="1566"/>
      <c r="G22" s="1566"/>
      <c r="H22" s="1566"/>
      <c r="I22" s="1566"/>
      <c r="J22" s="1566"/>
      <c r="K22" s="1566"/>
      <c r="L22" s="1566"/>
      <c r="M22" s="1566"/>
      <c r="N22" s="1567"/>
    </row>
    <row r="23" spans="2:14" ht="13.5" thickBot="1" x14ac:dyDescent="0.25">
      <c r="B23" s="1740" t="s">
        <v>10204</v>
      </c>
      <c r="C23" s="1741">
        <f>SUM(C20:C22)</f>
        <v>207536</v>
      </c>
      <c r="D23" s="1742">
        <f t="shared" ref="D23:N23" si="1">SUM(D20:D22)</f>
        <v>207536</v>
      </c>
      <c r="E23" s="1742">
        <f t="shared" si="1"/>
        <v>207536</v>
      </c>
      <c r="F23" s="1742">
        <f t="shared" si="1"/>
        <v>207536</v>
      </c>
      <c r="G23" s="1742">
        <f t="shared" si="1"/>
        <v>207536</v>
      </c>
      <c r="H23" s="1742">
        <f t="shared" si="1"/>
        <v>207536</v>
      </c>
      <c r="I23" s="1742">
        <f t="shared" si="1"/>
        <v>207536</v>
      </c>
      <c r="J23" s="1742">
        <f t="shared" si="1"/>
        <v>207536</v>
      </c>
      <c r="K23" s="1742">
        <f t="shared" si="1"/>
        <v>207536</v>
      </c>
      <c r="L23" s="1742">
        <f t="shared" si="1"/>
        <v>207536</v>
      </c>
      <c r="M23" s="1742">
        <f t="shared" si="1"/>
        <v>207536</v>
      </c>
      <c r="N23" s="1743">
        <f t="shared" si="1"/>
        <v>207536</v>
      </c>
    </row>
    <row r="24" spans="2:14" ht="13.5" thickTop="1" x14ac:dyDescent="0.2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pageSetUpPr fitToPage="1"/>
  </sheetPr>
  <dimension ref="A1:X117"/>
  <sheetViews>
    <sheetView topLeftCell="A9" zoomScaleNormal="100" workbookViewId="0">
      <pane xSplit="3" ySplit="3" topLeftCell="D12" activePane="bottomRight" state="frozen"/>
      <selection activeCell="A9" sqref="A9"/>
      <selection pane="topRight" activeCell="D9" sqref="D9"/>
      <selection pane="bottomLeft" activeCell="A12" sqref="A12"/>
      <selection pane="bottomRight" activeCell="Q31" sqref="Q31"/>
    </sheetView>
  </sheetViews>
  <sheetFormatPr baseColWidth="10" defaultRowHeight="15" outlineLevelCol="1" x14ac:dyDescent="0.25"/>
  <cols>
    <col min="1" max="3" width="6" style="781" customWidth="1"/>
    <col min="4" max="4" width="52.5703125" style="781" customWidth="1"/>
    <col min="5" max="5" width="16.7109375" style="781" customWidth="1"/>
    <col min="6" max="6" width="12.140625" style="1333" customWidth="1"/>
    <col min="7" max="7" width="11.28515625" style="1320" hidden="1" customWidth="1" outlineLevel="1"/>
    <col min="8" max="8" width="11.5703125" style="1320" hidden="1" customWidth="1" outlineLevel="1"/>
    <col min="9" max="9" width="12.7109375" style="1320" customWidth="1" collapsed="1"/>
    <col min="10" max="10" width="11.42578125" style="1298" customWidth="1" outlineLevel="1"/>
    <col min="11" max="12" width="12" style="1298" customWidth="1"/>
    <col min="13" max="13" width="11.85546875" style="1298" customWidth="1"/>
    <col min="14" max="14" width="11.7109375" style="1298" customWidth="1"/>
    <col min="15" max="15" width="11.42578125" style="1298" customWidth="1"/>
    <col min="16" max="16" width="11.85546875" style="1298" customWidth="1"/>
    <col min="17" max="17" width="12.42578125" style="1298" customWidth="1"/>
    <col min="18" max="18" width="11.5703125" style="1298" customWidth="1"/>
    <col min="19" max="20" width="11.28515625" style="1298" customWidth="1"/>
    <col min="21" max="21" width="12" style="1298" customWidth="1"/>
    <col min="22" max="22" width="11.42578125" style="1298" customWidth="1"/>
    <col min="23" max="24" width="11.42578125" style="1298"/>
    <col min="25" max="16384" width="11.42578125" style="781"/>
  </cols>
  <sheetData>
    <row r="1" spans="1:24" s="1298" customFormat="1" ht="21" x14ac:dyDescent="0.35">
      <c r="A1" s="1297" t="s">
        <v>10118</v>
      </c>
      <c r="B1" s="1297"/>
      <c r="C1" s="1297"/>
      <c r="F1" s="1426"/>
      <c r="G1" s="1299"/>
      <c r="H1" s="1299"/>
      <c r="I1" s="1299"/>
    </row>
    <row r="2" spans="1:24" s="1298" customFormat="1" ht="18.75" x14ac:dyDescent="0.3">
      <c r="A2" s="1300" t="s">
        <v>10208</v>
      </c>
      <c r="B2" s="1300"/>
      <c r="C2" s="1300"/>
      <c r="F2" s="1426"/>
      <c r="G2" s="1299"/>
      <c r="H2" s="1299"/>
      <c r="I2" s="1299"/>
    </row>
    <row r="3" spans="1:24" s="1298" customFormat="1" ht="16.5" thickBot="1" x14ac:dyDescent="0.3">
      <c r="A3" s="1301"/>
      <c r="B3" s="1301"/>
      <c r="C3" s="1301"/>
      <c r="D3" s="1302"/>
      <c r="E3" s="1302"/>
      <c r="F3" s="1433"/>
      <c r="G3" s="1303"/>
      <c r="H3" s="1303"/>
      <c r="I3" s="1303"/>
    </row>
    <row r="4" spans="1:24" ht="15.75" thickTop="1" x14ac:dyDescent="0.25">
      <c r="A4" s="1304"/>
      <c r="B4" s="1304"/>
      <c r="C4" s="1304"/>
      <c r="D4" s="1304"/>
      <c r="E4" s="1304"/>
      <c r="F4" s="1434"/>
      <c r="G4" s="1305"/>
      <c r="H4" s="1305"/>
      <c r="I4" s="1306"/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</row>
    <row r="5" spans="1:24" x14ac:dyDescent="0.25">
      <c r="A5" s="1304" t="s">
        <v>10209</v>
      </c>
      <c r="B5" s="1304"/>
      <c r="C5" s="1304"/>
      <c r="D5" s="1304"/>
      <c r="E5" s="1304"/>
      <c r="F5" s="1434"/>
      <c r="G5" s="1307"/>
      <c r="H5" s="1307"/>
      <c r="I5" s="1308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</row>
    <row r="6" spans="1:24" ht="15.75" thickBot="1" x14ac:dyDescent="0.3">
      <c r="A6" s="1309"/>
      <c r="B6" s="1309"/>
      <c r="C6" s="1309"/>
      <c r="D6" s="1309"/>
      <c r="E6" s="1309"/>
      <c r="F6" s="1435"/>
      <c r="G6" s="1310"/>
      <c r="H6" s="1310"/>
      <c r="I6" s="131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</row>
    <row r="7" spans="1:24" ht="15.75" thickTop="1" x14ac:dyDescent="0.25">
      <c r="A7" s="1804" t="s">
        <v>10119</v>
      </c>
      <c r="B7" s="1804"/>
      <c r="C7" s="1804"/>
      <c r="D7" s="1804"/>
      <c r="E7" s="1804"/>
      <c r="F7" s="1804"/>
      <c r="G7" s="1804"/>
      <c r="H7" s="1804"/>
      <c r="I7" s="1805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</row>
    <row r="8" spans="1:24" ht="15.75" thickBot="1" x14ac:dyDescent="0.3">
      <c r="A8" s="1806"/>
      <c r="B8" s="1806"/>
      <c r="C8" s="1806"/>
      <c r="D8" s="1806"/>
      <c r="E8" s="1806"/>
      <c r="F8" s="1806"/>
      <c r="G8" s="1806"/>
      <c r="H8" s="1806"/>
      <c r="I8" s="1807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</row>
    <row r="9" spans="1:24" ht="15.75" thickTop="1" x14ac:dyDescent="0.25">
      <c r="A9" s="1626"/>
      <c r="G9" s="1808" t="s">
        <v>10210</v>
      </c>
      <c r="H9" s="1808"/>
      <c r="I9" s="1809"/>
      <c r="J9" s="781"/>
      <c r="K9" s="1579"/>
      <c r="L9" s="1579"/>
      <c r="M9" s="1579"/>
      <c r="N9" s="1579"/>
      <c r="O9" s="1579"/>
      <c r="P9" s="1579"/>
      <c r="Q9" s="1579"/>
      <c r="R9" s="1579"/>
      <c r="S9" s="1579"/>
      <c r="T9" s="1579"/>
      <c r="U9" s="1579"/>
      <c r="V9" s="1579"/>
      <c r="W9" s="1586"/>
      <c r="X9" s="1594"/>
    </row>
    <row r="10" spans="1:24" x14ac:dyDescent="0.25">
      <c r="A10" s="1612"/>
      <c r="B10" s="1312"/>
      <c r="C10" s="1312"/>
      <c r="D10" s="1312"/>
      <c r="E10" s="1312"/>
      <c r="F10" s="1436"/>
      <c r="G10" s="1313" t="s">
        <v>10211</v>
      </c>
      <c r="H10" s="1313" t="s">
        <v>10212</v>
      </c>
      <c r="I10" s="1314" t="s">
        <v>135</v>
      </c>
      <c r="J10" s="781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1587"/>
      <c r="X10" s="1594"/>
    </row>
    <row r="11" spans="1:24" ht="30" x14ac:dyDescent="0.25">
      <c r="A11" s="1627" t="s">
        <v>10250</v>
      </c>
      <c r="B11" s="1329" t="s">
        <v>10243</v>
      </c>
      <c r="C11" s="1329" t="s">
        <v>10120</v>
      </c>
      <c r="D11" s="1315" t="s">
        <v>5</v>
      </c>
      <c r="E11" s="1328" t="s">
        <v>10245</v>
      </c>
      <c r="F11" s="1337" t="s">
        <v>10249</v>
      </c>
      <c r="G11" s="1316" t="s">
        <v>10213</v>
      </c>
      <c r="H11" s="1316" t="s">
        <v>10214</v>
      </c>
      <c r="I11" s="1317" t="s">
        <v>10215</v>
      </c>
      <c r="J11" s="1331" t="s">
        <v>10156</v>
      </c>
      <c r="K11" s="1610" t="s">
        <v>135</v>
      </c>
      <c r="L11" s="1610" t="s">
        <v>8</v>
      </c>
      <c r="M11" s="1610" t="s">
        <v>9</v>
      </c>
      <c r="N11" s="1610" t="s">
        <v>10</v>
      </c>
      <c r="O11" s="1610" t="s">
        <v>11</v>
      </c>
      <c r="P11" s="1610" t="s">
        <v>12</v>
      </c>
      <c r="Q11" s="1610" t="s">
        <v>13</v>
      </c>
      <c r="R11" s="1610" t="s">
        <v>14</v>
      </c>
      <c r="S11" s="1610" t="s">
        <v>15</v>
      </c>
      <c r="T11" s="1610" t="s">
        <v>16</v>
      </c>
      <c r="U11" s="1610" t="s">
        <v>17</v>
      </c>
      <c r="V11" s="1610" t="s">
        <v>18</v>
      </c>
      <c r="W11" s="1611" t="s">
        <v>19</v>
      </c>
      <c r="X11" s="1594"/>
    </row>
    <row r="12" spans="1:24" hidden="1" x14ac:dyDescent="0.25">
      <c r="A12" s="1612">
        <v>1</v>
      </c>
      <c r="B12" s="1330" t="s">
        <v>10244</v>
      </c>
      <c r="C12" s="1330">
        <v>1</v>
      </c>
      <c r="D12" s="1757" t="s">
        <v>10687</v>
      </c>
      <c r="E12" s="781" t="s">
        <v>10216</v>
      </c>
      <c r="F12" s="1333">
        <f>I12/C12</f>
        <v>1212600</v>
      </c>
      <c r="G12" s="1628">
        <f>1*94000*12.9</f>
        <v>1212600</v>
      </c>
      <c r="H12" s="1259"/>
      <c r="I12" s="1602">
        <f>G12+H12</f>
        <v>1212600</v>
      </c>
      <c r="J12" s="1331" t="s">
        <v>10169</v>
      </c>
      <c r="K12" s="1589">
        <f>SUM(L12:W12)</f>
        <v>1</v>
      </c>
      <c r="L12" s="1590"/>
      <c r="M12" s="1590"/>
      <c r="N12" s="1590">
        <v>1</v>
      </c>
      <c r="O12" s="1590"/>
      <c r="P12" s="1590"/>
      <c r="Q12" s="1590"/>
      <c r="R12" s="1590"/>
      <c r="S12" s="1590"/>
      <c r="T12" s="1590"/>
      <c r="U12" s="1590"/>
      <c r="V12" s="1590"/>
      <c r="W12" s="1593"/>
      <c r="X12" s="1594"/>
    </row>
    <row r="13" spans="1:24" hidden="1" x14ac:dyDescent="0.25">
      <c r="A13" s="1612">
        <v>2</v>
      </c>
      <c r="B13" s="1330" t="s">
        <v>10244</v>
      </c>
      <c r="C13" s="1330">
        <v>7</v>
      </c>
      <c r="D13" s="781" t="s">
        <v>10217</v>
      </c>
      <c r="E13" s="781" t="s">
        <v>10123</v>
      </c>
      <c r="F13" s="1333">
        <f t="shared" ref="F13:F52" si="0">I13/C13</f>
        <v>93405</v>
      </c>
      <c r="G13" s="1618">
        <f>7*7185*13</f>
        <v>653835</v>
      </c>
      <c r="H13" s="1259"/>
      <c r="I13" s="1602">
        <f>G13+H13</f>
        <v>653835</v>
      </c>
      <c r="J13" s="1331" t="s">
        <v>10169</v>
      </c>
      <c r="K13" s="1589">
        <f t="shared" ref="K13:K52" si="1">SUM(L13:W13)</f>
        <v>7</v>
      </c>
      <c r="L13" s="1590"/>
      <c r="M13" s="1590">
        <v>6</v>
      </c>
      <c r="N13" s="1590">
        <v>1</v>
      </c>
      <c r="O13" s="1590"/>
      <c r="P13" s="1590"/>
      <c r="Q13" s="1590"/>
      <c r="R13" s="1590"/>
      <c r="S13" s="1590"/>
      <c r="T13" s="1590"/>
      <c r="U13" s="1590"/>
      <c r="V13" s="1590"/>
      <c r="W13" s="1593"/>
      <c r="X13" s="1594"/>
    </row>
    <row r="14" spans="1:24" hidden="1" x14ac:dyDescent="0.25">
      <c r="A14" s="1612">
        <v>3</v>
      </c>
      <c r="B14" s="1330" t="s">
        <v>10244</v>
      </c>
      <c r="C14" s="1330">
        <v>5</v>
      </c>
      <c r="D14" s="1575" t="s">
        <v>10458</v>
      </c>
      <c r="E14" s="781" t="s">
        <v>10123</v>
      </c>
      <c r="F14" s="1333">
        <f>28500*12.9</f>
        <v>367650</v>
      </c>
      <c r="G14" s="1618"/>
      <c r="H14" s="1259">
        <f>1838250</f>
        <v>1838250</v>
      </c>
      <c r="I14" s="1602">
        <f t="shared" ref="I14:I50" si="2">G14+H14</f>
        <v>1838250</v>
      </c>
      <c r="J14" s="1331" t="s">
        <v>10127</v>
      </c>
      <c r="K14" s="1589">
        <f t="shared" si="1"/>
        <v>5</v>
      </c>
      <c r="L14" s="1590">
        <v>5</v>
      </c>
      <c r="M14" s="1590"/>
      <c r="N14" s="1590"/>
      <c r="O14" s="1590"/>
      <c r="P14" s="1590"/>
      <c r="Q14" s="1590"/>
      <c r="R14" s="1590"/>
      <c r="S14" s="1590"/>
      <c r="T14" s="1590"/>
      <c r="U14" s="1590"/>
      <c r="V14" s="1590"/>
      <c r="W14" s="1593"/>
      <c r="X14" s="1594"/>
    </row>
    <row r="15" spans="1:24" x14ac:dyDescent="0.25">
      <c r="A15" s="1612">
        <v>4</v>
      </c>
      <c r="B15" s="1330" t="s">
        <v>10244</v>
      </c>
      <c r="C15" s="1330">
        <v>4</v>
      </c>
      <c r="D15" s="1575" t="s">
        <v>10457</v>
      </c>
      <c r="E15" s="781" t="s">
        <v>10123</v>
      </c>
      <c r="F15" s="1333">
        <f>45500*13</f>
        <v>591500</v>
      </c>
      <c r="G15" s="1618"/>
      <c r="H15" s="779">
        <v>2366000</v>
      </c>
      <c r="I15" s="1602">
        <f t="shared" ref="I15:I16" si="3">G15+H15</f>
        <v>2366000</v>
      </c>
      <c r="J15" s="1577" t="s">
        <v>10127</v>
      </c>
      <c r="K15" s="1589">
        <f t="shared" si="1"/>
        <v>4</v>
      </c>
      <c r="L15" s="1590"/>
      <c r="M15" s="1590"/>
      <c r="N15" s="1590"/>
      <c r="O15" s="1590"/>
      <c r="P15" s="1590"/>
      <c r="Q15" s="1590">
        <v>4</v>
      </c>
      <c r="R15" s="1590"/>
      <c r="S15" s="1590"/>
      <c r="T15" s="1590"/>
      <c r="U15" s="1590"/>
      <c r="V15" s="1590"/>
      <c r="W15" s="1593"/>
      <c r="X15" s="1594"/>
    </row>
    <row r="16" spans="1:24" x14ac:dyDescent="0.25">
      <c r="A16" s="1612">
        <v>5</v>
      </c>
      <c r="B16" s="1330" t="s">
        <v>10244</v>
      </c>
      <c r="C16" s="1330">
        <v>2</v>
      </c>
      <c r="D16" s="1575" t="s">
        <v>10459</v>
      </c>
      <c r="E16" s="1332" t="s">
        <v>10123</v>
      </c>
      <c r="F16" s="1333">
        <f>18000*13</f>
        <v>234000</v>
      </c>
      <c r="G16" s="1618"/>
      <c r="H16" s="779">
        <f>F16*C16</f>
        <v>468000</v>
      </c>
      <c r="I16" s="1602">
        <f t="shared" si="3"/>
        <v>468000</v>
      </c>
      <c r="J16" s="1577" t="s">
        <v>10127</v>
      </c>
      <c r="K16" s="1589">
        <f t="shared" si="1"/>
        <v>2</v>
      </c>
      <c r="L16" s="1590"/>
      <c r="M16" s="1590"/>
      <c r="N16" s="1590"/>
      <c r="O16" s="1590"/>
      <c r="P16" s="1590"/>
      <c r="Q16" s="1590">
        <v>2</v>
      </c>
      <c r="R16" s="1590"/>
      <c r="S16" s="1590"/>
      <c r="T16" s="1590"/>
      <c r="U16" s="1590"/>
      <c r="V16" s="1590"/>
      <c r="W16" s="1593"/>
      <c r="X16" s="1594"/>
    </row>
    <row r="17" spans="1:24" hidden="1" x14ac:dyDescent="0.25">
      <c r="A17" s="1612">
        <v>6</v>
      </c>
      <c r="B17" s="1330" t="s">
        <v>10244</v>
      </c>
      <c r="C17" s="1330">
        <v>1</v>
      </c>
      <c r="D17" s="781" t="s">
        <v>10122</v>
      </c>
      <c r="E17" s="781" t="s">
        <v>10123</v>
      </c>
      <c r="F17" s="1333">
        <f t="shared" si="0"/>
        <v>500000</v>
      </c>
      <c r="G17" s="1618">
        <v>500000</v>
      </c>
      <c r="H17" s="1259"/>
      <c r="I17" s="1602">
        <f t="shared" si="2"/>
        <v>500000</v>
      </c>
      <c r="J17" s="1335" t="s">
        <v>10174</v>
      </c>
      <c r="K17" s="1589">
        <f t="shared" si="1"/>
        <v>1</v>
      </c>
      <c r="L17" s="1590"/>
      <c r="M17" s="1590"/>
      <c r="N17" s="1590"/>
      <c r="O17" s="1590"/>
      <c r="P17" s="1590"/>
      <c r="Q17" s="1590"/>
      <c r="R17" s="1590"/>
      <c r="S17" s="1590">
        <v>1</v>
      </c>
      <c r="T17" s="1590"/>
      <c r="U17" s="1590"/>
      <c r="V17" s="1590"/>
      <c r="W17" s="1593"/>
      <c r="X17" s="1594"/>
    </row>
    <row r="18" spans="1:24" hidden="1" x14ac:dyDescent="0.25">
      <c r="A18" s="1612">
        <v>7</v>
      </c>
      <c r="B18" s="1330" t="s">
        <v>10244</v>
      </c>
      <c r="C18" s="1330">
        <v>1</v>
      </c>
      <c r="D18" s="781" t="s">
        <v>10218</v>
      </c>
      <c r="E18" s="781" t="s">
        <v>10034</v>
      </c>
      <c r="F18" s="1333">
        <f t="shared" si="0"/>
        <v>14000</v>
      </c>
      <c r="G18" s="1618"/>
      <c r="H18" s="1259">
        <v>14000</v>
      </c>
      <c r="I18" s="1602">
        <f t="shared" si="2"/>
        <v>14000</v>
      </c>
      <c r="J18" s="1335" t="s">
        <v>10170</v>
      </c>
      <c r="K18" s="1589">
        <f t="shared" si="1"/>
        <v>1</v>
      </c>
      <c r="L18" s="1590">
        <v>1</v>
      </c>
      <c r="M18" s="1590"/>
      <c r="N18" s="1590"/>
      <c r="O18" s="1590"/>
      <c r="P18" s="1590"/>
      <c r="Q18" s="1590"/>
      <c r="R18" s="1590"/>
      <c r="S18" s="1590"/>
      <c r="T18" s="1590"/>
      <c r="U18" s="1590"/>
      <c r="V18" s="1590"/>
      <c r="W18" s="1593"/>
      <c r="X18" s="1594"/>
    </row>
    <row r="19" spans="1:24" hidden="1" x14ac:dyDescent="0.25">
      <c r="A19" s="1612">
        <v>8</v>
      </c>
      <c r="B19" s="1330" t="s">
        <v>10244</v>
      </c>
      <c r="C19" s="1330">
        <v>1</v>
      </c>
      <c r="D19" s="781" t="s">
        <v>10219</v>
      </c>
      <c r="E19" s="781" t="s">
        <v>10123</v>
      </c>
      <c r="F19" s="1333">
        <f t="shared" si="0"/>
        <v>350000</v>
      </c>
      <c r="G19" s="1618"/>
      <c r="H19" s="1259">
        <v>350000</v>
      </c>
      <c r="I19" s="1602">
        <f t="shared" si="2"/>
        <v>350000</v>
      </c>
      <c r="J19" s="1335" t="s">
        <v>10172</v>
      </c>
      <c r="K19" s="1589">
        <f t="shared" si="1"/>
        <v>1</v>
      </c>
      <c r="L19" s="1590"/>
      <c r="M19" s="1590"/>
      <c r="N19" s="1590"/>
      <c r="O19" s="1590"/>
      <c r="P19" s="1590">
        <v>1</v>
      </c>
      <c r="Q19" s="1590"/>
      <c r="R19" s="1590"/>
      <c r="S19" s="1590"/>
      <c r="T19" s="1590"/>
      <c r="U19" s="1590"/>
      <c r="V19" s="1590"/>
      <c r="W19" s="1593"/>
      <c r="X19" s="1594"/>
    </row>
    <row r="20" spans="1:24" hidden="1" x14ac:dyDescent="0.25">
      <c r="A20" s="1612">
        <v>9</v>
      </c>
      <c r="B20" s="1330" t="s">
        <v>10244</v>
      </c>
      <c r="C20" s="1330">
        <v>1</v>
      </c>
      <c r="D20" s="1575" t="s">
        <v>10460</v>
      </c>
      <c r="E20" s="781" t="s">
        <v>10123</v>
      </c>
      <c r="F20" s="1333">
        <v>1200000</v>
      </c>
      <c r="G20" s="1618"/>
      <c r="H20" s="1259">
        <v>1200000</v>
      </c>
      <c r="I20" s="1602">
        <f t="shared" si="2"/>
        <v>1200000</v>
      </c>
      <c r="J20" s="1335" t="s">
        <v>10174</v>
      </c>
      <c r="K20" s="1589">
        <f t="shared" si="1"/>
        <v>1</v>
      </c>
      <c r="L20" s="1590"/>
      <c r="M20" s="1590"/>
      <c r="N20" s="1590"/>
      <c r="O20" s="1590"/>
      <c r="P20" s="1590"/>
      <c r="Q20" s="1590"/>
      <c r="R20" s="1591">
        <v>0.5</v>
      </c>
      <c r="S20" s="1591">
        <v>0.5</v>
      </c>
      <c r="T20" s="1590"/>
      <c r="U20" s="1590"/>
      <c r="V20" s="1590"/>
      <c r="W20" s="1593"/>
      <c r="X20" s="1594"/>
    </row>
    <row r="21" spans="1:24" hidden="1" x14ac:dyDescent="0.25">
      <c r="A21" s="1612">
        <v>10</v>
      </c>
      <c r="B21" s="1438" t="s">
        <v>10244</v>
      </c>
      <c r="C21" s="1330">
        <v>1</v>
      </c>
      <c r="D21" s="1332" t="s">
        <v>10358</v>
      </c>
      <c r="E21" s="1332" t="s">
        <v>10123</v>
      </c>
      <c r="F21" s="1333">
        <v>300000</v>
      </c>
      <c r="G21" s="1618">
        <v>300000</v>
      </c>
      <c r="H21" s="1259"/>
      <c r="I21" s="1602">
        <f t="shared" si="2"/>
        <v>300000</v>
      </c>
      <c r="J21" s="1335" t="s">
        <v>10174</v>
      </c>
      <c r="K21" s="1589">
        <f t="shared" si="1"/>
        <v>1</v>
      </c>
      <c r="L21" s="1590"/>
      <c r="M21" s="1590"/>
      <c r="N21" s="1590"/>
      <c r="O21" s="1590"/>
      <c r="P21" s="1590"/>
      <c r="Q21" s="1590"/>
      <c r="R21" s="1591"/>
      <c r="S21" s="1591"/>
      <c r="T21" s="1590"/>
      <c r="U21" s="1590">
        <v>1</v>
      </c>
      <c r="V21" s="1590"/>
      <c r="W21" s="1593"/>
      <c r="X21" s="1594"/>
    </row>
    <row r="22" spans="1:24" hidden="1" x14ac:dyDescent="0.25">
      <c r="A22" s="1612">
        <v>11</v>
      </c>
      <c r="B22" s="1330" t="s">
        <v>10244</v>
      </c>
      <c r="C22" s="1330">
        <v>1</v>
      </c>
      <c r="D22" s="781" t="s">
        <v>10221</v>
      </c>
      <c r="E22" s="781" t="s">
        <v>10126</v>
      </c>
      <c r="F22" s="1333">
        <f t="shared" si="0"/>
        <v>230000</v>
      </c>
      <c r="G22" s="1618">
        <v>230000</v>
      </c>
      <c r="H22" s="1259"/>
      <c r="I22" s="1602">
        <f t="shared" si="2"/>
        <v>230000</v>
      </c>
      <c r="J22" s="1335" t="s">
        <v>10264</v>
      </c>
      <c r="K22" s="1589">
        <f t="shared" si="1"/>
        <v>1</v>
      </c>
      <c r="L22" s="1590"/>
      <c r="M22" s="1590"/>
      <c r="N22" s="1590"/>
      <c r="O22" s="1590"/>
      <c r="P22" s="1590"/>
      <c r="Q22" s="1590"/>
      <c r="R22" s="1590"/>
      <c r="S22" s="1590"/>
      <c r="T22" s="1590">
        <v>1</v>
      </c>
      <c r="U22" s="1590"/>
      <c r="V22" s="1590"/>
      <c r="W22" s="1593"/>
      <c r="X22" s="1594"/>
    </row>
    <row r="23" spans="1:24" hidden="1" x14ac:dyDescent="0.25">
      <c r="A23" s="1612">
        <v>12</v>
      </c>
      <c r="B23" s="1330" t="s">
        <v>10244</v>
      </c>
      <c r="C23" s="1330">
        <v>1</v>
      </c>
      <c r="D23" s="781" t="s">
        <v>10222</v>
      </c>
      <c r="E23" s="781" t="s">
        <v>10126</v>
      </c>
      <c r="F23" s="1333">
        <f t="shared" si="0"/>
        <v>166000</v>
      </c>
      <c r="G23" s="1618"/>
      <c r="H23" s="1259">
        <v>166000</v>
      </c>
      <c r="I23" s="1602">
        <f t="shared" si="2"/>
        <v>166000</v>
      </c>
      <c r="J23" s="1335" t="s">
        <v>10264</v>
      </c>
      <c r="K23" s="1589">
        <f t="shared" si="1"/>
        <v>1</v>
      </c>
      <c r="L23" s="1590"/>
      <c r="M23" s="1590"/>
      <c r="N23" s="1590"/>
      <c r="O23" s="1590"/>
      <c r="P23" s="1590"/>
      <c r="Q23" s="1590"/>
      <c r="R23" s="1590">
        <v>1</v>
      </c>
      <c r="S23" s="1590"/>
      <c r="T23" s="1590"/>
      <c r="U23" s="1590"/>
      <c r="V23" s="1590"/>
      <c r="W23" s="1593"/>
      <c r="X23" s="1594"/>
    </row>
    <row r="24" spans="1:24" hidden="1" x14ac:dyDescent="0.25">
      <c r="A24" s="1612">
        <v>13</v>
      </c>
      <c r="B24" s="1330" t="s">
        <v>10244</v>
      </c>
      <c r="C24" s="1330">
        <v>1</v>
      </c>
      <c r="D24" s="781" t="s">
        <v>10223</v>
      </c>
      <c r="E24" s="781" t="s">
        <v>10126</v>
      </c>
      <c r="F24" s="1333">
        <f t="shared" si="0"/>
        <v>200000</v>
      </c>
      <c r="G24" s="1618"/>
      <c r="H24" s="1259">
        <v>200000</v>
      </c>
      <c r="I24" s="1602">
        <f t="shared" si="2"/>
        <v>200000</v>
      </c>
      <c r="J24" s="1335" t="s">
        <v>10172</v>
      </c>
      <c r="K24" s="1589">
        <f t="shared" si="1"/>
        <v>1</v>
      </c>
      <c r="L24" s="1590"/>
      <c r="M24" s="1590"/>
      <c r="N24" s="1590"/>
      <c r="O24" s="1590"/>
      <c r="P24" s="1590"/>
      <c r="Q24" s="1590"/>
      <c r="R24" s="1590"/>
      <c r="S24" s="1590"/>
      <c r="T24" s="1590"/>
      <c r="U24" s="1590"/>
      <c r="V24" s="1590">
        <v>1</v>
      </c>
      <c r="W24" s="1593"/>
      <c r="X24" s="1594"/>
    </row>
    <row r="25" spans="1:24" hidden="1" x14ac:dyDescent="0.25">
      <c r="A25" s="1612">
        <v>14</v>
      </c>
      <c r="B25" s="1330" t="s">
        <v>10244</v>
      </c>
      <c r="C25" s="1330">
        <v>1</v>
      </c>
      <c r="D25" s="781" t="s">
        <v>10224</v>
      </c>
      <c r="E25" s="781" t="s">
        <v>10034</v>
      </c>
      <c r="F25" s="1333">
        <f t="shared" si="0"/>
        <v>10000</v>
      </c>
      <c r="G25" s="1618"/>
      <c r="H25" s="1259">
        <v>10000</v>
      </c>
      <c r="I25" s="1602">
        <f t="shared" si="2"/>
        <v>10000</v>
      </c>
      <c r="J25" s="1335" t="s">
        <v>10170</v>
      </c>
      <c r="K25" s="1589">
        <f t="shared" si="1"/>
        <v>1</v>
      </c>
      <c r="L25" s="1590">
        <v>1</v>
      </c>
      <c r="M25" s="1590"/>
      <c r="N25" s="1590"/>
      <c r="O25" s="1590"/>
      <c r="P25" s="1590"/>
      <c r="Q25" s="1590"/>
      <c r="R25" s="1590"/>
      <c r="S25" s="1590"/>
      <c r="T25" s="1590"/>
      <c r="U25" s="1590"/>
      <c r="V25" s="1590"/>
      <c r="W25" s="1593"/>
      <c r="X25" s="1594"/>
    </row>
    <row r="26" spans="1:24" hidden="1" x14ac:dyDescent="0.25">
      <c r="A26" s="1612">
        <v>15</v>
      </c>
      <c r="B26" s="1755" t="s">
        <v>10244</v>
      </c>
      <c r="C26" s="1330">
        <v>93</v>
      </c>
      <c r="D26" s="1756" t="s">
        <v>10689</v>
      </c>
      <c r="E26" s="1757" t="s">
        <v>10123</v>
      </c>
      <c r="F26" s="1333">
        <f>1000*12.9</f>
        <v>12900</v>
      </c>
      <c r="G26" s="1618"/>
      <c r="H26" s="1259">
        <f>F26*C26</f>
        <v>1199700</v>
      </c>
      <c r="I26" s="1602">
        <f t="shared" si="2"/>
        <v>1199700</v>
      </c>
      <c r="J26" s="1759" t="s">
        <v>10121</v>
      </c>
      <c r="K26" s="1589">
        <f t="shared" si="1"/>
        <v>93</v>
      </c>
      <c r="L26" s="1590"/>
      <c r="M26" s="1590"/>
      <c r="N26" s="1590"/>
      <c r="O26" s="1590">
        <v>20</v>
      </c>
      <c r="P26" s="1590">
        <v>20</v>
      </c>
      <c r="Q26" s="1590">
        <v>20</v>
      </c>
      <c r="R26" s="1590">
        <v>20</v>
      </c>
      <c r="S26" s="1590">
        <v>13</v>
      </c>
      <c r="T26" s="1590"/>
      <c r="U26" s="1590"/>
      <c r="V26" s="1590"/>
      <c r="W26" s="1754"/>
      <c r="X26" s="1594"/>
    </row>
    <row r="27" spans="1:24" hidden="1" x14ac:dyDescent="0.25">
      <c r="A27" s="1612">
        <v>1</v>
      </c>
      <c r="B27" s="1330" t="s">
        <v>10246</v>
      </c>
      <c r="C27" s="1330">
        <v>10</v>
      </c>
      <c r="D27" s="781" t="s">
        <v>10225</v>
      </c>
      <c r="E27" s="781" t="s">
        <v>10123</v>
      </c>
      <c r="F27" s="1333">
        <f t="shared" si="0"/>
        <v>1212600</v>
      </c>
      <c r="G27" s="1618">
        <f>10*94000*12.9</f>
        <v>12126000</v>
      </c>
      <c r="H27" s="1259"/>
      <c r="I27" s="1602">
        <f t="shared" si="2"/>
        <v>12126000</v>
      </c>
      <c r="J27" s="1335" t="s">
        <v>10169</v>
      </c>
      <c r="K27" s="1589">
        <f t="shared" si="1"/>
        <v>10</v>
      </c>
      <c r="L27" s="1590"/>
      <c r="M27" s="1590"/>
      <c r="N27" s="1590">
        <v>6</v>
      </c>
      <c r="O27" s="1590">
        <v>4</v>
      </c>
      <c r="P27" s="1590"/>
      <c r="Q27" s="1590"/>
      <c r="R27" s="1590"/>
      <c r="S27" s="1590">
        <v>0</v>
      </c>
      <c r="T27" s="1590"/>
      <c r="U27" s="1590"/>
      <c r="V27" s="1590"/>
      <c r="W27" s="1593"/>
      <c r="X27" s="1594"/>
    </row>
    <row r="28" spans="1:24" hidden="1" x14ac:dyDescent="0.25">
      <c r="A28" s="1612">
        <v>2</v>
      </c>
      <c r="B28" s="1330" t="s">
        <v>10246</v>
      </c>
      <c r="C28" s="1330">
        <v>10</v>
      </c>
      <c r="D28" s="781" t="s">
        <v>10226</v>
      </c>
      <c r="E28" s="781" t="s">
        <v>10123</v>
      </c>
      <c r="F28" s="1333">
        <f t="shared" si="0"/>
        <v>93405</v>
      </c>
      <c r="G28" s="1618">
        <f>10*7185*13</f>
        <v>934050</v>
      </c>
      <c r="H28" s="1259"/>
      <c r="I28" s="1602">
        <f>G28+H28</f>
        <v>934050</v>
      </c>
      <c r="J28" s="1335" t="s">
        <v>10169</v>
      </c>
      <c r="K28" s="1589">
        <f t="shared" si="1"/>
        <v>10</v>
      </c>
      <c r="L28" s="1590"/>
      <c r="M28" s="1590"/>
      <c r="N28" s="1590">
        <v>4</v>
      </c>
      <c r="O28" s="1590">
        <v>4</v>
      </c>
      <c r="P28" s="1590">
        <v>2</v>
      </c>
      <c r="Q28" s="1590"/>
      <c r="R28" s="1590"/>
      <c r="S28" s="1590">
        <v>0</v>
      </c>
      <c r="T28" s="1590"/>
      <c r="U28" s="1590"/>
      <c r="V28" s="1590"/>
      <c r="W28" s="1593"/>
      <c r="X28" s="1594"/>
    </row>
    <row r="29" spans="1:24" hidden="1" x14ac:dyDescent="0.25">
      <c r="A29" s="1612">
        <v>3</v>
      </c>
      <c r="B29" s="1330" t="s">
        <v>10246</v>
      </c>
      <c r="C29" s="1330">
        <v>5</v>
      </c>
      <c r="D29" s="1575" t="s">
        <v>10461</v>
      </c>
      <c r="E29" s="781" t="s">
        <v>10123</v>
      </c>
      <c r="F29" s="1333">
        <f>28500*12.9</f>
        <v>367650</v>
      </c>
      <c r="G29" s="1618"/>
      <c r="H29" s="1259">
        <f>F29*C29</f>
        <v>1838250</v>
      </c>
      <c r="I29" s="1602">
        <f>G29+H29</f>
        <v>1838250</v>
      </c>
      <c r="J29" s="1335" t="s">
        <v>10127</v>
      </c>
      <c r="K29" s="1589">
        <f t="shared" si="1"/>
        <v>5</v>
      </c>
      <c r="L29" s="1590"/>
      <c r="M29" s="1590"/>
      <c r="N29" s="1590">
        <v>5</v>
      </c>
      <c r="O29" s="1590"/>
      <c r="P29" s="1590"/>
      <c r="Q29" s="1590"/>
      <c r="R29" s="1590"/>
      <c r="S29" s="1590"/>
      <c r="T29" s="1590"/>
      <c r="U29" s="1590"/>
      <c r="V29" s="1590"/>
      <c r="W29" s="1593"/>
      <c r="X29" s="1594"/>
    </row>
    <row r="30" spans="1:24" x14ac:dyDescent="0.25">
      <c r="A30" s="1612">
        <v>4</v>
      </c>
      <c r="B30" s="1576" t="s">
        <v>10246</v>
      </c>
      <c r="C30" s="1330">
        <v>6</v>
      </c>
      <c r="D30" s="1577" t="s">
        <v>10462</v>
      </c>
      <c r="E30" s="781" t="s">
        <v>10123</v>
      </c>
      <c r="F30" s="1333">
        <f>45500*13</f>
        <v>591500</v>
      </c>
      <c r="G30" s="1618"/>
      <c r="H30" s="1259">
        <f>F30*C30</f>
        <v>3549000</v>
      </c>
      <c r="I30" s="1602">
        <f>G30+H30</f>
        <v>3549000</v>
      </c>
      <c r="J30" s="1335" t="s">
        <v>10127</v>
      </c>
      <c r="K30" s="1589">
        <f t="shared" si="1"/>
        <v>6</v>
      </c>
      <c r="L30" s="1590"/>
      <c r="M30" s="1590"/>
      <c r="N30" s="1590"/>
      <c r="O30" s="1590"/>
      <c r="P30" s="1590"/>
      <c r="Q30" s="1590">
        <v>1</v>
      </c>
      <c r="R30" s="1590">
        <v>5</v>
      </c>
      <c r="S30" s="1590"/>
      <c r="T30" s="1590"/>
      <c r="U30" s="1590"/>
      <c r="V30" s="1590"/>
      <c r="W30" s="1593"/>
      <c r="X30" s="1594"/>
    </row>
    <row r="31" spans="1:24" x14ac:dyDescent="0.25">
      <c r="A31" s="1612">
        <v>5</v>
      </c>
      <c r="B31" s="1576" t="s">
        <v>10246</v>
      </c>
      <c r="C31" s="1330">
        <v>3</v>
      </c>
      <c r="D31" s="1577" t="s">
        <v>10463</v>
      </c>
      <c r="E31" s="781" t="s">
        <v>10123</v>
      </c>
      <c r="F31" s="1333">
        <f>H31/3</f>
        <v>234000</v>
      </c>
      <c r="G31" s="1618"/>
      <c r="H31" s="1259">
        <f>702000</f>
        <v>702000</v>
      </c>
      <c r="I31" s="1602">
        <f>G31+H31</f>
        <v>702000</v>
      </c>
      <c r="J31" s="1335" t="s">
        <v>10127</v>
      </c>
      <c r="K31" s="1589">
        <f t="shared" si="1"/>
        <v>3</v>
      </c>
      <c r="L31" s="1590"/>
      <c r="M31" s="1590"/>
      <c r="N31" s="1590"/>
      <c r="O31" s="1590"/>
      <c r="P31" s="1590"/>
      <c r="Q31" s="1590">
        <v>3</v>
      </c>
      <c r="R31" s="1590"/>
      <c r="S31" s="1590"/>
      <c r="T31" s="1590"/>
      <c r="U31" s="1590"/>
      <c r="V31" s="1590"/>
      <c r="W31" s="1593"/>
      <c r="X31" s="1594"/>
    </row>
    <row r="32" spans="1:24" hidden="1" x14ac:dyDescent="0.25">
      <c r="A32" s="1612">
        <v>6</v>
      </c>
      <c r="B32" s="1330" t="s">
        <v>10246</v>
      </c>
      <c r="C32" s="1330">
        <v>1</v>
      </c>
      <c r="D32" s="781" t="s">
        <v>10125</v>
      </c>
      <c r="E32" s="781" t="s">
        <v>10126</v>
      </c>
      <c r="F32" s="1333">
        <f t="shared" si="0"/>
        <v>70000</v>
      </c>
      <c r="G32" s="1618">
        <v>70000</v>
      </c>
      <c r="H32" s="1259"/>
      <c r="I32" s="1602">
        <f t="shared" si="2"/>
        <v>70000</v>
      </c>
      <c r="J32" s="1335" t="s">
        <v>10174</v>
      </c>
      <c r="K32" s="1589">
        <f t="shared" si="1"/>
        <v>1</v>
      </c>
      <c r="L32" s="1590"/>
      <c r="M32" s="1590"/>
      <c r="N32" s="1590"/>
      <c r="O32" s="1590"/>
      <c r="P32" s="1590"/>
      <c r="Q32" s="1590"/>
      <c r="R32" s="1590"/>
      <c r="S32" s="1590"/>
      <c r="T32" s="1590">
        <v>1</v>
      </c>
      <c r="U32" s="1590"/>
      <c r="V32" s="1590"/>
      <c r="W32" s="1593"/>
      <c r="X32" s="1594"/>
    </row>
    <row r="33" spans="1:24" hidden="1" x14ac:dyDescent="0.25">
      <c r="A33" s="1612">
        <v>7</v>
      </c>
      <c r="B33" s="1330" t="s">
        <v>10246</v>
      </c>
      <c r="C33" s="1330">
        <v>1</v>
      </c>
      <c r="D33" s="781" t="s">
        <v>10227</v>
      </c>
      <c r="E33" s="781" t="s">
        <v>10126</v>
      </c>
      <c r="F33" s="1333">
        <f t="shared" si="0"/>
        <v>90000</v>
      </c>
      <c r="G33" s="1618"/>
      <c r="H33" s="1259">
        <v>90000</v>
      </c>
      <c r="I33" s="1602">
        <f t="shared" si="2"/>
        <v>90000</v>
      </c>
      <c r="J33" s="1335" t="s">
        <v>10172</v>
      </c>
      <c r="K33" s="1589">
        <f t="shared" si="1"/>
        <v>1</v>
      </c>
      <c r="L33" s="1590"/>
      <c r="M33" s="1590"/>
      <c r="N33" s="1590"/>
      <c r="O33" s="1590"/>
      <c r="P33" s="1590"/>
      <c r="Q33" s="1590"/>
      <c r="R33" s="1590"/>
      <c r="S33" s="1590"/>
      <c r="T33" s="1590">
        <v>1</v>
      </c>
      <c r="U33" s="1590"/>
      <c r="V33" s="1590"/>
      <c r="W33" s="1593"/>
      <c r="X33" s="1594"/>
    </row>
    <row r="34" spans="1:24" hidden="1" x14ac:dyDescent="0.25">
      <c r="A34" s="1612">
        <v>8</v>
      </c>
      <c r="B34" s="1330" t="s">
        <v>10246</v>
      </c>
      <c r="C34" s="1330">
        <v>1</v>
      </c>
      <c r="D34" s="781" t="s">
        <v>10228</v>
      </c>
      <c r="E34" s="781" t="s">
        <v>10126</v>
      </c>
      <c r="F34" s="1333">
        <f t="shared" si="0"/>
        <v>8000</v>
      </c>
      <c r="G34" s="1618"/>
      <c r="H34" s="1259">
        <v>8000</v>
      </c>
      <c r="I34" s="1602">
        <f t="shared" si="2"/>
        <v>8000</v>
      </c>
      <c r="J34" s="1335" t="s">
        <v>10172</v>
      </c>
      <c r="K34" s="1589">
        <f t="shared" si="1"/>
        <v>1</v>
      </c>
      <c r="L34" s="1590">
        <v>1</v>
      </c>
      <c r="M34" s="1590"/>
      <c r="N34" s="1590"/>
      <c r="O34" s="1590"/>
      <c r="P34" s="1590"/>
      <c r="Q34" s="1590"/>
      <c r="R34" s="1590"/>
      <c r="S34" s="1590"/>
      <c r="T34" s="1590"/>
      <c r="U34" s="1590"/>
      <c r="V34" s="1590"/>
      <c r="W34" s="1593"/>
      <c r="X34" s="1594"/>
    </row>
    <row r="35" spans="1:24" hidden="1" x14ac:dyDescent="0.25">
      <c r="A35" s="1612">
        <v>9</v>
      </c>
      <c r="B35" s="1330" t="s">
        <v>10246</v>
      </c>
      <c r="C35" s="1330">
        <v>1</v>
      </c>
      <c r="D35" s="781" t="s">
        <v>10229</v>
      </c>
      <c r="E35" s="781" t="s">
        <v>10034</v>
      </c>
      <c r="F35" s="1333">
        <f t="shared" si="0"/>
        <v>24000</v>
      </c>
      <c r="G35" s="1618"/>
      <c r="H35" s="1259">
        <v>24000</v>
      </c>
      <c r="I35" s="1602">
        <f t="shared" si="2"/>
        <v>24000</v>
      </c>
      <c r="J35" s="1335" t="s">
        <v>10172</v>
      </c>
      <c r="K35" s="1589">
        <f t="shared" si="1"/>
        <v>1</v>
      </c>
      <c r="L35" s="1590"/>
      <c r="M35" s="1590"/>
      <c r="N35" s="1590"/>
      <c r="O35" s="1590"/>
      <c r="P35" s="1590"/>
      <c r="Q35" s="1590"/>
      <c r="R35" s="1590"/>
      <c r="S35" s="1590"/>
      <c r="T35" s="1590">
        <v>1</v>
      </c>
      <c r="U35" s="1590"/>
      <c r="V35" s="1590"/>
      <c r="W35" s="1593"/>
      <c r="X35" s="1594"/>
    </row>
    <row r="36" spans="1:24" hidden="1" x14ac:dyDescent="0.25">
      <c r="A36" s="1612">
        <v>10</v>
      </c>
      <c r="B36" s="1330" t="s">
        <v>10246</v>
      </c>
      <c r="C36" s="1330">
        <v>1</v>
      </c>
      <c r="D36" s="781" t="s">
        <v>10230</v>
      </c>
      <c r="E36" s="781" t="s">
        <v>10126</v>
      </c>
      <c r="F36" s="1333">
        <f t="shared" si="0"/>
        <v>15000</v>
      </c>
      <c r="G36" s="1618"/>
      <c r="H36" s="1259">
        <v>15000</v>
      </c>
      <c r="I36" s="1602">
        <f t="shared" si="2"/>
        <v>15000</v>
      </c>
      <c r="J36" s="1335" t="s">
        <v>10172</v>
      </c>
      <c r="K36" s="1589">
        <f t="shared" si="1"/>
        <v>1</v>
      </c>
      <c r="L36" s="1590"/>
      <c r="M36" s="1590"/>
      <c r="N36" s="1590"/>
      <c r="O36" s="1590"/>
      <c r="P36" s="1590"/>
      <c r="Q36" s="1590"/>
      <c r="R36" s="1590"/>
      <c r="S36" s="1590"/>
      <c r="T36" s="1590">
        <v>1</v>
      </c>
      <c r="U36" s="1590"/>
      <c r="V36" s="1590"/>
      <c r="W36" s="1593"/>
      <c r="X36" s="1594"/>
    </row>
    <row r="37" spans="1:24" hidden="1" x14ac:dyDescent="0.25">
      <c r="A37" s="1612">
        <v>11</v>
      </c>
      <c r="B37" s="1330" t="s">
        <v>10246</v>
      </c>
      <c r="C37" s="1330">
        <v>1</v>
      </c>
      <c r="D37" s="781" t="s">
        <v>10231</v>
      </c>
      <c r="E37" s="781" t="s">
        <v>10126</v>
      </c>
      <c r="F37" s="1333">
        <f t="shared" si="0"/>
        <v>8500</v>
      </c>
      <c r="G37" s="1618"/>
      <c r="H37" s="1259">
        <v>8500</v>
      </c>
      <c r="I37" s="1602">
        <f t="shared" si="2"/>
        <v>8500</v>
      </c>
      <c r="J37" s="1335" t="s">
        <v>10172</v>
      </c>
      <c r="K37" s="1589">
        <f t="shared" si="1"/>
        <v>1</v>
      </c>
      <c r="L37" s="1590"/>
      <c r="M37" s="1590"/>
      <c r="N37" s="1590">
        <v>1</v>
      </c>
      <c r="O37" s="1590"/>
      <c r="P37" s="1590"/>
      <c r="Q37" s="1590"/>
      <c r="R37" s="1590"/>
      <c r="S37" s="1590"/>
      <c r="T37" s="1590"/>
      <c r="U37" s="1590"/>
      <c r="V37" s="1590"/>
      <c r="W37" s="1593"/>
      <c r="X37" s="1594"/>
    </row>
    <row r="38" spans="1:24" hidden="1" x14ac:dyDescent="0.25">
      <c r="A38" s="1612">
        <v>12</v>
      </c>
      <c r="B38" s="1330" t="s">
        <v>10246</v>
      </c>
      <c r="C38" s="1330">
        <v>1</v>
      </c>
      <c r="D38" s="781" t="s">
        <v>10218</v>
      </c>
      <c r="E38" s="781" t="s">
        <v>10034</v>
      </c>
      <c r="F38" s="1333">
        <f t="shared" si="0"/>
        <v>14000</v>
      </c>
      <c r="G38" s="1618"/>
      <c r="H38" s="1259">
        <v>14000</v>
      </c>
      <c r="I38" s="1602">
        <f t="shared" si="2"/>
        <v>14000</v>
      </c>
      <c r="J38" s="1335" t="s">
        <v>10170</v>
      </c>
      <c r="K38" s="1589">
        <f t="shared" si="1"/>
        <v>1</v>
      </c>
      <c r="L38" s="1590"/>
      <c r="M38" s="1590"/>
      <c r="N38" s="1590">
        <v>1</v>
      </c>
      <c r="O38" s="1590"/>
      <c r="P38" s="1590"/>
      <c r="Q38" s="1590"/>
      <c r="R38" s="1590"/>
      <c r="S38" s="1590"/>
      <c r="T38" s="1590"/>
      <c r="U38" s="1590"/>
      <c r="V38" s="1590"/>
      <c r="W38" s="1593"/>
      <c r="X38" s="1594"/>
    </row>
    <row r="39" spans="1:24" hidden="1" x14ac:dyDescent="0.25">
      <c r="A39" s="1612">
        <v>13</v>
      </c>
      <c r="B39" s="1330" t="s">
        <v>10246</v>
      </c>
      <c r="C39" s="1330">
        <v>1</v>
      </c>
      <c r="D39" s="781" t="s">
        <v>10128</v>
      </c>
      <c r="E39" s="781" t="s">
        <v>10126</v>
      </c>
      <c r="F39" s="1333">
        <f t="shared" si="0"/>
        <v>290000</v>
      </c>
      <c r="G39" s="1618"/>
      <c r="H39" s="1259">
        <v>290000</v>
      </c>
      <c r="I39" s="1602">
        <f>G39+H39</f>
        <v>290000</v>
      </c>
      <c r="J39" s="1335" t="s">
        <v>10170</v>
      </c>
      <c r="K39" s="1589">
        <f t="shared" si="1"/>
        <v>1</v>
      </c>
      <c r="L39" s="1590"/>
      <c r="M39" s="1590"/>
      <c r="N39" s="1590"/>
      <c r="O39" s="1590"/>
      <c r="P39" s="1590"/>
      <c r="Q39" s="1590">
        <v>1</v>
      </c>
      <c r="R39" s="1590"/>
      <c r="S39" s="1590"/>
      <c r="T39" s="1590"/>
      <c r="U39" s="1590"/>
      <c r="V39" s="1590"/>
      <c r="W39" s="1593"/>
      <c r="X39" s="1594"/>
    </row>
    <row r="40" spans="1:24" hidden="1" x14ac:dyDescent="0.25">
      <c r="A40" s="1612">
        <v>1</v>
      </c>
      <c r="B40" s="1330" t="s">
        <v>10247</v>
      </c>
      <c r="C40" s="1330">
        <v>8</v>
      </c>
      <c r="D40" s="781" t="s">
        <v>10232</v>
      </c>
      <c r="E40" s="781" t="s">
        <v>10123</v>
      </c>
      <c r="F40" s="1333">
        <f t="shared" si="0"/>
        <v>1212600</v>
      </c>
      <c r="G40" s="1618">
        <f>8*94000*12.9</f>
        <v>9700800</v>
      </c>
      <c r="H40" s="1259"/>
      <c r="I40" s="1602">
        <f t="shared" si="2"/>
        <v>9700800</v>
      </c>
      <c r="J40" s="1335" t="s">
        <v>10169</v>
      </c>
      <c r="K40" s="1589">
        <f t="shared" si="1"/>
        <v>8</v>
      </c>
      <c r="L40" s="1590"/>
      <c r="M40" s="1590"/>
      <c r="N40" s="1590"/>
      <c r="O40" s="1590"/>
      <c r="P40" s="1590">
        <v>8</v>
      </c>
      <c r="Q40" s="1590"/>
      <c r="R40" s="1590"/>
      <c r="S40" s="1590"/>
      <c r="T40" s="1590"/>
      <c r="U40" s="1590"/>
      <c r="V40" s="1590"/>
      <c r="W40" s="1593"/>
      <c r="X40" s="1594"/>
    </row>
    <row r="41" spans="1:24" hidden="1" x14ac:dyDescent="0.25">
      <c r="A41" s="1612">
        <v>2</v>
      </c>
      <c r="B41" s="1330" t="s">
        <v>10247</v>
      </c>
      <c r="C41" s="1330">
        <v>8</v>
      </c>
      <c r="D41" s="781" t="s">
        <v>10233</v>
      </c>
      <c r="E41" s="781" t="s">
        <v>10123</v>
      </c>
      <c r="F41" s="1333">
        <f t="shared" si="0"/>
        <v>93405</v>
      </c>
      <c r="G41" s="1618">
        <f>8*7185*13</f>
        <v>747240</v>
      </c>
      <c r="H41" s="1259"/>
      <c r="I41" s="1602">
        <f t="shared" si="2"/>
        <v>747240</v>
      </c>
      <c r="J41" s="1335" t="s">
        <v>10169</v>
      </c>
      <c r="K41" s="1589">
        <f t="shared" si="1"/>
        <v>8</v>
      </c>
      <c r="L41" s="1590"/>
      <c r="M41" s="1590"/>
      <c r="N41" s="1590">
        <v>2</v>
      </c>
      <c r="O41" s="1590">
        <v>2</v>
      </c>
      <c r="P41" s="1590">
        <v>4</v>
      </c>
      <c r="Q41" s="1590"/>
      <c r="R41" s="1590"/>
      <c r="S41" s="1590"/>
      <c r="T41" s="1590"/>
      <c r="U41" s="1590"/>
      <c r="V41" s="1590"/>
      <c r="W41" s="1593"/>
      <c r="X41" s="1594"/>
    </row>
    <row r="42" spans="1:24" hidden="1" x14ac:dyDescent="0.25">
      <c r="A42" s="1612">
        <v>3</v>
      </c>
      <c r="B42" s="1330" t="s">
        <v>10247</v>
      </c>
      <c r="C42" s="1330">
        <v>1</v>
      </c>
      <c r="D42" s="781" t="s">
        <v>10234</v>
      </c>
      <c r="E42" s="781" t="s">
        <v>10126</v>
      </c>
      <c r="F42" s="1333">
        <f t="shared" si="0"/>
        <v>150000</v>
      </c>
      <c r="G42" s="1618"/>
      <c r="H42" s="779">
        <v>150000</v>
      </c>
      <c r="I42" s="1602">
        <f t="shared" si="2"/>
        <v>150000</v>
      </c>
      <c r="J42" s="1335" t="s">
        <v>10174</v>
      </c>
      <c r="K42" s="1589">
        <f t="shared" si="1"/>
        <v>1</v>
      </c>
      <c r="L42" s="1590"/>
      <c r="M42" s="1590"/>
      <c r="N42" s="1590">
        <v>1</v>
      </c>
      <c r="O42" s="1590"/>
      <c r="P42" s="1590"/>
      <c r="Q42" s="1590"/>
      <c r="R42" s="1590"/>
      <c r="S42" s="1590"/>
      <c r="T42" s="1590"/>
      <c r="U42" s="1590"/>
      <c r="V42" s="1590"/>
      <c r="W42" s="1593"/>
      <c r="X42" s="1594"/>
    </row>
    <row r="43" spans="1:24" hidden="1" x14ac:dyDescent="0.25">
      <c r="A43" s="1612">
        <v>4</v>
      </c>
      <c r="B43" s="1330" t="s">
        <v>10247</v>
      </c>
      <c r="C43" s="1330">
        <v>1</v>
      </c>
      <c r="D43" s="781" t="s">
        <v>10230</v>
      </c>
      <c r="E43" s="781" t="s">
        <v>10126</v>
      </c>
      <c r="F43" s="1333">
        <f t="shared" si="0"/>
        <v>15000</v>
      </c>
      <c r="G43" s="1618"/>
      <c r="H43" s="1259">
        <v>15000</v>
      </c>
      <c r="I43" s="1602">
        <f t="shared" si="2"/>
        <v>15000</v>
      </c>
      <c r="J43" s="1335" t="s">
        <v>10172</v>
      </c>
      <c r="K43" s="1589">
        <f t="shared" si="1"/>
        <v>1</v>
      </c>
      <c r="L43" s="1590"/>
      <c r="M43" s="1590"/>
      <c r="N43" s="1590"/>
      <c r="O43" s="1590"/>
      <c r="P43" s="1590"/>
      <c r="Q43" s="1590"/>
      <c r="R43" s="1590">
        <v>1</v>
      </c>
      <c r="S43" s="1590"/>
      <c r="T43" s="1590"/>
      <c r="U43" s="1590"/>
      <c r="V43" s="1590"/>
      <c r="W43" s="1593"/>
      <c r="X43" s="1594"/>
    </row>
    <row r="44" spans="1:24" hidden="1" x14ac:dyDescent="0.25">
      <c r="A44" s="1612">
        <v>5</v>
      </c>
      <c r="B44" s="1330" t="s">
        <v>10247</v>
      </c>
      <c r="C44" s="1330">
        <v>1</v>
      </c>
      <c r="D44" s="781" t="s">
        <v>10235</v>
      </c>
      <c r="E44" s="781" t="s">
        <v>10126</v>
      </c>
      <c r="F44" s="1333">
        <f t="shared" si="0"/>
        <v>230000</v>
      </c>
      <c r="G44" s="1618">
        <v>230000</v>
      </c>
      <c r="H44" s="779"/>
      <c r="I44" s="1602">
        <f t="shared" si="2"/>
        <v>230000</v>
      </c>
      <c r="J44" s="1335" t="s">
        <v>10264</v>
      </c>
      <c r="K44" s="1589">
        <f t="shared" si="1"/>
        <v>1</v>
      </c>
      <c r="L44" s="1590"/>
      <c r="M44" s="1590"/>
      <c r="N44" s="1590"/>
      <c r="O44" s="1590"/>
      <c r="P44" s="1590"/>
      <c r="Q44" s="1590"/>
      <c r="R44" s="1590"/>
      <c r="S44" s="1590">
        <v>1</v>
      </c>
      <c r="T44" s="1590"/>
      <c r="U44" s="1590"/>
      <c r="V44" s="1590"/>
      <c r="W44" s="1593"/>
      <c r="X44" s="1594"/>
    </row>
    <row r="45" spans="1:24" hidden="1" x14ac:dyDescent="0.25">
      <c r="A45" s="1612">
        <v>6</v>
      </c>
      <c r="B45" s="1330" t="s">
        <v>10247</v>
      </c>
      <c r="C45" s="1330">
        <v>1</v>
      </c>
      <c r="D45" s="1318" t="s">
        <v>10236</v>
      </c>
      <c r="E45" s="781" t="s">
        <v>10126</v>
      </c>
      <c r="F45" s="1333">
        <f t="shared" si="0"/>
        <v>60000</v>
      </c>
      <c r="G45" s="1618"/>
      <c r="H45" s="779">
        <v>60000</v>
      </c>
      <c r="I45" s="1602">
        <f t="shared" si="2"/>
        <v>60000</v>
      </c>
      <c r="J45" s="1335" t="s">
        <v>10172</v>
      </c>
      <c r="K45" s="1589">
        <f t="shared" si="1"/>
        <v>1</v>
      </c>
      <c r="L45" s="1590"/>
      <c r="M45" s="1590"/>
      <c r="N45" s="1590"/>
      <c r="O45" s="1590"/>
      <c r="P45" s="1590"/>
      <c r="Q45" s="1590"/>
      <c r="R45" s="1590"/>
      <c r="S45" s="1590"/>
      <c r="T45" s="1590">
        <v>1</v>
      </c>
      <c r="U45" s="1590"/>
      <c r="V45" s="1590"/>
      <c r="W45" s="1593"/>
      <c r="X45" s="1594"/>
    </row>
    <row r="46" spans="1:24" hidden="1" x14ac:dyDescent="0.25">
      <c r="A46" s="1612">
        <v>7</v>
      </c>
      <c r="B46" s="1330" t="s">
        <v>10247</v>
      </c>
      <c r="C46" s="1330">
        <v>1</v>
      </c>
      <c r="D46" s="781" t="s">
        <v>10237</v>
      </c>
      <c r="E46" s="781" t="s">
        <v>10126</v>
      </c>
      <c r="F46" s="1333">
        <f t="shared" si="0"/>
        <v>35000</v>
      </c>
      <c r="G46" s="1618"/>
      <c r="H46" s="779">
        <v>35000</v>
      </c>
      <c r="I46" s="1602">
        <f t="shared" si="2"/>
        <v>35000</v>
      </c>
      <c r="J46" s="1335" t="s">
        <v>10172</v>
      </c>
      <c r="K46" s="1589">
        <f t="shared" si="1"/>
        <v>1</v>
      </c>
      <c r="L46" s="1590"/>
      <c r="M46" s="1590"/>
      <c r="N46" s="1590"/>
      <c r="O46" s="1590"/>
      <c r="P46" s="1590"/>
      <c r="Q46" s="1590"/>
      <c r="R46" s="1590"/>
      <c r="S46" s="1590"/>
      <c r="T46" s="1590">
        <v>1</v>
      </c>
      <c r="U46" s="1590"/>
      <c r="V46" s="1590"/>
      <c r="W46" s="1593"/>
      <c r="X46" s="1594"/>
    </row>
    <row r="47" spans="1:24" hidden="1" x14ac:dyDescent="0.25">
      <c r="A47" s="1612">
        <v>8</v>
      </c>
      <c r="B47" s="1330" t="s">
        <v>10247</v>
      </c>
      <c r="C47" s="1330">
        <v>1</v>
      </c>
      <c r="D47" s="781" t="s">
        <v>10238</v>
      </c>
      <c r="E47" s="781" t="s">
        <v>10126</v>
      </c>
      <c r="F47" s="1333">
        <f t="shared" si="0"/>
        <v>20000</v>
      </c>
      <c r="G47" s="1618"/>
      <c r="H47" s="779">
        <v>20000</v>
      </c>
      <c r="I47" s="1602">
        <f t="shared" si="2"/>
        <v>20000</v>
      </c>
      <c r="J47" s="1335" t="s">
        <v>10163</v>
      </c>
      <c r="K47" s="1589">
        <f t="shared" si="1"/>
        <v>1</v>
      </c>
      <c r="L47" s="1590">
        <v>1</v>
      </c>
      <c r="M47" s="1590"/>
      <c r="N47" s="1590"/>
      <c r="O47" s="1590"/>
      <c r="P47" s="1590"/>
      <c r="Q47" s="1590"/>
      <c r="R47" s="1590"/>
      <c r="S47" s="1590"/>
      <c r="T47" s="1590"/>
      <c r="U47" s="1590"/>
      <c r="V47" s="1590"/>
      <c r="W47" s="1593"/>
      <c r="X47" s="1594"/>
    </row>
    <row r="48" spans="1:24" hidden="1" x14ac:dyDescent="0.25">
      <c r="A48" s="1612">
        <v>9</v>
      </c>
      <c r="B48" s="1330" t="s">
        <v>10247</v>
      </c>
      <c r="C48" s="1330">
        <v>1</v>
      </c>
      <c r="D48" s="781" t="s">
        <v>10239</v>
      </c>
      <c r="E48" s="781" t="s">
        <v>10126</v>
      </c>
      <c r="F48" s="1333">
        <f t="shared" si="0"/>
        <v>7000</v>
      </c>
      <c r="G48" s="1618"/>
      <c r="H48" s="779">
        <v>7000</v>
      </c>
      <c r="I48" s="1602">
        <f t="shared" si="2"/>
        <v>7000</v>
      </c>
      <c r="J48" s="1335" t="s">
        <v>10172</v>
      </c>
      <c r="K48" s="1589">
        <f t="shared" si="1"/>
        <v>1</v>
      </c>
      <c r="L48" s="1590"/>
      <c r="M48" s="1590"/>
      <c r="N48" s="1590">
        <v>1</v>
      </c>
      <c r="O48" s="1590"/>
      <c r="P48" s="1590"/>
      <c r="Q48" s="1590"/>
      <c r="R48" s="1590"/>
      <c r="S48" s="1590"/>
      <c r="T48" s="1590"/>
      <c r="U48" s="1590"/>
      <c r="V48" s="1590"/>
      <c r="W48" s="1593"/>
      <c r="X48" s="1594"/>
    </row>
    <row r="49" spans="1:24" hidden="1" x14ac:dyDescent="0.25">
      <c r="A49" s="1612">
        <v>10</v>
      </c>
      <c r="B49" s="1330" t="s">
        <v>10247</v>
      </c>
      <c r="C49" s="1330">
        <v>1</v>
      </c>
      <c r="D49" s="781" t="s">
        <v>10128</v>
      </c>
      <c r="E49" s="781" t="s">
        <v>10126</v>
      </c>
      <c r="F49" s="1333">
        <f t="shared" si="0"/>
        <v>26300</v>
      </c>
      <c r="G49" s="1618"/>
      <c r="H49" s="1259">
        <f>8700+10000+7600</f>
        <v>26300</v>
      </c>
      <c r="I49" s="1602">
        <f t="shared" si="2"/>
        <v>26300</v>
      </c>
      <c r="J49" s="1335" t="s">
        <v>10170</v>
      </c>
      <c r="K49" s="1589">
        <f t="shared" si="1"/>
        <v>1</v>
      </c>
      <c r="L49" s="1590"/>
      <c r="M49" s="1590"/>
      <c r="N49" s="1590"/>
      <c r="O49" s="1590"/>
      <c r="P49" s="1590"/>
      <c r="Q49" s="1590"/>
      <c r="R49" s="1590"/>
      <c r="S49" s="1590">
        <v>1</v>
      </c>
      <c r="T49" s="1590"/>
      <c r="U49" s="1590"/>
      <c r="V49" s="1590"/>
      <c r="W49" s="1593"/>
      <c r="X49" s="1594"/>
    </row>
    <row r="50" spans="1:24" hidden="1" x14ac:dyDescent="0.25">
      <c r="A50" s="1612">
        <v>11</v>
      </c>
      <c r="B50" s="1330" t="s">
        <v>10247</v>
      </c>
      <c r="C50" s="1330">
        <v>1</v>
      </c>
      <c r="D50" s="781" t="s">
        <v>10224</v>
      </c>
      <c r="E50" s="781" t="s">
        <v>10034</v>
      </c>
      <c r="F50" s="1333">
        <f t="shared" si="0"/>
        <v>10000</v>
      </c>
      <c r="G50" s="1618"/>
      <c r="H50" s="1259">
        <v>10000</v>
      </c>
      <c r="I50" s="1602">
        <f t="shared" si="2"/>
        <v>10000</v>
      </c>
      <c r="J50" s="1335" t="s">
        <v>10170</v>
      </c>
      <c r="K50" s="1589">
        <f t="shared" si="1"/>
        <v>1</v>
      </c>
      <c r="L50" s="1590"/>
      <c r="M50" s="1590"/>
      <c r="N50" s="1590">
        <v>1</v>
      </c>
      <c r="O50" s="1590"/>
      <c r="P50" s="1590"/>
      <c r="Q50" s="1590"/>
      <c r="R50" s="1590"/>
      <c r="S50" s="1590"/>
      <c r="T50" s="1590"/>
      <c r="U50" s="1590"/>
      <c r="V50" s="1590"/>
      <c r="W50" s="1593"/>
      <c r="X50" s="1594"/>
    </row>
    <row r="51" spans="1:24" hidden="1" x14ac:dyDescent="0.25">
      <c r="A51" s="1612">
        <v>1</v>
      </c>
      <c r="B51" s="1330" t="s">
        <v>10248</v>
      </c>
      <c r="C51" s="1330">
        <v>1</v>
      </c>
      <c r="D51" s="781" t="s">
        <v>10240</v>
      </c>
      <c r="E51" s="1321" t="s">
        <v>10241</v>
      </c>
      <c r="F51" s="1333">
        <f t="shared" si="0"/>
        <v>45000</v>
      </c>
      <c r="G51" s="1629"/>
      <c r="H51" s="1603">
        <v>45000</v>
      </c>
      <c r="I51" s="1604">
        <f t="shared" ref="I51:I52" si="4">G51+H51</f>
        <v>45000</v>
      </c>
      <c r="J51" s="1332" t="s">
        <v>10163</v>
      </c>
      <c r="K51" s="1589">
        <f t="shared" si="1"/>
        <v>1</v>
      </c>
      <c r="L51" s="1590">
        <v>1</v>
      </c>
      <c r="M51" s="1590"/>
      <c r="N51" s="1590"/>
      <c r="O51" s="1590"/>
      <c r="P51" s="1590"/>
      <c r="Q51" s="1590"/>
      <c r="R51" s="1590"/>
      <c r="S51" s="1590"/>
      <c r="T51" s="1590"/>
      <c r="U51" s="1590"/>
      <c r="V51" s="1590"/>
      <c r="W51" s="1593"/>
      <c r="X51" s="1594"/>
    </row>
    <row r="52" spans="1:24" hidden="1" x14ac:dyDescent="0.25">
      <c r="A52" s="1612">
        <v>2</v>
      </c>
      <c r="B52" s="1330" t="s">
        <v>10248</v>
      </c>
      <c r="C52" s="1330">
        <v>1</v>
      </c>
      <c r="D52" s="781" t="s">
        <v>10242</v>
      </c>
      <c r="E52" s="1321" t="s">
        <v>10034</v>
      </c>
      <c r="F52" s="1333">
        <f t="shared" si="0"/>
        <v>4500</v>
      </c>
      <c r="G52" s="1629"/>
      <c r="H52" s="1603">
        <v>4500</v>
      </c>
      <c r="I52" s="1604">
        <f t="shared" si="4"/>
        <v>4500</v>
      </c>
      <c r="J52" s="1332" t="s">
        <v>10121</v>
      </c>
      <c r="K52" s="1589">
        <f t="shared" si="1"/>
        <v>1</v>
      </c>
      <c r="L52" s="1590">
        <v>1</v>
      </c>
      <c r="M52" s="1590"/>
      <c r="N52" s="1590"/>
      <c r="O52" s="1590"/>
      <c r="P52" s="1590"/>
      <c r="Q52" s="1590"/>
      <c r="R52" s="1590"/>
      <c r="S52" s="1590"/>
      <c r="T52" s="1590"/>
      <c r="U52" s="1590"/>
      <c r="V52" s="1590"/>
      <c r="W52" s="1593"/>
      <c r="X52" s="1594"/>
    </row>
    <row r="53" spans="1:24" ht="15.75" hidden="1" thickBot="1" x14ac:dyDescent="0.3">
      <c r="A53" s="1617"/>
      <c r="B53" s="1324"/>
      <c r="C53" s="1324"/>
      <c r="D53" s="1325"/>
      <c r="E53" s="1325"/>
      <c r="F53" s="1437"/>
      <c r="G53" s="1619"/>
      <c r="H53" s="1605"/>
      <c r="I53" s="1606"/>
      <c r="J53" s="781"/>
      <c r="K53" s="1584"/>
      <c r="L53" s="1584"/>
      <c r="M53" s="1584"/>
      <c r="N53" s="1584"/>
      <c r="O53" s="1584"/>
      <c r="P53" s="1584"/>
      <c r="Q53" s="1584"/>
      <c r="R53" s="1584"/>
      <c r="S53" s="1584"/>
      <c r="T53" s="1584"/>
      <c r="U53" s="1584"/>
      <c r="V53" s="1584"/>
      <c r="W53" s="1592"/>
      <c r="X53" s="1594"/>
    </row>
    <row r="54" spans="1:24" hidden="1" x14ac:dyDescent="0.25">
      <c r="A54" s="1312"/>
      <c r="B54" s="1312"/>
      <c r="C54" s="1312"/>
      <c r="G54" s="779"/>
      <c r="H54" s="779"/>
      <c r="I54" s="779"/>
      <c r="J54" s="781"/>
      <c r="K54" s="781"/>
      <c r="L54" s="781"/>
      <c r="M54" s="781"/>
      <c r="N54" s="781"/>
      <c r="O54" s="781"/>
      <c r="P54" s="781"/>
      <c r="Q54" s="781"/>
      <c r="R54" s="781"/>
      <c r="S54" s="781"/>
      <c r="T54" s="781"/>
      <c r="U54" s="781"/>
      <c r="V54" s="781"/>
      <c r="W54" s="781"/>
      <c r="X54" s="781"/>
    </row>
    <row r="55" spans="1:24" ht="15.75" hidden="1" thickBot="1" x14ac:dyDescent="0.3">
      <c r="A55" s="1581"/>
      <c r="B55" s="1582" t="s">
        <v>10246</v>
      </c>
      <c r="C55" s="1583" t="s">
        <v>10465</v>
      </c>
      <c r="D55" s="1584"/>
      <c r="E55" s="1584"/>
      <c r="G55" s="1607"/>
      <c r="H55" s="1607"/>
      <c r="I55" s="1607"/>
      <c r="J55" s="781"/>
      <c r="K55" s="781"/>
      <c r="L55" s="781"/>
      <c r="M55" s="781"/>
      <c r="N55" s="781"/>
      <c r="O55" s="781"/>
      <c r="P55" s="781"/>
      <c r="Q55" s="781"/>
      <c r="R55" s="781"/>
      <c r="S55" s="781"/>
      <c r="T55" s="781"/>
      <c r="U55" s="781"/>
      <c r="V55" s="781"/>
      <c r="W55" s="781"/>
      <c r="X55" s="781"/>
    </row>
    <row r="56" spans="1:24" ht="15.75" hidden="1" thickTop="1" x14ac:dyDescent="0.25">
      <c r="A56" s="1625">
        <v>1</v>
      </c>
      <c r="B56" s="1578" t="s">
        <v>10244</v>
      </c>
      <c r="C56" s="1578">
        <v>1</v>
      </c>
      <c r="D56" s="1751" t="s">
        <v>10687</v>
      </c>
      <c r="E56" s="1579" t="s">
        <v>10216</v>
      </c>
      <c r="F56" s="1747">
        <f>I56/C56</f>
        <v>1212600</v>
      </c>
      <c r="G56" s="1746">
        <f>1*94000*12.9</f>
        <v>1212600</v>
      </c>
      <c r="H56" s="1608"/>
      <c r="I56" s="1609">
        <f>G56+H56</f>
        <v>1212600</v>
      </c>
      <c r="J56" s="1331" t="s">
        <v>10169</v>
      </c>
      <c r="K56" s="1595">
        <f>SUM(L56:W56)</f>
        <v>1212600</v>
      </c>
      <c r="L56" s="1580">
        <f t="shared" ref="L56:W56" si="5">L12*$F56</f>
        <v>0</v>
      </c>
      <c r="M56" s="1580">
        <f t="shared" si="5"/>
        <v>0</v>
      </c>
      <c r="N56" s="1580">
        <f t="shared" si="5"/>
        <v>1212600</v>
      </c>
      <c r="O56" s="1580">
        <f t="shared" si="5"/>
        <v>0</v>
      </c>
      <c r="P56" s="1580">
        <f t="shared" si="5"/>
        <v>0</v>
      </c>
      <c r="Q56" s="1580">
        <f t="shared" si="5"/>
        <v>0</v>
      </c>
      <c r="R56" s="1580">
        <f t="shared" si="5"/>
        <v>0</v>
      </c>
      <c r="S56" s="1580">
        <f t="shared" si="5"/>
        <v>0</v>
      </c>
      <c r="T56" s="1580">
        <f t="shared" si="5"/>
        <v>0</v>
      </c>
      <c r="U56" s="1580">
        <f t="shared" si="5"/>
        <v>0</v>
      </c>
      <c r="V56" s="1580">
        <f t="shared" si="5"/>
        <v>0</v>
      </c>
      <c r="W56" s="1596">
        <f t="shared" si="5"/>
        <v>0</v>
      </c>
      <c r="X56" s="781"/>
    </row>
    <row r="57" spans="1:24" hidden="1" x14ac:dyDescent="0.25">
      <c r="A57" s="1612">
        <v>2</v>
      </c>
      <c r="B57" s="1613" t="s">
        <v>10244</v>
      </c>
      <c r="C57" s="1613">
        <v>7</v>
      </c>
      <c r="D57" s="780" t="s">
        <v>10217</v>
      </c>
      <c r="E57" s="780" t="s">
        <v>10123</v>
      </c>
      <c r="F57" s="1748">
        <f t="shared" ref="F57" si="6">I57/C57</f>
        <v>93405</v>
      </c>
      <c r="G57" s="1259">
        <f>7*7185*13</f>
        <v>653835</v>
      </c>
      <c r="H57" s="1259"/>
      <c r="I57" s="1602">
        <f>G57+H57</f>
        <v>653835</v>
      </c>
      <c r="J57" s="1331" t="s">
        <v>10169</v>
      </c>
      <c r="K57" s="1597">
        <f t="shared" ref="K57:K94" si="7">SUM(L57:W57)</f>
        <v>653835</v>
      </c>
      <c r="L57" s="1590">
        <f t="shared" ref="L57:W57" si="8">L13*$F57</f>
        <v>0</v>
      </c>
      <c r="M57" s="1590">
        <f t="shared" si="8"/>
        <v>560430</v>
      </c>
      <c r="N57" s="1590">
        <f t="shared" si="8"/>
        <v>93405</v>
      </c>
      <c r="O57" s="1590">
        <f t="shared" si="8"/>
        <v>0</v>
      </c>
      <c r="P57" s="1590">
        <f t="shared" si="8"/>
        <v>0</v>
      </c>
      <c r="Q57" s="1590">
        <f t="shared" si="8"/>
        <v>0</v>
      </c>
      <c r="R57" s="1590">
        <f t="shared" si="8"/>
        <v>0</v>
      </c>
      <c r="S57" s="1590">
        <f t="shared" si="8"/>
        <v>0</v>
      </c>
      <c r="T57" s="1590">
        <f t="shared" si="8"/>
        <v>0</v>
      </c>
      <c r="U57" s="1590">
        <f t="shared" si="8"/>
        <v>0</v>
      </c>
      <c r="V57" s="1590">
        <f t="shared" si="8"/>
        <v>0</v>
      </c>
      <c r="W57" s="1593">
        <f t="shared" si="8"/>
        <v>0</v>
      </c>
      <c r="X57" s="781"/>
    </row>
    <row r="58" spans="1:24" hidden="1" x14ac:dyDescent="0.25">
      <c r="A58" s="1612">
        <v>3</v>
      </c>
      <c r="B58" s="1613" t="s">
        <v>10244</v>
      </c>
      <c r="C58" s="1613">
        <v>5</v>
      </c>
      <c r="D58" s="1614" t="s">
        <v>10458</v>
      </c>
      <c r="E58" s="780" t="s">
        <v>10123</v>
      </c>
      <c r="F58" s="1748">
        <f>28500*12.9</f>
        <v>367650</v>
      </c>
      <c r="G58" s="1259"/>
      <c r="H58" s="1259">
        <f>1838250</f>
        <v>1838250</v>
      </c>
      <c r="I58" s="1602">
        <f t="shared" ref="I58:I71" si="9">G58+H58</f>
        <v>1838250</v>
      </c>
      <c r="J58" s="1331" t="s">
        <v>10127</v>
      </c>
      <c r="K58" s="1597">
        <f t="shared" si="7"/>
        <v>1838250</v>
      </c>
      <c r="L58" s="1590">
        <f t="shared" ref="L58:W58" si="10">L14*$F58</f>
        <v>1838250</v>
      </c>
      <c r="M58" s="1590">
        <f t="shared" si="10"/>
        <v>0</v>
      </c>
      <c r="N58" s="1590">
        <f t="shared" si="10"/>
        <v>0</v>
      </c>
      <c r="O58" s="1590">
        <f t="shared" si="10"/>
        <v>0</v>
      </c>
      <c r="P58" s="1590">
        <f t="shared" si="10"/>
        <v>0</v>
      </c>
      <c r="Q58" s="1590">
        <f t="shared" si="10"/>
        <v>0</v>
      </c>
      <c r="R58" s="1590">
        <f t="shared" si="10"/>
        <v>0</v>
      </c>
      <c r="S58" s="1590">
        <f t="shared" si="10"/>
        <v>0</v>
      </c>
      <c r="T58" s="1590">
        <f t="shared" si="10"/>
        <v>0</v>
      </c>
      <c r="U58" s="1590">
        <f t="shared" si="10"/>
        <v>0</v>
      </c>
      <c r="V58" s="1590">
        <f t="shared" si="10"/>
        <v>0</v>
      </c>
      <c r="W58" s="1593">
        <f t="shared" si="10"/>
        <v>0</v>
      </c>
      <c r="X58" s="781"/>
    </row>
    <row r="59" spans="1:24" x14ac:dyDescent="0.25">
      <c r="A59" s="1612">
        <v>4</v>
      </c>
      <c r="B59" s="1613" t="s">
        <v>10244</v>
      </c>
      <c r="C59" s="1613">
        <v>4</v>
      </c>
      <c r="D59" s="1614" t="s">
        <v>10457</v>
      </c>
      <c r="E59" s="780" t="s">
        <v>10123</v>
      </c>
      <c r="F59" s="1748">
        <f>45500*13</f>
        <v>591500</v>
      </c>
      <c r="G59" s="1259"/>
      <c r="H59" s="1259">
        <v>2366000</v>
      </c>
      <c r="I59" s="1602">
        <f t="shared" si="9"/>
        <v>2366000</v>
      </c>
      <c r="J59" s="1577" t="s">
        <v>10127</v>
      </c>
      <c r="K59" s="1597">
        <f t="shared" si="7"/>
        <v>2366000</v>
      </c>
      <c r="L59" s="1590">
        <f t="shared" ref="L59:W59" si="11">L15*$F59</f>
        <v>0</v>
      </c>
      <c r="M59" s="1590">
        <f t="shared" si="11"/>
        <v>0</v>
      </c>
      <c r="N59" s="1590">
        <f t="shared" si="11"/>
        <v>0</v>
      </c>
      <c r="O59" s="1590">
        <f t="shared" si="11"/>
        <v>0</v>
      </c>
      <c r="P59" s="1590">
        <f t="shared" si="11"/>
        <v>0</v>
      </c>
      <c r="Q59" s="1590">
        <f t="shared" si="11"/>
        <v>2366000</v>
      </c>
      <c r="R59" s="1590">
        <f t="shared" si="11"/>
        <v>0</v>
      </c>
      <c r="S59" s="1590">
        <f t="shared" si="11"/>
        <v>0</v>
      </c>
      <c r="T59" s="1590">
        <f t="shared" si="11"/>
        <v>0</v>
      </c>
      <c r="U59" s="1590">
        <f t="shared" si="11"/>
        <v>0</v>
      </c>
      <c r="V59" s="1590">
        <f t="shared" si="11"/>
        <v>0</v>
      </c>
      <c r="W59" s="1593">
        <f t="shared" si="11"/>
        <v>0</v>
      </c>
      <c r="X59" s="781"/>
    </row>
    <row r="60" spans="1:24" x14ac:dyDescent="0.25">
      <c r="A60" s="1612">
        <v>5</v>
      </c>
      <c r="B60" s="1613" t="s">
        <v>10244</v>
      </c>
      <c r="C60" s="1613">
        <v>2</v>
      </c>
      <c r="D60" s="1614" t="s">
        <v>10459</v>
      </c>
      <c r="E60" s="1588" t="s">
        <v>10123</v>
      </c>
      <c r="F60" s="1748">
        <f>18000*13</f>
        <v>234000</v>
      </c>
      <c r="G60" s="1259"/>
      <c r="H60" s="1259">
        <f>F60*C60</f>
        <v>468000</v>
      </c>
      <c r="I60" s="1602">
        <f t="shared" si="9"/>
        <v>468000</v>
      </c>
      <c r="J60" s="1577" t="s">
        <v>10127</v>
      </c>
      <c r="K60" s="1597">
        <f t="shared" si="7"/>
        <v>468000</v>
      </c>
      <c r="L60" s="1590">
        <f t="shared" ref="L60:W60" si="12">L16*$F60</f>
        <v>0</v>
      </c>
      <c r="M60" s="1590">
        <f t="shared" si="12"/>
        <v>0</v>
      </c>
      <c r="N60" s="1590">
        <f t="shared" si="12"/>
        <v>0</v>
      </c>
      <c r="O60" s="1590">
        <f t="shared" si="12"/>
        <v>0</v>
      </c>
      <c r="P60" s="1590">
        <f t="shared" si="12"/>
        <v>0</v>
      </c>
      <c r="Q60" s="1590">
        <f t="shared" si="12"/>
        <v>468000</v>
      </c>
      <c r="R60" s="1590">
        <f t="shared" si="12"/>
        <v>0</v>
      </c>
      <c r="S60" s="1590">
        <f t="shared" si="12"/>
        <v>0</v>
      </c>
      <c r="T60" s="1590">
        <f t="shared" si="12"/>
        <v>0</v>
      </c>
      <c r="U60" s="1590">
        <f t="shared" si="12"/>
        <v>0</v>
      </c>
      <c r="V60" s="1590">
        <f t="shared" si="12"/>
        <v>0</v>
      </c>
      <c r="W60" s="1593">
        <f t="shared" si="12"/>
        <v>0</v>
      </c>
      <c r="X60" s="781"/>
    </row>
    <row r="61" spans="1:24" hidden="1" x14ac:dyDescent="0.25">
      <c r="A61" s="1612">
        <v>6</v>
      </c>
      <c r="B61" s="1613" t="s">
        <v>10244</v>
      </c>
      <c r="C61" s="1613">
        <v>1</v>
      </c>
      <c r="D61" s="780" t="s">
        <v>10122</v>
      </c>
      <c r="E61" s="780" t="s">
        <v>10123</v>
      </c>
      <c r="F61" s="1748">
        <f t="shared" ref="F61:F63" si="13">I61/C61</f>
        <v>500000</v>
      </c>
      <c r="G61" s="1259">
        <v>500000</v>
      </c>
      <c r="H61" s="1259"/>
      <c r="I61" s="1602">
        <f t="shared" si="9"/>
        <v>500000</v>
      </c>
      <c r="J61" s="1335" t="s">
        <v>10174</v>
      </c>
      <c r="K61" s="1597">
        <f t="shared" si="7"/>
        <v>500000</v>
      </c>
      <c r="L61" s="1590">
        <f t="shared" ref="L61:W61" si="14">L17*$F61</f>
        <v>0</v>
      </c>
      <c r="M61" s="1590">
        <f t="shared" si="14"/>
        <v>0</v>
      </c>
      <c r="N61" s="1590">
        <f t="shared" si="14"/>
        <v>0</v>
      </c>
      <c r="O61" s="1590">
        <f t="shared" si="14"/>
        <v>0</v>
      </c>
      <c r="P61" s="1590">
        <f t="shared" si="14"/>
        <v>0</v>
      </c>
      <c r="Q61" s="1590">
        <f t="shared" si="14"/>
        <v>0</v>
      </c>
      <c r="R61" s="1590">
        <f t="shared" si="14"/>
        <v>0</v>
      </c>
      <c r="S61" s="1590">
        <f t="shared" si="14"/>
        <v>500000</v>
      </c>
      <c r="T61" s="1590">
        <f t="shared" si="14"/>
        <v>0</v>
      </c>
      <c r="U61" s="1590">
        <f t="shared" si="14"/>
        <v>0</v>
      </c>
      <c r="V61" s="1590">
        <f t="shared" si="14"/>
        <v>0</v>
      </c>
      <c r="W61" s="1593">
        <f t="shared" si="14"/>
        <v>0</v>
      </c>
      <c r="X61" s="781"/>
    </row>
    <row r="62" spans="1:24" hidden="1" x14ac:dyDescent="0.25">
      <c r="A62" s="1612">
        <v>7</v>
      </c>
      <c r="B62" s="1613" t="s">
        <v>10244</v>
      </c>
      <c r="C62" s="1613">
        <v>1</v>
      </c>
      <c r="D62" s="780" t="s">
        <v>10218</v>
      </c>
      <c r="E62" s="780" t="s">
        <v>10034</v>
      </c>
      <c r="F62" s="1748">
        <f t="shared" si="13"/>
        <v>14000</v>
      </c>
      <c r="G62" s="1259"/>
      <c r="H62" s="1259">
        <v>14000</v>
      </c>
      <c r="I62" s="1602">
        <f t="shared" si="9"/>
        <v>14000</v>
      </c>
      <c r="J62" s="1335" t="s">
        <v>10170</v>
      </c>
      <c r="K62" s="1597">
        <f t="shared" si="7"/>
        <v>14000</v>
      </c>
      <c r="L62" s="1590">
        <f t="shared" ref="L62:W62" si="15">L18*$F62</f>
        <v>14000</v>
      </c>
      <c r="M62" s="1590">
        <f t="shared" si="15"/>
        <v>0</v>
      </c>
      <c r="N62" s="1590">
        <f t="shared" si="15"/>
        <v>0</v>
      </c>
      <c r="O62" s="1590">
        <f t="shared" si="15"/>
        <v>0</v>
      </c>
      <c r="P62" s="1590">
        <f t="shared" si="15"/>
        <v>0</v>
      </c>
      <c r="Q62" s="1590">
        <f t="shared" si="15"/>
        <v>0</v>
      </c>
      <c r="R62" s="1590">
        <f t="shared" si="15"/>
        <v>0</v>
      </c>
      <c r="S62" s="1590">
        <f t="shared" si="15"/>
        <v>0</v>
      </c>
      <c r="T62" s="1590">
        <f t="shared" si="15"/>
        <v>0</v>
      </c>
      <c r="U62" s="1590">
        <f t="shared" si="15"/>
        <v>0</v>
      </c>
      <c r="V62" s="1590">
        <f t="shared" si="15"/>
        <v>0</v>
      </c>
      <c r="W62" s="1593">
        <f t="shared" si="15"/>
        <v>0</v>
      </c>
      <c r="X62" s="781"/>
    </row>
    <row r="63" spans="1:24" hidden="1" x14ac:dyDescent="0.25">
      <c r="A63" s="1612">
        <v>8</v>
      </c>
      <c r="B63" s="1613" t="s">
        <v>10244</v>
      </c>
      <c r="C63" s="1613">
        <v>1</v>
      </c>
      <c r="D63" s="780" t="s">
        <v>10219</v>
      </c>
      <c r="E63" s="780" t="s">
        <v>10123</v>
      </c>
      <c r="F63" s="1748">
        <f t="shared" si="13"/>
        <v>350000</v>
      </c>
      <c r="G63" s="1259"/>
      <c r="H63" s="1259">
        <v>350000</v>
      </c>
      <c r="I63" s="1602">
        <f t="shared" si="9"/>
        <v>350000</v>
      </c>
      <c r="J63" s="1335" t="s">
        <v>10172</v>
      </c>
      <c r="K63" s="1597">
        <f t="shared" si="7"/>
        <v>350000</v>
      </c>
      <c r="L63" s="1590">
        <f t="shared" ref="L63:W63" si="16">L19*$F63</f>
        <v>0</v>
      </c>
      <c r="M63" s="1590">
        <f t="shared" si="16"/>
        <v>0</v>
      </c>
      <c r="N63" s="1590">
        <f t="shared" si="16"/>
        <v>0</v>
      </c>
      <c r="O63" s="1590">
        <f t="shared" si="16"/>
        <v>0</v>
      </c>
      <c r="P63" s="1590">
        <f t="shared" si="16"/>
        <v>350000</v>
      </c>
      <c r="Q63" s="1590">
        <f t="shared" si="16"/>
        <v>0</v>
      </c>
      <c r="R63" s="1590">
        <f t="shared" si="16"/>
        <v>0</v>
      </c>
      <c r="S63" s="1590">
        <f t="shared" si="16"/>
        <v>0</v>
      </c>
      <c r="T63" s="1590">
        <f t="shared" si="16"/>
        <v>0</v>
      </c>
      <c r="U63" s="1590">
        <f t="shared" si="16"/>
        <v>0</v>
      </c>
      <c r="V63" s="1590">
        <f t="shared" si="16"/>
        <v>0</v>
      </c>
      <c r="W63" s="1593">
        <f t="shared" si="16"/>
        <v>0</v>
      </c>
      <c r="X63" s="781"/>
    </row>
    <row r="64" spans="1:24" hidden="1" x14ac:dyDescent="0.25">
      <c r="A64" s="1612">
        <v>9</v>
      </c>
      <c r="B64" s="1613" t="s">
        <v>10244</v>
      </c>
      <c r="C64" s="1613">
        <v>1</v>
      </c>
      <c r="D64" s="1614" t="s">
        <v>10460</v>
      </c>
      <c r="E64" s="780" t="s">
        <v>10123</v>
      </c>
      <c r="F64" s="1748">
        <v>1200000</v>
      </c>
      <c r="G64" s="1259"/>
      <c r="H64" s="1259">
        <v>1200000</v>
      </c>
      <c r="I64" s="1602">
        <f t="shared" si="9"/>
        <v>1200000</v>
      </c>
      <c r="J64" s="1335" t="s">
        <v>10174</v>
      </c>
      <c r="K64" s="1597">
        <f t="shared" si="7"/>
        <v>1200000</v>
      </c>
      <c r="L64" s="1590">
        <f t="shared" ref="L64:W64" si="17">L20*$F64</f>
        <v>0</v>
      </c>
      <c r="M64" s="1590">
        <f t="shared" si="17"/>
        <v>0</v>
      </c>
      <c r="N64" s="1590">
        <f t="shared" si="17"/>
        <v>0</v>
      </c>
      <c r="O64" s="1590">
        <f t="shared" si="17"/>
        <v>0</v>
      </c>
      <c r="P64" s="1590">
        <f t="shared" si="17"/>
        <v>0</v>
      </c>
      <c r="Q64" s="1590">
        <f t="shared" si="17"/>
        <v>0</v>
      </c>
      <c r="R64" s="1590">
        <f t="shared" si="17"/>
        <v>600000</v>
      </c>
      <c r="S64" s="1590">
        <f t="shared" si="17"/>
        <v>600000</v>
      </c>
      <c r="T64" s="1590">
        <f t="shared" si="17"/>
        <v>0</v>
      </c>
      <c r="U64" s="1590">
        <f t="shared" si="17"/>
        <v>0</v>
      </c>
      <c r="V64" s="1590">
        <f t="shared" si="17"/>
        <v>0</v>
      </c>
      <c r="W64" s="1593">
        <f t="shared" si="17"/>
        <v>0</v>
      </c>
      <c r="X64" s="781"/>
    </row>
    <row r="65" spans="1:24" hidden="1" x14ac:dyDescent="0.25">
      <c r="A65" s="1612">
        <v>10</v>
      </c>
      <c r="B65" s="1623" t="s">
        <v>10244</v>
      </c>
      <c r="C65" s="1613">
        <v>1</v>
      </c>
      <c r="D65" s="1588" t="s">
        <v>10358</v>
      </c>
      <c r="E65" s="1588" t="s">
        <v>10123</v>
      </c>
      <c r="F65" s="1748">
        <v>300000</v>
      </c>
      <c r="G65" s="1259">
        <v>300000</v>
      </c>
      <c r="H65" s="1259"/>
      <c r="I65" s="1602">
        <f t="shared" si="9"/>
        <v>300000</v>
      </c>
      <c r="J65" s="1335" t="s">
        <v>10174</v>
      </c>
      <c r="K65" s="1597">
        <f t="shared" si="7"/>
        <v>300000</v>
      </c>
      <c r="L65" s="1590">
        <f t="shared" ref="L65:W65" si="18">L21*$F65</f>
        <v>0</v>
      </c>
      <c r="M65" s="1590">
        <f t="shared" si="18"/>
        <v>0</v>
      </c>
      <c r="N65" s="1590">
        <f t="shared" si="18"/>
        <v>0</v>
      </c>
      <c r="O65" s="1590">
        <f t="shared" si="18"/>
        <v>0</v>
      </c>
      <c r="P65" s="1590">
        <f t="shared" si="18"/>
        <v>0</v>
      </c>
      <c r="Q65" s="1590">
        <f t="shared" si="18"/>
        <v>0</v>
      </c>
      <c r="R65" s="1590">
        <f t="shared" si="18"/>
        <v>0</v>
      </c>
      <c r="S65" s="1590">
        <f t="shared" si="18"/>
        <v>0</v>
      </c>
      <c r="T65" s="1590">
        <f t="shared" si="18"/>
        <v>0</v>
      </c>
      <c r="U65" s="1590">
        <f t="shared" si="18"/>
        <v>300000</v>
      </c>
      <c r="V65" s="1590">
        <f t="shared" si="18"/>
        <v>0</v>
      </c>
      <c r="W65" s="1593">
        <f t="shared" si="18"/>
        <v>0</v>
      </c>
      <c r="X65" s="781"/>
    </row>
    <row r="66" spans="1:24" hidden="1" x14ac:dyDescent="0.25">
      <c r="A66" s="1612">
        <v>11</v>
      </c>
      <c r="B66" s="1613" t="s">
        <v>10244</v>
      </c>
      <c r="C66" s="1613">
        <v>1</v>
      </c>
      <c r="D66" s="780" t="s">
        <v>10221</v>
      </c>
      <c r="E66" s="780" t="s">
        <v>10126</v>
      </c>
      <c r="F66" s="1748">
        <f t="shared" ref="F66:F72" si="19">I66/C66</f>
        <v>230000</v>
      </c>
      <c r="G66" s="1259">
        <v>230000</v>
      </c>
      <c r="H66" s="1259"/>
      <c r="I66" s="1602">
        <f t="shared" si="9"/>
        <v>230000</v>
      </c>
      <c r="J66" s="1335" t="s">
        <v>10264</v>
      </c>
      <c r="K66" s="1597">
        <f t="shared" si="7"/>
        <v>230000</v>
      </c>
      <c r="L66" s="1590">
        <f t="shared" ref="L66:W66" si="20">L22*$F66</f>
        <v>0</v>
      </c>
      <c r="M66" s="1590">
        <f t="shared" si="20"/>
        <v>0</v>
      </c>
      <c r="N66" s="1590">
        <f t="shared" si="20"/>
        <v>0</v>
      </c>
      <c r="O66" s="1590">
        <f t="shared" si="20"/>
        <v>0</v>
      </c>
      <c r="P66" s="1590">
        <f t="shared" si="20"/>
        <v>0</v>
      </c>
      <c r="Q66" s="1590">
        <f t="shared" si="20"/>
        <v>0</v>
      </c>
      <c r="R66" s="1590">
        <f t="shared" si="20"/>
        <v>0</v>
      </c>
      <c r="S66" s="1590">
        <f t="shared" si="20"/>
        <v>0</v>
      </c>
      <c r="T66" s="1590">
        <f t="shared" si="20"/>
        <v>230000</v>
      </c>
      <c r="U66" s="1590">
        <f t="shared" si="20"/>
        <v>0</v>
      </c>
      <c r="V66" s="1590">
        <f t="shared" si="20"/>
        <v>0</v>
      </c>
      <c r="W66" s="1593">
        <f t="shared" si="20"/>
        <v>0</v>
      </c>
      <c r="X66" s="781"/>
    </row>
    <row r="67" spans="1:24" hidden="1" x14ac:dyDescent="0.25">
      <c r="A67" s="1612">
        <v>12</v>
      </c>
      <c r="B67" s="1613" t="s">
        <v>10244</v>
      </c>
      <c r="C67" s="1613">
        <v>1</v>
      </c>
      <c r="D67" s="780" t="s">
        <v>10222</v>
      </c>
      <c r="E67" s="780" t="s">
        <v>10126</v>
      </c>
      <c r="F67" s="1748">
        <f t="shared" si="19"/>
        <v>166000</v>
      </c>
      <c r="G67" s="1259"/>
      <c r="H67" s="1259">
        <v>166000</v>
      </c>
      <c r="I67" s="1602">
        <f t="shared" si="9"/>
        <v>166000</v>
      </c>
      <c r="J67" s="1335" t="s">
        <v>10264</v>
      </c>
      <c r="K67" s="1597">
        <f t="shared" si="7"/>
        <v>166000</v>
      </c>
      <c r="L67" s="1590">
        <f t="shared" ref="L67:W67" si="21">L23*$F67</f>
        <v>0</v>
      </c>
      <c r="M67" s="1590">
        <f t="shared" si="21"/>
        <v>0</v>
      </c>
      <c r="N67" s="1590">
        <f t="shared" si="21"/>
        <v>0</v>
      </c>
      <c r="O67" s="1590">
        <f t="shared" si="21"/>
        <v>0</v>
      </c>
      <c r="P67" s="1590">
        <f t="shared" si="21"/>
        <v>0</v>
      </c>
      <c r="Q67" s="1590">
        <f t="shared" si="21"/>
        <v>0</v>
      </c>
      <c r="R67" s="1590">
        <f t="shared" si="21"/>
        <v>166000</v>
      </c>
      <c r="S67" s="1590">
        <f t="shared" si="21"/>
        <v>0</v>
      </c>
      <c r="T67" s="1590">
        <f t="shared" si="21"/>
        <v>0</v>
      </c>
      <c r="U67" s="1590">
        <f t="shared" si="21"/>
        <v>0</v>
      </c>
      <c r="V67" s="1590">
        <f t="shared" si="21"/>
        <v>0</v>
      </c>
      <c r="W67" s="1593">
        <f t="shared" si="21"/>
        <v>0</v>
      </c>
      <c r="X67" s="781"/>
    </row>
    <row r="68" spans="1:24" hidden="1" x14ac:dyDescent="0.25">
      <c r="A68" s="1612">
        <v>13</v>
      </c>
      <c r="B68" s="1613" t="s">
        <v>10244</v>
      </c>
      <c r="C68" s="1613">
        <v>1</v>
      </c>
      <c r="D68" s="780" t="s">
        <v>10223</v>
      </c>
      <c r="E68" s="780" t="s">
        <v>10126</v>
      </c>
      <c r="F68" s="1748">
        <f t="shared" si="19"/>
        <v>200000</v>
      </c>
      <c r="G68" s="1259"/>
      <c r="H68" s="1259">
        <v>200000</v>
      </c>
      <c r="I68" s="1602">
        <f t="shared" si="9"/>
        <v>200000</v>
      </c>
      <c r="J68" s="1335" t="s">
        <v>10172</v>
      </c>
      <c r="K68" s="1597">
        <f t="shared" si="7"/>
        <v>200000</v>
      </c>
      <c r="L68" s="1590">
        <f t="shared" ref="L68:W68" si="22">L24*$F68</f>
        <v>0</v>
      </c>
      <c r="M68" s="1590">
        <f t="shared" si="22"/>
        <v>0</v>
      </c>
      <c r="N68" s="1590">
        <f t="shared" si="22"/>
        <v>0</v>
      </c>
      <c r="O68" s="1590">
        <f t="shared" si="22"/>
        <v>0</v>
      </c>
      <c r="P68" s="1590">
        <f t="shared" si="22"/>
        <v>0</v>
      </c>
      <c r="Q68" s="1590">
        <f t="shared" si="22"/>
        <v>0</v>
      </c>
      <c r="R68" s="1590">
        <f t="shared" si="22"/>
        <v>0</v>
      </c>
      <c r="S68" s="1590">
        <f t="shared" si="22"/>
        <v>0</v>
      </c>
      <c r="T68" s="1590">
        <f t="shared" si="22"/>
        <v>0</v>
      </c>
      <c r="U68" s="1590">
        <f t="shared" si="22"/>
        <v>0</v>
      </c>
      <c r="V68" s="1590">
        <f t="shared" si="22"/>
        <v>200000</v>
      </c>
      <c r="W68" s="1593">
        <f t="shared" si="22"/>
        <v>0</v>
      </c>
      <c r="X68" s="781"/>
    </row>
    <row r="69" spans="1:24" hidden="1" x14ac:dyDescent="0.25">
      <c r="A69" s="1612">
        <v>14</v>
      </c>
      <c r="B69" s="1613" t="s">
        <v>10244</v>
      </c>
      <c r="C69" s="1613">
        <v>1</v>
      </c>
      <c r="D69" s="780" t="s">
        <v>10224</v>
      </c>
      <c r="E69" s="780" t="s">
        <v>10034</v>
      </c>
      <c r="F69" s="1748">
        <f t="shared" si="19"/>
        <v>10000</v>
      </c>
      <c r="G69" s="1259"/>
      <c r="H69" s="1259">
        <v>10000</v>
      </c>
      <c r="I69" s="1602">
        <f t="shared" si="9"/>
        <v>10000</v>
      </c>
      <c r="J69" s="1335" t="s">
        <v>10170</v>
      </c>
      <c r="K69" s="1597">
        <f t="shared" si="7"/>
        <v>10000</v>
      </c>
      <c r="L69" s="1590">
        <f t="shared" ref="L69:W69" si="23">L25*$F69</f>
        <v>10000</v>
      </c>
      <c r="M69" s="1590">
        <f t="shared" si="23"/>
        <v>0</v>
      </c>
      <c r="N69" s="1590">
        <f t="shared" si="23"/>
        <v>0</v>
      </c>
      <c r="O69" s="1590">
        <f t="shared" si="23"/>
        <v>0</v>
      </c>
      <c r="P69" s="1590">
        <f t="shared" si="23"/>
        <v>0</v>
      </c>
      <c r="Q69" s="1590">
        <f t="shared" si="23"/>
        <v>0</v>
      </c>
      <c r="R69" s="1590">
        <f t="shared" si="23"/>
        <v>0</v>
      </c>
      <c r="S69" s="1590">
        <f t="shared" si="23"/>
        <v>0</v>
      </c>
      <c r="T69" s="1590">
        <f t="shared" si="23"/>
        <v>0</v>
      </c>
      <c r="U69" s="1590">
        <f t="shared" si="23"/>
        <v>0</v>
      </c>
      <c r="V69" s="1590">
        <f t="shared" si="23"/>
        <v>0</v>
      </c>
      <c r="W69" s="1593">
        <f t="shared" si="23"/>
        <v>0</v>
      </c>
      <c r="X69" s="781"/>
    </row>
    <row r="70" spans="1:24" hidden="1" x14ac:dyDescent="0.25">
      <c r="A70" s="1612">
        <v>15</v>
      </c>
      <c r="B70" s="1755" t="s">
        <v>10244</v>
      </c>
      <c r="C70" s="1330">
        <v>93</v>
      </c>
      <c r="D70" s="1756" t="s">
        <v>10689</v>
      </c>
      <c r="E70" s="1758" t="s">
        <v>10123</v>
      </c>
      <c r="F70" s="1748">
        <f>1000*12.9</f>
        <v>12900</v>
      </c>
      <c r="G70" s="1259"/>
      <c r="H70" s="1259">
        <f>F70*C70</f>
        <v>1199700</v>
      </c>
      <c r="I70" s="1602">
        <f t="shared" si="9"/>
        <v>1199700</v>
      </c>
      <c r="J70" s="1759" t="s">
        <v>10121</v>
      </c>
      <c r="K70" s="1597">
        <f t="shared" si="7"/>
        <v>1199700</v>
      </c>
      <c r="L70" s="1590">
        <f t="shared" ref="L70:W70" si="24">L26*$F70</f>
        <v>0</v>
      </c>
      <c r="M70" s="1590">
        <f t="shared" si="24"/>
        <v>0</v>
      </c>
      <c r="N70" s="1590">
        <f t="shared" si="24"/>
        <v>0</v>
      </c>
      <c r="O70" s="1590">
        <f t="shared" si="24"/>
        <v>258000</v>
      </c>
      <c r="P70" s="1590">
        <f t="shared" si="24"/>
        <v>258000</v>
      </c>
      <c r="Q70" s="1590">
        <f t="shared" si="24"/>
        <v>258000</v>
      </c>
      <c r="R70" s="1590">
        <f t="shared" si="24"/>
        <v>258000</v>
      </c>
      <c r="S70" s="1590">
        <f t="shared" si="24"/>
        <v>167700</v>
      </c>
      <c r="T70" s="1590">
        <f t="shared" si="24"/>
        <v>0</v>
      </c>
      <c r="U70" s="1590">
        <f t="shared" si="24"/>
        <v>0</v>
      </c>
      <c r="V70" s="1590">
        <f t="shared" si="24"/>
        <v>0</v>
      </c>
      <c r="W70" s="1593">
        <f t="shared" si="24"/>
        <v>0</v>
      </c>
      <c r="X70" s="781"/>
    </row>
    <row r="71" spans="1:24" hidden="1" x14ac:dyDescent="0.25">
      <c r="A71" s="1612">
        <v>1</v>
      </c>
      <c r="B71" s="1613" t="s">
        <v>10246</v>
      </c>
      <c r="C71" s="1613">
        <v>10</v>
      </c>
      <c r="D71" s="780" t="s">
        <v>10225</v>
      </c>
      <c r="E71" s="780" t="s">
        <v>10123</v>
      </c>
      <c r="F71" s="1748">
        <f t="shared" si="19"/>
        <v>1212600</v>
      </c>
      <c r="G71" s="1259">
        <f>10*94000*12.9</f>
        <v>12126000</v>
      </c>
      <c r="H71" s="1259"/>
      <c r="I71" s="1602">
        <f t="shared" si="9"/>
        <v>12126000</v>
      </c>
      <c r="J71" s="1335" t="s">
        <v>10169</v>
      </c>
      <c r="K71" s="1597">
        <f t="shared" si="7"/>
        <v>12126000</v>
      </c>
      <c r="L71" s="1590">
        <f t="shared" ref="L71:W71" si="25">L27*$F71</f>
        <v>0</v>
      </c>
      <c r="M71" s="1590">
        <f t="shared" si="25"/>
        <v>0</v>
      </c>
      <c r="N71" s="1590">
        <f t="shared" si="25"/>
        <v>7275600</v>
      </c>
      <c r="O71" s="1590">
        <f t="shared" si="25"/>
        <v>4850400</v>
      </c>
      <c r="P71" s="1590">
        <f t="shared" si="25"/>
        <v>0</v>
      </c>
      <c r="Q71" s="1590">
        <f t="shared" si="25"/>
        <v>0</v>
      </c>
      <c r="R71" s="1590">
        <f t="shared" si="25"/>
        <v>0</v>
      </c>
      <c r="S71" s="1590">
        <f t="shared" si="25"/>
        <v>0</v>
      </c>
      <c r="T71" s="1590">
        <f t="shared" si="25"/>
        <v>0</v>
      </c>
      <c r="U71" s="1590">
        <f t="shared" si="25"/>
        <v>0</v>
      </c>
      <c r="V71" s="1590">
        <f t="shared" si="25"/>
        <v>0</v>
      </c>
      <c r="W71" s="1593">
        <f t="shared" si="25"/>
        <v>0</v>
      </c>
      <c r="X71" s="781"/>
    </row>
    <row r="72" spans="1:24" hidden="1" x14ac:dyDescent="0.25">
      <c r="A72" s="1612">
        <v>2</v>
      </c>
      <c r="B72" s="1613" t="s">
        <v>10246</v>
      </c>
      <c r="C72" s="1613">
        <v>10</v>
      </c>
      <c r="D72" s="780" t="s">
        <v>10226</v>
      </c>
      <c r="E72" s="780" t="s">
        <v>10123</v>
      </c>
      <c r="F72" s="1748">
        <f t="shared" si="19"/>
        <v>93405</v>
      </c>
      <c r="G72" s="1259">
        <f>10*7185*13</f>
        <v>934050</v>
      </c>
      <c r="H72" s="1259"/>
      <c r="I72" s="1602">
        <f>G72+H72</f>
        <v>934050</v>
      </c>
      <c r="J72" s="1335" t="s">
        <v>10169</v>
      </c>
      <c r="K72" s="1597">
        <f t="shared" si="7"/>
        <v>934050</v>
      </c>
      <c r="L72" s="1590">
        <f t="shared" ref="L72:W72" si="26">L28*$F72</f>
        <v>0</v>
      </c>
      <c r="M72" s="1590">
        <f t="shared" si="26"/>
        <v>0</v>
      </c>
      <c r="N72" s="1590">
        <f t="shared" si="26"/>
        <v>373620</v>
      </c>
      <c r="O72" s="1590">
        <f t="shared" si="26"/>
        <v>373620</v>
      </c>
      <c r="P72" s="1590">
        <f t="shared" si="26"/>
        <v>186810</v>
      </c>
      <c r="Q72" s="1590">
        <f t="shared" si="26"/>
        <v>0</v>
      </c>
      <c r="R72" s="1590">
        <f t="shared" si="26"/>
        <v>0</v>
      </c>
      <c r="S72" s="1590">
        <f t="shared" si="26"/>
        <v>0</v>
      </c>
      <c r="T72" s="1590">
        <f t="shared" si="26"/>
        <v>0</v>
      </c>
      <c r="U72" s="1590">
        <f t="shared" si="26"/>
        <v>0</v>
      </c>
      <c r="V72" s="1590">
        <f t="shared" si="26"/>
        <v>0</v>
      </c>
      <c r="W72" s="1593">
        <f t="shared" si="26"/>
        <v>0</v>
      </c>
      <c r="X72" s="781"/>
    </row>
    <row r="73" spans="1:24" hidden="1" x14ac:dyDescent="0.25">
      <c r="A73" s="1612">
        <v>3</v>
      </c>
      <c r="B73" s="1613" t="s">
        <v>10246</v>
      </c>
      <c r="C73" s="1613">
        <v>5</v>
      </c>
      <c r="D73" s="1614" t="s">
        <v>10461</v>
      </c>
      <c r="E73" s="780" t="s">
        <v>10123</v>
      </c>
      <c r="F73" s="1748">
        <f>28500*12.9</f>
        <v>367650</v>
      </c>
      <c r="G73" s="1259"/>
      <c r="H73" s="1259">
        <f>F73*C73</f>
        <v>1838250</v>
      </c>
      <c r="I73" s="1602">
        <f>G73+H73</f>
        <v>1838250</v>
      </c>
      <c r="J73" s="1335" t="s">
        <v>10127</v>
      </c>
      <c r="K73" s="1597">
        <f t="shared" si="7"/>
        <v>1838250</v>
      </c>
      <c r="L73" s="1590">
        <f t="shared" ref="L73:W73" si="27">L29*$F73</f>
        <v>0</v>
      </c>
      <c r="M73" s="1590">
        <f t="shared" si="27"/>
        <v>0</v>
      </c>
      <c r="N73" s="1590">
        <f t="shared" si="27"/>
        <v>1838250</v>
      </c>
      <c r="O73" s="1590">
        <f t="shared" si="27"/>
        <v>0</v>
      </c>
      <c r="P73" s="1590">
        <f t="shared" si="27"/>
        <v>0</v>
      </c>
      <c r="Q73" s="1590">
        <f t="shared" si="27"/>
        <v>0</v>
      </c>
      <c r="R73" s="1590">
        <f t="shared" si="27"/>
        <v>0</v>
      </c>
      <c r="S73" s="1590">
        <f t="shared" si="27"/>
        <v>0</v>
      </c>
      <c r="T73" s="1590">
        <f t="shared" si="27"/>
        <v>0</v>
      </c>
      <c r="U73" s="1590">
        <f t="shared" si="27"/>
        <v>0</v>
      </c>
      <c r="V73" s="1590">
        <f t="shared" si="27"/>
        <v>0</v>
      </c>
      <c r="W73" s="1593">
        <f t="shared" si="27"/>
        <v>0</v>
      </c>
      <c r="X73" s="781"/>
    </row>
    <row r="74" spans="1:24" x14ac:dyDescent="0.25">
      <c r="A74" s="1612">
        <v>4</v>
      </c>
      <c r="B74" s="1615" t="s">
        <v>10246</v>
      </c>
      <c r="C74" s="1613">
        <v>6</v>
      </c>
      <c r="D74" s="1616" t="s">
        <v>10462</v>
      </c>
      <c r="E74" s="780" t="s">
        <v>10123</v>
      </c>
      <c r="F74" s="1748">
        <f>45500*13</f>
        <v>591500</v>
      </c>
      <c r="G74" s="1259"/>
      <c r="H74" s="1259">
        <f>F74*C74</f>
        <v>3549000</v>
      </c>
      <c r="I74" s="1602">
        <f>G74+H74</f>
        <v>3549000</v>
      </c>
      <c r="J74" s="1335" t="s">
        <v>10127</v>
      </c>
      <c r="K74" s="1597">
        <f t="shared" si="7"/>
        <v>3549000</v>
      </c>
      <c r="L74" s="1590">
        <f t="shared" ref="L74:W74" si="28">L30*$F74</f>
        <v>0</v>
      </c>
      <c r="M74" s="1590">
        <f t="shared" si="28"/>
        <v>0</v>
      </c>
      <c r="N74" s="1590">
        <f t="shared" si="28"/>
        <v>0</v>
      </c>
      <c r="O74" s="1590">
        <f t="shared" si="28"/>
        <v>0</v>
      </c>
      <c r="P74" s="1590">
        <f t="shared" si="28"/>
        <v>0</v>
      </c>
      <c r="Q74" s="1590">
        <f t="shared" si="28"/>
        <v>591500</v>
      </c>
      <c r="R74" s="1590">
        <f t="shared" si="28"/>
        <v>2957500</v>
      </c>
      <c r="S74" s="1590">
        <f t="shared" si="28"/>
        <v>0</v>
      </c>
      <c r="T74" s="1590">
        <f t="shared" si="28"/>
        <v>0</v>
      </c>
      <c r="U74" s="1590">
        <f t="shared" si="28"/>
        <v>0</v>
      </c>
      <c r="V74" s="1590">
        <f t="shared" si="28"/>
        <v>0</v>
      </c>
      <c r="W74" s="1593">
        <f t="shared" si="28"/>
        <v>0</v>
      </c>
      <c r="X74" s="781"/>
    </row>
    <row r="75" spans="1:24" ht="15.75" thickBot="1" x14ac:dyDescent="0.3">
      <c r="A75" s="1612">
        <v>5</v>
      </c>
      <c r="B75" s="1615" t="s">
        <v>10246</v>
      </c>
      <c r="C75" s="1613">
        <v>3</v>
      </c>
      <c r="D75" s="1616" t="s">
        <v>10463</v>
      </c>
      <c r="E75" s="780" t="s">
        <v>10123</v>
      </c>
      <c r="F75" s="1748">
        <f>H75/3</f>
        <v>234000</v>
      </c>
      <c r="G75" s="1259"/>
      <c r="H75" s="1259">
        <f>702000</f>
        <v>702000</v>
      </c>
      <c r="I75" s="1602">
        <f>G75+H75</f>
        <v>702000</v>
      </c>
      <c r="J75" s="1335" t="s">
        <v>10127</v>
      </c>
      <c r="K75" s="1597">
        <f t="shared" si="7"/>
        <v>702000</v>
      </c>
      <c r="L75" s="1590">
        <f t="shared" ref="L75:W75" si="29">L31*$F75</f>
        <v>0</v>
      </c>
      <c r="M75" s="1590">
        <f t="shared" si="29"/>
        <v>0</v>
      </c>
      <c r="N75" s="1590">
        <f t="shared" si="29"/>
        <v>0</v>
      </c>
      <c r="O75" s="1590">
        <f t="shared" si="29"/>
        <v>0</v>
      </c>
      <c r="P75" s="1590">
        <f t="shared" si="29"/>
        <v>0</v>
      </c>
      <c r="Q75" s="1590">
        <f t="shared" si="29"/>
        <v>702000</v>
      </c>
      <c r="R75" s="1590">
        <f t="shared" si="29"/>
        <v>0</v>
      </c>
      <c r="S75" s="1590">
        <f t="shared" si="29"/>
        <v>0</v>
      </c>
      <c r="T75" s="1590">
        <f t="shared" si="29"/>
        <v>0</v>
      </c>
      <c r="U75" s="1590">
        <f t="shared" si="29"/>
        <v>0</v>
      </c>
      <c r="V75" s="1590">
        <f t="shared" si="29"/>
        <v>0</v>
      </c>
      <c r="W75" s="1593">
        <f t="shared" si="29"/>
        <v>0</v>
      </c>
      <c r="X75" s="781"/>
    </row>
    <row r="76" spans="1:24" ht="15.75" hidden="1" thickBot="1" x14ac:dyDescent="0.3">
      <c r="A76" s="1612">
        <v>6</v>
      </c>
      <c r="B76" s="1613" t="s">
        <v>10246</v>
      </c>
      <c r="C76" s="1613">
        <v>1</v>
      </c>
      <c r="D76" s="780" t="s">
        <v>10125</v>
      </c>
      <c r="E76" s="780" t="s">
        <v>10126</v>
      </c>
      <c r="F76" s="1748">
        <f t="shared" ref="F76:F85" si="30">I76/C76</f>
        <v>70000</v>
      </c>
      <c r="G76" s="1259">
        <v>70000</v>
      </c>
      <c r="H76" s="1259"/>
      <c r="I76" s="1602">
        <f t="shared" ref="I76:I82" si="31">G76+H76</f>
        <v>70000</v>
      </c>
      <c r="J76" s="1335" t="s">
        <v>10174</v>
      </c>
      <c r="K76" s="1597">
        <f t="shared" si="7"/>
        <v>70000</v>
      </c>
      <c r="L76" s="1590">
        <f t="shared" ref="L76:W76" si="32">L32*$F76</f>
        <v>0</v>
      </c>
      <c r="M76" s="1590">
        <f t="shared" si="32"/>
        <v>0</v>
      </c>
      <c r="N76" s="1590">
        <f t="shared" si="32"/>
        <v>0</v>
      </c>
      <c r="O76" s="1590">
        <f t="shared" si="32"/>
        <v>0</v>
      </c>
      <c r="P76" s="1590">
        <f t="shared" si="32"/>
        <v>0</v>
      </c>
      <c r="Q76" s="1590">
        <f t="shared" si="32"/>
        <v>0</v>
      </c>
      <c r="R76" s="1590">
        <f t="shared" si="32"/>
        <v>0</v>
      </c>
      <c r="S76" s="1590">
        <f t="shared" si="32"/>
        <v>0</v>
      </c>
      <c r="T76" s="1590">
        <f t="shared" si="32"/>
        <v>70000</v>
      </c>
      <c r="U76" s="1590">
        <f t="shared" si="32"/>
        <v>0</v>
      </c>
      <c r="V76" s="1590">
        <f t="shared" si="32"/>
        <v>0</v>
      </c>
      <c r="W76" s="1593">
        <f t="shared" si="32"/>
        <v>0</v>
      </c>
      <c r="X76" s="781"/>
    </row>
    <row r="77" spans="1:24" ht="15.75" hidden="1" thickBot="1" x14ac:dyDescent="0.3">
      <c r="A77" s="1612">
        <v>7</v>
      </c>
      <c r="B77" s="1613" t="s">
        <v>10246</v>
      </c>
      <c r="C77" s="1613">
        <v>1</v>
      </c>
      <c r="D77" s="780" t="s">
        <v>10227</v>
      </c>
      <c r="E77" s="780" t="s">
        <v>10126</v>
      </c>
      <c r="F77" s="1748">
        <f t="shared" si="30"/>
        <v>90000</v>
      </c>
      <c r="G77" s="1259"/>
      <c r="H77" s="1259">
        <v>90000</v>
      </c>
      <c r="I77" s="1602">
        <f t="shared" si="31"/>
        <v>90000</v>
      </c>
      <c r="J77" s="1335" t="s">
        <v>10172</v>
      </c>
      <c r="K77" s="1597">
        <f t="shared" si="7"/>
        <v>90000</v>
      </c>
      <c r="L77" s="1590">
        <f t="shared" ref="L77:W77" si="33">L33*$F77</f>
        <v>0</v>
      </c>
      <c r="M77" s="1590">
        <f t="shared" si="33"/>
        <v>0</v>
      </c>
      <c r="N77" s="1590">
        <f t="shared" si="33"/>
        <v>0</v>
      </c>
      <c r="O77" s="1590">
        <f t="shared" si="33"/>
        <v>0</v>
      </c>
      <c r="P77" s="1590">
        <f t="shared" si="33"/>
        <v>0</v>
      </c>
      <c r="Q77" s="1590">
        <f t="shared" si="33"/>
        <v>0</v>
      </c>
      <c r="R77" s="1590">
        <f t="shared" si="33"/>
        <v>0</v>
      </c>
      <c r="S77" s="1590">
        <f t="shared" si="33"/>
        <v>0</v>
      </c>
      <c r="T77" s="1590">
        <f t="shared" si="33"/>
        <v>90000</v>
      </c>
      <c r="U77" s="1590">
        <f t="shared" si="33"/>
        <v>0</v>
      </c>
      <c r="V77" s="1590">
        <f t="shared" si="33"/>
        <v>0</v>
      </c>
      <c r="W77" s="1593">
        <f t="shared" si="33"/>
        <v>0</v>
      </c>
      <c r="X77" s="781"/>
    </row>
    <row r="78" spans="1:24" ht="15.75" hidden="1" thickBot="1" x14ac:dyDescent="0.3">
      <c r="A78" s="1612">
        <v>8</v>
      </c>
      <c r="B78" s="1613" t="s">
        <v>10246</v>
      </c>
      <c r="C78" s="1613">
        <v>1</v>
      </c>
      <c r="D78" s="780" t="s">
        <v>10228</v>
      </c>
      <c r="E78" s="780" t="s">
        <v>10126</v>
      </c>
      <c r="F78" s="1748">
        <f t="shared" si="30"/>
        <v>8000</v>
      </c>
      <c r="G78" s="1259"/>
      <c r="H78" s="1259">
        <v>8000</v>
      </c>
      <c r="I78" s="1602">
        <f t="shared" si="31"/>
        <v>8000</v>
      </c>
      <c r="J78" s="1335" t="s">
        <v>10172</v>
      </c>
      <c r="K78" s="1597">
        <f t="shared" si="7"/>
        <v>8000</v>
      </c>
      <c r="L78" s="1590">
        <f t="shared" ref="L78:W78" si="34">L34*$F78</f>
        <v>8000</v>
      </c>
      <c r="M78" s="1590">
        <f t="shared" si="34"/>
        <v>0</v>
      </c>
      <c r="N78" s="1590">
        <f t="shared" si="34"/>
        <v>0</v>
      </c>
      <c r="O78" s="1590">
        <f t="shared" si="34"/>
        <v>0</v>
      </c>
      <c r="P78" s="1590">
        <f t="shared" si="34"/>
        <v>0</v>
      </c>
      <c r="Q78" s="1590">
        <f t="shared" si="34"/>
        <v>0</v>
      </c>
      <c r="R78" s="1590">
        <f t="shared" si="34"/>
        <v>0</v>
      </c>
      <c r="S78" s="1590">
        <f t="shared" si="34"/>
        <v>0</v>
      </c>
      <c r="T78" s="1590">
        <f t="shared" si="34"/>
        <v>0</v>
      </c>
      <c r="U78" s="1590">
        <f t="shared" si="34"/>
        <v>0</v>
      </c>
      <c r="V78" s="1590">
        <f t="shared" si="34"/>
        <v>0</v>
      </c>
      <c r="W78" s="1593">
        <f t="shared" si="34"/>
        <v>0</v>
      </c>
      <c r="X78" s="781"/>
    </row>
    <row r="79" spans="1:24" ht="15.75" hidden="1" thickBot="1" x14ac:dyDescent="0.3">
      <c r="A79" s="1612">
        <v>9</v>
      </c>
      <c r="B79" s="1613" t="s">
        <v>10246</v>
      </c>
      <c r="C79" s="1613">
        <v>1</v>
      </c>
      <c r="D79" s="780" t="s">
        <v>10229</v>
      </c>
      <c r="E79" s="780" t="s">
        <v>10034</v>
      </c>
      <c r="F79" s="1748">
        <f t="shared" si="30"/>
        <v>24000</v>
      </c>
      <c r="G79" s="1259"/>
      <c r="H79" s="1259">
        <v>24000</v>
      </c>
      <c r="I79" s="1602">
        <f t="shared" si="31"/>
        <v>24000</v>
      </c>
      <c r="J79" s="1335" t="s">
        <v>10172</v>
      </c>
      <c r="K79" s="1597">
        <f t="shared" si="7"/>
        <v>24000</v>
      </c>
      <c r="L79" s="1590">
        <f t="shared" ref="L79:W79" si="35">L35*$F79</f>
        <v>0</v>
      </c>
      <c r="M79" s="1590">
        <f t="shared" si="35"/>
        <v>0</v>
      </c>
      <c r="N79" s="1590">
        <f t="shared" si="35"/>
        <v>0</v>
      </c>
      <c r="O79" s="1590">
        <f t="shared" si="35"/>
        <v>0</v>
      </c>
      <c r="P79" s="1590">
        <f t="shared" si="35"/>
        <v>0</v>
      </c>
      <c r="Q79" s="1590">
        <f t="shared" si="35"/>
        <v>0</v>
      </c>
      <c r="R79" s="1590">
        <f t="shared" si="35"/>
        <v>0</v>
      </c>
      <c r="S79" s="1590">
        <f t="shared" si="35"/>
        <v>0</v>
      </c>
      <c r="T79" s="1590">
        <f t="shared" si="35"/>
        <v>24000</v>
      </c>
      <c r="U79" s="1590">
        <f t="shared" si="35"/>
        <v>0</v>
      </c>
      <c r="V79" s="1590">
        <f t="shared" si="35"/>
        <v>0</v>
      </c>
      <c r="W79" s="1593">
        <f t="shared" si="35"/>
        <v>0</v>
      </c>
      <c r="X79" s="781"/>
    </row>
    <row r="80" spans="1:24" ht="15.75" hidden="1" thickBot="1" x14ac:dyDescent="0.3">
      <c r="A80" s="1612">
        <v>10</v>
      </c>
      <c r="B80" s="1613" t="s">
        <v>10246</v>
      </c>
      <c r="C80" s="1613">
        <v>1</v>
      </c>
      <c r="D80" s="780" t="s">
        <v>10230</v>
      </c>
      <c r="E80" s="780" t="s">
        <v>10126</v>
      </c>
      <c r="F80" s="1748">
        <f t="shared" si="30"/>
        <v>15000</v>
      </c>
      <c r="G80" s="1259"/>
      <c r="H80" s="1259">
        <v>15000</v>
      </c>
      <c r="I80" s="1602">
        <f t="shared" si="31"/>
        <v>15000</v>
      </c>
      <c r="J80" s="1335" t="s">
        <v>10172</v>
      </c>
      <c r="K80" s="1597">
        <f t="shared" si="7"/>
        <v>15000</v>
      </c>
      <c r="L80" s="1590">
        <f t="shared" ref="L80:W80" si="36">L36*$F80</f>
        <v>0</v>
      </c>
      <c r="M80" s="1590">
        <f t="shared" si="36"/>
        <v>0</v>
      </c>
      <c r="N80" s="1590">
        <f t="shared" si="36"/>
        <v>0</v>
      </c>
      <c r="O80" s="1590">
        <f t="shared" si="36"/>
        <v>0</v>
      </c>
      <c r="P80" s="1590">
        <f t="shared" si="36"/>
        <v>0</v>
      </c>
      <c r="Q80" s="1590">
        <f t="shared" si="36"/>
        <v>0</v>
      </c>
      <c r="R80" s="1590">
        <f t="shared" si="36"/>
        <v>0</v>
      </c>
      <c r="S80" s="1590">
        <f t="shared" si="36"/>
        <v>0</v>
      </c>
      <c r="T80" s="1590">
        <f t="shared" si="36"/>
        <v>15000</v>
      </c>
      <c r="U80" s="1590">
        <f t="shared" si="36"/>
        <v>0</v>
      </c>
      <c r="V80" s="1590">
        <f t="shared" si="36"/>
        <v>0</v>
      </c>
      <c r="W80" s="1593">
        <f t="shared" si="36"/>
        <v>0</v>
      </c>
      <c r="X80" s="781"/>
    </row>
    <row r="81" spans="1:24" ht="15.75" hidden="1" thickBot="1" x14ac:dyDescent="0.3">
      <c r="A81" s="1612">
        <v>11</v>
      </c>
      <c r="B81" s="1613" t="s">
        <v>10246</v>
      </c>
      <c r="C81" s="1613">
        <v>1</v>
      </c>
      <c r="D81" s="780" t="s">
        <v>10231</v>
      </c>
      <c r="E81" s="780" t="s">
        <v>10126</v>
      </c>
      <c r="F81" s="1748">
        <f t="shared" si="30"/>
        <v>8500</v>
      </c>
      <c r="G81" s="1259"/>
      <c r="H81" s="1259">
        <v>8500</v>
      </c>
      <c r="I81" s="1602">
        <f t="shared" si="31"/>
        <v>8500</v>
      </c>
      <c r="J81" s="1335" t="s">
        <v>10172</v>
      </c>
      <c r="K81" s="1597">
        <f t="shared" si="7"/>
        <v>8500</v>
      </c>
      <c r="L81" s="1590">
        <f t="shared" ref="L81:W81" si="37">L37*$F81</f>
        <v>0</v>
      </c>
      <c r="M81" s="1590">
        <f t="shared" si="37"/>
        <v>0</v>
      </c>
      <c r="N81" s="1590">
        <f t="shared" si="37"/>
        <v>8500</v>
      </c>
      <c r="O81" s="1590">
        <f t="shared" si="37"/>
        <v>0</v>
      </c>
      <c r="P81" s="1590">
        <f t="shared" si="37"/>
        <v>0</v>
      </c>
      <c r="Q81" s="1590">
        <f t="shared" si="37"/>
        <v>0</v>
      </c>
      <c r="R81" s="1590">
        <f t="shared" si="37"/>
        <v>0</v>
      </c>
      <c r="S81" s="1590">
        <f t="shared" si="37"/>
        <v>0</v>
      </c>
      <c r="T81" s="1590">
        <f t="shared" si="37"/>
        <v>0</v>
      </c>
      <c r="U81" s="1590">
        <f t="shared" si="37"/>
        <v>0</v>
      </c>
      <c r="V81" s="1590">
        <f t="shared" si="37"/>
        <v>0</v>
      </c>
      <c r="W81" s="1593">
        <f t="shared" si="37"/>
        <v>0</v>
      </c>
      <c r="X81" s="781"/>
    </row>
    <row r="82" spans="1:24" ht="15.75" hidden="1" thickBot="1" x14ac:dyDescent="0.3">
      <c r="A82" s="1612">
        <v>12</v>
      </c>
      <c r="B82" s="1613" t="s">
        <v>10246</v>
      </c>
      <c r="C82" s="1613">
        <v>1</v>
      </c>
      <c r="D82" s="780" t="s">
        <v>10218</v>
      </c>
      <c r="E82" s="780" t="s">
        <v>10034</v>
      </c>
      <c r="F82" s="1748">
        <f t="shared" si="30"/>
        <v>14000</v>
      </c>
      <c r="G82" s="1259"/>
      <c r="H82" s="1259">
        <v>14000</v>
      </c>
      <c r="I82" s="1602">
        <f t="shared" si="31"/>
        <v>14000</v>
      </c>
      <c r="J82" s="1335" t="s">
        <v>10170</v>
      </c>
      <c r="K82" s="1597">
        <f t="shared" si="7"/>
        <v>14000</v>
      </c>
      <c r="L82" s="1590">
        <f t="shared" ref="L82:W82" si="38">L38*$F82</f>
        <v>0</v>
      </c>
      <c r="M82" s="1590">
        <f t="shared" si="38"/>
        <v>0</v>
      </c>
      <c r="N82" s="1590">
        <f t="shared" si="38"/>
        <v>14000</v>
      </c>
      <c r="O82" s="1590">
        <f t="shared" si="38"/>
        <v>0</v>
      </c>
      <c r="P82" s="1590">
        <f t="shared" si="38"/>
        <v>0</v>
      </c>
      <c r="Q82" s="1590">
        <f t="shared" si="38"/>
        <v>0</v>
      </c>
      <c r="R82" s="1590">
        <f t="shared" si="38"/>
        <v>0</v>
      </c>
      <c r="S82" s="1590">
        <f t="shared" si="38"/>
        <v>0</v>
      </c>
      <c r="T82" s="1590">
        <f t="shared" si="38"/>
        <v>0</v>
      </c>
      <c r="U82" s="1590">
        <f t="shared" si="38"/>
        <v>0</v>
      </c>
      <c r="V82" s="1590">
        <f t="shared" si="38"/>
        <v>0</v>
      </c>
      <c r="W82" s="1593">
        <f t="shared" si="38"/>
        <v>0</v>
      </c>
      <c r="X82" s="781"/>
    </row>
    <row r="83" spans="1:24" ht="15.75" hidden="1" thickBot="1" x14ac:dyDescent="0.3">
      <c r="A83" s="1612">
        <v>13</v>
      </c>
      <c r="B83" s="1613" t="s">
        <v>10246</v>
      </c>
      <c r="C83" s="1613">
        <v>1</v>
      </c>
      <c r="D83" s="780" t="s">
        <v>10128</v>
      </c>
      <c r="E83" s="780" t="s">
        <v>10126</v>
      </c>
      <c r="F83" s="1748">
        <f t="shared" si="30"/>
        <v>290000</v>
      </c>
      <c r="G83" s="1259"/>
      <c r="H83" s="1259">
        <v>290000</v>
      </c>
      <c r="I83" s="1602">
        <f>G83+H83</f>
        <v>290000</v>
      </c>
      <c r="J83" s="1335" t="s">
        <v>10170</v>
      </c>
      <c r="K83" s="1597">
        <f t="shared" si="7"/>
        <v>290000</v>
      </c>
      <c r="L83" s="1590">
        <f t="shared" ref="L83:W83" si="39">L39*$F83</f>
        <v>0</v>
      </c>
      <c r="M83" s="1590">
        <f t="shared" si="39"/>
        <v>0</v>
      </c>
      <c r="N83" s="1590">
        <f t="shared" si="39"/>
        <v>0</v>
      </c>
      <c r="O83" s="1590">
        <f t="shared" si="39"/>
        <v>0</v>
      </c>
      <c r="P83" s="1590">
        <f t="shared" si="39"/>
        <v>0</v>
      </c>
      <c r="Q83" s="1590">
        <f t="shared" si="39"/>
        <v>290000</v>
      </c>
      <c r="R83" s="1590">
        <f t="shared" si="39"/>
        <v>0</v>
      </c>
      <c r="S83" s="1590">
        <f t="shared" si="39"/>
        <v>0</v>
      </c>
      <c r="T83" s="1590">
        <f t="shared" si="39"/>
        <v>0</v>
      </c>
      <c r="U83" s="1590">
        <f t="shared" si="39"/>
        <v>0</v>
      </c>
      <c r="V83" s="1590">
        <f t="shared" si="39"/>
        <v>0</v>
      </c>
      <c r="W83" s="1593">
        <f t="shared" si="39"/>
        <v>0</v>
      </c>
      <c r="X83" s="781"/>
    </row>
    <row r="84" spans="1:24" ht="15.75" hidden="1" thickBot="1" x14ac:dyDescent="0.3">
      <c r="A84" s="1612">
        <v>1</v>
      </c>
      <c r="B84" s="1330" t="s">
        <v>10247</v>
      </c>
      <c r="C84" s="1330">
        <v>8</v>
      </c>
      <c r="D84" s="781" t="s">
        <v>10232</v>
      </c>
      <c r="E84" s="1587" t="s">
        <v>10123</v>
      </c>
      <c r="F84" s="1748">
        <f t="shared" si="30"/>
        <v>1212600</v>
      </c>
      <c r="G84" s="1259">
        <f>8*94000*12.9</f>
        <v>9700800</v>
      </c>
      <c r="H84" s="1259"/>
      <c r="I84" s="1602">
        <f t="shared" ref="I84:I85" si="40">G84+H84</f>
        <v>9700800</v>
      </c>
      <c r="J84" s="1335" t="s">
        <v>10169</v>
      </c>
      <c r="K84" s="1597">
        <f t="shared" ref="K84:K85" si="41">SUM(L84:W84)</f>
        <v>9700800</v>
      </c>
      <c r="L84" s="1590">
        <f t="shared" ref="L84:W84" si="42">L40*$F84</f>
        <v>0</v>
      </c>
      <c r="M84" s="1590">
        <f t="shared" si="42"/>
        <v>0</v>
      </c>
      <c r="N84" s="1590">
        <f t="shared" si="42"/>
        <v>0</v>
      </c>
      <c r="O84" s="1590">
        <f t="shared" si="42"/>
        <v>0</v>
      </c>
      <c r="P84" s="1590">
        <f t="shared" si="42"/>
        <v>9700800</v>
      </c>
      <c r="Q84" s="1590">
        <f t="shared" si="42"/>
        <v>0</v>
      </c>
      <c r="R84" s="1590">
        <f t="shared" si="42"/>
        <v>0</v>
      </c>
      <c r="S84" s="1590">
        <f t="shared" si="42"/>
        <v>0</v>
      </c>
      <c r="T84" s="1590">
        <f t="shared" si="42"/>
        <v>0</v>
      </c>
      <c r="U84" s="1590">
        <f t="shared" si="42"/>
        <v>0</v>
      </c>
      <c r="V84" s="1590">
        <f t="shared" si="42"/>
        <v>0</v>
      </c>
      <c r="W84" s="1593">
        <f t="shared" si="42"/>
        <v>0</v>
      </c>
      <c r="X84" s="781"/>
    </row>
    <row r="85" spans="1:24" ht="15.75" hidden="1" thickBot="1" x14ac:dyDescent="0.3">
      <c r="A85" s="1612">
        <v>2</v>
      </c>
      <c r="B85" s="1330" t="s">
        <v>10247</v>
      </c>
      <c r="C85" s="1330">
        <v>8</v>
      </c>
      <c r="D85" s="781" t="s">
        <v>10233</v>
      </c>
      <c r="E85" s="1587" t="s">
        <v>10123</v>
      </c>
      <c r="F85" s="1748">
        <f t="shared" si="30"/>
        <v>93405</v>
      </c>
      <c r="G85" s="1259">
        <f>8*7185*13</f>
        <v>747240</v>
      </c>
      <c r="H85" s="1259"/>
      <c r="I85" s="1602">
        <f t="shared" si="40"/>
        <v>747240</v>
      </c>
      <c r="J85" s="1335" t="s">
        <v>10169</v>
      </c>
      <c r="K85" s="1597">
        <f t="shared" si="41"/>
        <v>747240</v>
      </c>
      <c r="L85" s="1590">
        <f t="shared" ref="L85:W85" si="43">L41*$F85</f>
        <v>0</v>
      </c>
      <c r="M85" s="1590">
        <f t="shared" si="43"/>
        <v>0</v>
      </c>
      <c r="N85" s="1590">
        <f t="shared" si="43"/>
        <v>186810</v>
      </c>
      <c r="O85" s="1590">
        <f t="shared" si="43"/>
        <v>186810</v>
      </c>
      <c r="P85" s="1590">
        <f t="shared" si="43"/>
        <v>373620</v>
      </c>
      <c r="Q85" s="1590">
        <f t="shared" si="43"/>
        <v>0</v>
      </c>
      <c r="R85" s="1590">
        <f t="shared" si="43"/>
        <v>0</v>
      </c>
      <c r="S85" s="1590">
        <f t="shared" si="43"/>
        <v>0</v>
      </c>
      <c r="T85" s="1590">
        <f t="shared" si="43"/>
        <v>0</v>
      </c>
      <c r="U85" s="1590">
        <f t="shared" si="43"/>
        <v>0</v>
      </c>
      <c r="V85" s="1590">
        <f t="shared" si="43"/>
        <v>0</v>
      </c>
      <c r="W85" s="1593">
        <f t="shared" si="43"/>
        <v>0</v>
      </c>
      <c r="X85" s="781"/>
    </row>
    <row r="86" spans="1:24" ht="15.75" hidden="1" thickBot="1" x14ac:dyDescent="0.3">
      <c r="A86" s="1612">
        <v>4</v>
      </c>
      <c r="B86" s="1330" t="s">
        <v>10247</v>
      </c>
      <c r="C86" s="1330">
        <v>1</v>
      </c>
      <c r="D86" s="781" t="s">
        <v>10234</v>
      </c>
      <c r="E86" s="1587" t="s">
        <v>10126</v>
      </c>
      <c r="F86" s="1748">
        <f t="shared" ref="F86:F96" si="44">I86/C86</f>
        <v>150000</v>
      </c>
      <c r="G86" s="779"/>
      <c r="H86" s="779">
        <v>150000</v>
      </c>
      <c r="I86" s="1602">
        <f t="shared" ref="I86:I96" si="45">G86+H86</f>
        <v>150000</v>
      </c>
      <c r="J86" s="1335" t="s">
        <v>10174</v>
      </c>
      <c r="K86" s="1597">
        <f t="shared" si="7"/>
        <v>150000</v>
      </c>
      <c r="L86" s="1590">
        <f t="shared" ref="L86:W86" si="46">L42*$F86</f>
        <v>0</v>
      </c>
      <c r="M86" s="1590">
        <f t="shared" si="46"/>
        <v>0</v>
      </c>
      <c r="N86" s="1590">
        <f t="shared" si="46"/>
        <v>150000</v>
      </c>
      <c r="O86" s="1590">
        <f t="shared" si="46"/>
        <v>0</v>
      </c>
      <c r="P86" s="1590">
        <f t="shared" si="46"/>
        <v>0</v>
      </c>
      <c r="Q86" s="1590">
        <f t="shared" si="46"/>
        <v>0</v>
      </c>
      <c r="R86" s="1590">
        <f t="shared" si="46"/>
        <v>0</v>
      </c>
      <c r="S86" s="1590">
        <f t="shared" si="46"/>
        <v>0</v>
      </c>
      <c r="T86" s="1590">
        <f t="shared" si="46"/>
        <v>0</v>
      </c>
      <c r="U86" s="1590">
        <f t="shared" si="46"/>
        <v>0</v>
      </c>
      <c r="V86" s="1590">
        <f t="shared" si="46"/>
        <v>0</v>
      </c>
      <c r="W86" s="1593">
        <f t="shared" si="46"/>
        <v>0</v>
      </c>
      <c r="X86" s="781"/>
    </row>
    <row r="87" spans="1:24" ht="15.75" hidden="1" thickBot="1" x14ac:dyDescent="0.3">
      <c r="A87" s="1612">
        <v>5</v>
      </c>
      <c r="B87" s="1330" t="s">
        <v>10247</v>
      </c>
      <c r="C87" s="1330">
        <v>1</v>
      </c>
      <c r="D87" s="781" t="s">
        <v>10230</v>
      </c>
      <c r="E87" s="1587" t="s">
        <v>10126</v>
      </c>
      <c r="F87" s="1748">
        <f t="shared" si="44"/>
        <v>15000</v>
      </c>
      <c r="G87" s="1259"/>
      <c r="H87" s="1259">
        <v>15000</v>
      </c>
      <c r="I87" s="1602">
        <f t="shared" si="45"/>
        <v>15000</v>
      </c>
      <c r="J87" s="1335" t="s">
        <v>10172</v>
      </c>
      <c r="K87" s="1597">
        <f t="shared" si="7"/>
        <v>15000</v>
      </c>
      <c r="L87" s="1590">
        <f t="shared" ref="L87:W87" si="47">L43*$F87</f>
        <v>0</v>
      </c>
      <c r="M87" s="1590">
        <f t="shared" si="47"/>
        <v>0</v>
      </c>
      <c r="N87" s="1590">
        <f t="shared" si="47"/>
        <v>0</v>
      </c>
      <c r="O87" s="1590">
        <f t="shared" si="47"/>
        <v>0</v>
      </c>
      <c r="P87" s="1590">
        <f t="shared" si="47"/>
        <v>0</v>
      </c>
      <c r="Q87" s="1590">
        <f t="shared" si="47"/>
        <v>0</v>
      </c>
      <c r="R87" s="1590">
        <f t="shared" si="47"/>
        <v>15000</v>
      </c>
      <c r="S87" s="1590">
        <f t="shared" si="47"/>
        <v>0</v>
      </c>
      <c r="T87" s="1590">
        <f t="shared" si="47"/>
        <v>0</v>
      </c>
      <c r="U87" s="1590">
        <f t="shared" si="47"/>
        <v>0</v>
      </c>
      <c r="V87" s="1590">
        <f t="shared" si="47"/>
        <v>0</v>
      </c>
      <c r="W87" s="1593">
        <f t="shared" si="47"/>
        <v>0</v>
      </c>
      <c r="X87" s="781"/>
    </row>
    <row r="88" spans="1:24" ht="15.75" hidden="1" thickBot="1" x14ac:dyDescent="0.3">
      <c r="A88" s="1612">
        <v>6</v>
      </c>
      <c r="B88" s="1330" t="s">
        <v>10247</v>
      </c>
      <c r="C88" s="1330">
        <v>1</v>
      </c>
      <c r="D88" s="781" t="s">
        <v>10235</v>
      </c>
      <c r="E88" s="1587" t="s">
        <v>10126</v>
      </c>
      <c r="F88" s="1748">
        <f t="shared" si="44"/>
        <v>230000</v>
      </c>
      <c r="G88" s="779">
        <v>230000</v>
      </c>
      <c r="H88" s="779"/>
      <c r="I88" s="1602">
        <f t="shared" si="45"/>
        <v>230000</v>
      </c>
      <c r="J88" s="1335" t="s">
        <v>10264</v>
      </c>
      <c r="K88" s="1597">
        <f t="shared" si="7"/>
        <v>230000</v>
      </c>
      <c r="L88" s="1590">
        <f t="shared" ref="L88:W88" si="48">L44*$F88</f>
        <v>0</v>
      </c>
      <c r="M88" s="1590">
        <f t="shared" si="48"/>
        <v>0</v>
      </c>
      <c r="N88" s="1590">
        <f t="shared" si="48"/>
        <v>0</v>
      </c>
      <c r="O88" s="1590">
        <f t="shared" si="48"/>
        <v>0</v>
      </c>
      <c r="P88" s="1590">
        <f t="shared" si="48"/>
        <v>0</v>
      </c>
      <c r="Q88" s="1590">
        <f t="shared" si="48"/>
        <v>0</v>
      </c>
      <c r="R88" s="1590">
        <f t="shared" si="48"/>
        <v>0</v>
      </c>
      <c r="S88" s="1590">
        <f t="shared" si="48"/>
        <v>230000</v>
      </c>
      <c r="T88" s="1590">
        <f t="shared" si="48"/>
        <v>0</v>
      </c>
      <c r="U88" s="1590">
        <f t="shared" si="48"/>
        <v>0</v>
      </c>
      <c r="V88" s="1590">
        <f t="shared" si="48"/>
        <v>0</v>
      </c>
      <c r="W88" s="1593">
        <f t="shared" si="48"/>
        <v>0</v>
      </c>
      <c r="X88" s="781"/>
    </row>
    <row r="89" spans="1:24" ht="15.75" hidden="1" thickBot="1" x14ac:dyDescent="0.3">
      <c r="A89" s="1612">
        <v>7</v>
      </c>
      <c r="B89" s="1330" t="s">
        <v>10247</v>
      </c>
      <c r="C89" s="1330">
        <v>1</v>
      </c>
      <c r="D89" s="1318" t="s">
        <v>10236</v>
      </c>
      <c r="E89" s="1587" t="s">
        <v>10126</v>
      </c>
      <c r="F89" s="1748">
        <f t="shared" si="44"/>
        <v>60000</v>
      </c>
      <c r="G89" s="779"/>
      <c r="H89" s="779">
        <v>60000</v>
      </c>
      <c r="I89" s="1602">
        <f t="shared" si="45"/>
        <v>60000</v>
      </c>
      <c r="J89" s="1335" t="s">
        <v>10172</v>
      </c>
      <c r="K89" s="1597">
        <f t="shared" si="7"/>
        <v>60000</v>
      </c>
      <c r="L89" s="1590">
        <f t="shared" ref="L89:W89" si="49">L45*$F89</f>
        <v>0</v>
      </c>
      <c r="M89" s="1590">
        <f t="shared" si="49"/>
        <v>0</v>
      </c>
      <c r="N89" s="1590">
        <f t="shared" si="49"/>
        <v>0</v>
      </c>
      <c r="O89" s="1590">
        <f t="shared" si="49"/>
        <v>0</v>
      </c>
      <c r="P89" s="1590">
        <f t="shared" si="49"/>
        <v>0</v>
      </c>
      <c r="Q89" s="1590">
        <f t="shared" si="49"/>
        <v>0</v>
      </c>
      <c r="R89" s="1590">
        <f t="shared" si="49"/>
        <v>0</v>
      </c>
      <c r="S89" s="1590">
        <f t="shared" si="49"/>
        <v>0</v>
      </c>
      <c r="T89" s="1590">
        <f t="shared" si="49"/>
        <v>60000</v>
      </c>
      <c r="U89" s="1590">
        <f t="shared" si="49"/>
        <v>0</v>
      </c>
      <c r="V89" s="1590">
        <f t="shared" si="49"/>
        <v>0</v>
      </c>
      <c r="W89" s="1593">
        <f t="shared" si="49"/>
        <v>0</v>
      </c>
      <c r="X89" s="781"/>
    </row>
    <row r="90" spans="1:24" ht="15.75" hidden="1" thickBot="1" x14ac:dyDescent="0.3">
      <c r="A90" s="1612">
        <v>8</v>
      </c>
      <c r="B90" s="1330" t="s">
        <v>10247</v>
      </c>
      <c r="C90" s="1330">
        <v>1</v>
      </c>
      <c r="D90" s="781" t="s">
        <v>10237</v>
      </c>
      <c r="E90" s="1587" t="s">
        <v>10126</v>
      </c>
      <c r="F90" s="1748">
        <f t="shared" si="44"/>
        <v>35000</v>
      </c>
      <c r="G90" s="779"/>
      <c r="H90" s="779">
        <v>35000</v>
      </c>
      <c r="I90" s="1602">
        <f t="shared" si="45"/>
        <v>35000</v>
      </c>
      <c r="J90" s="1335" t="s">
        <v>10172</v>
      </c>
      <c r="K90" s="1597">
        <f t="shared" si="7"/>
        <v>35000</v>
      </c>
      <c r="L90" s="1590">
        <f t="shared" ref="L90:W90" si="50">L46*$F90</f>
        <v>0</v>
      </c>
      <c r="M90" s="1590">
        <f t="shared" si="50"/>
        <v>0</v>
      </c>
      <c r="N90" s="1590">
        <f t="shared" si="50"/>
        <v>0</v>
      </c>
      <c r="O90" s="1590">
        <f t="shared" si="50"/>
        <v>0</v>
      </c>
      <c r="P90" s="1590">
        <f t="shared" si="50"/>
        <v>0</v>
      </c>
      <c r="Q90" s="1590">
        <f t="shared" si="50"/>
        <v>0</v>
      </c>
      <c r="R90" s="1590">
        <f t="shared" si="50"/>
        <v>0</v>
      </c>
      <c r="S90" s="1590">
        <f t="shared" si="50"/>
        <v>0</v>
      </c>
      <c r="T90" s="1590">
        <f t="shared" si="50"/>
        <v>35000</v>
      </c>
      <c r="U90" s="1590">
        <f t="shared" si="50"/>
        <v>0</v>
      </c>
      <c r="V90" s="1590">
        <f t="shared" si="50"/>
        <v>0</v>
      </c>
      <c r="W90" s="1593">
        <f t="shared" si="50"/>
        <v>0</v>
      </c>
      <c r="X90" s="781"/>
    </row>
    <row r="91" spans="1:24" ht="15.75" hidden="1" thickBot="1" x14ac:dyDescent="0.3">
      <c r="A91" s="1612">
        <v>10</v>
      </c>
      <c r="B91" s="1330" t="s">
        <v>10247</v>
      </c>
      <c r="C91" s="1330">
        <v>1</v>
      </c>
      <c r="D91" s="781" t="s">
        <v>10238</v>
      </c>
      <c r="E91" s="1587" t="s">
        <v>10126</v>
      </c>
      <c r="F91" s="1748">
        <f t="shared" si="44"/>
        <v>20000</v>
      </c>
      <c r="G91" s="779"/>
      <c r="H91" s="779">
        <v>20000</v>
      </c>
      <c r="I91" s="1602">
        <f t="shared" si="45"/>
        <v>20000</v>
      </c>
      <c r="J91" s="1335" t="s">
        <v>10163</v>
      </c>
      <c r="K91" s="1597">
        <f t="shared" si="7"/>
        <v>20000</v>
      </c>
      <c r="L91" s="1590">
        <f t="shared" ref="L91:W91" si="51">L47*$F91</f>
        <v>20000</v>
      </c>
      <c r="M91" s="1590">
        <f t="shared" si="51"/>
        <v>0</v>
      </c>
      <c r="N91" s="1590">
        <f t="shared" si="51"/>
        <v>0</v>
      </c>
      <c r="O91" s="1590">
        <f t="shared" si="51"/>
        <v>0</v>
      </c>
      <c r="P91" s="1590">
        <f t="shared" si="51"/>
        <v>0</v>
      </c>
      <c r="Q91" s="1590">
        <f t="shared" si="51"/>
        <v>0</v>
      </c>
      <c r="R91" s="1590">
        <f t="shared" si="51"/>
        <v>0</v>
      </c>
      <c r="S91" s="1590">
        <f t="shared" si="51"/>
        <v>0</v>
      </c>
      <c r="T91" s="1590">
        <f t="shared" si="51"/>
        <v>0</v>
      </c>
      <c r="U91" s="1590">
        <f t="shared" si="51"/>
        <v>0</v>
      </c>
      <c r="V91" s="1590">
        <f t="shared" si="51"/>
        <v>0</v>
      </c>
      <c r="W91" s="1593">
        <f t="shared" si="51"/>
        <v>0</v>
      </c>
      <c r="X91" s="781"/>
    </row>
    <row r="92" spans="1:24" ht="15.75" hidden="1" thickBot="1" x14ac:dyDescent="0.3">
      <c r="A92" s="1612">
        <v>11</v>
      </c>
      <c r="B92" s="1330" t="s">
        <v>10247</v>
      </c>
      <c r="C92" s="1330">
        <v>1</v>
      </c>
      <c r="D92" s="781" t="s">
        <v>10239</v>
      </c>
      <c r="E92" s="1587" t="s">
        <v>10126</v>
      </c>
      <c r="F92" s="1748">
        <f t="shared" si="44"/>
        <v>7000</v>
      </c>
      <c r="G92" s="779"/>
      <c r="H92" s="779">
        <v>7000</v>
      </c>
      <c r="I92" s="1602">
        <f t="shared" si="45"/>
        <v>7000</v>
      </c>
      <c r="J92" s="1335" t="s">
        <v>10172</v>
      </c>
      <c r="K92" s="1597">
        <f t="shared" si="7"/>
        <v>7000</v>
      </c>
      <c r="L92" s="1590">
        <f t="shared" ref="L92:W92" si="52">L48*$F92</f>
        <v>0</v>
      </c>
      <c r="M92" s="1590">
        <f t="shared" si="52"/>
        <v>0</v>
      </c>
      <c r="N92" s="1590">
        <f t="shared" si="52"/>
        <v>7000</v>
      </c>
      <c r="O92" s="1590">
        <f t="shared" si="52"/>
        <v>0</v>
      </c>
      <c r="P92" s="1590">
        <f t="shared" si="52"/>
        <v>0</v>
      </c>
      <c r="Q92" s="1590">
        <f t="shared" si="52"/>
        <v>0</v>
      </c>
      <c r="R92" s="1590">
        <f t="shared" si="52"/>
        <v>0</v>
      </c>
      <c r="S92" s="1590">
        <f t="shared" si="52"/>
        <v>0</v>
      </c>
      <c r="T92" s="1590">
        <f t="shared" si="52"/>
        <v>0</v>
      </c>
      <c r="U92" s="1590">
        <f t="shared" si="52"/>
        <v>0</v>
      </c>
      <c r="V92" s="1590">
        <f t="shared" si="52"/>
        <v>0</v>
      </c>
      <c r="W92" s="1593">
        <f t="shared" si="52"/>
        <v>0</v>
      </c>
      <c r="X92" s="781"/>
    </row>
    <row r="93" spans="1:24" ht="15.75" hidden="1" thickBot="1" x14ac:dyDescent="0.3">
      <c r="A93" s="1612">
        <v>12</v>
      </c>
      <c r="B93" s="1330" t="s">
        <v>10247</v>
      </c>
      <c r="C93" s="1330">
        <v>1</v>
      </c>
      <c r="D93" s="781" t="s">
        <v>10128</v>
      </c>
      <c r="E93" s="1587" t="s">
        <v>10126</v>
      </c>
      <c r="F93" s="1333">
        <f t="shared" si="44"/>
        <v>26300</v>
      </c>
      <c r="G93" s="1259"/>
      <c r="H93" s="1259">
        <f>8700+10000+7600</f>
        <v>26300</v>
      </c>
      <c r="I93" s="1602">
        <f t="shared" si="45"/>
        <v>26300</v>
      </c>
      <c r="J93" s="1335" t="s">
        <v>10170</v>
      </c>
      <c r="K93" s="1597">
        <f t="shared" si="7"/>
        <v>26300</v>
      </c>
      <c r="L93" s="1590">
        <f t="shared" ref="L93:W93" si="53">L49*$F93</f>
        <v>0</v>
      </c>
      <c r="M93" s="1590">
        <f t="shared" si="53"/>
        <v>0</v>
      </c>
      <c r="N93" s="1590">
        <f t="shared" si="53"/>
        <v>0</v>
      </c>
      <c r="O93" s="1590">
        <f t="shared" si="53"/>
        <v>0</v>
      </c>
      <c r="P93" s="1590">
        <f t="shared" si="53"/>
        <v>0</v>
      </c>
      <c r="Q93" s="1590">
        <f t="shared" si="53"/>
        <v>0</v>
      </c>
      <c r="R93" s="1590">
        <f t="shared" si="53"/>
        <v>0</v>
      </c>
      <c r="S93" s="1590">
        <f t="shared" si="53"/>
        <v>26300</v>
      </c>
      <c r="T93" s="1590">
        <f t="shared" si="53"/>
        <v>0</v>
      </c>
      <c r="U93" s="1590">
        <f t="shared" si="53"/>
        <v>0</v>
      </c>
      <c r="V93" s="1590">
        <f t="shared" si="53"/>
        <v>0</v>
      </c>
      <c r="W93" s="1593">
        <f t="shared" si="53"/>
        <v>0</v>
      </c>
      <c r="X93" s="781"/>
    </row>
    <row r="94" spans="1:24" ht="15.75" hidden="1" thickBot="1" x14ac:dyDescent="0.3">
      <c r="A94" s="1612">
        <v>16</v>
      </c>
      <c r="B94" s="1330" t="s">
        <v>10247</v>
      </c>
      <c r="C94" s="1330">
        <v>1</v>
      </c>
      <c r="D94" s="781" t="s">
        <v>10224</v>
      </c>
      <c r="E94" s="1587" t="s">
        <v>10034</v>
      </c>
      <c r="F94" s="1333">
        <f t="shared" si="44"/>
        <v>10000</v>
      </c>
      <c r="G94" s="1259"/>
      <c r="H94" s="1259">
        <v>10000</v>
      </c>
      <c r="I94" s="1602">
        <f t="shared" si="45"/>
        <v>10000</v>
      </c>
      <c r="J94" s="1335" t="s">
        <v>10170</v>
      </c>
      <c r="K94" s="1597">
        <f t="shared" si="7"/>
        <v>10000</v>
      </c>
      <c r="L94" s="1590">
        <f t="shared" ref="L94:W94" si="54">L50*$F94</f>
        <v>0</v>
      </c>
      <c r="M94" s="1590">
        <f t="shared" si="54"/>
        <v>0</v>
      </c>
      <c r="N94" s="1590">
        <f t="shared" si="54"/>
        <v>10000</v>
      </c>
      <c r="O94" s="1590">
        <f t="shared" si="54"/>
        <v>0</v>
      </c>
      <c r="P94" s="1590">
        <f t="shared" si="54"/>
        <v>0</v>
      </c>
      <c r="Q94" s="1590">
        <f t="shared" si="54"/>
        <v>0</v>
      </c>
      <c r="R94" s="1590">
        <f t="shared" si="54"/>
        <v>0</v>
      </c>
      <c r="S94" s="1590">
        <f t="shared" si="54"/>
        <v>0</v>
      </c>
      <c r="T94" s="1590">
        <f t="shared" si="54"/>
        <v>0</v>
      </c>
      <c r="U94" s="1590">
        <f t="shared" si="54"/>
        <v>0</v>
      </c>
      <c r="V94" s="1590">
        <f t="shared" si="54"/>
        <v>0</v>
      </c>
      <c r="W94" s="1593">
        <f t="shared" si="54"/>
        <v>0</v>
      </c>
      <c r="X94" s="781"/>
    </row>
    <row r="95" spans="1:24" ht="15.75" hidden="1" thickBot="1" x14ac:dyDescent="0.3">
      <c r="A95" s="1612">
        <v>1</v>
      </c>
      <c r="B95" s="1330" t="s">
        <v>10248</v>
      </c>
      <c r="C95" s="1330">
        <v>1</v>
      </c>
      <c r="D95" s="781" t="s">
        <v>10240</v>
      </c>
      <c r="E95" s="1624" t="s">
        <v>10241</v>
      </c>
      <c r="F95" s="1333">
        <f t="shared" si="44"/>
        <v>45000</v>
      </c>
      <c r="G95" s="1603"/>
      <c r="H95" s="1603">
        <v>45000</v>
      </c>
      <c r="I95" s="1604">
        <f t="shared" si="45"/>
        <v>45000</v>
      </c>
      <c r="J95" s="1332" t="s">
        <v>10163</v>
      </c>
      <c r="K95" s="1597">
        <f t="shared" ref="K95:K96" si="55">SUM(L95:W95)</f>
        <v>45000</v>
      </c>
      <c r="L95" s="1590">
        <f t="shared" ref="L95:W95" si="56">L51*$F95</f>
        <v>45000</v>
      </c>
      <c r="M95" s="1590">
        <f t="shared" si="56"/>
        <v>0</v>
      </c>
      <c r="N95" s="1590">
        <f t="shared" si="56"/>
        <v>0</v>
      </c>
      <c r="O95" s="1590">
        <f t="shared" si="56"/>
        <v>0</v>
      </c>
      <c r="P95" s="1590">
        <f t="shared" si="56"/>
        <v>0</v>
      </c>
      <c r="Q95" s="1590">
        <f t="shared" si="56"/>
        <v>0</v>
      </c>
      <c r="R95" s="1590">
        <f t="shared" si="56"/>
        <v>0</v>
      </c>
      <c r="S95" s="1590">
        <f t="shared" si="56"/>
        <v>0</v>
      </c>
      <c r="T95" s="1590">
        <f t="shared" si="56"/>
        <v>0</v>
      </c>
      <c r="U95" s="1590">
        <f t="shared" si="56"/>
        <v>0</v>
      </c>
      <c r="V95" s="1590">
        <f t="shared" si="56"/>
        <v>0</v>
      </c>
      <c r="W95" s="1593">
        <f t="shared" si="56"/>
        <v>0</v>
      </c>
      <c r="X95" s="781"/>
    </row>
    <row r="96" spans="1:24" ht="15.75" hidden="1" thickBot="1" x14ac:dyDescent="0.3">
      <c r="A96" s="1612">
        <v>2</v>
      </c>
      <c r="B96" s="1330" t="s">
        <v>10248</v>
      </c>
      <c r="C96" s="1330">
        <v>1</v>
      </c>
      <c r="D96" s="781" t="s">
        <v>10242</v>
      </c>
      <c r="E96" s="1624" t="s">
        <v>10034</v>
      </c>
      <c r="F96" s="1333">
        <f t="shared" si="44"/>
        <v>4500</v>
      </c>
      <c r="G96" s="1603"/>
      <c r="H96" s="1603">
        <v>4500</v>
      </c>
      <c r="I96" s="1604">
        <f t="shared" si="45"/>
        <v>4500</v>
      </c>
      <c r="J96" s="1332" t="s">
        <v>10121</v>
      </c>
      <c r="K96" s="1597">
        <f t="shared" si="55"/>
        <v>4500</v>
      </c>
      <c r="L96" s="1590">
        <f t="shared" ref="L96:W96" si="57">L52*$F96</f>
        <v>4500</v>
      </c>
      <c r="M96" s="1590">
        <f t="shared" si="57"/>
        <v>0</v>
      </c>
      <c r="N96" s="1590">
        <f t="shared" si="57"/>
        <v>0</v>
      </c>
      <c r="O96" s="1590">
        <f t="shared" si="57"/>
        <v>0</v>
      </c>
      <c r="P96" s="1590">
        <f t="shared" si="57"/>
        <v>0</v>
      </c>
      <c r="Q96" s="1590">
        <f t="shared" si="57"/>
        <v>0</v>
      </c>
      <c r="R96" s="1590">
        <f t="shared" si="57"/>
        <v>0</v>
      </c>
      <c r="S96" s="1590">
        <f t="shared" si="57"/>
        <v>0</v>
      </c>
      <c r="T96" s="1590">
        <f t="shared" si="57"/>
        <v>0</v>
      </c>
      <c r="U96" s="1590">
        <f t="shared" si="57"/>
        <v>0</v>
      </c>
      <c r="V96" s="1590">
        <f t="shared" si="57"/>
        <v>0</v>
      </c>
      <c r="W96" s="1593">
        <f t="shared" si="57"/>
        <v>0</v>
      </c>
      <c r="X96" s="781"/>
    </row>
    <row r="97" spans="1:24" ht="15.75" hidden="1" thickBot="1" x14ac:dyDescent="0.3">
      <c r="A97" s="1612"/>
      <c r="B97" s="1330"/>
      <c r="C97" s="1330"/>
      <c r="E97" s="1624"/>
      <c r="G97" s="1323"/>
      <c r="H97" s="1323"/>
      <c r="I97" s="1322"/>
      <c r="J97" s="1332"/>
      <c r="K97" s="1597"/>
      <c r="L97" s="1590"/>
      <c r="M97" s="1590"/>
      <c r="N97" s="1590"/>
      <c r="O97" s="1590"/>
      <c r="P97" s="1590"/>
      <c r="Q97" s="1590"/>
      <c r="R97" s="1590"/>
      <c r="S97" s="1590"/>
      <c r="T97" s="1590"/>
      <c r="U97" s="1590"/>
      <c r="V97" s="1590"/>
      <c r="W97" s="1593"/>
      <c r="X97" s="781"/>
    </row>
    <row r="98" spans="1:24" ht="15.75" hidden="1" thickBot="1" x14ac:dyDescent="0.3">
      <c r="A98" s="1617"/>
      <c r="B98" s="1324"/>
      <c r="C98" s="1324"/>
      <c r="D98" s="1325"/>
      <c r="E98" s="1592"/>
      <c r="F98" s="1437"/>
      <c r="G98" s="1326"/>
      <c r="H98" s="1326"/>
      <c r="I98" s="1327"/>
      <c r="J98" s="781"/>
      <c r="K98" s="1584"/>
      <c r="L98" s="1584"/>
      <c r="M98" s="1584"/>
      <c r="N98" s="1584"/>
      <c r="O98" s="1584"/>
      <c r="P98" s="1584"/>
      <c r="Q98" s="1584"/>
      <c r="R98" s="1584"/>
      <c r="S98" s="1584"/>
      <c r="T98" s="1584"/>
      <c r="U98" s="1584"/>
      <c r="V98" s="1584"/>
      <c r="W98" s="1592"/>
      <c r="X98" s="781"/>
    </row>
    <row r="99" spans="1:24" ht="15.75" thickTop="1" x14ac:dyDescent="0.25">
      <c r="A99" s="1612"/>
      <c r="B99" s="1620"/>
      <c r="C99" s="1620"/>
      <c r="D99" s="780"/>
      <c r="E99" s="780"/>
      <c r="G99" s="1622"/>
      <c r="H99" s="1319"/>
      <c r="I99" s="1319"/>
      <c r="J99" s="781"/>
      <c r="K99" s="1598"/>
      <c r="L99" s="1579"/>
      <c r="M99" s="1579"/>
      <c r="N99" s="1579"/>
      <c r="O99" s="1579"/>
      <c r="P99" s="1579"/>
      <c r="Q99" s="1579"/>
      <c r="R99" s="1579"/>
      <c r="S99" s="1579"/>
      <c r="T99" s="1579"/>
      <c r="U99" s="1579"/>
      <c r="V99" s="1579"/>
      <c r="W99" s="1587"/>
      <c r="X99" s="781"/>
    </row>
    <row r="100" spans="1:24" ht="15.75" thickBot="1" x14ac:dyDescent="0.3">
      <c r="A100" s="1617"/>
      <c r="B100" s="1581"/>
      <c r="C100" s="1581"/>
      <c r="D100" s="1621" t="s">
        <v>10464</v>
      </c>
      <c r="E100" s="1584"/>
      <c r="F100" s="1600"/>
      <c r="G100" s="1585"/>
      <c r="H100" s="1585"/>
      <c r="I100" s="1585"/>
      <c r="J100" s="781"/>
      <c r="K100" s="1599">
        <f>SUBTOTAL(109,K56:K98)</f>
        <v>7085000</v>
      </c>
      <c r="L100" s="1600">
        <f t="shared" ref="L100:W100" si="58">SUBTOTAL(109,L56:L98)</f>
        <v>0</v>
      </c>
      <c r="M100" s="1600">
        <f t="shared" si="58"/>
        <v>0</v>
      </c>
      <c r="N100" s="1600">
        <f t="shared" si="58"/>
        <v>0</v>
      </c>
      <c r="O100" s="1600">
        <f t="shared" si="58"/>
        <v>0</v>
      </c>
      <c r="P100" s="1600">
        <f t="shared" si="58"/>
        <v>0</v>
      </c>
      <c r="Q100" s="1600">
        <f t="shared" si="58"/>
        <v>4127500</v>
      </c>
      <c r="R100" s="1600">
        <f t="shared" si="58"/>
        <v>2957500</v>
      </c>
      <c r="S100" s="1600">
        <f t="shared" si="58"/>
        <v>0</v>
      </c>
      <c r="T100" s="1600">
        <f t="shared" si="58"/>
        <v>0</v>
      </c>
      <c r="U100" s="1600">
        <f t="shared" si="58"/>
        <v>0</v>
      </c>
      <c r="V100" s="1600">
        <f t="shared" si="58"/>
        <v>0</v>
      </c>
      <c r="W100" s="1601">
        <f t="shared" si="58"/>
        <v>0</v>
      </c>
      <c r="X100" s="781"/>
    </row>
    <row r="101" spans="1:24" ht="15.75" thickTop="1" x14ac:dyDescent="0.25">
      <c r="A101" s="1312"/>
      <c r="B101" s="1312"/>
      <c r="C101" s="1312"/>
      <c r="J101" s="781"/>
      <c r="K101" s="781"/>
      <c r="L101" s="781"/>
      <c r="M101" s="781"/>
      <c r="N101" s="781"/>
      <c r="O101" s="781"/>
      <c r="P101" s="781"/>
      <c r="Q101" s="781"/>
      <c r="R101" s="781"/>
      <c r="S101" s="781"/>
      <c r="T101" s="781"/>
      <c r="U101" s="781"/>
      <c r="V101" s="781"/>
      <c r="W101" s="781"/>
      <c r="X101" s="781"/>
    </row>
    <row r="102" spans="1:24" x14ac:dyDescent="0.25">
      <c r="A102" s="1312"/>
      <c r="B102" s="1312"/>
      <c r="C102" s="1312"/>
      <c r="D102" s="1749" t="s">
        <v>10686</v>
      </c>
      <c r="E102" s="1304"/>
      <c r="F102" s="1434"/>
      <c r="G102" s="1750"/>
      <c r="H102" s="1750"/>
      <c r="I102" s="1750"/>
      <c r="J102" s="1304"/>
      <c r="K102" s="1304"/>
      <c r="L102" s="1434">
        <f>'Presup. de Flujo de Caja'!B83</f>
        <v>26997998.504102048</v>
      </c>
      <c r="M102" s="1434">
        <f>'Presup. de Flujo de Caja'!C83</f>
        <v>33953343.202969611</v>
      </c>
      <c r="N102" s="1434">
        <f>'Presup. de Flujo de Caja'!D83</f>
        <v>40425075.288179494</v>
      </c>
      <c r="O102" s="1434">
        <f>'Presup. de Flujo de Caja'!E83</f>
        <v>43301135.109788977</v>
      </c>
      <c r="P102" s="1434">
        <f>'Presup. de Flujo de Caja'!F83</f>
        <v>34558089.012430593</v>
      </c>
      <c r="Q102" s="1434">
        <f>'Presup. de Flujo de Caja'!G83</f>
        <v>30908614.352135938</v>
      </c>
      <c r="R102" s="1434">
        <f>'Presup. de Flujo de Caja'!H83</f>
        <v>21447655.177665148</v>
      </c>
      <c r="S102" s="1434">
        <f>'Presup. de Flujo de Caja'!I83</f>
        <v>22500668.07923843</v>
      </c>
      <c r="T102" s="1434">
        <f>'Presup. de Flujo de Caja'!J83</f>
        <v>31270372.099338941</v>
      </c>
      <c r="U102" s="1434">
        <f>'Presup. de Flujo de Caja'!K83</f>
        <v>34822981.832508355</v>
      </c>
      <c r="V102" s="1434">
        <f>'Presup. de Flujo de Caja'!L83</f>
        <v>40819447.012222223</v>
      </c>
      <c r="W102" s="1434">
        <f>'Presup. de Flujo de Caja'!M83</f>
        <v>45059649.320373081</v>
      </c>
      <c r="X102" s="781"/>
    </row>
    <row r="103" spans="1:24" x14ac:dyDescent="0.25">
      <c r="A103" s="1312"/>
      <c r="B103" s="1312"/>
      <c r="C103" s="1312"/>
      <c r="J103" s="781"/>
      <c r="K103" s="781"/>
      <c r="L103" s="781"/>
      <c r="M103" s="781"/>
      <c r="N103" s="781"/>
      <c r="O103" s="781"/>
      <c r="P103" s="781"/>
      <c r="Q103" s="781"/>
      <c r="R103" s="781"/>
      <c r="S103" s="781"/>
      <c r="T103" s="781"/>
      <c r="U103" s="781"/>
      <c r="V103" s="781"/>
      <c r="W103" s="781"/>
      <c r="X103" s="781"/>
    </row>
    <row r="104" spans="1:24" x14ac:dyDescent="0.25">
      <c r="A104" s="1312"/>
      <c r="B104" s="1312"/>
      <c r="C104" s="1312"/>
      <c r="J104" s="781"/>
      <c r="K104" s="781"/>
      <c r="L104" s="781"/>
      <c r="M104" s="781"/>
      <c r="N104" s="781"/>
      <c r="O104" s="781"/>
      <c r="P104" s="781"/>
      <c r="Q104" s="781"/>
      <c r="R104" s="781"/>
      <c r="S104" s="781"/>
      <c r="T104" s="781"/>
      <c r="U104" s="781"/>
      <c r="V104" s="781"/>
      <c r="W104" s="781"/>
      <c r="X104" s="781"/>
    </row>
    <row r="105" spans="1:24" x14ac:dyDescent="0.25">
      <c r="A105" s="1318"/>
      <c r="B105" s="1318"/>
      <c r="C105" s="1318"/>
      <c r="E105" s="1810" t="s">
        <v>10345</v>
      </c>
      <c r="F105" s="1810"/>
      <c r="G105" s="781"/>
      <c r="H105" s="781"/>
      <c r="I105" s="781"/>
      <c r="J105" s="1332" t="s">
        <v>10169</v>
      </c>
      <c r="K105" s="1336">
        <f>SUM(L105:W105)</f>
        <v>25374525</v>
      </c>
      <c r="L105" s="1333">
        <f t="shared" ref="L105:W112" si="59">SUMIF($J$56:$J$97,$J105,L$56:L$97)</f>
        <v>0</v>
      </c>
      <c r="M105" s="1333">
        <f t="shared" si="59"/>
        <v>560430</v>
      </c>
      <c r="N105" s="1333">
        <f t="shared" si="59"/>
        <v>9142035</v>
      </c>
      <c r="O105" s="1333">
        <f t="shared" si="59"/>
        <v>5410830</v>
      </c>
      <c r="P105" s="1333">
        <f t="shared" si="59"/>
        <v>10261230</v>
      </c>
      <c r="Q105" s="1333">
        <f t="shared" si="59"/>
        <v>0</v>
      </c>
      <c r="R105" s="1333">
        <f t="shared" si="59"/>
        <v>0</v>
      </c>
      <c r="S105" s="1333">
        <f t="shared" si="59"/>
        <v>0</v>
      </c>
      <c r="T105" s="1333">
        <f t="shared" si="59"/>
        <v>0</v>
      </c>
      <c r="U105" s="1333">
        <f t="shared" si="59"/>
        <v>0</v>
      </c>
      <c r="V105" s="1333">
        <f t="shared" si="59"/>
        <v>0</v>
      </c>
      <c r="W105" s="1333">
        <f t="shared" si="59"/>
        <v>0</v>
      </c>
      <c r="X105" s="781"/>
    </row>
    <row r="106" spans="1:24" x14ac:dyDescent="0.25">
      <c r="A106" s="1318"/>
      <c r="B106" s="1318"/>
      <c r="C106" s="1318"/>
      <c r="G106" s="781"/>
      <c r="H106" s="781"/>
      <c r="I106" s="781"/>
      <c r="J106" s="1332" t="s">
        <v>10127</v>
      </c>
      <c r="K106" s="1336">
        <f t="shared" ref="K106:K112" si="60">SUM(L106:W106)</f>
        <v>10761500</v>
      </c>
      <c r="L106" s="1333">
        <f t="shared" si="59"/>
        <v>1838250</v>
      </c>
      <c r="M106" s="1333">
        <f t="shared" si="59"/>
        <v>0</v>
      </c>
      <c r="N106" s="1333">
        <f t="shared" si="59"/>
        <v>1838250</v>
      </c>
      <c r="O106" s="1333">
        <f t="shared" si="59"/>
        <v>0</v>
      </c>
      <c r="P106" s="1333">
        <f t="shared" si="59"/>
        <v>0</v>
      </c>
      <c r="Q106" s="1333">
        <f t="shared" si="59"/>
        <v>4127500</v>
      </c>
      <c r="R106" s="1333">
        <f t="shared" si="59"/>
        <v>2957500</v>
      </c>
      <c r="S106" s="1333">
        <f t="shared" si="59"/>
        <v>0</v>
      </c>
      <c r="T106" s="1333">
        <f t="shared" si="59"/>
        <v>0</v>
      </c>
      <c r="U106" s="1333">
        <f t="shared" si="59"/>
        <v>0</v>
      </c>
      <c r="V106" s="1333">
        <f t="shared" si="59"/>
        <v>0</v>
      </c>
      <c r="W106" s="1333">
        <f t="shared" si="59"/>
        <v>0</v>
      </c>
      <c r="X106" s="781"/>
    </row>
    <row r="107" spans="1:24" x14ac:dyDescent="0.25">
      <c r="A107" s="1318"/>
      <c r="B107" s="1318"/>
      <c r="C107" s="1318"/>
      <c r="G107" s="781"/>
      <c r="H107" s="781"/>
      <c r="I107" s="781"/>
      <c r="J107" s="1332" t="s">
        <v>10264</v>
      </c>
      <c r="K107" s="1336">
        <f t="shared" si="60"/>
        <v>626000</v>
      </c>
      <c r="L107" s="1333">
        <f t="shared" si="59"/>
        <v>0</v>
      </c>
      <c r="M107" s="1333">
        <f t="shared" si="59"/>
        <v>0</v>
      </c>
      <c r="N107" s="1333">
        <f t="shared" si="59"/>
        <v>0</v>
      </c>
      <c r="O107" s="1333">
        <f t="shared" si="59"/>
        <v>0</v>
      </c>
      <c r="P107" s="1333">
        <f t="shared" si="59"/>
        <v>0</v>
      </c>
      <c r="Q107" s="1333">
        <f t="shared" si="59"/>
        <v>0</v>
      </c>
      <c r="R107" s="1333">
        <f t="shared" si="59"/>
        <v>166000</v>
      </c>
      <c r="S107" s="1333">
        <f t="shared" si="59"/>
        <v>230000</v>
      </c>
      <c r="T107" s="1333">
        <f t="shared" si="59"/>
        <v>230000</v>
      </c>
      <c r="U107" s="1333">
        <f t="shared" si="59"/>
        <v>0</v>
      </c>
      <c r="V107" s="1333">
        <f t="shared" si="59"/>
        <v>0</v>
      </c>
      <c r="W107" s="1333">
        <f t="shared" si="59"/>
        <v>0</v>
      </c>
      <c r="X107" s="781"/>
    </row>
    <row r="108" spans="1:24" x14ac:dyDescent="0.25">
      <c r="A108" s="1318"/>
      <c r="B108" s="1318"/>
      <c r="C108" s="1318"/>
      <c r="G108" s="781"/>
      <c r="H108" s="781"/>
      <c r="I108" s="781"/>
      <c r="J108" s="1332" t="s">
        <v>10170</v>
      </c>
      <c r="K108" s="1336">
        <f t="shared" si="60"/>
        <v>364300</v>
      </c>
      <c r="L108" s="1333">
        <f t="shared" si="59"/>
        <v>24000</v>
      </c>
      <c r="M108" s="1333">
        <f t="shared" si="59"/>
        <v>0</v>
      </c>
      <c r="N108" s="1333">
        <f t="shared" si="59"/>
        <v>24000</v>
      </c>
      <c r="O108" s="1333">
        <f t="shared" si="59"/>
        <v>0</v>
      </c>
      <c r="P108" s="1333">
        <f t="shared" si="59"/>
        <v>0</v>
      </c>
      <c r="Q108" s="1333">
        <f t="shared" si="59"/>
        <v>290000</v>
      </c>
      <c r="R108" s="1333">
        <f t="shared" si="59"/>
        <v>0</v>
      </c>
      <c r="S108" s="1333">
        <f t="shared" si="59"/>
        <v>26300</v>
      </c>
      <c r="T108" s="1333">
        <f t="shared" si="59"/>
        <v>0</v>
      </c>
      <c r="U108" s="1333">
        <f t="shared" si="59"/>
        <v>0</v>
      </c>
      <c r="V108" s="1333">
        <f t="shared" si="59"/>
        <v>0</v>
      </c>
      <c r="W108" s="1333">
        <f t="shared" si="59"/>
        <v>0</v>
      </c>
      <c r="X108" s="781"/>
    </row>
    <row r="109" spans="1:24" x14ac:dyDescent="0.25">
      <c r="A109" s="1318"/>
      <c r="B109" s="1318"/>
      <c r="C109" s="1318"/>
      <c r="G109" s="781"/>
      <c r="H109" s="781"/>
      <c r="I109" s="781"/>
      <c r="J109" s="1332" t="s">
        <v>10172</v>
      </c>
      <c r="K109" s="1336">
        <f t="shared" si="60"/>
        <v>812500</v>
      </c>
      <c r="L109" s="1333">
        <f t="shared" si="59"/>
        <v>8000</v>
      </c>
      <c r="M109" s="1333">
        <f t="shared" si="59"/>
        <v>0</v>
      </c>
      <c r="N109" s="1333">
        <f t="shared" si="59"/>
        <v>15500</v>
      </c>
      <c r="O109" s="1333">
        <f t="shared" si="59"/>
        <v>0</v>
      </c>
      <c r="P109" s="1333">
        <f t="shared" si="59"/>
        <v>350000</v>
      </c>
      <c r="Q109" s="1333">
        <f t="shared" si="59"/>
        <v>0</v>
      </c>
      <c r="R109" s="1333">
        <f t="shared" si="59"/>
        <v>15000</v>
      </c>
      <c r="S109" s="1333">
        <f t="shared" si="59"/>
        <v>0</v>
      </c>
      <c r="T109" s="1333">
        <f t="shared" si="59"/>
        <v>224000</v>
      </c>
      <c r="U109" s="1333">
        <f t="shared" si="59"/>
        <v>0</v>
      </c>
      <c r="V109" s="1333">
        <f t="shared" si="59"/>
        <v>200000</v>
      </c>
      <c r="W109" s="1333">
        <f t="shared" si="59"/>
        <v>0</v>
      </c>
      <c r="X109" s="781"/>
    </row>
    <row r="110" spans="1:24" x14ac:dyDescent="0.25">
      <c r="A110" s="1318"/>
      <c r="B110" s="1318"/>
      <c r="C110" s="1318"/>
      <c r="G110" s="781"/>
      <c r="H110" s="781"/>
      <c r="I110" s="781"/>
      <c r="J110" s="1332" t="s">
        <v>10174</v>
      </c>
      <c r="K110" s="1336">
        <f t="shared" si="60"/>
        <v>2220000</v>
      </c>
      <c r="L110" s="1333">
        <f t="shared" si="59"/>
        <v>0</v>
      </c>
      <c r="M110" s="1333">
        <f t="shared" si="59"/>
        <v>0</v>
      </c>
      <c r="N110" s="1333">
        <f t="shared" si="59"/>
        <v>150000</v>
      </c>
      <c r="O110" s="1333">
        <f t="shared" si="59"/>
        <v>0</v>
      </c>
      <c r="P110" s="1333">
        <f t="shared" si="59"/>
        <v>0</v>
      </c>
      <c r="Q110" s="1333">
        <f t="shared" si="59"/>
        <v>0</v>
      </c>
      <c r="R110" s="1333">
        <f t="shared" si="59"/>
        <v>600000</v>
      </c>
      <c r="S110" s="1333">
        <f t="shared" si="59"/>
        <v>1100000</v>
      </c>
      <c r="T110" s="1333">
        <f t="shared" si="59"/>
        <v>70000</v>
      </c>
      <c r="U110" s="1333">
        <f t="shared" si="59"/>
        <v>300000</v>
      </c>
      <c r="V110" s="1333">
        <f t="shared" si="59"/>
        <v>0</v>
      </c>
      <c r="W110" s="1333">
        <f t="shared" si="59"/>
        <v>0</v>
      </c>
      <c r="X110" s="781"/>
    </row>
    <row r="111" spans="1:24" x14ac:dyDescent="0.25">
      <c r="J111" s="1335" t="s">
        <v>10163</v>
      </c>
      <c r="K111" s="1336">
        <f t="shared" si="60"/>
        <v>65000</v>
      </c>
      <c r="L111" s="1333">
        <f t="shared" si="59"/>
        <v>65000</v>
      </c>
      <c r="M111" s="1333">
        <f t="shared" si="59"/>
        <v>0</v>
      </c>
      <c r="N111" s="1333">
        <f t="shared" si="59"/>
        <v>0</v>
      </c>
      <c r="O111" s="1333">
        <f t="shared" si="59"/>
        <v>0</v>
      </c>
      <c r="P111" s="1333">
        <f t="shared" si="59"/>
        <v>0</v>
      </c>
      <c r="Q111" s="1333">
        <f t="shared" si="59"/>
        <v>0</v>
      </c>
      <c r="R111" s="1333">
        <f t="shared" si="59"/>
        <v>0</v>
      </c>
      <c r="S111" s="1333">
        <f t="shared" si="59"/>
        <v>0</v>
      </c>
      <c r="T111" s="1333">
        <f t="shared" si="59"/>
        <v>0</v>
      </c>
      <c r="U111" s="1333">
        <f t="shared" si="59"/>
        <v>0</v>
      </c>
      <c r="V111" s="1333">
        <f t="shared" si="59"/>
        <v>0</v>
      </c>
      <c r="W111" s="1333">
        <f t="shared" si="59"/>
        <v>0</v>
      </c>
    </row>
    <row r="112" spans="1:24" x14ac:dyDescent="0.25">
      <c r="J112" s="1335" t="s">
        <v>10121</v>
      </c>
      <c r="K112" s="1336">
        <f t="shared" si="60"/>
        <v>1204200</v>
      </c>
      <c r="L112" s="1333">
        <f t="shared" si="59"/>
        <v>4500</v>
      </c>
      <c r="M112" s="1333">
        <f t="shared" si="59"/>
        <v>0</v>
      </c>
      <c r="N112" s="1333">
        <f t="shared" si="59"/>
        <v>0</v>
      </c>
      <c r="O112" s="1333">
        <f t="shared" si="59"/>
        <v>258000</v>
      </c>
      <c r="P112" s="1333">
        <f t="shared" si="59"/>
        <v>258000</v>
      </c>
      <c r="Q112" s="1333">
        <f t="shared" si="59"/>
        <v>258000</v>
      </c>
      <c r="R112" s="1333">
        <f t="shared" si="59"/>
        <v>258000</v>
      </c>
      <c r="S112" s="1333">
        <f t="shared" si="59"/>
        <v>167700</v>
      </c>
      <c r="T112" s="1333">
        <f t="shared" si="59"/>
        <v>0</v>
      </c>
      <c r="U112" s="1333">
        <f t="shared" si="59"/>
        <v>0</v>
      </c>
      <c r="V112" s="1333">
        <f t="shared" si="59"/>
        <v>0</v>
      </c>
      <c r="W112" s="1333">
        <f t="shared" si="59"/>
        <v>0</v>
      </c>
    </row>
    <row r="113" spans="6:23" x14ac:dyDescent="0.25">
      <c r="J113" s="1335" t="s">
        <v>135</v>
      </c>
      <c r="K113" s="1338">
        <f>SUM(K105:K112)</f>
        <v>41428025</v>
      </c>
      <c r="L113" s="1338">
        <f t="shared" ref="L113:W113" si="61">SUM(L105:L112)</f>
        <v>1939750</v>
      </c>
      <c r="M113" s="1338">
        <f t="shared" si="61"/>
        <v>560430</v>
      </c>
      <c r="N113" s="1338">
        <f t="shared" si="61"/>
        <v>11169785</v>
      </c>
      <c r="O113" s="1338">
        <f t="shared" si="61"/>
        <v>5668830</v>
      </c>
      <c r="P113" s="1338">
        <f t="shared" si="61"/>
        <v>10869230</v>
      </c>
      <c r="Q113" s="1338">
        <f t="shared" si="61"/>
        <v>4675500</v>
      </c>
      <c r="R113" s="1338">
        <f t="shared" si="61"/>
        <v>3996500</v>
      </c>
      <c r="S113" s="1338">
        <f t="shared" si="61"/>
        <v>1524000</v>
      </c>
      <c r="T113" s="1338">
        <f t="shared" si="61"/>
        <v>524000</v>
      </c>
      <c r="U113" s="1338">
        <f t="shared" si="61"/>
        <v>300000</v>
      </c>
      <c r="V113" s="1338">
        <f t="shared" si="61"/>
        <v>200000</v>
      </c>
      <c r="W113" s="1338">
        <f t="shared" si="61"/>
        <v>0</v>
      </c>
    </row>
    <row r="114" spans="6:23" x14ac:dyDescent="0.25">
      <c r="K114" s="1446"/>
    </row>
    <row r="116" spans="6:23" x14ac:dyDescent="0.25">
      <c r="F116" s="1336" t="s">
        <v>10336</v>
      </c>
      <c r="L116" s="1426">
        <f>'Presup. de Flujo de Caja'!B83-14000000</f>
        <v>12997998.504102048</v>
      </c>
      <c r="M116" s="1426">
        <f>'Presup. de Flujo de Caja'!C83-14000000</f>
        <v>19953343.202969611</v>
      </c>
      <c r="N116" s="1426">
        <f>'Presup. de Flujo de Caja'!D83-14000000</f>
        <v>26425075.288179494</v>
      </c>
      <c r="O116" s="1426">
        <f>'Presup. de Flujo de Caja'!E83-14000000</f>
        <v>29301135.109788977</v>
      </c>
      <c r="P116" s="1426">
        <f>'Presup. de Flujo de Caja'!F83-14000000</f>
        <v>20558089.012430593</v>
      </c>
      <c r="Q116" s="1426">
        <f>'Presup. de Flujo de Caja'!G83-14000000</f>
        <v>16908614.352135938</v>
      </c>
      <c r="R116" s="1426">
        <f>'Presup. de Flujo de Caja'!H83-14000000</f>
        <v>7447655.1776651479</v>
      </c>
      <c r="S116" s="1426">
        <f>'Presup. de Flujo de Caja'!I83-14000000</f>
        <v>8500668.0792384297</v>
      </c>
      <c r="T116" s="1426">
        <f>'Presup. de Flujo de Caja'!J83-14000000</f>
        <v>17270372.099338941</v>
      </c>
      <c r="U116" s="1426">
        <f>'Presup. de Flujo de Caja'!K83-14000000</f>
        <v>20822981.832508355</v>
      </c>
      <c r="V116" s="1426">
        <f>'Presup. de Flujo de Caja'!L83-14000000</f>
        <v>26819447.012222223</v>
      </c>
      <c r="W116" s="1426">
        <f>'Presup. de Flujo de Caja'!M83-14000000</f>
        <v>31059649.320373081</v>
      </c>
    </row>
    <row r="117" spans="6:23" x14ac:dyDescent="0.25">
      <c r="F117" s="1333">
        <f>'Presup. de Flujo de Caja'!B81</f>
        <v>26548242.620000001</v>
      </c>
    </row>
  </sheetData>
  <autoFilter ref="A11:W98">
    <filterColumn colId="3">
      <filters>
        <filter val="02_dollyes"/>
        <filter val="03_dollyes"/>
        <filter val="04_remolques tipo tolva"/>
        <filter val="06_remolques tipo tolva"/>
      </filters>
    </filterColumn>
  </autoFilter>
  <mergeCells count="3">
    <mergeCell ref="A7:I8"/>
    <mergeCell ref="G9:I9"/>
    <mergeCell ref="E105:F105"/>
  </mergeCells>
  <pageMargins left="0.7" right="0.7" top="0.75" bottom="0.75" header="0.3" footer="0.3"/>
  <pageSetup scale="47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4" sqref="B14"/>
    </sheetView>
  </sheetViews>
  <sheetFormatPr baseColWidth="10" defaultRowHeight="12.75" x14ac:dyDescent="0.2"/>
  <cols>
    <col min="1" max="1" width="6.140625" customWidth="1"/>
    <col min="2" max="2" width="35.5703125" customWidth="1"/>
  </cols>
  <sheetData>
    <row r="1" spans="1:2" x14ac:dyDescent="0.2">
      <c r="A1" s="1334" t="s">
        <v>10251</v>
      </c>
      <c r="B1" s="1334" t="s">
        <v>10252</v>
      </c>
    </row>
    <row r="2" spans="1:2" x14ac:dyDescent="0.2">
      <c r="A2" s="1334" t="s">
        <v>10158</v>
      </c>
      <c r="B2" s="1334" t="s">
        <v>10159</v>
      </c>
    </row>
    <row r="3" spans="1:2" x14ac:dyDescent="0.2">
      <c r="A3" s="1334" t="s">
        <v>10121</v>
      </c>
      <c r="B3" s="1334" t="s">
        <v>10160</v>
      </c>
    </row>
    <row r="4" spans="1:2" x14ac:dyDescent="0.2">
      <c r="A4" s="1334" t="s">
        <v>10253</v>
      </c>
      <c r="B4" s="1334" t="s">
        <v>10124</v>
      </c>
    </row>
    <row r="5" spans="1:2" x14ac:dyDescent="0.2">
      <c r="A5" s="1334" t="s">
        <v>10254</v>
      </c>
      <c r="B5" s="1334" t="s">
        <v>10255</v>
      </c>
    </row>
    <row r="6" spans="1:2" x14ac:dyDescent="0.2">
      <c r="A6" s="1334" t="s">
        <v>10161</v>
      </c>
      <c r="B6" s="1334" t="s">
        <v>10162</v>
      </c>
    </row>
    <row r="7" spans="1:2" x14ac:dyDescent="0.2">
      <c r="A7" s="1334" t="s">
        <v>10256</v>
      </c>
      <c r="B7" s="1334" t="s">
        <v>10257</v>
      </c>
    </row>
    <row r="8" spans="1:2" x14ac:dyDescent="0.2">
      <c r="A8" s="1334" t="s">
        <v>10163</v>
      </c>
      <c r="B8" s="1334" t="s">
        <v>10164</v>
      </c>
    </row>
    <row r="9" spans="1:2" x14ac:dyDescent="0.2">
      <c r="A9" s="1334" t="s">
        <v>10165</v>
      </c>
      <c r="B9" s="1334" t="s">
        <v>10166</v>
      </c>
    </row>
    <row r="10" spans="1:2" x14ac:dyDescent="0.2">
      <c r="A10" s="1334" t="s">
        <v>10167</v>
      </c>
      <c r="B10" s="1334" t="s">
        <v>10168</v>
      </c>
    </row>
    <row r="11" spans="1:2" x14ac:dyDescent="0.2">
      <c r="A11" s="1334" t="s">
        <v>10169</v>
      </c>
      <c r="B11" s="1334" t="s">
        <v>10092</v>
      </c>
    </row>
    <row r="12" spans="1:2" x14ac:dyDescent="0.2">
      <c r="A12" s="1334" t="s">
        <v>10170</v>
      </c>
      <c r="B12" s="1334" t="s">
        <v>10171</v>
      </c>
    </row>
    <row r="13" spans="1:2" x14ac:dyDescent="0.2">
      <c r="A13" s="1334" t="s">
        <v>10172</v>
      </c>
      <c r="B13" s="1334" t="s">
        <v>10173</v>
      </c>
    </row>
    <row r="14" spans="1:2" x14ac:dyDescent="0.2">
      <c r="A14" s="1334" t="s">
        <v>10174</v>
      </c>
      <c r="B14" s="1334" t="s">
        <v>10175</v>
      </c>
    </row>
    <row r="15" spans="1:2" x14ac:dyDescent="0.2">
      <c r="A15" s="1334" t="s">
        <v>10176</v>
      </c>
      <c r="B15" s="1334" t="s">
        <v>10177</v>
      </c>
    </row>
    <row r="16" spans="1:2" x14ac:dyDescent="0.2">
      <c r="A16" s="1334" t="s">
        <v>10258</v>
      </c>
      <c r="B16" s="1334" t="s">
        <v>10259</v>
      </c>
    </row>
    <row r="17" spans="1:2" x14ac:dyDescent="0.2">
      <c r="A17" s="1334" t="s">
        <v>10178</v>
      </c>
      <c r="B17" s="1334" t="s">
        <v>10179</v>
      </c>
    </row>
    <row r="18" spans="1:2" x14ac:dyDescent="0.2">
      <c r="A18" s="1334" t="s">
        <v>10260</v>
      </c>
      <c r="B18" s="1334" t="s">
        <v>10261</v>
      </c>
    </row>
    <row r="19" spans="1:2" x14ac:dyDescent="0.2">
      <c r="A19" s="1334" t="s">
        <v>10262</v>
      </c>
      <c r="B19" s="1334" t="s">
        <v>10263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27"/>
  <sheetViews>
    <sheetView workbookViewId="0">
      <selection activeCell="C27" sqref="C27"/>
    </sheetView>
  </sheetViews>
  <sheetFormatPr baseColWidth="10" defaultRowHeight="12.75" x14ac:dyDescent="0.2"/>
  <cols>
    <col min="4" max="4" width="14.42578125" customWidth="1"/>
  </cols>
  <sheetData>
    <row r="3" spans="2:11" x14ac:dyDescent="0.2">
      <c r="B3" s="734" t="s">
        <v>10346</v>
      </c>
    </row>
    <row r="4" spans="2:11" x14ac:dyDescent="0.2">
      <c r="D4" s="734" t="s">
        <v>10347</v>
      </c>
      <c r="E4">
        <v>90000</v>
      </c>
    </row>
    <row r="5" spans="2:11" x14ac:dyDescent="0.2">
      <c r="D5" s="734" t="s">
        <v>10348</v>
      </c>
      <c r="E5">
        <v>90000</v>
      </c>
    </row>
    <row r="7" spans="2:11" x14ac:dyDescent="0.2">
      <c r="C7" s="734" t="s">
        <v>10350</v>
      </c>
      <c r="D7" s="734" t="s">
        <v>10352</v>
      </c>
    </row>
    <row r="8" spans="2:11" x14ac:dyDescent="0.2">
      <c r="D8" s="734" t="s">
        <v>10351</v>
      </c>
      <c r="K8">
        <f>7854/1200</f>
        <v>6.5449999999999999</v>
      </c>
    </row>
    <row r="10" spans="2:11" x14ac:dyDescent="0.2">
      <c r="D10">
        <f>2.4*1200*4.2</f>
        <v>12096</v>
      </c>
      <c r="E10">
        <f>D10*2</f>
        <v>24192</v>
      </c>
      <c r="F10">
        <f>180000/E10</f>
        <v>7.4404761904761907</v>
      </c>
      <c r="I10">
        <v>7854</v>
      </c>
      <c r="J10" s="734" t="s">
        <v>10353</v>
      </c>
      <c r="K10">
        <f>I10/600</f>
        <v>13.09</v>
      </c>
    </row>
    <row r="12" spans="2:11" x14ac:dyDescent="0.2">
      <c r="C12" s="734" t="s">
        <v>10349</v>
      </c>
      <c r="I12">
        <f>0.43</f>
        <v>0.43</v>
      </c>
      <c r="J12" s="734" t="s">
        <v>10354</v>
      </c>
    </row>
    <row r="16" spans="2:11" x14ac:dyDescent="0.2">
      <c r="D16">
        <f>7900*2.4*4.2</f>
        <v>79632</v>
      </c>
    </row>
    <row r="18" spans="3:12" x14ac:dyDescent="0.2">
      <c r="D18">
        <f>2.4*4.2</f>
        <v>10.08</v>
      </c>
      <c r="F18">
        <f>D18*1200</f>
        <v>12096</v>
      </c>
      <c r="G18">
        <f>F18*'[6]Presupuesto Otros'!$D$26</f>
        <v>241.35707251349814</v>
      </c>
      <c r="I18">
        <v>0.43</v>
      </c>
      <c r="J18">
        <f>I18*24</f>
        <v>10.32</v>
      </c>
      <c r="K18">
        <f>J18*600</f>
        <v>6192</v>
      </c>
      <c r="L18">
        <f>K18*'[6]Presupuesto Otros'!$D$26</f>
        <v>123.55183473905261</v>
      </c>
    </row>
    <row r="19" spans="3:12" x14ac:dyDescent="0.2">
      <c r="L19">
        <f>L18*1.1</f>
        <v>135.90701821295789</v>
      </c>
    </row>
    <row r="20" spans="3:12" x14ac:dyDescent="0.2">
      <c r="D20">
        <f>D16/D18</f>
        <v>7900</v>
      </c>
    </row>
    <row r="22" spans="3:12" x14ac:dyDescent="0.2">
      <c r="J22" s="734">
        <f>24/J23</f>
        <v>7.2167832167832167</v>
      </c>
      <c r="K22">
        <f>J22*1200</f>
        <v>8660.1398601398596</v>
      </c>
      <c r="L22">
        <f>K22*'[6]Presupuesto Otros'!$D$26</f>
        <v>172.79976886580783</v>
      </c>
    </row>
    <row r="23" spans="3:12" x14ac:dyDescent="0.2">
      <c r="I23" s="734">
        <f>1/0.43+1</f>
        <v>3.3255813953488373</v>
      </c>
      <c r="J23" s="734">
        <f>1/0.43+1</f>
        <v>3.3255813953488373</v>
      </c>
    </row>
    <row r="26" spans="3:12" x14ac:dyDescent="0.2">
      <c r="C26" s="734" t="s">
        <v>10355</v>
      </c>
      <c r="E26">
        <v>1200000</v>
      </c>
    </row>
    <row r="27" spans="3:12" x14ac:dyDescent="0.2">
      <c r="C27" s="734" t="s">
        <v>10356</v>
      </c>
      <c r="E27">
        <v>300000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42</vt:i4>
      </vt:variant>
      <vt:variant>
        <vt:lpstr>Rangos con nombre</vt:lpstr>
      </vt:variant>
      <vt:variant>
        <vt:i4>16</vt:i4>
      </vt:variant>
    </vt:vector>
  </HeadingPairs>
  <TitlesOfParts>
    <vt:vector size="58" baseType="lpstr">
      <vt:lpstr>caratula</vt:lpstr>
      <vt:lpstr>Contenido</vt:lpstr>
      <vt:lpstr>Información Macroeconómica</vt:lpstr>
      <vt:lpstr>Cifras Sobresalientes</vt:lpstr>
      <vt:lpstr>Comparativo de resultados hist</vt:lpstr>
      <vt:lpstr>Balance y Razones</vt:lpstr>
      <vt:lpstr>Balance ejer ant</vt:lpstr>
      <vt:lpstr>Volumen Presupuesto</vt:lpstr>
      <vt:lpstr>Personal y KMS Recorridos</vt:lpstr>
      <vt:lpstr>Inversiones</vt:lpstr>
      <vt:lpstr>Edo.Res.detalle</vt:lpstr>
      <vt:lpstr>balance_detalle</vt:lpstr>
      <vt:lpstr>Presup. de Flujo de Caja</vt:lpstr>
      <vt:lpstr>MovFondos</vt:lpstr>
      <vt:lpstr>Premisas Presupuesto 2014</vt:lpstr>
      <vt:lpstr>inversion-detalle</vt:lpstr>
      <vt:lpstr>Balance2013</vt:lpstr>
      <vt:lpstr>Cuentas de Balance</vt:lpstr>
      <vt:lpstr>Mov.Fondoshoja7</vt:lpstr>
      <vt:lpstr>detalle-indicadores</vt:lpstr>
      <vt:lpstr>Ind.Finan.hoja8</vt:lpstr>
      <vt:lpstr>ind.oper.-detalle</vt:lpstr>
      <vt:lpstr>ind.operaciónhoja9</vt:lpstr>
      <vt:lpstr>compras-presup.</vt:lpstr>
      <vt:lpstr>inversiónhoja10</vt:lpstr>
      <vt:lpstr>ronoa(2010)</vt:lpstr>
      <vt:lpstr>ronoa(pres2011)</vt:lpstr>
      <vt:lpstr>activo-detalle</vt:lpstr>
      <vt:lpstr>activohoja11</vt:lpstr>
      <vt:lpstr>antiguedad2011</vt:lpstr>
      <vt:lpstr>antig.trim</vt:lpstr>
      <vt:lpstr>Precio Ton ruta</vt:lpstr>
      <vt:lpstr>base Ingresos 2012 Reales</vt:lpstr>
      <vt:lpstr>Depreciación 2014</vt:lpstr>
      <vt:lpstr>Gtos financieros 2014</vt:lpstr>
      <vt:lpstr>Costos  de Operación</vt:lpstr>
      <vt:lpstr>Productos financieros 2014</vt:lpstr>
      <vt:lpstr>Edo rdo ejercicio ante</vt:lpstr>
      <vt:lpstr>Otros Gastos y Productos</vt:lpstr>
      <vt:lpstr>Inversiones 2014</vt:lpstr>
      <vt:lpstr>Hoja2</vt:lpstr>
      <vt:lpstr>Plan de inversiones</vt:lpstr>
      <vt:lpstr>'Balance ejer ant'!Área_de_impresión</vt:lpstr>
      <vt:lpstr>balance_detalle!Área_de_impresión</vt:lpstr>
      <vt:lpstr>'compras-presup.'!Área_de_impresión</vt:lpstr>
      <vt:lpstr>'Edo rdo ejercicio ante'!Área_de_impresión</vt:lpstr>
      <vt:lpstr>Edo.Res.detalle!Área_de_impresión</vt:lpstr>
      <vt:lpstr>ind.operaciónhoja9!Área_de_impresión</vt:lpstr>
      <vt:lpstr>Inversiones!Área_de_impresión</vt:lpstr>
      <vt:lpstr>'Inversiones 2014'!Área_de_impresión</vt:lpstr>
      <vt:lpstr>MovFondos!Área_de_impresión</vt:lpstr>
      <vt:lpstr>'Presup. de Flujo de Caja'!Área_de_impresión</vt:lpstr>
      <vt:lpstr>'ronoa(2010)'!Área_de_impresión</vt:lpstr>
      <vt:lpstr>'ronoa(pres2011)'!Área_de_impresión</vt:lpstr>
      <vt:lpstr>'Presup. de Flujo de Caja'!IncrementoTarifa</vt:lpstr>
      <vt:lpstr>IncrementoTarifa</vt:lpstr>
      <vt:lpstr>'Presup. de Flujo de Caja'!MESACUMULADO</vt:lpstr>
      <vt:lpstr>MESACUMULADO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PRESUPUESTO 2013 DE TRANSPORTES BONAMPAK, S.A. DE C.V.</dc:title>
  <dc:subject>ESTADO DE RESULTADOS Y FLUJO DE CAJA DEL PRESUPUESTO DE 1996</dc:subject>
  <dc:creator>Guillermo Rodríguez Zepeda</dc:creator>
  <cp:lastModifiedBy>Guillermo</cp:lastModifiedBy>
  <cp:lastPrinted>2014-01-31T02:56:32Z</cp:lastPrinted>
  <dcterms:created xsi:type="dcterms:W3CDTF">1998-08-07T17:50:33Z</dcterms:created>
  <dcterms:modified xsi:type="dcterms:W3CDTF">2014-06-09T04:39:41Z</dcterms:modified>
</cp:coreProperties>
</file>